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Projects\Budget Development\Agency B6 Folder_FY23\"/>
    </mc:Choice>
  </mc:AlternateContent>
  <xr:revisionPtr revIDLastSave="0" documentId="13_ncr:1_{4417E947-371D-4530-A7AA-2B4C1847A20A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EMAA|0001-00" sheetId="12" r:id="rId1"/>
    <sheet name="EMAA|0302-00" sheetId="13" r:id="rId2"/>
    <sheet name="EMAA|0303-00" sheetId="14" r:id="rId3"/>
    <sheet name="EMAA|0349-00" sheetId="16" r:id="rId4"/>
    <sheet name="EMAA|0348-00" sheetId="15" r:id="rId5"/>
    <sheet name="EMLO|0001-00" sheetId="17" r:id="rId6"/>
    <sheet name="EMLO|0302-00" sheetId="18" r:id="rId7"/>
    <sheet name="EMLO|0303-00" sheetId="19" r:id="rId8"/>
    <sheet name="EMLO|0348-00" sheetId="20" r:id="rId9"/>
    <sheet name="EMLO|0349-00" sheetId="21" r:id="rId10"/>
    <sheet name="EMUI|0001-00" sheetId="22" r:id="rId11"/>
    <sheet name="EMUI|0302-00" sheetId="23" r:id="rId12"/>
    <sheet name="EMUI|0348-00" sheetId="24" r:id="rId13"/>
    <sheet name="EMUI|0349-00" sheetId="25" r:id="rId14"/>
    <sheet name="Data" sheetId="5" r:id="rId15"/>
    <sheet name="Benefits" sheetId="7" r:id="rId16"/>
    <sheet name="B6" sheetId="9" r:id="rId17"/>
    <sheet name="Summary" sheetId="10" r:id="rId18"/>
    <sheet name="FundSummary" sheetId="11" r:id="rId19"/>
  </sheets>
  <definedNames>
    <definedName name="AdjGroupHlth" localSheetId="0">'EMAA|0001-00'!$H$39</definedName>
    <definedName name="AdjGroupHlth" localSheetId="1">'EMAA|0302-00'!$H$39</definedName>
    <definedName name="AdjGroupHlth" localSheetId="2">'EMAA|0303-00'!$H$39</definedName>
    <definedName name="AdjGroupHlth" localSheetId="4">'EMAA|0348-00'!$H$39</definedName>
    <definedName name="AdjGroupHlth" localSheetId="3">'EMAA|0349-00'!$H$39</definedName>
    <definedName name="AdjGroupHlth" localSheetId="5">'EMLO|0001-00'!$H$39</definedName>
    <definedName name="AdjGroupHlth" localSheetId="6">'EMLO|0302-00'!$H$39</definedName>
    <definedName name="AdjGroupHlth" localSheetId="7">'EMLO|0303-00'!$H$39</definedName>
    <definedName name="AdjGroupHlth" localSheetId="8">'EMLO|0348-00'!$H$39</definedName>
    <definedName name="AdjGroupHlth" localSheetId="9">'EMLO|0349-00'!$H$39</definedName>
    <definedName name="AdjGroupHlth" localSheetId="10">'EMUI|0001-00'!$H$39</definedName>
    <definedName name="AdjGroupHlth" localSheetId="11">'EMUI|0302-00'!$H$39</definedName>
    <definedName name="AdjGroupHlth" localSheetId="12">'EMUI|0348-00'!$H$39</definedName>
    <definedName name="AdjGroupHlth" localSheetId="13">'EMUI|0349-00'!$H$39</definedName>
    <definedName name="AdjGroupHlth">'B6'!$H$39</definedName>
    <definedName name="AdjGroupSalary" localSheetId="0">'EMAA|0001-00'!$G$39</definedName>
    <definedName name="AdjGroupSalary" localSheetId="1">'EMAA|0302-00'!$G$39</definedName>
    <definedName name="AdjGroupSalary" localSheetId="2">'EMAA|0303-00'!$G$39</definedName>
    <definedName name="AdjGroupSalary" localSheetId="4">'EMAA|0348-00'!$G$39</definedName>
    <definedName name="AdjGroupSalary" localSheetId="3">'EMAA|0349-00'!$G$39</definedName>
    <definedName name="AdjGroupSalary" localSheetId="5">'EMLO|0001-00'!$G$39</definedName>
    <definedName name="AdjGroupSalary" localSheetId="6">'EMLO|0302-00'!$G$39</definedName>
    <definedName name="AdjGroupSalary" localSheetId="7">'EMLO|0303-00'!$G$39</definedName>
    <definedName name="AdjGroupSalary" localSheetId="8">'EMLO|0348-00'!$G$39</definedName>
    <definedName name="AdjGroupSalary" localSheetId="9">'EMLO|0349-00'!$G$39</definedName>
    <definedName name="AdjGroupSalary" localSheetId="10">'EMUI|0001-00'!$G$39</definedName>
    <definedName name="AdjGroupSalary" localSheetId="11">'EMUI|0302-00'!$G$39</definedName>
    <definedName name="AdjGroupSalary" localSheetId="12">'EMUI|0348-00'!$G$39</definedName>
    <definedName name="AdjGroupSalary" localSheetId="13">'EMUI|0349-00'!$G$39</definedName>
    <definedName name="AdjGroupSalary">'B6'!$G$39</definedName>
    <definedName name="AdjGroupVB" localSheetId="0">'EMAA|0001-00'!$I$39</definedName>
    <definedName name="AdjGroupVB" localSheetId="1">'EMAA|0302-00'!$I$39</definedName>
    <definedName name="AdjGroupVB" localSheetId="2">'EMAA|0303-00'!$I$39</definedName>
    <definedName name="AdjGroupVB" localSheetId="4">'EMAA|0348-00'!$I$39</definedName>
    <definedName name="AdjGroupVB" localSheetId="3">'EMAA|0349-00'!$I$39</definedName>
    <definedName name="AdjGroupVB" localSheetId="5">'EMLO|0001-00'!$I$39</definedName>
    <definedName name="AdjGroupVB" localSheetId="6">'EMLO|0302-00'!$I$39</definedName>
    <definedName name="AdjGroupVB" localSheetId="7">'EMLO|0303-00'!$I$39</definedName>
    <definedName name="AdjGroupVB" localSheetId="8">'EMLO|0348-00'!$I$39</definedName>
    <definedName name="AdjGroupVB" localSheetId="9">'EMLO|0349-00'!$I$39</definedName>
    <definedName name="AdjGroupVB" localSheetId="10">'EMUI|0001-00'!$I$39</definedName>
    <definedName name="AdjGroupVB" localSheetId="11">'EMUI|0302-00'!$I$39</definedName>
    <definedName name="AdjGroupVB" localSheetId="12">'EMUI|0348-00'!$I$39</definedName>
    <definedName name="AdjGroupVB" localSheetId="13">'EMUI|0349-00'!$I$39</definedName>
    <definedName name="AdjGroupVB">'B6'!$I$39</definedName>
    <definedName name="AdjGroupVBBY" localSheetId="0">'EMAA|0001-00'!$M$39</definedName>
    <definedName name="AdjGroupVBBY" localSheetId="1">'EMAA|0302-00'!$M$39</definedName>
    <definedName name="AdjGroupVBBY" localSheetId="2">'EMAA|0303-00'!$M$39</definedName>
    <definedName name="AdjGroupVBBY" localSheetId="4">'EMAA|0348-00'!$M$39</definedName>
    <definedName name="AdjGroupVBBY" localSheetId="3">'EMAA|0349-00'!$M$39</definedName>
    <definedName name="AdjGroupVBBY" localSheetId="5">'EMLO|0001-00'!$M$39</definedName>
    <definedName name="AdjGroupVBBY" localSheetId="6">'EMLO|0302-00'!$M$39</definedName>
    <definedName name="AdjGroupVBBY" localSheetId="7">'EMLO|0303-00'!$M$39</definedName>
    <definedName name="AdjGroupVBBY" localSheetId="8">'EMLO|0348-00'!$M$39</definedName>
    <definedName name="AdjGroupVBBY" localSheetId="9">'EMLO|0349-00'!$M$39</definedName>
    <definedName name="AdjGroupVBBY" localSheetId="10">'EMUI|0001-00'!$M$39</definedName>
    <definedName name="AdjGroupVBBY" localSheetId="11">'EMUI|0302-00'!$M$39</definedName>
    <definedName name="AdjGroupVBBY" localSheetId="12">'EMUI|0348-00'!$M$39</definedName>
    <definedName name="AdjGroupVBBY" localSheetId="13">'EMUI|0349-00'!$M$39</definedName>
    <definedName name="AdjGroupVBBY">'B6'!$M$39</definedName>
    <definedName name="AdjPermHlth" localSheetId="0">'EMAA|0001-00'!$H$38</definedName>
    <definedName name="AdjPermHlth" localSheetId="1">'EMAA|0302-00'!$H$38</definedName>
    <definedName name="AdjPermHlth" localSheetId="2">'EMAA|0303-00'!$H$38</definedName>
    <definedName name="AdjPermHlth" localSheetId="4">'EMAA|0348-00'!$H$38</definedName>
    <definedName name="AdjPermHlth" localSheetId="3">'EMAA|0349-00'!$H$38</definedName>
    <definedName name="AdjPermHlth" localSheetId="5">'EMLO|0001-00'!$H$38</definedName>
    <definedName name="AdjPermHlth" localSheetId="6">'EMLO|0302-00'!$H$38</definedName>
    <definedName name="AdjPermHlth" localSheetId="7">'EMLO|0303-00'!$H$38</definedName>
    <definedName name="AdjPermHlth" localSheetId="8">'EMLO|0348-00'!$H$38</definedName>
    <definedName name="AdjPermHlth" localSheetId="9">'EMLO|0349-00'!$H$38</definedName>
    <definedName name="AdjPermHlth" localSheetId="10">'EMUI|0001-00'!$H$38</definedName>
    <definedName name="AdjPermHlth" localSheetId="11">'EMUI|0302-00'!$H$38</definedName>
    <definedName name="AdjPermHlth" localSheetId="12">'EMUI|0348-00'!$H$38</definedName>
    <definedName name="AdjPermHlth" localSheetId="13">'EMUI|0349-00'!$H$38</definedName>
    <definedName name="AdjPermHlth">'B6'!$H$38</definedName>
    <definedName name="AdjPermHlthBY" localSheetId="0">'EMAA|0001-00'!$L$38</definedName>
    <definedName name="AdjPermHlthBY" localSheetId="1">'EMAA|0302-00'!$L$38</definedName>
    <definedName name="AdjPermHlthBY" localSheetId="2">'EMAA|0303-00'!$L$38</definedName>
    <definedName name="AdjPermHlthBY" localSheetId="4">'EMAA|0348-00'!$L$38</definedName>
    <definedName name="AdjPermHlthBY" localSheetId="3">'EMAA|0349-00'!$L$38</definedName>
    <definedName name="AdjPermHlthBY" localSheetId="5">'EMLO|0001-00'!$L$38</definedName>
    <definedName name="AdjPermHlthBY" localSheetId="6">'EMLO|0302-00'!$L$38</definedName>
    <definedName name="AdjPermHlthBY" localSheetId="7">'EMLO|0303-00'!$L$38</definedName>
    <definedName name="AdjPermHlthBY" localSheetId="8">'EMLO|0348-00'!$L$38</definedName>
    <definedName name="AdjPermHlthBY" localSheetId="9">'EMLO|0349-00'!$L$38</definedName>
    <definedName name="AdjPermHlthBY" localSheetId="10">'EMUI|0001-00'!$L$38</definedName>
    <definedName name="AdjPermHlthBY" localSheetId="11">'EMUI|0302-00'!$L$38</definedName>
    <definedName name="AdjPermHlthBY" localSheetId="12">'EMUI|0348-00'!$L$38</definedName>
    <definedName name="AdjPermHlthBY" localSheetId="13">'EMUI|0349-00'!$L$38</definedName>
    <definedName name="AdjPermHlthBY">'B6'!$L$38</definedName>
    <definedName name="AdjPermSalary" localSheetId="0">'EMAA|0001-00'!$G$38</definedName>
    <definedName name="AdjPermSalary" localSheetId="1">'EMAA|0302-00'!$G$38</definedName>
    <definedName name="AdjPermSalary" localSheetId="2">'EMAA|0303-00'!$G$38</definedName>
    <definedName name="AdjPermSalary" localSheetId="4">'EMAA|0348-00'!$G$38</definedName>
    <definedName name="AdjPermSalary" localSheetId="3">'EMAA|0349-00'!$G$38</definedName>
    <definedName name="AdjPermSalary" localSheetId="5">'EMLO|0001-00'!$G$38</definedName>
    <definedName name="AdjPermSalary" localSheetId="6">'EMLO|0302-00'!$G$38</definedName>
    <definedName name="AdjPermSalary" localSheetId="7">'EMLO|0303-00'!$G$38</definedName>
    <definedName name="AdjPermSalary" localSheetId="8">'EMLO|0348-00'!$G$38</definedName>
    <definedName name="AdjPermSalary" localSheetId="9">'EMLO|0349-00'!$G$38</definedName>
    <definedName name="AdjPermSalary" localSheetId="10">'EMUI|0001-00'!$G$38</definedName>
    <definedName name="AdjPermSalary" localSheetId="11">'EMUI|0302-00'!$G$38</definedName>
    <definedName name="AdjPermSalary" localSheetId="12">'EMUI|0348-00'!$G$38</definedName>
    <definedName name="AdjPermSalary" localSheetId="13">'EMUI|0349-00'!$G$38</definedName>
    <definedName name="AdjPermSalary">'B6'!$G$38</definedName>
    <definedName name="AdjPermVB" localSheetId="0">'EMAA|0001-00'!$I$38</definedName>
    <definedName name="AdjPermVB" localSheetId="1">'EMAA|0302-00'!$I$38</definedName>
    <definedName name="AdjPermVB" localSheetId="2">'EMAA|0303-00'!$I$38</definedName>
    <definedName name="AdjPermVB" localSheetId="4">'EMAA|0348-00'!$I$38</definedName>
    <definedName name="AdjPermVB" localSheetId="3">'EMAA|0349-00'!$I$38</definedName>
    <definedName name="AdjPermVB" localSheetId="5">'EMLO|0001-00'!$I$38</definedName>
    <definedName name="AdjPermVB" localSheetId="6">'EMLO|0302-00'!$I$38</definedName>
    <definedName name="AdjPermVB" localSheetId="7">'EMLO|0303-00'!$I$38</definedName>
    <definedName name="AdjPermVB" localSheetId="8">'EMLO|0348-00'!$I$38</definedName>
    <definedName name="AdjPermVB" localSheetId="9">'EMLO|0349-00'!$I$38</definedName>
    <definedName name="AdjPermVB" localSheetId="10">'EMUI|0001-00'!$I$38</definedName>
    <definedName name="AdjPermVB" localSheetId="11">'EMUI|0302-00'!$I$38</definedName>
    <definedName name="AdjPermVB" localSheetId="12">'EMUI|0348-00'!$I$38</definedName>
    <definedName name="AdjPermVB" localSheetId="13">'EMUI|0349-00'!$I$38</definedName>
    <definedName name="AdjPermVB">'B6'!$I$38</definedName>
    <definedName name="AdjPermVBBY" localSheetId="0">'EMAA|0001-00'!$M$38</definedName>
    <definedName name="AdjPermVBBY" localSheetId="1">'EMAA|0302-00'!$M$38</definedName>
    <definedName name="AdjPermVBBY" localSheetId="2">'EMAA|0303-00'!$M$38</definedName>
    <definedName name="AdjPermVBBY" localSheetId="4">'EMAA|0348-00'!$M$38</definedName>
    <definedName name="AdjPermVBBY" localSheetId="3">'EMAA|0349-00'!$M$38</definedName>
    <definedName name="AdjPermVBBY" localSheetId="5">'EMLO|0001-00'!$M$38</definedName>
    <definedName name="AdjPermVBBY" localSheetId="6">'EMLO|0302-00'!$M$38</definedName>
    <definedName name="AdjPermVBBY" localSheetId="7">'EMLO|0303-00'!$M$38</definedName>
    <definedName name="AdjPermVBBY" localSheetId="8">'EMLO|0348-00'!$M$38</definedName>
    <definedName name="AdjPermVBBY" localSheetId="9">'EMLO|0349-00'!$M$38</definedName>
    <definedName name="AdjPermVBBY" localSheetId="10">'EMUI|0001-00'!$M$38</definedName>
    <definedName name="AdjPermVBBY" localSheetId="11">'EMUI|0302-00'!$M$38</definedName>
    <definedName name="AdjPermVBBY" localSheetId="12">'EMUI|0348-00'!$M$38</definedName>
    <definedName name="AdjPermVBBY" localSheetId="13">'EMUI|0349-00'!$M$38</definedName>
    <definedName name="AdjPermVBBY">'B6'!$M$38</definedName>
    <definedName name="AdjustedTotal" localSheetId="0">'EMAA|0001-00'!$J$16</definedName>
    <definedName name="AdjustedTotal" localSheetId="1">'EMAA|0302-00'!$J$16</definedName>
    <definedName name="AdjustedTotal" localSheetId="2">'EMAA|0303-00'!$J$16</definedName>
    <definedName name="AdjustedTotal" localSheetId="4">'EMAA|0348-00'!$J$16</definedName>
    <definedName name="AdjustedTotal" localSheetId="3">'EMAA|0349-00'!$J$16</definedName>
    <definedName name="AdjustedTotal" localSheetId="5">'EMLO|0001-00'!$J$16</definedName>
    <definedName name="AdjustedTotal" localSheetId="6">'EMLO|0302-00'!$J$16</definedName>
    <definedName name="AdjustedTotal" localSheetId="7">'EMLO|0303-00'!$J$16</definedName>
    <definedName name="AdjustedTotal" localSheetId="8">'EMLO|0348-00'!$J$16</definedName>
    <definedName name="AdjustedTotal" localSheetId="9">'EMLO|0349-00'!$J$16</definedName>
    <definedName name="AdjustedTotal" localSheetId="10">'EMUI|0001-00'!$J$16</definedName>
    <definedName name="AdjustedTotal" localSheetId="11">'EMUI|0302-00'!$J$16</definedName>
    <definedName name="AdjustedTotal" localSheetId="12">'EMUI|0348-00'!$J$16</definedName>
    <definedName name="AdjustedTotal" localSheetId="13">'EMUI|0349-00'!$J$16</definedName>
    <definedName name="AdjustedTotal">'B6'!$J$16</definedName>
    <definedName name="AgencyNum" localSheetId="0">'EMAA|0001-00'!$M$1</definedName>
    <definedName name="AgencyNum" localSheetId="1">'EMAA|0302-00'!$M$1</definedName>
    <definedName name="AgencyNum" localSheetId="2">'EMAA|0303-00'!$M$1</definedName>
    <definedName name="AgencyNum" localSheetId="4">'EMAA|0348-00'!$M$1</definedName>
    <definedName name="AgencyNum" localSheetId="3">'EMAA|0349-00'!$M$1</definedName>
    <definedName name="AgencyNum" localSheetId="5">'EMLO|0001-00'!$M$1</definedName>
    <definedName name="AgencyNum" localSheetId="6">'EMLO|0302-00'!$M$1</definedName>
    <definedName name="AgencyNum" localSheetId="7">'EMLO|0303-00'!$M$1</definedName>
    <definedName name="AgencyNum" localSheetId="8">'EMLO|0348-00'!$M$1</definedName>
    <definedName name="AgencyNum" localSheetId="9">'EMLO|0349-00'!$M$1</definedName>
    <definedName name="AgencyNum" localSheetId="10">'EMUI|0001-00'!$M$1</definedName>
    <definedName name="AgencyNum" localSheetId="11">'EMUI|0302-00'!$M$1</definedName>
    <definedName name="AgencyNum" localSheetId="12">'EMUI|0348-00'!$M$1</definedName>
    <definedName name="AgencyNum" localSheetId="13">'EMUI|0349-00'!$M$1</definedName>
    <definedName name="AgencyNum">'B6'!$M$1</definedName>
    <definedName name="AppropFTP" localSheetId="0">'EMAA|0001-00'!$F$15</definedName>
    <definedName name="AppropFTP" localSheetId="1">'EMAA|0302-00'!$F$15</definedName>
    <definedName name="AppropFTP" localSheetId="2">'EMAA|0303-00'!$F$15</definedName>
    <definedName name="AppropFTP" localSheetId="4">'EMAA|0348-00'!$F$15</definedName>
    <definedName name="AppropFTP" localSheetId="3">'EMAA|0349-00'!$F$15</definedName>
    <definedName name="AppropFTP" localSheetId="5">'EMLO|0001-00'!$F$15</definedName>
    <definedName name="AppropFTP" localSheetId="6">'EMLO|0302-00'!$F$15</definedName>
    <definedName name="AppropFTP" localSheetId="7">'EMLO|0303-00'!$F$15</definedName>
    <definedName name="AppropFTP" localSheetId="8">'EMLO|0348-00'!$F$15</definedName>
    <definedName name="AppropFTP" localSheetId="9">'EMLO|0349-00'!$F$15</definedName>
    <definedName name="AppropFTP" localSheetId="10">'EMUI|0001-00'!$F$15</definedName>
    <definedName name="AppropFTP" localSheetId="11">'EMUI|0302-00'!$F$15</definedName>
    <definedName name="AppropFTP" localSheetId="12">'EMUI|0348-00'!$F$15</definedName>
    <definedName name="AppropFTP" localSheetId="13">'EMUI|0349-00'!$F$15</definedName>
    <definedName name="AppropFTP">'B6'!$F$15</definedName>
    <definedName name="AppropTotal" localSheetId="0">'EMAA|0001-00'!$J$15</definedName>
    <definedName name="AppropTotal" localSheetId="1">'EMAA|0302-00'!$J$15</definedName>
    <definedName name="AppropTotal" localSheetId="2">'EMAA|0303-00'!$J$15</definedName>
    <definedName name="AppropTotal" localSheetId="4">'EMAA|0348-00'!$J$15</definedName>
    <definedName name="AppropTotal" localSheetId="3">'EMAA|0349-00'!$J$15</definedName>
    <definedName name="AppropTotal" localSheetId="5">'EMLO|0001-00'!$J$15</definedName>
    <definedName name="AppropTotal" localSheetId="6">'EMLO|0302-00'!$J$15</definedName>
    <definedName name="AppropTotal" localSheetId="7">'EMLO|0303-00'!$J$15</definedName>
    <definedName name="AppropTotal" localSheetId="8">'EMLO|0348-00'!$J$15</definedName>
    <definedName name="AppropTotal" localSheetId="9">'EMLO|0349-00'!$J$15</definedName>
    <definedName name="AppropTotal" localSheetId="10">'EMUI|0001-00'!$J$15</definedName>
    <definedName name="AppropTotal" localSheetId="11">'EMUI|0302-00'!$J$15</definedName>
    <definedName name="AppropTotal" localSheetId="12">'EMUI|0348-00'!$J$15</definedName>
    <definedName name="AppropTotal" localSheetId="13">'EMUI|0349-00'!$J$15</definedName>
    <definedName name="AppropTotal">'B6'!$J$15</definedName>
    <definedName name="AtZHealth" localSheetId="0">'EMAA|0001-00'!$H$45</definedName>
    <definedName name="AtZHealth" localSheetId="1">'EMAA|0302-00'!$H$45</definedName>
    <definedName name="AtZHealth" localSheetId="2">'EMAA|0303-00'!$H$45</definedName>
    <definedName name="AtZHealth" localSheetId="4">'EMAA|0348-00'!$H$45</definedName>
    <definedName name="AtZHealth" localSheetId="3">'EMAA|0349-00'!$H$45</definedName>
    <definedName name="AtZHealth" localSheetId="5">'EMLO|0001-00'!$H$45</definedName>
    <definedName name="AtZHealth" localSheetId="6">'EMLO|0302-00'!$H$45</definedName>
    <definedName name="AtZHealth" localSheetId="7">'EMLO|0303-00'!$H$45</definedName>
    <definedName name="AtZHealth" localSheetId="8">'EMLO|0348-00'!$H$45</definedName>
    <definedName name="AtZHealth" localSheetId="9">'EMLO|0349-00'!$H$45</definedName>
    <definedName name="AtZHealth" localSheetId="10">'EMUI|0001-00'!$H$45</definedName>
    <definedName name="AtZHealth" localSheetId="11">'EMUI|0302-00'!$H$45</definedName>
    <definedName name="AtZHealth" localSheetId="12">'EMUI|0348-00'!$H$45</definedName>
    <definedName name="AtZHealth" localSheetId="13">'EMUI|0349-00'!$H$45</definedName>
    <definedName name="AtZHealth">'B6'!$H$45</definedName>
    <definedName name="AtZSalary" localSheetId="0">'EMAA|0001-00'!$G$45</definedName>
    <definedName name="AtZSalary" localSheetId="1">'EMAA|0302-00'!$G$45</definedName>
    <definedName name="AtZSalary" localSheetId="2">'EMAA|0303-00'!$G$45</definedName>
    <definedName name="AtZSalary" localSheetId="4">'EMAA|0348-00'!$G$45</definedName>
    <definedName name="AtZSalary" localSheetId="3">'EMAA|0349-00'!$G$45</definedName>
    <definedName name="AtZSalary" localSheetId="5">'EMLO|0001-00'!$G$45</definedName>
    <definedName name="AtZSalary" localSheetId="6">'EMLO|0302-00'!$G$45</definedName>
    <definedName name="AtZSalary" localSheetId="7">'EMLO|0303-00'!$G$45</definedName>
    <definedName name="AtZSalary" localSheetId="8">'EMLO|0348-00'!$G$45</definedName>
    <definedName name="AtZSalary" localSheetId="9">'EMLO|0349-00'!$G$45</definedName>
    <definedName name="AtZSalary" localSheetId="10">'EMUI|0001-00'!$G$45</definedName>
    <definedName name="AtZSalary" localSheetId="11">'EMUI|0302-00'!$G$45</definedName>
    <definedName name="AtZSalary" localSheetId="12">'EMUI|0348-00'!$G$45</definedName>
    <definedName name="AtZSalary" localSheetId="13">'EMUI|0349-00'!$G$45</definedName>
    <definedName name="AtZSalary">'B6'!$G$45</definedName>
    <definedName name="AtZTotal" localSheetId="0">'EMAA|0001-00'!$J$45</definedName>
    <definedName name="AtZTotal" localSheetId="1">'EMAA|0302-00'!$J$45</definedName>
    <definedName name="AtZTotal" localSheetId="2">'EMAA|0303-00'!$J$45</definedName>
    <definedName name="AtZTotal" localSheetId="4">'EMAA|0348-00'!$J$45</definedName>
    <definedName name="AtZTotal" localSheetId="3">'EMAA|0349-00'!$J$45</definedName>
    <definedName name="AtZTotal" localSheetId="5">'EMLO|0001-00'!$J$45</definedName>
    <definedName name="AtZTotal" localSheetId="6">'EMLO|0302-00'!$J$45</definedName>
    <definedName name="AtZTotal" localSheetId="7">'EMLO|0303-00'!$J$45</definedName>
    <definedName name="AtZTotal" localSheetId="8">'EMLO|0348-00'!$J$45</definedName>
    <definedName name="AtZTotal" localSheetId="9">'EMLO|0349-00'!$J$45</definedName>
    <definedName name="AtZTotal" localSheetId="10">'EMUI|0001-00'!$J$45</definedName>
    <definedName name="AtZTotal" localSheetId="11">'EMUI|0302-00'!$J$45</definedName>
    <definedName name="AtZTotal" localSheetId="12">'EMUI|0348-00'!$J$45</definedName>
    <definedName name="AtZTotal" localSheetId="13">'EMUI|0349-00'!$J$45</definedName>
    <definedName name="AtZTotal">'B6'!$J$45</definedName>
    <definedName name="AtZVarBen" localSheetId="0">'EMAA|0001-00'!$I$45</definedName>
    <definedName name="AtZVarBen" localSheetId="1">'EMAA|0302-00'!$I$45</definedName>
    <definedName name="AtZVarBen" localSheetId="2">'EMAA|0303-00'!$I$45</definedName>
    <definedName name="AtZVarBen" localSheetId="4">'EMAA|0348-00'!$I$45</definedName>
    <definedName name="AtZVarBen" localSheetId="3">'EMAA|0349-00'!$I$45</definedName>
    <definedName name="AtZVarBen" localSheetId="5">'EMLO|0001-00'!$I$45</definedName>
    <definedName name="AtZVarBen" localSheetId="6">'EMLO|0302-00'!$I$45</definedName>
    <definedName name="AtZVarBen" localSheetId="7">'EMLO|0303-00'!$I$45</definedName>
    <definedName name="AtZVarBen" localSheetId="8">'EMLO|0348-00'!$I$45</definedName>
    <definedName name="AtZVarBen" localSheetId="9">'EMLO|0349-00'!$I$45</definedName>
    <definedName name="AtZVarBen" localSheetId="10">'EMUI|0001-00'!$I$45</definedName>
    <definedName name="AtZVarBen" localSheetId="11">'EMUI|0302-00'!$I$45</definedName>
    <definedName name="AtZVarBen" localSheetId="12">'EMUI|0348-00'!$I$45</definedName>
    <definedName name="AtZVarBen" localSheetId="13">'EMUI|0349-00'!$I$45</definedName>
    <definedName name="AtZVarBen">'B6'!$I$45</definedName>
    <definedName name="BudgetUnit" localSheetId="0">'EMAA|0001-00'!$M$3</definedName>
    <definedName name="BudgetUnit" localSheetId="1">'EMAA|0302-00'!$M$3</definedName>
    <definedName name="BudgetUnit" localSheetId="2">'EMAA|0303-00'!$M$3</definedName>
    <definedName name="BudgetUnit" localSheetId="4">'EMAA|0348-00'!$M$3</definedName>
    <definedName name="BudgetUnit" localSheetId="3">'EMAA|0349-00'!$M$3</definedName>
    <definedName name="BudgetUnit" localSheetId="5">'EMLO|0001-00'!$M$3</definedName>
    <definedName name="BudgetUnit" localSheetId="6">'EMLO|0302-00'!$M$3</definedName>
    <definedName name="BudgetUnit" localSheetId="7">'EMLO|0303-00'!$M$3</definedName>
    <definedName name="BudgetUnit" localSheetId="8">'EMLO|0348-00'!$M$3</definedName>
    <definedName name="BudgetUnit" localSheetId="9">'EMLO|0349-00'!$M$3</definedName>
    <definedName name="BudgetUnit" localSheetId="10">'EMUI|0001-00'!$M$3</definedName>
    <definedName name="BudgetUnit" localSheetId="11">'EMUI|0302-00'!$M$3</definedName>
    <definedName name="BudgetUnit" localSheetId="12">'EMUI|0348-00'!$M$3</definedName>
    <definedName name="BudgetUnit" localSheetId="13">'EMUI|0349-00'!$M$3</definedName>
    <definedName name="BudgetUnit">'B6'!$M$3</definedName>
    <definedName name="BudgetYear">Benefits!$D$4</definedName>
    <definedName name="CECGroup">Benefits!$C$39</definedName>
    <definedName name="CECOrigElectSalary" localSheetId="0">'EMAA|0001-00'!$G$74</definedName>
    <definedName name="CECOrigElectSalary" localSheetId="1">'EMAA|0302-00'!$G$74</definedName>
    <definedName name="CECOrigElectSalary" localSheetId="2">'EMAA|0303-00'!$G$74</definedName>
    <definedName name="CECOrigElectSalary" localSheetId="4">'EMAA|0348-00'!$G$74</definedName>
    <definedName name="CECOrigElectSalary" localSheetId="3">'EMAA|0349-00'!$G$74</definedName>
    <definedName name="CECOrigElectSalary" localSheetId="5">'EMLO|0001-00'!$G$74</definedName>
    <definedName name="CECOrigElectSalary" localSheetId="6">'EMLO|0302-00'!$G$74</definedName>
    <definedName name="CECOrigElectSalary" localSheetId="7">'EMLO|0303-00'!$G$74</definedName>
    <definedName name="CECOrigElectSalary" localSheetId="8">'EMLO|0348-00'!$G$74</definedName>
    <definedName name="CECOrigElectSalary" localSheetId="9">'EMLO|0349-00'!$G$74</definedName>
    <definedName name="CECOrigElectSalary" localSheetId="10">'EMUI|0001-00'!$G$74</definedName>
    <definedName name="CECOrigElectSalary" localSheetId="11">'EMUI|0302-00'!$G$74</definedName>
    <definedName name="CECOrigElectSalary" localSheetId="12">'EMUI|0348-00'!$G$74</definedName>
    <definedName name="CECOrigElectSalary" localSheetId="13">'EMUI|0349-00'!$G$74</definedName>
    <definedName name="CECOrigElectSalary">'B6'!$G$74</definedName>
    <definedName name="CECOrigElectVB" localSheetId="0">'EMAA|0001-00'!$I$74</definedName>
    <definedName name="CECOrigElectVB" localSheetId="1">'EMAA|0302-00'!$I$74</definedName>
    <definedName name="CECOrigElectVB" localSheetId="2">'EMAA|0303-00'!$I$74</definedName>
    <definedName name="CECOrigElectVB" localSheetId="4">'EMAA|0348-00'!$I$74</definedName>
    <definedName name="CECOrigElectVB" localSheetId="3">'EMAA|0349-00'!$I$74</definedName>
    <definedName name="CECOrigElectVB" localSheetId="5">'EMLO|0001-00'!$I$74</definedName>
    <definedName name="CECOrigElectVB" localSheetId="6">'EMLO|0302-00'!$I$74</definedName>
    <definedName name="CECOrigElectVB" localSheetId="7">'EMLO|0303-00'!$I$74</definedName>
    <definedName name="CECOrigElectVB" localSheetId="8">'EMLO|0348-00'!$I$74</definedName>
    <definedName name="CECOrigElectVB" localSheetId="9">'EMLO|0349-00'!$I$74</definedName>
    <definedName name="CECOrigElectVB" localSheetId="10">'EMUI|0001-00'!$I$74</definedName>
    <definedName name="CECOrigElectVB" localSheetId="11">'EMUI|0302-00'!$I$74</definedName>
    <definedName name="CECOrigElectVB" localSheetId="12">'EMUI|0348-00'!$I$74</definedName>
    <definedName name="CECOrigElectVB" localSheetId="13">'EMUI|0349-00'!$I$74</definedName>
    <definedName name="CECOrigElectVB">'B6'!$I$74</definedName>
    <definedName name="CECOrigGroupSalary" localSheetId="0">'EMAA|0001-00'!$G$73</definedName>
    <definedName name="CECOrigGroupSalary" localSheetId="1">'EMAA|0302-00'!$G$73</definedName>
    <definedName name="CECOrigGroupSalary" localSheetId="2">'EMAA|0303-00'!$G$73</definedName>
    <definedName name="CECOrigGroupSalary" localSheetId="4">'EMAA|0348-00'!$G$73</definedName>
    <definedName name="CECOrigGroupSalary" localSheetId="3">'EMAA|0349-00'!$G$73</definedName>
    <definedName name="CECOrigGroupSalary" localSheetId="5">'EMLO|0001-00'!$G$73</definedName>
    <definedName name="CECOrigGroupSalary" localSheetId="6">'EMLO|0302-00'!$G$73</definedName>
    <definedName name="CECOrigGroupSalary" localSheetId="7">'EMLO|0303-00'!$G$73</definedName>
    <definedName name="CECOrigGroupSalary" localSheetId="8">'EMLO|0348-00'!$G$73</definedName>
    <definedName name="CECOrigGroupSalary" localSheetId="9">'EMLO|0349-00'!$G$73</definedName>
    <definedName name="CECOrigGroupSalary" localSheetId="10">'EMUI|0001-00'!$G$73</definedName>
    <definedName name="CECOrigGroupSalary" localSheetId="11">'EMUI|0302-00'!$G$73</definedName>
    <definedName name="CECOrigGroupSalary" localSheetId="12">'EMUI|0348-00'!$G$73</definedName>
    <definedName name="CECOrigGroupSalary" localSheetId="13">'EMUI|0349-00'!$G$73</definedName>
    <definedName name="CECOrigGroupSalary">'B6'!$G$73</definedName>
    <definedName name="CECOrigGroupVB" localSheetId="0">'EMAA|0001-00'!$I$73</definedName>
    <definedName name="CECOrigGroupVB" localSheetId="1">'EMAA|0302-00'!$I$73</definedName>
    <definedName name="CECOrigGroupVB" localSheetId="2">'EMAA|0303-00'!$I$73</definedName>
    <definedName name="CECOrigGroupVB" localSheetId="4">'EMAA|0348-00'!$I$73</definedName>
    <definedName name="CECOrigGroupVB" localSheetId="3">'EMAA|0349-00'!$I$73</definedName>
    <definedName name="CECOrigGroupVB" localSheetId="5">'EMLO|0001-00'!$I$73</definedName>
    <definedName name="CECOrigGroupVB" localSheetId="6">'EMLO|0302-00'!$I$73</definedName>
    <definedName name="CECOrigGroupVB" localSheetId="7">'EMLO|0303-00'!$I$73</definedName>
    <definedName name="CECOrigGroupVB" localSheetId="8">'EMLO|0348-00'!$I$73</definedName>
    <definedName name="CECOrigGroupVB" localSheetId="9">'EMLO|0349-00'!$I$73</definedName>
    <definedName name="CECOrigGroupVB" localSheetId="10">'EMUI|0001-00'!$I$73</definedName>
    <definedName name="CECOrigGroupVB" localSheetId="11">'EMUI|0302-00'!$I$73</definedName>
    <definedName name="CECOrigGroupVB" localSheetId="12">'EMUI|0348-00'!$I$73</definedName>
    <definedName name="CECOrigGroupVB" localSheetId="13">'EMUI|0349-00'!$I$73</definedName>
    <definedName name="CECOrigGroupVB">'B6'!$I$73</definedName>
    <definedName name="CECOrigPermSalary" localSheetId="0">'EMAA|0001-00'!$G$72</definedName>
    <definedName name="CECOrigPermSalary" localSheetId="1">'EMAA|0302-00'!$G$72</definedName>
    <definedName name="CECOrigPermSalary" localSheetId="2">'EMAA|0303-00'!$G$72</definedName>
    <definedName name="CECOrigPermSalary" localSheetId="4">'EMAA|0348-00'!$G$72</definedName>
    <definedName name="CECOrigPermSalary" localSheetId="3">'EMAA|0349-00'!$G$72</definedName>
    <definedName name="CECOrigPermSalary" localSheetId="5">'EMLO|0001-00'!$G$72</definedName>
    <definedName name="CECOrigPermSalary" localSheetId="6">'EMLO|0302-00'!$G$72</definedName>
    <definedName name="CECOrigPermSalary" localSheetId="7">'EMLO|0303-00'!$G$72</definedName>
    <definedName name="CECOrigPermSalary" localSheetId="8">'EMLO|0348-00'!$G$72</definedName>
    <definedName name="CECOrigPermSalary" localSheetId="9">'EMLO|0349-00'!$G$72</definedName>
    <definedName name="CECOrigPermSalary" localSheetId="10">'EMUI|0001-00'!$G$72</definedName>
    <definedName name="CECOrigPermSalary" localSheetId="11">'EMUI|0302-00'!$G$72</definedName>
    <definedName name="CECOrigPermSalary" localSheetId="12">'EMUI|0348-00'!$G$72</definedName>
    <definedName name="CECOrigPermSalary" localSheetId="13">'EMUI|0349-00'!$G$72</definedName>
    <definedName name="CECOrigPermSalary">'B6'!$G$72</definedName>
    <definedName name="CECOrigPermVB" localSheetId="0">'EMAA|0001-00'!$I$72</definedName>
    <definedName name="CECOrigPermVB" localSheetId="1">'EMAA|0302-00'!$I$72</definedName>
    <definedName name="CECOrigPermVB" localSheetId="2">'EMAA|0303-00'!$I$72</definedName>
    <definedName name="CECOrigPermVB" localSheetId="4">'EMAA|0348-00'!$I$72</definedName>
    <definedName name="CECOrigPermVB" localSheetId="3">'EMAA|0349-00'!$I$72</definedName>
    <definedName name="CECOrigPermVB" localSheetId="5">'EMLO|0001-00'!$I$72</definedName>
    <definedName name="CECOrigPermVB" localSheetId="6">'EMLO|0302-00'!$I$72</definedName>
    <definedName name="CECOrigPermVB" localSheetId="7">'EMLO|0303-00'!$I$72</definedName>
    <definedName name="CECOrigPermVB" localSheetId="8">'EMLO|0348-00'!$I$72</definedName>
    <definedName name="CECOrigPermVB" localSheetId="9">'EMLO|0349-00'!$I$72</definedName>
    <definedName name="CECOrigPermVB" localSheetId="10">'EMUI|0001-00'!$I$72</definedName>
    <definedName name="CECOrigPermVB" localSheetId="11">'EMUI|0302-00'!$I$72</definedName>
    <definedName name="CECOrigPermVB" localSheetId="12">'EMUI|0348-00'!$I$72</definedName>
    <definedName name="CECOrigPermVB" localSheetId="13">'EMUI|0349-00'!$I$72</definedName>
    <definedName name="CECOrigPermVB">'B6'!$I$72</definedName>
    <definedName name="CECPerm">Benefits!$C$38</definedName>
    <definedName name="CECpermCalc" localSheetId="0">'EMAA|0001-00'!$E$72</definedName>
    <definedName name="CECpermCalc" localSheetId="1">'EMAA|0302-00'!$E$72</definedName>
    <definedName name="CECpermCalc" localSheetId="2">'EMAA|0303-00'!$E$72</definedName>
    <definedName name="CECpermCalc" localSheetId="4">'EMAA|0348-00'!$E$72</definedName>
    <definedName name="CECpermCalc" localSheetId="3">'EMAA|0349-00'!$E$72</definedName>
    <definedName name="CECpermCalc" localSheetId="5">'EMLO|0001-00'!$E$72</definedName>
    <definedName name="CECpermCalc" localSheetId="6">'EMLO|0302-00'!$E$72</definedName>
    <definedName name="CECpermCalc" localSheetId="7">'EMLO|0303-00'!$E$72</definedName>
    <definedName name="CECpermCalc" localSheetId="8">'EMLO|0348-00'!$E$72</definedName>
    <definedName name="CECpermCalc" localSheetId="9">'EMLO|0349-00'!$E$72</definedName>
    <definedName name="CECpermCalc" localSheetId="10">'EMUI|0001-00'!$E$72</definedName>
    <definedName name="CECpermCalc" localSheetId="11">'EMUI|0302-00'!$E$72</definedName>
    <definedName name="CECpermCalc" localSheetId="12">'EMUI|0348-00'!$E$72</definedName>
    <definedName name="CECpermCalc" localSheetId="13">'EMUI|0349-00'!$E$72</definedName>
    <definedName name="CECpermCalc">'B6'!$E$72</definedName>
    <definedName name="Department" localSheetId="0">'EMAA|0001-00'!$D$1</definedName>
    <definedName name="Department" localSheetId="1">'EMAA|0302-00'!$D$1</definedName>
    <definedName name="Department" localSheetId="2">'EMAA|0303-00'!$D$1</definedName>
    <definedName name="Department" localSheetId="4">'EMAA|0348-00'!$D$1</definedName>
    <definedName name="Department" localSheetId="3">'EMAA|0349-00'!$D$1</definedName>
    <definedName name="Department" localSheetId="5">'EMLO|0001-00'!$D$1</definedName>
    <definedName name="Department" localSheetId="6">'EMLO|0302-00'!$D$1</definedName>
    <definedName name="Department" localSheetId="7">'EMLO|0303-00'!$D$1</definedName>
    <definedName name="Department" localSheetId="8">'EMLO|0348-00'!$D$1</definedName>
    <definedName name="Department" localSheetId="9">'EMLO|0349-00'!$D$1</definedName>
    <definedName name="Department" localSheetId="10">'EMUI|0001-00'!$D$1</definedName>
    <definedName name="Department" localSheetId="11">'EMUI|0302-00'!$D$1</definedName>
    <definedName name="Department" localSheetId="12">'EMUI|0348-00'!$D$1</definedName>
    <definedName name="Department" localSheetId="13">'EMUI|0349-00'!$D$1</definedName>
    <definedName name="Department">'B6'!$D$1</definedName>
    <definedName name="DHR">Benefits!$C$11</definedName>
    <definedName name="DHRBY">Benefits!$D$11</definedName>
    <definedName name="DHRCHG">Benefits!$E$11</definedName>
    <definedName name="Division" localSheetId="0">'EMAA|0001-00'!$D$2</definedName>
    <definedName name="Division" localSheetId="1">'EMAA|0302-00'!$D$2</definedName>
    <definedName name="Division" localSheetId="2">'EMAA|0303-00'!$D$2</definedName>
    <definedName name="Division" localSheetId="4">'EMAA|0348-00'!$D$2</definedName>
    <definedName name="Division" localSheetId="3">'EMAA|0349-00'!$D$2</definedName>
    <definedName name="Division" localSheetId="5">'EMLO|0001-00'!$D$2</definedName>
    <definedName name="Division" localSheetId="6">'EMLO|0302-00'!$D$2</definedName>
    <definedName name="Division" localSheetId="7">'EMLO|0303-00'!$D$2</definedName>
    <definedName name="Division" localSheetId="8">'EMLO|0348-00'!$D$2</definedName>
    <definedName name="Division" localSheetId="9">'EMLO|0349-00'!$D$2</definedName>
    <definedName name="Division" localSheetId="10">'EMUI|0001-00'!$D$2</definedName>
    <definedName name="Division" localSheetId="11">'EMUI|0302-00'!$D$2</definedName>
    <definedName name="Division" localSheetId="12">'EMUI|0348-00'!$D$2</definedName>
    <definedName name="Division" localSheetId="13">'EMUI|0349-00'!$D$2</definedName>
    <definedName name="Division">'B6'!$D$2</definedName>
    <definedName name="DUCECElect" localSheetId="0">'EMAA|0001-00'!$J$74</definedName>
    <definedName name="DUCECElect" localSheetId="1">'EMAA|0302-00'!$J$74</definedName>
    <definedName name="DUCECElect" localSheetId="2">'EMAA|0303-00'!$J$74</definedName>
    <definedName name="DUCECElect" localSheetId="4">'EMAA|0348-00'!$J$74</definedName>
    <definedName name="DUCECElect" localSheetId="3">'EMAA|0349-00'!$J$74</definedName>
    <definedName name="DUCECElect" localSheetId="5">'EMLO|0001-00'!$J$74</definedName>
    <definedName name="DUCECElect" localSheetId="6">'EMLO|0302-00'!$J$74</definedName>
    <definedName name="DUCECElect" localSheetId="7">'EMLO|0303-00'!$J$74</definedName>
    <definedName name="DUCECElect" localSheetId="8">'EMLO|0348-00'!$J$74</definedName>
    <definedName name="DUCECElect" localSheetId="9">'EMLO|0349-00'!$J$74</definedName>
    <definedName name="DUCECElect" localSheetId="10">'EMUI|0001-00'!$J$74</definedName>
    <definedName name="DUCECElect" localSheetId="11">'EMUI|0302-00'!$J$74</definedName>
    <definedName name="DUCECElect" localSheetId="12">'EMUI|0348-00'!$J$74</definedName>
    <definedName name="DUCECElect" localSheetId="13">'EMUI|0349-00'!$J$74</definedName>
    <definedName name="DUCECElect">'B6'!$J$74</definedName>
    <definedName name="DUCECGroup" localSheetId="0">'EMAA|0001-00'!$J$73</definedName>
    <definedName name="DUCECGroup" localSheetId="1">'EMAA|0302-00'!$J$73</definedName>
    <definedName name="DUCECGroup" localSheetId="2">'EMAA|0303-00'!$J$73</definedName>
    <definedName name="DUCECGroup" localSheetId="4">'EMAA|0348-00'!$J$73</definedName>
    <definedName name="DUCECGroup" localSheetId="3">'EMAA|0349-00'!$J$73</definedName>
    <definedName name="DUCECGroup" localSheetId="5">'EMLO|0001-00'!$J$73</definedName>
    <definedName name="DUCECGroup" localSheetId="6">'EMLO|0302-00'!$J$73</definedName>
    <definedName name="DUCECGroup" localSheetId="7">'EMLO|0303-00'!$J$73</definedName>
    <definedName name="DUCECGroup" localSheetId="8">'EMLO|0348-00'!$J$73</definedName>
    <definedName name="DUCECGroup" localSheetId="9">'EMLO|0349-00'!$J$73</definedName>
    <definedName name="DUCECGroup" localSheetId="10">'EMUI|0001-00'!$J$73</definedName>
    <definedName name="DUCECGroup" localSheetId="11">'EMUI|0302-00'!$J$73</definedName>
    <definedName name="DUCECGroup" localSheetId="12">'EMUI|0348-00'!$J$73</definedName>
    <definedName name="DUCECGroup" localSheetId="13">'EMUI|0349-00'!$J$73</definedName>
    <definedName name="DUCECGroup">'B6'!$J$73</definedName>
    <definedName name="DUCECPerm" localSheetId="0">'EMAA|0001-00'!$J$72</definedName>
    <definedName name="DUCECPerm" localSheetId="1">'EMAA|0302-00'!$J$72</definedName>
    <definedName name="DUCECPerm" localSheetId="2">'EMAA|0303-00'!$J$72</definedName>
    <definedName name="DUCECPerm" localSheetId="4">'EMAA|0348-00'!$J$72</definedName>
    <definedName name="DUCECPerm" localSheetId="3">'EMAA|0349-00'!$J$72</definedName>
    <definedName name="DUCECPerm" localSheetId="5">'EMLO|0001-00'!$J$72</definedName>
    <definedName name="DUCECPerm" localSheetId="6">'EMLO|0302-00'!$J$72</definedName>
    <definedName name="DUCECPerm" localSheetId="7">'EMLO|0303-00'!$J$72</definedName>
    <definedName name="DUCECPerm" localSheetId="8">'EMLO|0348-00'!$J$72</definedName>
    <definedName name="DUCECPerm" localSheetId="9">'EMLO|0349-00'!$J$72</definedName>
    <definedName name="DUCECPerm" localSheetId="10">'EMUI|0001-00'!$J$72</definedName>
    <definedName name="DUCECPerm" localSheetId="11">'EMUI|0302-00'!$J$72</definedName>
    <definedName name="DUCECPerm" localSheetId="12">'EMUI|0348-00'!$J$72</definedName>
    <definedName name="DUCECPerm" localSheetId="13">'EMUI|0349-00'!$J$72</definedName>
    <definedName name="DUCECPerm">'B6'!$J$72</definedName>
    <definedName name="DUEleven" localSheetId="0">'EMAA|0001-00'!$J$75</definedName>
    <definedName name="DUEleven" localSheetId="1">'EMAA|0302-00'!$J$75</definedName>
    <definedName name="DUEleven" localSheetId="2">'EMAA|0303-00'!$J$75</definedName>
    <definedName name="DUEleven" localSheetId="4">'EMAA|0348-00'!$J$75</definedName>
    <definedName name="DUEleven" localSheetId="3">'EMAA|0349-00'!$J$75</definedName>
    <definedName name="DUEleven" localSheetId="5">'EMLO|0001-00'!$J$75</definedName>
    <definedName name="DUEleven" localSheetId="6">'EMLO|0302-00'!$J$75</definedName>
    <definedName name="DUEleven" localSheetId="7">'EMLO|0303-00'!$J$75</definedName>
    <definedName name="DUEleven" localSheetId="8">'EMLO|0348-00'!$J$75</definedName>
    <definedName name="DUEleven" localSheetId="9">'EMLO|0349-00'!$J$75</definedName>
    <definedName name="DUEleven" localSheetId="10">'EMUI|0001-00'!$J$75</definedName>
    <definedName name="DUEleven" localSheetId="11">'EMUI|0302-00'!$J$75</definedName>
    <definedName name="DUEleven" localSheetId="12">'EMUI|0348-00'!$J$75</definedName>
    <definedName name="DUEleven" localSheetId="13">'EMUI|0349-00'!$J$75</definedName>
    <definedName name="DUEleven">'B6'!$J$75</definedName>
    <definedName name="DUHealthBen" localSheetId="0">'EMAA|0001-00'!$J$68</definedName>
    <definedName name="DUHealthBen" localSheetId="1">'EMAA|0302-00'!$J$68</definedName>
    <definedName name="DUHealthBen" localSheetId="2">'EMAA|0303-00'!$J$68</definedName>
    <definedName name="DUHealthBen" localSheetId="4">'EMAA|0348-00'!$J$68</definedName>
    <definedName name="DUHealthBen" localSheetId="3">'EMAA|0349-00'!$J$68</definedName>
    <definedName name="DUHealthBen" localSheetId="5">'EMLO|0001-00'!$J$68</definedName>
    <definedName name="DUHealthBen" localSheetId="6">'EMLO|0302-00'!$J$68</definedName>
    <definedName name="DUHealthBen" localSheetId="7">'EMLO|0303-00'!$J$68</definedName>
    <definedName name="DUHealthBen" localSheetId="8">'EMLO|0348-00'!$J$68</definedName>
    <definedName name="DUHealthBen" localSheetId="9">'EMLO|0349-00'!$J$68</definedName>
    <definedName name="DUHealthBen" localSheetId="10">'EMUI|0001-00'!$J$68</definedName>
    <definedName name="DUHealthBen" localSheetId="11">'EMUI|0302-00'!$J$68</definedName>
    <definedName name="DUHealthBen" localSheetId="12">'EMUI|0348-00'!$J$68</definedName>
    <definedName name="DUHealthBen" localSheetId="13">'EMUI|0349-00'!$J$68</definedName>
    <definedName name="DUHealthBen">'B6'!$J$68</definedName>
    <definedName name="DUNine" localSheetId="0">'EMAA|0001-00'!$J$67</definedName>
    <definedName name="DUNine" localSheetId="1">'EMAA|0302-00'!$J$67</definedName>
    <definedName name="DUNine" localSheetId="2">'EMAA|0303-00'!$J$67</definedName>
    <definedName name="DUNine" localSheetId="4">'EMAA|0348-00'!$J$67</definedName>
    <definedName name="DUNine" localSheetId="3">'EMAA|0349-00'!$J$67</definedName>
    <definedName name="DUNine" localSheetId="5">'EMLO|0001-00'!$J$67</definedName>
    <definedName name="DUNine" localSheetId="6">'EMLO|0302-00'!$J$67</definedName>
    <definedName name="DUNine" localSheetId="7">'EMLO|0303-00'!$J$67</definedName>
    <definedName name="DUNine" localSheetId="8">'EMLO|0348-00'!$J$67</definedName>
    <definedName name="DUNine" localSheetId="9">'EMLO|0349-00'!$J$67</definedName>
    <definedName name="DUNine" localSheetId="10">'EMUI|0001-00'!$J$67</definedName>
    <definedName name="DUNine" localSheetId="11">'EMUI|0302-00'!$J$67</definedName>
    <definedName name="DUNine" localSheetId="12">'EMUI|0348-00'!$J$67</definedName>
    <definedName name="DUNine" localSheetId="13">'EMUI|0349-00'!$J$67</definedName>
    <definedName name="DUNine">'B6'!$J$67</definedName>
    <definedName name="DUThirteen" localSheetId="0">'EMAA|0001-00'!$J$80</definedName>
    <definedName name="DUThirteen" localSheetId="1">'EMAA|0302-00'!$J$80</definedName>
    <definedName name="DUThirteen" localSheetId="2">'EMAA|0303-00'!$J$80</definedName>
    <definedName name="DUThirteen" localSheetId="4">'EMAA|0348-00'!$J$80</definedName>
    <definedName name="DUThirteen" localSheetId="3">'EMAA|0349-00'!$J$80</definedName>
    <definedName name="DUThirteen" localSheetId="5">'EMLO|0001-00'!$J$80</definedName>
    <definedName name="DUThirteen" localSheetId="6">'EMLO|0302-00'!$J$80</definedName>
    <definedName name="DUThirteen" localSheetId="7">'EMLO|0303-00'!$J$80</definedName>
    <definedName name="DUThirteen" localSheetId="8">'EMLO|0348-00'!$J$80</definedName>
    <definedName name="DUThirteen" localSheetId="9">'EMLO|0349-00'!$J$80</definedName>
    <definedName name="DUThirteen" localSheetId="10">'EMUI|0001-00'!$J$80</definedName>
    <definedName name="DUThirteen" localSheetId="11">'EMUI|0302-00'!$J$80</definedName>
    <definedName name="DUThirteen" localSheetId="12">'EMUI|0348-00'!$J$80</definedName>
    <definedName name="DUThirteen" localSheetId="13">'EMUI|0349-00'!$J$80</definedName>
    <definedName name="DUThirteen">'B6'!$J$80</definedName>
    <definedName name="DUVariableBen" localSheetId="0">'EMAA|0001-00'!$J$69</definedName>
    <definedName name="DUVariableBen" localSheetId="1">'EMAA|0302-00'!$J$69</definedName>
    <definedName name="DUVariableBen" localSheetId="2">'EMAA|0303-00'!$J$69</definedName>
    <definedName name="DUVariableBen" localSheetId="4">'EMAA|0348-00'!$J$69</definedName>
    <definedName name="DUVariableBen" localSheetId="3">'EMAA|0349-00'!$J$69</definedName>
    <definedName name="DUVariableBen" localSheetId="5">'EMLO|0001-00'!$J$69</definedName>
    <definedName name="DUVariableBen" localSheetId="6">'EMLO|0302-00'!$J$69</definedName>
    <definedName name="DUVariableBen" localSheetId="7">'EMLO|0303-00'!$J$69</definedName>
    <definedName name="DUVariableBen" localSheetId="8">'EMLO|0348-00'!$J$69</definedName>
    <definedName name="DUVariableBen" localSheetId="9">'EMLO|0349-00'!$J$69</definedName>
    <definedName name="DUVariableBen" localSheetId="10">'EMUI|0001-00'!$J$69</definedName>
    <definedName name="DUVariableBen" localSheetId="11">'EMUI|0302-00'!$J$69</definedName>
    <definedName name="DUVariableBen" localSheetId="12">'EMUI|0348-00'!$J$69</definedName>
    <definedName name="DUVariableBen" localSheetId="13">'EMUI|0349-00'!$J$69</definedName>
    <definedName name="DUVariableBen">'B6'!$J$69</definedName>
    <definedName name="Elect_chg_health" localSheetId="0">'EMAA|0001-00'!$L$12</definedName>
    <definedName name="Elect_chg_health" localSheetId="1">'EMAA|0302-00'!$L$12</definedName>
    <definedName name="Elect_chg_health" localSheetId="2">'EMAA|0303-00'!$L$12</definedName>
    <definedName name="Elect_chg_health" localSheetId="4">'EMAA|0348-00'!$L$12</definedName>
    <definedName name="Elect_chg_health" localSheetId="3">'EMAA|0349-00'!$L$12</definedName>
    <definedName name="Elect_chg_health" localSheetId="5">'EMLO|0001-00'!$L$12</definedName>
    <definedName name="Elect_chg_health" localSheetId="6">'EMLO|0302-00'!$L$12</definedName>
    <definedName name="Elect_chg_health" localSheetId="7">'EMLO|0303-00'!$L$12</definedName>
    <definedName name="Elect_chg_health" localSheetId="8">'EMLO|0348-00'!$L$12</definedName>
    <definedName name="Elect_chg_health" localSheetId="9">'EMLO|0349-00'!$L$12</definedName>
    <definedName name="Elect_chg_health" localSheetId="10">'EMUI|0001-00'!$L$12</definedName>
    <definedName name="Elect_chg_health" localSheetId="11">'EMUI|0302-00'!$L$12</definedName>
    <definedName name="Elect_chg_health" localSheetId="12">'EMUI|0348-00'!$L$12</definedName>
    <definedName name="Elect_chg_health" localSheetId="13">'EMUI|0349-00'!$L$12</definedName>
    <definedName name="Elect_chg_health">'B6'!$L$12</definedName>
    <definedName name="Elect_chg_Var" localSheetId="0">'EMAA|0001-00'!$M$12</definedName>
    <definedName name="Elect_chg_Var" localSheetId="1">'EMAA|0302-00'!$M$12</definedName>
    <definedName name="Elect_chg_Var" localSheetId="2">'EMAA|0303-00'!$M$12</definedName>
    <definedName name="Elect_chg_Var" localSheetId="4">'EMAA|0348-00'!$M$12</definedName>
    <definedName name="Elect_chg_Var" localSheetId="3">'EMAA|0349-00'!$M$12</definedName>
    <definedName name="Elect_chg_Var" localSheetId="5">'EMLO|0001-00'!$M$12</definedName>
    <definedName name="Elect_chg_Var" localSheetId="6">'EMLO|0302-00'!$M$12</definedName>
    <definedName name="Elect_chg_Var" localSheetId="7">'EMLO|0303-00'!$M$12</definedName>
    <definedName name="Elect_chg_Var" localSheetId="8">'EMLO|0348-00'!$M$12</definedName>
    <definedName name="Elect_chg_Var" localSheetId="9">'EMLO|0349-00'!$M$12</definedName>
    <definedName name="Elect_chg_Var" localSheetId="10">'EMUI|0001-00'!$M$12</definedName>
    <definedName name="Elect_chg_Var" localSheetId="11">'EMUI|0302-00'!$M$12</definedName>
    <definedName name="Elect_chg_Var" localSheetId="12">'EMUI|0348-00'!$M$12</definedName>
    <definedName name="Elect_chg_Var" localSheetId="13">'EMUI|0349-00'!$M$12</definedName>
    <definedName name="Elect_chg_Var">'B6'!$M$12</definedName>
    <definedName name="elect_FTP" localSheetId="0">'EMAA|0001-00'!$F$12</definedName>
    <definedName name="elect_FTP" localSheetId="1">'EMAA|0302-00'!$F$12</definedName>
    <definedName name="elect_FTP" localSheetId="2">'EMAA|0303-00'!$F$12</definedName>
    <definedName name="elect_FTP" localSheetId="4">'EMAA|0348-00'!$F$12</definedName>
    <definedName name="elect_FTP" localSheetId="3">'EMAA|0349-00'!$F$12</definedName>
    <definedName name="elect_FTP" localSheetId="5">'EMLO|0001-00'!$F$12</definedName>
    <definedName name="elect_FTP" localSheetId="6">'EMLO|0302-00'!$F$12</definedName>
    <definedName name="elect_FTP" localSheetId="7">'EMLO|0303-00'!$F$12</definedName>
    <definedName name="elect_FTP" localSheetId="8">'EMLO|0348-00'!$F$12</definedName>
    <definedName name="elect_FTP" localSheetId="9">'EMLO|0349-00'!$F$12</definedName>
    <definedName name="elect_FTP" localSheetId="10">'EMUI|0001-00'!$F$12</definedName>
    <definedName name="elect_FTP" localSheetId="11">'EMUI|0302-00'!$F$12</definedName>
    <definedName name="elect_FTP" localSheetId="12">'EMUI|0348-00'!$F$12</definedName>
    <definedName name="elect_FTP" localSheetId="13">'EMUI|0349-00'!$F$12</definedName>
    <definedName name="elect_FTP">'B6'!$F$12</definedName>
    <definedName name="Elect_health" localSheetId="0">'EMAA|0001-00'!$H$12</definedName>
    <definedName name="Elect_health" localSheetId="1">'EMAA|0302-00'!$H$12</definedName>
    <definedName name="Elect_health" localSheetId="2">'EMAA|0303-00'!$H$12</definedName>
    <definedName name="Elect_health" localSheetId="4">'EMAA|0348-00'!$H$12</definedName>
    <definedName name="Elect_health" localSheetId="3">'EMAA|0349-00'!$H$12</definedName>
    <definedName name="Elect_health" localSheetId="5">'EMLO|0001-00'!$H$12</definedName>
    <definedName name="Elect_health" localSheetId="6">'EMLO|0302-00'!$H$12</definedName>
    <definedName name="Elect_health" localSheetId="7">'EMLO|0303-00'!$H$12</definedName>
    <definedName name="Elect_health" localSheetId="8">'EMLO|0348-00'!$H$12</definedName>
    <definedName name="Elect_health" localSheetId="9">'EMLO|0349-00'!$H$12</definedName>
    <definedName name="Elect_health" localSheetId="10">'EMUI|0001-00'!$H$12</definedName>
    <definedName name="Elect_health" localSheetId="11">'EMUI|0302-00'!$H$12</definedName>
    <definedName name="Elect_health" localSheetId="12">'EMUI|0348-00'!$H$12</definedName>
    <definedName name="Elect_health" localSheetId="13">'EMUI|0349-00'!$H$12</definedName>
    <definedName name="Elect_health">'B6'!$H$12</definedName>
    <definedName name="Elect_name" localSheetId="0">'EMAA|0001-00'!$C$12</definedName>
    <definedName name="Elect_name" localSheetId="1">'EMAA|0302-00'!$C$12</definedName>
    <definedName name="Elect_name" localSheetId="2">'EMAA|0303-00'!$C$12</definedName>
    <definedName name="Elect_name" localSheetId="4">'EMAA|0348-00'!$C$12</definedName>
    <definedName name="Elect_name" localSheetId="3">'EMAA|0349-00'!$C$12</definedName>
    <definedName name="Elect_name" localSheetId="5">'EMLO|0001-00'!$C$12</definedName>
    <definedName name="Elect_name" localSheetId="6">'EMLO|0302-00'!$C$12</definedName>
    <definedName name="Elect_name" localSheetId="7">'EMLO|0303-00'!$C$12</definedName>
    <definedName name="Elect_name" localSheetId="8">'EMLO|0348-00'!$C$12</definedName>
    <definedName name="Elect_name" localSheetId="9">'EMLO|0349-00'!$C$12</definedName>
    <definedName name="Elect_name" localSheetId="10">'EMUI|0001-00'!$C$12</definedName>
    <definedName name="Elect_name" localSheetId="11">'EMUI|0302-00'!$C$12</definedName>
    <definedName name="Elect_name" localSheetId="12">'EMUI|0348-00'!$C$12</definedName>
    <definedName name="Elect_name" localSheetId="13">'EMUI|0349-00'!$C$12</definedName>
    <definedName name="Elect_name">'B6'!$C$12</definedName>
    <definedName name="Elect_salary" localSheetId="0">'EMAA|0001-00'!$G$12</definedName>
    <definedName name="Elect_salary" localSheetId="1">'EMAA|0302-00'!$G$12</definedName>
    <definedName name="Elect_salary" localSheetId="2">'EMAA|0303-00'!$G$12</definedName>
    <definedName name="Elect_salary" localSheetId="4">'EMAA|0348-00'!$G$12</definedName>
    <definedName name="Elect_salary" localSheetId="3">'EMAA|0349-00'!$G$12</definedName>
    <definedName name="Elect_salary" localSheetId="5">'EMLO|0001-00'!$G$12</definedName>
    <definedName name="Elect_salary" localSheetId="6">'EMLO|0302-00'!$G$12</definedName>
    <definedName name="Elect_salary" localSheetId="7">'EMLO|0303-00'!$G$12</definedName>
    <definedName name="Elect_salary" localSheetId="8">'EMLO|0348-00'!$G$12</definedName>
    <definedName name="Elect_salary" localSheetId="9">'EMLO|0349-00'!$G$12</definedName>
    <definedName name="Elect_salary" localSheetId="10">'EMUI|0001-00'!$G$12</definedName>
    <definedName name="Elect_salary" localSheetId="11">'EMUI|0302-00'!$G$12</definedName>
    <definedName name="Elect_salary" localSheetId="12">'EMUI|0348-00'!$G$12</definedName>
    <definedName name="Elect_salary" localSheetId="13">'EMUI|0349-00'!$G$12</definedName>
    <definedName name="Elect_salary">'B6'!$G$12</definedName>
    <definedName name="Elect_Var" localSheetId="0">'EMAA|0001-00'!$I$12</definedName>
    <definedName name="Elect_Var" localSheetId="1">'EMAA|0302-00'!$I$12</definedName>
    <definedName name="Elect_Var" localSheetId="2">'EMAA|0303-00'!$I$12</definedName>
    <definedName name="Elect_Var" localSheetId="4">'EMAA|0348-00'!$I$12</definedName>
    <definedName name="Elect_Var" localSheetId="3">'EMAA|0349-00'!$I$12</definedName>
    <definedName name="Elect_Var" localSheetId="5">'EMLO|0001-00'!$I$12</definedName>
    <definedName name="Elect_Var" localSheetId="6">'EMLO|0302-00'!$I$12</definedName>
    <definedName name="Elect_Var" localSheetId="7">'EMLO|0303-00'!$I$12</definedName>
    <definedName name="Elect_Var" localSheetId="8">'EMLO|0348-00'!$I$12</definedName>
    <definedName name="Elect_Var" localSheetId="9">'EMLO|0349-00'!$I$12</definedName>
    <definedName name="Elect_Var" localSheetId="10">'EMUI|0001-00'!$I$12</definedName>
    <definedName name="Elect_Var" localSheetId="11">'EMUI|0302-00'!$I$12</definedName>
    <definedName name="Elect_Var" localSheetId="12">'EMUI|0348-00'!$I$12</definedName>
    <definedName name="Elect_Var" localSheetId="13">'EMUI|0349-00'!$I$12</definedName>
    <definedName name="Elect_Var">'B6'!$I$12</definedName>
    <definedName name="Elect_VarBen" localSheetId="0">'EMAA|0001-00'!$I$12</definedName>
    <definedName name="Elect_VarBen" localSheetId="1">'EMAA|0302-00'!$I$12</definedName>
    <definedName name="Elect_VarBen" localSheetId="2">'EMAA|0303-00'!$I$12</definedName>
    <definedName name="Elect_VarBen" localSheetId="4">'EMAA|0348-00'!$I$12</definedName>
    <definedName name="Elect_VarBen" localSheetId="3">'EMAA|0349-00'!$I$12</definedName>
    <definedName name="Elect_VarBen" localSheetId="5">'EMLO|0001-00'!$I$12</definedName>
    <definedName name="Elect_VarBen" localSheetId="6">'EMLO|0302-00'!$I$12</definedName>
    <definedName name="Elect_VarBen" localSheetId="7">'EMLO|0303-00'!$I$12</definedName>
    <definedName name="Elect_VarBen" localSheetId="8">'EMLO|0348-00'!$I$12</definedName>
    <definedName name="Elect_VarBen" localSheetId="9">'EMLO|0349-00'!$I$12</definedName>
    <definedName name="Elect_VarBen" localSheetId="10">'EMUI|0001-00'!$I$12</definedName>
    <definedName name="Elect_VarBen" localSheetId="11">'EMUI|0302-00'!$I$12</definedName>
    <definedName name="Elect_VarBen" localSheetId="12">'EMUI|0348-00'!$I$12</definedName>
    <definedName name="Elect_VarBen" localSheetId="13">'EMUI|0349-00'!$I$12</definedName>
    <definedName name="Elect_VarBen">'B6'!$I$12</definedName>
    <definedName name="ElectVB">Benefits!$C$14</definedName>
    <definedName name="ElectVBBY">Benefits!$D$14</definedName>
    <definedName name="ElectVBCHG">Benefits!$E$14</definedName>
    <definedName name="EMAA000100col_1_27TH_PP">Data!$BA$1338</definedName>
    <definedName name="EMAA000100col_DHR">Data!$BI$1338</definedName>
    <definedName name="EMAA000100col_DHR_BY">Data!$BU$1338</definedName>
    <definedName name="EMAA000100col_DHR_CHG">Data!$CG$1338</definedName>
    <definedName name="EMAA000100col_FTI_SALARY_ELECT">Data!$AZ$1338</definedName>
    <definedName name="EMAA000100col_FTI_SALARY_PERM">Data!$AY$1338</definedName>
    <definedName name="EMAA000100col_FTI_SALARY_SSDI">Data!$AX$1338</definedName>
    <definedName name="EMAA000100col_Group_Ben">Data!$CM$1338</definedName>
    <definedName name="EMAA000100col_Group_Salary">Data!$CL$1338</definedName>
    <definedName name="EMAA000100col_HEALTH_ELECT">Data!$BC$1338</definedName>
    <definedName name="EMAA000100col_HEALTH_ELECT_BY">Data!$BO$1338</definedName>
    <definedName name="EMAA000100col_HEALTH_ELECT_CHG">Data!$CA$1338</definedName>
    <definedName name="EMAA000100col_HEALTH_PERM">Data!$BB$1338</definedName>
    <definedName name="EMAA000100col_HEALTH_PERM_BY">Data!$BN$1338</definedName>
    <definedName name="EMAA000100col_HEALTH_PERM_CHG">Data!$BZ$1338</definedName>
    <definedName name="EMAA000100col_INC_FTI">Data!$AS$1338</definedName>
    <definedName name="EMAA000100col_LIFE_INS">Data!$BG$1338</definedName>
    <definedName name="EMAA000100col_LIFE_INS_BY">Data!$BS$1338</definedName>
    <definedName name="EMAA000100col_LIFE_INS_CHG">Data!$CE$1338</definedName>
    <definedName name="EMAA000100col_RETIREMENT">Data!$BF$1338</definedName>
    <definedName name="EMAA000100col_RETIREMENT_BY">Data!$BR$1338</definedName>
    <definedName name="EMAA000100col_RETIREMENT_CHG">Data!$CD$1338</definedName>
    <definedName name="EMAA000100col_ROWS_PER_PCN">Data!$AW$1338</definedName>
    <definedName name="EMAA000100col_SICK">Data!$BK$1338</definedName>
    <definedName name="EMAA000100col_SICK_BY">Data!$BW$1338</definedName>
    <definedName name="EMAA000100col_SICK_CHG">Data!$CI$1338</definedName>
    <definedName name="EMAA000100col_SSDI">Data!$BD$1338</definedName>
    <definedName name="EMAA000100col_SSDI_BY">Data!$BP$1338</definedName>
    <definedName name="EMAA000100col_SSDI_CHG">Data!$CB$1338</definedName>
    <definedName name="EMAA000100col_SSHI">Data!$BE$1338</definedName>
    <definedName name="EMAA000100col_SSHI_BY">Data!$BQ$1338</definedName>
    <definedName name="EMAA000100col_SSHI_CHGv">Data!$CC$1338</definedName>
    <definedName name="EMAA000100col_TOT_VB_ELECT">Data!$BM$1338</definedName>
    <definedName name="EMAA000100col_TOT_VB_ELECT_BY">Data!$BY$1338</definedName>
    <definedName name="EMAA000100col_TOT_VB_ELECT_CHG">Data!$CK$1338</definedName>
    <definedName name="EMAA000100col_TOT_VB_PERM">Data!$BL$1338</definedName>
    <definedName name="EMAA000100col_TOT_VB_PERM_BY">Data!$BX$1338</definedName>
    <definedName name="EMAA000100col_TOT_VB_PERM_CHG">Data!$CJ$1338</definedName>
    <definedName name="EMAA000100col_TOTAL_ELECT_PCN_FTI">Data!$AT$1338</definedName>
    <definedName name="EMAA000100col_TOTAL_ELECT_PCN_FTI_ALT">Data!$AV$1338</definedName>
    <definedName name="EMAA000100col_TOTAL_PERM_PCN_FTI">Data!$AU$1338</definedName>
    <definedName name="EMAA000100col_UNEMP_INS">Data!$BH$1338</definedName>
    <definedName name="EMAA000100col_UNEMP_INS_BY">Data!$BT$1338</definedName>
    <definedName name="EMAA000100col_UNEMP_INS_CHG">Data!$CF$1338</definedName>
    <definedName name="EMAA000100col_WORKERS_COMP">Data!$BJ$1338</definedName>
    <definedName name="EMAA000100col_WORKERS_COMP_BY">Data!$BV$1338</definedName>
    <definedName name="EMAA000100col_WORKERS_COMP_CHG">Data!$CH$1338</definedName>
    <definedName name="EMAA030200col_1_27TH_PP">Data!$BA$1340</definedName>
    <definedName name="EMAA030200col_DHR">Data!$BI$1340</definedName>
    <definedName name="EMAA030200col_DHR_BY">Data!$BU$1340</definedName>
    <definedName name="EMAA030200col_DHR_CHG">Data!$CG$1340</definedName>
    <definedName name="EMAA030200col_FTI_SALARY_ELECT">Data!$AZ$1340</definedName>
    <definedName name="EMAA030200col_FTI_SALARY_PERM">Data!$AY$1340</definedName>
    <definedName name="EMAA030200col_FTI_SALARY_SSDI">Data!$AX$1340</definedName>
    <definedName name="EMAA030200col_Group_Ben">Data!$CM$1340</definedName>
    <definedName name="EMAA030200col_Group_Salary">Data!$CL$1340</definedName>
    <definedName name="EMAA030200col_HEALTH_ELECT">Data!$BC$1340</definedName>
    <definedName name="EMAA030200col_HEALTH_ELECT_BY">Data!$BO$1340</definedName>
    <definedName name="EMAA030200col_HEALTH_ELECT_CHG">Data!$CA$1340</definedName>
    <definedName name="EMAA030200col_HEALTH_PERM">Data!$BB$1340</definedName>
    <definedName name="EMAA030200col_HEALTH_PERM_BY">Data!$BN$1340</definedName>
    <definedName name="EMAA030200col_HEALTH_PERM_CHG">Data!$BZ$1340</definedName>
    <definedName name="EMAA030200col_INC_FTI">Data!$AS$1340</definedName>
    <definedName name="EMAA030200col_LIFE_INS">Data!$BG$1340</definedName>
    <definedName name="EMAA030200col_LIFE_INS_BY">Data!$BS$1340</definedName>
    <definedName name="EMAA030200col_LIFE_INS_CHG">Data!$CE$1340</definedName>
    <definedName name="EMAA030200col_RETIREMENT">Data!$BF$1340</definedName>
    <definedName name="EMAA030200col_RETIREMENT_BY">Data!$BR$1340</definedName>
    <definedName name="EMAA030200col_RETIREMENT_CHG">Data!$CD$1340</definedName>
    <definedName name="EMAA030200col_ROWS_PER_PCN">Data!$AW$1340</definedName>
    <definedName name="EMAA030200col_SICK">Data!$BK$1340</definedName>
    <definedName name="EMAA030200col_SICK_BY">Data!$BW$1340</definedName>
    <definedName name="EMAA030200col_SICK_CHG">Data!$CI$1340</definedName>
    <definedName name="EMAA030200col_SSDI">Data!$BD$1340</definedName>
    <definedName name="EMAA030200col_SSDI_BY">Data!$BP$1340</definedName>
    <definedName name="EMAA030200col_SSDI_CHG">Data!$CB$1340</definedName>
    <definedName name="EMAA030200col_SSHI">Data!$BE$1340</definedName>
    <definedName name="EMAA030200col_SSHI_BY">Data!$BQ$1340</definedName>
    <definedName name="EMAA030200col_SSHI_CHGv">Data!$CC$1340</definedName>
    <definedName name="EMAA030200col_TOT_VB_ELECT">Data!$BM$1340</definedName>
    <definedName name="EMAA030200col_TOT_VB_ELECT_BY">Data!$BY$1340</definedName>
    <definedName name="EMAA030200col_TOT_VB_ELECT_CHG">Data!$CK$1340</definedName>
    <definedName name="EMAA030200col_TOT_VB_PERM">Data!$BL$1340</definedName>
    <definedName name="EMAA030200col_TOT_VB_PERM_BY">Data!$BX$1340</definedName>
    <definedName name="EMAA030200col_TOT_VB_PERM_CHG">Data!$CJ$1340</definedName>
    <definedName name="EMAA030200col_TOTAL_ELECT_PCN_FTI">Data!$AT$1340</definedName>
    <definedName name="EMAA030200col_TOTAL_ELECT_PCN_FTI_ALT">Data!$AV$1340</definedName>
    <definedName name="EMAA030200col_TOTAL_PERM_PCN_FTI">Data!$AU$1340</definedName>
    <definedName name="EMAA030200col_UNEMP_INS">Data!$BH$1340</definedName>
    <definedName name="EMAA030200col_UNEMP_INS_BY">Data!$BT$1340</definedName>
    <definedName name="EMAA030200col_UNEMP_INS_CHG">Data!$CF$1340</definedName>
    <definedName name="EMAA030200col_WORKERS_COMP">Data!$BJ$1340</definedName>
    <definedName name="EMAA030200col_WORKERS_COMP_BY">Data!$BV$1340</definedName>
    <definedName name="EMAA030200col_WORKERS_COMP_CHG">Data!$CH$1340</definedName>
    <definedName name="EMAA030300col_1_27TH_PP">Data!$BA$1342</definedName>
    <definedName name="EMAA030300col_DHR">Data!$BI$1342</definedName>
    <definedName name="EMAA030300col_DHR_BY">Data!$BU$1342</definedName>
    <definedName name="EMAA030300col_DHR_CHG">Data!$CG$1342</definedName>
    <definedName name="EMAA030300col_FTI_SALARY_ELECT">Data!$AZ$1342</definedName>
    <definedName name="EMAA030300col_FTI_SALARY_PERM">Data!$AY$1342</definedName>
    <definedName name="EMAA030300col_FTI_SALARY_SSDI">Data!$AX$1342</definedName>
    <definedName name="EMAA030300col_Group_Ben">Data!$CM$1342</definedName>
    <definedName name="EMAA030300col_Group_Salary">Data!$CL$1342</definedName>
    <definedName name="EMAA030300col_HEALTH_ELECT">Data!$BC$1342</definedName>
    <definedName name="EMAA030300col_HEALTH_ELECT_BY">Data!$BO$1342</definedName>
    <definedName name="EMAA030300col_HEALTH_ELECT_CHG">Data!$CA$1342</definedName>
    <definedName name="EMAA030300col_HEALTH_PERM">Data!$BB$1342</definedName>
    <definedName name="EMAA030300col_HEALTH_PERM_BY">Data!$BN$1342</definedName>
    <definedName name="EMAA030300col_HEALTH_PERM_CHG">Data!$BZ$1342</definedName>
    <definedName name="EMAA030300col_INC_FTI">Data!$AS$1342</definedName>
    <definedName name="EMAA030300col_LIFE_INS">Data!$BG$1342</definedName>
    <definedName name="EMAA030300col_LIFE_INS_BY">Data!$BS$1342</definedName>
    <definedName name="EMAA030300col_LIFE_INS_CHG">Data!$CE$1342</definedName>
    <definedName name="EMAA030300col_RETIREMENT">Data!$BF$1342</definedName>
    <definedName name="EMAA030300col_RETIREMENT_BY">Data!$BR$1342</definedName>
    <definedName name="EMAA030300col_RETIREMENT_CHG">Data!$CD$1342</definedName>
    <definedName name="EMAA030300col_ROWS_PER_PCN">Data!$AW$1342</definedName>
    <definedName name="EMAA030300col_SICK">Data!$BK$1342</definedName>
    <definedName name="EMAA030300col_SICK_BY">Data!$BW$1342</definedName>
    <definedName name="EMAA030300col_SICK_CHG">Data!$CI$1342</definedName>
    <definedName name="EMAA030300col_SSDI">Data!$BD$1342</definedName>
    <definedName name="EMAA030300col_SSDI_BY">Data!$BP$1342</definedName>
    <definedName name="EMAA030300col_SSDI_CHG">Data!$CB$1342</definedName>
    <definedName name="EMAA030300col_SSHI">Data!$BE$1342</definedName>
    <definedName name="EMAA030300col_SSHI_BY">Data!$BQ$1342</definedName>
    <definedName name="EMAA030300col_SSHI_CHGv">Data!$CC$1342</definedName>
    <definedName name="EMAA030300col_TOT_VB_ELECT">Data!$BM$1342</definedName>
    <definedName name="EMAA030300col_TOT_VB_ELECT_BY">Data!$BY$1342</definedName>
    <definedName name="EMAA030300col_TOT_VB_ELECT_CHG">Data!$CK$1342</definedName>
    <definedName name="EMAA030300col_TOT_VB_PERM">Data!$BL$1342</definedName>
    <definedName name="EMAA030300col_TOT_VB_PERM_BY">Data!$BX$1342</definedName>
    <definedName name="EMAA030300col_TOT_VB_PERM_CHG">Data!$CJ$1342</definedName>
    <definedName name="EMAA030300col_TOTAL_ELECT_PCN_FTI">Data!$AT$1342</definedName>
    <definedName name="EMAA030300col_TOTAL_ELECT_PCN_FTI_ALT">Data!$AV$1342</definedName>
    <definedName name="EMAA030300col_TOTAL_PERM_PCN_FTI">Data!$AU$1342</definedName>
    <definedName name="EMAA030300col_UNEMP_INS">Data!$BH$1342</definedName>
    <definedName name="EMAA030300col_UNEMP_INS_BY">Data!$BT$1342</definedName>
    <definedName name="EMAA030300col_UNEMP_INS_CHG">Data!$CF$1342</definedName>
    <definedName name="EMAA030300col_WORKERS_COMP">Data!$BJ$1342</definedName>
    <definedName name="EMAA030300col_WORKERS_COMP_BY">Data!$BV$1342</definedName>
    <definedName name="EMAA030300col_WORKERS_COMP_CHG">Data!$CH$1342</definedName>
    <definedName name="EMAA034800col_1_27TH_PP">Data!$BA$1345</definedName>
    <definedName name="EMAA034800col_DHR">Data!$BI$1345</definedName>
    <definedName name="EMAA034800col_DHR_BY">Data!$BU$1345</definedName>
    <definedName name="EMAA034800col_DHR_CHG">Data!$CG$1345</definedName>
    <definedName name="EMAA034800col_FTI_SALARY_ELECT">Data!$AZ$1345</definedName>
    <definedName name="EMAA034800col_FTI_SALARY_PERM">Data!$AY$1345</definedName>
    <definedName name="EMAA034800col_FTI_SALARY_SSDI">Data!$AX$1345</definedName>
    <definedName name="EMAA034800col_Group_Ben">Data!$CM$1345</definedName>
    <definedName name="EMAA034800col_Group_Salary">Data!$CL$1345</definedName>
    <definedName name="EMAA034800col_HEALTH_ELECT">Data!$BC$1345</definedName>
    <definedName name="EMAA034800col_HEALTH_ELECT_BY">Data!$BO$1345</definedName>
    <definedName name="EMAA034800col_HEALTH_ELECT_CHG">Data!$CA$1345</definedName>
    <definedName name="EMAA034800col_HEALTH_PERM">Data!$BB$1345</definedName>
    <definedName name="EMAA034800col_HEALTH_PERM_BY">Data!$BN$1345</definedName>
    <definedName name="EMAA034800col_HEALTH_PERM_CHG">Data!$BZ$1345</definedName>
    <definedName name="EMAA034800col_INC_FTI">Data!$AS$1345</definedName>
    <definedName name="EMAA034800col_LIFE_INS">Data!$BG$1345</definedName>
    <definedName name="EMAA034800col_LIFE_INS_BY">Data!$BS$1345</definedName>
    <definedName name="EMAA034800col_LIFE_INS_CHG">Data!$CE$1345</definedName>
    <definedName name="EMAA034800col_RETIREMENT">Data!$BF$1345</definedName>
    <definedName name="EMAA034800col_RETIREMENT_BY">Data!$BR$1345</definedName>
    <definedName name="EMAA034800col_RETIREMENT_CHG">Data!$CD$1345</definedName>
    <definedName name="EMAA034800col_ROWS_PER_PCN">Data!$AW$1345</definedName>
    <definedName name="EMAA034800col_SICK">Data!$BK$1345</definedName>
    <definedName name="EMAA034800col_SICK_BY">Data!$BW$1345</definedName>
    <definedName name="EMAA034800col_SICK_CHG">Data!$CI$1345</definedName>
    <definedName name="EMAA034800col_SSDI">Data!$BD$1345</definedName>
    <definedName name="EMAA034800col_SSDI_BY">Data!$BP$1345</definedName>
    <definedName name="EMAA034800col_SSDI_CHG">Data!$CB$1345</definedName>
    <definedName name="EMAA034800col_SSHI">Data!$BE$1345</definedName>
    <definedName name="EMAA034800col_SSHI_BY">Data!$BQ$1345</definedName>
    <definedName name="EMAA034800col_SSHI_CHGv">Data!$CC$1345</definedName>
    <definedName name="EMAA034800col_TOT_VB_ELECT">Data!$BM$1345</definedName>
    <definedName name="EMAA034800col_TOT_VB_ELECT_BY">Data!$BY$1345</definedName>
    <definedName name="EMAA034800col_TOT_VB_ELECT_CHG">Data!$CK$1345</definedName>
    <definedName name="EMAA034800col_TOT_VB_PERM">Data!$BL$1345</definedName>
    <definedName name="EMAA034800col_TOT_VB_PERM_BY">Data!$BX$1345</definedName>
    <definedName name="EMAA034800col_TOT_VB_PERM_CHG">Data!$CJ$1345</definedName>
    <definedName name="EMAA034800col_TOTAL_ELECT_PCN_FTI">Data!$AT$1345</definedName>
    <definedName name="EMAA034800col_TOTAL_ELECT_PCN_FTI_ALT">Data!$AV$1345</definedName>
    <definedName name="EMAA034800col_TOTAL_PERM_PCN_FTI">Data!$AU$1345</definedName>
    <definedName name="EMAA034800col_UNEMP_INS">Data!$BH$1345</definedName>
    <definedName name="EMAA034800col_UNEMP_INS_BY">Data!$BT$1345</definedName>
    <definedName name="EMAA034800col_UNEMP_INS_CHG">Data!$CF$1345</definedName>
    <definedName name="EMAA034800col_WORKERS_COMP">Data!$BJ$1345</definedName>
    <definedName name="EMAA034800col_WORKERS_COMP_BY">Data!$BV$1345</definedName>
    <definedName name="EMAA034800col_WORKERS_COMP_CHG">Data!$CH$1345</definedName>
    <definedName name="EMAA034900col_1_27TH_PP">Data!$BA$1348</definedName>
    <definedName name="EMAA034900col_DHR">Data!$BI$1348</definedName>
    <definedName name="EMAA034900col_DHR_BY">Data!$BU$1348</definedName>
    <definedName name="EMAA034900col_DHR_CHG">Data!$CG$1348</definedName>
    <definedName name="EMAA034900col_FTI_SALARY_ELECT">Data!$AZ$1348</definedName>
    <definedName name="EMAA034900col_FTI_SALARY_PERM">Data!$AY$1348</definedName>
    <definedName name="EMAA034900col_FTI_SALARY_SSDI">Data!$AX$1348</definedName>
    <definedName name="EMAA034900col_Group_Ben">Data!$CM$1348</definedName>
    <definedName name="EMAA034900col_Group_Salary">Data!$CL$1348</definedName>
    <definedName name="EMAA034900col_HEALTH_ELECT">Data!$BC$1348</definedName>
    <definedName name="EMAA034900col_HEALTH_ELECT_BY">Data!$BO$1348</definedName>
    <definedName name="EMAA034900col_HEALTH_ELECT_CHG">Data!$CA$1348</definedName>
    <definedName name="EMAA034900col_HEALTH_PERM">Data!$BB$1348</definedName>
    <definedName name="EMAA034900col_HEALTH_PERM_BY">Data!$BN$1348</definedName>
    <definedName name="EMAA034900col_HEALTH_PERM_CHG">Data!$BZ$1348</definedName>
    <definedName name="EMAA034900col_INC_FTI">Data!$AS$1348</definedName>
    <definedName name="EMAA034900col_LIFE_INS">Data!$BG$1348</definedName>
    <definedName name="EMAA034900col_LIFE_INS_BY">Data!$BS$1348</definedName>
    <definedName name="EMAA034900col_LIFE_INS_CHG">Data!$CE$1348</definedName>
    <definedName name="EMAA034900col_RETIREMENT">Data!$BF$1348</definedName>
    <definedName name="EMAA034900col_RETIREMENT_BY">Data!$BR$1348</definedName>
    <definedName name="EMAA034900col_RETIREMENT_CHG">Data!$CD$1348</definedName>
    <definedName name="EMAA034900col_ROWS_PER_PCN">Data!$AW$1348</definedName>
    <definedName name="EMAA034900col_SICK">Data!$BK$1348</definedName>
    <definedName name="EMAA034900col_SICK_BY">Data!$BW$1348</definedName>
    <definedName name="EMAA034900col_SICK_CHG">Data!$CI$1348</definedName>
    <definedName name="EMAA034900col_SSDI">Data!$BD$1348</definedName>
    <definedName name="EMAA034900col_SSDI_BY">Data!$BP$1348</definedName>
    <definedName name="EMAA034900col_SSDI_CHG">Data!$CB$1348</definedName>
    <definedName name="EMAA034900col_SSHI">Data!$BE$1348</definedName>
    <definedName name="EMAA034900col_SSHI_BY">Data!$BQ$1348</definedName>
    <definedName name="EMAA034900col_SSHI_CHGv">Data!$CC$1348</definedName>
    <definedName name="EMAA034900col_TOT_VB_ELECT">Data!$BM$1348</definedName>
    <definedName name="EMAA034900col_TOT_VB_ELECT_BY">Data!$BY$1348</definedName>
    <definedName name="EMAA034900col_TOT_VB_ELECT_CHG">Data!$CK$1348</definedName>
    <definedName name="EMAA034900col_TOT_VB_PERM">Data!$BL$1348</definedName>
    <definedName name="EMAA034900col_TOT_VB_PERM_BY">Data!$BX$1348</definedName>
    <definedName name="EMAA034900col_TOT_VB_PERM_CHG">Data!$CJ$1348</definedName>
    <definedName name="EMAA034900col_TOTAL_ELECT_PCN_FTI">Data!$AT$1348</definedName>
    <definedName name="EMAA034900col_TOTAL_ELECT_PCN_FTI_ALT">Data!$AV$1348</definedName>
    <definedName name="EMAA034900col_TOTAL_PERM_PCN_FTI">Data!$AU$1348</definedName>
    <definedName name="EMAA034900col_UNEMP_INS">Data!$BH$1348</definedName>
    <definedName name="EMAA034900col_UNEMP_INS_BY">Data!$BT$1348</definedName>
    <definedName name="EMAA034900col_UNEMP_INS_CHG">Data!$CF$1348</definedName>
    <definedName name="EMAA034900col_WORKERS_COMP">Data!$BJ$1348</definedName>
    <definedName name="EMAA034900col_WORKERS_COMP_BY">Data!$BV$1348</definedName>
    <definedName name="EMAA034900col_WORKERS_COMP_CHG">Data!$CH$1348</definedName>
    <definedName name="EMAD000100col_1_27TH_PP">Data!$BA$1350</definedName>
    <definedName name="EMAD000100col_DHR">Data!$BI$1350</definedName>
    <definedName name="EMAD000100col_DHR_BY">Data!$BU$1350</definedName>
    <definedName name="EMAD000100col_DHR_CHG">Data!$CG$1350</definedName>
    <definedName name="EMAD000100col_FTI_SALARY_ELECT">Data!$AZ$1350</definedName>
    <definedName name="EMAD000100col_FTI_SALARY_PERM">Data!$AY$1350</definedName>
    <definedName name="EMAD000100col_FTI_SALARY_SSDI">Data!$AX$1350</definedName>
    <definedName name="EMAD000100col_Group_Ben">Data!$CM$1350</definedName>
    <definedName name="EMAD000100col_Group_Salary">Data!$CL$1350</definedName>
    <definedName name="EMAD000100col_HEALTH_ELECT">Data!$BC$1350</definedName>
    <definedName name="EMAD000100col_HEALTH_ELECT_BY">Data!$BO$1350</definedName>
    <definedName name="EMAD000100col_HEALTH_ELECT_CHG">Data!$CA$1350</definedName>
    <definedName name="EMAD000100col_HEALTH_PERM">Data!$BB$1350</definedName>
    <definedName name="EMAD000100col_HEALTH_PERM_BY">Data!$BN$1350</definedName>
    <definedName name="EMAD000100col_HEALTH_PERM_CHG">Data!$BZ$1350</definedName>
    <definedName name="EMAD000100col_INC_FTI">Data!$AS$1350</definedName>
    <definedName name="EMAD000100col_LIFE_INS">Data!$BG$1350</definedName>
    <definedName name="EMAD000100col_LIFE_INS_BY">Data!$BS$1350</definedName>
    <definedName name="EMAD000100col_LIFE_INS_CHG">Data!$CE$1350</definedName>
    <definedName name="EMAD000100col_RETIREMENT">Data!$BF$1350</definedName>
    <definedName name="EMAD000100col_RETIREMENT_BY">Data!$BR$1350</definedName>
    <definedName name="EMAD000100col_RETIREMENT_CHG">Data!$CD$1350</definedName>
    <definedName name="EMAD000100col_ROWS_PER_PCN">Data!$AW$1350</definedName>
    <definedName name="EMAD000100col_SICK">Data!$BK$1350</definedName>
    <definedName name="EMAD000100col_SICK_BY">Data!$BW$1350</definedName>
    <definedName name="EMAD000100col_SICK_CHG">Data!$CI$1350</definedName>
    <definedName name="EMAD000100col_SSDI">Data!$BD$1350</definedName>
    <definedName name="EMAD000100col_SSDI_BY">Data!$BP$1350</definedName>
    <definedName name="EMAD000100col_SSDI_CHG">Data!$CB$1350</definedName>
    <definedName name="EMAD000100col_SSHI">Data!$BE$1350</definedName>
    <definedName name="EMAD000100col_SSHI_BY">Data!$BQ$1350</definedName>
    <definedName name="EMAD000100col_SSHI_CHGv">Data!$CC$1350</definedName>
    <definedName name="EMAD000100col_TOT_VB_ELECT">Data!$BM$1350</definedName>
    <definedName name="EMAD000100col_TOT_VB_ELECT_BY">Data!$BY$1350</definedName>
    <definedName name="EMAD000100col_TOT_VB_ELECT_CHG">Data!$CK$1350</definedName>
    <definedName name="EMAD000100col_TOT_VB_PERM">Data!$BL$1350</definedName>
    <definedName name="EMAD000100col_TOT_VB_PERM_BY">Data!$BX$1350</definedName>
    <definedName name="EMAD000100col_TOT_VB_PERM_CHG">Data!$CJ$1350</definedName>
    <definedName name="EMAD000100col_TOTAL_ELECT_PCN_FTI">Data!$AT$1350</definedName>
    <definedName name="EMAD000100col_TOTAL_ELECT_PCN_FTI_ALT">Data!$AV$1350</definedName>
    <definedName name="EMAD000100col_TOTAL_PERM_PCN_FTI">Data!$AU$1350</definedName>
    <definedName name="EMAD000100col_UNEMP_INS">Data!$BH$1350</definedName>
    <definedName name="EMAD000100col_UNEMP_INS_BY">Data!$BT$1350</definedName>
    <definedName name="EMAD000100col_UNEMP_INS_CHG">Data!$CF$1350</definedName>
    <definedName name="EMAD000100col_WORKERS_COMP">Data!$BJ$1350</definedName>
    <definedName name="EMAD000100col_WORKERS_COMP_BY">Data!$BV$1350</definedName>
    <definedName name="EMAD000100col_WORKERS_COMP_CHG">Data!$CH$1350</definedName>
    <definedName name="EMAJ030200col_1_27TH_PP">Data!$BA$1352</definedName>
    <definedName name="EMAJ030200col_DHR">Data!$BI$1352</definedName>
    <definedName name="EMAJ030200col_DHR_BY">Data!$BU$1352</definedName>
    <definedName name="EMAJ030200col_DHR_CHG">Data!$CG$1352</definedName>
    <definedName name="EMAJ030200col_FTI_SALARY_ELECT">Data!$AZ$1352</definedName>
    <definedName name="EMAJ030200col_FTI_SALARY_PERM">Data!$AY$1352</definedName>
    <definedName name="EMAJ030200col_FTI_SALARY_SSDI">Data!$AX$1352</definedName>
    <definedName name="EMAJ030200col_Group_Ben">Data!$CM$1352</definedName>
    <definedName name="EMAJ030200col_Group_Salary">Data!$CL$1352</definedName>
    <definedName name="EMAJ030200col_HEALTH_ELECT">Data!$BC$1352</definedName>
    <definedName name="EMAJ030200col_HEALTH_ELECT_BY">Data!$BO$1352</definedName>
    <definedName name="EMAJ030200col_HEALTH_ELECT_CHG">Data!$CA$1352</definedName>
    <definedName name="EMAJ030200col_HEALTH_PERM">Data!$BB$1352</definedName>
    <definedName name="EMAJ030200col_HEALTH_PERM_BY">Data!$BN$1352</definedName>
    <definedName name="EMAJ030200col_HEALTH_PERM_CHG">Data!$BZ$1352</definedName>
    <definedName name="EMAJ030200col_INC_FTI">Data!$AS$1352</definedName>
    <definedName name="EMAJ030200col_LIFE_INS">Data!$BG$1352</definedName>
    <definedName name="EMAJ030200col_LIFE_INS_BY">Data!$BS$1352</definedName>
    <definedName name="EMAJ030200col_LIFE_INS_CHG">Data!$CE$1352</definedName>
    <definedName name="EMAJ030200col_RETIREMENT">Data!$BF$1352</definedName>
    <definedName name="EMAJ030200col_RETIREMENT_BY">Data!$BR$1352</definedName>
    <definedName name="EMAJ030200col_RETIREMENT_CHG">Data!$CD$1352</definedName>
    <definedName name="EMAJ030200col_ROWS_PER_PCN">Data!$AW$1352</definedName>
    <definedName name="EMAJ030200col_SICK">Data!$BK$1352</definedName>
    <definedName name="EMAJ030200col_SICK_BY">Data!$BW$1352</definedName>
    <definedName name="EMAJ030200col_SICK_CHG">Data!$CI$1352</definedName>
    <definedName name="EMAJ030200col_SSDI">Data!$BD$1352</definedName>
    <definedName name="EMAJ030200col_SSDI_BY">Data!$BP$1352</definedName>
    <definedName name="EMAJ030200col_SSDI_CHG">Data!$CB$1352</definedName>
    <definedName name="EMAJ030200col_SSHI">Data!$BE$1352</definedName>
    <definedName name="EMAJ030200col_SSHI_BY">Data!$BQ$1352</definedName>
    <definedName name="EMAJ030200col_SSHI_CHGv">Data!$CC$1352</definedName>
    <definedName name="EMAJ030200col_TOT_VB_ELECT">Data!$BM$1352</definedName>
    <definedName name="EMAJ030200col_TOT_VB_ELECT_BY">Data!$BY$1352</definedName>
    <definedName name="EMAJ030200col_TOT_VB_ELECT_CHG">Data!$CK$1352</definedName>
    <definedName name="EMAJ030200col_TOT_VB_PERM">Data!$BL$1352</definedName>
    <definedName name="EMAJ030200col_TOT_VB_PERM_BY">Data!$BX$1352</definedName>
    <definedName name="EMAJ030200col_TOT_VB_PERM_CHG">Data!$CJ$1352</definedName>
    <definedName name="EMAJ030200col_TOTAL_ELECT_PCN_FTI">Data!$AT$1352</definedName>
    <definedName name="EMAJ030200col_TOTAL_ELECT_PCN_FTI_ALT">Data!$AV$1352</definedName>
    <definedName name="EMAJ030200col_TOTAL_PERM_PCN_FTI">Data!$AU$1352</definedName>
    <definedName name="EMAJ030200col_UNEMP_INS">Data!$BH$1352</definedName>
    <definedName name="EMAJ030200col_UNEMP_INS_BY">Data!$BT$1352</definedName>
    <definedName name="EMAJ030200col_UNEMP_INS_CHG">Data!$CF$1352</definedName>
    <definedName name="EMAJ030200col_WORKERS_COMP">Data!$BJ$1352</definedName>
    <definedName name="EMAJ030200col_WORKERS_COMP_BY">Data!$BV$1352</definedName>
    <definedName name="EMAJ030200col_WORKERS_COMP_CHG">Data!$CH$1352</definedName>
    <definedName name="EMAJ034800col_1_27TH_PP">Data!$BA$1354</definedName>
    <definedName name="EMAJ034800col_DHR">Data!$BI$1354</definedName>
    <definedName name="EMAJ034800col_DHR_BY">Data!$BU$1354</definedName>
    <definedName name="EMAJ034800col_DHR_CHG">Data!$CG$1354</definedName>
    <definedName name="EMAJ034800col_FTI_SALARY_ELECT">Data!$AZ$1354</definedName>
    <definedName name="EMAJ034800col_FTI_SALARY_PERM">Data!$AY$1354</definedName>
    <definedName name="EMAJ034800col_FTI_SALARY_SSDI">Data!$AX$1354</definedName>
    <definedName name="EMAJ034800col_Group_Ben">Data!$CM$1354</definedName>
    <definedName name="EMAJ034800col_Group_Salary">Data!$CL$1354</definedName>
    <definedName name="EMAJ034800col_HEALTH_ELECT">Data!$BC$1354</definedName>
    <definedName name="EMAJ034800col_HEALTH_ELECT_BY">Data!$BO$1354</definedName>
    <definedName name="EMAJ034800col_HEALTH_ELECT_CHG">Data!$CA$1354</definedName>
    <definedName name="EMAJ034800col_HEALTH_PERM">Data!$BB$1354</definedName>
    <definedName name="EMAJ034800col_HEALTH_PERM_BY">Data!$BN$1354</definedName>
    <definedName name="EMAJ034800col_HEALTH_PERM_CHG">Data!$BZ$1354</definedName>
    <definedName name="EMAJ034800col_INC_FTI">Data!$AS$1354</definedName>
    <definedName name="EMAJ034800col_LIFE_INS">Data!$BG$1354</definedName>
    <definedName name="EMAJ034800col_LIFE_INS_BY">Data!$BS$1354</definedName>
    <definedName name="EMAJ034800col_LIFE_INS_CHG">Data!$CE$1354</definedName>
    <definedName name="EMAJ034800col_RETIREMENT">Data!$BF$1354</definedName>
    <definedName name="EMAJ034800col_RETIREMENT_BY">Data!$BR$1354</definedName>
    <definedName name="EMAJ034800col_RETIREMENT_CHG">Data!$CD$1354</definedName>
    <definedName name="EMAJ034800col_ROWS_PER_PCN">Data!$AW$1354</definedName>
    <definedName name="EMAJ034800col_SICK">Data!$BK$1354</definedName>
    <definedName name="EMAJ034800col_SICK_BY">Data!$BW$1354</definedName>
    <definedName name="EMAJ034800col_SICK_CHG">Data!$CI$1354</definedName>
    <definedName name="EMAJ034800col_SSDI">Data!$BD$1354</definedName>
    <definedName name="EMAJ034800col_SSDI_BY">Data!$BP$1354</definedName>
    <definedName name="EMAJ034800col_SSDI_CHG">Data!$CB$1354</definedName>
    <definedName name="EMAJ034800col_SSHI">Data!$BE$1354</definedName>
    <definedName name="EMAJ034800col_SSHI_BY">Data!$BQ$1354</definedName>
    <definedName name="EMAJ034800col_SSHI_CHGv">Data!$CC$1354</definedName>
    <definedName name="EMAJ034800col_TOT_VB_ELECT">Data!$BM$1354</definedName>
    <definedName name="EMAJ034800col_TOT_VB_ELECT_BY">Data!$BY$1354</definedName>
    <definedName name="EMAJ034800col_TOT_VB_ELECT_CHG">Data!$CK$1354</definedName>
    <definedName name="EMAJ034800col_TOT_VB_PERM">Data!$BL$1354</definedName>
    <definedName name="EMAJ034800col_TOT_VB_PERM_BY">Data!$BX$1354</definedName>
    <definedName name="EMAJ034800col_TOT_VB_PERM_CHG">Data!$CJ$1354</definedName>
    <definedName name="EMAJ034800col_TOTAL_ELECT_PCN_FTI">Data!$AT$1354</definedName>
    <definedName name="EMAJ034800col_TOTAL_ELECT_PCN_FTI_ALT">Data!$AV$1354</definedName>
    <definedName name="EMAJ034800col_TOTAL_PERM_PCN_FTI">Data!$AU$1354</definedName>
    <definedName name="EMAJ034800col_UNEMP_INS">Data!$BH$1354</definedName>
    <definedName name="EMAJ034800col_UNEMP_INS_BY">Data!$BT$1354</definedName>
    <definedName name="EMAJ034800col_UNEMP_INS_CHG">Data!$CF$1354</definedName>
    <definedName name="EMAJ034800col_WORKERS_COMP">Data!$BJ$1354</definedName>
    <definedName name="EMAJ034800col_WORKERS_COMP_BY">Data!$BV$1354</definedName>
    <definedName name="EMAJ034800col_WORKERS_COMP_CHG">Data!$CH$1354</definedName>
    <definedName name="EMAR030300col_1_27TH_PP">Data!$BA$1356</definedName>
    <definedName name="EMAR030300col_DHR">Data!$BI$1356</definedName>
    <definedName name="EMAR030300col_DHR_BY">Data!$BU$1356</definedName>
    <definedName name="EMAR030300col_DHR_CHG">Data!$CG$1356</definedName>
    <definedName name="EMAR030300col_FTI_SALARY_ELECT">Data!$AZ$1356</definedName>
    <definedName name="EMAR030300col_FTI_SALARY_PERM">Data!$AY$1356</definedName>
    <definedName name="EMAR030300col_FTI_SALARY_SSDI">Data!$AX$1356</definedName>
    <definedName name="EMAR030300col_Group_Ben">Data!$CM$1356</definedName>
    <definedName name="EMAR030300col_Group_Salary">Data!$CL$1356</definedName>
    <definedName name="EMAR030300col_HEALTH_ELECT">Data!$BC$1356</definedName>
    <definedName name="EMAR030300col_HEALTH_ELECT_BY">Data!$BO$1356</definedName>
    <definedName name="EMAR030300col_HEALTH_ELECT_CHG">Data!$CA$1356</definedName>
    <definedName name="EMAR030300col_HEALTH_PERM">Data!$BB$1356</definedName>
    <definedName name="EMAR030300col_HEALTH_PERM_BY">Data!$BN$1356</definedName>
    <definedName name="EMAR030300col_HEALTH_PERM_CHG">Data!$BZ$1356</definedName>
    <definedName name="EMAR030300col_INC_FTI">Data!$AS$1356</definedName>
    <definedName name="EMAR030300col_LIFE_INS">Data!$BG$1356</definedName>
    <definedName name="EMAR030300col_LIFE_INS_BY">Data!$BS$1356</definedName>
    <definedName name="EMAR030300col_LIFE_INS_CHG">Data!$CE$1356</definedName>
    <definedName name="EMAR030300col_RETIREMENT">Data!$BF$1356</definedName>
    <definedName name="EMAR030300col_RETIREMENT_BY">Data!$BR$1356</definedName>
    <definedName name="EMAR030300col_RETIREMENT_CHG">Data!$CD$1356</definedName>
    <definedName name="EMAR030300col_ROWS_PER_PCN">Data!$AW$1356</definedName>
    <definedName name="EMAR030300col_SICK">Data!$BK$1356</definedName>
    <definedName name="EMAR030300col_SICK_BY">Data!$BW$1356</definedName>
    <definedName name="EMAR030300col_SICK_CHG">Data!$CI$1356</definedName>
    <definedName name="EMAR030300col_SSDI">Data!$BD$1356</definedName>
    <definedName name="EMAR030300col_SSDI_BY">Data!$BP$1356</definedName>
    <definedName name="EMAR030300col_SSDI_CHG">Data!$CB$1356</definedName>
    <definedName name="EMAR030300col_SSHI">Data!$BE$1356</definedName>
    <definedName name="EMAR030300col_SSHI_BY">Data!$BQ$1356</definedName>
    <definedName name="EMAR030300col_SSHI_CHGv">Data!$CC$1356</definedName>
    <definedName name="EMAR030300col_TOT_VB_ELECT">Data!$BM$1356</definedName>
    <definedName name="EMAR030300col_TOT_VB_ELECT_BY">Data!$BY$1356</definedName>
    <definedName name="EMAR030300col_TOT_VB_ELECT_CHG">Data!$CK$1356</definedName>
    <definedName name="EMAR030300col_TOT_VB_PERM">Data!$BL$1356</definedName>
    <definedName name="EMAR030300col_TOT_VB_PERM_BY">Data!$BX$1356</definedName>
    <definedName name="EMAR030300col_TOT_VB_PERM_CHG">Data!$CJ$1356</definedName>
    <definedName name="EMAR030300col_TOTAL_ELECT_PCN_FTI">Data!$AT$1356</definedName>
    <definedName name="EMAR030300col_TOTAL_ELECT_PCN_FTI_ALT">Data!$AV$1356</definedName>
    <definedName name="EMAR030300col_TOTAL_PERM_PCN_FTI">Data!$AU$1356</definedName>
    <definedName name="EMAR030300col_UNEMP_INS">Data!$BH$1356</definedName>
    <definedName name="EMAR030300col_UNEMP_INS_BY">Data!$BT$1356</definedName>
    <definedName name="EMAR030300col_UNEMP_INS_CHG">Data!$CF$1356</definedName>
    <definedName name="EMAR030300col_WORKERS_COMP">Data!$BJ$1356</definedName>
    <definedName name="EMAR030300col_WORKERS_COMP_BY">Data!$BV$1356</definedName>
    <definedName name="EMAR030300col_WORKERS_COMP_CHG">Data!$CH$1356</definedName>
    <definedName name="EMAR034800col_1_27TH_PP">Data!$BA$1358</definedName>
    <definedName name="EMAR034800col_DHR">Data!$BI$1358</definedName>
    <definedName name="EMAR034800col_DHR_BY">Data!$BU$1358</definedName>
    <definedName name="EMAR034800col_DHR_CHG">Data!$CG$1358</definedName>
    <definedName name="EMAR034800col_FTI_SALARY_ELECT">Data!$AZ$1358</definedName>
    <definedName name="EMAR034800col_FTI_SALARY_PERM">Data!$AY$1358</definedName>
    <definedName name="EMAR034800col_FTI_SALARY_SSDI">Data!$AX$1358</definedName>
    <definedName name="EMAR034800col_Group_Ben">Data!$CM$1358</definedName>
    <definedName name="EMAR034800col_Group_Salary">Data!$CL$1358</definedName>
    <definedName name="EMAR034800col_HEALTH_ELECT">Data!$BC$1358</definedName>
    <definedName name="EMAR034800col_HEALTH_ELECT_BY">Data!$BO$1358</definedName>
    <definedName name="EMAR034800col_HEALTH_ELECT_CHG">Data!$CA$1358</definedName>
    <definedName name="EMAR034800col_HEALTH_PERM">Data!$BB$1358</definedName>
    <definedName name="EMAR034800col_HEALTH_PERM_BY">Data!$BN$1358</definedName>
    <definedName name="EMAR034800col_HEALTH_PERM_CHG">Data!$BZ$1358</definedName>
    <definedName name="EMAR034800col_INC_FTI">Data!$AS$1358</definedName>
    <definedName name="EMAR034800col_LIFE_INS">Data!$BG$1358</definedName>
    <definedName name="EMAR034800col_LIFE_INS_BY">Data!$BS$1358</definedName>
    <definedName name="EMAR034800col_LIFE_INS_CHG">Data!$CE$1358</definedName>
    <definedName name="EMAR034800col_RETIREMENT">Data!$BF$1358</definedName>
    <definedName name="EMAR034800col_RETIREMENT_BY">Data!$BR$1358</definedName>
    <definedName name="EMAR034800col_RETIREMENT_CHG">Data!$CD$1358</definedName>
    <definedName name="EMAR034800col_ROWS_PER_PCN">Data!$AW$1358</definedName>
    <definedName name="EMAR034800col_SICK">Data!$BK$1358</definedName>
    <definedName name="EMAR034800col_SICK_BY">Data!$BW$1358</definedName>
    <definedName name="EMAR034800col_SICK_CHG">Data!$CI$1358</definedName>
    <definedName name="EMAR034800col_SSDI">Data!$BD$1358</definedName>
    <definedName name="EMAR034800col_SSDI_BY">Data!$BP$1358</definedName>
    <definedName name="EMAR034800col_SSDI_CHG">Data!$CB$1358</definedName>
    <definedName name="EMAR034800col_SSHI">Data!$BE$1358</definedName>
    <definedName name="EMAR034800col_SSHI_BY">Data!$BQ$1358</definedName>
    <definedName name="EMAR034800col_SSHI_CHGv">Data!$CC$1358</definedName>
    <definedName name="EMAR034800col_TOT_VB_ELECT">Data!$BM$1358</definedName>
    <definedName name="EMAR034800col_TOT_VB_ELECT_BY">Data!$BY$1358</definedName>
    <definedName name="EMAR034800col_TOT_VB_ELECT_CHG">Data!$CK$1358</definedName>
    <definedName name="EMAR034800col_TOT_VB_PERM">Data!$BL$1358</definedName>
    <definedName name="EMAR034800col_TOT_VB_PERM_BY">Data!$BX$1358</definedName>
    <definedName name="EMAR034800col_TOT_VB_PERM_CHG">Data!$CJ$1358</definedName>
    <definedName name="EMAR034800col_TOTAL_ELECT_PCN_FTI">Data!$AT$1358</definedName>
    <definedName name="EMAR034800col_TOTAL_ELECT_PCN_FTI_ALT">Data!$AV$1358</definedName>
    <definedName name="EMAR034800col_TOTAL_PERM_PCN_FTI">Data!$AU$1358</definedName>
    <definedName name="EMAR034800col_UNEMP_INS">Data!$BH$1358</definedName>
    <definedName name="EMAR034800col_UNEMP_INS_BY">Data!$BT$1358</definedName>
    <definedName name="EMAR034800col_UNEMP_INS_CHG">Data!$CF$1358</definedName>
    <definedName name="EMAR034800col_WORKERS_COMP">Data!$BJ$1358</definedName>
    <definedName name="EMAR034800col_WORKERS_COMP_BY">Data!$BV$1358</definedName>
    <definedName name="EMAR034800col_WORKERS_COMP_CHG">Data!$CH$1358</definedName>
    <definedName name="EMLO000100col_1_27TH_PP">Data!$BA$1360</definedName>
    <definedName name="EMLO000100col_DHR">Data!$BI$1360</definedName>
    <definedName name="EMLO000100col_DHR_BY">Data!$BU$1360</definedName>
    <definedName name="EMLO000100col_DHR_CHG">Data!$CG$1360</definedName>
    <definedName name="EMLO000100col_FTI_SALARY_ELECT">Data!$AZ$1360</definedName>
    <definedName name="EMLO000100col_FTI_SALARY_PERM">Data!$AY$1360</definedName>
    <definedName name="EMLO000100col_FTI_SALARY_SSDI">Data!$AX$1360</definedName>
    <definedName name="EMLO000100col_Group_Ben">Data!$CM$1360</definedName>
    <definedName name="EMLO000100col_Group_Salary">Data!$CL$1360</definedName>
    <definedName name="EMLO000100col_HEALTH_ELECT">Data!$BC$1360</definedName>
    <definedName name="EMLO000100col_HEALTH_ELECT_BY">Data!$BO$1360</definedName>
    <definedName name="EMLO000100col_HEALTH_ELECT_CHG">Data!$CA$1360</definedName>
    <definedName name="EMLO000100col_HEALTH_PERM">Data!$BB$1360</definedName>
    <definedName name="EMLO000100col_HEALTH_PERM_BY">Data!$BN$1360</definedName>
    <definedName name="EMLO000100col_HEALTH_PERM_CHG">Data!$BZ$1360</definedName>
    <definedName name="EMLO000100col_INC_FTI">Data!$AS$1360</definedName>
    <definedName name="EMLO000100col_LIFE_INS">Data!$BG$1360</definedName>
    <definedName name="EMLO000100col_LIFE_INS_BY">Data!$BS$1360</definedName>
    <definedName name="EMLO000100col_LIFE_INS_CHG">Data!$CE$1360</definedName>
    <definedName name="EMLO000100col_RETIREMENT">Data!$BF$1360</definedName>
    <definedName name="EMLO000100col_RETIREMENT_BY">Data!$BR$1360</definedName>
    <definedName name="EMLO000100col_RETIREMENT_CHG">Data!$CD$1360</definedName>
    <definedName name="EMLO000100col_ROWS_PER_PCN">Data!$AW$1360</definedName>
    <definedName name="EMLO000100col_SICK">Data!$BK$1360</definedName>
    <definedName name="EMLO000100col_SICK_BY">Data!$BW$1360</definedName>
    <definedName name="EMLO000100col_SICK_CHG">Data!$CI$1360</definedName>
    <definedName name="EMLO000100col_SSDI">Data!$BD$1360</definedName>
    <definedName name="EMLO000100col_SSDI_BY">Data!$BP$1360</definedName>
    <definedName name="EMLO000100col_SSDI_CHG">Data!$CB$1360</definedName>
    <definedName name="EMLO000100col_SSHI">Data!$BE$1360</definedName>
    <definedName name="EMLO000100col_SSHI_BY">Data!$BQ$1360</definedName>
    <definedName name="EMLO000100col_SSHI_CHGv">Data!$CC$1360</definedName>
    <definedName name="EMLO000100col_TOT_VB_ELECT">Data!$BM$1360</definedName>
    <definedName name="EMLO000100col_TOT_VB_ELECT_BY">Data!$BY$1360</definedName>
    <definedName name="EMLO000100col_TOT_VB_ELECT_CHG">Data!$CK$1360</definedName>
    <definedName name="EMLO000100col_TOT_VB_PERM">Data!$BL$1360</definedName>
    <definedName name="EMLO000100col_TOT_VB_PERM_BY">Data!$BX$1360</definedName>
    <definedName name="EMLO000100col_TOT_VB_PERM_CHG">Data!$CJ$1360</definedName>
    <definedName name="EMLO000100col_TOTAL_ELECT_PCN_FTI">Data!$AT$1360</definedName>
    <definedName name="EMLO000100col_TOTAL_ELECT_PCN_FTI_ALT">Data!$AV$1360</definedName>
    <definedName name="EMLO000100col_TOTAL_PERM_PCN_FTI">Data!$AU$1360</definedName>
    <definedName name="EMLO000100col_UNEMP_INS">Data!$BH$1360</definedName>
    <definedName name="EMLO000100col_UNEMP_INS_BY">Data!$BT$1360</definedName>
    <definedName name="EMLO000100col_UNEMP_INS_CHG">Data!$CF$1360</definedName>
    <definedName name="EMLO000100col_WORKERS_COMP">Data!$BJ$1360</definedName>
    <definedName name="EMLO000100col_WORKERS_COMP_BY">Data!$BV$1360</definedName>
    <definedName name="EMLO000100col_WORKERS_COMP_CHG">Data!$CH$1360</definedName>
    <definedName name="EMLO030200col_1_27TH_PP">Data!$BA$1362</definedName>
    <definedName name="EMLO030200col_DHR">Data!$BI$1362</definedName>
    <definedName name="EMLO030200col_DHR_BY">Data!$BU$1362</definedName>
    <definedName name="EMLO030200col_DHR_CHG">Data!$CG$1362</definedName>
    <definedName name="EMLO030200col_FTI_SALARY_ELECT">Data!$AZ$1362</definedName>
    <definedName name="EMLO030200col_FTI_SALARY_PERM">Data!$AY$1362</definedName>
    <definedName name="EMLO030200col_FTI_SALARY_SSDI">Data!$AX$1362</definedName>
    <definedName name="EMLO030200col_Group_Ben">Data!$CM$1362</definedName>
    <definedName name="EMLO030200col_Group_Salary">Data!$CL$1362</definedName>
    <definedName name="EMLO030200col_HEALTH_ELECT">Data!$BC$1362</definedName>
    <definedName name="EMLO030200col_HEALTH_ELECT_BY">Data!$BO$1362</definedName>
    <definedName name="EMLO030200col_HEALTH_ELECT_CHG">Data!$CA$1362</definedName>
    <definedName name="EMLO030200col_HEALTH_PERM">Data!$BB$1362</definedName>
    <definedName name="EMLO030200col_HEALTH_PERM_BY">Data!$BN$1362</definedName>
    <definedName name="EMLO030200col_HEALTH_PERM_CHG">Data!$BZ$1362</definedName>
    <definedName name="EMLO030200col_INC_FTI">Data!$AS$1362</definedName>
    <definedName name="EMLO030200col_LIFE_INS">Data!$BG$1362</definedName>
    <definedName name="EMLO030200col_LIFE_INS_BY">Data!$BS$1362</definedName>
    <definedName name="EMLO030200col_LIFE_INS_CHG">Data!$CE$1362</definedName>
    <definedName name="EMLO030200col_RETIREMENT">Data!$BF$1362</definedName>
    <definedName name="EMLO030200col_RETIREMENT_BY">Data!$BR$1362</definedName>
    <definedName name="EMLO030200col_RETIREMENT_CHG">Data!$CD$1362</definedName>
    <definedName name="EMLO030200col_ROWS_PER_PCN">Data!$AW$1362</definedName>
    <definedName name="EMLO030200col_SICK">Data!$BK$1362</definedName>
    <definedName name="EMLO030200col_SICK_BY">Data!$BW$1362</definedName>
    <definedName name="EMLO030200col_SICK_CHG">Data!$CI$1362</definedName>
    <definedName name="EMLO030200col_SSDI">Data!$BD$1362</definedName>
    <definedName name="EMLO030200col_SSDI_BY">Data!$BP$1362</definedName>
    <definedName name="EMLO030200col_SSDI_CHG">Data!$CB$1362</definedName>
    <definedName name="EMLO030200col_SSHI">Data!$BE$1362</definedName>
    <definedName name="EMLO030200col_SSHI_BY">Data!$BQ$1362</definedName>
    <definedName name="EMLO030200col_SSHI_CHGv">Data!$CC$1362</definedName>
    <definedName name="EMLO030200col_TOT_VB_ELECT">Data!$BM$1362</definedName>
    <definedName name="EMLO030200col_TOT_VB_ELECT_BY">Data!$BY$1362</definedName>
    <definedName name="EMLO030200col_TOT_VB_ELECT_CHG">Data!$CK$1362</definedName>
    <definedName name="EMLO030200col_TOT_VB_PERM">Data!$BL$1362</definedName>
    <definedName name="EMLO030200col_TOT_VB_PERM_BY">Data!$BX$1362</definedName>
    <definedName name="EMLO030200col_TOT_VB_PERM_CHG">Data!$CJ$1362</definedName>
    <definedName name="EMLO030200col_TOTAL_ELECT_PCN_FTI">Data!$AT$1362</definedName>
    <definedName name="EMLO030200col_TOTAL_ELECT_PCN_FTI_ALT">Data!$AV$1362</definedName>
    <definedName name="EMLO030200col_TOTAL_PERM_PCN_FTI">Data!$AU$1362</definedName>
    <definedName name="EMLO030200col_UNEMP_INS">Data!$BH$1362</definedName>
    <definedName name="EMLO030200col_UNEMP_INS_BY">Data!$BT$1362</definedName>
    <definedName name="EMLO030200col_UNEMP_INS_CHG">Data!$CF$1362</definedName>
    <definedName name="EMLO030200col_WORKERS_COMP">Data!$BJ$1362</definedName>
    <definedName name="EMLO030200col_WORKERS_COMP_BY">Data!$BV$1362</definedName>
    <definedName name="EMLO030200col_WORKERS_COMP_CHG">Data!$CH$1362</definedName>
    <definedName name="EMLO030300col_1_27TH_PP">Data!$BA$1364</definedName>
    <definedName name="EMLO030300col_DHR">Data!$BI$1364</definedName>
    <definedName name="EMLO030300col_DHR_BY">Data!$BU$1364</definedName>
    <definedName name="EMLO030300col_DHR_CHG">Data!$CG$1364</definedName>
    <definedName name="EMLO030300col_FTI_SALARY_ELECT">Data!$AZ$1364</definedName>
    <definedName name="EMLO030300col_FTI_SALARY_PERM">Data!$AY$1364</definedName>
    <definedName name="EMLO030300col_FTI_SALARY_SSDI">Data!$AX$1364</definedName>
    <definedName name="EMLO030300col_Group_Ben">Data!$CM$1364</definedName>
    <definedName name="EMLO030300col_Group_Salary">Data!$CL$1364</definedName>
    <definedName name="EMLO030300col_HEALTH_ELECT">Data!$BC$1364</definedName>
    <definedName name="EMLO030300col_HEALTH_ELECT_BY">Data!$BO$1364</definedName>
    <definedName name="EMLO030300col_HEALTH_ELECT_CHG">Data!$CA$1364</definedName>
    <definedName name="EMLO030300col_HEALTH_PERM">Data!$BB$1364</definedName>
    <definedName name="EMLO030300col_HEALTH_PERM_BY">Data!$BN$1364</definedName>
    <definedName name="EMLO030300col_HEALTH_PERM_CHG">Data!$BZ$1364</definedName>
    <definedName name="EMLO030300col_INC_FTI">Data!$AS$1364</definedName>
    <definedName name="EMLO030300col_LIFE_INS">Data!$BG$1364</definedName>
    <definedName name="EMLO030300col_LIFE_INS_BY">Data!$BS$1364</definedName>
    <definedName name="EMLO030300col_LIFE_INS_CHG">Data!$CE$1364</definedName>
    <definedName name="EMLO030300col_RETIREMENT">Data!$BF$1364</definedName>
    <definedName name="EMLO030300col_RETIREMENT_BY">Data!$BR$1364</definedName>
    <definedName name="EMLO030300col_RETIREMENT_CHG">Data!$CD$1364</definedName>
    <definedName name="EMLO030300col_ROWS_PER_PCN">Data!$AW$1364</definedName>
    <definedName name="EMLO030300col_SICK">Data!$BK$1364</definedName>
    <definedName name="EMLO030300col_SICK_BY">Data!$BW$1364</definedName>
    <definedName name="EMLO030300col_SICK_CHG">Data!$CI$1364</definedName>
    <definedName name="EMLO030300col_SSDI">Data!$BD$1364</definedName>
    <definedName name="EMLO030300col_SSDI_BY">Data!$BP$1364</definedName>
    <definedName name="EMLO030300col_SSDI_CHG">Data!$CB$1364</definedName>
    <definedName name="EMLO030300col_SSHI">Data!$BE$1364</definedName>
    <definedName name="EMLO030300col_SSHI_BY">Data!$BQ$1364</definedName>
    <definedName name="EMLO030300col_SSHI_CHGv">Data!$CC$1364</definedName>
    <definedName name="EMLO030300col_TOT_VB_ELECT">Data!$BM$1364</definedName>
    <definedName name="EMLO030300col_TOT_VB_ELECT_BY">Data!$BY$1364</definedName>
    <definedName name="EMLO030300col_TOT_VB_ELECT_CHG">Data!$CK$1364</definedName>
    <definedName name="EMLO030300col_TOT_VB_PERM">Data!$BL$1364</definedName>
    <definedName name="EMLO030300col_TOT_VB_PERM_BY">Data!$BX$1364</definedName>
    <definedName name="EMLO030300col_TOT_VB_PERM_CHG">Data!$CJ$1364</definedName>
    <definedName name="EMLO030300col_TOTAL_ELECT_PCN_FTI">Data!$AT$1364</definedName>
    <definedName name="EMLO030300col_TOTAL_ELECT_PCN_FTI_ALT">Data!$AV$1364</definedName>
    <definedName name="EMLO030300col_TOTAL_PERM_PCN_FTI">Data!$AU$1364</definedName>
    <definedName name="EMLO030300col_UNEMP_INS">Data!$BH$1364</definedName>
    <definedName name="EMLO030300col_UNEMP_INS_BY">Data!$BT$1364</definedName>
    <definedName name="EMLO030300col_UNEMP_INS_CHG">Data!$CF$1364</definedName>
    <definedName name="EMLO030300col_WORKERS_COMP">Data!$BJ$1364</definedName>
    <definedName name="EMLO030300col_WORKERS_COMP_BY">Data!$BV$1364</definedName>
    <definedName name="EMLO030300col_WORKERS_COMP_CHG">Data!$CH$1364</definedName>
    <definedName name="EMLO034800col_1_27TH_PP">Data!$BA$1367</definedName>
    <definedName name="EMLO034800col_DHR">Data!$BI$1367</definedName>
    <definedName name="EMLO034800col_DHR_BY">Data!$BU$1367</definedName>
    <definedName name="EMLO034800col_DHR_CHG">Data!$CG$1367</definedName>
    <definedName name="EMLO034800col_FTI_SALARY_ELECT">Data!$AZ$1367</definedName>
    <definedName name="EMLO034800col_FTI_SALARY_PERM">Data!$AY$1367</definedName>
    <definedName name="EMLO034800col_FTI_SALARY_SSDI">Data!$AX$1367</definedName>
    <definedName name="EMLO034800col_Group_Ben">Data!$CM$1367</definedName>
    <definedName name="EMLO034800col_Group_Salary">Data!$CL$1367</definedName>
    <definedName name="EMLO034800col_HEALTH_ELECT">Data!$BC$1367</definedName>
    <definedName name="EMLO034800col_HEALTH_ELECT_BY">Data!$BO$1367</definedName>
    <definedName name="EMLO034800col_HEALTH_ELECT_CHG">Data!$CA$1367</definedName>
    <definedName name="EMLO034800col_HEALTH_PERM">Data!$BB$1367</definedName>
    <definedName name="EMLO034800col_HEALTH_PERM_BY">Data!$BN$1367</definedName>
    <definedName name="EMLO034800col_HEALTH_PERM_CHG">Data!$BZ$1367</definedName>
    <definedName name="EMLO034800col_INC_FTI">Data!$AS$1367</definedName>
    <definedName name="EMLO034800col_LIFE_INS">Data!$BG$1367</definedName>
    <definedName name="EMLO034800col_LIFE_INS_BY">Data!$BS$1367</definedName>
    <definedName name="EMLO034800col_LIFE_INS_CHG">Data!$CE$1367</definedName>
    <definedName name="EMLO034800col_RETIREMENT">Data!$BF$1367</definedName>
    <definedName name="EMLO034800col_RETIREMENT_BY">Data!$BR$1367</definedName>
    <definedName name="EMLO034800col_RETIREMENT_CHG">Data!$CD$1367</definedName>
    <definedName name="EMLO034800col_ROWS_PER_PCN">Data!$AW$1367</definedName>
    <definedName name="EMLO034800col_SICK">Data!$BK$1367</definedName>
    <definedName name="EMLO034800col_SICK_BY">Data!$BW$1367</definedName>
    <definedName name="EMLO034800col_SICK_CHG">Data!$CI$1367</definedName>
    <definedName name="EMLO034800col_SSDI">Data!$BD$1367</definedName>
    <definedName name="EMLO034800col_SSDI_BY">Data!$BP$1367</definedName>
    <definedName name="EMLO034800col_SSDI_CHG">Data!$CB$1367</definedName>
    <definedName name="EMLO034800col_SSHI">Data!$BE$1367</definedName>
    <definedName name="EMLO034800col_SSHI_BY">Data!$BQ$1367</definedName>
    <definedName name="EMLO034800col_SSHI_CHGv">Data!$CC$1367</definedName>
    <definedName name="EMLO034800col_TOT_VB_ELECT">Data!$BM$1367</definedName>
    <definedName name="EMLO034800col_TOT_VB_ELECT_BY">Data!$BY$1367</definedName>
    <definedName name="EMLO034800col_TOT_VB_ELECT_CHG">Data!$CK$1367</definedName>
    <definedName name="EMLO034800col_TOT_VB_PERM">Data!$BL$1367</definedName>
    <definedName name="EMLO034800col_TOT_VB_PERM_BY">Data!$BX$1367</definedName>
    <definedName name="EMLO034800col_TOT_VB_PERM_CHG">Data!$CJ$1367</definedName>
    <definedName name="EMLO034800col_TOTAL_ELECT_PCN_FTI">Data!$AT$1367</definedName>
    <definedName name="EMLO034800col_TOTAL_ELECT_PCN_FTI_ALT">Data!$AV$1367</definedName>
    <definedName name="EMLO034800col_TOTAL_PERM_PCN_FTI">Data!$AU$1367</definedName>
    <definedName name="EMLO034800col_UNEMP_INS">Data!$BH$1367</definedName>
    <definedName name="EMLO034800col_UNEMP_INS_BY">Data!$BT$1367</definedName>
    <definedName name="EMLO034800col_UNEMP_INS_CHG">Data!$CF$1367</definedName>
    <definedName name="EMLO034800col_WORKERS_COMP">Data!$BJ$1367</definedName>
    <definedName name="EMLO034800col_WORKERS_COMP_BY">Data!$BV$1367</definedName>
    <definedName name="EMLO034800col_WORKERS_COMP_CHG">Data!$CH$1367</definedName>
    <definedName name="EMLO034900col_1_27TH_PP">Data!$BA$1370</definedName>
    <definedName name="EMLO034900col_DHR">Data!$BI$1370</definedName>
    <definedName name="EMLO034900col_DHR_BY">Data!$BU$1370</definedName>
    <definedName name="EMLO034900col_DHR_CHG">Data!$CG$1370</definedName>
    <definedName name="EMLO034900col_FTI_SALARY_ELECT">Data!$AZ$1370</definedName>
    <definedName name="EMLO034900col_FTI_SALARY_PERM">Data!$AY$1370</definedName>
    <definedName name="EMLO034900col_FTI_SALARY_SSDI">Data!$AX$1370</definedName>
    <definedName name="EMLO034900col_Group_Ben">Data!$CM$1370</definedName>
    <definedName name="EMLO034900col_Group_Salary">Data!$CL$1370</definedName>
    <definedName name="EMLO034900col_HEALTH_ELECT">Data!$BC$1370</definedName>
    <definedName name="EMLO034900col_HEALTH_ELECT_BY">Data!$BO$1370</definedName>
    <definedName name="EMLO034900col_HEALTH_ELECT_CHG">Data!$CA$1370</definedName>
    <definedName name="EMLO034900col_HEALTH_PERM">Data!$BB$1370</definedName>
    <definedName name="EMLO034900col_HEALTH_PERM_BY">Data!$BN$1370</definedName>
    <definedName name="EMLO034900col_HEALTH_PERM_CHG">Data!$BZ$1370</definedName>
    <definedName name="EMLO034900col_INC_FTI">Data!$AS$1370</definedName>
    <definedName name="EMLO034900col_LIFE_INS">Data!$BG$1370</definedName>
    <definedName name="EMLO034900col_LIFE_INS_BY">Data!$BS$1370</definedName>
    <definedName name="EMLO034900col_LIFE_INS_CHG">Data!$CE$1370</definedName>
    <definedName name="EMLO034900col_RETIREMENT">Data!$BF$1370</definedName>
    <definedName name="EMLO034900col_RETIREMENT_BY">Data!$BR$1370</definedName>
    <definedName name="EMLO034900col_RETIREMENT_CHG">Data!$CD$1370</definedName>
    <definedName name="EMLO034900col_ROWS_PER_PCN">Data!$AW$1370</definedName>
    <definedName name="EMLO034900col_SICK">Data!$BK$1370</definedName>
    <definedName name="EMLO034900col_SICK_BY">Data!$BW$1370</definedName>
    <definedName name="EMLO034900col_SICK_CHG">Data!$CI$1370</definedName>
    <definedName name="EMLO034900col_SSDI">Data!$BD$1370</definedName>
    <definedName name="EMLO034900col_SSDI_BY">Data!$BP$1370</definedName>
    <definedName name="EMLO034900col_SSDI_CHG">Data!$CB$1370</definedName>
    <definedName name="EMLO034900col_SSHI">Data!$BE$1370</definedName>
    <definedName name="EMLO034900col_SSHI_BY">Data!$BQ$1370</definedName>
    <definedName name="EMLO034900col_SSHI_CHGv">Data!$CC$1370</definedName>
    <definedName name="EMLO034900col_TOT_VB_ELECT">Data!$BM$1370</definedName>
    <definedName name="EMLO034900col_TOT_VB_ELECT_BY">Data!$BY$1370</definedName>
    <definedName name="EMLO034900col_TOT_VB_ELECT_CHG">Data!$CK$1370</definedName>
    <definedName name="EMLO034900col_TOT_VB_PERM">Data!$BL$1370</definedName>
    <definedName name="EMLO034900col_TOT_VB_PERM_BY">Data!$BX$1370</definedName>
    <definedName name="EMLO034900col_TOT_VB_PERM_CHG">Data!$CJ$1370</definedName>
    <definedName name="EMLO034900col_TOTAL_ELECT_PCN_FTI">Data!$AT$1370</definedName>
    <definedName name="EMLO034900col_TOTAL_ELECT_PCN_FTI_ALT">Data!$AV$1370</definedName>
    <definedName name="EMLO034900col_TOTAL_PERM_PCN_FTI">Data!$AU$1370</definedName>
    <definedName name="EMLO034900col_UNEMP_INS">Data!$BH$1370</definedName>
    <definedName name="EMLO034900col_UNEMP_INS_BY">Data!$BT$1370</definedName>
    <definedName name="EMLO034900col_UNEMP_INS_CHG">Data!$CF$1370</definedName>
    <definedName name="EMLO034900col_WORKERS_COMP">Data!$BJ$1370</definedName>
    <definedName name="EMLO034900col_WORKERS_COMP_BY">Data!$BV$1370</definedName>
    <definedName name="EMLO034900col_WORKERS_COMP_CHG">Data!$CH$1370</definedName>
    <definedName name="EMUI000100col_1_27TH_PP">Data!$BA$1372</definedName>
    <definedName name="EMUI000100col_DHR">Data!$BI$1372</definedName>
    <definedName name="EMUI000100col_DHR_BY">Data!$BU$1372</definedName>
    <definedName name="EMUI000100col_DHR_CHG">Data!$CG$1372</definedName>
    <definedName name="EMUI000100col_FTI_SALARY_ELECT">Data!$AZ$1372</definedName>
    <definedName name="EMUI000100col_FTI_SALARY_PERM">Data!$AY$1372</definedName>
    <definedName name="EMUI000100col_FTI_SALARY_SSDI">Data!$AX$1372</definedName>
    <definedName name="EMUI000100col_Group_Ben">Data!$CM$1372</definedName>
    <definedName name="EMUI000100col_Group_Salary">Data!$CL$1372</definedName>
    <definedName name="EMUI000100col_HEALTH_ELECT">Data!$BC$1372</definedName>
    <definedName name="EMUI000100col_HEALTH_ELECT_BY">Data!$BO$1372</definedName>
    <definedName name="EMUI000100col_HEALTH_ELECT_CHG">Data!$CA$1372</definedName>
    <definedName name="EMUI000100col_HEALTH_PERM">Data!$BB$1372</definedName>
    <definedName name="EMUI000100col_HEALTH_PERM_BY">Data!$BN$1372</definedName>
    <definedName name="EMUI000100col_HEALTH_PERM_CHG">Data!$BZ$1372</definedName>
    <definedName name="EMUI000100col_INC_FTI">Data!$AS$1372</definedName>
    <definedName name="EMUI000100col_LIFE_INS">Data!$BG$1372</definedName>
    <definedName name="EMUI000100col_LIFE_INS_BY">Data!$BS$1372</definedName>
    <definedName name="EMUI000100col_LIFE_INS_CHG">Data!$CE$1372</definedName>
    <definedName name="EMUI000100col_RETIREMENT">Data!$BF$1372</definedName>
    <definedName name="EMUI000100col_RETIREMENT_BY">Data!$BR$1372</definedName>
    <definedName name="EMUI000100col_RETIREMENT_CHG">Data!$CD$1372</definedName>
    <definedName name="EMUI000100col_ROWS_PER_PCN">Data!$AW$1372</definedName>
    <definedName name="EMUI000100col_SICK">Data!$BK$1372</definedName>
    <definedName name="EMUI000100col_SICK_BY">Data!$BW$1372</definedName>
    <definedName name="EMUI000100col_SICK_CHG">Data!$CI$1372</definedName>
    <definedName name="EMUI000100col_SSDI">Data!$BD$1372</definedName>
    <definedName name="EMUI000100col_SSDI_BY">Data!$BP$1372</definedName>
    <definedName name="EMUI000100col_SSDI_CHG">Data!$CB$1372</definedName>
    <definedName name="EMUI000100col_SSHI">Data!$BE$1372</definedName>
    <definedName name="EMUI000100col_SSHI_BY">Data!$BQ$1372</definedName>
    <definedName name="EMUI000100col_SSHI_CHGv">Data!$CC$1372</definedName>
    <definedName name="EMUI000100col_TOT_VB_ELECT">Data!$BM$1372</definedName>
    <definedName name="EMUI000100col_TOT_VB_ELECT_BY">Data!$BY$1372</definedName>
    <definedName name="EMUI000100col_TOT_VB_ELECT_CHG">Data!$CK$1372</definedName>
    <definedName name="EMUI000100col_TOT_VB_PERM">Data!$BL$1372</definedName>
    <definedName name="EMUI000100col_TOT_VB_PERM_BY">Data!$BX$1372</definedName>
    <definedName name="EMUI000100col_TOT_VB_PERM_CHG">Data!$CJ$1372</definedName>
    <definedName name="EMUI000100col_TOTAL_ELECT_PCN_FTI">Data!$AT$1372</definedName>
    <definedName name="EMUI000100col_TOTAL_ELECT_PCN_FTI_ALT">Data!$AV$1372</definedName>
    <definedName name="EMUI000100col_TOTAL_PERM_PCN_FTI">Data!$AU$1372</definedName>
    <definedName name="EMUI000100col_UNEMP_INS">Data!$BH$1372</definedName>
    <definedName name="EMUI000100col_UNEMP_INS_BY">Data!$BT$1372</definedName>
    <definedName name="EMUI000100col_UNEMP_INS_CHG">Data!$CF$1372</definedName>
    <definedName name="EMUI000100col_WORKERS_COMP">Data!$BJ$1372</definedName>
    <definedName name="EMUI000100col_WORKERS_COMP_BY">Data!$BV$1372</definedName>
    <definedName name="EMUI000100col_WORKERS_COMP_CHG">Data!$CH$1372</definedName>
    <definedName name="EMUI030200col_1_27TH_PP">Data!$BA$1374</definedName>
    <definedName name="EMUI030200col_DHR">Data!$BI$1374</definedName>
    <definedName name="EMUI030200col_DHR_BY">Data!$BU$1374</definedName>
    <definedName name="EMUI030200col_DHR_CHG">Data!$CG$1374</definedName>
    <definedName name="EMUI030200col_FTI_SALARY_ELECT">Data!$AZ$1374</definedName>
    <definedName name="EMUI030200col_FTI_SALARY_PERM">Data!$AY$1374</definedName>
    <definedName name="EMUI030200col_FTI_SALARY_SSDI">Data!$AX$1374</definedName>
    <definedName name="EMUI030200col_Group_Ben">Data!$CM$1374</definedName>
    <definedName name="EMUI030200col_Group_Salary">Data!$CL$1374</definedName>
    <definedName name="EMUI030200col_HEALTH_ELECT">Data!$BC$1374</definedName>
    <definedName name="EMUI030200col_HEALTH_ELECT_BY">Data!$BO$1374</definedName>
    <definedName name="EMUI030200col_HEALTH_ELECT_CHG">Data!$CA$1374</definedName>
    <definedName name="EMUI030200col_HEALTH_PERM">Data!$BB$1374</definedName>
    <definedName name="EMUI030200col_HEALTH_PERM_BY">Data!$BN$1374</definedName>
    <definedName name="EMUI030200col_HEALTH_PERM_CHG">Data!$BZ$1374</definedName>
    <definedName name="EMUI030200col_INC_FTI">Data!$AS$1374</definedName>
    <definedName name="EMUI030200col_LIFE_INS">Data!$BG$1374</definedName>
    <definedName name="EMUI030200col_LIFE_INS_BY">Data!$BS$1374</definedName>
    <definedName name="EMUI030200col_LIFE_INS_CHG">Data!$CE$1374</definedName>
    <definedName name="EMUI030200col_RETIREMENT">Data!$BF$1374</definedName>
    <definedName name="EMUI030200col_RETIREMENT_BY">Data!$BR$1374</definedName>
    <definedName name="EMUI030200col_RETIREMENT_CHG">Data!$CD$1374</definedName>
    <definedName name="EMUI030200col_ROWS_PER_PCN">Data!$AW$1374</definedName>
    <definedName name="EMUI030200col_SICK">Data!$BK$1374</definedName>
    <definedName name="EMUI030200col_SICK_BY">Data!$BW$1374</definedName>
    <definedName name="EMUI030200col_SICK_CHG">Data!$CI$1374</definedName>
    <definedName name="EMUI030200col_SSDI">Data!$BD$1374</definedName>
    <definedName name="EMUI030200col_SSDI_BY">Data!$BP$1374</definedName>
    <definedName name="EMUI030200col_SSDI_CHG">Data!$CB$1374</definedName>
    <definedName name="EMUI030200col_SSHI">Data!$BE$1374</definedName>
    <definedName name="EMUI030200col_SSHI_BY">Data!$BQ$1374</definedName>
    <definedName name="EMUI030200col_SSHI_CHGv">Data!$CC$1374</definedName>
    <definedName name="EMUI030200col_TOT_VB_ELECT">Data!$BM$1374</definedName>
    <definedName name="EMUI030200col_TOT_VB_ELECT_BY">Data!$BY$1374</definedName>
    <definedName name="EMUI030200col_TOT_VB_ELECT_CHG">Data!$CK$1374</definedName>
    <definedName name="EMUI030200col_TOT_VB_PERM">Data!$BL$1374</definedName>
    <definedName name="EMUI030200col_TOT_VB_PERM_BY">Data!$BX$1374</definedName>
    <definedName name="EMUI030200col_TOT_VB_PERM_CHG">Data!$CJ$1374</definedName>
    <definedName name="EMUI030200col_TOTAL_ELECT_PCN_FTI">Data!$AT$1374</definedName>
    <definedName name="EMUI030200col_TOTAL_ELECT_PCN_FTI_ALT">Data!$AV$1374</definedName>
    <definedName name="EMUI030200col_TOTAL_PERM_PCN_FTI">Data!$AU$1374</definedName>
    <definedName name="EMUI030200col_UNEMP_INS">Data!$BH$1374</definedName>
    <definedName name="EMUI030200col_UNEMP_INS_BY">Data!$BT$1374</definedName>
    <definedName name="EMUI030200col_UNEMP_INS_CHG">Data!$CF$1374</definedName>
    <definedName name="EMUI030200col_WORKERS_COMP">Data!$BJ$1374</definedName>
    <definedName name="EMUI030200col_WORKERS_COMP_BY">Data!$BV$1374</definedName>
    <definedName name="EMUI030200col_WORKERS_COMP_CHG">Data!$CH$1374</definedName>
    <definedName name="EMUI034800col_1_27TH_PP">Data!$BA$1377</definedName>
    <definedName name="EMUI034800col_DHR">Data!$BI$1377</definedName>
    <definedName name="EMUI034800col_DHR_BY">Data!$BU$1377</definedName>
    <definedName name="EMUI034800col_DHR_CHG">Data!$CG$1377</definedName>
    <definedName name="EMUI034800col_FTI_SALARY_ELECT">Data!$AZ$1377</definedName>
    <definedName name="EMUI034800col_FTI_SALARY_PERM">Data!$AY$1377</definedName>
    <definedName name="EMUI034800col_FTI_SALARY_SSDI">Data!$AX$1377</definedName>
    <definedName name="EMUI034800col_Group_Ben">Data!$CM$1377</definedName>
    <definedName name="EMUI034800col_Group_Salary">Data!$CL$1377</definedName>
    <definedName name="EMUI034800col_HEALTH_ELECT">Data!$BC$1377</definedName>
    <definedName name="EMUI034800col_HEALTH_ELECT_BY">Data!$BO$1377</definedName>
    <definedName name="EMUI034800col_HEALTH_ELECT_CHG">Data!$CA$1377</definedName>
    <definedName name="EMUI034800col_HEALTH_PERM">Data!$BB$1377</definedName>
    <definedName name="EMUI034800col_HEALTH_PERM_BY">Data!$BN$1377</definedName>
    <definedName name="EMUI034800col_HEALTH_PERM_CHG">Data!$BZ$1377</definedName>
    <definedName name="EMUI034800col_INC_FTI">Data!$AS$1377</definedName>
    <definedName name="EMUI034800col_LIFE_INS">Data!$BG$1377</definedName>
    <definedName name="EMUI034800col_LIFE_INS_BY">Data!$BS$1377</definedName>
    <definedName name="EMUI034800col_LIFE_INS_CHG">Data!$CE$1377</definedName>
    <definedName name="EMUI034800col_RETIREMENT">Data!$BF$1377</definedName>
    <definedName name="EMUI034800col_RETIREMENT_BY">Data!$BR$1377</definedName>
    <definedName name="EMUI034800col_RETIREMENT_CHG">Data!$CD$1377</definedName>
    <definedName name="EMUI034800col_ROWS_PER_PCN">Data!$AW$1377</definedName>
    <definedName name="EMUI034800col_SICK">Data!$BK$1377</definedName>
    <definedName name="EMUI034800col_SICK_BY">Data!$BW$1377</definedName>
    <definedName name="EMUI034800col_SICK_CHG">Data!$CI$1377</definedName>
    <definedName name="EMUI034800col_SSDI">Data!$BD$1377</definedName>
    <definedName name="EMUI034800col_SSDI_BY">Data!$BP$1377</definedName>
    <definedName name="EMUI034800col_SSDI_CHG">Data!$CB$1377</definedName>
    <definedName name="EMUI034800col_SSHI">Data!$BE$1377</definedName>
    <definedName name="EMUI034800col_SSHI_BY">Data!$BQ$1377</definedName>
    <definedName name="EMUI034800col_SSHI_CHGv">Data!$CC$1377</definedName>
    <definedName name="EMUI034800col_TOT_VB_ELECT">Data!$BM$1377</definedName>
    <definedName name="EMUI034800col_TOT_VB_ELECT_BY">Data!$BY$1377</definedName>
    <definedName name="EMUI034800col_TOT_VB_ELECT_CHG">Data!$CK$1377</definedName>
    <definedName name="EMUI034800col_TOT_VB_PERM">Data!$BL$1377</definedName>
    <definedName name="EMUI034800col_TOT_VB_PERM_BY">Data!$BX$1377</definedName>
    <definedName name="EMUI034800col_TOT_VB_PERM_CHG">Data!$CJ$1377</definedName>
    <definedName name="EMUI034800col_TOTAL_ELECT_PCN_FTI">Data!$AT$1377</definedName>
    <definedName name="EMUI034800col_TOTAL_ELECT_PCN_FTI_ALT">Data!$AV$1377</definedName>
    <definedName name="EMUI034800col_TOTAL_PERM_PCN_FTI">Data!$AU$1377</definedName>
    <definedName name="EMUI034800col_UNEMP_INS">Data!$BH$1377</definedName>
    <definedName name="EMUI034800col_UNEMP_INS_BY">Data!$BT$1377</definedName>
    <definedName name="EMUI034800col_UNEMP_INS_CHG">Data!$CF$1377</definedName>
    <definedName name="EMUI034800col_WORKERS_COMP">Data!$BJ$1377</definedName>
    <definedName name="EMUI034800col_WORKERS_COMP_BY">Data!$BV$1377</definedName>
    <definedName name="EMUI034800col_WORKERS_COMP_CHG">Data!$CH$1377</definedName>
    <definedName name="EMUI034900col_1_27TH_PP">Data!$BA$1380</definedName>
    <definedName name="EMUI034900col_DHR">Data!$BI$1380</definedName>
    <definedName name="EMUI034900col_DHR_BY">Data!$BU$1380</definedName>
    <definedName name="EMUI034900col_DHR_CHG">Data!$CG$1380</definedName>
    <definedName name="EMUI034900col_FTI_SALARY_ELECT">Data!$AZ$1380</definedName>
    <definedName name="EMUI034900col_FTI_SALARY_PERM">Data!$AY$1380</definedName>
    <definedName name="EMUI034900col_FTI_SALARY_SSDI">Data!$AX$1380</definedName>
    <definedName name="EMUI034900col_Group_Ben">Data!$CM$1380</definedName>
    <definedName name="EMUI034900col_Group_Salary">Data!$CL$1380</definedName>
    <definedName name="EMUI034900col_HEALTH_ELECT">Data!$BC$1380</definedName>
    <definedName name="EMUI034900col_HEALTH_ELECT_BY">Data!$BO$1380</definedName>
    <definedName name="EMUI034900col_HEALTH_ELECT_CHG">Data!$CA$1380</definedName>
    <definedName name="EMUI034900col_HEALTH_PERM">Data!$BB$1380</definedName>
    <definedName name="EMUI034900col_HEALTH_PERM_BY">Data!$BN$1380</definedName>
    <definedName name="EMUI034900col_HEALTH_PERM_CHG">Data!$BZ$1380</definedName>
    <definedName name="EMUI034900col_INC_FTI">Data!$AS$1380</definedName>
    <definedName name="EMUI034900col_LIFE_INS">Data!$BG$1380</definedName>
    <definedName name="EMUI034900col_LIFE_INS_BY">Data!$BS$1380</definedName>
    <definedName name="EMUI034900col_LIFE_INS_CHG">Data!$CE$1380</definedName>
    <definedName name="EMUI034900col_RETIREMENT">Data!$BF$1380</definedName>
    <definedName name="EMUI034900col_RETIREMENT_BY">Data!$BR$1380</definedName>
    <definedName name="EMUI034900col_RETIREMENT_CHG">Data!$CD$1380</definedName>
    <definedName name="EMUI034900col_ROWS_PER_PCN">Data!$AW$1380</definedName>
    <definedName name="EMUI034900col_SICK">Data!$BK$1380</definedName>
    <definedName name="EMUI034900col_SICK_BY">Data!$BW$1380</definedName>
    <definedName name="EMUI034900col_SICK_CHG">Data!$CI$1380</definedName>
    <definedName name="EMUI034900col_SSDI">Data!$BD$1380</definedName>
    <definedName name="EMUI034900col_SSDI_BY">Data!$BP$1380</definedName>
    <definedName name="EMUI034900col_SSDI_CHG">Data!$CB$1380</definedName>
    <definedName name="EMUI034900col_SSHI">Data!$BE$1380</definedName>
    <definedName name="EMUI034900col_SSHI_BY">Data!$BQ$1380</definedName>
    <definedName name="EMUI034900col_SSHI_CHGv">Data!$CC$1380</definedName>
    <definedName name="EMUI034900col_TOT_VB_ELECT">Data!$BM$1380</definedName>
    <definedName name="EMUI034900col_TOT_VB_ELECT_BY">Data!$BY$1380</definedName>
    <definedName name="EMUI034900col_TOT_VB_ELECT_CHG">Data!$CK$1380</definedName>
    <definedName name="EMUI034900col_TOT_VB_PERM">Data!$BL$1380</definedName>
    <definedName name="EMUI034900col_TOT_VB_PERM_BY">Data!$BX$1380</definedName>
    <definedName name="EMUI034900col_TOT_VB_PERM_CHG">Data!$CJ$1380</definedName>
    <definedName name="EMUI034900col_TOTAL_ELECT_PCN_FTI">Data!$AT$1380</definedName>
    <definedName name="EMUI034900col_TOTAL_ELECT_PCN_FTI_ALT">Data!$AV$1380</definedName>
    <definedName name="EMUI034900col_TOTAL_PERM_PCN_FTI">Data!$AU$1380</definedName>
    <definedName name="EMUI034900col_UNEMP_INS">Data!$BH$1380</definedName>
    <definedName name="EMUI034900col_UNEMP_INS_BY">Data!$BT$1380</definedName>
    <definedName name="EMUI034900col_UNEMP_INS_CHG">Data!$CF$1380</definedName>
    <definedName name="EMUI034900col_WORKERS_COMP">Data!$BJ$1380</definedName>
    <definedName name="EMUI034900col_WORKERS_COMP_BY">Data!$BV$1380</definedName>
    <definedName name="EMUI034900col_WORKERS_COMP_CHG">Data!$CH$1380</definedName>
    <definedName name="FillRate_Avg">Benefits!$C$40</definedName>
    <definedName name="FillRateAvg_B6" localSheetId="0">'EMAA|0001-00'!#REF!</definedName>
    <definedName name="FillRateAvg_B6" localSheetId="1">'EMAA|0302-00'!#REF!</definedName>
    <definedName name="FillRateAvg_B6" localSheetId="2">'EMAA|0303-00'!#REF!</definedName>
    <definedName name="FillRateAvg_B6" localSheetId="4">'EMAA|0348-00'!#REF!</definedName>
    <definedName name="FillRateAvg_B6" localSheetId="3">'EMAA|0349-00'!#REF!</definedName>
    <definedName name="FillRateAvg_B6" localSheetId="5">'EMLO|0001-00'!#REF!</definedName>
    <definedName name="FillRateAvg_B6" localSheetId="6">'EMLO|0302-00'!#REF!</definedName>
    <definedName name="FillRateAvg_B6" localSheetId="7">'EMLO|0303-00'!#REF!</definedName>
    <definedName name="FillRateAvg_B6" localSheetId="8">'EMLO|0348-00'!#REF!</definedName>
    <definedName name="FillRateAvg_B6" localSheetId="9">'EMLO|0349-00'!#REF!</definedName>
    <definedName name="FillRateAvg_B6" localSheetId="10">'EMUI|0001-00'!#REF!</definedName>
    <definedName name="FillRateAvg_B6" localSheetId="11">'EMUI|0302-00'!#REF!</definedName>
    <definedName name="FillRateAvg_B6" localSheetId="12">'EMUI|0348-00'!#REF!</definedName>
    <definedName name="FillRateAvg_B6" localSheetId="13">'EMUI|0349-00'!#REF!</definedName>
    <definedName name="FillRateAvg_B6">'B6'!#REF!</definedName>
    <definedName name="FiscalYear" localSheetId="0">'EMAA|0001-00'!$M$4</definedName>
    <definedName name="FiscalYear" localSheetId="1">'EMAA|0302-00'!$M$4</definedName>
    <definedName name="FiscalYear" localSheetId="2">'EMAA|0303-00'!$M$4</definedName>
    <definedName name="FiscalYear" localSheetId="4">'EMAA|0348-00'!$M$4</definedName>
    <definedName name="FiscalYear" localSheetId="3">'EMAA|0349-00'!$M$4</definedName>
    <definedName name="FiscalYear" localSheetId="5">'EMLO|0001-00'!$M$4</definedName>
    <definedName name="FiscalYear" localSheetId="6">'EMLO|0302-00'!$M$4</definedName>
    <definedName name="FiscalYear" localSheetId="7">'EMLO|0303-00'!$M$4</definedName>
    <definedName name="FiscalYear" localSheetId="8">'EMLO|0348-00'!$M$4</definedName>
    <definedName name="FiscalYear" localSheetId="9">'EMLO|0349-00'!$M$4</definedName>
    <definedName name="FiscalYear" localSheetId="10">'EMUI|0001-00'!$M$4</definedName>
    <definedName name="FiscalYear" localSheetId="11">'EMUI|0302-00'!$M$4</definedName>
    <definedName name="FiscalYear" localSheetId="12">'EMUI|0348-00'!$M$4</definedName>
    <definedName name="FiscalYear" localSheetId="13">'EMUI|0349-00'!$M$4</definedName>
    <definedName name="FiscalYear">'B6'!$M$4</definedName>
    <definedName name="FundName" localSheetId="0">'EMAA|0001-00'!$I$5</definedName>
    <definedName name="FundName" localSheetId="1">'EMAA|0302-00'!$I$5</definedName>
    <definedName name="FundName" localSheetId="2">'EMAA|0303-00'!$I$5</definedName>
    <definedName name="FundName" localSheetId="4">'EMAA|0348-00'!$I$5</definedName>
    <definedName name="FundName" localSheetId="3">'EMAA|0349-00'!$I$5</definedName>
    <definedName name="FundName" localSheetId="5">'EMLO|0001-00'!$I$5</definedName>
    <definedName name="FundName" localSheetId="6">'EMLO|0302-00'!$I$5</definedName>
    <definedName name="FundName" localSheetId="7">'EMLO|0303-00'!$I$5</definedName>
    <definedName name="FundName" localSheetId="8">'EMLO|0348-00'!$I$5</definedName>
    <definedName name="FundName" localSheetId="9">'EMLO|0349-00'!$I$5</definedName>
    <definedName name="FundName" localSheetId="10">'EMUI|0001-00'!$I$5</definedName>
    <definedName name="FundName" localSheetId="11">'EMUI|0302-00'!$I$5</definedName>
    <definedName name="FundName" localSheetId="12">'EMUI|0348-00'!$I$5</definedName>
    <definedName name="FundName" localSheetId="13">'EMUI|0349-00'!$I$5</definedName>
    <definedName name="FundName">'B6'!$I$5</definedName>
    <definedName name="FundNum" localSheetId="0">'EMAA|0001-00'!$N$5</definedName>
    <definedName name="FundNum" localSheetId="1">'EMAA|0302-00'!$N$5</definedName>
    <definedName name="FundNum" localSheetId="2">'EMAA|0303-00'!$N$5</definedName>
    <definedName name="FundNum" localSheetId="4">'EMAA|0348-00'!$N$5</definedName>
    <definedName name="FundNum" localSheetId="3">'EMAA|0349-00'!$N$5</definedName>
    <definedName name="FundNum" localSheetId="5">'EMLO|0001-00'!$N$5</definedName>
    <definedName name="FundNum" localSheetId="6">'EMLO|0302-00'!$N$5</definedName>
    <definedName name="FundNum" localSheetId="7">'EMLO|0303-00'!$N$5</definedName>
    <definedName name="FundNum" localSheetId="8">'EMLO|0348-00'!$N$5</definedName>
    <definedName name="FundNum" localSheetId="9">'EMLO|0349-00'!$N$5</definedName>
    <definedName name="FundNum" localSheetId="10">'EMUI|0001-00'!$N$5</definedName>
    <definedName name="FundNum" localSheetId="11">'EMUI|0302-00'!$N$5</definedName>
    <definedName name="FundNum" localSheetId="12">'EMUI|0348-00'!$N$5</definedName>
    <definedName name="FundNum" localSheetId="13">'EMUI|0349-00'!$N$5</definedName>
    <definedName name="FundNum">'B6'!$N$5</definedName>
    <definedName name="FundNumber" localSheetId="0">'EMAA|0001-00'!$N$5</definedName>
    <definedName name="FundNumber" localSheetId="1">'EMAA|0302-00'!$N$5</definedName>
    <definedName name="FundNumber" localSheetId="2">'EMAA|0303-00'!$N$5</definedName>
    <definedName name="FundNumber" localSheetId="4">'EMAA|0348-00'!$N$5</definedName>
    <definedName name="FundNumber" localSheetId="3">'EMAA|0349-00'!$N$5</definedName>
    <definedName name="FundNumber" localSheetId="5">'EMLO|0001-00'!$N$5</definedName>
    <definedName name="FundNumber" localSheetId="6">'EMLO|0302-00'!$N$5</definedName>
    <definedName name="FundNumber" localSheetId="7">'EMLO|0303-00'!$N$5</definedName>
    <definedName name="FundNumber" localSheetId="8">'EMLO|0348-00'!$N$5</definedName>
    <definedName name="FundNumber" localSheetId="9">'EMLO|0349-00'!$N$5</definedName>
    <definedName name="FundNumber" localSheetId="10">'EMUI|0001-00'!$N$5</definedName>
    <definedName name="FundNumber" localSheetId="11">'EMUI|0302-00'!$N$5</definedName>
    <definedName name="FundNumber" localSheetId="12">'EMUI|0348-00'!$N$5</definedName>
    <definedName name="FundNumber" localSheetId="13">'EMUI|0349-00'!$N$5</definedName>
    <definedName name="FundNumber">'B6'!$N$5</definedName>
    <definedName name="FundSummaryEst">FundSummary!$H$5</definedName>
    <definedName name="FundSummaryLastColumn">FundSummary!$M$6</definedName>
    <definedName name="FundSummaryPermActual">FundSummary!$F$5</definedName>
    <definedName name="FundSummaryPermBY">FundSummary!$L$5</definedName>
    <definedName name="FundSummaryPermCY">FundSummary!$I$5</definedName>
    <definedName name="FundSummaryProj">FundSummary!$K$5</definedName>
    <definedName name="FundSummaryStartData">FundSummary!$E$8</definedName>
    <definedName name="Group_name" localSheetId="0">'EMAA|0001-00'!$C$11</definedName>
    <definedName name="Group_name" localSheetId="1">'EMAA|0302-00'!$C$11</definedName>
    <definedName name="Group_name" localSheetId="2">'EMAA|0303-00'!$C$11</definedName>
    <definedName name="Group_name" localSheetId="4">'EMAA|0348-00'!$C$11</definedName>
    <definedName name="Group_name" localSheetId="3">'EMAA|0349-00'!$C$11</definedName>
    <definedName name="Group_name" localSheetId="5">'EMLO|0001-00'!$C$11</definedName>
    <definedName name="Group_name" localSheetId="6">'EMLO|0302-00'!$C$11</definedName>
    <definedName name="Group_name" localSheetId="7">'EMLO|0303-00'!$C$11</definedName>
    <definedName name="Group_name" localSheetId="8">'EMLO|0348-00'!$C$11</definedName>
    <definedName name="Group_name" localSheetId="9">'EMLO|0349-00'!$C$11</definedName>
    <definedName name="Group_name" localSheetId="10">'EMUI|0001-00'!$C$11</definedName>
    <definedName name="Group_name" localSheetId="11">'EMUI|0302-00'!$C$11</definedName>
    <definedName name="Group_name" localSheetId="12">'EMUI|0348-00'!$C$11</definedName>
    <definedName name="Group_name" localSheetId="13">'EMUI|0349-00'!$C$11</definedName>
    <definedName name="Group_name">'B6'!$C$11</definedName>
    <definedName name="GroupFxdBen" localSheetId="0">'EMAA|0001-00'!$H$11</definedName>
    <definedName name="GroupFxdBen" localSheetId="1">'EMAA|0302-00'!$H$11</definedName>
    <definedName name="GroupFxdBen" localSheetId="2">'EMAA|0303-00'!$H$11</definedName>
    <definedName name="GroupFxdBen" localSheetId="4">'EMAA|0348-00'!$H$11</definedName>
    <definedName name="GroupFxdBen" localSheetId="3">'EMAA|0349-00'!$H$11</definedName>
    <definedName name="GroupFxdBen" localSheetId="5">'EMLO|0001-00'!$H$11</definedName>
    <definedName name="GroupFxdBen" localSheetId="6">'EMLO|0302-00'!$H$11</definedName>
    <definedName name="GroupFxdBen" localSheetId="7">'EMLO|0303-00'!$H$11</definedName>
    <definedName name="GroupFxdBen" localSheetId="8">'EMLO|0348-00'!$H$11</definedName>
    <definedName name="GroupFxdBen" localSheetId="9">'EMLO|0349-00'!$H$11</definedName>
    <definedName name="GroupFxdBen" localSheetId="10">'EMUI|0001-00'!$H$11</definedName>
    <definedName name="GroupFxdBen" localSheetId="11">'EMUI|0302-00'!$H$11</definedName>
    <definedName name="GroupFxdBen" localSheetId="12">'EMUI|0348-00'!$H$11</definedName>
    <definedName name="GroupFxdBen" localSheetId="13">'EMUI|0349-00'!$H$11</definedName>
    <definedName name="GroupFxdBen">'B6'!$H$11</definedName>
    <definedName name="GroupSalary" localSheetId="0">'EMAA|0001-00'!$G$11</definedName>
    <definedName name="GroupSalary" localSheetId="1">'EMAA|0302-00'!$G$11</definedName>
    <definedName name="GroupSalary" localSheetId="2">'EMAA|0303-00'!$G$11</definedName>
    <definedName name="GroupSalary" localSheetId="4">'EMAA|0348-00'!$G$11</definedName>
    <definedName name="GroupSalary" localSheetId="3">'EMAA|0349-00'!$G$11</definedName>
    <definedName name="GroupSalary" localSheetId="5">'EMLO|0001-00'!$G$11</definedName>
    <definedName name="GroupSalary" localSheetId="6">'EMLO|0302-00'!$G$11</definedName>
    <definedName name="GroupSalary" localSheetId="7">'EMLO|0303-00'!$G$11</definedName>
    <definedName name="GroupSalary" localSheetId="8">'EMLO|0348-00'!$G$11</definedName>
    <definedName name="GroupSalary" localSheetId="9">'EMLO|0349-00'!$G$11</definedName>
    <definedName name="GroupSalary" localSheetId="10">'EMUI|0001-00'!$G$11</definedName>
    <definedName name="GroupSalary" localSheetId="11">'EMUI|0302-00'!$G$11</definedName>
    <definedName name="GroupSalary" localSheetId="12">'EMUI|0348-00'!$G$11</definedName>
    <definedName name="GroupSalary" localSheetId="13">'EMUI|0349-00'!$G$11</definedName>
    <definedName name="GroupSalary">'B6'!$G$11</definedName>
    <definedName name="GroupVarBen" localSheetId="0">'EMAA|0001-00'!$I$11</definedName>
    <definedName name="GroupVarBen" localSheetId="1">'EMAA|0302-00'!$I$11</definedName>
    <definedName name="GroupVarBen" localSheetId="2">'EMAA|0303-00'!$I$11</definedName>
    <definedName name="GroupVarBen" localSheetId="4">'EMAA|0348-00'!$I$11</definedName>
    <definedName name="GroupVarBen" localSheetId="3">'EMAA|0349-00'!$I$11</definedName>
    <definedName name="GroupVarBen" localSheetId="5">'EMLO|0001-00'!$I$11</definedName>
    <definedName name="GroupVarBen" localSheetId="6">'EMLO|0302-00'!$I$11</definedName>
    <definedName name="GroupVarBen" localSheetId="7">'EMLO|0303-00'!$I$11</definedName>
    <definedName name="GroupVarBen" localSheetId="8">'EMLO|0348-00'!$I$11</definedName>
    <definedName name="GroupVarBen" localSheetId="9">'EMLO|0349-00'!$I$11</definedName>
    <definedName name="GroupVarBen" localSheetId="10">'EMUI|0001-00'!$I$11</definedName>
    <definedName name="GroupVarBen" localSheetId="11">'EMUI|0302-00'!$I$11</definedName>
    <definedName name="GroupVarBen" localSheetId="12">'EMUI|0348-00'!$I$11</definedName>
    <definedName name="GroupVarBen" localSheetId="13">'EMUI|0349-00'!$I$11</definedName>
    <definedName name="GroupVarBen">'B6'!$I$11</definedName>
    <definedName name="GroupVB">Benefits!$C$13</definedName>
    <definedName name="GroupVBBY">Benefits!$D$13</definedName>
    <definedName name="GroupVBCHG">Benefits!$E$13</definedName>
    <definedName name="Health">Benefits!$C$15</definedName>
    <definedName name="HealthBY">Benefits!$D$15</definedName>
    <definedName name="HealthCHG">Benefits!$E$15</definedName>
    <definedName name="Life">Benefits!$C$9</definedName>
    <definedName name="LifeBY">Benefits!$D$9</definedName>
    <definedName name="LifeCHG">Benefits!$E$9</definedName>
    <definedName name="LUMAFund" localSheetId="0">'EMAA|0001-00'!$M$2</definedName>
    <definedName name="LUMAFund" localSheetId="1">'EMAA|0302-00'!$M$2</definedName>
    <definedName name="LUMAFund" localSheetId="2">'EMAA|0303-00'!$M$2</definedName>
    <definedName name="LUMAFund" localSheetId="4">'EMAA|0348-00'!$M$2</definedName>
    <definedName name="LUMAFund" localSheetId="3">'EMAA|0349-00'!$M$2</definedName>
    <definedName name="LUMAFund" localSheetId="5">'EMLO|0001-00'!$M$2</definedName>
    <definedName name="LUMAFund" localSheetId="6">'EMLO|0302-00'!$M$2</definedName>
    <definedName name="LUMAFund" localSheetId="7">'EMLO|0303-00'!$M$2</definedName>
    <definedName name="LUMAFund" localSheetId="8">'EMLO|0348-00'!$M$2</definedName>
    <definedName name="LUMAFund" localSheetId="9">'EMLO|0349-00'!$M$2</definedName>
    <definedName name="LUMAFund" localSheetId="10">'EMUI|0001-00'!$M$2</definedName>
    <definedName name="LUMAFund" localSheetId="11">'EMUI|0302-00'!$M$2</definedName>
    <definedName name="LUMAFund" localSheetId="12">'EMUI|0348-00'!$M$2</definedName>
    <definedName name="LUMAFund" localSheetId="13">'EMUI|0349-00'!$M$2</definedName>
    <definedName name="LUMAFund">'B6'!$M$2</definedName>
    <definedName name="MAXSSDI">Benefits!$F$5</definedName>
    <definedName name="MAXSSDIBY">Benefits!$G$5</definedName>
    <definedName name="NEW_AdjGroup" localSheetId="0">'EMAA|0001-00'!$AC$39</definedName>
    <definedName name="NEW_AdjGroup" localSheetId="1">'EMAA|0302-00'!$AC$39</definedName>
    <definedName name="NEW_AdjGroup" localSheetId="2">'EMAA|0303-00'!$AC$39</definedName>
    <definedName name="NEW_AdjGroup" localSheetId="4">'EMAA|0348-00'!$AC$39</definedName>
    <definedName name="NEW_AdjGroup" localSheetId="3">'EMAA|0349-00'!$AC$39</definedName>
    <definedName name="NEW_AdjGroup" localSheetId="5">'EMLO|0001-00'!$AC$39</definedName>
    <definedName name="NEW_AdjGroup" localSheetId="6">'EMLO|0302-00'!$AC$39</definedName>
    <definedName name="NEW_AdjGroup" localSheetId="7">'EMLO|0303-00'!$AC$39</definedName>
    <definedName name="NEW_AdjGroup" localSheetId="8">'EMLO|0348-00'!$AC$39</definedName>
    <definedName name="NEW_AdjGroup" localSheetId="9">'EMLO|0349-00'!$AC$39</definedName>
    <definedName name="NEW_AdjGroup" localSheetId="10">'EMUI|0001-00'!$AC$39</definedName>
    <definedName name="NEW_AdjGroup" localSheetId="11">'EMUI|0302-00'!$AC$39</definedName>
    <definedName name="NEW_AdjGroup" localSheetId="12">'EMUI|0348-00'!$AC$39</definedName>
    <definedName name="NEW_AdjGroup" localSheetId="13">'EMUI|0349-00'!$AC$39</definedName>
    <definedName name="NEW_AdjGroup">'B6'!$AC$39</definedName>
    <definedName name="NEW_AdjGroupSalary" localSheetId="0">'EMAA|0001-00'!$AA$39</definedName>
    <definedName name="NEW_AdjGroupSalary" localSheetId="1">'EMAA|0302-00'!$AA$39</definedName>
    <definedName name="NEW_AdjGroupSalary" localSheetId="2">'EMAA|0303-00'!$AA$39</definedName>
    <definedName name="NEW_AdjGroupSalary" localSheetId="4">'EMAA|0348-00'!$AA$39</definedName>
    <definedName name="NEW_AdjGroupSalary" localSheetId="3">'EMAA|0349-00'!$AA$39</definedName>
    <definedName name="NEW_AdjGroupSalary" localSheetId="5">'EMLO|0001-00'!$AA$39</definedName>
    <definedName name="NEW_AdjGroupSalary" localSheetId="6">'EMLO|0302-00'!$AA$39</definedName>
    <definedName name="NEW_AdjGroupSalary" localSheetId="7">'EMLO|0303-00'!$AA$39</definedName>
    <definedName name="NEW_AdjGroupSalary" localSheetId="8">'EMLO|0348-00'!$AA$39</definedName>
    <definedName name="NEW_AdjGroupSalary" localSheetId="9">'EMLO|0349-00'!$AA$39</definedName>
    <definedName name="NEW_AdjGroupSalary" localSheetId="10">'EMUI|0001-00'!$AA$39</definedName>
    <definedName name="NEW_AdjGroupSalary" localSheetId="11">'EMUI|0302-00'!$AA$39</definedName>
    <definedName name="NEW_AdjGroupSalary" localSheetId="12">'EMUI|0348-00'!$AA$39</definedName>
    <definedName name="NEW_AdjGroupSalary" localSheetId="13">'EMUI|0349-00'!$AA$39</definedName>
    <definedName name="NEW_AdjGroupSalary">'B6'!$AA$39</definedName>
    <definedName name="NEW_AdjGroupVB" localSheetId="0">'EMAA|0001-00'!$AB$39</definedName>
    <definedName name="NEW_AdjGroupVB" localSheetId="1">'EMAA|0302-00'!$AB$39</definedName>
    <definedName name="NEW_AdjGroupVB" localSheetId="2">'EMAA|0303-00'!$AB$39</definedName>
    <definedName name="NEW_AdjGroupVB" localSheetId="4">'EMAA|0348-00'!$AB$39</definedName>
    <definedName name="NEW_AdjGroupVB" localSheetId="3">'EMAA|0349-00'!$AB$39</definedName>
    <definedName name="NEW_AdjGroupVB" localSheetId="5">'EMLO|0001-00'!$AB$39</definedName>
    <definedName name="NEW_AdjGroupVB" localSheetId="6">'EMLO|0302-00'!$AB$39</definedName>
    <definedName name="NEW_AdjGroupVB" localSheetId="7">'EMLO|0303-00'!$AB$39</definedName>
    <definedName name="NEW_AdjGroupVB" localSheetId="8">'EMLO|0348-00'!$AB$39</definedName>
    <definedName name="NEW_AdjGroupVB" localSheetId="9">'EMLO|0349-00'!$AB$39</definedName>
    <definedName name="NEW_AdjGroupVB" localSheetId="10">'EMUI|0001-00'!$AB$39</definedName>
    <definedName name="NEW_AdjGroupVB" localSheetId="11">'EMUI|0302-00'!$AB$39</definedName>
    <definedName name="NEW_AdjGroupVB" localSheetId="12">'EMUI|0348-00'!$AB$39</definedName>
    <definedName name="NEW_AdjGroupVB" localSheetId="13">'EMUI|0349-00'!$AB$39</definedName>
    <definedName name="NEW_AdjGroupVB">'B6'!$AB$39</definedName>
    <definedName name="NEW_AdjONLYGroup" localSheetId="0">'EMAA|0001-00'!$AC$45</definedName>
    <definedName name="NEW_AdjONLYGroup" localSheetId="1">'EMAA|0302-00'!$AC$45</definedName>
    <definedName name="NEW_AdjONLYGroup" localSheetId="2">'EMAA|0303-00'!$AC$45</definedName>
    <definedName name="NEW_AdjONLYGroup" localSheetId="4">'EMAA|0348-00'!$AC$45</definedName>
    <definedName name="NEW_AdjONLYGroup" localSheetId="3">'EMAA|0349-00'!$AC$45</definedName>
    <definedName name="NEW_AdjONLYGroup" localSheetId="5">'EMLO|0001-00'!$AC$45</definedName>
    <definedName name="NEW_AdjONLYGroup" localSheetId="6">'EMLO|0302-00'!$AC$45</definedName>
    <definedName name="NEW_AdjONLYGroup" localSheetId="7">'EMLO|0303-00'!$AC$45</definedName>
    <definedName name="NEW_AdjONLYGroup" localSheetId="8">'EMLO|0348-00'!$AC$45</definedName>
    <definedName name="NEW_AdjONLYGroup" localSheetId="9">'EMLO|0349-00'!$AC$45</definedName>
    <definedName name="NEW_AdjONLYGroup" localSheetId="10">'EMUI|0001-00'!$AC$45</definedName>
    <definedName name="NEW_AdjONLYGroup" localSheetId="11">'EMUI|0302-00'!$AC$45</definedName>
    <definedName name="NEW_AdjONLYGroup" localSheetId="12">'EMUI|0348-00'!$AC$45</definedName>
    <definedName name="NEW_AdjONLYGroup" localSheetId="13">'EMUI|0349-00'!$AC$45</definedName>
    <definedName name="NEW_AdjONLYGroup">'B6'!$AC$45</definedName>
    <definedName name="NEW_AdjONLYGroupSalary" localSheetId="0">'EMAA|0001-00'!$AA$45</definedName>
    <definedName name="NEW_AdjONLYGroupSalary" localSheetId="1">'EMAA|0302-00'!$AA$45</definedName>
    <definedName name="NEW_AdjONLYGroupSalary" localSheetId="2">'EMAA|0303-00'!$AA$45</definedName>
    <definedName name="NEW_AdjONLYGroupSalary" localSheetId="4">'EMAA|0348-00'!$AA$45</definedName>
    <definedName name="NEW_AdjONLYGroupSalary" localSheetId="3">'EMAA|0349-00'!$AA$45</definedName>
    <definedName name="NEW_AdjONLYGroupSalary" localSheetId="5">'EMLO|0001-00'!$AA$45</definedName>
    <definedName name="NEW_AdjONLYGroupSalary" localSheetId="6">'EMLO|0302-00'!$AA$45</definedName>
    <definedName name="NEW_AdjONLYGroupSalary" localSheetId="7">'EMLO|0303-00'!$AA$45</definedName>
    <definedName name="NEW_AdjONLYGroupSalary" localSheetId="8">'EMLO|0348-00'!$AA$45</definedName>
    <definedName name="NEW_AdjONLYGroupSalary" localSheetId="9">'EMLO|0349-00'!$AA$45</definedName>
    <definedName name="NEW_AdjONLYGroupSalary" localSheetId="10">'EMUI|0001-00'!$AA$45</definedName>
    <definedName name="NEW_AdjONLYGroupSalary" localSheetId="11">'EMUI|0302-00'!$AA$45</definedName>
    <definedName name="NEW_AdjONLYGroupSalary" localSheetId="12">'EMUI|0348-00'!$AA$45</definedName>
    <definedName name="NEW_AdjONLYGroupSalary" localSheetId="13">'EMUI|0349-00'!$AA$45</definedName>
    <definedName name="NEW_AdjONLYGroupSalary">'B6'!$AA$45</definedName>
    <definedName name="NEW_AdjONLYGroupVB" localSheetId="0">'EMAA|0001-00'!$AB$45</definedName>
    <definedName name="NEW_AdjONLYGroupVB" localSheetId="1">'EMAA|0302-00'!$AB$45</definedName>
    <definedName name="NEW_AdjONLYGroupVB" localSheetId="2">'EMAA|0303-00'!$AB$45</definedName>
    <definedName name="NEW_AdjONLYGroupVB" localSheetId="4">'EMAA|0348-00'!$AB$45</definedName>
    <definedName name="NEW_AdjONLYGroupVB" localSheetId="3">'EMAA|0349-00'!$AB$45</definedName>
    <definedName name="NEW_AdjONLYGroupVB" localSheetId="5">'EMLO|0001-00'!$AB$45</definedName>
    <definedName name="NEW_AdjONLYGroupVB" localSheetId="6">'EMLO|0302-00'!$AB$45</definedName>
    <definedName name="NEW_AdjONLYGroupVB" localSheetId="7">'EMLO|0303-00'!$AB$45</definedName>
    <definedName name="NEW_AdjONLYGroupVB" localSheetId="8">'EMLO|0348-00'!$AB$45</definedName>
    <definedName name="NEW_AdjONLYGroupVB" localSheetId="9">'EMLO|0349-00'!$AB$45</definedName>
    <definedName name="NEW_AdjONLYGroupVB" localSheetId="10">'EMUI|0001-00'!$AB$45</definedName>
    <definedName name="NEW_AdjONLYGroupVB" localSheetId="11">'EMUI|0302-00'!$AB$45</definedName>
    <definedName name="NEW_AdjONLYGroupVB" localSheetId="12">'EMUI|0348-00'!$AB$45</definedName>
    <definedName name="NEW_AdjONLYGroupVB" localSheetId="13">'EMUI|0349-00'!$AB$45</definedName>
    <definedName name="NEW_AdjONLYGroupVB">'B6'!$AB$45</definedName>
    <definedName name="NEW_AdjONLYPerm" localSheetId="0">'EMAA|0001-00'!$AC$44</definedName>
    <definedName name="NEW_AdjONLYPerm" localSheetId="1">'EMAA|0302-00'!$AC$44</definedName>
    <definedName name="NEW_AdjONLYPerm" localSheetId="2">'EMAA|0303-00'!$AC$44</definedName>
    <definedName name="NEW_AdjONLYPerm" localSheetId="4">'EMAA|0348-00'!$AC$44</definedName>
    <definedName name="NEW_AdjONLYPerm" localSheetId="3">'EMAA|0349-00'!$AC$44</definedName>
    <definedName name="NEW_AdjONLYPerm" localSheetId="5">'EMLO|0001-00'!$AC$44</definedName>
    <definedName name="NEW_AdjONLYPerm" localSheetId="6">'EMLO|0302-00'!$AC$44</definedName>
    <definedName name="NEW_AdjONLYPerm" localSheetId="7">'EMLO|0303-00'!$AC$44</definedName>
    <definedName name="NEW_AdjONLYPerm" localSheetId="8">'EMLO|0348-00'!$AC$44</definedName>
    <definedName name="NEW_AdjONLYPerm" localSheetId="9">'EMLO|0349-00'!$AC$44</definedName>
    <definedName name="NEW_AdjONLYPerm" localSheetId="10">'EMUI|0001-00'!$AC$44</definedName>
    <definedName name="NEW_AdjONLYPerm" localSheetId="11">'EMUI|0302-00'!$AC$44</definedName>
    <definedName name="NEW_AdjONLYPerm" localSheetId="12">'EMUI|0348-00'!$AC$44</definedName>
    <definedName name="NEW_AdjONLYPerm" localSheetId="13">'EMUI|0349-00'!$AC$44</definedName>
    <definedName name="NEW_AdjONLYPerm">'B6'!$AC$44</definedName>
    <definedName name="NEW_AdjONLYPermSalary" localSheetId="0">'EMAA|0001-00'!$AA$44</definedName>
    <definedName name="NEW_AdjONLYPermSalary" localSheetId="1">'EMAA|0302-00'!$AA$44</definedName>
    <definedName name="NEW_AdjONLYPermSalary" localSheetId="2">'EMAA|0303-00'!$AA$44</definedName>
    <definedName name="NEW_AdjONLYPermSalary" localSheetId="4">'EMAA|0348-00'!$AA$44</definedName>
    <definedName name="NEW_AdjONLYPermSalary" localSheetId="3">'EMAA|0349-00'!$AA$44</definedName>
    <definedName name="NEW_AdjONLYPermSalary" localSheetId="5">'EMLO|0001-00'!$AA$44</definedName>
    <definedName name="NEW_AdjONLYPermSalary" localSheetId="6">'EMLO|0302-00'!$AA$44</definedName>
    <definedName name="NEW_AdjONLYPermSalary" localSheetId="7">'EMLO|0303-00'!$AA$44</definedName>
    <definedName name="NEW_AdjONLYPermSalary" localSheetId="8">'EMLO|0348-00'!$AA$44</definedName>
    <definedName name="NEW_AdjONLYPermSalary" localSheetId="9">'EMLO|0349-00'!$AA$44</definedName>
    <definedName name="NEW_AdjONLYPermSalary" localSheetId="10">'EMUI|0001-00'!$AA$44</definedName>
    <definedName name="NEW_AdjONLYPermSalary" localSheetId="11">'EMUI|0302-00'!$AA$44</definedName>
    <definedName name="NEW_AdjONLYPermSalary" localSheetId="12">'EMUI|0348-00'!$AA$44</definedName>
    <definedName name="NEW_AdjONLYPermSalary" localSheetId="13">'EMUI|0349-00'!$AA$44</definedName>
    <definedName name="NEW_AdjONLYPermSalary">'B6'!$AA$44</definedName>
    <definedName name="NEW_AdjONLYPermVB" localSheetId="0">'EMAA|0001-00'!$AB$44</definedName>
    <definedName name="NEW_AdjONLYPermVB" localSheetId="1">'EMAA|0302-00'!$AB$44</definedName>
    <definedName name="NEW_AdjONLYPermVB" localSheetId="2">'EMAA|0303-00'!$AB$44</definedName>
    <definedName name="NEW_AdjONLYPermVB" localSheetId="4">'EMAA|0348-00'!$AB$44</definedName>
    <definedName name="NEW_AdjONLYPermVB" localSheetId="3">'EMAA|0349-00'!$AB$44</definedName>
    <definedName name="NEW_AdjONLYPermVB" localSheetId="5">'EMLO|0001-00'!$AB$44</definedName>
    <definedName name="NEW_AdjONLYPermVB" localSheetId="6">'EMLO|0302-00'!$AB$44</definedName>
    <definedName name="NEW_AdjONLYPermVB" localSheetId="7">'EMLO|0303-00'!$AB$44</definedName>
    <definedName name="NEW_AdjONLYPermVB" localSheetId="8">'EMLO|0348-00'!$AB$44</definedName>
    <definedName name="NEW_AdjONLYPermVB" localSheetId="9">'EMLO|0349-00'!$AB$44</definedName>
    <definedName name="NEW_AdjONLYPermVB" localSheetId="10">'EMUI|0001-00'!$AB$44</definedName>
    <definedName name="NEW_AdjONLYPermVB" localSheetId="11">'EMUI|0302-00'!$AB$44</definedName>
    <definedName name="NEW_AdjONLYPermVB" localSheetId="12">'EMUI|0348-00'!$AB$44</definedName>
    <definedName name="NEW_AdjONLYPermVB" localSheetId="13">'EMUI|0349-00'!$AB$44</definedName>
    <definedName name="NEW_AdjONLYPermVB">'B6'!$AB$44</definedName>
    <definedName name="NEW_AdjPerm" localSheetId="0">'EMAA|0001-00'!$AC$38</definedName>
    <definedName name="NEW_AdjPerm" localSheetId="1">'EMAA|0302-00'!$AC$38</definedName>
    <definedName name="NEW_AdjPerm" localSheetId="2">'EMAA|0303-00'!$AC$38</definedName>
    <definedName name="NEW_AdjPerm" localSheetId="4">'EMAA|0348-00'!$AC$38</definedName>
    <definedName name="NEW_AdjPerm" localSheetId="3">'EMAA|0349-00'!$AC$38</definedName>
    <definedName name="NEW_AdjPerm" localSheetId="5">'EMLO|0001-00'!$AC$38</definedName>
    <definedName name="NEW_AdjPerm" localSheetId="6">'EMLO|0302-00'!$AC$38</definedName>
    <definedName name="NEW_AdjPerm" localSheetId="7">'EMLO|0303-00'!$AC$38</definedName>
    <definedName name="NEW_AdjPerm" localSheetId="8">'EMLO|0348-00'!$AC$38</definedName>
    <definedName name="NEW_AdjPerm" localSheetId="9">'EMLO|0349-00'!$AC$38</definedName>
    <definedName name="NEW_AdjPerm" localSheetId="10">'EMUI|0001-00'!$AC$38</definedName>
    <definedName name="NEW_AdjPerm" localSheetId="11">'EMUI|0302-00'!$AC$38</definedName>
    <definedName name="NEW_AdjPerm" localSheetId="12">'EMUI|0348-00'!$AC$38</definedName>
    <definedName name="NEW_AdjPerm" localSheetId="13">'EMUI|0349-00'!$AC$38</definedName>
    <definedName name="NEW_AdjPerm">'B6'!$AC$38</definedName>
    <definedName name="NEW_AdjPermSalary" localSheetId="0">'EMAA|0001-00'!$AA$38</definedName>
    <definedName name="NEW_AdjPermSalary" localSheetId="1">'EMAA|0302-00'!$AA$38</definedName>
    <definedName name="NEW_AdjPermSalary" localSheetId="2">'EMAA|0303-00'!$AA$38</definedName>
    <definedName name="NEW_AdjPermSalary" localSheetId="4">'EMAA|0348-00'!$AA$38</definedName>
    <definedName name="NEW_AdjPermSalary" localSheetId="3">'EMAA|0349-00'!$AA$38</definedName>
    <definedName name="NEW_AdjPermSalary" localSheetId="5">'EMLO|0001-00'!$AA$38</definedName>
    <definedName name="NEW_AdjPermSalary" localSheetId="6">'EMLO|0302-00'!$AA$38</definedName>
    <definedName name="NEW_AdjPermSalary" localSheetId="7">'EMLO|0303-00'!$AA$38</definedName>
    <definedName name="NEW_AdjPermSalary" localSheetId="8">'EMLO|0348-00'!$AA$38</definedName>
    <definedName name="NEW_AdjPermSalary" localSheetId="9">'EMLO|0349-00'!$AA$38</definedName>
    <definedName name="NEW_AdjPermSalary" localSheetId="10">'EMUI|0001-00'!$AA$38</definedName>
    <definedName name="NEW_AdjPermSalary" localSheetId="11">'EMUI|0302-00'!$AA$38</definedName>
    <definedName name="NEW_AdjPermSalary" localSheetId="12">'EMUI|0348-00'!$AA$38</definedName>
    <definedName name="NEW_AdjPermSalary" localSheetId="13">'EMUI|0349-00'!$AA$38</definedName>
    <definedName name="NEW_AdjPermSalary">'B6'!$AA$38</definedName>
    <definedName name="NEW_AdjPermVB" localSheetId="0">'EMAA|0001-00'!$AB$38</definedName>
    <definedName name="NEW_AdjPermVB" localSheetId="1">'EMAA|0302-00'!$AB$38</definedName>
    <definedName name="NEW_AdjPermVB" localSheetId="2">'EMAA|0303-00'!$AB$38</definedName>
    <definedName name="NEW_AdjPermVB" localSheetId="4">'EMAA|0348-00'!$AB$38</definedName>
    <definedName name="NEW_AdjPermVB" localSheetId="3">'EMAA|0349-00'!$AB$38</definedName>
    <definedName name="NEW_AdjPermVB" localSheetId="5">'EMLO|0001-00'!$AB$38</definedName>
    <definedName name="NEW_AdjPermVB" localSheetId="6">'EMLO|0302-00'!$AB$38</definedName>
    <definedName name="NEW_AdjPermVB" localSheetId="7">'EMLO|0303-00'!$AB$38</definedName>
    <definedName name="NEW_AdjPermVB" localSheetId="8">'EMLO|0348-00'!$AB$38</definedName>
    <definedName name="NEW_AdjPermVB" localSheetId="9">'EMLO|0349-00'!$AB$38</definedName>
    <definedName name="NEW_AdjPermVB" localSheetId="10">'EMUI|0001-00'!$AB$38</definedName>
    <definedName name="NEW_AdjPermVB" localSheetId="11">'EMUI|0302-00'!$AB$38</definedName>
    <definedName name="NEW_AdjPermVB" localSheetId="12">'EMUI|0348-00'!$AB$38</definedName>
    <definedName name="NEW_AdjPermVB" localSheetId="13">'EMUI|0349-00'!$AB$38</definedName>
    <definedName name="NEW_AdjPermVB">'B6'!$AB$38</definedName>
    <definedName name="NEW_GroupFilled" localSheetId="0">'EMAA|0001-00'!$AC$11</definedName>
    <definedName name="NEW_GroupFilled" localSheetId="1">'EMAA|0302-00'!$AC$11</definedName>
    <definedName name="NEW_GroupFilled" localSheetId="2">'EMAA|0303-00'!$AC$11</definedName>
    <definedName name="NEW_GroupFilled" localSheetId="4">'EMAA|0348-00'!$AC$11</definedName>
    <definedName name="NEW_GroupFilled" localSheetId="3">'EMAA|0349-00'!$AC$11</definedName>
    <definedName name="NEW_GroupFilled" localSheetId="5">'EMLO|0001-00'!$AC$11</definedName>
    <definedName name="NEW_GroupFilled" localSheetId="6">'EMLO|0302-00'!$AC$11</definedName>
    <definedName name="NEW_GroupFilled" localSheetId="7">'EMLO|0303-00'!$AC$11</definedName>
    <definedName name="NEW_GroupFilled" localSheetId="8">'EMLO|0348-00'!$AC$11</definedName>
    <definedName name="NEW_GroupFilled" localSheetId="9">'EMLO|0349-00'!$AC$11</definedName>
    <definedName name="NEW_GroupFilled" localSheetId="10">'EMUI|0001-00'!$AC$11</definedName>
    <definedName name="NEW_GroupFilled" localSheetId="11">'EMUI|0302-00'!$AC$11</definedName>
    <definedName name="NEW_GroupFilled" localSheetId="12">'EMUI|0348-00'!$AC$11</definedName>
    <definedName name="NEW_GroupFilled" localSheetId="13">'EMUI|0349-00'!$AC$11</definedName>
    <definedName name="NEW_GroupFilled">'B6'!$AC$11</definedName>
    <definedName name="NEW_GroupSalaryFilled" localSheetId="0">'EMAA|0001-00'!$AA$11</definedName>
    <definedName name="NEW_GroupSalaryFilled" localSheetId="1">'EMAA|0302-00'!$AA$11</definedName>
    <definedName name="NEW_GroupSalaryFilled" localSheetId="2">'EMAA|0303-00'!$AA$11</definedName>
    <definedName name="NEW_GroupSalaryFilled" localSheetId="4">'EMAA|0348-00'!$AA$11</definedName>
    <definedName name="NEW_GroupSalaryFilled" localSheetId="3">'EMAA|0349-00'!$AA$11</definedName>
    <definedName name="NEW_GroupSalaryFilled" localSheetId="5">'EMLO|0001-00'!$AA$11</definedName>
    <definedName name="NEW_GroupSalaryFilled" localSheetId="6">'EMLO|0302-00'!$AA$11</definedName>
    <definedName name="NEW_GroupSalaryFilled" localSheetId="7">'EMLO|0303-00'!$AA$11</definedName>
    <definedName name="NEW_GroupSalaryFilled" localSheetId="8">'EMLO|0348-00'!$AA$11</definedName>
    <definedName name="NEW_GroupSalaryFilled" localSheetId="9">'EMLO|0349-00'!$AA$11</definedName>
    <definedName name="NEW_GroupSalaryFilled" localSheetId="10">'EMUI|0001-00'!$AA$11</definedName>
    <definedName name="NEW_GroupSalaryFilled" localSheetId="11">'EMUI|0302-00'!$AA$11</definedName>
    <definedName name="NEW_GroupSalaryFilled" localSheetId="12">'EMUI|0348-00'!$AA$11</definedName>
    <definedName name="NEW_GroupSalaryFilled" localSheetId="13">'EMUI|0349-00'!$AA$11</definedName>
    <definedName name="NEW_GroupSalaryFilled">'B6'!$AA$11</definedName>
    <definedName name="NEW_GroupVBFilled" localSheetId="0">'EMAA|0001-00'!$AB$11</definedName>
    <definedName name="NEW_GroupVBFilled" localSheetId="1">'EMAA|0302-00'!$AB$11</definedName>
    <definedName name="NEW_GroupVBFilled" localSheetId="2">'EMAA|0303-00'!$AB$11</definedName>
    <definedName name="NEW_GroupVBFilled" localSheetId="4">'EMAA|0348-00'!$AB$11</definedName>
    <definedName name="NEW_GroupVBFilled" localSheetId="3">'EMAA|0349-00'!$AB$11</definedName>
    <definedName name="NEW_GroupVBFilled" localSheetId="5">'EMLO|0001-00'!$AB$11</definedName>
    <definedName name="NEW_GroupVBFilled" localSheetId="6">'EMLO|0302-00'!$AB$11</definedName>
    <definedName name="NEW_GroupVBFilled" localSheetId="7">'EMLO|0303-00'!$AB$11</definedName>
    <definedName name="NEW_GroupVBFilled" localSheetId="8">'EMLO|0348-00'!$AB$11</definedName>
    <definedName name="NEW_GroupVBFilled" localSheetId="9">'EMLO|0349-00'!$AB$11</definedName>
    <definedName name="NEW_GroupVBFilled" localSheetId="10">'EMUI|0001-00'!$AB$11</definedName>
    <definedName name="NEW_GroupVBFilled" localSheetId="11">'EMUI|0302-00'!$AB$11</definedName>
    <definedName name="NEW_GroupVBFilled" localSheetId="12">'EMUI|0348-00'!$AB$11</definedName>
    <definedName name="NEW_GroupVBFilled" localSheetId="13">'EMUI|0349-00'!$AB$11</definedName>
    <definedName name="NEW_GroupVBFilled">'B6'!$AB$11</definedName>
    <definedName name="NEW_PermFilled" localSheetId="0">'EMAA|0001-00'!$AC$10</definedName>
    <definedName name="NEW_PermFilled" localSheetId="1">'EMAA|0302-00'!$AC$10</definedName>
    <definedName name="NEW_PermFilled" localSheetId="2">'EMAA|0303-00'!$AC$10</definedName>
    <definedName name="NEW_PermFilled" localSheetId="4">'EMAA|0348-00'!$AC$10</definedName>
    <definedName name="NEW_PermFilled" localSheetId="3">'EMAA|0349-00'!$AC$10</definedName>
    <definedName name="NEW_PermFilled" localSheetId="5">'EMLO|0001-00'!$AC$10</definedName>
    <definedName name="NEW_PermFilled" localSheetId="6">'EMLO|0302-00'!$AC$10</definedName>
    <definedName name="NEW_PermFilled" localSheetId="7">'EMLO|0303-00'!$AC$10</definedName>
    <definedName name="NEW_PermFilled" localSheetId="8">'EMLO|0348-00'!$AC$10</definedName>
    <definedName name="NEW_PermFilled" localSheetId="9">'EMLO|0349-00'!$AC$10</definedName>
    <definedName name="NEW_PermFilled" localSheetId="10">'EMUI|0001-00'!$AC$10</definedName>
    <definedName name="NEW_PermFilled" localSheetId="11">'EMUI|0302-00'!$AC$10</definedName>
    <definedName name="NEW_PermFilled" localSheetId="12">'EMUI|0348-00'!$AC$10</definedName>
    <definedName name="NEW_PermFilled" localSheetId="13">'EMUI|0349-00'!$AC$10</definedName>
    <definedName name="NEW_PermFilled">'B6'!$AC$10</definedName>
    <definedName name="NEW_PermSalaryFilled" localSheetId="0">'EMAA|0001-00'!$AA$10</definedName>
    <definedName name="NEW_PermSalaryFilled" localSheetId="1">'EMAA|0302-00'!$AA$10</definedName>
    <definedName name="NEW_PermSalaryFilled" localSheetId="2">'EMAA|0303-00'!$AA$10</definedName>
    <definedName name="NEW_PermSalaryFilled" localSheetId="4">'EMAA|0348-00'!$AA$10</definedName>
    <definedName name="NEW_PermSalaryFilled" localSheetId="3">'EMAA|0349-00'!$AA$10</definedName>
    <definedName name="NEW_PermSalaryFilled" localSheetId="5">'EMLO|0001-00'!$AA$10</definedName>
    <definedName name="NEW_PermSalaryFilled" localSheetId="6">'EMLO|0302-00'!$AA$10</definedName>
    <definedName name="NEW_PermSalaryFilled" localSheetId="7">'EMLO|0303-00'!$AA$10</definedName>
    <definedName name="NEW_PermSalaryFilled" localSheetId="8">'EMLO|0348-00'!$AA$10</definedName>
    <definedName name="NEW_PermSalaryFilled" localSheetId="9">'EMLO|0349-00'!$AA$10</definedName>
    <definedName name="NEW_PermSalaryFilled" localSheetId="10">'EMUI|0001-00'!$AA$10</definedName>
    <definedName name="NEW_PermSalaryFilled" localSheetId="11">'EMUI|0302-00'!$AA$10</definedName>
    <definedName name="NEW_PermSalaryFilled" localSheetId="12">'EMUI|0348-00'!$AA$10</definedName>
    <definedName name="NEW_PermSalaryFilled" localSheetId="13">'EMUI|0349-00'!$AA$10</definedName>
    <definedName name="NEW_PermSalaryFilled">'B6'!$AA$10</definedName>
    <definedName name="NEW_PermVBFilled" localSheetId="0">'EMAA|0001-00'!$AB$10</definedName>
    <definedName name="NEW_PermVBFilled" localSheetId="1">'EMAA|0302-00'!$AB$10</definedName>
    <definedName name="NEW_PermVBFilled" localSheetId="2">'EMAA|0303-00'!$AB$10</definedName>
    <definedName name="NEW_PermVBFilled" localSheetId="4">'EMAA|0348-00'!$AB$10</definedName>
    <definedName name="NEW_PermVBFilled" localSheetId="3">'EMAA|0349-00'!$AB$10</definedName>
    <definedName name="NEW_PermVBFilled" localSheetId="5">'EMLO|0001-00'!$AB$10</definedName>
    <definedName name="NEW_PermVBFilled" localSheetId="6">'EMLO|0302-00'!$AB$10</definedName>
    <definedName name="NEW_PermVBFilled" localSheetId="7">'EMLO|0303-00'!$AB$10</definedName>
    <definedName name="NEW_PermVBFilled" localSheetId="8">'EMLO|0348-00'!$AB$10</definedName>
    <definedName name="NEW_PermVBFilled" localSheetId="9">'EMLO|0349-00'!$AB$10</definedName>
    <definedName name="NEW_PermVBFilled" localSheetId="10">'EMUI|0001-00'!$AB$10</definedName>
    <definedName name="NEW_PermVBFilled" localSheetId="11">'EMUI|0302-00'!$AB$10</definedName>
    <definedName name="NEW_PermVBFilled" localSheetId="12">'EMUI|0348-00'!$AB$10</definedName>
    <definedName name="NEW_PermVBFilled" localSheetId="13">'EMUI|0349-00'!$AB$10</definedName>
    <definedName name="NEW_PermVBFilled">'B6'!$AB$10</definedName>
    <definedName name="OneTimePC_Total" localSheetId="0">'EMAA|0001-00'!$J$63</definedName>
    <definedName name="OneTimePC_Total" localSheetId="1">'EMAA|0302-00'!$J$63</definedName>
    <definedName name="OneTimePC_Total" localSheetId="2">'EMAA|0303-00'!$J$63</definedName>
    <definedName name="OneTimePC_Total" localSheetId="4">'EMAA|0348-00'!$J$63</definedName>
    <definedName name="OneTimePC_Total" localSheetId="3">'EMAA|0349-00'!$J$63</definedName>
    <definedName name="OneTimePC_Total" localSheetId="5">'EMLO|0001-00'!$J$63</definedName>
    <definedName name="OneTimePC_Total" localSheetId="6">'EMLO|0302-00'!$J$63</definedName>
    <definedName name="OneTimePC_Total" localSheetId="7">'EMLO|0303-00'!$J$63</definedName>
    <definedName name="OneTimePC_Total" localSheetId="8">'EMLO|0348-00'!$J$63</definedName>
    <definedName name="OneTimePC_Total" localSheetId="9">'EMLO|0349-00'!$J$63</definedName>
    <definedName name="OneTimePC_Total" localSheetId="10">'EMUI|0001-00'!$J$63</definedName>
    <definedName name="OneTimePC_Total" localSheetId="11">'EMUI|0302-00'!$J$63</definedName>
    <definedName name="OneTimePC_Total" localSheetId="12">'EMUI|0348-00'!$J$63</definedName>
    <definedName name="OneTimePC_Total" localSheetId="13">'EMUI|0349-00'!$J$63</definedName>
    <definedName name="OneTimePC_Total">'B6'!$J$63</definedName>
    <definedName name="OrigApprop" localSheetId="0">'EMAA|0001-00'!$E$15</definedName>
    <definedName name="OrigApprop" localSheetId="1">'EMAA|0302-00'!$E$15</definedName>
    <definedName name="OrigApprop" localSheetId="2">'EMAA|0303-00'!$E$15</definedName>
    <definedName name="OrigApprop" localSheetId="4">'EMAA|0348-00'!$E$15</definedName>
    <definedName name="OrigApprop" localSheetId="3">'EMAA|0349-00'!$E$15</definedName>
    <definedName name="OrigApprop" localSheetId="5">'EMLO|0001-00'!$E$15</definedName>
    <definedName name="OrigApprop" localSheetId="6">'EMLO|0302-00'!$E$15</definedName>
    <definedName name="OrigApprop" localSheetId="7">'EMLO|0303-00'!$E$15</definedName>
    <definedName name="OrigApprop" localSheetId="8">'EMLO|0348-00'!$E$15</definedName>
    <definedName name="OrigApprop" localSheetId="9">'EMLO|0349-00'!$E$15</definedName>
    <definedName name="OrigApprop" localSheetId="10">'EMUI|0001-00'!$E$15</definedName>
    <definedName name="OrigApprop" localSheetId="11">'EMUI|0302-00'!$E$15</definedName>
    <definedName name="OrigApprop" localSheetId="12">'EMUI|0348-00'!$E$15</definedName>
    <definedName name="OrigApprop" localSheetId="13">'EMUI|0349-00'!$E$15</definedName>
    <definedName name="OrigApprop">'B6'!$E$15</definedName>
    <definedName name="perm_name" localSheetId="0">'EMAA|0001-00'!$C$10</definedName>
    <definedName name="perm_name" localSheetId="1">'EMAA|0302-00'!$C$10</definedName>
    <definedName name="perm_name" localSheetId="2">'EMAA|0303-00'!$C$10</definedName>
    <definedName name="perm_name" localSheetId="4">'EMAA|0348-00'!$C$10</definedName>
    <definedName name="perm_name" localSheetId="3">'EMAA|0349-00'!$C$10</definedName>
    <definedName name="perm_name" localSheetId="5">'EMLO|0001-00'!$C$10</definedName>
    <definedName name="perm_name" localSheetId="6">'EMLO|0302-00'!$C$10</definedName>
    <definedName name="perm_name" localSheetId="7">'EMLO|0303-00'!$C$10</definedName>
    <definedName name="perm_name" localSheetId="8">'EMLO|0348-00'!$C$10</definedName>
    <definedName name="perm_name" localSheetId="9">'EMLO|0349-00'!$C$10</definedName>
    <definedName name="perm_name" localSheetId="10">'EMUI|0001-00'!$C$10</definedName>
    <definedName name="perm_name" localSheetId="11">'EMUI|0302-00'!$C$10</definedName>
    <definedName name="perm_name" localSheetId="12">'EMUI|0348-00'!$C$10</definedName>
    <definedName name="perm_name" localSheetId="13">'EMUI|0349-00'!$C$10</definedName>
    <definedName name="perm_name">'B6'!$C$10</definedName>
    <definedName name="PermFTP" localSheetId="0">'EMAA|0001-00'!$F$10</definedName>
    <definedName name="PermFTP" localSheetId="1">'EMAA|0302-00'!$F$10</definedName>
    <definedName name="PermFTP" localSheetId="2">'EMAA|0303-00'!$F$10</definedName>
    <definedName name="PermFTP" localSheetId="4">'EMAA|0348-00'!$F$10</definedName>
    <definedName name="PermFTP" localSheetId="3">'EMAA|0349-00'!$F$10</definedName>
    <definedName name="PermFTP" localSheetId="5">'EMLO|0001-00'!$F$10</definedName>
    <definedName name="PermFTP" localSheetId="6">'EMLO|0302-00'!$F$10</definedName>
    <definedName name="PermFTP" localSheetId="7">'EMLO|0303-00'!$F$10</definedName>
    <definedName name="PermFTP" localSheetId="8">'EMLO|0348-00'!$F$10</definedName>
    <definedName name="PermFTP" localSheetId="9">'EMLO|0349-00'!$F$10</definedName>
    <definedName name="PermFTP" localSheetId="10">'EMUI|0001-00'!$F$10</definedName>
    <definedName name="PermFTP" localSheetId="11">'EMUI|0302-00'!$F$10</definedName>
    <definedName name="PermFTP" localSheetId="12">'EMUI|0348-00'!$F$10</definedName>
    <definedName name="PermFTP" localSheetId="13">'EMUI|0349-00'!$F$10</definedName>
    <definedName name="PermFTP">'B6'!$F$10</definedName>
    <definedName name="PermFxdBen" localSheetId="0">'EMAA|0001-00'!$H$10</definedName>
    <definedName name="PermFxdBen" localSheetId="1">'EMAA|0302-00'!$H$10</definedName>
    <definedName name="PermFxdBen" localSheetId="2">'EMAA|0303-00'!$H$10</definedName>
    <definedName name="PermFxdBen" localSheetId="4">'EMAA|0348-00'!$H$10</definedName>
    <definedName name="PermFxdBen" localSheetId="3">'EMAA|0349-00'!$H$10</definedName>
    <definedName name="PermFxdBen" localSheetId="5">'EMLO|0001-00'!$H$10</definedName>
    <definedName name="PermFxdBen" localSheetId="6">'EMLO|0302-00'!$H$10</definedName>
    <definedName name="PermFxdBen" localSheetId="7">'EMLO|0303-00'!$H$10</definedName>
    <definedName name="PermFxdBen" localSheetId="8">'EMLO|0348-00'!$H$10</definedName>
    <definedName name="PermFxdBen" localSheetId="9">'EMLO|0349-00'!$H$10</definedName>
    <definedName name="PermFxdBen" localSheetId="10">'EMUI|0001-00'!$H$10</definedName>
    <definedName name="PermFxdBen" localSheetId="11">'EMUI|0302-00'!$H$10</definedName>
    <definedName name="PermFxdBen" localSheetId="12">'EMUI|0348-00'!$H$10</definedName>
    <definedName name="PermFxdBen" localSheetId="13">'EMUI|0349-00'!$H$10</definedName>
    <definedName name="PermFxdBen">'B6'!$H$10</definedName>
    <definedName name="PermFxdBenChg" localSheetId="0">'EMAA|0001-00'!$L$10</definedName>
    <definedName name="PermFxdBenChg" localSheetId="1">'EMAA|0302-00'!$L$10</definedName>
    <definedName name="PermFxdBenChg" localSheetId="2">'EMAA|0303-00'!$L$10</definedName>
    <definedName name="PermFxdBenChg" localSheetId="4">'EMAA|0348-00'!$L$10</definedName>
    <definedName name="PermFxdBenChg" localSheetId="3">'EMAA|0349-00'!$L$10</definedName>
    <definedName name="PermFxdBenChg" localSheetId="5">'EMLO|0001-00'!$L$10</definedName>
    <definedName name="PermFxdBenChg" localSheetId="6">'EMLO|0302-00'!$L$10</definedName>
    <definedName name="PermFxdBenChg" localSheetId="7">'EMLO|0303-00'!$L$10</definedName>
    <definedName name="PermFxdBenChg" localSheetId="8">'EMLO|0348-00'!$L$10</definedName>
    <definedName name="PermFxdBenChg" localSheetId="9">'EMLO|0349-00'!$L$10</definedName>
    <definedName name="PermFxdBenChg" localSheetId="10">'EMUI|0001-00'!$L$10</definedName>
    <definedName name="PermFxdBenChg" localSheetId="11">'EMUI|0302-00'!$L$10</definedName>
    <definedName name="PermFxdBenChg" localSheetId="12">'EMUI|0348-00'!$L$10</definedName>
    <definedName name="PermFxdBenChg" localSheetId="13">'EMUI|0349-00'!$L$10</definedName>
    <definedName name="PermFxdBenChg">'B6'!$L$10</definedName>
    <definedName name="PermFxdChg" localSheetId="0">'EMAA|0001-00'!$L$10</definedName>
    <definedName name="PermFxdChg" localSheetId="1">'EMAA|0302-00'!$L$10</definedName>
    <definedName name="PermFxdChg" localSheetId="2">'EMAA|0303-00'!$L$10</definedName>
    <definedName name="PermFxdChg" localSheetId="4">'EMAA|0348-00'!$L$10</definedName>
    <definedName name="PermFxdChg" localSheetId="3">'EMAA|0349-00'!$L$10</definedName>
    <definedName name="PermFxdChg" localSheetId="5">'EMLO|0001-00'!$L$10</definedName>
    <definedName name="PermFxdChg" localSheetId="6">'EMLO|0302-00'!$L$10</definedName>
    <definedName name="PermFxdChg" localSheetId="7">'EMLO|0303-00'!$L$10</definedName>
    <definedName name="PermFxdChg" localSheetId="8">'EMLO|0348-00'!$L$10</definedName>
    <definedName name="PermFxdChg" localSheetId="9">'EMLO|0349-00'!$L$10</definedName>
    <definedName name="PermFxdChg" localSheetId="10">'EMUI|0001-00'!$L$10</definedName>
    <definedName name="PermFxdChg" localSheetId="11">'EMUI|0302-00'!$L$10</definedName>
    <definedName name="PermFxdChg" localSheetId="12">'EMUI|0348-00'!$L$10</definedName>
    <definedName name="PermFxdChg" localSheetId="13">'EMUI|0349-00'!$L$10</definedName>
    <definedName name="PermFxdChg">'B6'!$L$10</definedName>
    <definedName name="PermSalary" localSheetId="0">'EMAA|0001-00'!$G$10</definedName>
    <definedName name="PermSalary" localSheetId="1">'EMAA|0302-00'!$G$10</definedName>
    <definedName name="PermSalary" localSheetId="2">'EMAA|0303-00'!$G$10</definedName>
    <definedName name="PermSalary" localSheetId="4">'EMAA|0348-00'!$G$10</definedName>
    <definedName name="PermSalary" localSheetId="3">'EMAA|0349-00'!$G$10</definedName>
    <definedName name="PermSalary" localSheetId="5">'EMLO|0001-00'!$G$10</definedName>
    <definedName name="PermSalary" localSheetId="6">'EMLO|0302-00'!$G$10</definedName>
    <definedName name="PermSalary" localSheetId="7">'EMLO|0303-00'!$G$10</definedName>
    <definedName name="PermSalary" localSheetId="8">'EMLO|0348-00'!$G$10</definedName>
    <definedName name="PermSalary" localSheetId="9">'EMLO|0349-00'!$G$10</definedName>
    <definedName name="PermSalary" localSheetId="10">'EMUI|0001-00'!$G$10</definedName>
    <definedName name="PermSalary" localSheetId="11">'EMUI|0302-00'!$G$10</definedName>
    <definedName name="PermSalary" localSheetId="12">'EMUI|0348-00'!$G$10</definedName>
    <definedName name="PermSalary" localSheetId="13">'EMUI|0349-00'!$G$10</definedName>
    <definedName name="PermSalary">'B6'!$G$10</definedName>
    <definedName name="PermVarBen" localSheetId="0">'EMAA|0001-00'!$I$10</definedName>
    <definedName name="PermVarBen" localSheetId="1">'EMAA|0302-00'!$I$10</definedName>
    <definedName name="PermVarBen" localSheetId="2">'EMAA|0303-00'!$I$10</definedName>
    <definedName name="PermVarBen" localSheetId="4">'EMAA|0348-00'!$I$10</definedName>
    <definedName name="PermVarBen" localSheetId="3">'EMAA|0349-00'!$I$10</definedName>
    <definedName name="PermVarBen" localSheetId="5">'EMLO|0001-00'!$I$10</definedName>
    <definedName name="PermVarBen" localSheetId="6">'EMLO|0302-00'!$I$10</definedName>
    <definedName name="PermVarBen" localSheetId="7">'EMLO|0303-00'!$I$10</definedName>
    <definedName name="PermVarBen" localSheetId="8">'EMLO|0348-00'!$I$10</definedName>
    <definedName name="PermVarBen" localSheetId="9">'EMLO|0349-00'!$I$10</definedName>
    <definedName name="PermVarBen" localSheetId="10">'EMUI|0001-00'!$I$10</definedName>
    <definedName name="PermVarBen" localSheetId="11">'EMUI|0302-00'!$I$10</definedName>
    <definedName name="PermVarBen" localSheetId="12">'EMUI|0348-00'!$I$10</definedName>
    <definedName name="PermVarBen" localSheetId="13">'EMUI|0349-00'!$I$10</definedName>
    <definedName name="PermVarBen">'B6'!$I$10</definedName>
    <definedName name="PermVarBenChg" localSheetId="0">'EMAA|0001-00'!$M$10</definedName>
    <definedName name="PermVarBenChg" localSheetId="1">'EMAA|0302-00'!$M$10</definedName>
    <definedName name="PermVarBenChg" localSheetId="2">'EMAA|0303-00'!$M$10</definedName>
    <definedName name="PermVarBenChg" localSheetId="4">'EMAA|0348-00'!$M$10</definedName>
    <definedName name="PermVarBenChg" localSheetId="3">'EMAA|0349-00'!$M$10</definedName>
    <definedName name="PermVarBenChg" localSheetId="5">'EMLO|0001-00'!$M$10</definedName>
    <definedName name="PermVarBenChg" localSheetId="6">'EMLO|0302-00'!$M$10</definedName>
    <definedName name="PermVarBenChg" localSheetId="7">'EMLO|0303-00'!$M$10</definedName>
    <definedName name="PermVarBenChg" localSheetId="8">'EMLO|0348-00'!$M$10</definedName>
    <definedName name="PermVarBenChg" localSheetId="9">'EMLO|0349-00'!$M$10</definedName>
    <definedName name="PermVarBenChg" localSheetId="10">'EMUI|0001-00'!$M$10</definedName>
    <definedName name="PermVarBenChg" localSheetId="11">'EMUI|0302-00'!$M$10</definedName>
    <definedName name="PermVarBenChg" localSheetId="12">'EMUI|0348-00'!$M$10</definedName>
    <definedName name="PermVarBenChg" localSheetId="13">'EMUI|0349-00'!$M$10</definedName>
    <definedName name="PermVarBenChg">'B6'!$M$10</definedName>
    <definedName name="PermVB">Benefits!$C$12</definedName>
    <definedName name="PermVBBY">Benefits!$D$12</definedName>
    <definedName name="PermVBCHG">Benefits!$E$12</definedName>
    <definedName name="_xlnm.Print_Area" localSheetId="16">'B6'!$A$1:$N$81</definedName>
    <definedName name="_xlnm.Print_Area" localSheetId="15">Benefits!$A$1:$G$36</definedName>
    <definedName name="_xlnm.Print_Area" localSheetId="0">'EMAA|0001-00'!$A$1:$N$81</definedName>
    <definedName name="_xlnm.Print_Area" localSheetId="1">'EMAA|0302-00'!$A$1:$N$81</definedName>
    <definedName name="_xlnm.Print_Area" localSheetId="2">'EMAA|0303-00'!$A$1:$N$81</definedName>
    <definedName name="_xlnm.Print_Area" localSheetId="4">'EMAA|0348-00'!$A$1:$N$81</definedName>
    <definedName name="_xlnm.Print_Area" localSheetId="3">'EMAA|0349-00'!$A$1:$N$81</definedName>
    <definedName name="_xlnm.Print_Area" localSheetId="5">'EMLO|0001-00'!$A$1:$N$81</definedName>
    <definedName name="_xlnm.Print_Area" localSheetId="6">'EMLO|0302-00'!$A$1:$N$81</definedName>
    <definedName name="_xlnm.Print_Area" localSheetId="7">'EMLO|0303-00'!$A$1:$N$81</definedName>
    <definedName name="_xlnm.Print_Area" localSheetId="8">'EMLO|0348-00'!$A$1:$N$81</definedName>
    <definedName name="_xlnm.Print_Area" localSheetId="9">'EMLO|0349-00'!$A$1:$N$81</definedName>
    <definedName name="_xlnm.Print_Area" localSheetId="10">'EMUI|0001-00'!$A$1:$N$81</definedName>
    <definedName name="_xlnm.Print_Area" localSheetId="11">'EMUI|0302-00'!$A$1:$N$81</definedName>
    <definedName name="_xlnm.Print_Area" localSheetId="12">'EMUI|0348-00'!$A$1:$N$81</definedName>
    <definedName name="_xlnm.Print_Area" localSheetId="13">'EMUI|0349-00'!$A$1:$N$81</definedName>
    <definedName name="Prog_Unadjusted_Total" localSheetId="0">'EMAA|0001-00'!$C$8:$N$16</definedName>
    <definedName name="Prog_Unadjusted_Total" localSheetId="1">'EMAA|0302-00'!$C$8:$N$16</definedName>
    <definedName name="Prog_Unadjusted_Total" localSheetId="2">'EMAA|0303-00'!$C$8:$N$16</definedName>
    <definedName name="Prog_Unadjusted_Total" localSheetId="4">'EMAA|0348-00'!$C$8:$N$16</definedName>
    <definedName name="Prog_Unadjusted_Total" localSheetId="3">'EMAA|0349-00'!$C$8:$N$16</definedName>
    <definedName name="Prog_Unadjusted_Total" localSheetId="5">'EMLO|0001-00'!$C$8:$N$16</definedName>
    <definedName name="Prog_Unadjusted_Total" localSheetId="6">'EMLO|0302-00'!$C$8:$N$16</definedName>
    <definedName name="Prog_Unadjusted_Total" localSheetId="7">'EMLO|0303-00'!$C$8:$N$16</definedName>
    <definedName name="Prog_Unadjusted_Total" localSheetId="8">'EMLO|0348-00'!$C$8:$N$16</definedName>
    <definedName name="Prog_Unadjusted_Total" localSheetId="9">'EMLO|0349-00'!$C$8:$N$16</definedName>
    <definedName name="Prog_Unadjusted_Total" localSheetId="10">'EMUI|0001-00'!$C$8:$N$16</definedName>
    <definedName name="Prog_Unadjusted_Total" localSheetId="11">'EMUI|0302-00'!$C$8:$N$16</definedName>
    <definedName name="Prog_Unadjusted_Total" localSheetId="12">'EMUI|0348-00'!$C$8:$N$16</definedName>
    <definedName name="Prog_Unadjusted_Total" localSheetId="13">'EMUI|0349-00'!$C$8:$N$16</definedName>
    <definedName name="Prog_Unadjusted_Total">'B6'!$C$8:$N$16</definedName>
    <definedName name="Program" localSheetId="0">'EMAA|0001-00'!$D$3</definedName>
    <definedName name="Program" localSheetId="1">'EMAA|0302-00'!$D$3</definedName>
    <definedName name="Program" localSheetId="2">'EMAA|0303-00'!$D$3</definedName>
    <definedName name="Program" localSheetId="4">'EMAA|0348-00'!$D$3</definedName>
    <definedName name="Program" localSheetId="3">'EMAA|0349-00'!$D$3</definedName>
    <definedName name="Program" localSheetId="5">'EMLO|0001-00'!$D$3</definedName>
    <definedName name="Program" localSheetId="6">'EMLO|0302-00'!$D$3</definedName>
    <definedName name="Program" localSheetId="7">'EMLO|0303-00'!$D$3</definedName>
    <definedName name="Program" localSheetId="8">'EMLO|0348-00'!$D$3</definedName>
    <definedName name="Program" localSheetId="9">'EMLO|0349-00'!$D$3</definedName>
    <definedName name="Program" localSheetId="10">'EMUI|0001-00'!$D$3</definedName>
    <definedName name="Program" localSheetId="11">'EMUI|0302-00'!$D$3</definedName>
    <definedName name="Program" localSheetId="12">'EMUI|0348-00'!$D$3</definedName>
    <definedName name="Program" localSheetId="13">'EMUI|0349-00'!$D$3</definedName>
    <definedName name="Program">'B6'!$D$3</definedName>
    <definedName name="PTHealth">Benefits!$C$16</definedName>
    <definedName name="PTHealthBY">Benefits!$D$16</definedName>
    <definedName name="PTHealthChg">Benefits!$E$16</definedName>
    <definedName name="Retire1">Benefits!$C$20</definedName>
    <definedName name="Retire1BY">Benefits!$D$20</definedName>
    <definedName name="Retire1CHG">Benefits!$E$20</definedName>
    <definedName name="Retire2">Benefits!$C$21</definedName>
    <definedName name="Retire2BY">Benefits!$D$21</definedName>
    <definedName name="Retire2CHG">Benefits!$E$21</definedName>
    <definedName name="Retire4">Benefits!$C$22</definedName>
    <definedName name="Retire4BY">Benefits!$D$22</definedName>
    <definedName name="Retire4CHG">Benefits!$E$22</definedName>
    <definedName name="Retire5">Benefits!$C$23</definedName>
    <definedName name="Retire5BY">Benefits!$D$23</definedName>
    <definedName name="Retire5CHG">Benefits!$E$23</definedName>
    <definedName name="Retire6">Benefits!$C$24</definedName>
    <definedName name="Retire6BY">Benefits!$D$24</definedName>
    <definedName name="Retire6CHG">Benefits!$E$24</definedName>
    <definedName name="Retire7">Benefits!$C$25</definedName>
    <definedName name="Retire7BY">Benefits!$D$25</definedName>
    <definedName name="Retire7CHG">Benefits!$E$25</definedName>
    <definedName name="Retire8">Benefits!$C$26</definedName>
    <definedName name="Retire8BY">Benefits!$D$26</definedName>
    <definedName name="Retire8CHG">Benefits!$E$26</definedName>
    <definedName name="Retirement_Rates">Benefits!$A$19:$E$26</definedName>
    <definedName name="RoundedAppropSalary" localSheetId="0">'EMAA|0001-00'!$G$52</definedName>
    <definedName name="RoundedAppropSalary" localSheetId="1">'EMAA|0302-00'!$G$52</definedName>
    <definedName name="RoundedAppropSalary" localSheetId="2">'EMAA|0303-00'!$G$52</definedName>
    <definedName name="RoundedAppropSalary" localSheetId="4">'EMAA|0348-00'!$G$52</definedName>
    <definedName name="RoundedAppropSalary" localSheetId="3">'EMAA|0349-00'!$G$52</definedName>
    <definedName name="RoundedAppropSalary" localSheetId="5">'EMLO|0001-00'!$G$52</definedName>
    <definedName name="RoundedAppropSalary" localSheetId="6">'EMLO|0302-00'!$G$52</definedName>
    <definedName name="RoundedAppropSalary" localSheetId="7">'EMLO|0303-00'!$G$52</definedName>
    <definedName name="RoundedAppropSalary" localSheetId="8">'EMLO|0348-00'!$G$52</definedName>
    <definedName name="RoundedAppropSalary" localSheetId="9">'EMLO|0349-00'!$G$52</definedName>
    <definedName name="RoundedAppropSalary" localSheetId="10">'EMUI|0001-00'!$G$52</definedName>
    <definedName name="RoundedAppropSalary" localSheetId="11">'EMUI|0302-00'!$G$52</definedName>
    <definedName name="RoundedAppropSalary" localSheetId="12">'EMUI|0348-00'!$G$52</definedName>
    <definedName name="RoundedAppropSalary" localSheetId="13">'EMUI|0349-00'!$G$52</definedName>
    <definedName name="RoundedAppropSalary">'B6'!$G$52</definedName>
    <definedName name="SalaryChg" localSheetId="0">'EMAA|0001-00'!$K$10</definedName>
    <definedName name="SalaryChg" localSheetId="1">'EMAA|0302-00'!$K$10</definedName>
    <definedName name="SalaryChg" localSheetId="2">'EMAA|0303-00'!$K$10</definedName>
    <definedName name="SalaryChg" localSheetId="4">'EMAA|0348-00'!$K$10</definedName>
    <definedName name="SalaryChg" localSheetId="3">'EMAA|0349-00'!$K$10</definedName>
    <definedName name="SalaryChg" localSheetId="5">'EMLO|0001-00'!$K$10</definedName>
    <definedName name="SalaryChg" localSheetId="6">'EMLO|0302-00'!$K$10</definedName>
    <definedName name="SalaryChg" localSheetId="7">'EMLO|0303-00'!$K$10</definedName>
    <definedName name="SalaryChg" localSheetId="8">'EMLO|0348-00'!$K$10</definedName>
    <definedName name="SalaryChg" localSheetId="9">'EMLO|0349-00'!$K$10</definedName>
    <definedName name="SalaryChg" localSheetId="10">'EMUI|0001-00'!$K$10</definedName>
    <definedName name="SalaryChg" localSheetId="11">'EMUI|0302-00'!$K$10</definedName>
    <definedName name="SalaryChg" localSheetId="12">'EMUI|0348-00'!$K$10</definedName>
    <definedName name="SalaryChg" localSheetId="13">'EMUI|0349-00'!$K$10</definedName>
    <definedName name="SalaryChg">'B6'!$K$10</definedName>
    <definedName name="Sick">Benefits!$C$10</definedName>
    <definedName name="SickBY">Benefits!$D$10</definedName>
    <definedName name="SickCHG">Benefits!$E$10</definedName>
    <definedName name="SSDI">Benefits!$C$5</definedName>
    <definedName name="SSDIBY">Benefits!$D$5</definedName>
    <definedName name="SSDICHG">Benefits!$E$5</definedName>
    <definedName name="SSHI">Benefits!$C$6</definedName>
    <definedName name="SSHIBY">Benefits!$D$6</definedName>
    <definedName name="SSHICHG">Benefits!$E$6</definedName>
    <definedName name="SubCECBase" localSheetId="0">'EMAA|0001-00'!#REF!</definedName>
    <definedName name="SubCECBase" localSheetId="1">'EMAA|0302-00'!#REF!</definedName>
    <definedName name="SubCECBase" localSheetId="2">'EMAA|0303-00'!#REF!</definedName>
    <definedName name="SubCECBase" localSheetId="4">'EMAA|0348-00'!#REF!</definedName>
    <definedName name="SubCECBase" localSheetId="3">'EMAA|0349-00'!#REF!</definedName>
    <definedName name="SubCECBase" localSheetId="5">'EMLO|0001-00'!#REF!</definedName>
    <definedName name="SubCECBase" localSheetId="6">'EMLO|0302-00'!#REF!</definedName>
    <definedName name="SubCECBase" localSheetId="7">'EMLO|0303-00'!#REF!</definedName>
    <definedName name="SubCECBase" localSheetId="8">'EMLO|0348-00'!#REF!</definedName>
    <definedName name="SubCECBase" localSheetId="9">'EMLO|0349-00'!#REF!</definedName>
    <definedName name="SubCECBase" localSheetId="10">'EMUI|0001-00'!#REF!</definedName>
    <definedName name="SubCECBase" localSheetId="11">'EMUI|0302-00'!#REF!</definedName>
    <definedName name="SubCECBase" localSheetId="12">'EMUI|0348-00'!#REF!</definedName>
    <definedName name="SubCECBase" localSheetId="13">'EMUI|0349-00'!#REF!</definedName>
    <definedName name="SubCECBase">'B6'!#REF!</definedName>
    <definedName name="UI">Benefits!$C$7</definedName>
    <definedName name="UIBY">Benefits!$D$7</definedName>
    <definedName name="UICHG">Benefits!$E$7</definedName>
    <definedName name="WC">Benefits!$C$8</definedName>
    <definedName name="WCBY">Benefits!$D$8</definedName>
    <definedName name="WCCHG">Benefits!$E$8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8" i="11" l="1"/>
  <c r="F8" i="11"/>
  <c r="G8" i="11"/>
  <c r="H8" i="11"/>
  <c r="I8" i="11"/>
  <c r="K8" i="11"/>
  <c r="L8" i="11"/>
  <c r="E9" i="11"/>
  <c r="F9" i="11"/>
  <c r="G9" i="11"/>
  <c r="H9" i="11"/>
  <c r="I9" i="11"/>
  <c r="K9" i="11"/>
  <c r="L9" i="11"/>
  <c r="E10" i="11"/>
  <c r="F10" i="11"/>
  <c r="G10" i="11"/>
  <c r="H10" i="11"/>
  <c r="I10" i="11"/>
  <c r="K10" i="11"/>
  <c r="L10" i="11"/>
  <c r="E11" i="11"/>
  <c r="F11" i="11"/>
  <c r="G11" i="11"/>
  <c r="H11" i="11"/>
  <c r="I11" i="11"/>
  <c r="K11" i="11"/>
  <c r="L11" i="11"/>
  <c r="E12" i="11"/>
  <c r="F12" i="11"/>
  <c r="G12" i="11"/>
  <c r="H12" i="11"/>
  <c r="I12" i="11"/>
  <c r="K12" i="11"/>
  <c r="L12" i="11"/>
  <c r="E13" i="11"/>
  <c r="F13" i="11"/>
  <c r="G13" i="11"/>
  <c r="H13" i="11"/>
  <c r="I13" i="11"/>
  <c r="K13" i="11"/>
  <c r="L13" i="11"/>
  <c r="E14" i="11"/>
  <c r="F14" i="11"/>
  <c r="G14" i="11"/>
  <c r="H14" i="11"/>
  <c r="I14" i="11"/>
  <c r="K14" i="11"/>
  <c r="L14" i="11"/>
  <c r="E15" i="11"/>
  <c r="F15" i="11"/>
  <c r="G15" i="11"/>
  <c r="H15" i="11"/>
  <c r="I15" i="11"/>
  <c r="K15" i="11"/>
  <c r="L15" i="11"/>
  <c r="E16" i="11"/>
  <c r="F16" i="11"/>
  <c r="G16" i="11"/>
  <c r="H16" i="11"/>
  <c r="I16" i="11"/>
  <c r="K16" i="11"/>
  <c r="L16" i="11"/>
  <c r="E17" i="11"/>
  <c r="F17" i="11"/>
  <c r="G17" i="11"/>
  <c r="H17" i="11"/>
  <c r="I17" i="11"/>
  <c r="K17" i="11"/>
  <c r="L17" i="11"/>
  <c r="E18" i="11"/>
  <c r="F18" i="11"/>
  <c r="G18" i="11"/>
  <c r="H18" i="11"/>
  <c r="I18" i="11"/>
  <c r="J18" i="11"/>
  <c r="K18" i="11"/>
  <c r="L18" i="11"/>
  <c r="M18" i="11"/>
  <c r="E19" i="11"/>
  <c r="F19" i="11"/>
  <c r="G19" i="11"/>
  <c r="H19" i="11"/>
  <c r="I19" i="11"/>
  <c r="K19" i="11"/>
  <c r="L19" i="11"/>
  <c r="E20" i="11"/>
  <c r="F20" i="11"/>
  <c r="G20" i="11"/>
  <c r="H20" i="11"/>
  <c r="I20" i="11"/>
  <c r="J20" i="11"/>
  <c r="K20" i="11"/>
  <c r="L20" i="11"/>
  <c r="M20" i="11"/>
  <c r="E21" i="11"/>
  <c r="F21" i="11"/>
  <c r="G21" i="11"/>
  <c r="H21" i="11"/>
  <c r="I21" i="11"/>
  <c r="J21" i="11"/>
  <c r="K21" i="11"/>
  <c r="L21" i="11"/>
  <c r="M21" i="11"/>
  <c r="E22" i="11"/>
  <c r="F22" i="11"/>
  <c r="G22" i="11"/>
  <c r="H22" i="11"/>
  <c r="I22" i="11"/>
  <c r="J22" i="11"/>
  <c r="K22" i="11"/>
  <c r="L22" i="11"/>
  <c r="M22" i="11"/>
  <c r="E23" i="11"/>
  <c r="F23" i="11"/>
  <c r="G23" i="11"/>
  <c r="H23" i="11"/>
  <c r="I23" i="11"/>
  <c r="J23" i="11"/>
  <c r="K23" i="11"/>
  <c r="L23" i="11"/>
  <c r="M23" i="11"/>
  <c r="E24" i="11"/>
  <c r="F24" i="11"/>
  <c r="G24" i="11"/>
  <c r="H24" i="11"/>
  <c r="I24" i="11"/>
  <c r="J24" i="11"/>
  <c r="K24" i="11"/>
  <c r="L24" i="11"/>
  <c r="M24" i="11"/>
  <c r="E25" i="11"/>
  <c r="F25" i="11"/>
  <c r="G25" i="11"/>
  <c r="H25" i="11"/>
  <c r="I25" i="11"/>
  <c r="J25" i="11"/>
  <c r="K25" i="11"/>
  <c r="L25" i="11"/>
  <c r="M25" i="11"/>
  <c r="E26" i="11"/>
  <c r="F26" i="11"/>
  <c r="G26" i="11"/>
  <c r="H26" i="11"/>
  <c r="I26" i="11"/>
  <c r="J26" i="11"/>
  <c r="K26" i="11"/>
  <c r="L26" i="11"/>
  <c r="M26" i="11"/>
  <c r="E27" i="11"/>
  <c r="F27" i="11"/>
  <c r="G27" i="11"/>
  <c r="H27" i="11"/>
  <c r="I27" i="11"/>
  <c r="J27" i="11"/>
  <c r="K27" i="11"/>
  <c r="L27" i="11"/>
  <c r="M27" i="11"/>
  <c r="E28" i="11"/>
  <c r="F28" i="11"/>
  <c r="G28" i="11"/>
  <c r="H28" i="11"/>
  <c r="I28" i="11"/>
  <c r="J28" i="11"/>
  <c r="K28" i="11"/>
  <c r="L28" i="11"/>
  <c r="M28" i="11"/>
  <c r="E29" i="11"/>
  <c r="F29" i="11"/>
  <c r="G29" i="11"/>
  <c r="H29" i="11"/>
  <c r="I29" i="11"/>
  <c r="K29" i="11"/>
  <c r="L29" i="11"/>
  <c r="AZ1409" i="5"/>
  <c r="AY1409" i="5"/>
  <c r="AW1409" i="5"/>
  <c r="AV1409" i="5"/>
  <c r="AU1409" i="5"/>
  <c r="AT1409" i="5"/>
  <c r="AS1409" i="5"/>
  <c r="BA1407" i="5"/>
  <c r="AZ1407" i="5"/>
  <c r="AY1407" i="5"/>
  <c r="AX1407" i="5"/>
  <c r="AW1407" i="5"/>
  <c r="AV1407" i="5"/>
  <c r="AU1407" i="5"/>
  <c r="AT1407" i="5"/>
  <c r="AS1407" i="5"/>
  <c r="AZ1399" i="5"/>
  <c r="AY1399" i="5"/>
  <c r="AW1399" i="5"/>
  <c r="AV1399" i="5"/>
  <c r="AU1399" i="5"/>
  <c r="AT1399" i="5"/>
  <c r="AS1399" i="5"/>
  <c r="AZ1405" i="5"/>
  <c r="AW1405" i="5"/>
  <c r="AZ1403" i="5"/>
  <c r="AW1403" i="5"/>
  <c r="A152" i="10"/>
  <c r="K145" i="10"/>
  <c r="J145" i="10"/>
  <c r="I145" i="10"/>
  <c r="H145" i="10"/>
  <c r="G145" i="10"/>
  <c r="F145" i="10"/>
  <c r="E145" i="10"/>
  <c r="C80" i="25"/>
  <c r="J79" i="25"/>
  <c r="J78" i="25"/>
  <c r="J77" i="25"/>
  <c r="C75" i="25"/>
  <c r="I74" i="25"/>
  <c r="J74" i="25" s="1"/>
  <c r="E73" i="25"/>
  <c r="E72" i="25"/>
  <c r="I71" i="25"/>
  <c r="J71" i="25" s="1"/>
  <c r="J70" i="25"/>
  <c r="C67" i="25"/>
  <c r="J66" i="25"/>
  <c r="I66" i="25"/>
  <c r="H66" i="25"/>
  <c r="G66" i="25"/>
  <c r="N64" i="25"/>
  <c r="J64" i="25"/>
  <c r="N63" i="25"/>
  <c r="H63" i="25"/>
  <c r="N62" i="25"/>
  <c r="J62" i="25"/>
  <c r="C60" i="25"/>
  <c r="N59" i="25"/>
  <c r="J59" i="25"/>
  <c r="N58" i="25"/>
  <c r="J58" i="25"/>
  <c r="C56" i="25"/>
  <c r="N55" i="25"/>
  <c r="J55" i="25"/>
  <c r="J54" i="25"/>
  <c r="F51" i="25"/>
  <c r="F52" i="25" s="1"/>
  <c r="F56" i="25" s="1"/>
  <c r="F60" i="25" s="1"/>
  <c r="E51" i="25"/>
  <c r="C51" i="25"/>
  <c r="M50" i="25"/>
  <c r="L50" i="25"/>
  <c r="K50" i="25"/>
  <c r="J50" i="25"/>
  <c r="I50" i="25"/>
  <c r="H50" i="25"/>
  <c r="G50" i="25"/>
  <c r="C40" i="25"/>
  <c r="M39" i="25"/>
  <c r="L39" i="25"/>
  <c r="H39" i="25"/>
  <c r="F39" i="25"/>
  <c r="C39" i="25"/>
  <c r="C38" i="25"/>
  <c r="M35" i="25"/>
  <c r="L35" i="25"/>
  <c r="J35" i="25"/>
  <c r="I35" i="25"/>
  <c r="H35" i="25"/>
  <c r="M34" i="25"/>
  <c r="N34" i="25" s="1"/>
  <c r="L34" i="25"/>
  <c r="J34" i="25"/>
  <c r="I34" i="25"/>
  <c r="H34" i="25"/>
  <c r="M33" i="25"/>
  <c r="L33" i="25"/>
  <c r="J33" i="25"/>
  <c r="I33" i="25"/>
  <c r="H33" i="25"/>
  <c r="M32" i="25"/>
  <c r="N32" i="25" s="1"/>
  <c r="L32" i="25"/>
  <c r="J32" i="25"/>
  <c r="I32" i="25"/>
  <c r="H32" i="25"/>
  <c r="M30" i="25"/>
  <c r="L30" i="25"/>
  <c r="N30" i="25" s="1"/>
  <c r="J30" i="25"/>
  <c r="I30" i="25"/>
  <c r="H30" i="25"/>
  <c r="M29" i="25"/>
  <c r="N29" i="25" s="1"/>
  <c r="L29" i="25"/>
  <c r="J29" i="25"/>
  <c r="I29" i="25"/>
  <c r="H29" i="25"/>
  <c r="M28" i="25"/>
  <c r="L28" i="25"/>
  <c r="J28" i="25"/>
  <c r="I28" i="25"/>
  <c r="H28" i="25"/>
  <c r="M27" i="25"/>
  <c r="N27" i="25" s="1"/>
  <c r="L27" i="25"/>
  <c r="J27" i="25"/>
  <c r="I27" i="25"/>
  <c r="H27" i="25"/>
  <c r="M26" i="25"/>
  <c r="L26" i="25"/>
  <c r="J26" i="25"/>
  <c r="I26" i="25"/>
  <c r="H26" i="25"/>
  <c r="M25" i="25"/>
  <c r="N25" i="25" s="1"/>
  <c r="L25" i="25"/>
  <c r="J25" i="25"/>
  <c r="I25" i="25"/>
  <c r="H25" i="25"/>
  <c r="M24" i="25"/>
  <c r="L24" i="25"/>
  <c r="J24" i="25"/>
  <c r="I24" i="25"/>
  <c r="H24" i="25"/>
  <c r="N23" i="25"/>
  <c r="M23" i="25"/>
  <c r="L23" i="25"/>
  <c r="J23" i="25"/>
  <c r="I23" i="25"/>
  <c r="H23" i="25"/>
  <c r="M22" i="25"/>
  <c r="L22" i="25"/>
  <c r="J22" i="25"/>
  <c r="I22" i="25"/>
  <c r="H22" i="25"/>
  <c r="M21" i="25"/>
  <c r="N21" i="25" s="1"/>
  <c r="L21" i="25"/>
  <c r="J21" i="25"/>
  <c r="I21" i="25"/>
  <c r="H21" i="25"/>
  <c r="M20" i="25"/>
  <c r="L20" i="25"/>
  <c r="J20" i="25"/>
  <c r="I20" i="25"/>
  <c r="H20" i="25"/>
  <c r="C15" i="25"/>
  <c r="AC11" i="25"/>
  <c r="M8" i="25"/>
  <c r="L8" i="25"/>
  <c r="K8" i="25"/>
  <c r="J8" i="25"/>
  <c r="I8" i="25"/>
  <c r="H8" i="25"/>
  <c r="G8" i="25"/>
  <c r="CM1378" i="5"/>
  <c r="CL1378" i="5"/>
  <c r="CK1378" i="5"/>
  <c r="CJ1378" i="5"/>
  <c r="CI1378" i="5"/>
  <c r="CH1378" i="5"/>
  <c r="CG1378" i="5"/>
  <c r="CF1378" i="5"/>
  <c r="CE1378" i="5"/>
  <c r="CD1378" i="5"/>
  <c r="CC1378" i="5"/>
  <c r="CB1378" i="5"/>
  <c r="CA1378" i="5"/>
  <c r="BZ1378" i="5"/>
  <c r="BY1378" i="5"/>
  <c r="BX1378" i="5"/>
  <c r="BW1378" i="5"/>
  <c r="BV1378" i="5"/>
  <c r="BU1378" i="5"/>
  <c r="BT1378" i="5"/>
  <c r="BS1378" i="5"/>
  <c r="BR1378" i="5"/>
  <c r="BQ1378" i="5"/>
  <c r="BP1378" i="5"/>
  <c r="BO1378" i="5"/>
  <c r="BN1378" i="5"/>
  <c r="BM1378" i="5"/>
  <c r="BL1378" i="5"/>
  <c r="BK1378" i="5"/>
  <c r="BJ1378" i="5"/>
  <c r="BI1378" i="5"/>
  <c r="BH1378" i="5"/>
  <c r="BG1378" i="5"/>
  <c r="BF1378" i="5"/>
  <c r="BE1378" i="5"/>
  <c r="BD1378" i="5"/>
  <c r="BC1378" i="5"/>
  <c r="BB1378" i="5"/>
  <c r="BA1378" i="5"/>
  <c r="AZ1378" i="5"/>
  <c r="AY1378" i="5"/>
  <c r="AX1378" i="5"/>
  <c r="AW1378" i="5"/>
  <c r="AV1378" i="5"/>
  <c r="AU1378" i="5"/>
  <c r="AT1378" i="5"/>
  <c r="AS1378" i="5"/>
  <c r="A141" i="10"/>
  <c r="K134" i="10"/>
  <c r="J134" i="10"/>
  <c r="I134" i="10"/>
  <c r="H134" i="10"/>
  <c r="G134" i="10"/>
  <c r="F134" i="10"/>
  <c r="E134" i="10"/>
  <c r="C80" i="24"/>
  <c r="J79" i="24"/>
  <c r="J78" i="24"/>
  <c r="J77" i="24"/>
  <c r="C75" i="24"/>
  <c r="I74" i="24"/>
  <c r="J74" i="24" s="1"/>
  <c r="E73" i="24"/>
  <c r="E72" i="24"/>
  <c r="I71" i="24"/>
  <c r="J71" i="24" s="1"/>
  <c r="J70" i="24"/>
  <c r="C67" i="24"/>
  <c r="J66" i="24"/>
  <c r="I66" i="24"/>
  <c r="H66" i="24"/>
  <c r="G66" i="24"/>
  <c r="N64" i="24"/>
  <c r="J64" i="24"/>
  <c r="N63" i="24"/>
  <c r="H63" i="24"/>
  <c r="N62" i="24"/>
  <c r="J62" i="24"/>
  <c r="C60" i="24"/>
  <c r="N59" i="24"/>
  <c r="J59" i="24"/>
  <c r="N58" i="24"/>
  <c r="J58" i="24"/>
  <c r="C56" i="24"/>
  <c r="N55" i="24"/>
  <c r="J55" i="24"/>
  <c r="J54" i="24"/>
  <c r="F51" i="24"/>
  <c r="E51" i="24"/>
  <c r="C51" i="24"/>
  <c r="M50" i="24"/>
  <c r="L50" i="24"/>
  <c r="K50" i="24"/>
  <c r="J50" i="24"/>
  <c r="I50" i="24"/>
  <c r="H50" i="24"/>
  <c r="G50" i="24"/>
  <c r="C40" i="24"/>
  <c r="M39" i="24"/>
  <c r="L39" i="24"/>
  <c r="H39" i="24"/>
  <c r="F39" i="24"/>
  <c r="C39" i="24"/>
  <c r="C38" i="24"/>
  <c r="M35" i="24"/>
  <c r="L35" i="24"/>
  <c r="J35" i="24"/>
  <c r="I35" i="24"/>
  <c r="H35" i="24"/>
  <c r="M34" i="24"/>
  <c r="L34" i="24"/>
  <c r="J34" i="24"/>
  <c r="I34" i="24"/>
  <c r="H34" i="24"/>
  <c r="M33" i="24"/>
  <c r="L33" i="24"/>
  <c r="J33" i="24"/>
  <c r="I33" i="24"/>
  <c r="H33" i="24"/>
  <c r="M32" i="24"/>
  <c r="L32" i="24"/>
  <c r="N32" i="24" s="1"/>
  <c r="J32" i="24"/>
  <c r="I32" i="24"/>
  <c r="H32" i="24"/>
  <c r="M30" i="24"/>
  <c r="L30" i="24"/>
  <c r="J30" i="24"/>
  <c r="I30" i="24"/>
  <c r="H30" i="24"/>
  <c r="M29" i="24"/>
  <c r="L29" i="24"/>
  <c r="J29" i="24"/>
  <c r="I29" i="24"/>
  <c r="H29" i="24"/>
  <c r="M28" i="24"/>
  <c r="L28" i="24"/>
  <c r="J28" i="24"/>
  <c r="I28" i="24"/>
  <c r="H28" i="24"/>
  <c r="M27" i="24"/>
  <c r="N27" i="24" s="1"/>
  <c r="L27" i="24"/>
  <c r="J27" i="24"/>
  <c r="I27" i="24"/>
  <c r="H27" i="24"/>
  <c r="M26" i="24"/>
  <c r="L26" i="24"/>
  <c r="J26" i="24"/>
  <c r="I26" i="24"/>
  <c r="H26" i="24"/>
  <c r="M25" i="24"/>
  <c r="L25" i="24"/>
  <c r="J25" i="24"/>
  <c r="I25" i="24"/>
  <c r="H25" i="24"/>
  <c r="M24" i="24"/>
  <c r="N24" i="24" s="1"/>
  <c r="L24" i="24"/>
  <c r="J24" i="24"/>
  <c r="I24" i="24"/>
  <c r="H24" i="24"/>
  <c r="M23" i="24"/>
  <c r="L23" i="24"/>
  <c r="J23" i="24"/>
  <c r="I23" i="24"/>
  <c r="H23" i="24"/>
  <c r="M22" i="24"/>
  <c r="L22" i="24"/>
  <c r="J22" i="24"/>
  <c r="I22" i="24"/>
  <c r="H22" i="24"/>
  <c r="M21" i="24"/>
  <c r="L21" i="24"/>
  <c r="J21" i="24"/>
  <c r="I21" i="24"/>
  <c r="H21" i="24"/>
  <c r="M20" i="24"/>
  <c r="L20" i="24"/>
  <c r="J20" i="24"/>
  <c r="I20" i="24"/>
  <c r="H20" i="24"/>
  <c r="C15" i="24"/>
  <c r="AC11" i="24"/>
  <c r="M8" i="24"/>
  <c r="L8" i="24"/>
  <c r="K8" i="24"/>
  <c r="J8" i="24"/>
  <c r="I8" i="24"/>
  <c r="H8" i="24"/>
  <c r="G8" i="24"/>
  <c r="CM1375" i="5"/>
  <c r="CL1375" i="5"/>
  <c r="CK1375" i="5"/>
  <c r="CJ1375" i="5"/>
  <c r="CI1375" i="5"/>
  <c r="CH1375" i="5"/>
  <c r="CG1375" i="5"/>
  <c r="CF1375" i="5"/>
  <c r="CE1375" i="5"/>
  <c r="CD1375" i="5"/>
  <c r="CC1375" i="5"/>
  <c r="CB1375" i="5"/>
  <c r="CA1375" i="5"/>
  <c r="BZ1375" i="5"/>
  <c r="BY1375" i="5"/>
  <c r="BX1375" i="5"/>
  <c r="BW1375" i="5"/>
  <c r="BV1375" i="5"/>
  <c r="BU1375" i="5"/>
  <c r="BT1375" i="5"/>
  <c r="BS1375" i="5"/>
  <c r="BR1375" i="5"/>
  <c r="BQ1375" i="5"/>
  <c r="BP1375" i="5"/>
  <c r="BO1375" i="5"/>
  <c r="BN1375" i="5"/>
  <c r="BM1375" i="5"/>
  <c r="BL1375" i="5"/>
  <c r="BK1375" i="5"/>
  <c r="BJ1375" i="5"/>
  <c r="BI1375" i="5"/>
  <c r="BH1375" i="5"/>
  <c r="BG1375" i="5"/>
  <c r="BF1375" i="5"/>
  <c r="BE1375" i="5"/>
  <c r="BD1375" i="5"/>
  <c r="BC1375" i="5"/>
  <c r="BB1375" i="5"/>
  <c r="BA1375" i="5"/>
  <c r="AZ1375" i="5"/>
  <c r="AY1375" i="5"/>
  <c r="AX1375" i="5"/>
  <c r="AW1375" i="5"/>
  <c r="AV1375" i="5"/>
  <c r="AU1375" i="5"/>
  <c r="AT1375" i="5"/>
  <c r="AS1375" i="5"/>
  <c r="A130" i="10"/>
  <c r="K123" i="10"/>
  <c r="J123" i="10"/>
  <c r="I123" i="10"/>
  <c r="H123" i="10"/>
  <c r="G123" i="10"/>
  <c r="F123" i="10"/>
  <c r="E123" i="10"/>
  <c r="C80" i="23"/>
  <c r="J79" i="23"/>
  <c r="J78" i="23"/>
  <c r="J77" i="23"/>
  <c r="C75" i="23"/>
  <c r="I74" i="23"/>
  <c r="J74" i="23" s="1"/>
  <c r="E73" i="23"/>
  <c r="E72" i="23"/>
  <c r="I71" i="23"/>
  <c r="J71" i="23" s="1"/>
  <c r="J70" i="23"/>
  <c r="C67" i="23"/>
  <c r="J66" i="23"/>
  <c r="I66" i="23"/>
  <c r="H66" i="23"/>
  <c r="G66" i="23"/>
  <c r="N64" i="23"/>
  <c r="J64" i="23"/>
  <c r="N63" i="23"/>
  <c r="H63" i="23"/>
  <c r="N62" i="23"/>
  <c r="J62" i="23"/>
  <c r="C60" i="23"/>
  <c r="N59" i="23"/>
  <c r="J59" i="23"/>
  <c r="N58" i="23"/>
  <c r="J58" i="23"/>
  <c r="C56" i="23"/>
  <c r="N55" i="23"/>
  <c r="J55" i="23"/>
  <c r="J54" i="23"/>
  <c r="F51" i="23"/>
  <c r="E51" i="23"/>
  <c r="C51" i="23"/>
  <c r="M50" i="23"/>
  <c r="L50" i="23"/>
  <c r="K50" i="23"/>
  <c r="J50" i="23"/>
  <c r="I50" i="23"/>
  <c r="H50" i="23"/>
  <c r="G50" i="23"/>
  <c r="C40" i="23"/>
  <c r="M39" i="23"/>
  <c r="L39" i="23"/>
  <c r="H39" i="23"/>
  <c r="F39" i="23"/>
  <c r="C39" i="23"/>
  <c r="C38" i="23"/>
  <c r="M35" i="23"/>
  <c r="L35" i="23"/>
  <c r="J35" i="23"/>
  <c r="I35" i="23"/>
  <c r="H35" i="23"/>
  <c r="M34" i="23"/>
  <c r="N34" i="23" s="1"/>
  <c r="L34" i="23"/>
  <c r="J34" i="23"/>
  <c r="I34" i="23"/>
  <c r="H34" i="23"/>
  <c r="M33" i="23"/>
  <c r="L33" i="23"/>
  <c r="J33" i="23"/>
  <c r="I33" i="23"/>
  <c r="H33" i="23"/>
  <c r="M32" i="23"/>
  <c r="N32" i="23" s="1"/>
  <c r="L32" i="23"/>
  <c r="J32" i="23"/>
  <c r="I32" i="23"/>
  <c r="H32" i="23"/>
  <c r="M30" i="23"/>
  <c r="L30" i="23"/>
  <c r="J30" i="23"/>
  <c r="I30" i="23"/>
  <c r="H30" i="23"/>
  <c r="M29" i="23"/>
  <c r="L29" i="23"/>
  <c r="J29" i="23"/>
  <c r="I29" i="23"/>
  <c r="H29" i="23"/>
  <c r="M28" i="23"/>
  <c r="L28" i="23"/>
  <c r="J28" i="23"/>
  <c r="I28" i="23"/>
  <c r="H28" i="23"/>
  <c r="M27" i="23"/>
  <c r="L27" i="23"/>
  <c r="J27" i="23"/>
  <c r="I27" i="23"/>
  <c r="H27" i="23"/>
  <c r="M26" i="23"/>
  <c r="L26" i="23"/>
  <c r="J26" i="23"/>
  <c r="I26" i="23"/>
  <c r="H26" i="23"/>
  <c r="M25" i="23"/>
  <c r="L25" i="23"/>
  <c r="J25" i="23"/>
  <c r="I25" i="23"/>
  <c r="H25" i="23"/>
  <c r="M24" i="23"/>
  <c r="L24" i="23"/>
  <c r="J24" i="23"/>
  <c r="I24" i="23"/>
  <c r="H24" i="23"/>
  <c r="M23" i="23"/>
  <c r="N23" i="23" s="1"/>
  <c r="L23" i="23"/>
  <c r="J23" i="23"/>
  <c r="I23" i="23"/>
  <c r="H23" i="23"/>
  <c r="M22" i="23"/>
  <c r="L22" i="23"/>
  <c r="J22" i="23"/>
  <c r="I22" i="23"/>
  <c r="H22" i="23"/>
  <c r="M21" i="23"/>
  <c r="L21" i="23"/>
  <c r="J21" i="23"/>
  <c r="I21" i="23"/>
  <c r="H21" i="23"/>
  <c r="M20" i="23"/>
  <c r="N20" i="23" s="1"/>
  <c r="L20" i="23"/>
  <c r="J20" i="23"/>
  <c r="I20" i="23"/>
  <c r="H20" i="23"/>
  <c r="C15" i="23"/>
  <c r="AC11" i="23"/>
  <c r="M8" i="23"/>
  <c r="L8" i="23"/>
  <c r="K8" i="23"/>
  <c r="J8" i="23"/>
  <c r="I8" i="23"/>
  <c r="H8" i="23"/>
  <c r="G8" i="23"/>
  <c r="A119" i="10"/>
  <c r="K112" i="10"/>
  <c r="J112" i="10"/>
  <c r="I112" i="10"/>
  <c r="H112" i="10"/>
  <c r="G112" i="10"/>
  <c r="F112" i="10"/>
  <c r="E112" i="10"/>
  <c r="C80" i="22"/>
  <c r="J79" i="22"/>
  <c r="J78" i="22"/>
  <c r="J77" i="22"/>
  <c r="C75" i="22"/>
  <c r="I74" i="22"/>
  <c r="J74" i="22" s="1"/>
  <c r="E73" i="22"/>
  <c r="E72" i="22"/>
  <c r="I71" i="22"/>
  <c r="J71" i="22" s="1"/>
  <c r="J70" i="22"/>
  <c r="C67" i="22"/>
  <c r="J66" i="22"/>
  <c r="I66" i="22"/>
  <c r="H66" i="22"/>
  <c r="G66" i="22"/>
  <c r="N64" i="22"/>
  <c r="J64" i="22"/>
  <c r="N63" i="22"/>
  <c r="H63" i="22"/>
  <c r="N62" i="22"/>
  <c r="J62" i="22"/>
  <c r="C60" i="22"/>
  <c r="N59" i="22"/>
  <c r="J59" i="22"/>
  <c r="N58" i="22"/>
  <c r="J58" i="22"/>
  <c r="C56" i="22"/>
  <c r="N55" i="22"/>
  <c r="J55" i="22"/>
  <c r="J54" i="22"/>
  <c r="F51" i="22"/>
  <c r="E51" i="22"/>
  <c r="C51" i="22"/>
  <c r="M50" i="22"/>
  <c r="L50" i="22"/>
  <c r="K50" i="22"/>
  <c r="J50" i="22"/>
  <c r="I50" i="22"/>
  <c r="H50" i="22"/>
  <c r="G50" i="22"/>
  <c r="C40" i="22"/>
  <c r="M39" i="22"/>
  <c r="L39" i="22"/>
  <c r="H39" i="22"/>
  <c r="F39" i="22"/>
  <c r="C39" i="22"/>
  <c r="C38" i="22"/>
  <c r="M35" i="22"/>
  <c r="L35" i="22"/>
  <c r="J35" i="22"/>
  <c r="I35" i="22"/>
  <c r="H35" i="22"/>
  <c r="M34" i="22"/>
  <c r="L34" i="22"/>
  <c r="J34" i="22"/>
  <c r="I34" i="22"/>
  <c r="H34" i="22"/>
  <c r="M33" i="22"/>
  <c r="L33" i="22"/>
  <c r="J33" i="22"/>
  <c r="I33" i="22"/>
  <c r="H33" i="22"/>
  <c r="M32" i="22"/>
  <c r="L32" i="22"/>
  <c r="J32" i="22"/>
  <c r="I32" i="22"/>
  <c r="H32" i="22"/>
  <c r="M30" i="22"/>
  <c r="L30" i="22"/>
  <c r="J30" i="22"/>
  <c r="I30" i="22"/>
  <c r="H30" i="22"/>
  <c r="M29" i="22"/>
  <c r="L29" i="22"/>
  <c r="J29" i="22"/>
  <c r="I29" i="22"/>
  <c r="H29" i="22"/>
  <c r="M28" i="22"/>
  <c r="L28" i="22"/>
  <c r="J28" i="22"/>
  <c r="I28" i="22"/>
  <c r="H28" i="22"/>
  <c r="M27" i="22"/>
  <c r="L27" i="22"/>
  <c r="J27" i="22"/>
  <c r="I27" i="22"/>
  <c r="H27" i="22"/>
  <c r="M26" i="22"/>
  <c r="L26" i="22"/>
  <c r="J26" i="22"/>
  <c r="I26" i="22"/>
  <c r="H26" i="22"/>
  <c r="M25" i="22"/>
  <c r="L25" i="22"/>
  <c r="J25" i="22"/>
  <c r="I25" i="22"/>
  <c r="H25" i="22"/>
  <c r="M24" i="22"/>
  <c r="L24" i="22"/>
  <c r="J24" i="22"/>
  <c r="I24" i="22"/>
  <c r="H24" i="22"/>
  <c r="M23" i="22"/>
  <c r="L23" i="22"/>
  <c r="J23" i="22"/>
  <c r="I23" i="22"/>
  <c r="H23" i="22"/>
  <c r="M22" i="22"/>
  <c r="L22" i="22"/>
  <c r="J22" i="22"/>
  <c r="I22" i="22"/>
  <c r="H22" i="22"/>
  <c r="M21" i="22"/>
  <c r="L21" i="22"/>
  <c r="J21" i="22"/>
  <c r="I21" i="22"/>
  <c r="H21" i="22"/>
  <c r="M20" i="22"/>
  <c r="L20" i="22"/>
  <c r="J20" i="22"/>
  <c r="I20" i="22"/>
  <c r="H20" i="22"/>
  <c r="C15" i="22"/>
  <c r="AC11" i="22"/>
  <c r="M8" i="22"/>
  <c r="L8" i="22"/>
  <c r="K8" i="22"/>
  <c r="J8" i="22"/>
  <c r="I8" i="22"/>
  <c r="H8" i="22"/>
  <c r="G8" i="22"/>
  <c r="A108" i="10"/>
  <c r="K101" i="10"/>
  <c r="J101" i="10"/>
  <c r="I101" i="10"/>
  <c r="H101" i="10"/>
  <c r="G101" i="10"/>
  <c r="F101" i="10"/>
  <c r="E101" i="10"/>
  <c r="C80" i="21"/>
  <c r="J79" i="21"/>
  <c r="J78" i="21"/>
  <c r="J77" i="21"/>
  <c r="C75" i="21"/>
  <c r="I74" i="21"/>
  <c r="J74" i="21" s="1"/>
  <c r="E73" i="21"/>
  <c r="E72" i="21"/>
  <c r="I71" i="21"/>
  <c r="J71" i="21" s="1"/>
  <c r="J70" i="21"/>
  <c r="C67" i="21"/>
  <c r="J66" i="21"/>
  <c r="I66" i="21"/>
  <c r="H66" i="21"/>
  <c r="G66" i="21"/>
  <c r="N64" i="21"/>
  <c r="J64" i="21"/>
  <c r="N63" i="21"/>
  <c r="H63" i="21"/>
  <c r="N62" i="21"/>
  <c r="J62" i="21"/>
  <c r="C60" i="21"/>
  <c r="N59" i="21"/>
  <c r="J59" i="21"/>
  <c r="N58" i="21"/>
  <c r="J58" i="21"/>
  <c r="C56" i="21"/>
  <c r="N55" i="21"/>
  <c r="J55" i="21"/>
  <c r="J54" i="21"/>
  <c r="F51" i="21"/>
  <c r="E51" i="21"/>
  <c r="C51" i="21"/>
  <c r="M50" i="21"/>
  <c r="L50" i="21"/>
  <c r="K50" i="21"/>
  <c r="J50" i="21"/>
  <c r="I50" i="21"/>
  <c r="H50" i="21"/>
  <c r="G50" i="21"/>
  <c r="C40" i="21"/>
  <c r="M39" i="21"/>
  <c r="L39" i="21"/>
  <c r="H39" i="21"/>
  <c r="F39" i="21"/>
  <c r="C39" i="21"/>
  <c r="C38" i="21"/>
  <c r="M35" i="21"/>
  <c r="L35" i="21"/>
  <c r="J35" i="21"/>
  <c r="I35" i="21"/>
  <c r="H35" i="21"/>
  <c r="M34" i="21"/>
  <c r="L34" i="21"/>
  <c r="J34" i="21"/>
  <c r="I34" i="21"/>
  <c r="H34" i="21"/>
  <c r="M33" i="21"/>
  <c r="L33" i="21"/>
  <c r="J33" i="21"/>
  <c r="I33" i="21"/>
  <c r="H33" i="21"/>
  <c r="M32" i="21"/>
  <c r="L32" i="21"/>
  <c r="J32" i="21"/>
  <c r="I32" i="21"/>
  <c r="H32" i="21"/>
  <c r="M30" i="21"/>
  <c r="L30" i="21"/>
  <c r="J30" i="21"/>
  <c r="I30" i="21"/>
  <c r="H30" i="21"/>
  <c r="M29" i="21"/>
  <c r="L29" i="21"/>
  <c r="J29" i="21"/>
  <c r="I29" i="21"/>
  <c r="H29" i="21"/>
  <c r="M28" i="21"/>
  <c r="L28" i="21"/>
  <c r="J28" i="21"/>
  <c r="I28" i="21"/>
  <c r="H28" i="21"/>
  <c r="M27" i="21"/>
  <c r="L27" i="21"/>
  <c r="J27" i="21"/>
  <c r="I27" i="21"/>
  <c r="H27" i="21"/>
  <c r="M26" i="21"/>
  <c r="L26" i="21"/>
  <c r="J26" i="21"/>
  <c r="I26" i="21"/>
  <c r="H26" i="21"/>
  <c r="M25" i="21"/>
  <c r="L25" i="21"/>
  <c r="J25" i="21"/>
  <c r="I25" i="21"/>
  <c r="H25" i="21"/>
  <c r="M24" i="21"/>
  <c r="L24" i="21"/>
  <c r="J24" i="21"/>
  <c r="I24" i="21"/>
  <c r="H24" i="21"/>
  <c r="M23" i="21"/>
  <c r="L23" i="21"/>
  <c r="J23" i="21"/>
  <c r="I23" i="21"/>
  <c r="H23" i="21"/>
  <c r="M22" i="21"/>
  <c r="L22" i="21"/>
  <c r="J22" i="21"/>
  <c r="I22" i="21"/>
  <c r="H22" i="21"/>
  <c r="M21" i="21"/>
  <c r="L21" i="21"/>
  <c r="J21" i="21"/>
  <c r="I21" i="21"/>
  <c r="H21" i="21"/>
  <c r="M20" i="21"/>
  <c r="L20" i="21"/>
  <c r="J20" i="21"/>
  <c r="I20" i="21"/>
  <c r="H20" i="21"/>
  <c r="C15" i="21"/>
  <c r="AC11" i="21"/>
  <c r="M8" i="21"/>
  <c r="L8" i="21"/>
  <c r="K8" i="21"/>
  <c r="J8" i="21"/>
  <c r="I8" i="21"/>
  <c r="H8" i="21"/>
  <c r="G8" i="21"/>
  <c r="CM1368" i="5"/>
  <c r="CL1368" i="5"/>
  <c r="CK1368" i="5"/>
  <c r="CJ1368" i="5"/>
  <c r="CI1368" i="5"/>
  <c r="CH1368" i="5"/>
  <c r="CG1368" i="5"/>
  <c r="CF1368" i="5"/>
  <c r="CE1368" i="5"/>
  <c r="CD1368" i="5"/>
  <c r="CC1368" i="5"/>
  <c r="CB1368" i="5"/>
  <c r="CA1368" i="5"/>
  <c r="BZ1368" i="5"/>
  <c r="BY1368" i="5"/>
  <c r="BX1368" i="5"/>
  <c r="BW1368" i="5"/>
  <c r="BV1368" i="5"/>
  <c r="BU1368" i="5"/>
  <c r="BT1368" i="5"/>
  <c r="BS1368" i="5"/>
  <c r="BR1368" i="5"/>
  <c r="BQ1368" i="5"/>
  <c r="BP1368" i="5"/>
  <c r="BO1368" i="5"/>
  <c r="BN1368" i="5"/>
  <c r="BM1368" i="5"/>
  <c r="BL1368" i="5"/>
  <c r="BK1368" i="5"/>
  <c r="BJ1368" i="5"/>
  <c r="BI1368" i="5"/>
  <c r="BH1368" i="5"/>
  <c r="BG1368" i="5"/>
  <c r="BF1368" i="5"/>
  <c r="BE1368" i="5"/>
  <c r="BD1368" i="5"/>
  <c r="BC1368" i="5"/>
  <c r="BB1368" i="5"/>
  <c r="BA1368" i="5"/>
  <c r="AZ1368" i="5"/>
  <c r="AY1368" i="5"/>
  <c r="AX1368" i="5"/>
  <c r="AW1368" i="5"/>
  <c r="AV1368" i="5"/>
  <c r="AU1368" i="5"/>
  <c r="AT1368" i="5"/>
  <c r="AS1368" i="5"/>
  <c r="A97" i="10"/>
  <c r="K90" i="10"/>
  <c r="J90" i="10"/>
  <c r="I90" i="10"/>
  <c r="H90" i="10"/>
  <c r="G90" i="10"/>
  <c r="F90" i="10"/>
  <c r="E90" i="10"/>
  <c r="C80" i="20"/>
  <c r="J79" i="20"/>
  <c r="J78" i="20"/>
  <c r="J77" i="20"/>
  <c r="C75" i="20"/>
  <c r="I74" i="20"/>
  <c r="J74" i="20" s="1"/>
  <c r="E73" i="20"/>
  <c r="E72" i="20"/>
  <c r="I71" i="20"/>
  <c r="J71" i="20" s="1"/>
  <c r="J70" i="20"/>
  <c r="C67" i="20"/>
  <c r="J66" i="20"/>
  <c r="I66" i="20"/>
  <c r="H66" i="20"/>
  <c r="G66" i="20"/>
  <c r="N64" i="20"/>
  <c r="J64" i="20"/>
  <c r="N63" i="20"/>
  <c r="H63" i="20"/>
  <c r="N62" i="20"/>
  <c r="J62" i="20"/>
  <c r="C60" i="20"/>
  <c r="N59" i="20"/>
  <c r="J59" i="20"/>
  <c r="N58" i="20"/>
  <c r="J58" i="20"/>
  <c r="C56" i="20"/>
  <c r="N55" i="20"/>
  <c r="J55" i="20"/>
  <c r="J54" i="20"/>
  <c r="F51" i="20"/>
  <c r="F52" i="20" s="1"/>
  <c r="F56" i="20" s="1"/>
  <c r="F60" i="20" s="1"/>
  <c r="E51" i="20"/>
  <c r="C51" i="20"/>
  <c r="M50" i="20"/>
  <c r="L50" i="20"/>
  <c r="K50" i="20"/>
  <c r="J50" i="20"/>
  <c r="I50" i="20"/>
  <c r="H50" i="20"/>
  <c r="G50" i="20"/>
  <c r="C40" i="20"/>
  <c r="M39" i="20"/>
  <c r="L39" i="20"/>
  <c r="H39" i="20"/>
  <c r="F39" i="20"/>
  <c r="C39" i="20"/>
  <c r="C38" i="20"/>
  <c r="M35" i="20"/>
  <c r="L35" i="20"/>
  <c r="J35" i="20"/>
  <c r="I35" i="20"/>
  <c r="H35" i="20"/>
  <c r="M34" i="20"/>
  <c r="L34" i="20"/>
  <c r="J34" i="20"/>
  <c r="I34" i="20"/>
  <c r="H34" i="20"/>
  <c r="M33" i="20"/>
  <c r="L33" i="20"/>
  <c r="J33" i="20"/>
  <c r="I33" i="20"/>
  <c r="H33" i="20"/>
  <c r="M32" i="20"/>
  <c r="L32" i="20"/>
  <c r="J32" i="20"/>
  <c r="I32" i="20"/>
  <c r="H32" i="20"/>
  <c r="M30" i="20"/>
  <c r="L30" i="20"/>
  <c r="J30" i="20"/>
  <c r="I30" i="20"/>
  <c r="H30" i="20"/>
  <c r="M29" i="20"/>
  <c r="L29" i="20"/>
  <c r="J29" i="20"/>
  <c r="I29" i="20"/>
  <c r="H29" i="20"/>
  <c r="M28" i="20"/>
  <c r="L28" i="20"/>
  <c r="J28" i="20"/>
  <c r="I28" i="20"/>
  <c r="H28" i="20"/>
  <c r="M27" i="20"/>
  <c r="L27" i="20"/>
  <c r="J27" i="20"/>
  <c r="I27" i="20"/>
  <c r="H27" i="20"/>
  <c r="M26" i="20"/>
  <c r="L26" i="20"/>
  <c r="J26" i="20"/>
  <c r="I26" i="20"/>
  <c r="H26" i="20"/>
  <c r="M25" i="20"/>
  <c r="L25" i="20"/>
  <c r="J25" i="20"/>
  <c r="I25" i="20"/>
  <c r="H25" i="20"/>
  <c r="M24" i="20"/>
  <c r="L24" i="20"/>
  <c r="J24" i="20"/>
  <c r="I24" i="20"/>
  <c r="H24" i="20"/>
  <c r="M23" i="20"/>
  <c r="L23" i="20"/>
  <c r="J23" i="20"/>
  <c r="I23" i="20"/>
  <c r="H23" i="20"/>
  <c r="M22" i="20"/>
  <c r="L22" i="20"/>
  <c r="J22" i="20"/>
  <c r="I22" i="20"/>
  <c r="H22" i="20"/>
  <c r="M21" i="20"/>
  <c r="L21" i="20"/>
  <c r="J21" i="20"/>
  <c r="I21" i="20"/>
  <c r="H21" i="20"/>
  <c r="M20" i="20"/>
  <c r="L20" i="20"/>
  <c r="J20" i="20"/>
  <c r="I20" i="20"/>
  <c r="H20" i="20"/>
  <c r="C15" i="20"/>
  <c r="AC11" i="20"/>
  <c r="M8" i="20"/>
  <c r="L8" i="20"/>
  <c r="K8" i="20"/>
  <c r="J8" i="20"/>
  <c r="I8" i="20"/>
  <c r="H8" i="20"/>
  <c r="G8" i="20"/>
  <c r="CM1365" i="5"/>
  <c r="CL1365" i="5"/>
  <c r="CK1365" i="5"/>
  <c r="CJ1365" i="5"/>
  <c r="CI1365" i="5"/>
  <c r="CH1365" i="5"/>
  <c r="CG1365" i="5"/>
  <c r="CF1365" i="5"/>
  <c r="CE1365" i="5"/>
  <c r="CD1365" i="5"/>
  <c r="CC1365" i="5"/>
  <c r="CB1365" i="5"/>
  <c r="CA1365" i="5"/>
  <c r="BZ1365" i="5"/>
  <c r="BY1365" i="5"/>
  <c r="BX1365" i="5"/>
  <c r="BW1365" i="5"/>
  <c r="BV1365" i="5"/>
  <c r="BU1365" i="5"/>
  <c r="BT1365" i="5"/>
  <c r="BS1365" i="5"/>
  <c r="BR1365" i="5"/>
  <c r="BQ1365" i="5"/>
  <c r="BP1365" i="5"/>
  <c r="BO1365" i="5"/>
  <c r="BN1365" i="5"/>
  <c r="BM1365" i="5"/>
  <c r="BL1365" i="5"/>
  <c r="BK1365" i="5"/>
  <c r="BJ1365" i="5"/>
  <c r="BI1365" i="5"/>
  <c r="BH1365" i="5"/>
  <c r="BG1365" i="5"/>
  <c r="BF1365" i="5"/>
  <c r="BE1365" i="5"/>
  <c r="BD1365" i="5"/>
  <c r="BC1365" i="5"/>
  <c r="BB1365" i="5"/>
  <c r="BA1365" i="5"/>
  <c r="AZ1365" i="5"/>
  <c r="AY1365" i="5"/>
  <c r="AX1365" i="5"/>
  <c r="AW1365" i="5"/>
  <c r="AV1365" i="5"/>
  <c r="AU1365" i="5"/>
  <c r="AT1365" i="5"/>
  <c r="AS1365" i="5"/>
  <c r="A86" i="10"/>
  <c r="K79" i="10"/>
  <c r="J79" i="10"/>
  <c r="I79" i="10"/>
  <c r="H79" i="10"/>
  <c r="G79" i="10"/>
  <c r="F79" i="10"/>
  <c r="E79" i="10"/>
  <c r="C80" i="19"/>
  <c r="J79" i="19"/>
  <c r="J78" i="19"/>
  <c r="J77" i="19"/>
  <c r="C75" i="19"/>
  <c r="I74" i="19"/>
  <c r="J74" i="19" s="1"/>
  <c r="E73" i="19"/>
  <c r="E72" i="19"/>
  <c r="I71" i="19"/>
  <c r="J71" i="19" s="1"/>
  <c r="J70" i="19"/>
  <c r="C67" i="19"/>
  <c r="J66" i="19"/>
  <c r="I66" i="19"/>
  <c r="H66" i="19"/>
  <c r="G66" i="19"/>
  <c r="N64" i="19"/>
  <c r="J64" i="19"/>
  <c r="N63" i="19"/>
  <c r="H63" i="19"/>
  <c r="N62" i="19"/>
  <c r="J62" i="19"/>
  <c r="C60" i="19"/>
  <c r="N59" i="19"/>
  <c r="J59" i="19"/>
  <c r="N58" i="19"/>
  <c r="J58" i="19"/>
  <c r="C56" i="19"/>
  <c r="N55" i="19"/>
  <c r="J55" i="19"/>
  <c r="J54" i="19"/>
  <c r="F51" i="19"/>
  <c r="F52" i="19" s="1"/>
  <c r="F56" i="19" s="1"/>
  <c r="F60" i="19" s="1"/>
  <c r="E51" i="19"/>
  <c r="C51" i="19"/>
  <c r="M50" i="19"/>
  <c r="L50" i="19"/>
  <c r="K50" i="19"/>
  <c r="J50" i="19"/>
  <c r="I50" i="19"/>
  <c r="H50" i="19"/>
  <c r="G50" i="19"/>
  <c r="C40" i="19"/>
  <c r="M39" i="19"/>
  <c r="L39" i="19"/>
  <c r="H39" i="19"/>
  <c r="F39" i="19"/>
  <c r="C39" i="19"/>
  <c r="C38" i="19"/>
  <c r="M35" i="19"/>
  <c r="L35" i="19"/>
  <c r="J35" i="19"/>
  <c r="I35" i="19"/>
  <c r="H35" i="19"/>
  <c r="M34" i="19"/>
  <c r="L34" i="19"/>
  <c r="J34" i="19"/>
  <c r="I34" i="19"/>
  <c r="H34" i="19"/>
  <c r="M33" i="19"/>
  <c r="L33" i="19"/>
  <c r="J33" i="19"/>
  <c r="I33" i="19"/>
  <c r="H33" i="19"/>
  <c r="M32" i="19"/>
  <c r="L32" i="19"/>
  <c r="J32" i="19"/>
  <c r="I32" i="19"/>
  <c r="H32" i="19"/>
  <c r="M30" i="19"/>
  <c r="L30" i="19"/>
  <c r="J30" i="19"/>
  <c r="I30" i="19"/>
  <c r="H30" i="19"/>
  <c r="M29" i="19"/>
  <c r="L29" i="19"/>
  <c r="J29" i="19"/>
  <c r="I29" i="19"/>
  <c r="H29" i="19"/>
  <c r="M28" i="19"/>
  <c r="L28" i="19"/>
  <c r="J28" i="19"/>
  <c r="I28" i="19"/>
  <c r="H28" i="19"/>
  <c r="M27" i="19"/>
  <c r="L27" i="19"/>
  <c r="J27" i="19"/>
  <c r="I27" i="19"/>
  <c r="H27" i="19"/>
  <c r="M26" i="19"/>
  <c r="L26" i="19"/>
  <c r="J26" i="19"/>
  <c r="I26" i="19"/>
  <c r="H26" i="19"/>
  <c r="M25" i="19"/>
  <c r="L25" i="19"/>
  <c r="J25" i="19"/>
  <c r="I25" i="19"/>
  <c r="H25" i="19"/>
  <c r="M24" i="19"/>
  <c r="L24" i="19"/>
  <c r="J24" i="19"/>
  <c r="I24" i="19"/>
  <c r="H24" i="19"/>
  <c r="M23" i="19"/>
  <c r="L23" i="19"/>
  <c r="J23" i="19"/>
  <c r="I23" i="19"/>
  <c r="H23" i="19"/>
  <c r="M22" i="19"/>
  <c r="L22" i="19"/>
  <c r="J22" i="19"/>
  <c r="I22" i="19"/>
  <c r="H22" i="19"/>
  <c r="M21" i="19"/>
  <c r="L21" i="19"/>
  <c r="J21" i="19"/>
  <c r="I21" i="19"/>
  <c r="H21" i="19"/>
  <c r="M20" i="19"/>
  <c r="L20" i="19"/>
  <c r="J20" i="19"/>
  <c r="I20" i="19"/>
  <c r="H20" i="19"/>
  <c r="C15" i="19"/>
  <c r="AC11" i="19"/>
  <c r="M8" i="19"/>
  <c r="L8" i="19"/>
  <c r="K8" i="19"/>
  <c r="J8" i="19"/>
  <c r="I8" i="19"/>
  <c r="H8" i="19"/>
  <c r="G8" i="19"/>
  <c r="A75" i="10"/>
  <c r="K68" i="10"/>
  <c r="J68" i="10"/>
  <c r="I68" i="10"/>
  <c r="H68" i="10"/>
  <c r="G68" i="10"/>
  <c r="F68" i="10"/>
  <c r="E68" i="10"/>
  <c r="C80" i="18"/>
  <c r="J79" i="18"/>
  <c r="J78" i="18"/>
  <c r="J77" i="18"/>
  <c r="C75" i="18"/>
  <c r="I74" i="18"/>
  <c r="J74" i="18" s="1"/>
  <c r="E73" i="18"/>
  <c r="E72" i="18"/>
  <c r="I71" i="18"/>
  <c r="J71" i="18" s="1"/>
  <c r="J70" i="18"/>
  <c r="C67" i="18"/>
  <c r="J66" i="18"/>
  <c r="I66" i="18"/>
  <c r="H66" i="18"/>
  <c r="G66" i="18"/>
  <c r="N64" i="18"/>
  <c r="J64" i="18"/>
  <c r="N63" i="18"/>
  <c r="H63" i="18"/>
  <c r="N62" i="18"/>
  <c r="J62" i="18"/>
  <c r="C60" i="18"/>
  <c r="N59" i="18"/>
  <c r="J59" i="18"/>
  <c r="N58" i="18"/>
  <c r="J58" i="18"/>
  <c r="C56" i="18"/>
  <c r="N55" i="18"/>
  <c r="J55" i="18"/>
  <c r="J54" i="18"/>
  <c r="F51" i="18"/>
  <c r="E51" i="18"/>
  <c r="C51" i="18"/>
  <c r="M50" i="18"/>
  <c r="L50" i="18"/>
  <c r="K50" i="18"/>
  <c r="J50" i="18"/>
  <c r="I50" i="18"/>
  <c r="H50" i="18"/>
  <c r="G50" i="18"/>
  <c r="C40" i="18"/>
  <c r="M39" i="18"/>
  <c r="L39" i="18"/>
  <c r="H39" i="18"/>
  <c r="F39" i="18"/>
  <c r="C39" i="18"/>
  <c r="C38" i="18"/>
  <c r="M35" i="18"/>
  <c r="L35" i="18"/>
  <c r="J35" i="18"/>
  <c r="I35" i="18"/>
  <c r="H35" i="18"/>
  <c r="M34" i="18"/>
  <c r="L34" i="18"/>
  <c r="J34" i="18"/>
  <c r="I34" i="18"/>
  <c r="H34" i="18"/>
  <c r="M33" i="18"/>
  <c r="L33" i="18"/>
  <c r="J33" i="18"/>
  <c r="I33" i="18"/>
  <c r="H33" i="18"/>
  <c r="M32" i="18"/>
  <c r="L32" i="18"/>
  <c r="J32" i="18"/>
  <c r="I32" i="18"/>
  <c r="H32" i="18"/>
  <c r="M30" i="18"/>
  <c r="L30" i="18"/>
  <c r="J30" i="18"/>
  <c r="I30" i="18"/>
  <c r="H30" i="18"/>
  <c r="M29" i="18"/>
  <c r="L29" i="18"/>
  <c r="J29" i="18"/>
  <c r="I29" i="18"/>
  <c r="H29" i="18"/>
  <c r="M28" i="18"/>
  <c r="L28" i="18"/>
  <c r="J28" i="18"/>
  <c r="I28" i="18"/>
  <c r="H28" i="18"/>
  <c r="M27" i="18"/>
  <c r="L27" i="18"/>
  <c r="J27" i="18"/>
  <c r="I27" i="18"/>
  <c r="H27" i="18"/>
  <c r="M26" i="18"/>
  <c r="L26" i="18"/>
  <c r="J26" i="18"/>
  <c r="I26" i="18"/>
  <c r="H26" i="18"/>
  <c r="M25" i="18"/>
  <c r="L25" i="18"/>
  <c r="J25" i="18"/>
  <c r="I25" i="18"/>
  <c r="H25" i="18"/>
  <c r="M24" i="18"/>
  <c r="L24" i="18"/>
  <c r="J24" i="18"/>
  <c r="I24" i="18"/>
  <c r="H24" i="18"/>
  <c r="M23" i="18"/>
  <c r="L23" i="18"/>
  <c r="J23" i="18"/>
  <c r="I23" i="18"/>
  <c r="H23" i="18"/>
  <c r="M22" i="18"/>
  <c r="L22" i="18"/>
  <c r="J22" i="18"/>
  <c r="I22" i="18"/>
  <c r="H22" i="18"/>
  <c r="M21" i="18"/>
  <c r="L21" i="18"/>
  <c r="J21" i="18"/>
  <c r="I21" i="18"/>
  <c r="H21" i="18"/>
  <c r="M20" i="18"/>
  <c r="L20" i="18"/>
  <c r="J20" i="18"/>
  <c r="I20" i="18"/>
  <c r="H20" i="18"/>
  <c r="C15" i="18"/>
  <c r="AC11" i="18"/>
  <c r="M8" i="18"/>
  <c r="L8" i="18"/>
  <c r="K8" i="18"/>
  <c r="J8" i="18"/>
  <c r="I8" i="18"/>
  <c r="H8" i="18"/>
  <c r="G8" i="18"/>
  <c r="A64" i="10"/>
  <c r="K57" i="10"/>
  <c r="J57" i="10"/>
  <c r="I57" i="10"/>
  <c r="H57" i="10"/>
  <c r="G57" i="10"/>
  <c r="F57" i="10"/>
  <c r="E57" i="10"/>
  <c r="C80" i="17"/>
  <c r="J79" i="17"/>
  <c r="J78" i="17"/>
  <c r="J77" i="17"/>
  <c r="C75" i="17"/>
  <c r="I74" i="17"/>
  <c r="J74" i="17" s="1"/>
  <c r="E73" i="17"/>
  <c r="E72" i="17"/>
  <c r="I71" i="17"/>
  <c r="J71" i="17" s="1"/>
  <c r="J70" i="17"/>
  <c r="C67" i="17"/>
  <c r="J66" i="17"/>
  <c r="I66" i="17"/>
  <c r="H66" i="17"/>
  <c r="G66" i="17"/>
  <c r="N64" i="17"/>
  <c r="J64" i="17"/>
  <c r="N63" i="17"/>
  <c r="H63" i="17"/>
  <c r="N62" i="17"/>
  <c r="J62" i="17"/>
  <c r="C60" i="17"/>
  <c r="N59" i="17"/>
  <c r="J59" i="17"/>
  <c r="N58" i="17"/>
  <c r="J58" i="17"/>
  <c r="C56" i="17"/>
  <c r="N55" i="17"/>
  <c r="J55" i="17"/>
  <c r="J54" i="17"/>
  <c r="F51" i="17"/>
  <c r="E51" i="17"/>
  <c r="C51" i="17"/>
  <c r="M50" i="17"/>
  <c r="L50" i="17"/>
  <c r="K50" i="17"/>
  <c r="J50" i="17"/>
  <c r="I50" i="17"/>
  <c r="H50" i="17"/>
  <c r="G50" i="17"/>
  <c r="C40" i="17"/>
  <c r="M39" i="17"/>
  <c r="L39" i="17"/>
  <c r="H39" i="17"/>
  <c r="F39" i="17"/>
  <c r="C39" i="17"/>
  <c r="C38" i="17"/>
  <c r="M35" i="17"/>
  <c r="L35" i="17"/>
  <c r="J35" i="17"/>
  <c r="I35" i="17"/>
  <c r="H35" i="17"/>
  <c r="M34" i="17"/>
  <c r="L34" i="17"/>
  <c r="J34" i="17"/>
  <c r="I34" i="17"/>
  <c r="H34" i="17"/>
  <c r="M33" i="17"/>
  <c r="L33" i="17"/>
  <c r="J33" i="17"/>
  <c r="I33" i="17"/>
  <c r="H33" i="17"/>
  <c r="M32" i="17"/>
  <c r="L32" i="17"/>
  <c r="J32" i="17"/>
  <c r="I32" i="17"/>
  <c r="H32" i="17"/>
  <c r="M30" i="17"/>
  <c r="L30" i="17"/>
  <c r="J30" i="17"/>
  <c r="I30" i="17"/>
  <c r="H30" i="17"/>
  <c r="M29" i="17"/>
  <c r="L29" i="17"/>
  <c r="J29" i="17"/>
  <c r="I29" i="17"/>
  <c r="H29" i="17"/>
  <c r="M28" i="17"/>
  <c r="L28" i="17"/>
  <c r="J28" i="17"/>
  <c r="I28" i="17"/>
  <c r="H28" i="17"/>
  <c r="M27" i="17"/>
  <c r="L27" i="17"/>
  <c r="J27" i="17"/>
  <c r="I27" i="17"/>
  <c r="H27" i="17"/>
  <c r="M26" i="17"/>
  <c r="L26" i="17"/>
  <c r="J26" i="17"/>
  <c r="I26" i="17"/>
  <c r="H26" i="17"/>
  <c r="M25" i="17"/>
  <c r="L25" i="17"/>
  <c r="J25" i="17"/>
  <c r="I25" i="17"/>
  <c r="H25" i="17"/>
  <c r="M24" i="17"/>
  <c r="L24" i="17"/>
  <c r="J24" i="17"/>
  <c r="I24" i="17"/>
  <c r="H24" i="17"/>
  <c r="M23" i="17"/>
  <c r="L23" i="17"/>
  <c r="J23" i="17"/>
  <c r="I23" i="17"/>
  <c r="H23" i="17"/>
  <c r="M22" i="17"/>
  <c r="L22" i="17"/>
  <c r="J22" i="17"/>
  <c r="I22" i="17"/>
  <c r="H22" i="17"/>
  <c r="M21" i="17"/>
  <c r="L21" i="17"/>
  <c r="J21" i="17"/>
  <c r="I21" i="17"/>
  <c r="H21" i="17"/>
  <c r="M20" i="17"/>
  <c r="L20" i="17"/>
  <c r="J20" i="17"/>
  <c r="I20" i="17"/>
  <c r="H20" i="17"/>
  <c r="C15" i="17"/>
  <c r="AC11" i="17"/>
  <c r="M8" i="17"/>
  <c r="L8" i="17"/>
  <c r="K8" i="17"/>
  <c r="J8" i="17"/>
  <c r="I8" i="17"/>
  <c r="H8" i="17"/>
  <c r="G8" i="17"/>
  <c r="CM1359" i="5"/>
  <c r="CM1360" i="5" s="1"/>
  <c r="CL1359" i="5"/>
  <c r="CL1360" i="5" s="1"/>
  <c r="G11" i="17" s="1"/>
  <c r="CK1359" i="5"/>
  <c r="CK1360" i="5" s="1"/>
  <c r="M12" i="17" s="1"/>
  <c r="M40" i="17" s="1"/>
  <c r="CJ1359" i="5"/>
  <c r="CJ1360" i="5" s="1"/>
  <c r="CI1359" i="5"/>
  <c r="CI1360" i="5" s="1"/>
  <c r="CH1359" i="5"/>
  <c r="CH1360" i="5" s="1"/>
  <c r="CG1359" i="5"/>
  <c r="CG1360" i="5" s="1"/>
  <c r="CF1359" i="5"/>
  <c r="CF1360" i="5" s="1"/>
  <c r="CE1359" i="5"/>
  <c r="CE1360" i="5" s="1"/>
  <c r="CD1359" i="5"/>
  <c r="CD1360" i="5" s="1"/>
  <c r="CC1359" i="5"/>
  <c r="CC1360" i="5" s="1"/>
  <c r="CB1359" i="5"/>
  <c r="CB1360" i="5" s="1"/>
  <c r="CA1359" i="5"/>
  <c r="CA1360" i="5" s="1"/>
  <c r="L12" i="17" s="1"/>
  <c r="BZ1359" i="5"/>
  <c r="BZ1360" i="5" s="1"/>
  <c r="L10" i="17" s="1"/>
  <c r="BY1359" i="5"/>
  <c r="BY1360" i="5" s="1"/>
  <c r="BX1359" i="5"/>
  <c r="BX1360" i="5" s="1"/>
  <c r="BW1359" i="5"/>
  <c r="BW1360" i="5" s="1"/>
  <c r="BV1359" i="5"/>
  <c r="BV1360" i="5" s="1"/>
  <c r="BU1359" i="5"/>
  <c r="BU1360" i="5" s="1"/>
  <c r="BT1359" i="5"/>
  <c r="BT1360" i="5" s="1"/>
  <c r="BS1359" i="5"/>
  <c r="BS1360" i="5" s="1"/>
  <c r="BR1359" i="5"/>
  <c r="BR1360" i="5" s="1"/>
  <c r="BQ1359" i="5"/>
  <c r="BQ1360" i="5" s="1"/>
  <c r="BP1359" i="5"/>
  <c r="BP1360" i="5" s="1"/>
  <c r="BO1359" i="5"/>
  <c r="BO1360" i="5" s="1"/>
  <c r="BN1359" i="5"/>
  <c r="BN1360" i="5" s="1"/>
  <c r="BM1359" i="5"/>
  <c r="BM1360" i="5" s="1"/>
  <c r="I12" i="17" s="1"/>
  <c r="I40" i="17" s="1"/>
  <c r="BL1359" i="5"/>
  <c r="BL1360" i="5" s="1"/>
  <c r="G59" i="10" s="1"/>
  <c r="BK1359" i="5"/>
  <c r="BK1360" i="5" s="1"/>
  <c r="BJ1359" i="5"/>
  <c r="BJ1360" i="5" s="1"/>
  <c r="BI1359" i="5"/>
  <c r="BI1360" i="5" s="1"/>
  <c r="BH1359" i="5"/>
  <c r="BH1360" i="5" s="1"/>
  <c r="BG1359" i="5"/>
  <c r="BG1360" i="5" s="1"/>
  <c r="BF1359" i="5"/>
  <c r="BF1360" i="5" s="1"/>
  <c r="BE1359" i="5"/>
  <c r="BE1360" i="5" s="1"/>
  <c r="BD1359" i="5"/>
  <c r="BD1360" i="5" s="1"/>
  <c r="BC1359" i="5"/>
  <c r="BC1360" i="5" s="1"/>
  <c r="H12" i="17" s="1"/>
  <c r="H40" i="17" s="1"/>
  <c r="BB1359" i="5"/>
  <c r="BB1360" i="5" s="1"/>
  <c r="F59" i="10" s="1"/>
  <c r="BA1359" i="5"/>
  <c r="BA1360" i="5" s="1"/>
  <c r="AZ1359" i="5"/>
  <c r="AZ1360" i="5" s="1"/>
  <c r="AY1359" i="5"/>
  <c r="AY1360" i="5" s="1"/>
  <c r="AX1359" i="5"/>
  <c r="AX1360" i="5" s="1"/>
  <c r="AW1359" i="5"/>
  <c r="AW1360" i="5" s="1"/>
  <c r="AV1359" i="5"/>
  <c r="AV1360" i="5" s="1"/>
  <c r="AU1359" i="5"/>
  <c r="AU1360" i="5" s="1"/>
  <c r="AT1359" i="5"/>
  <c r="AT1360" i="5" s="1"/>
  <c r="AS1359" i="5"/>
  <c r="AS1360" i="5" s="1"/>
  <c r="A53" i="10"/>
  <c r="K46" i="10"/>
  <c r="J46" i="10"/>
  <c r="I46" i="10"/>
  <c r="H46" i="10"/>
  <c r="G46" i="10"/>
  <c r="F46" i="10"/>
  <c r="E46" i="10"/>
  <c r="C80" i="16"/>
  <c r="J79" i="16"/>
  <c r="J78" i="16"/>
  <c r="J77" i="16"/>
  <c r="C75" i="16"/>
  <c r="I74" i="16"/>
  <c r="J74" i="16" s="1"/>
  <c r="E73" i="16"/>
  <c r="E72" i="16"/>
  <c r="I71" i="16"/>
  <c r="J71" i="16" s="1"/>
  <c r="J70" i="16"/>
  <c r="C67" i="16"/>
  <c r="J66" i="16"/>
  <c r="I66" i="16"/>
  <c r="H66" i="16"/>
  <c r="G66" i="16"/>
  <c r="N64" i="16"/>
  <c r="J64" i="16"/>
  <c r="N63" i="16"/>
  <c r="H63" i="16"/>
  <c r="N62" i="16"/>
  <c r="J62" i="16"/>
  <c r="C60" i="16"/>
  <c r="N59" i="16"/>
  <c r="J59" i="16"/>
  <c r="N58" i="16"/>
  <c r="J58" i="16"/>
  <c r="C56" i="16"/>
  <c r="N55" i="16"/>
  <c r="J55" i="16"/>
  <c r="J54" i="16"/>
  <c r="F51" i="16"/>
  <c r="E51" i="16"/>
  <c r="C51" i="16"/>
  <c r="M50" i="16"/>
  <c r="L50" i="16"/>
  <c r="K50" i="16"/>
  <c r="J50" i="16"/>
  <c r="I50" i="16"/>
  <c r="H50" i="16"/>
  <c r="G50" i="16"/>
  <c r="C40" i="16"/>
  <c r="M39" i="16"/>
  <c r="L39" i="16"/>
  <c r="H39" i="16"/>
  <c r="F39" i="16"/>
  <c r="C39" i="16"/>
  <c r="C38" i="16"/>
  <c r="M35" i="16"/>
  <c r="L35" i="16"/>
  <c r="J35" i="16"/>
  <c r="I35" i="16"/>
  <c r="H35" i="16"/>
  <c r="M34" i="16"/>
  <c r="L34" i="16"/>
  <c r="J34" i="16"/>
  <c r="I34" i="16"/>
  <c r="H34" i="16"/>
  <c r="M33" i="16"/>
  <c r="L33" i="16"/>
  <c r="J33" i="16"/>
  <c r="I33" i="16"/>
  <c r="H33" i="16"/>
  <c r="M32" i="16"/>
  <c r="L32" i="16"/>
  <c r="J32" i="16"/>
  <c r="I32" i="16"/>
  <c r="H32" i="16"/>
  <c r="M30" i="16"/>
  <c r="L30" i="16"/>
  <c r="J30" i="16"/>
  <c r="I30" i="16"/>
  <c r="H30" i="16"/>
  <c r="M29" i="16"/>
  <c r="L29" i="16"/>
  <c r="J29" i="16"/>
  <c r="I29" i="16"/>
  <c r="H29" i="16"/>
  <c r="M28" i="16"/>
  <c r="L28" i="16"/>
  <c r="J28" i="16"/>
  <c r="I28" i="16"/>
  <c r="H28" i="16"/>
  <c r="M27" i="16"/>
  <c r="L27" i="16"/>
  <c r="J27" i="16"/>
  <c r="I27" i="16"/>
  <c r="H27" i="16"/>
  <c r="M26" i="16"/>
  <c r="L26" i="16"/>
  <c r="J26" i="16"/>
  <c r="I26" i="16"/>
  <c r="H26" i="16"/>
  <c r="M25" i="16"/>
  <c r="L25" i="16"/>
  <c r="J25" i="16"/>
  <c r="I25" i="16"/>
  <c r="H25" i="16"/>
  <c r="M24" i="16"/>
  <c r="L24" i="16"/>
  <c r="J24" i="16"/>
  <c r="I24" i="16"/>
  <c r="H24" i="16"/>
  <c r="M23" i="16"/>
  <c r="L23" i="16"/>
  <c r="J23" i="16"/>
  <c r="I23" i="16"/>
  <c r="H23" i="16"/>
  <c r="M22" i="16"/>
  <c r="L22" i="16"/>
  <c r="J22" i="16"/>
  <c r="I22" i="16"/>
  <c r="H22" i="16"/>
  <c r="M21" i="16"/>
  <c r="L21" i="16"/>
  <c r="J21" i="16"/>
  <c r="I21" i="16"/>
  <c r="H21" i="16"/>
  <c r="M20" i="16"/>
  <c r="L20" i="16"/>
  <c r="J20" i="16"/>
  <c r="I20" i="16"/>
  <c r="H20" i="16"/>
  <c r="C15" i="16"/>
  <c r="AC11" i="16"/>
  <c r="M8" i="16"/>
  <c r="L8" i="16"/>
  <c r="K8" i="16"/>
  <c r="J8" i="16"/>
  <c r="I8" i="16"/>
  <c r="H8" i="16"/>
  <c r="G8" i="16"/>
  <c r="CM1346" i="5"/>
  <c r="CL1346" i="5"/>
  <c r="CK1346" i="5"/>
  <c r="CJ1346" i="5"/>
  <c r="CI1346" i="5"/>
  <c r="CH1346" i="5"/>
  <c r="CG1346" i="5"/>
  <c r="CF1346" i="5"/>
  <c r="CE1346" i="5"/>
  <c r="CD1346" i="5"/>
  <c r="CC1346" i="5"/>
  <c r="CB1346" i="5"/>
  <c r="CA1346" i="5"/>
  <c r="BZ1346" i="5"/>
  <c r="BY1346" i="5"/>
  <c r="BX1346" i="5"/>
  <c r="BW1346" i="5"/>
  <c r="BV1346" i="5"/>
  <c r="BU1346" i="5"/>
  <c r="BT1346" i="5"/>
  <c r="BS1346" i="5"/>
  <c r="BR1346" i="5"/>
  <c r="BQ1346" i="5"/>
  <c r="BP1346" i="5"/>
  <c r="BO1346" i="5"/>
  <c r="BN1346" i="5"/>
  <c r="BM1346" i="5"/>
  <c r="BL1346" i="5"/>
  <c r="BK1346" i="5"/>
  <c r="BJ1346" i="5"/>
  <c r="BI1346" i="5"/>
  <c r="BH1346" i="5"/>
  <c r="BG1346" i="5"/>
  <c r="BF1346" i="5"/>
  <c r="BE1346" i="5"/>
  <c r="BD1346" i="5"/>
  <c r="BC1346" i="5"/>
  <c r="BB1346" i="5"/>
  <c r="BA1346" i="5"/>
  <c r="AZ1346" i="5"/>
  <c r="AY1346" i="5"/>
  <c r="AX1346" i="5"/>
  <c r="AW1346" i="5"/>
  <c r="AV1346" i="5"/>
  <c r="AU1346" i="5"/>
  <c r="AT1346" i="5"/>
  <c r="AS1346" i="5"/>
  <c r="A42" i="10"/>
  <c r="K35" i="10"/>
  <c r="J35" i="10"/>
  <c r="I35" i="10"/>
  <c r="H35" i="10"/>
  <c r="G35" i="10"/>
  <c r="F35" i="10"/>
  <c r="E35" i="10"/>
  <c r="C80" i="15"/>
  <c r="J79" i="15"/>
  <c r="J78" i="15"/>
  <c r="J77" i="15"/>
  <c r="C75" i="15"/>
  <c r="I74" i="15"/>
  <c r="J74" i="15" s="1"/>
  <c r="E73" i="15"/>
  <c r="E72" i="15"/>
  <c r="I71" i="15"/>
  <c r="J71" i="15" s="1"/>
  <c r="J70" i="15"/>
  <c r="C67" i="15"/>
  <c r="J66" i="15"/>
  <c r="I66" i="15"/>
  <c r="H66" i="15"/>
  <c r="G66" i="15"/>
  <c r="N64" i="15"/>
  <c r="J64" i="15"/>
  <c r="N63" i="15"/>
  <c r="H63" i="15"/>
  <c r="N62" i="15"/>
  <c r="J62" i="15"/>
  <c r="C60" i="15"/>
  <c r="N59" i="15"/>
  <c r="J59" i="15"/>
  <c r="N58" i="15"/>
  <c r="J58" i="15"/>
  <c r="C56" i="15"/>
  <c r="N55" i="15"/>
  <c r="J55" i="15"/>
  <c r="J54" i="15"/>
  <c r="F51" i="15"/>
  <c r="E51" i="15"/>
  <c r="C51" i="15"/>
  <c r="M50" i="15"/>
  <c r="L50" i="15"/>
  <c r="K50" i="15"/>
  <c r="J50" i="15"/>
  <c r="I50" i="15"/>
  <c r="H50" i="15"/>
  <c r="G50" i="15"/>
  <c r="C40" i="15"/>
  <c r="M39" i="15"/>
  <c r="L39" i="15"/>
  <c r="H39" i="15"/>
  <c r="F39" i="15"/>
  <c r="C39" i="15"/>
  <c r="C38" i="15"/>
  <c r="M35" i="15"/>
  <c r="L35" i="15"/>
  <c r="J35" i="15"/>
  <c r="I35" i="15"/>
  <c r="H35" i="15"/>
  <c r="M34" i="15"/>
  <c r="L34" i="15"/>
  <c r="J34" i="15"/>
  <c r="I34" i="15"/>
  <c r="H34" i="15"/>
  <c r="M33" i="15"/>
  <c r="L33" i="15"/>
  <c r="J33" i="15"/>
  <c r="I33" i="15"/>
  <c r="H33" i="15"/>
  <c r="M32" i="15"/>
  <c r="L32" i="15"/>
  <c r="J32" i="15"/>
  <c r="I32" i="15"/>
  <c r="H32" i="15"/>
  <c r="M30" i="15"/>
  <c r="L30" i="15"/>
  <c r="J30" i="15"/>
  <c r="I30" i="15"/>
  <c r="H30" i="15"/>
  <c r="M29" i="15"/>
  <c r="L29" i="15"/>
  <c r="J29" i="15"/>
  <c r="I29" i="15"/>
  <c r="H29" i="15"/>
  <c r="M28" i="15"/>
  <c r="L28" i="15"/>
  <c r="J28" i="15"/>
  <c r="I28" i="15"/>
  <c r="H28" i="15"/>
  <c r="M27" i="15"/>
  <c r="L27" i="15"/>
  <c r="J27" i="15"/>
  <c r="I27" i="15"/>
  <c r="H27" i="15"/>
  <c r="M26" i="15"/>
  <c r="L26" i="15"/>
  <c r="J26" i="15"/>
  <c r="I26" i="15"/>
  <c r="H26" i="15"/>
  <c r="M25" i="15"/>
  <c r="L25" i="15"/>
  <c r="J25" i="15"/>
  <c r="I25" i="15"/>
  <c r="H25" i="15"/>
  <c r="M24" i="15"/>
  <c r="L24" i="15"/>
  <c r="J24" i="15"/>
  <c r="I24" i="15"/>
  <c r="H24" i="15"/>
  <c r="M23" i="15"/>
  <c r="L23" i="15"/>
  <c r="J23" i="15"/>
  <c r="I23" i="15"/>
  <c r="H23" i="15"/>
  <c r="M22" i="15"/>
  <c r="L22" i="15"/>
  <c r="J22" i="15"/>
  <c r="I22" i="15"/>
  <c r="H22" i="15"/>
  <c r="M21" i="15"/>
  <c r="L21" i="15"/>
  <c r="J21" i="15"/>
  <c r="I21" i="15"/>
  <c r="H21" i="15"/>
  <c r="M20" i="15"/>
  <c r="L20" i="15"/>
  <c r="J20" i="15"/>
  <c r="I20" i="15"/>
  <c r="H20" i="15"/>
  <c r="C15" i="15"/>
  <c r="AC11" i="15"/>
  <c r="M8" i="15"/>
  <c r="L8" i="15"/>
  <c r="K8" i="15"/>
  <c r="J8" i="15"/>
  <c r="I8" i="15"/>
  <c r="H8" i="15"/>
  <c r="G8" i="15"/>
  <c r="CM1343" i="5"/>
  <c r="CL1343" i="5"/>
  <c r="CK1343" i="5"/>
  <c r="CJ1343" i="5"/>
  <c r="CI1343" i="5"/>
  <c r="CH1343" i="5"/>
  <c r="CG1343" i="5"/>
  <c r="CF1343" i="5"/>
  <c r="CE1343" i="5"/>
  <c r="CD1343" i="5"/>
  <c r="CC1343" i="5"/>
  <c r="CB1343" i="5"/>
  <c r="CA1343" i="5"/>
  <c r="BZ1343" i="5"/>
  <c r="BY1343" i="5"/>
  <c r="BX1343" i="5"/>
  <c r="BW1343" i="5"/>
  <c r="BV1343" i="5"/>
  <c r="BU1343" i="5"/>
  <c r="BT1343" i="5"/>
  <c r="BS1343" i="5"/>
  <c r="BR1343" i="5"/>
  <c r="BQ1343" i="5"/>
  <c r="BP1343" i="5"/>
  <c r="BO1343" i="5"/>
  <c r="BN1343" i="5"/>
  <c r="BM1343" i="5"/>
  <c r="BL1343" i="5"/>
  <c r="BK1343" i="5"/>
  <c r="BJ1343" i="5"/>
  <c r="BI1343" i="5"/>
  <c r="BH1343" i="5"/>
  <c r="BG1343" i="5"/>
  <c r="BF1343" i="5"/>
  <c r="BE1343" i="5"/>
  <c r="BD1343" i="5"/>
  <c r="BC1343" i="5"/>
  <c r="BB1343" i="5"/>
  <c r="BA1343" i="5"/>
  <c r="AZ1343" i="5"/>
  <c r="AY1343" i="5"/>
  <c r="AX1343" i="5"/>
  <c r="AW1343" i="5"/>
  <c r="AV1343" i="5"/>
  <c r="AU1343" i="5"/>
  <c r="AT1343" i="5"/>
  <c r="AS1343" i="5"/>
  <c r="A31" i="10"/>
  <c r="K24" i="10"/>
  <c r="J24" i="10"/>
  <c r="I24" i="10"/>
  <c r="H24" i="10"/>
  <c r="G24" i="10"/>
  <c r="F24" i="10"/>
  <c r="E24" i="10"/>
  <c r="C80" i="14"/>
  <c r="J79" i="14"/>
  <c r="J78" i="14"/>
  <c r="J77" i="14"/>
  <c r="C75" i="14"/>
  <c r="I74" i="14"/>
  <c r="J74" i="14" s="1"/>
  <c r="E73" i="14"/>
  <c r="E72" i="14"/>
  <c r="I71" i="14"/>
  <c r="J71" i="14" s="1"/>
  <c r="J70" i="14"/>
  <c r="C67" i="14"/>
  <c r="J66" i="14"/>
  <c r="I66" i="14"/>
  <c r="H66" i="14"/>
  <c r="G66" i="14"/>
  <c r="N64" i="14"/>
  <c r="J64" i="14"/>
  <c r="N63" i="14"/>
  <c r="H63" i="14"/>
  <c r="N62" i="14"/>
  <c r="J62" i="14"/>
  <c r="C60" i="14"/>
  <c r="N59" i="14"/>
  <c r="J59" i="14"/>
  <c r="N58" i="14"/>
  <c r="J58" i="14"/>
  <c r="C56" i="14"/>
  <c r="N55" i="14"/>
  <c r="J55" i="14"/>
  <c r="J54" i="14"/>
  <c r="F51" i="14"/>
  <c r="E51" i="14"/>
  <c r="C51" i="14"/>
  <c r="M50" i="14"/>
  <c r="L50" i="14"/>
  <c r="K50" i="14"/>
  <c r="J50" i="14"/>
  <c r="I50" i="14"/>
  <c r="H50" i="14"/>
  <c r="G50" i="14"/>
  <c r="C40" i="14"/>
  <c r="M39" i="14"/>
  <c r="L39" i="14"/>
  <c r="H39" i="14"/>
  <c r="F39" i="14"/>
  <c r="C39" i="14"/>
  <c r="C38" i="14"/>
  <c r="M35" i="14"/>
  <c r="L35" i="14"/>
  <c r="J35" i="14"/>
  <c r="I35" i="14"/>
  <c r="H35" i="14"/>
  <c r="M34" i="14"/>
  <c r="L34" i="14"/>
  <c r="J34" i="14"/>
  <c r="I34" i="14"/>
  <c r="H34" i="14"/>
  <c r="M33" i="14"/>
  <c r="L33" i="14"/>
  <c r="J33" i="14"/>
  <c r="I33" i="14"/>
  <c r="H33" i="14"/>
  <c r="M32" i="14"/>
  <c r="L32" i="14"/>
  <c r="J32" i="14"/>
  <c r="I32" i="14"/>
  <c r="H32" i="14"/>
  <c r="M30" i="14"/>
  <c r="L30" i="14"/>
  <c r="J30" i="14"/>
  <c r="I30" i="14"/>
  <c r="H30" i="14"/>
  <c r="M29" i="14"/>
  <c r="L29" i="14"/>
  <c r="J29" i="14"/>
  <c r="I29" i="14"/>
  <c r="H29" i="14"/>
  <c r="M28" i="14"/>
  <c r="L28" i="14"/>
  <c r="J28" i="14"/>
  <c r="I28" i="14"/>
  <c r="H28" i="14"/>
  <c r="M27" i="14"/>
  <c r="L27" i="14"/>
  <c r="J27" i="14"/>
  <c r="I27" i="14"/>
  <c r="H27" i="14"/>
  <c r="M26" i="14"/>
  <c r="L26" i="14"/>
  <c r="J26" i="14"/>
  <c r="I26" i="14"/>
  <c r="H26" i="14"/>
  <c r="M25" i="14"/>
  <c r="L25" i="14"/>
  <c r="J25" i="14"/>
  <c r="I25" i="14"/>
  <c r="H25" i="14"/>
  <c r="M24" i="14"/>
  <c r="L24" i="14"/>
  <c r="J24" i="14"/>
  <c r="I24" i="14"/>
  <c r="H24" i="14"/>
  <c r="M23" i="14"/>
  <c r="L23" i="14"/>
  <c r="J23" i="14"/>
  <c r="I23" i="14"/>
  <c r="H23" i="14"/>
  <c r="M22" i="14"/>
  <c r="L22" i="14"/>
  <c r="J22" i="14"/>
  <c r="I22" i="14"/>
  <c r="H22" i="14"/>
  <c r="M21" i="14"/>
  <c r="L21" i="14"/>
  <c r="J21" i="14"/>
  <c r="I21" i="14"/>
  <c r="H21" i="14"/>
  <c r="M20" i="14"/>
  <c r="L20" i="14"/>
  <c r="J20" i="14"/>
  <c r="I20" i="14"/>
  <c r="H20" i="14"/>
  <c r="C15" i="14"/>
  <c r="AC11" i="14"/>
  <c r="M8" i="14"/>
  <c r="L8" i="14"/>
  <c r="K8" i="14"/>
  <c r="J8" i="14"/>
  <c r="I8" i="14"/>
  <c r="H8" i="14"/>
  <c r="G8" i="14"/>
  <c r="A20" i="10"/>
  <c r="K13" i="10"/>
  <c r="J13" i="10"/>
  <c r="I13" i="10"/>
  <c r="H13" i="10"/>
  <c r="G13" i="10"/>
  <c r="F13" i="10"/>
  <c r="E13" i="10"/>
  <c r="C80" i="13"/>
  <c r="J79" i="13"/>
  <c r="J78" i="13"/>
  <c r="J77" i="13"/>
  <c r="C75" i="13"/>
  <c r="I74" i="13"/>
  <c r="J74" i="13" s="1"/>
  <c r="E73" i="13"/>
  <c r="E72" i="13"/>
  <c r="I71" i="13"/>
  <c r="J71" i="13" s="1"/>
  <c r="J70" i="13"/>
  <c r="C67" i="13"/>
  <c r="J66" i="13"/>
  <c r="I66" i="13"/>
  <c r="H66" i="13"/>
  <c r="G66" i="13"/>
  <c r="N64" i="13"/>
  <c r="J64" i="13"/>
  <c r="N63" i="13"/>
  <c r="H63" i="13"/>
  <c r="N62" i="13"/>
  <c r="J62" i="13"/>
  <c r="C60" i="13"/>
  <c r="N59" i="13"/>
  <c r="J59" i="13"/>
  <c r="N58" i="13"/>
  <c r="J58" i="13"/>
  <c r="C56" i="13"/>
  <c r="N55" i="13"/>
  <c r="J55" i="13"/>
  <c r="J54" i="13"/>
  <c r="F51" i="13"/>
  <c r="F52" i="13" s="1"/>
  <c r="F56" i="13" s="1"/>
  <c r="F60" i="13" s="1"/>
  <c r="E51" i="13"/>
  <c r="C51" i="13"/>
  <c r="M50" i="13"/>
  <c r="L50" i="13"/>
  <c r="K50" i="13"/>
  <c r="J50" i="13"/>
  <c r="I50" i="13"/>
  <c r="H50" i="13"/>
  <c r="G50" i="13"/>
  <c r="C40" i="13"/>
  <c r="M39" i="13"/>
  <c r="L39" i="13"/>
  <c r="H39" i="13"/>
  <c r="F39" i="13"/>
  <c r="C39" i="13"/>
  <c r="C38" i="13"/>
  <c r="M35" i="13"/>
  <c r="L35" i="13"/>
  <c r="J35" i="13"/>
  <c r="I35" i="13"/>
  <c r="H35" i="13"/>
  <c r="M34" i="13"/>
  <c r="L34" i="13"/>
  <c r="J34" i="13"/>
  <c r="I34" i="13"/>
  <c r="H34" i="13"/>
  <c r="M33" i="13"/>
  <c r="L33" i="13"/>
  <c r="J33" i="13"/>
  <c r="I33" i="13"/>
  <c r="H33" i="13"/>
  <c r="M32" i="13"/>
  <c r="L32" i="13"/>
  <c r="J32" i="13"/>
  <c r="I32" i="13"/>
  <c r="H32" i="13"/>
  <c r="M30" i="13"/>
  <c r="L30" i="13"/>
  <c r="J30" i="13"/>
  <c r="I30" i="13"/>
  <c r="H30" i="13"/>
  <c r="M29" i="13"/>
  <c r="L29" i="13"/>
  <c r="J29" i="13"/>
  <c r="I29" i="13"/>
  <c r="H29" i="13"/>
  <c r="M28" i="13"/>
  <c r="L28" i="13"/>
  <c r="J28" i="13"/>
  <c r="I28" i="13"/>
  <c r="H28" i="13"/>
  <c r="M27" i="13"/>
  <c r="L27" i="13"/>
  <c r="J27" i="13"/>
  <c r="I27" i="13"/>
  <c r="H27" i="13"/>
  <c r="M26" i="13"/>
  <c r="L26" i="13"/>
  <c r="J26" i="13"/>
  <c r="I26" i="13"/>
  <c r="H26" i="13"/>
  <c r="M25" i="13"/>
  <c r="L25" i="13"/>
  <c r="J25" i="13"/>
  <c r="I25" i="13"/>
  <c r="H25" i="13"/>
  <c r="M24" i="13"/>
  <c r="L24" i="13"/>
  <c r="J24" i="13"/>
  <c r="I24" i="13"/>
  <c r="H24" i="13"/>
  <c r="M23" i="13"/>
  <c r="L23" i="13"/>
  <c r="J23" i="13"/>
  <c r="I23" i="13"/>
  <c r="H23" i="13"/>
  <c r="M22" i="13"/>
  <c r="L22" i="13"/>
  <c r="J22" i="13"/>
  <c r="I22" i="13"/>
  <c r="H22" i="13"/>
  <c r="M21" i="13"/>
  <c r="L21" i="13"/>
  <c r="J21" i="13"/>
  <c r="I21" i="13"/>
  <c r="H21" i="13"/>
  <c r="M20" i="13"/>
  <c r="L20" i="13"/>
  <c r="J20" i="13"/>
  <c r="I20" i="13"/>
  <c r="H20" i="13"/>
  <c r="C15" i="13"/>
  <c r="AC11" i="13"/>
  <c r="M8" i="13"/>
  <c r="L8" i="13"/>
  <c r="K8" i="13"/>
  <c r="J8" i="13"/>
  <c r="I8" i="13"/>
  <c r="H8" i="13"/>
  <c r="G8" i="13"/>
  <c r="A9" i="10"/>
  <c r="K2" i="10"/>
  <c r="J2" i="10"/>
  <c r="I2" i="10"/>
  <c r="H2" i="10"/>
  <c r="G2" i="10"/>
  <c r="F2" i="10"/>
  <c r="E2" i="10"/>
  <c r="C80" i="12"/>
  <c r="J79" i="12"/>
  <c r="J78" i="12"/>
  <c r="J77" i="12"/>
  <c r="C75" i="12"/>
  <c r="I74" i="12"/>
  <c r="J74" i="12" s="1"/>
  <c r="E73" i="12"/>
  <c r="E72" i="12"/>
  <c r="I71" i="12"/>
  <c r="J71" i="12" s="1"/>
  <c r="J70" i="12"/>
  <c r="C67" i="12"/>
  <c r="J66" i="12"/>
  <c r="I66" i="12"/>
  <c r="H66" i="12"/>
  <c r="G66" i="12"/>
  <c r="N64" i="12"/>
  <c r="J64" i="12"/>
  <c r="N63" i="12"/>
  <c r="H63" i="12"/>
  <c r="N62" i="12"/>
  <c r="J62" i="12"/>
  <c r="C60" i="12"/>
  <c r="N59" i="12"/>
  <c r="J59" i="12"/>
  <c r="N58" i="12"/>
  <c r="J58" i="12"/>
  <c r="C56" i="12"/>
  <c r="N55" i="12"/>
  <c r="J55" i="12"/>
  <c r="J54" i="12"/>
  <c r="F51" i="12"/>
  <c r="E51" i="12"/>
  <c r="C51" i="12"/>
  <c r="M50" i="12"/>
  <c r="L50" i="12"/>
  <c r="K50" i="12"/>
  <c r="J50" i="12"/>
  <c r="I50" i="12"/>
  <c r="H50" i="12"/>
  <c r="G50" i="12"/>
  <c r="C40" i="12"/>
  <c r="M39" i="12"/>
  <c r="L39" i="12"/>
  <c r="H39" i="12"/>
  <c r="F39" i="12"/>
  <c r="C39" i="12"/>
  <c r="C38" i="12"/>
  <c r="M35" i="12"/>
  <c r="L35" i="12"/>
  <c r="J35" i="12"/>
  <c r="I35" i="12"/>
  <c r="H35" i="12"/>
  <c r="M34" i="12"/>
  <c r="L34" i="12"/>
  <c r="J34" i="12"/>
  <c r="I34" i="12"/>
  <c r="H34" i="12"/>
  <c r="M33" i="12"/>
  <c r="L33" i="12"/>
  <c r="J33" i="12"/>
  <c r="I33" i="12"/>
  <c r="H33" i="12"/>
  <c r="M32" i="12"/>
  <c r="L32" i="12"/>
  <c r="J32" i="12"/>
  <c r="I32" i="12"/>
  <c r="H32" i="12"/>
  <c r="M30" i="12"/>
  <c r="L30" i="12"/>
  <c r="J30" i="12"/>
  <c r="I30" i="12"/>
  <c r="H30" i="12"/>
  <c r="M29" i="12"/>
  <c r="L29" i="12"/>
  <c r="J29" i="12"/>
  <c r="I29" i="12"/>
  <c r="H29" i="12"/>
  <c r="M28" i="12"/>
  <c r="L28" i="12"/>
  <c r="J28" i="12"/>
  <c r="I28" i="12"/>
  <c r="H28" i="12"/>
  <c r="M27" i="12"/>
  <c r="L27" i="12"/>
  <c r="J27" i="12"/>
  <c r="I27" i="12"/>
  <c r="H27" i="12"/>
  <c r="M26" i="12"/>
  <c r="L26" i="12"/>
  <c r="J26" i="12"/>
  <c r="I26" i="12"/>
  <c r="H26" i="12"/>
  <c r="M25" i="12"/>
  <c r="L25" i="12"/>
  <c r="J25" i="12"/>
  <c r="I25" i="12"/>
  <c r="H25" i="12"/>
  <c r="M24" i="12"/>
  <c r="L24" i="12"/>
  <c r="J24" i="12"/>
  <c r="I24" i="12"/>
  <c r="H24" i="12"/>
  <c r="M23" i="12"/>
  <c r="L23" i="12"/>
  <c r="J23" i="12"/>
  <c r="I23" i="12"/>
  <c r="H23" i="12"/>
  <c r="M22" i="12"/>
  <c r="L22" i="12"/>
  <c r="J22" i="12"/>
  <c r="I22" i="12"/>
  <c r="H22" i="12"/>
  <c r="M21" i="12"/>
  <c r="L21" i="12"/>
  <c r="J21" i="12"/>
  <c r="I21" i="12"/>
  <c r="H21" i="12"/>
  <c r="M20" i="12"/>
  <c r="L20" i="12"/>
  <c r="J20" i="12"/>
  <c r="I20" i="12"/>
  <c r="H20" i="12"/>
  <c r="C15" i="12"/>
  <c r="AC11" i="12"/>
  <c r="M8" i="12"/>
  <c r="L8" i="12"/>
  <c r="K8" i="12"/>
  <c r="J8" i="12"/>
  <c r="I8" i="12"/>
  <c r="H8" i="12"/>
  <c r="G8" i="12"/>
  <c r="CM1337" i="5"/>
  <c r="CM1338" i="5" s="1"/>
  <c r="CL1337" i="5"/>
  <c r="CL1338" i="5" s="1"/>
  <c r="CK1337" i="5"/>
  <c r="CK1338" i="5" s="1"/>
  <c r="M12" i="12" s="1"/>
  <c r="M40" i="12" s="1"/>
  <c r="CJ1337" i="5"/>
  <c r="CJ1338" i="5" s="1"/>
  <c r="M10" i="12" s="1"/>
  <c r="CI1337" i="5"/>
  <c r="CI1338" i="5" s="1"/>
  <c r="CH1337" i="5"/>
  <c r="CH1338" i="5" s="1"/>
  <c r="CG1337" i="5"/>
  <c r="CG1338" i="5" s="1"/>
  <c r="CF1337" i="5"/>
  <c r="CF1338" i="5" s="1"/>
  <c r="CE1337" i="5"/>
  <c r="CE1338" i="5" s="1"/>
  <c r="CD1337" i="5"/>
  <c r="CD1338" i="5" s="1"/>
  <c r="CC1337" i="5"/>
  <c r="CC1338" i="5" s="1"/>
  <c r="CB1337" i="5"/>
  <c r="CB1338" i="5" s="1"/>
  <c r="CA1337" i="5"/>
  <c r="CA1338" i="5" s="1"/>
  <c r="BZ1337" i="5"/>
  <c r="BZ1338" i="5" s="1"/>
  <c r="L10" i="12" s="1"/>
  <c r="BY1337" i="5"/>
  <c r="BY1338" i="5" s="1"/>
  <c r="BX1337" i="5"/>
  <c r="BX1338" i="5" s="1"/>
  <c r="BW1337" i="5"/>
  <c r="BW1338" i="5" s="1"/>
  <c r="BV1337" i="5"/>
  <c r="BV1338" i="5" s="1"/>
  <c r="BU1337" i="5"/>
  <c r="BU1338" i="5" s="1"/>
  <c r="BT1337" i="5"/>
  <c r="BT1338" i="5" s="1"/>
  <c r="BS1337" i="5"/>
  <c r="BS1338" i="5" s="1"/>
  <c r="BR1337" i="5"/>
  <c r="BR1338" i="5" s="1"/>
  <c r="BQ1337" i="5"/>
  <c r="BQ1338" i="5" s="1"/>
  <c r="BP1337" i="5"/>
  <c r="BP1338" i="5" s="1"/>
  <c r="BO1337" i="5"/>
  <c r="BO1338" i="5" s="1"/>
  <c r="BN1337" i="5"/>
  <c r="BN1338" i="5" s="1"/>
  <c r="BM1337" i="5"/>
  <c r="BM1338" i="5" s="1"/>
  <c r="G6" i="10" s="1"/>
  <c r="BL1337" i="5"/>
  <c r="BL1338" i="5" s="1"/>
  <c r="G4" i="10" s="1"/>
  <c r="BK1337" i="5"/>
  <c r="BK1338" i="5" s="1"/>
  <c r="BJ1337" i="5"/>
  <c r="BJ1338" i="5" s="1"/>
  <c r="BI1337" i="5"/>
  <c r="BI1338" i="5" s="1"/>
  <c r="BH1337" i="5"/>
  <c r="BH1338" i="5" s="1"/>
  <c r="BG1337" i="5"/>
  <c r="BG1338" i="5" s="1"/>
  <c r="BF1337" i="5"/>
  <c r="BF1338" i="5" s="1"/>
  <c r="BE1337" i="5"/>
  <c r="BE1338" i="5" s="1"/>
  <c r="BD1337" i="5"/>
  <c r="BD1338" i="5" s="1"/>
  <c r="BC1337" i="5"/>
  <c r="BC1338" i="5" s="1"/>
  <c r="BB1337" i="5"/>
  <c r="BB1338" i="5" s="1"/>
  <c r="H10" i="12" s="1"/>
  <c r="BA1337" i="5"/>
  <c r="BA1338" i="5" s="1"/>
  <c r="AZ1337" i="5"/>
  <c r="AZ1338" i="5" s="1"/>
  <c r="AY1337" i="5"/>
  <c r="AY1338" i="5" s="1"/>
  <c r="AX1337" i="5"/>
  <c r="AX1338" i="5" s="1"/>
  <c r="AW1337" i="5"/>
  <c r="AW1338" i="5" s="1"/>
  <c r="AV1337" i="5"/>
  <c r="AV1338" i="5" s="1"/>
  <c r="AU1337" i="5"/>
  <c r="AU1338" i="5" s="1"/>
  <c r="AT1337" i="5"/>
  <c r="AT1338" i="5" s="1"/>
  <c r="AS1337" i="5"/>
  <c r="AS1338" i="5" s="1"/>
  <c r="CN3" i="5"/>
  <c r="CN4" i="5"/>
  <c r="CN5" i="5"/>
  <c r="CN6" i="5"/>
  <c r="CN7" i="5"/>
  <c r="CN8" i="5"/>
  <c r="CN9" i="5"/>
  <c r="CN10" i="5"/>
  <c r="CN11" i="5"/>
  <c r="CN12" i="5"/>
  <c r="CN13" i="5"/>
  <c r="CN14" i="5"/>
  <c r="CN15" i="5"/>
  <c r="CN16" i="5"/>
  <c r="CN17" i="5"/>
  <c r="CN18" i="5"/>
  <c r="CN19" i="5"/>
  <c r="CN20" i="5"/>
  <c r="CN21" i="5"/>
  <c r="CN22" i="5"/>
  <c r="CN23" i="5"/>
  <c r="CN24" i="5"/>
  <c r="CN25" i="5"/>
  <c r="CN26" i="5"/>
  <c r="CN27" i="5"/>
  <c r="CN28" i="5"/>
  <c r="CN29" i="5"/>
  <c r="CN30" i="5"/>
  <c r="CN31" i="5"/>
  <c r="CN32" i="5"/>
  <c r="CN33" i="5"/>
  <c r="CN34" i="5"/>
  <c r="CN35" i="5"/>
  <c r="CN36" i="5"/>
  <c r="CN37" i="5"/>
  <c r="CN38" i="5"/>
  <c r="CN39" i="5"/>
  <c r="CN40" i="5"/>
  <c r="CN41" i="5"/>
  <c r="CN42" i="5"/>
  <c r="CN43" i="5"/>
  <c r="CN44" i="5"/>
  <c r="CN45" i="5"/>
  <c r="CN46" i="5"/>
  <c r="CN47" i="5"/>
  <c r="CN48" i="5"/>
  <c r="CN49" i="5"/>
  <c r="CN50" i="5"/>
  <c r="CN51" i="5"/>
  <c r="CN52" i="5"/>
  <c r="CN53" i="5"/>
  <c r="CN54" i="5"/>
  <c r="CN55" i="5"/>
  <c r="CN56" i="5"/>
  <c r="CN57" i="5"/>
  <c r="CN58" i="5"/>
  <c r="CN59" i="5"/>
  <c r="CN60" i="5"/>
  <c r="CN61" i="5"/>
  <c r="CN62" i="5"/>
  <c r="CN63" i="5"/>
  <c r="CN64" i="5"/>
  <c r="CN65" i="5"/>
  <c r="CN66" i="5"/>
  <c r="CN67" i="5"/>
  <c r="CN68" i="5"/>
  <c r="CN69" i="5"/>
  <c r="CN70" i="5"/>
  <c r="CN71" i="5"/>
  <c r="CN72" i="5"/>
  <c r="CN73" i="5"/>
  <c r="CN74" i="5"/>
  <c r="CN75" i="5"/>
  <c r="CN76" i="5"/>
  <c r="CN77" i="5"/>
  <c r="CN78" i="5"/>
  <c r="CN79" i="5"/>
  <c r="CN80" i="5"/>
  <c r="CN81" i="5"/>
  <c r="CN82" i="5"/>
  <c r="CN83" i="5"/>
  <c r="CN84" i="5"/>
  <c r="CN85" i="5"/>
  <c r="CN86" i="5"/>
  <c r="CN87" i="5"/>
  <c r="CN88" i="5"/>
  <c r="CN89" i="5"/>
  <c r="CN90" i="5"/>
  <c r="CN91" i="5"/>
  <c r="CN92" i="5"/>
  <c r="CN93" i="5"/>
  <c r="CN94" i="5"/>
  <c r="CN95" i="5"/>
  <c r="CN96" i="5"/>
  <c r="CN97" i="5"/>
  <c r="CN98" i="5"/>
  <c r="CN99" i="5"/>
  <c r="CN100" i="5"/>
  <c r="CN101" i="5"/>
  <c r="CN102" i="5"/>
  <c r="CN103" i="5"/>
  <c r="CN104" i="5"/>
  <c r="CN105" i="5"/>
  <c r="CN106" i="5"/>
  <c r="CN107" i="5"/>
  <c r="CN108" i="5"/>
  <c r="CN109" i="5"/>
  <c r="CN110" i="5"/>
  <c r="CN111" i="5"/>
  <c r="CN112" i="5"/>
  <c r="CN113" i="5"/>
  <c r="CN114" i="5"/>
  <c r="CN115" i="5"/>
  <c r="CN116" i="5"/>
  <c r="CN117" i="5"/>
  <c r="CN118" i="5"/>
  <c r="CN119" i="5"/>
  <c r="CN120" i="5"/>
  <c r="CN121" i="5"/>
  <c r="CN122" i="5"/>
  <c r="CN123" i="5"/>
  <c r="CN124" i="5"/>
  <c r="CN125" i="5"/>
  <c r="CN126" i="5"/>
  <c r="CN127" i="5"/>
  <c r="CN128" i="5"/>
  <c r="CN129" i="5"/>
  <c r="CN130" i="5"/>
  <c r="CN131" i="5"/>
  <c r="CN132" i="5"/>
  <c r="CN133" i="5"/>
  <c r="CN134" i="5"/>
  <c r="CN135" i="5"/>
  <c r="CN136" i="5"/>
  <c r="CN137" i="5"/>
  <c r="CN138" i="5"/>
  <c r="CN139" i="5"/>
  <c r="CN140" i="5"/>
  <c r="CN141" i="5"/>
  <c r="CN142" i="5"/>
  <c r="CN143" i="5"/>
  <c r="CN144" i="5"/>
  <c r="CN145" i="5"/>
  <c r="CN146" i="5"/>
  <c r="CN147" i="5"/>
  <c r="CN148" i="5"/>
  <c r="CN149" i="5"/>
  <c r="CN150" i="5"/>
  <c r="CN151" i="5"/>
  <c r="CN152" i="5"/>
  <c r="CN153" i="5"/>
  <c r="CN154" i="5"/>
  <c r="CN155" i="5"/>
  <c r="CN156" i="5"/>
  <c r="CN157" i="5"/>
  <c r="CN158" i="5"/>
  <c r="CN159" i="5"/>
  <c r="CN160" i="5"/>
  <c r="CN161" i="5"/>
  <c r="CN162" i="5"/>
  <c r="CN163" i="5"/>
  <c r="CN164" i="5"/>
  <c r="CN165" i="5"/>
  <c r="CN166" i="5"/>
  <c r="CN167" i="5"/>
  <c r="CN168" i="5"/>
  <c r="CN169" i="5"/>
  <c r="CN170" i="5"/>
  <c r="CN171" i="5"/>
  <c r="CN172" i="5"/>
  <c r="CN173" i="5"/>
  <c r="CN174" i="5"/>
  <c r="CN175" i="5"/>
  <c r="CN176" i="5"/>
  <c r="CN177" i="5"/>
  <c r="CN178" i="5"/>
  <c r="CN179" i="5"/>
  <c r="CN180" i="5"/>
  <c r="CN181" i="5"/>
  <c r="CN182" i="5"/>
  <c r="CN183" i="5"/>
  <c r="CN184" i="5"/>
  <c r="CN185" i="5"/>
  <c r="CN186" i="5"/>
  <c r="CN187" i="5"/>
  <c r="CN188" i="5"/>
  <c r="CN189" i="5"/>
  <c r="CN190" i="5"/>
  <c r="CN191" i="5"/>
  <c r="CN192" i="5"/>
  <c r="CN193" i="5"/>
  <c r="CN194" i="5"/>
  <c r="CN195" i="5"/>
  <c r="CN196" i="5"/>
  <c r="CN197" i="5"/>
  <c r="CN198" i="5"/>
  <c r="CN199" i="5"/>
  <c r="CN200" i="5"/>
  <c r="CN201" i="5"/>
  <c r="CN202" i="5"/>
  <c r="CN203" i="5"/>
  <c r="CN204" i="5"/>
  <c r="CN205" i="5"/>
  <c r="CN206" i="5"/>
  <c r="CN207" i="5"/>
  <c r="CN208" i="5"/>
  <c r="CN209" i="5"/>
  <c r="CN210" i="5"/>
  <c r="CN211" i="5"/>
  <c r="CN212" i="5"/>
  <c r="CN213" i="5"/>
  <c r="CN214" i="5"/>
  <c r="CN215" i="5"/>
  <c r="CN216" i="5"/>
  <c r="CN217" i="5"/>
  <c r="CN218" i="5"/>
  <c r="CN219" i="5"/>
  <c r="CN220" i="5"/>
  <c r="CN221" i="5"/>
  <c r="CN222" i="5"/>
  <c r="CN223" i="5"/>
  <c r="CN224" i="5"/>
  <c r="CN225" i="5"/>
  <c r="CN226" i="5"/>
  <c r="CN227" i="5"/>
  <c r="CN228" i="5"/>
  <c r="CN229" i="5"/>
  <c r="CN230" i="5"/>
  <c r="CN231" i="5"/>
  <c r="CN232" i="5"/>
  <c r="CN233" i="5"/>
  <c r="CN234" i="5"/>
  <c r="CN235" i="5"/>
  <c r="CN236" i="5"/>
  <c r="CN237" i="5"/>
  <c r="CN238" i="5"/>
  <c r="CN239" i="5"/>
  <c r="CN240" i="5"/>
  <c r="CN241" i="5"/>
  <c r="CN242" i="5"/>
  <c r="CN243" i="5"/>
  <c r="CN244" i="5"/>
  <c r="CN245" i="5"/>
  <c r="CN246" i="5"/>
  <c r="CN247" i="5"/>
  <c r="CN248" i="5"/>
  <c r="CN249" i="5"/>
  <c r="CN250" i="5"/>
  <c r="CN251" i="5"/>
  <c r="CN252" i="5"/>
  <c r="CN253" i="5"/>
  <c r="CN254" i="5"/>
  <c r="CN255" i="5"/>
  <c r="CN256" i="5"/>
  <c r="CN257" i="5"/>
  <c r="CN258" i="5"/>
  <c r="CN259" i="5"/>
  <c r="CN260" i="5"/>
  <c r="CN261" i="5"/>
  <c r="CN262" i="5"/>
  <c r="CN263" i="5"/>
  <c r="CN264" i="5"/>
  <c r="CN265" i="5"/>
  <c r="CN266" i="5"/>
  <c r="CN267" i="5"/>
  <c r="CN268" i="5"/>
  <c r="CN269" i="5"/>
  <c r="CN270" i="5"/>
  <c r="CN271" i="5"/>
  <c r="CN272" i="5"/>
  <c r="CN273" i="5"/>
  <c r="CN274" i="5"/>
  <c r="CN275" i="5"/>
  <c r="CN276" i="5"/>
  <c r="CN277" i="5"/>
  <c r="CN278" i="5"/>
  <c r="CN279" i="5"/>
  <c r="CN280" i="5"/>
  <c r="CN281" i="5"/>
  <c r="CN282" i="5"/>
  <c r="CN283" i="5"/>
  <c r="CN284" i="5"/>
  <c r="CN285" i="5"/>
  <c r="CN286" i="5"/>
  <c r="CN287" i="5"/>
  <c r="CN288" i="5"/>
  <c r="CN289" i="5"/>
  <c r="CN290" i="5"/>
  <c r="CN291" i="5"/>
  <c r="CN292" i="5"/>
  <c r="CN293" i="5"/>
  <c r="CN294" i="5"/>
  <c r="CN295" i="5"/>
  <c r="CN296" i="5"/>
  <c r="CN297" i="5"/>
  <c r="CN298" i="5"/>
  <c r="CN299" i="5"/>
  <c r="CN300" i="5"/>
  <c r="CN301" i="5"/>
  <c r="CN302" i="5"/>
  <c r="CN303" i="5"/>
  <c r="CN304" i="5"/>
  <c r="CN305" i="5"/>
  <c r="CN306" i="5"/>
  <c r="CN307" i="5"/>
  <c r="CN308" i="5"/>
  <c r="CN309" i="5"/>
  <c r="CN310" i="5"/>
  <c r="CN311" i="5"/>
  <c r="CN312" i="5"/>
  <c r="CN313" i="5"/>
  <c r="CN314" i="5"/>
  <c r="CN315" i="5"/>
  <c r="CN316" i="5"/>
  <c r="CN317" i="5"/>
  <c r="CN318" i="5"/>
  <c r="CN319" i="5"/>
  <c r="CN320" i="5"/>
  <c r="CN321" i="5"/>
  <c r="CN322" i="5"/>
  <c r="CN323" i="5"/>
  <c r="CN324" i="5"/>
  <c r="CN325" i="5"/>
  <c r="CN326" i="5"/>
  <c r="CN327" i="5"/>
  <c r="CN328" i="5"/>
  <c r="CN329" i="5"/>
  <c r="CN330" i="5"/>
  <c r="CN331" i="5"/>
  <c r="CN332" i="5"/>
  <c r="CN333" i="5"/>
  <c r="CN334" i="5"/>
  <c r="CN335" i="5"/>
  <c r="CN336" i="5"/>
  <c r="CN337" i="5"/>
  <c r="CN338" i="5"/>
  <c r="CN339" i="5"/>
  <c r="CN340" i="5"/>
  <c r="CN341" i="5"/>
  <c r="CN342" i="5"/>
  <c r="CN343" i="5"/>
  <c r="CN344" i="5"/>
  <c r="CN345" i="5"/>
  <c r="CN346" i="5"/>
  <c r="CN347" i="5"/>
  <c r="CN348" i="5"/>
  <c r="CN349" i="5"/>
  <c r="CN350" i="5"/>
  <c r="CN351" i="5"/>
  <c r="CN352" i="5"/>
  <c r="CN353" i="5"/>
  <c r="CN354" i="5"/>
  <c r="CN355" i="5"/>
  <c r="CN356" i="5"/>
  <c r="CN357" i="5"/>
  <c r="CN358" i="5"/>
  <c r="CN359" i="5"/>
  <c r="CN360" i="5"/>
  <c r="CN361" i="5"/>
  <c r="CN362" i="5"/>
  <c r="CN363" i="5"/>
  <c r="CN364" i="5"/>
  <c r="CN365" i="5"/>
  <c r="CN366" i="5"/>
  <c r="CN367" i="5"/>
  <c r="CN368" i="5"/>
  <c r="CN369" i="5"/>
  <c r="CN370" i="5"/>
  <c r="CN371" i="5"/>
  <c r="CN372" i="5"/>
  <c r="CN373" i="5"/>
  <c r="CN374" i="5"/>
  <c r="CN375" i="5"/>
  <c r="CN376" i="5"/>
  <c r="CN377" i="5"/>
  <c r="CN378" i="5"/>
  <c r="CN379" i="5"/>
  <c r="CN380" i="5"/>
  <c r="CN381" i="5"/>
  <c r="CN382" i="5"/>
  <c r="CN383" i="5"/>
  <c r="CN384" i="5"/>
  <c r="CN385" i="5"/>
  <c r="CN386" i="5"/>
  <c r="CN387" i="5"/>
  <c r="CN388" i="5"/>
  <c r="CN389" i="5"/>
  <c r="CN390" i="5"/>
  <c r="CN391" i="5"/>
  <c r="CN392" i="5"/>
  <c r="CN393" i="5"/>
  <c r="CN394" i="5"/>
  <c r="CN395" i="5"/>
  <c r="CN396" i="5"/>
  <c r="CN397" i="5"/>
  <c r="CN398" i="5"/>
  <c r="CN399" i="5"/>
  <c r="CN400" i="5"/>
  <c r="CN401" i="5"/>
  <c r="CN402" i="5"/>
  <c r="CN403" i="5"/>
  <c r="CN404" i="5"/>
  <c r="CN405" i="5"/>
  <c r="CN406" i="5"/>
  <c r="CN407" i="5"/>
  <c r="CN408" i="5"/>
  <c r="CN409" i="5"/>
  <c r="CN410" i="5"/>
  <c r="CN411" i="5"/>
  <c r="CN412" i="5"/>
  <c r="CN413" i="5"/>
  <c r="CN414" i="5"/>
  <c r="CN415" i="5"/>
  <c r="CN416" i="5"/>
  <c r="CN417" i="5"/>
  <c r="CN418" i="5"/>
  <c r="CN419" i="5"/>
  <c r="CN420" i="5"/>
  <c r="CN421" i="5"/>
  <c r="CN422" i="5"/>
  <c r="CN423" i="5"/>
  <c r="CN424" i="5"/>
  <c r="CN425" i="5"/>
  <c r="CN426" i="5"/>
  <c r="CN427" i="5"/>
  <c r="CN428" i="5"/>
  <c r="CN429" i="5"/>
  <c r="CN430" i="5"/>
  <c r="CN431" i="5"/>
  <c r="CN432" i="5"/>
  <c r="CN433" i="5"/>
  <c r="CN434" i="5"/>
  <c r="CN435" i="5"/>
  <c r="CN436" i="5"/>
  <c r="CN437" i="5"/>
  <c r="CN438" i="5"/>
  <c r="CN439" i="5"/>
  <c r="CN440" i="5"/>
  <c r="CN441" i="5"/>
  <c r="CN442" i="5"/>
  <c r="CN443" i="5"/>
  <c r="CN444" i="5"/>
  <c r="CN445" i="5"/>
  <c r="CN446" i="5"/>
  <c r="CN447" i="5"/>
  <c r="CN448" i="5"/>
  <c r="CN449" i="5"/>
  <c r="CN450" i="5"/>
  <c r="CN451" i="5"/>
  <c r="CN452" i="5"/>
  <c r="CN453" i="5"/>
  <c r="CN454" i="5"/>
  <c r="CN455" i="5"/>
  <c r="CN456" i="5"/>
  <c r="CN457" i="5"/>
  <c r="CN458" i="5"/>
  <c r="CN459" i="5"/>
  <c r="CN460" i="5"/>
  <c r="CN461" i="5"/>
  <c r="CN462" i="5"/>
  <c r="CN463" i="5"/>
  <c r="CN464" i="5"/>
  <c r="CN465" i="5"/>
  <c r="CN466" i="5"/>
  <c r="CN467" i="5"/>
  <c r="CN468" i="5"/>
  <c r="CN469" i="5"/>
  <c r="CN470" i="5"/>
  <c r="CN471" i="5"/>
  <c r="CN472" i="5"/>
  <c r="CN473" i="5"/>
  <c r="CN474" i="5"/>
  <c r="CN475" i="5"/>
  <c r="CN476" i="5"/>
  <c r="CN477" i="5"/>
  <c r="CN478" i="5"/>
  <c r="CN479" i="5"/>
  <c r="CN480" i="5"/>
  <c r="CN481" i="5"/>
  <c r="CN482" i="5"/>
  <c r="CN483" i="5"/>
  <c r="CN484" i="5"/>
  <c r="CN485" i="5"/>
  <c r="CN486" i="5"/>
  <c r="CN487" i="5"/>
  <c r="CN488" i="5"/>
  <c r="CN489" i="5"/>
  <c r="CN490" i="5"/>
  <c r="CN491" i="5"/>
  <c r="CN492" i="5"/>
  <c r="CN493" i="5"/>
  <c r="CN494" i="5"/>
  <c r="CN495" i="5"/>
  <c r="CN496" i="5"/>
  <c r="CN497" i="5"/>
  <c r="CN498" i="5"/>
  <c r="CN499" i="5"/>
  <c r="CN500" i="5"/>
  <c r="CN501" i="5"/>
  <c r="CN502" i="5"/>
  <c r="CN503" i="5"/>
  <c r="CN504" i="5"/>
  <c r="CN505" i="5"/>
  <c r="CN506" i="5"/>
  <c r="CN507" i="5"/>
  <c r="CN508" i="5"/>
  <c r="CN509" i="5"/>
  <c r="CN510" i="5"/>
  <c r="CN511" i="5"/>
  <c r="CN512" i="5"/>
  <c r="CN513" i="5"/>
  <c r="CN514" i="5"/>
  <c r="CN515" i="5"/>
  <c r="CN516" i="5"/>
  <c r="CN517" i="5"/>
  <c r="CN518" i="5"/>
  <c r="CN519" i="5"/>
  <c r="CN520" i="5"/>
  <c r="CN521" i="5"/>
  <c r="CN522" i="5"/>
  <c r="CN523" i="5"/>
  <c r="CN524" i="5"/>
  <c r="CN525" i="5"/>
  <c r="CN526" i="5"/>
  <c r="CN527" i="5"/>
  <c r="CN528" i="5"/>
  <c r="CN529" i="5"/>
  <c r="CN530" i="5"/>
  <c r="CN531" i="5"/>
  <c r="CN532" i="5"/>
  <c r="CN533" i="5"/>
  <c r="CN534" i="5"/>
  <c r="CN535" i="5"/>
  <c r="CN536" i="5"/>
  <c r="CN537" i="5"/>
  <c r="CN538" i="5"/>
  <c r="CN539" i="5"/>
  <c r="CN540" i="5"/>
  <c r="CN541" i="5"/>
  <c r="CN542" i="5"/>
  <c r="CN543" i="5"/>
  <c r="CN544" i="5"/>
  <c r="CN545" i="5"/>
  <c r="CN546" i="5"/>
  <c r="CN547" i="5"/>
  <c r="CN548" i="5"/>
  <c r="CN549" i="5"/>
  <c r="CN550" i="5"/>
  <c r="CN551" i="5"/>
  <c r="CN552" i="5"/>
  <c r="CN553" i="5"/>
  <c r="CN554" i="5"/>
  <c r="CN555" i="5"/>
  <c r="CN556" i="5"/>
  <c r="CN557" i="5"/>
  <c r="CN558" i="5"/>
  <c r="CN559" i="5"/>
  <c r="CN560" i="5"/>
  <c r="CN561" i="5"/>
  <c r="CN562" i="5"/>
  <c r="CN563" i="5"/>
  <c r="CN564" i="5"/>
  <c r="CN565" i="5"/>
  <c r="CN566" i="5"/>
  <c r="CN567" i="5"/>
  <c r="CN568" i="5"/>
  <c r="CN569" i="5"/>
  <c r="CN570" i="5"/>
  <c r="CN571" i="5"/>
  <c r="CN572" i="5"/>
  <c r="CN573" i="5"/>
  <c r="CN574" i="5"/>
  <c r="CN575" i="5"/>
  <c r="CN576" i="5"/>
  <c r="CN577" i="5"/>
  <c r="CN578" i="5"/>
  <c r="CN579" i="5"/>
  <c r="CN580" i="5"/>
  <c r="CN581" i="5"/>
  <c r="CN582" i="5"/>
  <c r="CN583" i="5"/>
  <c r="CN584" i="5"/>
  <c r="CN585" i="5"/>
  <c r="CN586" i="5"/>
  <c r="CN587" i="5"/>
  <c r="CN588" i="5"/>
  <c r="CN589" i="5"/>
  <c r="CN590" i="5"/>
  <c r="CN591" i="5"/>
  <c r="CN592" i="5"/>
  <c r="CN593" i="5"/>
  <c r="CN594" i="5"/>
  <c r="CN595" i="5"/>
  <c r="CN596" i="5"/>
  <c r="CN597" i="5"/>
  <c r="CN598" i="5"/>
  <c r="CN599" i="5"/>
  <c r="CN600" i="5"/>
  <c r="CN601" i="5"/>
  <c r="CN602" i="5"/>
  <c r="CN603" i="5"/>
  <c r="CN604" i="5"/>
  <c r="CN605" i="5"/>
  <c r="CN606" i="5"/>
  <c r="CN607" i="5"/>
  <c r="CN608" i="5"/>
  <c r="CN609" i="5"/>
  <c r="CN610" i="5"/>
  <c r="CN611" i="5"/>
  <c r="CN612" i="5"/>
  <c r="CN613" i="5"/>
  <c r="CN614" i="5"/>
  <c r="CN615" i="5"/>
  <c r="CN616" i="5"/>
  <c r="CN617" i="5"/>
  <c r="CN618" i="5"/>
  <c r="CN619" i="5"/>
  <c r="CN620" i="5"/>
  <c r="CN621" i="5"/>
  <c r="CN622" i="5"/>
  <c r="CN623" i="5"/>
  <c r="CN624" i="5"/>
  <c r="CN625" i="5"/>
  <c r="CN626" i="5"/>
  <c r="CN627" i="5"/>
  <c r="CN628" i="5"/>
  <c r="CN629" i="5"/>
  <c r="CN630" i="5"/>
  <c r="CN631" i="5"/>
  <c r="CN632" i="5"/>
  <c r="CN633" i="5"/>
  <c r="CN634" i="5"/>
  <c r="CN635" i="5"/>
  <c r="CN636" i="5"/>
  <c r="CN637" i="5"/>
  <c r="CN638" i="5"/>
  <c r="CN639" i="5"/>
  <c r="CN640" i="5"/>
  <c r="CN641" i="5"/>
  <c r="CN642" i="5"/>
  <c r="CN643" i="5"/>
  <c r="CN644" i="5"/>
  <c r="CN645" i="5"/>
  <c r="CN646" i="5"/>
  <c r="CN647" i="5"/>
  <c r="CN648" i="5"/>
  <c r="CN649" i="5"/>
  <c r="CN650" i="5"/>
  <c r="CN651" i="5"/>
  <c r="CN652" i="5"/>
  <c r="CN653" i="5"/>
  <c r="CN654" i="5"/>
  <c r="CN655" i="5"/>
  <c r="CN656" i="5"/>
  <c r="CN657" i="5"/>
  <c r="CN658" i="5"/>
  <c r="CN659" i="5"/>
  <c r="CN660" i="5"/>
  <c r="CN661" i="5"/>
  <c r="CN662" i="5"/>
  <c r="CN663" i="5"/>
  <c r="CN664" i="5"/>
  <c r="CN665" i="5"/>
  <c r="CN666" i="5"/>
  <c r="CN667" i="5"/>
  <c r="CN668" i="5"/>
  <c r="CN669" i="5"/>
  <c r="CN670" i="5"/>
  <c r="CN671" i="5"/>
  <c r="CN672" i="5"/>
  <c r="CN673" i="5"/>
  <c r="CN674" i="5"/>
  <c r="CN675" i="5"/>
  <c r="CN676" i="5"/>
  <c r="CN677" i="5"/>
  <c r="CN678" i="5"/>
  <c r="CN679" i="5"/>
  <c r="CN680" i="5"/>
  <c r="CN681" i="5"/>
  <c r="CN682" i="5"/>
  <c r="CN683" i="5"/>
  <c r="CN684" i="5"/>
  <c r="CN685" i="5"/>
  <c r="CN686" i="5"/>
  <c r="CN687" i="5"/>
  <c r="CN688" i="5"/>
  <c r="CN689" i="5"/>
  <c r="CN690" i="5"/>
  <c r="CN691" i="5"/>
  <c r="CN692" i="5"/>
  <c r="CN693" i="5"/>
  <c r="CN694" i="5"/>
  <c r="CN695" i="5"/>
  <c r="CN696" i="5"/>
  <c r="CN697" i="5"/>
  <c r="CN698" i="5"/>
  <c r="CN699" i="5"/>
  <c r="CN700" i="5"/>
  <c r="CN701" i="5"/>
  <c r="CN702" i="5"/>
  <c r="CN703" i="5"/>
  <c r="CN704" i="5"/>
  <c r="CN705" i="5"/>
  <c r="CN706" i="5"/>
  <c r="CN707" i="5"/>
  <c r="CN708" i="5"/>
  <c r="CN709" i="5"/>
  <c r="CN710" i="5"/>
  <c r="CN711" i="5"/>
  <c r="CN712" i="5"/>
  <c r="CN713" i="5"/>
  <c r="CN714" i="5"/>
  <c r="CN715" i="5"/>
  <c r="CN716" i="5"/>
  <c r="CN717" i="5"/>
  <c r="CN718" i="5"/>
  <c r="CN719" i="5"/>
  <c r="CN720" i="5"/>
  <c r="CN721" i="5"/>
  <c r="CN722" i="5"/>
  <c r="CN723" i="5"/>
  <c r="CN724" i="5"/>
  <c r="CN725" i="5"/>
  <c r="CN726" i="5"/>
  <c r="CN727" i="5"/>
  <c r="CN728" i="5"/>
  <c r="CN729" i="5"/>
  <c r="CN730" i="5"/>
  <c r="CN731" i="5"/>
  <c r="CN732" i="5"/>
  <c r="CN733" i="5"/>
  <c r="CN734" i="5"/>
  <c r="CN735" i="5"/>
  <c r="CN736" i="5"/>
  <c r="CN737" i="5"/>
  <c r="CN738" i="5"/>
  <c r="CN739" i="5"/>
  <c r="CN740" i="5"/>
  <c r="CN741" i="5"/>
  <c r="CN742" i="5"/>
  <c r="CN743" i="5"/>
  <c r="CN744" i="5"/>
  <c r="CN745" i="5"/>
  <c r="CN746" i="5"/>
  <c r="CN747" i="5"/>
  <c r="CN748" i="5"/>
  <c r="CN749" i="5"/>
  <c r="CN750" i="5"/>
  <c r="CN751" i="5"/>
  <c r="CN752" i="5"/>
  <c r="CN753" i="5"/>
  <c r="CN754" i="5"/>
  <c r="CN755" i="5"/>
  <c r="CN756" i="5"/>
  <c r="CN757" i="5"/>
  <c r="CN758" i="5"/>
  <c r="CN759" i="5"/>
  <c r="CN760" i="5"/>
  <c r="CN761" i="5"/>
  <c r="CN762" i="5"/>
  <c r="CN763" i="5"/>
  <c r="CN764" i="5"/>
  <c r="CN765" i="5"/>
  <c r="CN766" i="5"/>
  <c r="CN767" i="5"/>
  <c r="CN768" i="5"/>
  <c r="CN769" i="5"/>
  <c r="CN770" i="5"/>
  <c r="CN771" i="5"/>
  <c r="CN772" i="5"/>
  <c r="CN773" i="5"/>
  <c r="CN774" i="5"/>
  <c r="CN775" i="5"/>
  <c r="CN776" i="5"/>
  <c r="CN777" i="5"/>
  <c r="CN778" i="5"/>
  <c r="CN779" i="5"/>
  <c r="CN780" i="5"/>
  <c r="CN781" i="5"/>
  <c r="CN782" i="5"/>
  <c r="CN783" i="5"/>
  <c r="CN784" i="5"/>
  <c r="CN785" i="5"/>
  <c r="CN786" i="5"/>
  <c r="CN787" i="5"/>
  <c r="CN788" i="5"/>
  <c r="CN789" i="5"/>
  <c r="CN790" i="5"/>
  <c r="CN791" i="5"/>
  <c r="CN792" i="5"/>
  <c r="CN793" i="5"/>
  <c r="CN794" i="5"/>
  <c r="CN795" i="5"/>
  <c r="CN796" i="5"/>
  <c r="CN797" i="5"/>
  <c r="CN798" i="5"/>
  <c r="CN799" i="5"/>
  <c r="CN800" i="5"/>
  <c r="CN801" i="5"/>
  <c r="CN802" i="5"/>
  <c r="CN803" i="5"/>
  <c r="CN804" i="5"/>
  <c r="CN805" i="5"/>
  <c r="CN806" i="5"/>
  <c r="CN807" i="5"/>
  <c r="CN808" i="5"/>
  <c r="CN809" i="5"/>
  <c r="CN810" i="5"/>
  <c r="CN811" i="5"/>
  <c r="CN812" i="5"/>
  <c r="CN813" i="5"/>
  <c r="CN814" i="5"/>
  <c r="CN815" i="5"/>
  <c r="CN816" i="5"/>
  <c r="CN817" i="5"/>
  <c r="CN818" i="5"/>
  <c r="CN819" i="5"/>
  <c r="CN820" i="5"/>
  <c r="CN821" i="5"/>
  <c r="CN822" i="5"/>
  <c r="CN823" i="5"/>
  <c r="CN824" i="5"/>
  <c r="CN825" i="5"/>
  <c r="CN826" i="5"/>
  <c r="CN827" i="5"/>
  <c r="CN828" i="5"/>
  <c r="CN829" i="5"/>
  <c r="CN830" i="5"/>
  <c r="CN831" i="5"/>
  <c r="CN832" i="5"/>
  <c r="CN833" i="5"/>
  <c r="CN834" i="5"/>
  <c r="CN835" i="5"/>
  <c r="CN836" i="5"/>
  <c r="CN837" i="5"/>
  <c r="CN838" i="5"/>
  <c r="CN839" i="5"/>
  <c r="CN840" i="5"/>
  <c r="CN841" i="5"/>
  <c r="CN842" i="5"/>
  <c r="CN843" i="5"/>
  <c r="CN844" i="5"/>
  <c r="CN845" i="5"/>
  <c r="CN846" i="5"/>
  <c r="CN847" i="5"/>
  <c r="CN848" i="5"/>
  <c r="CN849" i="5"/>
  <c r="CN850" i="5"/>
  <c r="CN851" i="5"/>
  <c r="CN852" i="5"/>
  <c r="CN853" i="5"/>
  <c r="CN854" i="5"/>
  <c r="CN855" i="5"/>
  <c r="CN856" i="5"/>
  <c r="CN857" i="5"/>
  <c r="CN858" i="5"/>
  <c r="CN859" i="5"/>
  <c r="CN860" i="5"/>
  <c r="CN861" i="5"/>
  <c r="CN862" i="5"/>
  <c r="CN863" i="5"/>
  <c r="CN864" i="5"/>
  <c r="CN865" i="5"/>
  <c r="CN866" i="5"/>
  <c r="CN867" i="5"/>
  <c r="CN868" i="5"/>
  <c r="CN869" i="5"/>
  <c r="CN870" i="5"/>
  <c r="CN871" i="5"/>
  <c r="CN872" i="5"/>
  <c r="CN873" i="5"/>
  <c r="CN874" i="5"/>
  <c r="CN875" i="5"/>
  <c r="CN876" i="5"/>
  <c r="CN877" i="5"/>
  <c r="CN878" i="5"/>
  <c r="CN879" i="5"/>
  <c r="CN880" i="5"/>
  <c r="CN881" i="5"/>
  <c r="CN882" i="5"/>
  <c r="CN883" i="5"/>
  <c r="CN884" i="5"/>
  <c r="CN885" i="5"/>
  <c r="CN886" i="5"/>
  <c r="CN887" i="5"/>
  <c r="CN888" i="5"/>
  <c r="CN889" i="5"/>
  <c r="CN890" i="5"/>
  <c r="CN891" i="5"/>
  <c r="CN892" i="5"/>
  <c r="CN893" i="5"/>
  <c r="CN894" i="5"/>
  <c r="CN895" i="5"/>
  <c r="CN896" i="5"/>
  <c r="CN897" i="5"/>
  <c r="CN898" i="5"/>
  <c r="CN899" i="5"/>
  <c r="CN900" i="5"/>
  <c r="CN901" i="5"/>
  <c r="CN902" i="5"/>
  <c r="CN903" i="5"/>
  <c r="CN904" i="5"/>
  <c r="CN905" i="5"/>
  <c r="CN906" i="5"/>
  <c r="CN907" i="5"/>
  <c r="CN908" i="5"/>
  <c r="CN909" i="5"/>
  <c r="CN910" i="5"/>
  <c r="CN911" i="5"/>
  <c r="CN912" i="5"/>
  <c r="CN913" i="5"/>
  <c r="CN914" i="5"/>
  <c r="CN915" i="5"/>
  <c r="CN916" i="5"/>
  <c r="CN917" i="5"/>
  <c r="CN918" i="5"/>
  <c r="CN919" i="5"/>
  <c r="CN920" i="5"/>
  <c r="CN921" i="5"/>
  <c r="CN922" i="5"/>
  <c r="CN923" i="5"/>
  <c r="CN924" i="5"/>
  <c r="CN925" i="5"/>
  <c r="CN926" i="5"/>
  <c r="CN927" i="5"/>
  <c r="CN928" i="5"/>
  <c r="CN929" i="5"/>
  <c r="CN930" i="5"/>
  <c r="CN931" i="5"/>
  <c r="CN932" i="5"/>
  <c r="CN933" i="5"/>
  <c r="CN934" i="5"/>
  <c r="CN935" i="5"/>
  <c r="CN936" i="5"/>
  <c r="CN937" i="5"/>
  <c r="CN938" i="5"/>
  <c r="CN939" i="5"/>
  <c r="CN940" i="5"/>
  <c r="CN941" i="5"/>
  <c r="CN942" i="5"/>
  <c r="CN943" i="5"/>
  <c r="CN944" i="5"/>
  <c r="CN945" i="5"/>
  <c r="CN946" i="5"/>
  <c r="CN947" i="5"/>
  <c r="CN948" i="5"/>
  <c r="CN949" i="5"/>
  <c r="CN950" i="5"/>
  <c r="CN951" i="5"/>
  <c r="CN952" i="5"/>
  <c r="CN953" i="5"/>
  <c r="CN954" i="5"/>
  <c r="CN955" i="5"/>
  <c r="CN956" i="5"/>
  <c r="CN957" i="5"/>
  <c r="CN958" i="5"/>
  <c r="CN959" i="5"/>
  <c r="CN960" i="5"/>
  <c r="CN961" i="5"/>
  <c r="CN962" i="5"/>
  <c r="CN963" i="5"/>
  <c r="CN964" i="5"/>
  <c r="CN965" i="5"/>
  <c r="CN966" i="5"/>
  <c r="CN967" i="5"/>
  <c r="CN968" i="5"/>
  <c r="CN969" i="5"/>
  <c r="CN970" i="5"/>
  <c r="CN971" i="5"/>
  <c r="CN972" i="5"/>
  <c r="CN973" i="5"/>
  <c r="CN974" i="5"/>
  <c r="CN975" i="5"/>
  <c r="CN976" i="5"/>
  <c r="CN977" i="5"/>
  <c r="CN978" i="5"/>
  <c r="CN979" i="5"/>
  <c r="CN980" i="5"/>
  <c r="CN981" i="5"/>
  <c r="CN982" i="5"/>
  <c r="CN983" i="5"/>
  <c r="CN984" i="5"/>
  <c r="CN985" i="5"/>
  <c r="CN986" i="5"/>
  <c r="CN987" i="5"/>
  <c r="CN988" i="5"/>
  <c r="CN989" i="5"/>
  <c r="CN990" i="5"/>
  <c r="CN991" i="5"/>
  <c r="CN992" i="5"/>
  <c r="CN993" i="5"/>
  <c r="CN994" i="5"/>
  <c r="CN995" i="5"/>
  <c r="CN996" i="5"/>
  <c r="CN997" i="5"/>
  <c r="CN998" i="5"/>
  <c r="CN999" i="5"/>
  <c r="CN1000" i="5"/>
  <c r="CN1001" i="5"/>
  <c r="CN1002" i="5"/>
  <c r="CN1003" i="5"/>
  <c r="CN1004" i="5"/>
  <c r="CN1005" i="5"/>
  <c r="CN1006" i="5"/>
  <c r="CN1007" i="5"/>
  <c r="CN1008" i="5"/>
  <c r="CN1009" i="5"/>
  <c r="CN1010" i="5"/>
  <c r="CN1011" i="5"/>
  <c r="CN1012" i="5"/>
  <c r="CN1013" i="5"/>
  <c r="CN1014" i="5"/>
  <c r="CN1015" i="5"/>
  <c r="CN1016" i="5"/>
  <c r="CN1017" i="5"/>
  <c r="CN1018" i="5"/>
  <c r="CN1019" i="5"/>
  <c r="CN1020" i="5"/>
  <c r="CN1021" i="5"/>
  <c r="CN1022" i="5"/>
  <c r="CN1023" i="5"/>
  <c r="CN1024" i="5"/>
  <c r="CN1025" i="5"/>
  <c r="CN1026" i="5"/>
  <c r="CN1027" i="5"/>
  <c r="CN1028" i="5"/>
  <c r="CN1029" i="5"/>
  <c r="CN1030" i="5"/>
  <c r="CN1031" i="5"/>
  <c r="CN1032" i="5"/>
  <c r="CN1033" i="5"/>
  <c r="CN1034" i="5"/>
  <c r="CN1035" i="5"/>
  <c r="CN1036" i="5"/>
  <c r="CN1037" i="5"/>
  <c r="CN1038" i="5"/>
  <c r="CN1039" i="5"/>
  <c r="CN1040" i="5"/>
  <c r="CN1041" i="5"/>
  <c r="CN1042" i="5"/>
  <c r="CN1043" i="5"/>
  <c r="CN1044" i="5"/>
  <c r="CN1045" i="5"/>
  <c r="CN1046" i="5"/>
  <c r="CN1047" i="5"/>
  <c r="CN1048" i="5"/>
  <c r="CN1049" i="5"/>
  <c r="CN1050" i="5"/>
  <c r="CN1051" i="5"/>
  <c r="CN1052" i="5"/>
  <c r="CN1053" i="5"/>
  <c r="CN1054" i="5"/>
  <c r="CN1055" i="5"/>
  <c r="CN1056" i="5"/>
  <c r="CN1057" i="5"/>
  <c r="CN1058" i="5"/>
  <c r="CN1059" i="5"/>
  <c r="CN1060" i="5"/>
  <c r="CN1061" i="5"/>
  <c r="CN1062" i="5"/>
  <c r="CN1063" i="5"/>
  <c r="CN1064" i="5"/>
  <c r="CN1065" i="5"/>
  <c r="CN1066" i="5"/>
  <c r="CN1067" i="5"/>
  <c r="CN1068" i="5"/>
  <c r="CN1069" i="5"/>
  <c r="CN1070" i="5"/>
  <c r="CN1071" i="5"/>
  <c r="CN1072" i="5"/>
  <c r="CN1073" i="5"/>
  <c r="CN1074" i="5"/>
  <c r="CN1075" i="5"/>
  <c r="CN1076" i="5"/>
  <c r="CN1077" i="5"/>
  <c r="CN1078" i="5"/>
  <c r="CN1079" i="5"/>
  <c r="CN1080" i="5"/>
  <c r="CN1081" i="5"/>
  <c r="CN1082" i="5"/>
  <c r="CN1083" i="5"/>
  <c r="CN1084" i="5"/>
  <c r="CN1085" i="5"/>
  <c r="CN1086" i="5"/>
  <c r="CN1087" i="5"/>
  <c r="CN1088" i="5"/>
  <c r="CN1089" i="5"/>
  <c r="CN1090" i="5"/>
  <c r="CN1091" i="5"/>
  <c r="CN1092" i="5"/>
  <c r="CN1093" i="5"/>
  <c r="CN1094" i="5"/>
  <c r="CN1095" i="5"/>
  <c r="CN1096" i="5"/>
  <c r="CN1097" i="5"/>
  <c r="CN1098" i="5"/>
  <c r="CN1099" i="5"/>
  <c r="CN1100" i="5"/>
  <c r="CN1101" i="5"/>
  <c r="CN1102" i="5"/>
  <c r="CN1103" i="5"/>
  <c r="CN1104" i="5"/>
  <c r="CN1105" i="5"/>
  <c r="CN1106" i="5"/>
  <c r="CN1107" i="5"/>
  <c r="CN1108" i="5"/>
  <c r="CN1109" i="5"/>
  <c r="CN1110" i="5"/>
  <c r="CN1111" i="5"/>
  <c r="CN1112" i="5"/>
  <c r="CN1113" i="5"/>
  <c r="CN1114" i="5"/>
  <c r="CN1115" i="5"/>
  <c r="CN1116" i="5"/>
  <c r="CN1117" i="5"/>
  <c r="CN1118" i="5"/>
  <c r="CN1119" i="5"/>
  <c r="CN1120" i="5"/>
  <c r="CN1121" i="5"/>
  <c r="CN1122" i="5"/>
  <c r="CN1123" i="5"/>
  <c r="CN1124" i="5"/>
  <c r="CN1125" i="5"/>
  <c r="CN1126" i="5"/>
  <c r="CN1127" i="5"/>
  <c r="CN1128" i="5"/>
  <c r="CN1129" i="5"/>
  <c r="CN1130" i="5"/>
  <c r="CN1131" i="5"/>
  <c r="CN1132" i="5"/>
  <c r="CN1133" i="5"/>
  <c r="CN1134" i="5"/>
  <c r="CN1135" i="5"/>
  <c r="CN1136" i="5"/>
  <c r="CN1137" i="5"/>
  <c r="CN1138" i="5"/>
  <c r="CN1139" i="5"/>
  <c r="CN1140" i="5"/>
  <c r="CN1141" i="5"/>
  <c r="CN1142" i="5"/>
  <c r="CN1143" i="5"/>
  <c r="CN1144" i="5"/>
  <c r="CN1145" i="5"/>
  <c r="CN1146" i="5"/>
  <c r="CN1147" i="5"/>
  <c r="CN1148" i="5"/>
  <c r="CN1149" i="5"/>
  <c r="CN1150" i="5"/>
  <c r="CN1151" i="5"/>
  <c r="CN1152" i="5"/>
  <c r="CN1153" i="5"/>
  <c r="CN1154" i="5"/>
  <c r="CN1155" i="5"/>
  <c r="CN1156" i="5"/>
  <c r="CN1157" i="5"/>
  <c r="CN1158" i="5"/>
  <c r="CN1159" i="5"/>
  <c r="CN1160" i="5"/>
  <c r="CN1161" i="5"/>
  <c r="CN1162" i="5"/>
  <c r="CN1163" i="5"/>
  <c r="CN1164" i="5"/>
  <c r="CN1165" i="5"/>
  <c r="CN1166" i="5"/>
  <c r="CN1167" i="5"/>
  <c r="CN1168" i="5"/>
  <c r="CN1169" i="5"/>
  <c r="CN1170" i="5"/>
  <c r="CN1171" i="5"/>
  <c r="CN1172" i="5"/>
  <c r="CN1173" i="5"/>
  <c r="CN1174" i="5"/>
  <c r="CN1175" i="5"/>
  <c r="CN1176" i="5"/>
  <c r="CN1177" i="5"/>
  <c r="CN1178" i="5"/>
  <c r="CN1179" i="5"/>
  <c r="CN1180" i="5"/>
  <c r="CN1181" i="5"/>
  <c r="CN1182" i="5"/>
  <c r="CN1183" i="5"/>
  <c r="CN1184" i="5"/>
  <c r="CN1185" i="5"/>
  <c r="CN1186" i="5"/>
  <c r="CN1187" i="5"/>
  <c r="CN1188" i="5"/>
  <c r="CN1189" i="5"/>
  <c r="CN1190" i="5"/>
  <c r="CN1191" i="5"/>
  <c r="CN1192" i="5"/>
  <c r="CN1193" i="5"/>
  <c r="CN1194" i="5"/>
  <c r="CN1195" i="5"/>
  <c r="CN1196" i="5"/>
  <c r="CN1197" i="5"/>
  <c r="CN1198" i="5"/>
  <c r="CN1199" i="5"/>
  <c r="CN1200" i="5"/>
  <c r="CN1201" i="5"/>
  <c r="CN1202" i="5"/>
  <c r="CN1203" i="5"/>
  <c r="CN1204" i="5"/>
  <c r="CN1205" i="5"/>
  <c r="CN1206" i="5"/>
  <c r="CN1207" i="5"/>
  <c r="CN1208" i="5"/>
  <c r="CN1209" i="5"/>
  <c r="CN1210" i="5"/>
  <c r="CN1211" i="5"/>
  <c r="CN1212" i="5"/>
  <c r="CN1213" i="5"/>
  <c r="CN1214" i="5"/>
  <c r="CN1215" i="5"/>
  <c r="CN1216" i="5"/>
  <c r="CN1217" i="5"/>
  <c r="CN1218" i="5"/>
  <c r="CN1219" i="5"/>
  <c r="CN1220" i="5"/>
  <c r="CN1221" i="5"/>
  <c r="CN1222" i="5"/>
  <c r="CN1223" i="5"/>
  <c r="CN1224" i="5"/>
  <c r="CN1225" i="5"/>
  <c r="CN1226" i="5"/>
  <c r="CN1227" i="5"/>
  <c r="CN1228" i="5"/>
  <c r="CN1229" i="5"/>
  <c r="CN1230" i="5"/>
  <c r="CN1231" i="5"/>
  <c r="CN1232" i="5"/>
  <c r="CN1233" i="5"/>
  <c r="CN1234" i="5"/>
  <c r="CN1235" i="5"/>
  <c r="CN1236" i="5"/>
  <c r="CN1237" i="5"/>
  <c r="CN1238" i="5"/>
  <c r="CN1239" i="5"/>
  <c r="CN1240" i="5"/>
  <c r="CN1241" i="5"/>
  <c r="CN1242" i="5"/>
  <c r="CN1243" i="5"/>
  <c r="CN1244" i="5"/>
  <c r="CN1245" i="5"/>
  <c r="CN1246" i="5"/>
  <c r="CN1247" i="5"/>
  <c r="CN1248" i="5"/>
  <c r="CN1249" i="5"/>
  <c r="CN1250" i="5"/>
  <c r="CN1251" i="5"/>
  <c r="CN1252" i="5"/>
  <c r="CN1253" i="5"/>
  <c r="CN1254" i="5"/>
  <c r="CN1255" i="5"/>
  <c r="CN1256" i="5"/>
  <c r="CN1257" i="5"/>
  <c r="CN1258" i="5"/>
  <c r="CN1259" i="5"/>
  <c r="CN1260" i="5"/>
  <c r="CN1261" i="5"/>
  <c r="CN1262" i="5"/>
  <c r="CN1263" i="5"/>
  <c r="CN1264" i="5"/>
  <c r="CN1265" i="5"/>
  <c r="CN1266" i="5"/>
  <c r="CN1267" i="5"/>
  <c r="CN1268" i="5"/>
  <c r="CN1269" i="5"/>
  <c r="CN1270" i="5"/>
  <c r="CN1271" i="5"/>
  <c r="CN1272" i="5"/>
  <c r="CN1273" i="5"/>
  <c r="CN1274" i="5"/>
  <c r="CN1275" i="5"/>
  <c r="CN1276" i="5"/>
  <c r="CN1277" i="5"/>
  <c r="CN1278" i="5"/>
  <c r="CN1279" i="5"/>
  <c r="CN1280" i="5"/>
  <c r="CN1281" i="5"/>
  <c r="CN1282" i="5"/>
  <c r="CN1283" i="5"/>
  <c r="CN1284" i="5"/>
  <c r="CN1285" i="5"/>
  <c r="CN1286" i="5"/>
  <c r="CN1287" i="5"/>
  <c r="CN1288" i="5"/>
  <c r="CN1289" i="5"/>
  <c r="CN1290" i="5"/>
  <c r="CN1291" i="5"/>
  <c r="CN1292" i="5"/>
  <c r="CN1293" i="5"/>
  <c r="CN1294" i="5"/>
  <c r="CN1295" i="5"/>
  <c r="CN1296" i="5"/>
  <c r="CN1297" i="5"/>
  <c r="CN1298" i="5"/>
  <c r="CN1299" i="5"/>
  <c r="CN1300" i="5"/>
  <c r="CN1301" i="5"/>
  <c r="CN1302" i="5"/>
  <c r="CN1303" i="5"/>
  <c r="CN1304" i="5"/>
  <c r="CN1305" i="5"/>
  <c r="CN1306" i="5"/>
  <c r="CN1307" i="5"/>
  <c r="CN1308" i="5"/>
  <c r="CN1309" i="5"/>
  <c r="CN1310" i="5"/>
  <c r="CN1311" i="5"/>
  <c r="CN1312" i="5"/>
  <c r="CN1313" i="5"/>
  <c r="CN1314" i="5"/>
  <c r="CN1315" i="5"/>
  <c r="CN1316" i="5"/>
  <c r="CN1317" i="5"/>
  <c r="CN1318" i="5"/>
  <c r="CN1319" i="5"/>
  <c r="CN1320" i="5"/>
  <c r="CN1321" i="5"/>
  <c r="CN1322" i="5"/>
  <c r="CN1323" i="5"/>
  <c r="CN1324" i="5"/>
  <c r="CN1325" i="5"/>
  <c r="CN1326" i="5"/>
  <c r="CN1327" i="5"/>
  <c r="CN1328" i="5"/>
  <c r="CN1329" i="5"/>
  <c r="CN1330" i="5"/>
  <c r="CN1331" i="5"/>
  <c r="CN1332" i="5"/>
  <c r="CN1333" i="5"/>
  <c r="CN1334" i="5"/>
  <c r="CN2" i="5"/>
  <c r="CM3" i="5"/>
  <c r="CM4" i="5"/>
  <c r="CM5" i="5"/>
  <c r="CM6" i="5"/>
  <c r="CM7" i="5"/>
  <c r="CM8" i="5"/>
  <c r="CM1341" i="5" s="1"/>
  <c r="CM1342" i="5" s="1"/>
  <c r="CM9" i="5"/>
  <c r="CM10" i="5"/>
  <c r="CM11" i="5"/>
  <c r="CM12" i="5"/>
  <c r="CM13" i="5"/>
  <c r="CM14" i="5"/>
  <c r="CM15" i="5"/>
  <c r="CM16" i="5"/>
  <c r="CM17" i="5"/>
  <c r="CM18" i="5"/>
  <c r="CM19" i="5"/>
  <c r="CM20" i="5"/>
  <c r="CM21" i="5"/>
  <c r="CM22" i="5"/>
  <c r="CM23" i="5"/>
  <c r="CM24" i="5"/>
  <c r="CM25" i="5"/>
  <c r="CM26" i="5"/>
  <c r="CM27" i="5"/>
  <c r="CM28" i="5"/>
  <c r="CM29" i="5"/>
  <c r="CM30" i="5"/>
  <c r="CM31" i="5"/>
  <c r="CM32" i="5"/>
  <c r="CM33" i="5"/>
  <c r="CM34" i="5"/>
  <c r="CM35" i="5"/>
  <c r="CM36" i="5"/>
  <c r="CM37" i="5"/>
  <c r="CM38" i="5"/>
  <c r="CM39" i="5"/>
  <c r="CM40" i="5"/>
  <c r="CM41" i="5"/>
  <c r="CM42" i="5"/>
  <c r="CM43" i="5"/>
  <c r="CM44" i="5"/>
  <c r="CM45" i="5"/>
  <c r="CM46" i="5"/>
  <c r="CM47" i="5"/>
  <c r="CM48" i="5"/>
  <c r="CM49" i="5"/>
  <c r="CM50" i="5"/>
  <c r="CM51" i="5"/>
  <c r="CM52" i="5"/>
  <c r="CM53" i="5"/>
  <c r="CM54" i="5"/>
  <c r="CM55" i="5"/>
  <c r="CM56" i="5"/>
  <c r="CM57" i="5"/>
  <c r="CM58" i="5"/>
  <c r="CM59" i="5"/>
  <c r="CM60" i="5"/>
  <c r="CM61" i="5"/>
  <c r="CM62" i="5"/>
  <c r="CM63" i="5"/>
  <c r="CM64" i="5"/>
  <c r="CM65" i="5"/>
  <c r="CM66" i="5"/>
  <c r="CM67" i="5"/>
  <c r="CM68" i="5"/>
  <c r="CM69" i="5"/>
  <c r="CM70" i="5"/>
  <c r="CM71" i="5"/>
  <c r="CM72" i="5"/>
  <c r="CM73" i="5"/>
  <c r="CM74" i="5"/>
  <c r="CM75" i="5"/>
  <c r="CM76" i="5"/>
  <c r="CM77" i="5"/>
  <c r="CM78" i="5"/>
  <c r="CM79" i="5"/>
  <c r="CM80" i="5"/>
  <c r="CM81" i="5"/>
  <c r="CM82" i="5"/>
  <c r="CM83" i="5"/>
  <c r="CM84" i="5"/>
  <c r="CM85" i="5"/>
  <c r="CM86" i="5"/>
  <c r="CM87" i="5"/>
  <c r="CM88" i="5"/>
  <c r="CM89" i="5"/>
  <c r="CM90" i="5"/>
  <c r="CM91" i="5"/>
  <c r="CM92" i="5"/>
  <c r="CM93" i="5"/>
  <c r="CM94" i="5"/>
  <c r="CM95" i="5"/>
  <c r="CM96" i="5"/>
  <c r="CM97" i="5"/>
  <c r="CM98" i="5"/>
  <c r="CM99" i="5"/>
  <c r="CM100" i="5"/>
  <c r="CM101" i="5"/>
  <c r="CM102" i="5"/>
  <c r="CM103" i="5"/>
  <c r="CM104" i="5"/>
  <c r="CM105" i="5"/>
  <c r="CM106" i="5"/>
  <c r="CM107" i="5"/>
  <c r="CM108" i="5"/>
  <c r="CM109" i="5"/>
  <c r="CM110" i="5"/>
  <c r="CM111" i="5"/>
  <c r="CM112" i="5"/>
  <c r="CM113" i="5"/>
  <c r="CM114" i="5"/>
  <c r="CM115" i="5"/>
  <c r="CM116" i="5"/>
  <c r="CM117" i="5"/>
  <c r="CM118" i="5"/>
  <c r="CM119" i="5"/>
  <c r="CM120" i="5"/>
  <c r="CM121" i="5"/>
  <c r="CM122" i="5"/>
  <c r="CM123" i="5"/>
  <c r="CM124" i="5"/>
  <c r="CM125" i="5"/>
  <c r="CM126" i="5"/>
  <c r="CM127" i="5"/>
  <c r="CM128" i="5"/>
  <c r="CM129" i="5"/>
  <c r="CM130" i="5"/>
  <c r="CM131" i="5"/>
  <c r="CM132" i="5"/>
  <c r="CM133" i="5"/>
  <c r="CM134" i="5"/>
  <c r="CM135" i="5"/>
  <c r="CM136" i="5"/>
  <c r="CM137" i="5"/>
  <c r="CM138" i="5"/>
  <c r="CM139" i="5"/>
  <c r="CM140" i="5"/>
  <c r="CM141" i="5"/>
  <c r="CM142" i="5"/>
  <c r="CM143" i="5"/>
  <c r="CM144" i="5"/>
  <c r="CM145" i="5"/>
  <c r="CM146" i="5"/>
  <c r="CM147" i="5"/>
  <c r="CM148" i="5"/>
  <c r="CM149" i="5"/>
  <c r="CM150" i="5"/>
  <c r="CM151" i="5"/>
  <c r="CM152" i="5"/>
  <c r="CM153" i="5"/>
  <c r="CM154" i="5"/>
  <c r="CM155" i="5"/>
  <c r="CM156" i="5"/>
  <c r="CM157" i="5"/>
  <c r="CM158" i="5"/>
  <c r="CM159" i="5"/>
  <c r="CM160" i="5"/>
  <c r="CM161" i="5"/>
  <c r="CM162" i="5"/>
  <c r="CM163" i="5"/>
  <c r="CM164" i="5"/>
  <c r="CM165" i="5"/>
  <c r="CM166" i="5"/>
  <c r="CM167" i="5"/>
  <c r="CM168" i="5"/>
  <c r="CM169" i="5"/>
  <c r="CM170" i="5"/>
  <c r="CM171" i="5"/>
  <c r="CM172" i="5"/>
  <c r="CM173" i="5"/>
  <c r="CM174" i="5"/>
  <c r="CM175" i="5"/>
  <c r="CM176" i="5"/>
  <c r="CM177" i="5"/>
  <c r="CM178" i="5"/>
  <c r="CM179" i="5"/>
  <c r="CM180" i="5"/>
  <c r="CM181" i="5"/>
  <c r="CM182" i="5"/>
  <c r="CM183" i="5"/>
  <c r="CM184" i="5"/>
  <c r="CM185" i="5"/>
  <c r="CM186" i="5"/>
  <c r="CM187" i="5"/>
  <c r="CM188" i="5"/>
  <c r="CM189" i="5"/>
  <c r="CM190" i="5"/>
  <c r="CM191" i="5"/>
  <c r="CM192" i="5"/>
  <c r="CM193" i="5"/>
  <c r="CM194" i="5"/>
  <c r="CM195" i="5"/>
  <c r="CM196" i="5"/>
  <c r="CM197" i="5"/>
  <c r="CM198" i="5"/>
  <c r="CM199" i="5"/>
  <c r="CM200" i="5"/>
  <c r="CM201" i="5"/>
  <c r="CM202" i="5"/>
  <c r="CM203" i="5"/>
  <c r="CM204" i="5"/>
  <c r="CM205" i="5"/>
  <c r="CM206" i="5"/>
  <c r="CM207" i="5"/>
  <c r="CM208" i="5"/>
  <c r="CM209" i="5"/>
  <c r="CM210" i="5"/>
  <c r="CM211" i="5"/>
  <c r="CM212" i="5"/>
  <c r="CM213" i="5"/>
  <c r="CM214" i="5"/>
  <c r="CM215" i="5"/>
  <c r="CM216" i="5"/>
  <c r="CM217" i="5"/>
  <c r="CM218" i="5"/>
  <c r="CM219" i="5"/>
  <c r="CM220" i="5"/>
  <c r="CM221" i="5"/>
  <c r="CM222" i="5"/>
  <c r="CM223" i="5"/>
  <c r="CM224" i="5"/>
  <c r="CM225" i="5"/>
  <c r="CM226" i="5"/>
  <c r="CM227" i="5"/>
  <c r="CM228" i="5"/>
  <c r="CM229" i="5"/>
  <c r="CM230" i="5"/>
  <c r="CM231" i="5"/>
  <c r="CM232" i="5"/>
  <c r="CM233" i="5"/>
  <c r="CM234" i="5"/>
  <c r="CM235" i="5"/>
  <c r="CM236" i="5"/>
  <c r="CM237" i="5"/>
  <c r="CM238" i="5"/>
  <c r="CM239" i="5"/>
  <c r="CM240" i="5"/>
  <c r="CM241" i="5"/>
  <c r="CM242" i="5"/>
  <c r="CM243" i="5"/>
  <c r="CM244" i="5"/>
  <c r="CM245" i="5"/>
  <c r="CM246" i="5"/>
  <c r="CM247" i="5"/>
  <c r="CM248" i="5"/>
  <c r="CM249" i="5"/>
  <c r="CM250" i="5"/>
  <c r="CM251" i="5"/>
  <c r="CM252" i="5"/>
  <c r="CM253" i="5"/>
  <c r="CM254" i="5"/>
  <c r="CM255" i="5"/>
  <c r="CM256" i="5"/>
  <c r="CM257" i="5"/>
  <c r="CM258" i="5"/>
  <c r="CM259" i="5"/>
  <c r="CM260" i="5"/>
  <c r="CM261" i="5"/>
  <c r="CM262" i="5"/>
  <c r="CM263" i="5"/>
  <c r="CM264" i="5"/>
  <c r="CM265" i="5"/>
  <c r="CM266" i="5"/>
  <c r="CM267" i="5"/>
  <c r="CM268" i="5"/>
  <c r="CM269" i="5"/>
  <c r="CM270" i="5"/>
  <c r="CM271" i="5"/>
  <c r="CM272" i="5"/>
  <c r="CM273" i="5"/>
  <c r="CM274" i="5"/>
  <c r="CM275" i="5"/>
  <c r="CM276" i="5"/>
  <c r="CM277" i="5"/>
  <c r="CM278" i="5"/>
  <c r="CM279" i="5"/>
  <c r="CM280" i="5"/>
  <c r="CM281" i="5"/>
  <c r="CM282" i="5"/>
  <c r="CM283" i="5"/>
  <c r="CM284" i="5"/>
  <c r="CM285" i="5"/>
  <c r="CM286" i="5"/>
  <c r="CM287" i="5"/>
  <c r="CM288" i="5"/>
  <c r="CM289" i="5"/>
  <c r="CM290" i="5"/>
  <c r="CM291" i="5"/>
  <c r="CM292" i="5"/>
  <c r="CM293" i="5"/>
  <c r="CM294" i="5"/>
  <c r="CM295" i="5"/>
  <c r="CM296" i="5"/>
  <c r="CM297" i="5"/>
  <c r="CM298" i="5"/>
  <c r="CM299" i="5"/>
  <c r="CM300" i="5"/>
  <c r="CM301" i="5"/>
  <c r="CM302" i="5"/>
  <c r="CM303" i="5"/>
  <c r="CM304" i="5"/>
  <c r="CM305" i="5"/>
  <c r="CM306" i="5"/>
  <c r="CM307" i="5"/>
  <c r="CM308" i="5"/>
  <c r="CM309" i="5"/>
  <c r="CM310" i="5"/>
  <c r="CM311" i="5"/>
  <c r="CM312" i="5"/>
  <c r="CM313" i="5"/>
  <c r="CM314" i="5"/>
  <c r="CM315" i="5"/>
  <c r="CM316" i="5"/>
  <c r="CM317" i="5"/>
  <c r="CM318" i="5"/>
  <c r="CM319" i="5"/>
  <c r="CM320" i="5"/>
  <c r="CM321" i="5"/>
  <c r="CM322" i="5"/>
  <c r="CM323" i="5"/>
  <c r="CM324" i="5"/>
  <c r="CM325" i="5"/>
  <c r="CM326" i="5"/>
  <c r="CM327" i="5"/>
  <c r="CM328" i="5"/>
  <c r="CM329" i="5"/>
  <c r="CM330" i="5"/>
  <c r="CM331" i="5"/>
  <c r="CM332" i="5"/>
  <c r="CM333" i="5"/>
  <c r="CM334" i="5"/>
  <c r="CM335" i="5"/>
  <c r="CM336" i="5"/>
  <c r="CM337" i="5"/>
  <c r="CM338" i="5"/>
  <c r="CM339" i="5"/>
  <c r="CM340" i="5"/>
  <c r="CM341" i="5"/>
  <c r="CM342" i="5"/>
  <c r="CM343" i="5"/>
  <c r="CM344" i="5"/>
  <c r="CM345" i="5"/>
  <c r="CM346" i="5"/>
  <c r="CM347" i="5"/>
  <c r="CM348" i="5"/>
  <c r="CM349" i="5"/>
  <c r="CM350" i="5"/>
  <c r="CM351" i="5"/>
  <c r="CM352" i="5"/>
  <c r="CM353" i="5"/>
  <c r="CM354" i="5"/>
  <c r="CM355" i="5"/>
  <c r="CM356" i="5"/>
  <c r="CM357" i="5"/>
  <c r="CM358" i="5"/>
  <c r="CM359" i="5"/>
  <c r="CM360" i="5"/>
  <c r="CM361" i="5"/>
  <c r="CM362" i="5"/>
  <c r="CM363" i="5"/>
  <c r="CM364" i="5"/>
  <c r="CM365" i="5"/>
  <c r="CM366" i="5"/>
  <c r="CM367" i="5"/>
  <c r="CM368" i="5"/>
  <c r="CM369" i="5"/>
  <c r="CM370" i="5"/>
  <c r="CM371" i="5"/>
  <c r="CM372" i="5"/>
  <c r="CM373" i="5"/>
  <c r="CM374" i="5"/>
  <c r="CM375" i="5"/>
  <c r="CM376" i="5"/>
  <c r="CM377" i="5"/>
  <c r="CM378" i="5"/>
  <c r="CM379" i="5"/>
  <c r="CM380" i="5"/>
  <c r="CM381" i="5"/>
  <c r="CM382" i="5"/>
  <c r="CM383" i="5"/>
  <c r="CM384" i="5"/>
  <c r="CM385" i="5"/>
  <c r="CM386" i="5"/>
  <c r="CM387" i="5"/>
  <c r="CM388" i="5"/>
  <c r="CM389" i="5"/>
  <c r="CM390" i="5"/>
  <c r="CM391" i="5"/>
  <c r="CM392" i="5"/>
  <c r="CM393" i="5"/>
  <c r="CM394" i="5"/>
  <c r="CM395" i="5"/>
  <c r="CM396" i="5"/>
  <c r="CM397" i="5"/>
  <c r="CM398" i="5"/>
  <c r="CM399" i="5"/>
  <c r="CM400" i="5"/>
  <c r="CM401" i="5"/>
  <c r="CM402" i="5"/>
  <c r="CM403" i="5"/>
  <c r="CM404" i="5"/>
  <c r="CM405" i="5"/>
  <c r="CM406" i="5"/>
  <c r="CM407" i="5"/>
  <c r="CM408" i="5"/>
  <c r="CM409" i="5"/>
  <c r="CM410" i="5"/>
  <c r="CM411" i="5"/>
  <c r="CM412" i="5"/>
  <c r="CM413" i="5"/>
  <c r="CM414" i="5"/>
  <c r="CM415" i="5"/>
  <c r="CM416" i="5"/>
  <c r="CM417" i="5"/>
  <c r="CM418" i="5"/>
  <c r="CM419" i="5"/>
  <c r="CM420" i="5"/>
  <c r="CM421" i="5"/>
  <c r="CM422" i="5"/>
  <c r="CM423" i="5"/>
  <c r="CM424" i="5"/>
  <c r="CM425" i="5"/>
  <c r="CM426" i="5"/>
  <c r="CM427" i="5"/>
  <c r="CM428" i="5"/>
  <c r="CM429" i="5"/>
  <c r="CM430" i="5"/>
  <c r="CM431" i="5"/>
  <c r="CM432" i="5"/>
  <c r="CM433" i="5"/>
  <c r="CM434" i="5"/>
  <c r="CM435" i="5"/>
  <c r="CM436" i="5"/>
  <c r="CM437" i="5"/>
  <c r="CM438" i="5"/>
  <c r="CM439" i="5"/>
  <c r="CM440" i="5"/>
  <c r="CM441" i="5"/>
  <c r="CM442" i="5"/>
  <c r="CM443" i="5"/>
  <c r="CM444" i="5"/>
  <c r="CM445" i="5"/>
  <c r="CM446" i="5"/>
  <c r="CM447" i="5"/>
  <c r="CM448" i="5"/>
  <c r="CM449" i="5"/>
  <c r="CM450" i="5"/>
  <c r="CM451" i="5"/>
  <c r="CM452" i="5"/>
  <c r="CM453" i="5"/>
  <c r="CM454" i="5"/>
  <c r="CM455" i="5"/>
  <c r="CM456" i="5"/>
  <c r="CM457" i="5"/>
  <c r="CM458" i="5"/>
  <c r="CM459" i="5"/>
  <c r="CM460" i="5"/>
  <c r="CM461" i="5"/>
  <c r="CM462" i="5"/>
  <c r="CM463" i="5"/>
  <c r="CM464" i="5"/>
  <c r="CM465" i="5"/>
  <c r="CM466" i="5"/>
  <c r="CM467" i="5"/>
  <c r="CM468" i="5"/>
  <c r="CM469" i="5"/>
  <c r="CM470" i="5"/>
  <c r="CM471" i="5"/>
  <c r="CM472" i="5"/>
  <c r="CM473" i="5"/>
  <c r="CM474" i="5"/>
  <c r="CM475" i="5"/>
  <c r="CM476" i="5"/>
  <c r="CM477" i="5"/>
  <c r="CM478" i="5"/>
  <c r="CM479" i="5"/>
  <c r="CM480" i="5"/>
  <c r="CM481" i="5"/>
  <c r="CM482" i="5"/>
  <c r="CM483" i="5"/>
  <c r="CM484" i="5"/>
  <c r="CM485" i="5"/>
  <c r="CM486" i="5"/>
  <c r="CM487" i="5"/>
  <c r="CM488" i="5"/>
  <c r="CM489" i="5"/>
  <c r="CM490" i="5"/>
  <c r="CM491" i="5"/>
  <c r="CM492" i="5"/>
  <c r="CM493" i="5"/>
  <c r="CM494" i="5"/>
  <c r="CM495" i="5"/>
  <c r="CM496" i="5"/>
  <c r="CM497" i="5"/>
  <c r="CM498" i="5"/>
  <c r="CM499" i="5"/>
  <c r="CM500" i="5"/>
  <c r="CM501" i="5"/>
  <c r="CM502" i="5"/>
  <c r="CM503" i="5"/>
  <c r="CM504" i="5"/>
  <c r="CM505" i="5"/>
  <c r="CM506" i="5"/>
  <c r="CM507" i="5"/>
  <c r="CM508" i="5"/>
  <c r="CM509" i="5"/>
  <c r="CM510" i="5"/>
  <c r="CM511" i="5"/>
  <c r="CM512" i="5"/>
  <c r="CM513" i="5"/>
  <c r="CM514" i="5"/>
  <c r="CM515" i="5"/>
  <c r="CM516" i="5"/>
  <c r="CM517" i="5"/>
  <c r="CM518" i="5"/>
  <c r="CM519" i="5"/>
  <c r="CM520" i="5"/>
  <c r="CM521" i="5"/>
  <c r="CM522" i="5"/>
  <c r="CM523" i="5"/>
  <c r="CM524" i="5"/>
  <c r="CM525" i="5"/>
  <c r="CM526" i="5"/>
  <c r="CM527" i="5"/>
  <c r="CM528" i="5"/>
  <c r="CM529" i="5"/>
  <c r="CM530" i="5"/>
  <c r="CM531" i="5"/>
  <c r="CM532" i="5"/>
  <c r="CM533" i="5"/>
  <c r="CM534" i="5"/>
  <c r="CM535" i="5"/>
  <c r="CM536" i="5"/>
  <c r="CM537" i="5"/>
  <c r="CM538" i="5"/>
  <c r="CM539" i="5"/>
  <c r="CM540" i="5"/>
  <c r="CM541" i="5"/>
  <c r="CM542" i="5"/>
  <c r="CM543" i="5"/>
  <c r="CM544" i="5"/>
  <c r="CM545" i="5"/>
  <c r="CM546" i="5"/>
  <c r="CM547" i="5"/>
  <c r="CM548" i="5"/>
  <c r="CM549" i="5"/>
  <c r="CM550" i="5"/>
  <c r="CM551" i="5"/>
  <c r="CM552" i="5"/>
  <c r="CM553" i="5"/>
  <c r="CM554" i="5"/>
  <c r="CM555" i="5"/>
  <c r="CM556" i="5"/>
  <c r="CM557" i="5"/>
  <c r="CM558" i="5"/>
  <c r="CM559" i="5"/>
  <c r="CM560" i="5"/>
  <c r="CM561" i="5"/>
  <c r="CM562" i="5"/>
  <c r="CM563" i="5"/>
  <c r="CM564" i="5"/>
  <c r="CM565" i="5"/>
  <c r="CM566" i="5"/>
  <c r="CM567" i="5"/>
  <c r="CM568" i="5"/>
  <c r="CM569" i="5"/>
  <c r="CM570" i="5"/>
  <c r="CM571" i="5"/>
  <c r="CM572" i="5"/>
  <c r="CM573" i="5"/>
  <c r="CM574" i="5"/>
  <c r="CM575" i="5"/>
  <c r="CM576" i="5"/>
  <c r="CM577" i="5"/>
  <c r="CM578" i="5"/>
  <c r="CM579" i="5"/>
  <c r="CM580" i="5"/>
  <c r="CM581" i="5"/>
  <c r="CM582" i="5"/>
  <c r="CM583" i="5"/>
  <c r="CM584" i="5"/>
  <c r="CM585" i="5"/>
  <c r="CM586" i="5"/>
  <c r="CM587" i="5"/>
  <c r="CM588" i="5"/>
  <c r="CM589" i="5"/>
  <c r="CM590" i="5"/>
  <c r="CM591" i="5"/>
  <c r="CM592" i="5"/>
  <c r="CM593" i="5"/>
  <c r="CM594" i="5"/>
  <c r="CM595" i="5"/>
  <c r="CM596" i="5"/>
  <c r="CM597" i="5"/>
  <c r="CM598" i="5"/>
  <c r="CM599" i="5"/>
  <c r="CM600" i="5"/>
  <c r="CM601" i="5"/>
  <c r="CM602" i="5"/>
  <c r="CM603" i="5"/>
  <c r="CM604" i="5"/>
  <c r="CM605" i="5"/>
  <c r="CM606" i="5"/>
  <c r="CM607" i="5"/>
  <c r="CM608" i="5"/>
  <c r="CM609" i="5"/>
  <c r="CM610" i="5"/>
  <c r="CM611" i="5"/>
  <c r="CM612" i="5"/>
  <c r="CM613" i="5"/>
  <c r="CM614" i="5"/>
  <c r="CM615" i="5"/>
  <c r="CM616" i="5"/>
  <c r="CM617" i="5"/>
  <c r="CM618" i="5"/>
  <c r="CM619" i="5"/>
  <c r="CM620" i="5"/>
  <c r="CM621" i="5"/>
  <c r="CM622" i="5"/>
  <c r="CM623" i="5"/>
  <c r="CM624" i="5"/>
  <c r="CM625" i="5"/>
  <c r="CM626" i="5"/>
  <c r="CM627" i="5"/>
  <c r="CM628" i="5"/>
  <c r="CM629" i="5"/>
  <c r="CM630" i="5"/>
  <c r="CM631" i="5"/>
  <c r="CM632" i="5"/>
  <c r="CM633" i="5"/>
  <c r="CM634" i="5"/>
  <c r="CM635" i="5"/>
  <c r="CM636" i="5"/>
  <c r="CM637" i="5"/>
  <c r="CM638" i="5"/>
  <c r="CM639" i="5"/>
  <c r="CM640" i="5"/>
  <c r="CM641" i="5"/>
  <c r="CM642" i="5"/>
  <c r="CM643" i="5"/>
  <c r="CM644" i="5"/>
  <c r="CM645" i="5"/>
  <c r="CM646" i="5"/>
  <c r="CM647" i="5"/>
  <c r="CM648" i="5"/>
  <c r="CM649" i="5"/>
  <c r="CM650" i="5"/>
  <c r="CM651" i="5"/>
  <c r="CM652" i="5"/>
  <c r="CM653" i="5"/>
  <c r="CM654" i="5"/>
  <c r="CM655" i="5"/>
  <c r="CM656" i="5"/>
  <c r="CM657" i="5"/>
  <c r="CM658" i="5"/>
  <c r="CM659" i="5"/>
  <c r="CM660" i="5"/>
  <c r="CM661" i="5"/>
  <c r="CM662" i="5"/>
  <c r="CM663" i="5"/>
  <c r="CM664" i="5"/>
  <c r="CM665" i="5"/>
  <c r="CM666" i="5"/>
  <c r="CM667" i="5"/>
  <c r="CM668" i="5"/>
  <c r="CM669" i="5"/>
  <c r="CM670" i="5"/>
  <c r="CM671" i="5"/>
  <c r="CM672" i="5"/>
  <c r="CM673" i="5"/>
  <c r="CM674" i="5"/>
  <c r="CM675" i="5"/>
  <c r="CM676" i="5"/>
  <c r="CM677" i="5"/>
  <c r="CM678" i="5"/>
  <c r="CM679" i="5"/>
  <c r="CM680" i="5"/>
  <c r="CM681" i="5"/>
  <c r="CM682" i="5"/>
  <c r="CM683" i="5"/>
  <c r="CM684" i="5"/>
  <c r="CM685" i="5"/>
  <c r="CM686" i="5"/>
  <c r="CM687" i="5"/>
  <c r="CM688" i="5"/>
  <c r="CM689" i="5"/>
  <c r="CM690" i="5"/>
  <c r="CM691" i="5"/>
  <c r="CM692" i="5"/>
  <c r="CM693" i="5"/>
  <c r="CM694" i="5"/>
  <c r="CM695" i="5"/>
  <c r="CM696" i="5"/>
  <c r="CM697" i="5"/>
  <c r="CM698" i="5"/>
  <c r="CM699" i="5"/>
  <c r="CM700" i="5"/>
  <c r="CM701" i="5"/>
  <c r="CM702" i="5"/>
  <c r="CM703" i="5"/>
  <c r="CM704" i="5"/>
  <c r="CM705" i="5"/>
  <c r="CM706" i="5"/>
  <c r="CM707" i="5"/>
  <c r="CM708" i="5"/>
  <c r="CM709" i="5"/>
  <c r="CM710" i="5"/>
  <c r="CM711" i="5"/>
  <c r="CM712" i="5"/>
  <c r="CM713" i="5"/>
  <c r="CM714" i="5"/>
  <c r="CM715" i="5"/>
  <c r="CM716" i="5"/>
  <c r="CM717" i="5"/>
  <c r="CM718" i="5"/>
  <c r="CM719" i="5"/>
  <c r="CM720" i="5"/>
  <c r="CM721" i="5"/>
  <c r="CM722" i="5"/>
  <c r="CM723" i="5"/>
  <c r="CM724" i="5"/>
  <c r="CM725" i="5"/>
  <c r="CM726" i="5"/>
  <c r="CM727" i="5"/>
  <c r="CM728" i="5"/>
  <c r="CM729" i="5"/>
  <c r="CM730" i="5"/>
  <c r="CM731" i="5"/>
  <c r="CM732" i="5"/>
  <c r="CM733" i="5"/>
  <c r="CM734" i="5"/>
  <c r="CM735" i="5"/>
  <c r="CM736" i="5"/>
  <c r="CM737" i="5"/>
  <c r="CM738" i="5"/>
  <c r="CM739" i="5"/>
  <c r="CM740" i="5"/>
  <c r="CM741" i="5"/>
  <c r="CM742" i="5"/>
  <c r="CM743" i="5"/>
  <c r="CM744" i="5"/>
  <c r="CM745" i="5"/>
  <c r="CM746" i="5"/>
  <c r="CM747" i="5"/>
  <c r="CM748" i="5"/>
  <c r="CM749" i="5"/>
  <c r="CM750" i="5"/>
  <c r="CM751" i="5"/>
  <c r="CM752" i="5"/>
  <c r="CM753" i="5"/>
  <c r="CM754" i="5"/>
  <c r="CM755" i="5"/>
  <c r="CM756" i="5"/>
  <c r="CM757" i="5"/>
  <c r="CM758" i="5"/>
  <c r="CM759" i="5"/>
  <c r="CM760" i="5"/>
  <c r="CM761" i="5"/>
  <c r="CM762" i="5"/>
  <c r="CM763" i="5"/>
  <c r="CM764" i="5"/>
  <c r="CM765" i="5"/>
  <c r="CM766" i="5"/>
  <c r="CM767" i="5"/>
  <c r="CM768" i="5"/>
  <c r="CM769" i="5"/>
  <c r="CM770" i="5"/>
  <c r="CM771" i="5"/>
  <c r="CM772" i="5"/>
  <c r="CM773" i="5"/>
  <c r="CM774" i="5"/>
  <c r="CM775" i="5"/>
  <c r="CM776" i="5"/>
  <c r="CM777" i="5"/>
  <c r="CM778" i="5"/>
  <c r="CM779" i="5"/>
  <c r="CM780" i="5"/>
  <c r="CM781" i="5"/>
  <c r="CM782" i="5"/>
  <c r="CM783" i="5"/>
  <c r="CM784" i="5"/>
  <c r="CM785" i="5"/>
  <c r="CM786" i="5"/>
  <c r="CM787" i="5"/>
  <c r="CM788" i="5"/>
  <c r="CM789" i="5"/>
  <c r="CM790" i="5"/>
  <c r="CM791" i="5"/>
  <c r="CM792" i="5"/>
  <c r="CM793" i="5"/>
  <c r="CM794" i="5"/>
  <c r="CM795" i="5"/>
  <c r="CM796" i="5"/>
  <c r="CM797" i="5"/>
  <c r="CM798" i="5"/>
  <c r="CM799" i="5"/>
  <c r="CM800" i="5"/>
  <c r="CM801" i="5"/>
  <c r="CM802" i="5"/>
  <c r="CM803" i="5"/>
  <c r="CM804" i="5"/>
  <c r="CM805" i="5"/>
  <c r="CM806" i="5"/>
  <c r="CM807" i="5"/>
  <c r="CM808" i="5"/>
  <c r="CM809" i="5"/>
  <c r="CM810" i="5"/>
  <c r="CM811" i="5"/>
  <c r="CM812" i="5"/>
  <c r="CM813" i="5"/>
  <c r="CM814" i="5"/>
  <c r="CM815" i="5"/>
  <c r="CM816" i="5"/>
  <c r="CM817" i="5"/>
  <c r="CM818" i="5"/>
  <c r="CM819" i="5"/>
  <c r="CM820" i="5"/>
  <c r="CM821" i="5"/>
  <c r="CM822" i="5"/>
  <c r="CM823" i="5"/>
  <c r="CM824" i="5"/>
  <c r="CM825" i="5"/>
  <c r="CM826" i="5"/>
  <c r="CM827" i="5"/>
  <c r="CM828" i="5"/>
  <c r="CM829" i="5"/>
  <c r="CM830" i="5"/>
  <c r="CM831" i="5"/>
  <c r="CM832" i="5"/>
  <c r="CM833" i="5"/>
  <c r="CM834" i="5"/>
  <c r="CM835" i="5"/>
  <c r="CM836" i="5"/>
  <c r="CM837" i="5"/>
  <c r="CM838" i="5"/>
  <c r="CM839" i="5"/>
  <c r="CM840" i="5"/>
  <c r="CM841" i="5"/>
  <c r="CM842" i="5"/>
  <c r="CM843" i="5"/>
  <c r="CM844" i="5"/>
  <c r="CM845" i="5"/>
  <c r="CM846" i="5"/>
  <c r="CM847" i="5"/>
  <c r="CM848" i="5"/>
  <c r="CM849" i="5"/>
  <c r="CM850" i="5"/>
  <c r="CM851" i="5"/>
  <c r="CM852" i="5"/>
  <c r="CM853" i="5"/>
  <c r="CM854" i="5"/>
  <c r="CM855" i="5"/>
  <c r="CM856" i="5"/>
  <c r="CM857" i="5"/>
  <c r="CM858" i="5"/>
  <c r="CM859" i="5"/>
  <c r="CM860" i="5"/>
  <c r="CM861" i="5"/>
  <c r="CM862" i="5"/>
  <c r="CM863" i="5"/>
  <c r="CM864" i="5"/>
  <c r="CM865" i="5"/>
  <c r="CM866" i="5"/>
  <c r="CM867" i="5"/>
  <c r="CM868" i="5"/>
  <c r="CM869" i="5"/>
  <c r="CM870" i="5"/>
  <c r="CM871" i="5"/>
  <c r="CM872" i="5"/>
  <c r="CM873" i="5"/>
  <c r="CM874" i="5"/>
  <c r="CM875" i="5"/>
  <c r="CM876" i="5"/>
  <c r="CM877" i="5"/>
  <c r="CM878" i="5"/>
  <c r="CM879" i="5"/>
  <c r="CM880" i="5"/>
  <c r="CM881" i="5"/>
  <c r="CM882" i="5"/>
  <c r="CM883" i="5"/>
  <c r="CM884" i="5"/>
  <c r="CM885" i="5"/>
  <c r="CM886" i="5"/>
  <c r="CM887" i="5"/>
  <c r="CM888" i="5"/>
  <c r="CM889" i="5"/>
  <c r="CM890" i="5"/>
  <c r="CM891" i="5"/>
  <c r="CM892" i="5"/>
  <c r="CM893" i="5"/>
  <c r="CM894" i="5"/>
  <c r="CM895" i="5"/>
  <c r="CM896" i="5"/>
  <c r="CM897" i="5"/>
  <c r="CM898" i="5"/>
  <c r="CM899" i="5"/>
  <c r="CM900" i="5"/>
  <c r="CM901" i="5"/>
  <c r="CM902" i="5"/>
  <c r="CM903" i="5"/>
  <c r="CM904" i="5"/>
  <c r="CM905" i="5"/>
  <c r="CM906" i="5"/>
  <c r="CM907" i="5"/>
  <c r="CM908" i="5"/>
  <c r="CM909" i="5"/>
  <c r="CM910" i="5"/>
  <c r="CM911" i="5"/>
  <c r="CM912" i="5"/>
  <c r="CM913" i="5"/>
  <c r="CM914" i="5"/>
  <c r="CM915" i="5"/>
  <c r="CM916" i="5"/>
  <c r="CM917" i="5"/>
  <c r="CM918" i="5"/>
  <c r="CM919" i="5"/>
  <c r="CM920" i="5"/>
  <c r="CM921" i="5"/>
  <c r="CM922" i="5"/>
  <c r="CM923" i="5"/>
  <c r="CM924" i="5"/>
  <c r="CM925" i="5"/>
  <c r="CM926" i="5"/>
  <c r="CM927" i="5"/>
  <c r="CM928" i="5"/>
  <c r="CM929" i="5"/>
  <c r="CM930" i="5"/>
  <c r="CM931" i="5"/>
  <c r="CM932" i="5"/>
  <c r="CM933" i="5"/>
  <c r="CM934" i="5"/>
  <c r="CM935" i="5"/>
  <c r="CM936" i="5"/>
  <c r="CM937" i="5"/>
  <c r="CM938" i="5"/>
  <c r="CM939" i="5"/>
  <c r="CM940" i="5"/>
  <c r="CM941" i="5"/>
  <c r="CM942" i="5"/>
  <c r="CM943" i="5"/>
  <c r="CM944" i="5"/>
  <c r="CM945" i="5"/>
  <c r="CM946" i="5"/>
  <c r="CM947" i="5"/>
  <c r="CM948" i="5"/>
  <c r="CM949" i="5"/>
  <c r="CM950" i="5"/>
  <c r="CM951" i="5"/>
  <c r="CM952" i="5"/>
  <c r="CM953" i="5"/>
  <c r="CM954" i="5"/>
  <c r="CM955" i="5"/>
  <c r="CM956" i="5"/>
  <c r="CM957" i="5"/>
  <c r="CM958" i="5"/>
  <c r="CM959" i="5"/>
  <c r="CM960" i="5"/>
  <c r="CM961" i="5"/>
  <c r="CM962" i="5"/>
  <c r="CM963" i="5"/>
  <c r="CM964" i="5"/>
  <c r="CM965" i="5"/>
  <c r="CM966" i="5"/>
  <c r="CM967" i="5"/>
  <c r="CM968" i="5"/>
  <c r="CM969" i="5"/>
  <c r="CM970" i="5"/>
  <c r="CM971" i="5"/>
  <c r="CM972" i="5"/>
  <c r="CM973" i="5"/>
  <c r="CM974" i="5"/>
  <c r="CM975" i="5"/>
  <c r="CM976" i="5"/>
  <c r="CM977" i="5"/>
  <c r="CM978" i="5"/>
  <c r="CM979" i="5"/>
  <c r="CM980" i="5"/>
  <c r="CM981" i="5"/>
  <c r="CM982" i="5"/>
  <c r="CM983" i="5"/>
  <c r="CM984" i="5"/>
  <c r="CM985" i="5"/>
  <c r="CM986" i="5"/>
  <c r="CM987" i="5"/>
  <c r="CM988" i="5"/>
  <c r="CM989" i="5"/>
  <c r="CM990" i="5"/>
  <c r="CM991" i="5"/>
  <c r="CM992" i="5"/>
  <c r="CM993" i="5"/>
  <c r="CM994" i="5"/>
  <c r="CM995" i="5"/>
  <c r="CM996" i="5"/>
  <c r="CM997" i="5"/>
  <c r="CM998" i="5"/>
  <c r="CM999" i="5"/>
  <c r="CM1000" i="5"/>
  <c r="CM1001" i="5"/>
  <c r="CM1002" i="5"/>
  <c r="CM1003" i="5"/>
  <c r="CM1004" i="5"/>
  <c r="CM1005" i="5"/>
  <c r="CM1006" i="5"/>
  <c r="CM1007" i="5"/>
  <c r="CM1008" i="5"/>
  <c r="CM1009" i="5"/>
  <c r="CM1010" i="5"/>
  <c r="CM1011" i="5"/>
  <c r="CM1012" i="5"/>
  <c r="CM1013" i="5"/>
  <c r="CM1014" i="5"/>
  <c r="CM1015" i="5"/>
  <c r="CM1016" i="5"/>
  <c r="CM1017" i="5"/>
  <c r="CM1018" i="5"/>
  <c r="CM1019" i="5"/>
  <c r="CM1020" i="5"/>
  <c r="CM1021" i="5"/>
  <c r="CM1022" i="5"/>
  <c r="CM1023" i="5"/>
  <c r="CM1024" i="5"/>
  <c r="CM1025" i="5"/>
  <c r="CM1026" i="5"/>
  <c r="CM1027" i="5"/>
  <c r="CM1028" i="5"/>
  <c r="CM1029" i="5"/>
  <c r="CM1030" i="5"/>
  <c r="CM1031" i="5"/>
  <c r="CM1032" i="5"/>
  <c r="CM1033" i="5"/>
  <c r="CM1034" i="5"/>
  <c r="CM1035" i="5"/>
  <c r="CM1036" i="5"/>
  <c r="CM1037" i="5"/>
  <c r="CM1038" i="5"/>
  <c r="CM1039" i="5"/>
  <c r="CM1040" i="5"/>
  <c r="CM1041" i="5"/>
  <c r="CM1042" i="5"/>
  <c r="CM1043" i="5"/>
  <c r="CM1044" i="5"/>
  <c r="CM1045" i="5"/>
  <c r="CM1046" i="5"/>
  <c r="CM1047" i="5"/>
  <c r="CM1048" i="5"/>
  <c r="CM1049" i="5"/>
  <c r="CM1050" i="5"/>
  <c r="CM1051" i="5"/>
  <c r="CM1052" i="5"/>
  <c r="CM1053" i="5"/>
  <c r="CM1054" i="5"/>
  <c r="CM1055" i="5"/>
  <c r="CM1056" i="5"/>
  <c r="CM1057" i="5"/>
  <c r="CM1058" i="5"/>
  <c r="CM1059" i="5"/>
  <c r="CM1060" i="5"/>
  <c r="CM1061" i="5"/>
  <c r="CM1062" i="5"/>
  <c r="CM1063" i="5"/>
  <c r="CM1064" i="5"/>
  <c r="CM1065" i="5"/>
  <c r="CM1066" i="5"/>
  <c r="CM1067" i="5"/>
  <c r="CM1068" i="5"/>
  <c r="CM1069" i="5"/>
  <c r="CM1070" i="5"/>
  <c r="CM1071" i="5"/>
  <c r="CM1072" i="5"/>
  <c r="CM1073" i="5"/>
  <c r="CM1074" i="5"/>
  <c r="CM1075" i="5"/>
  <c r="CM1076" i="5"/>
  <c r="CM1077" i="5"/>
  <c r="CM1078" i="5"/>
  <c r="CM1079" i="5"/>
  <c r="CM1080" i="5"/>
  <c r="CM1081" i="5"/>
  <c r="CM1082" i="5"/>
  <c r="CM1083" i="5"/>
  <c r="CM1084" i="5"/>
  <c r="CM1085" i="5"/>
  <c r="CM1086" i="5"/>
  <c r="CM1087" i="5"/>
  <c r="CM1088" i="5"/>
  <c r="CM1089" i="5"/>
  <c r="CM1090" i="5"/>
  <c r="CM1091" i="5"/>
  <c r="CM1092" i="5"/>
  <c r="CM1093" i="5"/>
  <c r="CM1094" i="5"/>
  <c r="CM1095" i="5"/>
  <c r="CM1096" i="5"/>
  <c r="CM1097" i="5"/>
  <c r="CM1098" i="5"/>
  <c r="CM1099" i="5"/>
  <c r="CM1100" i="5"/>
  <c r="CM1101" i="5"/>
  <c r="CM1102" i="5"/>
  <c r="CM1103" i="5"/>
  <c r="CM1104" i="5"/>
  <c r="CM1105" i="5"/>
  <c r="CM1106" i="5"/>
  <c r="CM1107" i="5"/>
  <c r="CM1108" i="5"/>
  <c r="CM1109" i="5"/>
  <c r="CM1110" i="5"/>
  <c r="CM1111" i="5"/>
  <c r="CM1112" i="5"/>
  <c r="CM1113" i="5"/>
  <c r="CM1114" i="5"/>
  <c r="CM1115" i="5"/>
  <c r="CM1116" i="5"/>
  <c r="CM1117" i="5"/>
  <c r="CM1118" i="5"/>
  <c r="CM1119" i="5"/>
  <c r="CM1120" i="5"/>
  <c r="CM1121" i="5"/>
  <c r="CM1122" i="5"/>
  <c r="CM1123" i="5"/>
  <c r="CM1124" i="5"/>
  <c r="CM1125" i="5"/>
  <c r="CM1126" i="5"/>
  <c r="CM1127" i="5"/>
  <c r="CM1128" i="5"/>
  <c r="CM1129" i="5"/>
  <c r="CM1130" i="5"/>
  <c r="CM1131" i="5"/>
  <c r="CM1132" i="5"/>
  <c r="CM1133" i="5"/>
  <c r="CM1134" i="5"/>
  <c r="CM1135" i="5"/>
  <c r="CM1136" i="5"/>
  <c r="CM1137" i="5"/>
  <c r="CM1138" i="5"/>
  <c r="CM1139" i="5"/>
  <c r="CM1140" i="5"/>
  <c r="CM1141" i="5"/>
  <c r="CM1142" i="5"/>
  <c r="CM1143" i="5"/>
  <c r="CM1144" i="5"/>
  <c r="CM1145" i="5"/>
  <c r="CM1146" i="5"/>
  <c r="CM1147" i="5"/>
  <c r="CM1148" i="5"/>
  <c r="CM1149" i="5"/>
  <c r="CM1150" i="5"/>
  <c r="CM1151" i="5"/>
  <c r="CM1152" i="5"/>
  <c r="CM1153" i="5"/>
  <c r="CM1154" i="5"/>
  <c r="CM1155" i="5"/>
  <c r="CM1156" i="5"/>
  <c r="CM1157" i="5"/>
  <c r="CM1158" i="5"/>
  <c r="CM1159" i="5"/>
  <c r="CM1160" i="5"/>
  <c r="CM1161" i="5"/>
  <c r="CM1162" i="5"/>
  <c r="CM1163" i="5"/>
  <c r="CM1164" i="5"/>
  <c r="CM1165" i="5"/>
  <c r="CM1166" i="5"/>
  <c r="CM1167" i="5"/>
  <c r="CM1168" i="5"/>
  <c r="CM1169" i="5"/>
  <c r="CM1170" i="5"/>
  <c r="CM1171" i="5"/>
  <c r="CM1172" i="5"/>
  <c r="CM1173" i="5"/>
  <c r="CM1174" i="5"/>
  <c r="CM1175" i="5"/>
  <c r="CM1176" i="5"/>
  <c r="CM1177" i="5"/>
  <c r="CM1178" i="5"/>
  <c r="CM1179" i="5"/>
  <c r="CM1180" i="5"/>
  <c r="CM1181" i="5"/>
  <c r="CM1182" i="5"/>
  <c r="CM1183" i="5"/>
  <c r="CM1184" i="5"/>
  <c r="CM1185" i="5"/>
  <c r="CM1186" i="5"/>
  <c r="CM1187" i="5"/>
  <c r="CM1188" i="5"/>
  <c r="CM1189" i="5"/>
  <c r="CM1190" i="5"/>
  <c r="CM1191" i="5"/>
  <c r="CM1192" i="5"/>
  <c r="CM1193" i="5"/>
  <c r="CM1194" i="5"/>
  <c r="CM1195" i="5"/>
  <c r="CM1196" i="5"/>
  <c r="CM1197" i="5"/>
  <c r="CM1198" i="5"/>
  <c r="CM1199" i="5"/>
  <c r="CM1200" i="5"/>
  <c r="CM1201" i="5"/>
  <c r="CM1202" i="5"/>
  <c r="CM1203" i="5"/>
  <c r="CM1204" i="5"/>
  <c r="CM1205" i="5"/>
  <c r="CM1206" i="5"/>
  <c r="CM1207" i="5"/>
  <c r="CM1208" i="5"/>
  <c r="CM1209" i="5"/>
  <c r="CM1210" i="5"/>
  <c r="CM1211" i="5"/>
  <c r="CM1212" i="5"/>
  <c r="CM1213" i="5"/>
  <c r="CM1214" i="5"/>
  <c r="CM1215" i="5"/>
  <c r="CM1216" i="5"/>
  <c r="CM1217" i="5"/>
  <c r="CM1218" i="5"/>
  <c r="CM1219" i="5"/>
  <c r="CM1220" i="5"/>
  <c r="CM1221" i="5"/>
  <c r="CM1222" i="5"/>
  <c r="CM1223" i="5"/>
  <c r="CM1224" i="5"/>
  <c r="CM1225" i="5"/>
  <c r="CM1226" i="5"/>
  <c r="CM1227" i="5"/>
  <c r="CM1228" i="5"/>
  <c r="CM1229" i="5"/>
  <c r="CM1230" i="5"/>
  <c r="CM1231" i="5"/>
  <c r="CM1232" i="5"/>
  <c r="CM1233" i="5"/>
  <c r="CM1234" i="5"/>
  <c r="CM1235" i="5"/>
  <c r="CM1236" i="5"/>
  <c r="CM1237" i="5"/>
  <c r="CM1238" i="5"/>
  <c r="CM1239" i="5"/>
  <c r="CM1240" i="5"/>
  <c r="CM1241" i="5"/>
  <c r="CM1242" i="5"/>
  <c r="CM1243" i="5"/>
  <c r="CM1244" i="5"/>
  <c r="CM1245" i="5"/>
  <c r="CM1246" i="5"/>
  <c r="CM1247" i="5"/>
  <c r="CM1248" i="5"/>
  <c r="CM1249" i="5"/>
  <c r="CM1250" i="5"/>
  <c r="CM1251" i="5"/>
  <c r="CM1252" i="5"/>
  <c r="CM1253" i="5"/>
  <c r="CM1254" i="5"/>
  <c r="CM1255" i="5"/>
  <c r="CM1256" i="5"/>
  <c r="CM1257" i="5"/>
  <c r="CM1258" i="5"/>
  <c r="CM1259" i="5"/>
  <c r="CM1260" i="5"/>
  <c r="CM1261" i="5"/>
  <c r="CM1262" i="5"/>
  <c r="CM1263" i="5"/>
  <c r="CM1264" i="5"/>
  <c r="CM1265" i="5"/>
  <c r="CM1266" i="5"/>
  <c r="CM1267" i="5"/>
  <c r="CM1268" i="5"/>
  <c r="CM1269" i="5"/>
  <c r="CM1270" i="5"/>
  <c r="CM1271" i="5"/>
  <c r="CM1272" i="5"/>
  <c r="CM1273" i="5"/>
  <c r="CM1274" i="5"/>
  <c r="CM1275" i="5"/>
  <c r="CM1276" i="5"/>
  <c r="CM1277" i="5"/>
  <c r="CM1278" i="5"/>
  <c r="CM1279" i="5"/>
  <c r="CM1280" i="5"/>
  <c r="CM1281" i="5"/>
  <c r="CM1282" i="5"/>
  <c r="CM1283" i="5"/>
  <c r="CM1284" i="5"/>
  <c r="CM1285" i="5"/>
  <c r="CM1286" i="5"/>
  <c r="CM1287" i="5"/>
  <c r="CM1288" i="5"/>
  <c r="CM1289" i="5"/>
  <c r="CM1290" i="5"/>
  <c r="CM1291" i="5"/>
  <c r="CM1292" i="5"/>
  <c r="CM1293" i="5"/>
  <c r="CM1294" i="5"/>
  <c r="CM1295" i="5"/>
  <c r="CM1296" i="5"/>
  <c r="CM1297" i="5"/>
  <c r="CM1298" i="5"/>
  <c r="CM1299" i="5"/>
  <c r="CM1300" i="5"/>
  <c r="CM1301" i="5"/>
  <c r="CM1302" i="5"/>
  <c r="CM1303" i="5"/>
  <c r="CM1304" i="5"/>
  <c r="CM1305" i="5"/>
  <c r="CM1306" i="5"/>
  <c r="CM1307" i="5"/>
  <c r="CM1308" i="5"/>
  <c r="CM1309" i="5"/>
  <c r="CM1310" i="5"/>
  <c r="CM1311" i="5"/>
  <c r="CM1312" i="5"/>
  <c r="CM1313" i="5"/>
  <c r="CM1314" i="5"/>
  <c r="CM1315" i="5"/>
  <c r="CM1316" i="5"/>
  <c r="CM1317" i="5"/>
  <c r="CM1318" i="5"/>
  <c r="CM1319" i="5"/>
  <c r="CM1320" i="5"/>
  <c r="CM1321" i="5"/>
  <c r="CM1322" i="5"/>
  <c r="CM1323" i="5"/>
  <c r="CM1324" i="5"/>
  <c r="CM1325" i="5"/>
  <c r="CM1326" i="5"/>
  <c r="CM1327" i="5"/>
  <c r="CM1328" i="5"/>
  <c r="CM1329" i="5"/>
  <c r="CM1330" i="5"/>
  <c r="CM1331" i="5"/>
  <c r="CM1332" i="5"/>
  <c r="CM1333" i="5"/>
  <c r="CM1334" i="5"/>
  <c r="CM2" i="5"/>
  <c r="CL3" i="5"/>
  <c r="CL4" i="5"/>
  <c r="CL5" i="5"/>
  <c r="CL6" i="5"/>
  <c r="CL7" i="5"/>
  <c r="CL8" i="5"/>
  <c r="CL1341" i="5" s="1"/>
  <c r="CL1342" i="5" s="1"/>
  <c r="CL9" i="5"/>
  <c r="CL10" i="5"/>
  <c r="CL11" i="5"/>
  <c r="CL12" i="5"/>
  <c r="CL13" i="5"/>
  <c r="CL14" i="5"/>
  <c r="CL15" i="5"/>
  <c r="CL16" i="5"/>
  <c r="CL17" i="5"/>
  <c r="CL18" i="5"/>
  <c r="CL19" i="5"/>
  <c r="CL20" i="5"/>
  <c r="CL21" i="5"/>
  <c r="CL22" i="5"/>
  <c r="CL23" i="5"/>
  <c r="CL24" i="5"/>
  <c r="CL25" i="5"/>
  <c r="CL26" i="5"/>
  <c r="CL27" i="5"/>
  <c r="CL28" i="5"/>
  <c r="CL29" i="5"/>
  <c r="CL30" i="5"/>
  <c r="CL31" i="5"/>
  <c r="CL32" i="5"/>
  <c r="CL33" i="5"/>
  <c r="CL34" i="5"/>
  <c r="CL35" i="5"/>
  <c r="CL36" i="5"/>
  <c r="CL37" i="5"/>
  <c r="CL38" i="5"/>
  <c r="CL39" i="5"/>
  <c r="CL40" i="5"/>
  <c r="CL41" i="5"/>
  <c r="CL42" i="5"/>
  <c r="CL43" i="5"/>
  <c r="CL44" i="5"/>
  <c r="CL45" i="5"/>
  <c r="CL46" i="5"/>
  <c r="CL47" i="5"/>
  <c r="CL48" i="5"/>
  <c r="CL49" i="5"/>
  <c r="CL50" i="5"/>
  <c r="CL51" i="5"/>
  <c r="CL52" i="5"/>
  <c r="CL53" i="5"/>
  <c r="CL54" i="5"/>
  <c r="CL55" i="5"/>
  <c r="CL56" i="5"/>
  <c r="CL57" i="5"/>
  <c r="CL58" i="5"/>
  <c r="CL59" i="5"/>
  <c r="CL60" i="5"/>
  <c r="CL61" i="5"/>
  <c r="CL62" i="5"/>
  <c r="CL63" i="5"/>
  <c r="CL64" i="5"/>
  <c r="CL65" i="5"/>
  <c r="CL66" i="5"/>
  <c r="CL67" i="5"/>
  <c r="CL68" i="5"/>
  <c r="CL69" i="5"/>
  <c r="CL70" i="5"/>
  <c r="CL71" i="5"/>
  <c r="CL72" i="5"/>
  <c r="CL73" i="5"/>
  <c r="CL74" i="5"/>
  <c r="CL75" i="5"/>
  <c r="CL76" i="5"/>
  <c r="CL77" i="5"/>
  <c r="CL78" i="5"/>
  <c r="CL79" i="5"/>
  <c r="CL80" i="5"/>
  <c r="CL81" i="5"/>
  <c r="CL82" i="5"/>
  <c r="CL83" i="5"/>
  <c r="CL84" i="5"/>
  <c r="CL85" i="5"/>
  <c r="CL86" i="5"/>
  <c r="CL87" i="5"/>
  <c r="CL88" i="5"/>
  <c r="CL89" i="5"/>
  <c r="CL90" i="5"/>
  <c r="CL91" i="5"/>
  <c r="CL92" i="5"/>
  <c r="CL93" i="5"/>
  <c r="CL94" i="5"/>
  <c r="CL95" i="5"/>
  <c r="CL96" i="5"/>
  <c r="CL97" i="5"/>
  <c r="CL98" i="5"/>
  <c r="CL99" i="5"/>
  <c r="CL100" i="5"/>
  <c r="CL101" i="5"/>
  <c r="CL102" i="5"/>
  <c r="CL103" i="5"/>
  <c r="CL104" i="5"/>
  <c r="CL105" i="5"/>
  <c r="CL106" i="5"/>
  <c r="CL107" i="5"/>
  <c r="CL108" i="5"/>
  <c r="CL109" i="5"/>
  <c r="CL110" i="5"/>
  <c r="CL111" i="5"/>
  <c r="CL112" i="5"/>
  <c r="CL113" i="5"/>
  <c r="CL114" i="5"/>
  <c r="CL115" i="5"/>
  <c r="CL116" i="5"/>
  <c r="CL117" i="5"/>
  <c r="CL118" i="5"/>
  <c r="CL119" i="5"/>
  <c r="CL120" i="5"/>
  <c r="CL121" i="5"/>
  <c r="CL122" i="5"/>
  <c r="CL123" i="5"/>
  <c r="CL124" i="5"/>
  <c r="CL125" i="5"/>
  <c r="CL126" i="5"/>
  <c r="CL127" i="5"/>
  <c r="CL128" i="5"/>
  <c r="CL129" i="5"/>
  <c r="CL130" i="5"/>
  <c r="CL131" i="5"/>
  <c r="CL132" i="5"/>
  <c r="CL133" i="5"/>
  <c r="CL134" i="5"/>
  <c r="CL135" i="5"/>
  <c r="CL136" i="5"/>
  <c r="CL137" i="5"/>
  <c r="CL138" i="5"/>
  <c r="CL139" i="5"/>
  <c r="CL140" i="5"/>
  <c r="CL141" i="5"/>
  <c r="CL142" i="5"/>
  <c r="CL143" i="5"/>
  <c r="CL144" i="5"/>
  <c r="CL145" i="5"/>
  <c r="CL146" i="5"/>
  <c r="CL147" i="5"/>
  <c r="CL148" i="5"/>
  <c r="CL149" i="5"/>
  <c r="CL150" i="5"/>
  <c r="CL151" i="5"/>
  <c r="CL152" i="5"/>
  <c r="CL153" i="5"/>
  <c r="CL154" i="5"/>
  <c r="CL155" i="5"/>
  <c r="CL156" i="5"/>
  <c r="CL157" i="5"/>
  <c r="CL158" i="5"/>
  <c r="CL159" i="5"/>
  <c r="CL160" i="5"/>
  <c r="CL161" i="5"/>
  <c r="CL162" i="5"/>
  <c r="CL163" i="5"/>
  <c r="CL164" i="5"/>
  <c r="CL165" i="5"/>
  <c r="CL166" i="5"/>
  <c r="CL167" i="5"/>
  <c r="CL168" i="5"/>
  <c r="CL169" i="5"/>
  <c r="CL170" i="5"/>
  <c r="CL171" i="5"/>
  <c r="CL172" i="5"/>
  <c r="CL173" i="5"/>
  <c r="CL174" i="5"/>
  <c r="CL175" i="5"/>
  <c r="CL176" i="5"/>
  <c r="CL177" i="5"/>
  <c r="CL178" i="5"/>
  <c r="CL179" i="5"/>
  <c r="CL180" i="5"/>
  <c r="CL181" i="5"/>
  <c r="CL182" i="5"/>
  <c r="CL183" i="5"/>
  <c r="CL184" i="5"/>
  <c r="CL185" i="5"/>
  <c r="CL186" i="5"/>
  <c r="CL187" i="5"/>
  <c r="CL188" i="5"/>
  <c r="CL189" i="5"/>
  <c r="CL190" i="5"/>
  <c r="CL191" i="5"/>
  <c r="CL192" i="5"/>
  <c r="CL193" i="5"/>
  <c r="CL194" i="5"/>
  <c r="CL195" i="5"/>
  <c r="CL196" i="5"/>
  <c r="CL197" i="5"/>
  <c r="CL198" i="5"/>
  <c r="CL199" i="5"/>
  <c r="CL200" i="5"/>
  <c r="CL201" i="5"/>
  <c r="CL202" i="5"/>
  <c r="CL203" i="5"/>
  <c r="CL204" i="5"/>
  <c r="CL205" i="5"/>
  <c r="CL206" i="5"/>
  <c r="CL207" i="5"/>
  <c r="CL208" i="5"/>
  <c r="CL209" i="5"/>
  <c r="CL210" i="5"/>
  <c r="CL211" i="5"/>
  <c r="CL212" i="5"/>
  <c r="CL213" i="5"/>
  <c r="CL214" i="5"/>
  <c r="CL215" i="5"/>
  <c r="CL216" i="5"/>
  <c r="CL217" i="5"/>
  <c r="CL218" i="5"/>
  <c r="CL219" i="5"/>
  <c r="CL220" i="5"/>
  <c r="CL221" i="5"/>
  <c r="CL222" i="5"/>
  <c r="CL223" i="5"/>
  <c r="CL224" i="5"/>
  <c r="CL225" i="5"/>
  <c r="CL226" i="5"/>
  <c r="CL227" i="5"/>
  <c r="CL228" i="5"/>
  <c r="CL229" i="5"/>
  <c r="CL230" i="5"/>
  <c r="CL231" i="5"/>
  <c r="CL232" i="5"/>
  <c r="CL233" i="5"/>
  <c r="CL234" i="5"/>
  <c r="CL235" i="5"/>
  <c r="CL236" i="5"/>
  <c r="CL237" i="5"/>
  <c r="CL238" i="5"/>
  <c r="CL239" i="5"/>
  <c r="CL240" i="5"/>
  <c r="CL241" i="5"/>
  <c r="CL242" i="5"/>
  <c r="CL243" i="5"/>
  <c r="CL244" i="5"/>
  <c r="CL245" i="5"/>
  <c r="CL246" i="5"/>
  <c r="CL247" i="5"/>
  <c r="CL248" i="5"/>
  <c r="CL249" i="5"/>
  <c r="CL250" i="5"/>
  <c r="CL251" i="5"/>
  <c r="CL252" i="5"/>
  <c r="CL253" i="5"/>
  <c r="CL254" i="5"/>
  <c r="CL255" i="5"/>
  <c r="CL256" i="5"/>
  <c r="CL257" i="5"/>
  <c r="CL258" i="5"/>
  <c r="CL259" i="5"/>
  <c r="CL260" i="5"/>
  <c r="CL261" i="5"/>
  <c r="CL262" i="5"/>
  <c r="CL263" i="5"/>
  <c r="CL264" i="5"/>
  <c r="CL265" i="5"/>
  <c r="CL266" i="5"/>
  <c r="CL267" i="5"/>
  <c r="CL268" i="5"/>
  <c r="CL269" i="5"/>
  <c r="CL270" i="5"/>
  <c r="CL271" i="5"/>
  <c r="CL272" i="5"/>
  <c r="CL273" i="5"/>
  <c r="CL274" i="5"/>
  <c r="CL275" i="5"/>
  <c r="CL276" i="5"/>
  <c r="CL277" i="5"/>
  <c r="CL278" i="5"/>
  <c r="CL279" i="5"/>
  <c r="CL280" i="5"/>
  <c r="CL281" i="5"/>
  <c r="CL282" i="5"/>
  <c r="CL283" i="5"/>
  <c r="CL284" i="5"/>
  <c r="CL285" i="5"/>
  <c r="CL286" i="5"/>
  <c r="CL287" i="5"/>
  <c r="CL288" i="5"/>
  <c r="CL289" i="5"/>
  <c r="CL290" i="5"/>
  <c r="CL291" i="5"/>
  <c r="CL292" i="5"/>
  <c r="CL293" i="5"/>
  <c r="CL294" i="5"/>
  <c r="CL295" i="5"/>
  <c r="CL296" i="5"/>
  <c r="CL297" i="5"/>
  <c r="CL298" i="5"/>
  <c r="CL299" i="5"/>
  <c r="CL300" i="5"/>
  <c r="CL301" i="5"/>
  <c r="CL302" i="5"/>
  <c r="CL303" i="5"/>
  <c r="CL304" i="5"/>
  <c r="CL305" i="5"/>
  <c r="CL306" i="5"/>
  <c r="CL307" i="5"/>
  <c r="CL308" i="5"/>
  <c r="CL309" i="5"/>
  <c r="CL310" i="5"/>
  <c r="CL311" i="5"/>
  <c r="CL312" i="5"/>
  <c r="CL313" i="5"/>
  <c r="CL314" i="5"/>
  <c r="CL315" i="5"/>
  <c r="CL316" i="5"/>
  <c r="CL317" i="5"/>
  <c r="CL318" i="5"/>
  <c r="CL319" i="5"/>
  <c r="CL320" i="5"/>
  <c r="CL321" i="5"/>
  <c r="CL322" i="5"/>
  <c r="CL323" i="5"/>
  <c r="CL324" i="5"/>
  <c r="CL325" i="5"/>
  <c r="CL326" i="5"/>
  <c r="CL327" i="5"/>
  <c r="CL328" i="5"/>
  <c r="CL329" i="5"/>
  <c r="CL330" i="5"/>
  <c r="CL331" i="5"/>
  <c r="CL332" i="5"/>
  <c r="CL333" i="5"/>
  <c r="CL334" i="5"/>
  <c r="CL335" i="5"/>
  <c r="CL336" i="5"/>
  <c r="CL337" i="5"/>
  <c r="CL338" i="5"/>
  <c r="CL339" i="5"/>
  <c r="CL340" i="5"/>
  <c r="CL341" i="5"/>
  <c r="CL342" i="5"/>
  <c r="CL343" i="5"/>
  <c r="CL344" i="5"/>
  <c r="CL345" i="5"/>
  <c r="CL346" i="5"/>
  <c r="CL347" i="5"/>
  <c r="CL348" i="5"/>
  <c r="CL349" i="5"/>
  <c r="CL350" i="5"/>
  <c r="CL351" i="5"/>
  <c r="CL352" i="5"/>
  <c r="CL353" i="5"/>
  <c r="CL354" i="5"/>
  <c r="CL355" i="5"/>
  <c r="CL356" i="5"/>
  <c r="CL357" i="5"/>
  <c r="CL358" i="5"/>
  <c r="CL359" i="5"/>
  <c r="CL360" i="5"/>
  <c r="CL361" i="5"/>
  <c r="CL362" i="5"/>
  <c r="CL363" i="5"/>
  <c r="CL364" i="5"/>
  <c r="CL365" i="5"/>
  <c r="CL366" i="5"/>
  <c r="CL367" i="5"/>
  <c r="CL368" i="5"/>
  <c r="CL369" i="5"/>
  <c r="CL370" i="5"/>
  <c r="CL371" i="5"/>
  <c r="CL372" i="5"/>
  <c r="CL373" i="5"/>
  <c r="CL374" i="5"/>
  <c r="CL375" i="5"/>
  <c r="CL376" i="5"/>
  <c r="CL377" i="5"/>
  <c r="CL378" i="5"/>
  <c r="CL379" i="5"/>
  <c r="CL380" i="5"/>
  <c r="CL381" i="5"/>
  <c r="CL382" i="5"/>
  <c r="CL383" i="5"/>
  <c r="CL384" i="5"/>
  <c r="CL385" i="5"/>
  <c r="CL386" i="5"/>
  <c r="CL387" i="5"/>
  <c r="CL388" i="5"/>
  <c r="CL389" i="5"/>
  <c r="CL390" i="5"/>
  <c r="CL391" i="5"/>
  <c r="CL392" i="5"/>
  <c r="CL393" i="5"/>
  <c r="CL394" i="5"/>
  <c r="CL395" i="5"/>
  <c r="CL396" i="5"/>
  <c r="CL397" i="5"/>
  <c r="CL398" i="5"/>
  <c r="CL399" i="5"/>
  <c r="CL400" i="5"/>
  <c r="CL401" i="5"/>
  <c r="CL402" i="5"/>
  <c r="CL403" i="5"/>
  <c r="CL404" i="5"/>
  <c r="CL405" i="5"/>
  <c r="CL406" i="5"/>
  <c r="CL407" i="5"/>
  <c r="CL408" i="5"/>
  <c r="CL409" i="5"/>
  <c r="CL410" i="5"/>
  <c r="CL411" i="5"/>
  <c r="CL412" i="5"/>
  <c r="CL413" i="5"/>
  <c r="CL414" i="5"/>
  <c r="CL415" i="5"/>
  <c r="CL416" i="5"/>
  <c r="CL417" i="5"/>
  <c r="CL418" i="5"/>
  <c r="CL419" i="5"/>
  <c r="CL420" i="5"/>
  <c r="CL421" i="5"/>
  <c r="CL422" i="5"/>
  <c r="CL423" i="5"/>
  <c r="CL424" i="5"/>
  <c r="CL425" i="5"/>
  <c r="CL426" i="5"/>
  <c r="CL427" i="5"/>
  <c r="CL428" i="5"/>
  <c r="CL429" i="5"/>
  <c r="CL430" i="5"/>
  <c r="CL431" i="5"/>
  <c r="CL432" i="5"/>
  <c r="CL433" i="5"/>
  <c r="CL434" i="5"/>
  <c r="CL435" i="5"/>
  <c r="CL436" i="5"/>
  <c r="CL437" i="5"/>
  <c r="CL438" i="5"/>
  <c r="CL439" i="5"/>
  <c r="CL440" i="5"/>
  <c r="CL441" i="5"/>
  <c r="CL442" i="5"/>
  <c r="CL443" i="5"/>
  <c r="CL444" i="5"/>
  <c r="CL445" i="5"/>
  <c r="CL446" i="5"/>
  <c r="CL447" i="5"/>
  <c r="CL448" i="5"/>
  <c r="CL449" i="5"/>
  <c r="CL450" i="5"/>
  <c r="CL451" i="5"/>
  <c r="CL452" i="5"/>
  <c r="CL453" i="5"/>
  <c r="CL454" i="5"/>
  <c r="CL455" i="5"/>
  <c r="CL456" i="5"/>
  <c r="CL457" i="5"/>
  <c r="CL458" i="5"/>
  <c r="CL459" i="5"/>
  <c r="CL460" i="5"/>
  <c r="CL461" i="5"/>
  <c r="CL462" i="5"/>
  <c r="CL463" i="5"/>
  <c r="CL464" i="5"/>
  <c r="CL465" i="5"/>
  <c r="CL466" i="5"/>
  <c r="CL467" i="5"/>
  <c r="CL468" i="5"/>
  <c r="CL469" i="5"/>
  <c r="CL470" i="5"/>
  <c r="CL471" i="5"/>
  <c r="CL472" i="5"/>
  <c r="CL473" i="5"/>
  <c r="CL474" i="5"/>
  <c r="CL475" i="5"/>
  <c r="CL476" i="5"/>
  <c r="CL477" i="5"/>
  <c r="CL478" i="5"/>
  <c r="CL479" i="5"/>
  <c r="CL480" i="5"/>
  <c r="CL481" i="5"/>
  <c r="CL482" i="5"/>
  <c r="CL483" i="5"/>
  <c r="CL484" i="5"/>
  <c r="CL485" i="5"/>
  <c r="CL486" i="5"/>
  <c r="CL487" i="5"/>
  <c r="CL488" i="5"/>
  <c r="CL489" i="5"/>
  <c r="CL490" i="5"/>
  <c r="CL491" i="5"/>
  <c r="CL492" i="5"/>
  <c r="CL493" i="5"/>
  <c r="CL494" i="5"/>
  <c r="CL495" i="5"/>
  <c r="CL496" i="5"/>
  <c r="CL497" i="5"/>
  <c r="CL498" i="5"/>
  <c r="CL499" i="5"/>
  <c r="CL500" i="5"/>
  <c r="CL501" i="5"/>
  <c r="CL502" i="5"/>
  <c r="CL503" i="5"/>
  <c r="CL504" i="5"/>
  <c r="CL505" i="5"/>
  <c r="CL506" i="5"/>
  <c r="CL507" i="5"/>
  <c r="CL508" i="5"/>
  <c r="CL509" i="5"/>
  <c r="CL510" i="5"/>
  <c r="CL511" i="5"/>
  <c r="CL512" i="5"/>
  <c r="CL513" i="5"/>
  <c r="CL514" i="5"/>
  <c r="CL515" i="5"/>
  <c r="CL516" i="5"/>
  <c r="CL517" i="5"/>
  <c r="CL518" i="5"/>
  <c r="CL519" i="5"/>
  <c r="CL520" i="5"/>
  <c r="CL521" i="5"/>
  <c r="CL522" i="5"/>
  <c r="CL523" i="5"/>
  <c r="CL524" i="5"/>
  <c r="CL525" i="5"/>
  <c r="CL526" i="5"/>
  <c r="CL527" i="5"/>
  <c r="CL528" i="5"/>
  <c r="CL529" i="5"/>
  <c r="CL530" i="5"/>
  <c r="CL531" i="5"/>
  <c r="CL532" i="5"/>
  <c r="CL533" i="5"/>
  <c r="CL534" i="5"/>
  <c r="CL535" i="5"/>
  <c r="CL536" i="5"/>
  <c r="CL537" i="5"/>
  <c r="CL538" i="5"/>
  <c r="CL539" i="5"/>
  <c r="CL540" i="5"/>
  <c r="CL541" i="5"/>
  <c r="CL542" i="5"/>
  <c r="CL543" i="5"/>
  <c r="CL544" i="5"/>
  <c r="CL545" i="5"/>
  <c r="CL546" i="5"/>
  <c r="CL547" i="5"/>
  <c r="CL548" i="5"/>
  <c r="CL549" i="5"/>
  <c r="CL550" i="5"/>
  <c r="CL551" i="5"/>
  <c r="CL552" i="5"/>
  <c r="CL553" i="5"/>
  <c r="CL554" i="5"/>
  <c r="CL555" i="5"/>
  <c r="CL556" i="5"/>
  <c r="CL557" i="5"/>
  <c r="CL558" i="5"/>
  <c r="CL559" i="5"/>
  <c r="CL560" i="5"/>
  <c r="CL561" i="5"/>
  <c r="CL562" i="5"/>
  <c r="CL563" i="5"/>
  <c r="CL564" i="5"/>
  <c r="CL565" i="5"/>
  <c r="CL566" i="5"/>
  <c r="CL567" i="5"/>
  <c r="CL568" i="5"/>
  <c r="CL569" i="5"/>
  <c r="CL570" i="5"/>
  <c r="CL571" i="5"/>
  <c r="CL572" i="5"/>
  <c r="CL573" i="5"/>
  <c r="CL574" i="5"/>
  <c r="CL575" i="5"/>
  <c r="CL576" i="5"/>
  <c r="CL577" i="5"/>
  <c r="CL578" i="5"/>
  <c r="CL579" i="5"/>
  <c r="CL580" i="5"/>
  <c r="CL581" i="5"/>
  <c r="CL582" i="5"/>
  <c r="CL583" i="5"/>
  <c r="CL584" i="5"/>
  <c r="CL585" i="5"/>
  <c r="CL586" i="5"/>
  <c r="CL587" i="5"/>
  <c r="CL588" i="5"/>
  <c r="CL589" i="5"/>
  <c r="CL590" i="5"/>
  <c r="CL591" i="5"/>
  <c r="CL592" i="5"/>
  <c r="CL593" i="5"/>
  <c r="CL594" i="5"/>
  <c r="CL595" i="5"/>
  <c r="CL596" i="5"/>
  <c r="CL597" i="5"/>
  <c r="CL598" i="5"/>
  <c r="CL599" i="5"/>
  <c r="CL600" i="5"/>
  <c r="CL601" i="5"/>
  <c r="CL602" i="5"/>
  <c r="CL603" i="5"/>
  <c r="CL604" i="5"/>
  <c r="CL605" i="5"/>
  <c r="CL606" i="5"/>
  <c r="CL607" i="5"/>
  <c r="CL608" i="5"/>
  <c r="CL609" i="5"/>
  <c r="CL610" i="5"/>
  <c r="CL611" i="5"/>
  <c r="CL612" i="5"/>
  <c r="CL613" i="5"/>
  <c r="CL614" i="5"/>
  <c r="CL615" i="5"/>
  <c r="CL616" i="5"/>
  <c r="CL617" i="5"/>
  <c r="CL618" i="5"/>
  <c r="CL619" i="5"/>
  <c r="CL620" i="5"/>
  <c r="CL621" i="5"/>
  <c r="CL622" i="5"/>
  <c r="CL623" i="5"/>
  <c r="CL624" i="5"/>
  <c r="CL625" i="5"/>
  <c r="CL626" i="5"/>
  <c r="CL627" i="5"/>
  <c r="CL628" i="5"/>
  <c r="CL629" i="5"/>
  <c r="CL630" i="5"/>
  <c r="CL631" i="5"/>
  <c r="CL632" i="5"/>
  <c r="CL633" i="5"/>
  <c r="CL634" i="5"/>
  <c r="CL635" i="5"/>
  <c r="CL636" i="5"/>
  <c r="CL637" i="5"/>
  <c r="CL638" i="5"/>
  <c r="CL639" i="5"/>
  <c r="CL640" i="5"/>
  <c r="CL641" i="5"/>
  <c r="CL642" i="5"/>
  <c r="CL643" i="5"/>
  <c r="CL644" i="5"/>
  <c r="CL645" i="5"/>
  <c r="CL646" i="5"/>
  <c r="CL647" i="5"/>
  <c r="CL648" i="5"/>
  <c r="CL649" i="5"/>
  <c r="CL650" i="5"/>
  <c r="CL651" i="5"/>
  <c r="CL652" i="5"/>
  <c r="CL653" i="5"/>
  <c r="CL654" i="5"/>
  <c r="CL655" i="5"/>
  <c r="CL656" i="5"/>
  <c r="CL657" i="5"/>
  <c r="CL658" i="5"/>
  <c r="CL659" i="5"/>
  <c r="CL660" i="5"/>
  <c r="CL661" i="5"/>
  <c r="CL662" i="5"/>
  <c r="CL663" i="5"/>
  <c r="CL664" i="5"/>
  <c r="CL665" i="5"/>
  <c r="CL666" i="5"/>
  <c r="CL667" i="5"/>
  <c r="CL668" i="5"/>
  <c r="CL669" i="5"/>
  <c r="CL670" i="5"/>
  <c r="CL671" i="5"/>
  <c r="CL672" i="5"/>
  <c r="CL673" i="5"/>
  <c r="CL674" i="5"/>
  <c r="CL675" i="5"/>
  <c r="CL676" i="5"/>
  <c r="CL677" i="5"/>
  <c r="CL678" i="5"/>
  <c r="CL679" i="5"/>
  <c r="CL680" i="5"/>
  <c r="CL681" i="5"/>
  <c r="CL682" i="5"/>
  <c r="CL683" i="5"/>
  <c r="CL684" i="5"/>
  <c r="CL685" i="5"/>
  <c r="CL686" i="5"/>
  <c r="CL687" i="5"/>
  <c r="CL688" i="5"/>
  <c r="CL689" i="5"/>
  <c r="CL690" i="5"/>
  <c r="CL691" i="5"/>
  <c r="CL692" i="5"/>
  <c r="CL693" i="5"/>
  <c r="CL694" i="5"/>
  <c r="CL695" i="5"/>
  <c r="CL696" i="5"/>
  <c r="CL697" i="5"/>
  <c r="CL698" i="5"/>
  <c r="CL699" i="5"/>
  <c r="CL700" i="5"/>
  <c r="CL701" i="5"/>
  <c r="CL702" i="5"/>
  <c r="CL703" i="5"/>
  <c r="CL704" i="5"/>
  <c r="CL705" i="5"/>
  <c r="CL706" i="5"/>
  <c r="CL707" i="5"/>
  <c r="CL708" i="5"/>
  <c r="CL709" i="5"/>
  <c r="CL710" i="5"/>
  <c r="CL711" i="5"/>
  <c r="CL712" i="5"/>
  <c r="CL713" i="5"/>
  <c r="CL714" i="5"/>
  <c r="CL715" i="5"/>
  <c r="CL716" i="5"/>
  <c r="CL717" i="5"/>
  <c r="CL718" i="5"/>
  <c r="CL719" i="5"/>
  <c r="CL720" i="5"/>
  <c r="CL721" i="5"/>
  <c r="CL722" i="5"/>
  <c r="CL723" i="5"/>
  <c r="CL724" i="5"/>
  <c r="CL725" i="5"/>
  <c r="CL726" i="5"/>
  <c r="CL727" i="5"/>
  <c r="CL728" i="5"/>
  <c r="CL729" i="5"/>
  <c r="CL730" i="5"/>
  <c r="CL731" i="5"/>
  <c r="CL732" i="5"/>
  <c r="CL733" i="5"/>
  <c r="CL734" i="5"/>
  <c r="CL735" i="5"/>
  <c r="CL736" i="5"/>
  <c r="CL737" i="5"/>
  <c r="CL738" i="5"/>
  <c r="CL739" i="5"/>
  <c r="CL740" i="5"/>
  <c r="CL741" i="5"/>
  <c r="CL742" i="5"/>
  <c r="CL743" i="5"/>
  <c r="CL744" i="5"/>
  <c r="CL745" i="5"/>
  <c r="CL746" i="5"/>
  <c r="CL747" i="5"/>
  <c r="CL748" i="5"/>
  <c r="CL749" i="5"/>
  <c r="CL750" i="5"/>
  <c r="CL751" i="5"/>
  <c r="CL752" i="5"/>
  <c r="CL753" i="5"/>
  <c r="CL754" i="5"/>
  <c r="CL755" i="5"/>
  <c r="CL756" i="5"/>
  <c r="CL757" i="5"/>
  <c r="CL758" i="5"/>
  <c r="CL759" i="5"/>
  <c r="CL760" i="5"/>
  <c r="CL761" i="5"/>
  <c r="CL762" i="5"/>
  <c r="CL763" i="5"/>
  <c r="CL764" i="5"/>
  <c r="CL765" i="5"/>
  <c r="CL766" i="5"/>
  <c r="CL767" i="5"/>
  <c r="CL768" i="5"/>
  <c r="CL769" i="5"/>
  <c r="CL770" i="5"/>
  <c r="CL771" i="5"/>
  <c r="CL772" i="5"/>
  <c r="CL773" i="5"/>
  <c r="CL774" i="5"/>
  <c r="CL775" i="5"/>
  <c r="CL776" i="5"/>
  <c r="CL777" i="5"/>
  <c r="CL778" i="5"/>
  <c r="CL779" i="5"/>
  <c r="CL780" i="5"/>
  <c r="CL781" i="5"/>
  <c r="CL782" i="5"/>
  <c r="CL783" i="5"/>
  <c r="CL784" i="5"/>
  <c r="CL785" i="5"/>
  <c r="CL786" i="5"/>
  <c r="CL787" i="5"/>
  <c r="CL788" i="5"/>
  <c r="CL789" i="5"/>
  <c r="CL790" i="5"/>
  <c r="CL791" i="5"/>
  <c r="CL792" i="5"/>
  <c r="CL793" i="5"/>
  <c r="CL794" i="5"/>
  <c r="CL795" i="5"/>
  <c r="CL796" i="5"/>
  <c r="CL797" i="5"/>
  <c r="CL798" i="5"/>
  <c r="CL799" i="5"/>
  <c r="CL800" i="5"/>
  <c r="CL801" i="5"/>
  <c r="CL802" i="5"/>
  <c r="CL803" i="5"/>
  <c r="CL804" i="5"/>
  <c r="CL805" i="5"/>
  <c r="CL806" i="5"/>
  <c r="CL807" i="5"/>
  <c r="CL808" i="5"/>
  <c r="CL809" i="5"/>
  <c r="CL810" i="5"/>
  <c r="CL811" i="5"/>
  <c r="CL812" i="5"/>
  <c r="CL813" i="5"/>
  <c r="CL814" i="5"/>
  <c r="CL815" i="5"/>
  <c r="CL816" i="5"/>
  <c r="CL817" i="5"/>
  <c r="CL818" i="5"/>
  <c r="CL819" i="5"/>
  <c r="CL820" i="5"/>
  <c r="CL821" i="5"/>
  <c r="CL822" i="5"/>
  <c r="CL823" i="5"/>
  <c r="CL824" i="5"/>
  <c r="CL825" i="5"/>
  <c r="CL826" i="5"/>
  <c r="CL827" i="5"/>
  <c r="CL828" i="5"/>
  <c r="CL829" i="5"/>
  <c r="CL830" i="5"/>
  <c r="CL831" i="5"/>
  <c r="CL832" i="5"/>
  <c r="CL833" i="5"/>
  <c r="CL834" i="5"/>
  <c r="CL835" i="5"/>
  <c r="CL836" i="5"/>
  <c r="CL837" i="5"/>
  <c r="CL838" i="5"/>
  <c r="CL839" i="5"/>
  <c r="CL840" i="5"/>
  <c r="CL841" i="5"/>
  <c r="CL842" i="5"/>
  <c r="CL843" i="5"/>
  <c r="CL844" i="5"/>
  <c r="CL845" i="5"/>
  <c r="CL846" i="5"/>
  <c r="CL847" i="5"/>
  <c r="CL848" i="5"/>
  <c r="CL849" i="5"/>
  <c r="CL850" i="5"/>
  <c r="CL851" i="5"/>
  <c r="CL852" i="5"/>
  <c r="CL853" i="5"/>
  <c r="CL854" i="5"/>
  <c r="CL855" i="5"/>
  <c r="CL856" i="5"/>
  <c r="CL857" i="5"/>
  <c r="CL858" i="5"/>
  <c r="CL859" i="5"/>
  <c r="CL860" i="5"/>
  <c r="CL861" i="5"/>
  <c r="CL862" i="5"/>
  <c r="CL863" i="5"/>
  <c r="CL864" i="5"/>
  <c r="CL865" i="5"/>
  <c r="CL866" i="5"/>
  <c r="CL867" i="5"/>
  <c r="CL868" i="5"/>
  <c r="CL869" i="5"/>
  <c r="CL870" i="5"/>
  <c r="CL871" i="5"/>
  <c r="CL872" i="5"/>
  <c r="CL873" i="5"/>
  <c r="CL874" i="5"/>
  <c r="CL875" i="5"/>
  <c r="CL876" i="5"/>
  <c r="CL877" i="5"/>
  <c r="CL878" i="5"/>
  <c r="CL879" i="5"/>
  <c r="CL880" i="5"/>
  <c r="CL881" i="5"/>
  <c r="CL882" i="5"/>
  <c r="CL883" i="5"/>
  <c r="CL884" i="5"/>
  <c r="CL885" i="5"/>
  <c r="CL886" i="5"/>
  <c r="CL887" i="5"/>
  <c r="CL888" i="5"/>
  <c r="CL889" i="5"/>
  <c r="CL890" i="5"/>
  <c r="CL891" i="5"/>
  <c r="CL892" i="5"/>
  <c r="CL893" i="5"/>
  <c r="CL894" i="5"/>
  <c r="CL895" i="5"/>
  <c r="CL896" i="5"/>
  <c r="CL897" i="5"/>
  <c r="CL898" i="5"/>
  <c r="CL899" i="5"/>
  <c r="CL900" i="5"/>
  <c r="CL901" i="5"/>
  <c r="CL902" i="5"/>
  <c r="CL903" i="5"/>
  <c r="CL904" i="5"/>
  <c r="CL905" i="5"/>
  <c r="CL906" i="5"/>
  <c r="CL907" i="5"/>
  <c r="CL908" i="5"/>
  <c r="CL909" i="5"/>
  <c r="CL910" i="5"/>
  <c r="CL911" i="5"/>
  <c r="CL912" i="5"/>
  <c r="CL913" i="5"/>
  <c r="CL914" i="5"/>
  <c r="CL915" i="5"/>
  <c r="CL916" i="5"/>
  <c r="CL917" i="5"/>
  <c r="CL918" i="5"/>
  <c r="CL919" i="5"/>
  <c r="CL920" i="5"/>
  <c r="CL921" i="5"/>
  <c r="CL922" i="5"/>
  <c r="CL923" i="5"/>
  <c r="CL924" i="5"/>
  <c r="CL925" i="5"/>
  <c r="CL926" i="5"/>
  <c r="CL927" i="5"/>
  <c r="CL928" i="5"/>
  <c r="CL929" i="5"/>
  <c r="CL930" i="5"/>
  <c r="CL931" i="5"/>
  <c r="CL932" i="5"/>
  <c r="CL933" i="5"/>
  <c r="CL934" i="5"/>
  <c r="CL935" i="5"/>
  <c r="CL936" i="5"/>
  <c r="CL937" i="5"/>
  <c r="CL938" i="5"/>
  <c r="CL939" i="5"/>
  <c r="CL940" i="5"/>
  <c r="CL941" i="5"/>
  <c r="CL942" i="5"/>
  <c r="CL943" i="5"/>
  <c r="CL944" i="5"/>
  <c r="CL945" i="5"/>
  <c r="CL946" i="5"/>
  <c r="CL947" i="5"/>
  <c r="CL948" i="5"/>
  <c r="CL949" i="5"/>
  <c r="CL950" i="5"/>
  <c r="CL951" i="5"/>
  <c r="CL952" i="5"/>
  <c r="CL953" i="5"/>
  <c r="CL954" i="5"/>
  <c r="CL955" i="5"/>
  <c r="CL956" i="5"/>
  <c r="CL957" i="5"/>
  <c r="CL958" i="5"/>
  <c r="CL959" i="5"/>
  <c r="CL960" i="5"/>
  <c r="CL961" i="5"/>
  <c r="CL962" i="5"/>
  <c r="CL963" i="5"/>
  <c r="CL964" i="5"/>
  <c r="CL965" i="5"/>
  <c r="CL966" i="5"/>
  <c r="CL967" i="5"/>
  <c r="CL968" i="5"/>
  <c r="CL969" i="5"/>
  <c r="CL970" i="5"/>
  <c r="CL971" i="5"/>
  <c r="CL972" i="5"/>
  <c r="CL973" i="5"/>
  <c r="CL974" i="5"/>
  <c r="CL975" i="5"/>
  <c r="CL976" i="5"/>
  <c r="CL977" i="5"/>
  <c r="CL978" i="5"/>
  <c r="CL979" i="5"/>
  <c r="CL980" i="5"/>
  <c r="CL981" i="5"/>
  <c r="CL982" i="5"/>
  <c r="CL983" i="5"/>
  <c r="CL984" i="5"/>
  <c r="CL985" i="5"/>
  <c r="CL986" i="5"/>
  <c r="CL987" i="5"/>
  <c r="CL988" i="5"/>
  <c r="CL989" i="5"/>
  <c r="CL990" i="5"/>
  <c r="CL991" i="5"/>
  <c r="CL992" i="5"/>
  <c r="CL993" i="5"/>
  <c r="CL994" i="5"/>
  <c r="CL995" i="5"/>
  <c r="CL996" i="5"/>
  <c r="CL997" i="5"/>
  <c r="CL998" i="5"/>
  <c r="CL999" i="5"/>
  <c r="CL1000" i="5"/>
  <c r="CL1001" i="5"/>
  <c r="CL1002" i="5"/>
  <c r="CL1003" i="5"/>
  <c r="CL1004" i="5"/>
  <c r="CL1005" i="5"/>
  <c r="CL1006" i="5"/>
  <c r="CL1007" i="5"/>
  <c r="CL1008" i="5"/>
  <c r="CL1009" i="5"/>
  <c r="CL1010" i="5"/>
  <c r="CL1011" i="5"/>
  <c r="CL1012" i="5"/>
  <c r="CL1013" i="5"/>
  <c r="CL1014" i="5"/>
  <c r="CL1015" i="5"/>
  <c r="CL1016" i="5"/>
  <c r="CL1017" i="5"/>
  <c r="CL1018" i="5"/>
  <c r="CL1019" i="5"/>
  <c r="CL1020" i="5"/>
  <c r="CL1021" i="5"/>
  <c r="CL1022" i="5"/>
  <c r="CL1023" i="5"/>
  <c r="CL1024" i="5"/>
  <c r="CL1025" i="5"/>
  <c r="CL1026" i="5"/>
  <c r="CL1027" i="5"/>
  <c r="CL1028" i="5"/>
  <c r="CL1029" i="5"/>
  <c r="CL1030" i="5"/>
  <c r="CL1031" i="5"/>
  <c r="CL1032" i="5"/>
  <c r="CL1033" i="5"/>
  <c r="CL1034" i="5"/>
  <c r="CL1035" i="5"/>
  <c r="CL1036" i="5"/>
  <c r="CL1037" i="5"/>
  <c r="CL1038" i="5"/>
  <c r="CL1039" i="5"/>
  <c r="CL1040" i="5"/>
  <c r="CL1041" i="5"/>
  <c r="CL1042" i="5"/>
  <c r="CL1043" i="5"/>
  <c r="CL1044" i="5"/>
  <c r="CL1045" i="5"/>
  <c r="CL1046" i="5"/>
  <c r="CL1047" i="5"/>
  <c r="CL1048" i="5"/>
  <c r="CL1049" i="5"/>
  <c r="CL1050" i="5"/>
  <c r="CL1051" i="5"/>
  <c r="CL1052" i="5"/>
  <c r="CL1053" i="5"/>
  <c r="CL1054" i="5"/>
  <c r="CL1055" i="5"/>
  <c r="CL1056" i="5"/>
  <c r="CL1057" i="5"/>
  <c r="CL1058" i="5"/>
  <c r="CL1059" i="5"/>
  <c r="CL1060" i="5"/>
  <c r="CL1061" i="5"/>
  <c r="CL1062" i="5"/>
  <c r="CL1063" i="5"/>
  <c r="CL1064" i="5"/>
  <c r="CL1065" i="5"/>
  <c r="CL1066" i="5"/>
  <c r="CL1067" i="5"/>
  <c r="CL1068" i="5"/>
  <c r="CL1069" i="5"/>
  <c r="CL1070" i="5"/>
  <c r="CL1071" i="5"/>
  <c r="CL1072" i="5"/>
  <c r="CL1073" i="5"/>
  <c r="CL1074" i="5"/>
  <c r="CL1075" i="5"/>
  <c r="CL1076" i="5"/>
  <c r="CL1077" i="5"/>
  <c r="CL1078" i="5"/>
  <c r="CL1079" i="5"/>
  <c r="CL1080" i="5"/>
  <c r="CL1081" i="5"/>
  <c r="CL1082" i="5"/>
  <c r="CL1083" i="5"/>
  <c r="CL1084" i="5"/>
  <c r="CL1085" i="5"/>
  <c r="CL1086" i="5"/>
  <c r="CL1087" i="5"/>
  <c r="CL1088" i="5"/>
  <c r="CL1089" i="5"/>
  <c r="CL1090" i="5"/>
  <c r="CL1091" i="5"/>
  <c r="CL1092" i="5"/>
  <c r="CL1093" i="5"/>
  <c r="CL1094" i="5"/>
  <c r="CL1095" i="5"/>
  <c r="CL1096" i="5"/>
  <c r="CL1097" i="5"/>
  <c r="CL1098" i="5"/>
  <c r="CL1099" i="5"/>
  <c r="CL1100" i="5"/>
  <c r="CL1101" i="5"/>
  <c r="CL1102" i="5"/>
  <c r="CL1103" i="5"/>
  <c r="CL1104" i="5"/>
  <c r="CL1105" i="5"/>
  <c r="CL1106" i="5"/>
  <c r="CL1107" i="5"/>
  <c r="CL1108" i="5"/>
  <c r="CL1109" i="5"/>
  <c r="CL1110" i="5"/>
  <c r="CL1111" i="5"/>
  <c r="CL1112" i="5"/>
  <c r="CL1113" i="5"/>
  <c r="CL1114" i="5"/>
  <c r="CL1115" i="5"/>
  <c r="CL1116" i="5"/>
  <c r="CL1117" i="5"/>
  <c r="CL1118" i="5"/>
  <c r="CL1119" i="5"/>
  <c r="CL1120" i="5"/>
  <c r="CL1121" i="5"/>
  <c r="CL1122" i="5"/>
  <c r="CL1123" i="5"/>
  <c r="CL1124" i="5"/>
  <c r="CL1125" i="5"/>
  <c r="CL1126" i="5"/>
  <c r="CL1127" i="5"/>
  <c r="CL1128" i="5"/>
  <c r="CL1129" i="5"/>
  <c r="CL1130" i="5"/>
  <c r="CL1131" i="5"/>
  <c r="CL1132" i="5"/>
  <c r="CL1133" i="5"/>
  <c r="CL1134" i="5"/>
  <c r="CL1135" i="5"/>
  <c r="CL1136" i="5"/>
  <c r="CL1137" i="5"/>
  <c r="CL1138" i="5"/>
  <c r="CL1139" i="5"/>
  <c r="CL1140" i="5"/>
  <c r="CL1141" i="5"/>
  <c r="CL1142" i="5"/>
  <c r="CL1143" i="5"/>
  <c r="CL1144" i="5"/>
  <c r="CL1145" i="5"/>
  <c r="CL1146" i="5"/>
  <c r="CL1147" i="5"/>
  <c r="CL1148" i="5"/>
  <c r="CL1149" i="5"/>
  <c r="CL1150" i="5"/>
  <c r="CL1151" i="5"/>
  <c r="CL1152" i="5"/>
  <c r="CL1153" i="5"/>
  <c r="CL1154" i="5"/>
  <c r="CL1155" i="5"/>
  <c r="CL1156" i="5"/>
  <c r="CL1157" i="5"/>
  <c r="CL1158" i="5"/>
  <c r="CL1159" i="5"/>
  <c r="CL1160" i="5"/>
  <c r="CL1161" i="5"/>
  <c r="CL1162" i="5"/>
  <c r="CL1163" i="5"/>
  <c r="CL1164" i="5"/>
  <c r="CL1165" i="5"/>
  <c r="CL1166" i="5"/>
  <c r="CL1167" i="5"/>
  <c r="CL1168" i="5"/>
  <c r="CL1169" i="5"/>
  <c r="CL1170" i="5"/>
  <c r="CL1171" i="5"/>
  <c r="CL1172" i="5"/>
  <c r="CL1173" i="5"/>
  <c r="CL1174" i="5"/>
  <c r="CL1175" i="5"/>
  <c r="CL1176" i="5"/>
  <c r="CL1177" i="5"/>
  <c r="CL1178" i="5"/>
  <c r="CL1179" i="5"/>
  <c r="CL1180" i="5"/>
  <c r="CL1181" i="5"/>
  <c r="CL1182" i="5"/>
  <c r="CL1183" i="5"/>
  <c r="CL1184" i="5"/>
  <c r="CL1185" i="5"/>
  <c r="CL1186" i="5"/>
  <c r="CL1187" i="5"/>
  <c r="CL1188" i="5"/>
  <c r="CL1189" i="5"/>
  <c r="CL1190" i="5"/>
  <c r="CL1191" i="5"/>
  <c r="CL1192" i="5"/>
  <c r="CL1193" i="5"/>
  <c r="CL1194" i="5"/>
  <c r="CL1195" i="5"/>
  <c r="CL1196" i="5"/>
  <c r="CL1197" i="5"/>
  <c r="CL1198" i="5"/>
  <c r="CL1199" i="5"/>
  <c r="CL1200" i="5"/>
  <c r="CL1201" i="5"/>
  <c r="CL1202" i="5"/>
  <c r="CL1203" i="5"/>
  <c r="CL1204" i="5"/>
  <c r="CL1205" i="5"/>
  <c r="CL1206" i="5"/>
  <c r="CL1207" i="5"/>
  <c r="CL1208" i="5"/>
  <c r="CL1209" i="5"/>
  <c r="CL1210" i="5"/>
  <c r="CL1211" i="5"/>
  <c r="CL1212" i="5"/>
  <c r="CL1213" i="5"/>
  <c r="CL1214" i="5"/>
  <c r="CL1215" i="5"/>
  <c r="CL1216" i="5"/>
  <c r="CL1217" i="5"/>
  <c r="CL1218" i="5"/>
  <c r="CL1219" i="5"/>
  <c r="CL1220" i="5"/>
  <c r="CL1221" i="5"/>
  <c r="CL1222" i="5"/>
  <c r="CL1223" i="5"/>
  <c r="CL1224" i="5"/>
  <c r="CL1225" i="5"/>
  <c r="CL1226" i="5"/>
  <c r="CL1227" i="5"/>
  <c r="CL1228" i="5"/>
  <c r="CL1229" i="5"/>
  <c r="CL1230" i="5"/>
  <c r="CL1231" i="5"/>
  <c r="CL1232" i="5"/>
  <c r="CL1233" i="5"/>
  <c r="CL1234" i="5"/>
  <c r="CL1235" i="5"/>
  <c r="CL1236" i="5"/>
  <c r="CL1237" i="5"/>
  <c r="CL1238" i="5"/>
  <c r="CL1239" i="5"/>
  <c r="CL1240" i="5"/>
  <c r="CL1241" i="5"/>
  <c r="CL1242" i="5"/>
  <c r="CL1243" i="5"/>
  <c r="CL1244" i="5"/>
  <c r="CL1245" i="5"/>
  <c r="CL1246" i="5"/>
  <c r="CL1247" i="5"/>
  <c r="CL1248" i="5"/>
  <c r="CL1249" i="5"/>
  <c r="CL1250" i="5"/>
  <c r="CL1251" i="5"/>
  <c r="CL1252" i="5"/>
  <c r="CL1253" i="5"/>
  <c r="CL1254" i="5"/>
  <c r="CL1255" i="5"/>
  <c r="CL1256" i="5"/>
  <c r="CL1257" i="5"/>
  <c r="CL1258" i="5"/>
  <c r="CL1259" i="5"/>
  <c r="CL1260" i="5"/>
  <c r="CL1261" i="5"/>
  <c r="CL1262" i="5"/>
  <c r="CL1263" i="5"/>
  <c r="CL1264" i="5"/>
  <c r="CL1265" i="5"/>
  <c r="CL1266" i="5"/>
  <c r="CL1267" i="5"/>
  <c r="CL1268" i="5"/>
  <c r="CL1269" i="5"/>
  <c r="CL1270" i="5"/>
  <c r="CL1271" i="5"/>
  <c r="CL1272" i="5"/>
  <c r="CL1273" i="5"/>
  <c r="CL1274" i="5"/>
  <c r="CL1275" i="5"/>
  <c r="CL1276" i="5"/>
  <c r="CL1277" i="5"/>
  <c r="CL1278" i="5"/>
  <c r="CL1279" i="5"/>
  <c r="CL1280" i="5"/>
  <c r="CL1281" i="5"/>
  <c r="CL1282" i="5"/>
  <c r="CL1283" i="5"/>
  <c r="CL1284" i="5"/>
  <c r="CL1285" i="5"/>
  <c r="CL1286" i="5"/>
  <c r="CL1287" i="5"/>
  <c r="CL1288" i="5"/>
  <c r="CL1289" i="5"/>
  <c r="CL1290" i="5"/>
  <c r="CL1291" i="5"/>
  <c r="CL1292" i="5"/>
  <c r="CL1293" i="5"/>
  <c r="CL1294" i="5"/>
  <c r="CL1295" i="5"/>
  <c r="CL1296" i="5"/>
  <c r="CL1297" i="5"/>
  <c r="CL1298" i="5"/>
  <c r="CL1299" i="5"/>
  <c r="CL1300" i="5"/>
  <c r="CL1301" i="5"/>
  <c r="CL1302" i="5"/>
  <c r="CL1303" i="5"/>
  <c r="CL1304" i="5"/>
  <c r="CL1305" i="5"/>
  <c r="CL1306" i="5"/>
  <c r="CL1307" i="5"/>
  <c r="CL1308" i="5"/>
  <c r="CL1309" i="5"/>
  <c r="CL1310" i="5"/>
  <c r="CL1311" i="5"/>
  <c r="CL1312" i="5"/>
  <c r="CL1313" i="5"/>
  <c r="CL1314" i="5"/>
  <c r="CL1315" i="5"/>
  <c r="CL1316" i="5"/>
  <c r="CL1317" i="5"/>
  <c r="CL1318" i="5"/>
  <c r="CL1319" i="5"/>
  <c r="CL1320" i="5"/>
  <c r="CL1321" i="5"/>
  <c r="CL1322" i="5"/>
  <c r="CL1323" i="5"/>
  <c r="CL1324" i="5"/>
  <c r="CL1325" i="5"/>
  <c r="CL1326" i="5"/>
  <c r="CL1327" i="5"/>
  <c r="CL1328" i="5"/>
  <c r="CL1329" i="5"/>
  <c r="CL1330" i="5"/>
  <c r="CL1331" i="5"/>
  <c r="CL1332" i="5"/>
  <c r="CL1333" i="5"/>
  <c r="CL1334" i="5"/>
  <c r="CL2" i="5"/>
  <c r="AW1334" i="5"/>
  <c r="AW1333" i="5"/>
  <c r="AW1332" i="5"/>
  <c r="AW1331" i="5"/>
  <c r="AW1330" i="5"/>
  <c r="AW1329" i="5"/>
  <c r="AW1328" i="5"/>
  <c r="AW1327" i="5"/>
  <c r="AW1326" i="5"/>
  <c r="AW1325" i="5"/>
  <c r="AW1324" i="5"/>
  <c r="AW1323" i="5"/>
  <c r="AW1322" i="5"/>
  <c r="AW1321" i="5"/>
  <c r="AW1320" i="5"/>
  <c r="AW1319" i="5"/>
  <c r="AW1318" i="5"/>
  <c r="AW1317" i="5"/>
  <c r="AW1316" i="5"/>
  <c r="AW1315" i="5"/>
  <c r="AW1314" i="5"/>
  <c r="AW1313" i="5"/>
  <c r="AW1312" i="5"/>
  <c r="AW1311" i="5"/>
  <c r="AW1310" i="5"/>
  <c r="AW1309" i="5"/>
  <c r="AW1308" i="5"/>
  <c r="AW1307" i="5"/>
  <c r="AW1306" i="5"/>
  <c r="AW1305" i="5"/>
  <c r="AW1304" i="5"/>
  <c r="AW1303" i="5"/>
  <c r="AW1302" i="5"/>
  <c r="AW1301" i="5"/>
  <c r="AW1300" i="5"/>
  <c r="AW1299" i="5"/>
  <c r="AW1298" i="5"/>
  <c r="AW1297" i="5"/>
  <c r="AW1296" i="5"/>
  <c r="AW1295" i="5"/>
  <c r="AW1294" i="5"/>
  <c r="AW1293" i="5"/>
  <c r="AW1292" i="5"/>
  <c r="AW1291" i="5"/>
  <c r="AW1290" i="5"/>
  <c r="AW1289" i="5"/>
  <c r="AW1288" i="5"/>
  <c r="AW1287" i="5"/>
  <c r="AW1286" i="5"/>
  <c r="AW1285" i="5"/>
  <c r="AW1284" i="5"/>
  <c r="AW1283" i="5"/>
  <c r="AW1282" i="5"/>
  <c r="AW1281" i="5"/>
  <c r="AW1280" i="5"/>
  <c r="AW1279" i="5"/>
  <c r="AW1278" i="5"/>
  <c r="AW1277" i="5"/>
  <c r="AW1276" i="5"/>
  <c r="AW1275" i="5"/>
  <c r="AW1274" i="5"/>
  <c r="AW1273" i="5"/>
  <c r="AW1272" i="5"/>
  <c r="AW1271" i="5"/>
  <c r="AW1270" i="5"/>
  <c r="AW1269" i="5"/>
  <c r="AW1268" i="5"/>
  <c r="AW1267" i="5"/>
  <c r="AW1266" i="5"/>
  <c r="AW1265" i="5"/>
  <c r="AW1264" i="5"/>
  <c r="AW1263" i="5"/>
  <c r="AW1262" i="5"/>
  <c r="AW1261" i="5"/>
  <c r="AW1260" i="5"/>
  <c r="AW1259" i="5"/>
  <c r="AW1258" i="5"/>
  <c r="AW1257" i="5"/>
  <c r="AW1256" i="5"/>
  <c r="AW1255" i="5"/>
  <c r="AW1254" i="5"/>
  <c r="AW1253" i="5"/>
  <c r="AW1252" i="5"/>
  <c r="AW1251" i="5"/>
  <c r="AW1250" i="5"/>
  <c r="AW1249" i="5"/>
  <c r="AW1248" i="5"/>
  <c r="AW1247" i="5"/>
  <c r="AW1246" i="5"/>
  <c r="AW1245" i="5"/>
  <c r="AW1244" i="5"/>
  <c r="AW1243" i="5"/>
  <c r="AW1242" i="5"/>
  <c r="AW1241" i="5"/>
  <c r="AW1240" i="5"/>
  <c r="AW1239" i="5"/>
  <c r="AW1238" i="5"/>
  <c r="AW1237" i="5"/>
  <c r="AW1236" i="5"/>
  <c r="AW1235" i="5"/>
  <c r="AW1234" i="5"/>
  <c r="AW1233" i="5"/>
  <c r="AW1232" i="5"/>
  <c r="AW1231" i="5"/>
  <c r="AW1230" i="5"/>
  <c r="AW1229" i="5"/>
  <c r="AW1228" i="5"/>
  <c r="AW1227" i="5"/>
  <c r="AW1226" i="5"/>
  <c r="AW1225" i="5"/>
  <c r="AW1224" i="5"/>
  <c r="AW1223" i="5"/>
  <c r="AW1222" i="5"/>
  <c r="AW1221" i="5"/>
  <c r="AW1220" i="5"/>
  <c r="AW1219" i="5"/>
  <c r="AW1218" i="5"/>
  <c r="AW1217" i="5"/>
  <c r="AW1216" i="5"/>
  <c r="AW1215" i="5"/>
  <c r="AW1214" i="5"/>
  <c r="AW1213" i="5"/>
  <c r="AW1212" i="5"/>
  <c r="AW1211" i="5"/>
  <c r="AW1210" i="5"/>
  <c r="AW1209" i="5"/>
  <c r="AW1208" i="5"/>
  <c r="AW1207" i="5"/>
  <c r="AW1206" i="5"/>
  <c r="AW1205" i="5"/>
  <c r="AW1204" i="5"/>
  <c r="AW1203" i="5"/>
  <c r="AW1202" i="5"/>
  <c r="AW1201" i="5"/>
  <c r="AW1200" i="5"/>
  <c r="AW1199" i="5"/>
  <c r="AW1198" i="5"/>
  <c r="AW1197" i="5"/>
  <c r="AW1196" i="5"/>
  <c r="AW1195" i="5"/>
  <c r="AW1194" i="5"/>
  <c r="AW1193" i="5"/>
  <c r="AW1192" i="5"/>
  <c r="AW1191" i="5"/>
  <c r="AW1190" i="5"/>
  <c r="AW1189" i="5"/>
  <c r="AW1188" i="5"/>
  <c r="AW1187" i="5"/>
  <c r="AW1186" i="5"/>
  <c r="AW1185" i="5"/>
  <c r="AW1184" i="5"/>
  <c r="AW1183" i="5"/>
  <c r="AW1182" i="5"/>
  <c r="AW1181" i="5"/>
  <c r="AW1180" i="5"/>
  <c r="AW1179" i="5"/>
  <c r="AW1178" i="5"/>
  <c r="AW1177" i="5"/>
  <c r="AW1176" i="5"/>
  <c r="AW1175" i="5"/>
  <c r="AW1174" i="5"/>
  <c r="AW1173" i="5"/>
  <c r="AW1172" i="5"/>
  <c r="AW1171" i="5"/>
  <c r="AW1170" i="5"/>
  <c r="AW1169" i="5"/>
  <c r="AW1168" i="5"/>
  <c r="AW1167" i="5"/>
  <c r="AW1166" i="5"/>
  <c r="AW1165" i="5"/>
  <c r="AW1164" i="5"/>
  <c r="AW1163" i="5"/>
  <c r="AW1162" i="5"/>
  <c r="AW1161" i="5"/>
  <c r="AW1160" i="5"/>
  <c r="AW1159" i="5"/>
  <c r="AW1158" i="5"/>
  <c r="AW1157" i="5"/>
  <c r="AW1156" i="5"/>
  <c r="AW1155" i="5"/>
  <c r="AW1154" i="5"/>
  <c r="AW1153" i="5"/>
  <c r="AW1152" i="5"/>
  <c r="AW1151" i="5"/>
  <c r="AW1150" i="5"/>
  <c r="AW1149" i="5"/>
  <c r="AW1148" i="5"/>
  <c r="AW1147" i="5"/>
  <c r="AW1146" i="5"/>
  <c r="AW1145" i="5"/>
  <c r="AW1144" i="5"/>
  <c r="AW1143" i="5"/>
  <c r="AW1142" i="5"/>
  <c r="AW1141" i="5"/>
  <c r="AW1140" i="5"/>
  <c r="AW1139" i="5"/>
  <c r="AW1138" i="5"/>
  <c r="AW1137" i="5"/>
  <c r="AW1136" i="5"/>
  <c r="AW1135" i="5"/>
  <c r="AW1134" i="5"/>
  <c r="AW1133" i="5"/>
  <c r="AW1132" i="5"/>
  <c r="AW1131" i="5"/>
  <c r="AW1130" i="5"/>
  <c r="AW1129" i="5"/>
  <c r="AW1128" i="5"/>
  <c r="AW1127" i="5"/>
  <c r="AW1126" i="5"/>
  <c r="AW1125" i="5"/>
  <c r="AW1124" i="5"/>
  <c r="AW1123" i="5"/>
  <c r="AW1122" i="5"/>
  <c r="AW1121" i="5"/>
  <c r="AW1120" i="5"/>
  <c r="AW1119" i="5"/>
  <c r="AW1118" i="5"/>
  <c r="AW1117" i="5"/>
  <c r="AW1116" i="5"/>
  <c r="AW1115" i="5"/>
  <c r="AW1114" i="5"/>
  <c r="AW1113" i="5"/>
  <c r="AW1112" i="5"/>
  <c r="AW1111" i="5"/>
  <c r="AW1110" i="5"/>
  <c r="AW1109" i="5"/>
  <c r="AW1108" i="5"/>
  <c r="AW1107" i="5"/>
  <c r="AW1106" i="5"/>
  <c r="AW1105" i="5"/>
  <c r="AW1104" i="5"/>
  <c r="AW1103" i="5"/>
  <c r="AW1102" i="5"/>
  <c r="AW1101" i="5"/>
  <c r="AW1100" i="5"/>
  <c r="AW1099" i="5"/>
  <c r="AW1098" i="5"/>
  <c r="AW1097" i="5"/>
  <c r="AW1096" i="5"/>
  <c r="AW1095" i="5"/>
  <c r="AW1094" i="5"/>
  <c r="AW1093" i="5"/>
  <c r="AW1092" i="5"/>
  <c r="AW1091" i="5"/>
  <c r="AW1090" i="5"/>
  <c r="AW1089" i="5"/>
  <c r="AW1088" i="5"/>
  <c r="AW1087" i="5"/>
  <c r="AW1086" i="5"/>
  <c r="AW1085" i="5"/>
  <c r="AW1084" i="5"/>
  <c r="AW1083" i="5"/>
  <c r="AW1082" i="5"/>
  <c r="AW1081" i="5"/>
  <c r="AW1080" i="5"/>
  <c r="AW1079" i="5"/>
  <c r="AW1078" i="5"/>
  <c r="AW1077" i="5"/>
  <c r="AW1076" i="5"/>
  <c r="AW1075" i="5"/>
  <c r="AW1074" i="5"/>
  <c r="AW1073" i="5"/>
  <c r="AW1072" i="5"/>
  <c r="AW1071" i="5"/>
  <c r="AW1070" i="5"/>
  <c r="AW1069" i="5"/>
  <c r="AW1068" i="5"/>
  <c r="AW1067" i="5"/>
  <c r="AW1066" i="5"/>
  <c r="AW1065" i="5"/>
  <c r="AW1064" i="5"/>
  <c r="AW1063" i="5"/>
  <c r="AW1062" i="5"/>
  <c r="AW1061" i="5"/>
  <c r="AW1060" i="5"/>
  <c r="AW1059" i="5"/>
  <c r="AW1058" i="5"/>
  <c r="AW1057" i="5"/>
  <c r="AW1056" i="5"/>
  <c r="AW1055" i="5"/>
  <c r="AW1054" i="5"/>
  <c r="AW1053" i="5"/>
  <c r="AW1052" i="5"/>
  <c r="AW1051" i="5"/>
  <c r="AW1050" i="5"/>
  <c r="AW1049" i="5"/>
  <c r="AW1048" i="5"/>
  <c r="AW1047" i="5"/>
  <c r="AW1046" i="5"/>
  <c r="AW1045" i="5"/>
  <c r="AW1044" i="5"/>
  <c r="AW1043" i="5"/>
  <c r="AW1042" i="5"/>
  <c r="AW1041" i="5"/>
  <c r="AW1040" i="5"/>
  <c r="AW1039" i="5"/>
  <c r="AW1038" i="5"/>
  <c r="AW1037" i="5"/>
  <c r="AW1036" i="5"/>
  <c r="AW1035" i="5"/>
  <c r="AW1034" i="5"/>
  <c r="AW1033" i="5"/>
  <c r="AW1032" i="5"/>
  <c r="AW1031" i="5"/>
  <c r="AW1030" i="5"/>
  <c r="AW1029" i="5"/>
  <c r="AW1028" i="5"/>
  <c r="AW1027" i="5"/>
  <c r="AW1026" i="5"/>
  <c r="AW1025" i="5"/>
  <c r="AW1024" i="5"/>
  <c r="AW1023" i="5"/>
  <c r="AW1022" i="5"/>
  <c r="AW1021" i="5"/>
  <c r="AW1020" i="5"/>
  <c r="AW1019" i="5"/>
  <c r="AW1018" i="5"/>
  <c r="AW1017" i="5"/>
  <c r="AW1016" i="5"/>
  <c r="AW1015" i="5"/>
  <c r="AW1014" i="5"/>
  <c r="AW1013" i="5"/>
  <c r="AW1012" i="5"/>
  <c r="AW1011" i="5"/>
  <c r="AW1010" i="5"/>
  <c r="AW1009" i="5"/>
  <c r="AW1008" i="5"/>
  <c r="AW1007" i="5"/>
  <c r="AW1006" i="5"/>
  <c r="AW1005" i="5"/>
  <c r="AW1004" i="5"/>
  <c r="AW1003" i="5"/>
  <c r="AW1002" i="5"/>
  <c r="AW1001" i="5"/>
  <c r="AW1000" i="5"/>
  <c r="AW999" i="5"/>
  <c r="AW998" i="5"/>
  <c r="AW997" i="5"/>
  <c r="AW996" i="5"/>
  <c r="AW995" i="5"/>
  <c r="AW994" i="5"/>
  <c r="AW993" i="5"/>
  <c r="AW992" i="5"/>
  <c r="AW991" i="5"/>
  <c r="AW990" i="5"/>
  <c r="AW989" i="5"/>
  <c r="AW988" i="5"/>
  <c r="AW987" i="5"/>
  <c r="AW986" i="5"/>
  <c r="AW985" i="5"/>
  <c r="AW984" i="5"/>
  <c r="AW983" i="5"/>
  <c r="AW982" i="5"/>
  <c r="AW981" i="5"/>
  <c r="AW980" i="5"/>
  <c r="AW979" i="5"/>
  <c r="AW978" i="5"/>
  <c r="AW977" i="5"/>
  <c r="AW976" i="5"/>
  <c r="AW975" i="5"/>
  <c r="AW974" i="5"/>
  <c r="AW973" i="5"/>
  <c r="AW972" i="5"/>
  <c r="AW971" i="5"/>
  <c r="AW970" i="5"/>
  <c r="AW969" i="5"/>
  <c r="AW968" i="5"/>
  <c r="AW967" i="5"/>
  <c r="AW966" i="5"/>
  <c r="AW965" i="5"/>
  <c r="AW964" i="5"/>
  <c r="AW963" i="5"/>
  <c r="AW962" i="5"/>
  <c r="AW961" i="5"/>
  <c r="AW960" i="5"/>
  <c r="AW959" i="5"/>
  <c r="AW958" i="5"/>
  <c r="AW957" i="5"/>
  <c r="AW956" i="5"/>
  <c r="AW955" i="5"/>
  <c r="AW954" i="5"/>
  <c r="AW953" i="5"/>
  <c r="AW952" i="5"/>
  <c r="AW951" i="5"/>
  <c r="AW950" i="5"/>
  <c r="AW949" i="5"/>
  <c r="AW948" i="5"/>
  <c r="AW947" i="5"/>
  <c r="AW946" i="5"/>
  <c r="AW945" i="5"/>
  <c r="AW944" i="5"/>
  <c r="AW943" i="5"/>
  <c r="AW942" i="5"/>
  <c r="AW941" i="5"/>
  <c r="AW940" i="5"/>
  <c r="AW939" i="5"/>
  <c r="AW938" i="5"/>
  <c r="AW937" i="5"/>
  <c r="AW936" i="5"/>
  <c r="AW935" i="5"/>
  <c r="AW934" i="5"/>
  <c r="AW933" i="5"/>
  <c r="AW932" i="5"/>
  <c r="AW931" i="5"/>
  <c r="AW930" i="5"/>
  <c r="AW929" i="5"/>
  <c r="AW928" i="5"/>
  <c r="AW927" i="5"/>
  <c r="AW926" i="5"/>
  <c r="AW925" i="5"/>
  <c r="AW924" i="5"/>
  <c r="AW923" i="5"/>
  <c r="AW922" i="5"/>
  <c r="AW921" i="5"/>
  <c r="AW920" i="5"/>
  <c r="AW919" i="5"/>
  <c r="AW918" i="5"/>
  <c r="AW917" i="5"/>
  <c r="AW916" i="5"/>
  <c r="AW915" i="5"/>
  <c r="AW914" i="5"/>
  <c r="AW913" i="5"/>
  <c r="AW912" i="5"/>
  <c r="AW911" i="5"/>
  <c r="AW910" i="5"/>
  <c r="AW909" i="5"/>
  <c r="AW908" i="5"/>
  <c r="AW907" i="5"/>
  <c r="AW906" i="5"/>
  <c r="AW905" i="5"/>
  <c r="AW904" i="5"/>
  <c r="AW903" i="5"/>
  <c r="AW902" i="5"/>
  <c r="AW901" i="5"/>
  <c r="AW900" i="5"/>
  <c r="AW899" i="5"/>
  <c r="AW898" i="5"/>
  <c r="AW897" i="5"/>
  <c r="AW896" i="5"/>
  <c r="AW895" i="5"/>
  <c r="AW894" i="5"/>
  <c r="AW893" i="5"/>
  <c r="AW892" i="5"/>
  <c r="AW891" i="5"/>
  <c r="AW890" i="5"/>
  <c r="AW889" i="5"/>
  <c r="AW888" i="5"/>
  <c r="AW887" i="5"/>
  <c r="AW886" i="5"/>
  <c r="AW885" i="5"/>
  <c r="AW884" i="5"/>
  <c r="AW883" i="5"/>
  <c r="AW882" i="5"/>
  <c r="AW881" i="5"/>
  <c r="AW880" i="5"/>
  <c r="AW879" i="5"/>
  <c r="AW878" i="5"/>
  <c r="AW877" i="5"/>
  <c r="AW876" i="5"/>
  <c r="AW875" i="5"/>
  <c r="AW874" i="5"/>
  <c r="AW873" i="5"/>
  <c r="AW872" i="5"/>
  <c r="AW871" i="5"/>
  <c r="AW870" i="5"/>
  <c r="AW869" i="5"/>
  <c r="AW868" i="5"/>
  <c r="AW867" i="5"/>
  <c r="AW866" i="5"/>
  <c r="AW865" i="5"/>
  <c r="AW864" i="5"/>
  <c r="AW863" i="5"/>
  <c r="AW862" i="5"/>
  <c r="AW861" i="5"/>
  <c r="AW860" i="5"/>
  <c r="AW859" i="5"/>
  <c r="AW858" i="5"/>
  <c r="AW857" i="5"/>
  <c r="AW856" i="5"/>
  <c r="AW855" i="5"/>
  <c r="AW854" i="5"/>
  <c r="AW853" i="5"/>
  <c r="AW852" i="5"/>
  <c r="AW851" i="5"/>
  <c r="AW850" i="5"/>
  <c r="AW849" i="5"/>
  <c r="AW848" i="5"/>
  <c r="AW847" i="5"/>
  <c r="AW846" i="5"/>
  <c r="AW845" i="5"/>
  <c r="AW844" i="5"/>
  <c r="AW843" i="5"/>
  <c r="AW842" i="5"/>
  <c r="AW841" i="5"/>
  <c r="AW840" i="5"/>
  <c r="AW839" i="5"/>
  <c r="AW838" i="5"/>
  <c r="AW837" i="5"/>
  <c r="AW836" i="5"/>
  <c r="AW835" i="5"/>
  <c r="AW834" i="5"/>
  <c r="AW833" i="5"/>
  <c r="AW832" i="5"/>
  <c r="AW831" i="5"/>
  <c r="AW830" i="5"/>
  <c r="AW829" i="5"/>
  <c r="AW828" i="5"/>
  <c r="AW827" i="5"/>
  <c r="AW826" i="5"/>
  <c r="AW825" i="5"/>
  <c r="AW824" i="5"/>
  <c r="AW823" i="5"/>
  <c r="AW822" i="5"/>
  <c r="AW821" i="5"/>
  <c r="AW820" i="5"/>
  <c r="AW819" i="5"/>
  <c r="AW818" i="5"/>
  <c r="AW817" i="5"/>
  <c r="AW816" i="5"/>
  <c r="AW815" i="5"/>
  <c r="AW814" i="5"/>
  <c r="AW813" i="5"/>
  <c r="AW812" i="5"/>
  <c r="AW811" i="5"/>
  <c r="AW810" i="5"/>
  <c r="AW809" i="5"/>
  <c r="AW808" i="5"/>
  <c r="AW807" i="5"/>
  <c r="AW806" i="5"/>
  <c r="AW805" i="5"/>
  <c r="AW804" i="5"/>
  <c r="AW803" i="5"/>
  <c r="AW802" i="5"/>
  <c r="AW801" i="5"/>
  <c r="AW800" i="5"/>
  <c r="AW799" i="5"/>
  <c r="AW798" i="5"/>
  <c r="AW797" i="5"/>
  <c r="AW796" i="5"/>
  <c r="AW795" i="5"/>
  <c r="AW794" i="5"/>
  <c r="AW793" i="5"/>
  <c r="AW792" i="5"/>
  <c r="AW791" i="5"/>
  <c r="AW790" i="5"/>
  <c r="AW789" i="5"/>
  <c r="AW788" i="5"/>
  <c r="AW787" i="5"/>
  <c r="AW786" i="5"/>
  <c r="AW785" i="5"/>
  <c r="AW784" i="5"/>
  <c r="AW783" i="5"/>
  <c r="AW782" i="5"/>
  <c r="AW781" i="5"/>
  <c r="AW780" i="5"/>
  <c r="AW779" i="5"/>
  <c r="AW778" i="5"/>
  <c r="AW777" i="5"/>
  <c r="AW776" i="5"/>
  <c r="AW775" i="5"/>
  <c r="AW774" i="5"/>
  <c r="AW773" i="5"/>
  <c r="AW772" i="5"/>
  <c r="AW771" i="5"/>
  <c r="AW770" i="5"/>
  <c r="AW769" i="5"/>
  <c r="AW768" i="5"/>
  <c r="AW767" i="5"/>
  <c r="AW766" i="5"/>
  <c r="AW765" i="5"/>
  <c r="AW764" i="5"/>
  <c r="AW763" i="5"/>
  <c r="AW762" i="5"/>
  <c r="AW761" i="5"/>
  <c r="AW760" i="5"/>
  <c r="AW759" i="5"/>
  <c r="AW758" i="5"/>
  <c r="AW757" i="5"/>
  <c r="AW756" i="5"/>
  <c r="AW755" i="5"/>
  <c r="AW754" i="5"/>
  <c r="AW753" i="5"/>
  <c r="AW752" i="5"/>
  <c r="AW751" i="5"/>
  <c r="AW750" i="5"/>
  <c r="AW749" i="5"/>
  <c r="AW748" i="5"/>
  <c r="AW747" i="5"/>
  <c r="AW746" i="5"/>
  <c r="AW745" i="5"/>
  <c r="AW744" i="5"/>
  <c r="AW743" i="5"/>
  <c r="AW742" i="5"/>
  <c r="AW741" i="5"/>
  <c r="AW740" i="5"/>
  <c r="AW739" i="5"/>
  <c r="AW738" i="5"/>
  <c r="AW737" i="5"/>
  <c r="AW736" i="5"/>
  <c r="AW735" i="5"/>
  <c r="AW734" i="5"/>
  <c r="AW733" i="5"/>
  <c r="AW732" i="5"/>
  <c r="AW731" i="5"/>
  <c r="AW730" i="5"/>
  <c r="AW729" i="5"/>
  <c r="AW728" i="5"/>
  <c r="AW727" i="5"/>
  <c r="AW726" i="5"/>
  <c r="AW725" i="5"/>
  <c r="AW724" i="5"/>
  <c r="AW723" i="5"/>
  <c r="AW722" i="5"/>
  <c r="AW721" i="5"/>
  <c r="AW720" i="5"/>
  <c r="AW719" i="5"/>
  <c r="AW718" i="5"/>
  <c r="AW717" i="5"/>
  <c r="AW716" i="5"/>
  <c r="AW715" i="5"/>
  <c r="AW714" i="5"/>
  <c r="AW713" i="5"/>
  <c r="AW712" i="5"/>
  <c r="AW711" i="5"/>
  <c r="AW710" i="5"/>
  <c r="AW709" i="5"/>
  <c r="AW708" i="5"/>
  <c r="AW707" i="5"/>
  <c r="AW706" i="5"/>
  <c r="AW705" i="5"/>
  <c r="AW704" i="5"/>
  <c r="AW703" i="5"/>
  <c r="AW702" i="5"/>
  <c r="AW701" i="5"/>
  <c r="AW700" i="5"/>
  <c r="AW699" i="5"/>
  <c r="AW698" i="5"/>
  <c r="AW697" i="5"/>
  <c r="AW696" i="5"/>
  <c r="AW695" i="5"/>
  <c r="AW694" i="5"/>
  <c r="AW693" i="5"/>
  <c r="AW692" i="5"/>
  <c r="AW691" i="5"/>
  <c r="AW690" i="5"/>
  <c r="AW689" i="5"/>
  <c r="AW688" i="5"/>
  <c r="AW687" i="5"/>
  <c r="AW686" i="5"/>
  <c r="AW685" i="5"/>
  <c r="AW684" i="5"/>
  <c r="AW683" i="5"/>
  <c r="AW682" i="5"/>
  <c r="AW681" i="5"/>
  <c r="AW680" i="5"/>
  <c r="AW679" i="5"/>
  <c r="AW678" i="5"/>
  <c r="AW677" i="5"/>
  <c r="AW676" i="5"/>
  <c r="AW675" i="5"/>
  <c r="AW674" i="5"/>
  <c r="AW673" i="5"/>
  <c r="AW672" i="5"/>
  <c r="AW671" i="5"/>
  <c r="AW670" i="5"/>
  <c r="AW669" i="5"/>
  <c r="AW668" i="5"/>
  <c r="AW667" i="5"/>
  <c r="AW666" i="5"/>
  <c r="AW665" i="5"/>
  <c r="AW664" i="5"/>
  <c r="AW663" i="5"/>
  <c r="AW662" i="5"/>
  <c r="AW661" i="5"/>
  <c r="AW660" i="5"/>
  <c r="AW659" i="5"/>
  <c r="AW658" i="5"/>
  <c r="AW657" i="5"/>
  <c r="AW656" i="5"/>
  <c r="AW655" i="5"/>
  <c r="AW654" i="5"/>
  <c r="AW653" i="5"/>
  <c r="AW652" i="5"/>
  <c r="AW651" i="5"/>
  <c r="AW650" i="5"/>
  <c r="AW649" i="5"/>
  <c r="AW648" i="5"/>
  <c r="AW647" i="5"/>
  <c r="AW646" i="5"/>
  <c r="AW645" i="5"/>
  <c r="AW644" i="5"/>
  <c r="AW643" i="5"/>
  <c r="AW642" i="5"/>
  <c r="AW641" i="5"/>
  <c r="AW640" i="5"/>
  <c r="AW639" i="5"/>
  <c r="AW638" i="5"/>
  <c r="AW637" i="5"/>
  <c r="AW636" i="5"/>
  <c r="AW635" i="5"/>
  <c r="AW634" i="5"/>
  <c r="AW633" i="5"/>
  <c r="AW632" i="5"/>
  <c r="AW631" i="5"/>
  <c r="AW630" i="5"/>
  <c r="AW629" i="5"/>
  <c r="AW628" i="5"/>
  <c r="AW627" i="5"/>
  <c r="AW626" i="5"/>
  <c r="AW625" i="5"/>
  <c r="AW624" i="5"/>
  <c r="AW623" i="5"/>
  <c r="AW622" i="5"/>
  <c r="AW621" i="5"/>
  <c r="AW620" i="5"/>
  <c r="AW619" i="5"/>
  <c r="AW618" i="5"/>
  <c r="AW617" i="5"/>
  <c r="AW616" i="5"/>
  <c r="AW615" i="5"/>
  <c r="AW614" i="5"/>
  <c r="AW613" i="5"/>
  <c r="AW612" i="5"/>
  <c r="AW611" i="5"/>
  <c r="AW610" i="5"/>
  <c r="AW609" i="5"/>
  <c r="AW608" i="5"/>
  <c r="AW607" i="5"/>
  <c r="AW606" i="5"/>
  <c r="AW605" i="5"/>
  <c r="AW604" i="5"/>
  <c r="AW603" i="5"/>
  <c r="AW602" i="5"/>
  <c r="AW601" i="5"/>
  <c r="AW600" i="5"/>
  <c r="AW599" i="5"/>
  <c r="AW598" i="5"/>
  <c r="AW597" i="5"/>
  <c r="AW596" i="5"/>
  <c r="AW595" i="5"/>
  <c r="AW594" i="5"/>
  <c r="AW593" i="5"/>
  <c r="AW592" i="5"/>
  <c r="AW591" i="5"/>
  <c r="AW590" i="5"/>
  <c r="AW589" i="5"/>
  <c r="AW588" i="5"/>
  <c r="AW587" i="5"/>
  <c r="AW586" i="5"/>
  <c r="AW585" i="5"/>
  <c r="AW584" i="5"/>
  <c r="AW583" i="5"/>
  <c r="AW582" i="5"/>
  <c r="AW581" i="5"/>
  <c r="AW580" i="5"/>
  <c r="AW579" i="5"/>
  <c r="AW578" i="5"/>
  <c r="AW577" i="5"/>
  <c r="AW576" i="5"/>
  <c r="AW575" i="5"/>
  <c r="AW574" i="5"/>
  <c r="AW573" i="5"/>
  <c r="AW572" i="5"/>
  <c r="AW571" i="5"/>
  <c r="AW570" i="5"/>
  <c r="AW569" i="5"/>
  <c r="AW568" i="5"/>
  <c r="AW567" i="5"/>
  <c r="AW566" i="5"/>
  <c r="AW565" i="5"/>
  <c r="AW564" i="5"/>
  <c r="AW563" i="5"/>
  <c r="AW562" i="5"/>
  <c r="AW561" i="5"/>
  <c r="AW560" i="5"/>
  <c r="AW559" i="5"/>
  <c r="AW558" i="5"/>
  <c r="AW557" i="5"/>
  <c r="AW556" i="5"/>
  <c r="AW555" i="5"/>
  <c r="AW554" i="5"/>
  <c r="AW553" i="5"/>
  <c r="AW552" i="5"/>
  <c r="AW551" i="5"/>
  <c r="AW550" i="5"/>
  <c r="AW549" i="5"/>
  <c r="AW548" i="5"/>
  <c r="AW547" i="5"/>
  <c r="AW546" i="5"/>
  <c r="AW545" i="5"/>
  <c r="AW544" i="5"/>
  <c r="AW543" i="5"/>
  <c r="AW542" i="5"/>
  <c r="AW541" i="5"/>
  <c r="AW540" i="5"/>
  <c r="AW539" i="5"/>
  <c r="AW538" i="5"/>
  <c r="AW537" i="5"/>
  <c r="AW536" i="5"/>
  <c r="AW535" i="5"/>
  <c r="AW534" i="5"/>
  <c r="AW533" i="5"/>
  <c r="AW532" i="5"/>
  <c r="AW531" i="5"/>
  <c r="AW530" i="5"/>
  <c r="AW529" i="5"/>
  <c r="AW528" i="5"/>
  <c r="AW527" i="5"/>
  <c r="AW526" i="5"/>
  <c r="AW525" i="5"/>
  <c r="AW524" i="5"/>
  <c r="AW523" i="5"/>
  <c r="AW522" i="5"/>
  <c r="AW521" i="5"/>
  <c r="AW520" i="5"/>
  <c r="AW519" i="5"/>
  <c r="AW518" i="5"/>
  <c r="AW517" i="5"/>
  <c r="AW516" i="5"/>
  <c r="AW515" i="5"/>
  <c r="AW514" i="5"/>
  <c r="AW513" i="5"/>
  <c r="AW512" i="5"/>
  <c r="AW511" i="5"/>
  <c r="AW510" i="5"/>
  <c r="AW509" i="5"/>
  <c r="AW508" i="5"/>
  <c r="AW507" i="5"/>
  <c r="AW506" i="5"/>
  <c r="AW505" i="5"/>
  <c r="AW504" i="5"/>
  <c r="AW503" i="5"/>
  <c r="AW502" i="5"/>
  <c r="AW501" i="5"/>
  <c r="AW500" i="5"/>
  <c r="AW499" i="5"/>
  <c r="AW498" i="5"/>
  <c r="AW497" i="5"/>
  <c r="AW496" i="5"/>
  <c r="AW495" i="5"/>
  <c r="AW494" i="5"/>
  <c r="AW493" i="5"/>
  <c r="AW492" i="5"/>
  <c r="AW491" i="5"/>
  <c r="AW490" i="5"/>
  <c r="AW489" i="5"/>
  <c r="AW488" i="5"/>
  <c r="AW487" i="5"/>
  <c r="AW486" i="5"/>
  <c r="AW485" i="5"/>
  <c r="AW484" i="5"/>
  <c r="AW483" i="5"/>
  <c r="AW482" i="5"/>
  <c r="AW481" i="5"/>
  <c r="AW480" i="5"/>
  <c r="AW479" i="5"/>
  <c r="AW478" i="5"/>
  <c r="AW477" i="5"/>
  <c r="AW476" i="5"/>
  <c r="AW475" i="5"/>
  <c r="AW474" i="5"/>
  <c r="AW473" i="5"/>
  <c r="AW472" i="5"/>
  <c r="AW471" i="5"/>
  <c r="AW470" i="5"/>
  <c r="AW469" i="5"/>
  <c r="AW468" i="5"/>
  <c r="AW467" i="5"/>
  <c r="AW466" i="5"/>
  <c r="AW465" i="5"/>
  <c r="AW464" i="5"/>
  <c r="AW463" i="5"/>
  <c r="AW462" i="5"/>
  <c r="AW461" i="5"/>
  <c r="AW460" i="5"/>
  <c r="AW459" i="5"/>
  <c r="AW458" i="5"/>
  <c r="AW457" i="5"/>
  <c r="AW456" i="5"/>
  <c r="AW455" i="5"/>
  <c r="AW454" i="5"/>
  <c r="AW453" i="5"/>
  <c r="AW452" i="5"/>
  <c r="AW451" i="5"/>
  <c r="AW450" i="5"/>
  <c r="AW449" i="5"/>
  <c r="AW448" i="5"/>
  <c r="AW447" i="5"/>
  <c r="AW446" i="5"/>
  <c r="AW445" i="5"/>
  <c r="AW444" i="5"/>
  <c r="AW443" i="5"/>
  <c r="AW442" i="5"/>
  <c r="AW441" i="5"/>
  <c r="AW440" i="5"/>
  <c r="AW439" i="5"/>
  <c r="AW438" i="5"/>
  <c r="AW437" i="5"/>
  <c r="AW436" i="5"/>
  <c r="AW435" i="5"/>
  <c r="AW434" i="5"/>
  <c r="AW433" i="5"/>
  <c r="AW432" i="5"/>
  <c r="AW431" i="5"/>
  <c r="AW430" i="5"/>
  <c r="AW429" i="5"/>
  <c r="AW428" i="5"/>
  <c r="AW427" i="5"/>
  <c r="AW426" i="5"/>
  <c r="AW425" i="5"/>
  <c r="AW424" i="5"/>
  <c r="AW423" i="5"/>
  <c r="AW422" i="5"/>
  <c r="AW421" i="5"/>
  <c r="AW420" i="5"/>
  <c r="AW419" i="5"/>
  <c r="AW418" i="5"/>
  <c r="AW417" i="5"/>
  <c r="AW416" i="5"/>
  <c r="AW415" i="5"/>
  <c r="AW414" i="5"/>
  <c r="AW413" i="5"/>
  <c r="AW412" i="5"/>
  <c r="AW411" i="5"/>
  <c r="AW410" i="5"/>
  <c r="AW409" i="5"/>
  <c r="AW408" i="5"/>
  <c r="AW407" i="5"/>
  <c r="AW406" i="5"/>
  <c r="AW405" i="5"/>
  <c r="AW404" i="5"/>
  <c r="AW403" i="5"/>
  <c r="AW402" i="5"/>
  <c r="AW401" i="5"/>
  <c r="AW400" i="5"/>
  <c r="AW399" i="5"/>
  <c r="AW398" i="5"/>
  <c r="AW397" i="5"/>
  <c r="AW396" i="5"/>
  <c r="AW395" i="5"/>
  <c r="AW394" i="5"/>
  <c r="AW393" i="5"/>
  <c r="AW392" i="5"/>
  <c r="AW391" i="5"/>
  <c r="AW390" i="5"/>
  <c r="AW389" i="5"/>
  <c r="AW388" i="5"/>
  <c r="AW387" i="5"/>
  <c r="AW386" i="5"/>
  <c r="AW385" i="5"/>
  <c r="AW384" i="5"/>
  <c r="AW383" i="5"/>
  <c r="AW382" i="5"/>
  <c r="AW381" i="5"/>
  <c r="AW380" i="5"/>
  <c r="AW379" i="5"/>
  <c r="AW378" i="5"/>
  <c r="AW377" i="5"/>
  <c r="AW376" i="5"/>
  <c r="AW375" i="5"/>
  <c r="AW374" i="5"/>
  <c r="AW373" i="5"/>
  <c r="AW372" i="5"/>
  <c r="AW371" i="5"/>
  <c r="AW370" i="5"/>
  <c r="AW369" i="5"/>
  <c r="AW368" i="5"/>
  <c r="AW367" i="5"/>
  <c r="AW366" i="5"/>
  <c r="AW365" i="5"/>
  <c r="AW364" i="5"/>
  <c r="AW363" i="5"/>
  <c r="AW362" i="5"/>
  <c r="AW361" i="5"/>
  <c r="AW360" i="5"/>
  <c r="AW359" i="5"/>
  <c r="AW358" i="5"/>
  <c r="AW357" i="5"/>
  <c r="AW356" i="5"/>
  <c r="AW355" i="5"/>
  <c r="AW354" i="5"/>
  <c r="AW353" i="5"/>
  <c r="AW352" i="5"/>
  <c r="AW351" i="5"/>
  <c r="AW350" i="5"/>
  <c r="AW349" i="5"/>
  <c r="AW348" i="5"/>
  <c r="AW347" i="5"/>
  <c r="AW346" i="5"/>
  <c r="AW345" i="5"/>
  <c r="AW344" i="5"/>
  <c r="AW343" i="5"/>
  <c r="AW342" i="5"/>
  <c r="AW341" i="5"/>
  <c r="AW340" i="5"/>
  <c r="AW339" i="5"/>
  <c r="AW338" i="5"/>
  <c r="AW337" i="5"/>
  <c r="AW336" i="5"/>
  <c r="AW335" i="5"/>
  <c r="AW334" i="5"/>
  <c r="AW333" i="5"/>
  <c r="AW332" i="5"/>
  <c r="AW331" i="5"/>
  <c r="AW330" i="5"/>
  <c r="AW329" i="5"/>
  <c r="AW328" i="5"/>
  <c r="AW327" i="5"/>
  <c r="AW326" i="5"/>
  <c r="AW325" i="5"/>
  <c r="AW324" i="5"/>
  <c r="AW323" i="5"/>
  <c r="AW322" i="5"/>
  <c r="AW321" i="5"/>
  <c r="AW320" i="5"/>
  <c r="AW319" i="5"/>
  <c r="AW318" i="5"/>
  <c r="AW317" i="5"/>
  <c r="AW316" i="5"/>
  <c r="AW315" i="5"/>
  <c r="AW314" i="5"/>
  <c r="AW313" i="5"/>
  <c r="AW312" i="5"/>
  <c r="AW311" i="5"/>
  <c r="AW310" i="5"/>
  <c r="AW309" i="5"/>
  <c r="AW308" i="5"/>
  <c r="AW307" i="5"/>
  <c r="AW306" i="5"/>
  <c r="AW305" i="5"/>
  <c r="AW304" i="5"/>
  <c r="AW303" i="5"/>
  <c r="AW302" i="5"/>
  <c r="AW301" i="5"/>
  <c r="AW300" i="5"/>
  <c r="AW299" i="5"/>
  <c r="AW298" i="5"/>
  <c r="AW297" i="5"/>
  <c r="AW296" i="5"/>
  <c r="AW295" i="5"/>
  <c r="AW294" i="5"/>
  <c r="AW293" i="5"/>
  <c r="AW292" i="5"/>
  <c r="AW291" i="5"/>
  <c r="AW290" i="5"/>
  <c r="AW289" i="5"/>
  <c r="AW288" i="5"/>
  <c r="AW287" i="5"/>
  <c r="AW286" i="5"/>
  <c r="AW285" i="5"/>
  <c r="AW284" i="5"/>
  <c r="AW283" i="5"/>
  <c r="AW282" i="5"/>
  <c r="AW281" i="5"/>
  <c r="AW280" i="5"/>
  <c r="AW279" i="5"/>
  <c r="AW278" i="5"/>
  <c r="AW277" i="5"/>
  <c r="AW276" i="5"/>
  <c r="AW275" i="5"/>
  <c r="AW274" i="5"/>
  <c r="AW273" i="5"/>
  <c r="AW272" i="5"/>
  <c r="AW271" i="5"/>
  <c r="AW270" i="5"/>
  <c r="AW269" i="5"/>
  <c r="AW268" i="5"/>
  <c r="AW267" i="5"/>
  <c r="AW266" i="5"/>
  <c r="AW265" i="5"/>
  <c r="AW264" i="5"/>
  <c r="AW263" i="5"/>
  <c r="AW262" i="5"/>
  <c r="AW261" i="5"/>
  <c r="AW260" i="5"/>
  <c r="AW259" i="5"/>
  <c r="AW258" i="5"/>
  <c r="AW257" i="5"/>
  <c r="AW256" i="5"/>
  <c r="AW255" i="5"/>
  <c r="AW254" i="5"/>
  <c r="AW253" i="5"/>
  <c r="AW252" i="5"/>
  <c r="AW251" i="5"/>
  <c r="AW250" i="5"/>
  <c r="AW249" i="5"/>
  <c r="AW248" i="5"/>
  <c r="AW247" i="5"/>
  <c r="AW246" i="5"/>
  <c r="AW245" i="5"/>
  <c r="AW244" i="5"/>
  <c r="AW243" i="5"/>
  <c r="AW242" i="5"/>
  <c r="AW241" i="5"/>
  <c r="AW240" i="5"/>
  <c r="AW239" i="5"/>
  <c r="AW238" i="5"/>
  <c r="AW237" i="5"/>
  <c r="AW236" i="5"/>
  <c r="AW235" i="5"/>
  <c r="AW234" i="5"/>
  <c r="AW233" i="5"/>
  <c r="AW232" i="5"/>
  <c r="AW231" i="5"/>
  <c r="AW230" i="5"/>
  <c r="AW229" i="5"/>
  <c r="AW228" i="5"/>
  <c r="AW227" i="5"/>
  <c r="AW226" i="5"/>
  <c r="AW225" i="5"/>
  <c r="AW224" i="5"/>
  <c r="AW223" i="5"/>
  <c r="AW222" i="5"/>
  <c r="AW221" i="5"/>
  <c r="AW220" i="5"/>
  <c r="AW219" i="5"/>
  <c r="AW218" i="5"/>
  <c r="AW217" i="5"/>
  <c r="AW216" i="5"/>
  <c r="AW215" i="5"/>
  <c r="AW214" i="5"/>
  <c r="AW213" i="5"/>
  <c r="AW212" i="5"/>
  <c r="AW211" i="5"/>
  <c r="AW210" i="5"/>
  <c r="AW209" i="5"/>
  <c r="AW208" i="5"/>
  <c r="AW207" i="5"/>
  <c r="AW206" i="5"/>
  <c r="AW205" i="5"/>
  <c r="AW204" i="5"/>
  <c r="AW203" i="5"/>
  <c r="AW202" i="5"/>
  <c r="AW201" i="5"/>
  <c r="AW200" i="5"/>
  <c r="AW199" i="5"/>
  <c r="AW198" i="5"/>
  <c r="AW197" i="5"/>
  <c r="AW196" i="5"/>
  <c r="AW195" i="5"/>
  <c r="AW194" i="5"/>
  <c r="AW193" i="5"/>
  <c r="AW192" i="5"/>
  <c r="AW191" i="5"/>
  <c r="AW190" i="5"/>
  <c r="AW189" i="5"/>
  <c r="AW188" i="5"/>
  <c r="AW187" i="5"/>
  <c r="AW186" i="5"/>
  <c r="AW185" i="5"/>
  <c r="AW184" i="5"/>
  <c r="AW183" i="5"/>
  <c r="AW182" i="5"/>
  <c r="AW181" i="5"/>
  <c r="AW180" i="5"/>
  <c r="AW179" i="5"/>
  <c r="AW178" i="5"/>
  <c r="AW177" i="5"/>
  <c r="AW176" i="5"/>
  <c r="AW175" i="5"/>
  <c r="AW174" i="5"/>
  <c r="AW173" i="5"/>
  <c r="AW172" i="5"/>
  <c r="AW171" i="5"/>
  <c r="AW170" i="5"/>
  <c r="AW169" i="5"/>
  <c r="AW168" i="5"/>
  <c r="AW167" i="5"/>
  <c r="AW166" i="5"/>
  <c r="AW165" i="5"/>
  <c r="AW164" i="5"/>
  <c r="AW163" i="5"/>
  <c r="AW162" i="5"/>
  <c r="AW161" i="5"/>
  <c r="AW160" i="5"/>
  <c r="AW159" i="5"/>
  <c r="AW158" i="5"/>
  <c r="AW157" i="5"/>
  <c r="AW156" i="5"/>
  <c r="AW155" i="5"/>
  <c r="AW154" i="5"/>
  <c r="AW153" i="5"/>
  <c r="AW152" i="5"/>
  <c r="AW151" i="5"/>
  <c r="AW150" i="5"/>
  <c r="AW149" i="5"/>
  <c r="AW148" i="5"/>
  <c r="AW147" i="5"/>
  <c r="AW146" i="5"/>
  <c r="AW145" i="5"/>
  <c r="AW144" i="5"/>
  <c r="AW143" i="5"/>
  <c r="AW142" i="5"/>
  <c r="AW141" i="5"/>
  <c r="AW140" i="5"/>
  <c r="AW139" i="5"/>
  <c r="AW138" i="5"/>
  <c r="AW137" i="5"/>
  <c r="AW136" i="5"/>
  <c r="AW135" i="5"/>
  <c r="AW134" i="5"/>
  <c r="AW133" i="5"/>
  <c r="AW132" i="5"/>
  <c r="AW131" i="5"/>
  <c r="AW130" i="5"/>
  <c r="AW129" i="5"/>
  <c r="AW128" i="5"/>
  <c r="AW127" i="5"/>
  <c r="AW126" i="5"/>
  <c r="AW125" i="5"/>
  <c r="AW124" i="5"/>
  <c r="AW123" i="5"/>
  <c r="AW122" i="5"/>
  <c r="AW121" i="5"/>
  <c r="AW120" i="5"/>
  <c r="AW119" i="5"/>
  <c r="AW118" i="5"/>
  <c r="AW117" i="5"/>
  <c r="AW116" i="5"/>
  <c r="AW115" i="5"/>
  <c r="AW114" i="5"/>
  <c r="AW113" i="5"/>
  <c r="AW112" i="5"/>
  <c r="AW111" i="5"/>
  <c r="AW110" i="5"/>
  <c r="AW109" i="5"/>
  <c r="AW108" i="5"/>
  <c r="AW107" i="5"/>
  <c r="AW106" i="5"/>
  <c r="AW105" i="5"/>
  <c r="AW104" i="5"/>
  <c r="AW103" i="5"/>
  <c r="AW102" i="5"/>
  <c r="AW101" i="5"/>
  <c r="AW100" i="5"/>
  <c r="AW99" i="5"/>
  <c r="AW98" i="5"/>
  <c r="AW97" i="5"/>
  <c r="AW96" i="5"/>
  <c r="AW95" i="5"/>
  <c r="AW94" i="5"/>
  <c r="AW93" i="5"/>
  <c r="AW92" i="5"/>
  <c r="AW91" i="5"/>
  <c r="AW90" i="5"/>
  <c r="AW89" i="5"/>
  <c r="AW88" i="5"/>
  <c r="AW87" i="5"/>
  <c r="AW86" i="5"/>
  <c r="AW85" i="5"/>
  <c r="AW84" i="5"/>
  <c r="AW83" i="5"/>
  <c r="AW82" i="5"/>
  <c r="AW81" i="5"/>
  <c r="AW80" i="5"/>
  <c r="AW79" i="5"/>
  <c r="AW78" i="5"/>
  <c r="AW77" i="5"/>
  <c r="AW76" i="5"/>
  <c r="AW75" i="5"/>
  <c r="AW74" i="5"/>
  <c r="AW73" i="5"/>
  <c r="AW72" i="5"/>
  <c r="AW71" i="5"/>
  <c r="AW70" i="5"/>
  <c r="AW69" i="5"/>
  <c r="AW68" i="5"/>
  <c r="AW67" i="5"/>
  <c r="AW66" i="5"/>
  <c r="AW65" i="5"/>
  <c r="AW64" i="5"/>
  <c r="AW63" i="5"/>
  <c r="AW62" i="5"/>
  <c r="AW61" i="5"/>
  <c r="AW60" i="5"/>
  <c r="AW59" i="5"/>
  <c r="AW58" i="5"/>
  <c r="AW57" i="5"/>
  <c r="AW56" i="5"/>
  <c r="AW55" i="5"/>
  <c r="AW54" i="5"/>
  <c r="AW53" i="5"/>
  <c r="AW52" i="5"/>
  <c r="AW51" i="5"/>
  <c r="AW50" i="5"/>
  <c r="AW49" i="5"/>
  <c r="AW48" i="5"/>
  <c r="AW47" i="5"/>
  <c r="AW46" i="5"/>
  <c r="AW45" i="5"/>
  <c r="AW44" i="5"/>
  <c r="AW43" i="5"/>
  <c r="AW42" i="5"/>
  <c r="AW41" i="5"/>
  <c r="AW40" i="5"/>
  <c r="AW39" i="5"/>
  <c r="AW38" i="5"/>
  <c r="AW37" i="5"/>
  <c r="AW36" i="5"/>
  <c r="AW35" i="5"/>
  <c r="AW34" i="5"/>
  <c r="AW33" i="5"/>
  <c r="AW32" i="5"/>
  <c r="AW31" i="5"/>
  <c r="AW30" i="5"/>
  <c r="AW29" i="5"/>
  <c r="AW28" i="5"/>
  <c r="AW27" i="5"/>
  <c r="AW26" i="5"/>
  <c r="AW25" i="5"/>
  <c r="AW24" i="5"/>
  <c r="AW23" i="5"/>
  <c r="AW22" i="5"/>
  <c r="AW21" i="5"/>
  <c r="AW20" i="5"/>
  <c r="AW19" i="5"/>
  <c r="AW18" i="5"/>
  <c r="AW17" i="5"/>
  <c r="AW16" i="5"/>
  <c r="AW15" i="5"/>
  <c r="AW14" i="5"/>
  <c r="AW13" i="5"/>
  <c r="AW12" i="5"/>
  <c r="AW11" i="5"/>
  <c r="AW10" i="5"/>
  <c r="AW9" i="5"/>
  <c r="AW8" i="5"/>
  <c r="AW1341" i="5" s="1"/>
  <c r="AW1342" i="5" s="1"/>
  <c r="AW7" i="5"/>
  <c r="AW6" i="5"/>
  <c r="AW5" i="5"/>
  <c r="AW4" i="5"/>
  <c r="AW3" i="5"/>
  <c r="AW2" i="5"/>
  <c r="AS3" i="5"/>
  <c r="AX3" i="5" s="1"/>
  <c r="AS4" i="5"/>
  <c r="AX4" i="5" s="1"/>
  <c r="AS5" i="5"/>
  <c r="AX5" i="5" s="1"/>
  <c r="AS6" i="5"/>
  <c r="AX6" i="5" s="1"/>
  <c r="AS7" i="5"/>
  <c r="AX7" i="5" s="1"/>
  <c r="AS8" i="5"/>
  <c r="AX8" i="5" s="1"/>
  <c r="AX1341" i="5" s="1"/>
  <c r="AX1342" i="5" s="1"/>
  <c r="AS9" i="5"/>
  <c r="AS10" i="5"/>
  <c r="AX10" i="5" s="1"/>
  <c r="AS11" i="5"/>
  <c r="AX11" i="5" s="1"/>
  <c r="AS12" i="5"/>
  <c r="AX12" i="5" s="1"/>
  <c r="AS13" i="5"/>
  <c r="AX13" i="5" s="1"/>
  <c r="AS14" i="5"/>
  <c r="AX14" i="5" s="1"/>
  <c r="AS15" i="5"/>
  <c r="AX15" i="5" s="1"/>
  <c r="AS16" i="5"/>
  <c r="AX16" i="5" s="1"/>
  <c r="AS17" i="5"/>
  <c r="AS18" i="5"/>
  <c r="AX18" i="5" s="1"/>
  <c r="AS19" i="5"/>
  <c r="AX19" i="5" s="1"/>
  <c r="AS20" i="5"/>
  <c r="AX20" i="5" s="1"/>
  <c r="AS21" i="5"/>
  <c r="AX21" i="5" s="1"/>
  <c r="AS22" i="5"/>
  <c r="AX22" i="5" s="1"/>
  <c r="AS23" i="5"/>
  <c r="AX23" i="5" s="1"/>
  <c r="AS24" i="5"/>
  <c r="AX24" i="5" s="1"/>
  <c r="AS25" i="5"/>
  <c r="AS26" i="5"/>
  <c r="AX26" i="5" s="1"/>
  <c r="AS27" i="5"/>
  <c r="AX27" i="5" s="1"/>
  <c r="AS28" i="5"/>
  <c r="AX28" i="5" s="1"/>
  <c r="AS29" i="5"/>
  <c r="AX29" i="5" s="1"/>
  <c r="AS30" i="5"/>
  <c r="AX30" i="5" s="1"/>
  <c r="AS31" i="5"/>
  <c r="AX31" i="5" s="1"/>
  <c r="AS32" i="5"/>
  <c r="AX32" i="5" s="1"/>
  <c r="AS33" i="5"/>
  <c r="AS34" i="5"/>
  <c r="AX34" i="5" s="1"/>
  <c r="AS35" i="5"/>
  <c r="AX35" i="5" s="1"/>
  <c r="AS36" i="5"/>
  <c r="AX36" i="5" s="1"/>
  <c r="AS37" i="5"/>
  <c r="AX37" i="5" s="1"/>
  <c r="AS38" i="5"/>
  <c r="AX38" i="5" s="1"/>
  <c r="AS39" i="5"/>
  <c r="AX39" i="5" s="1"/>
  <c r="AS40" i="5"/>
  <c r="AX40" i="5" s="1"/>
  <c r="AS41" i="5"/>
  <c r="AS42" i="5"/>
  <c r="AX42" i="5" s="1"/>
  <c r="AS43" i="5"/>
  <c r="AX43" i="5" s="1"/>
  <c r="AS44" i="5"/>
  <c r="AX44" i="5" s="1"/>
  <c r="AS45" i="5"/>
  <c r="AX45" i="5" s="1"/>
  <c r="AS46" i="5"/>
  <c r="AX46" i="5" s="1"/>
  <c r="AS47" i="5"/>
  <c r="AX47" i="5" s="1"/>
  <c r="AS48" i="5"/>
  <c r="AX48" i="5" s="1"/>
  <c r="AS49" i="5"/>
  <c r="AS50" i="5"/>
  <c r="AX50" i="5" s="1"/>
  <c r="AS51" i="5"/>
  <c r="AX51" i="5" s="1"/>
  <c r="AS52" i="5"/>
  <c r="AX52" i="5" s="1"/>
  <c r="AS53" i="5"/>
  <c r="AX53" i="5" s="1"/>
  <c r="AS54" i="5"/>
  <c r="AX54" i="5" s="1"/>
  <c r="AS55" i="5"/>
  <c r="AX55" i="5" s="1"/>
  <c r="AS56" i="5"/>
  <c r="AX56" i="5" s="1"/>
  <c r="AS57" i="5"/>
  <c r="AS58" i="5"/>
  <c r="AX58" i="5" s="1"/>
  <c r="AS59" i="5"/>
  <c r="AX59" i="5" s="1"/>
  <c r="AS60" i="5"/>
  <c r="AX60" i="5" s="1"/>
  <c r="AS61" i="5"/>
  <c r="AX61" i="5" s="1"/>
  <c r="AS62" i="5"/>
  <c r="AX62" i="5" s="1"/>
  <c r="AS63" i="5"/>
  <c r="AX63" i="5" s="1"/>
  <c r="AS64" i="5"/>
  <c r="AX64" i="5" s="1"/>
  <c r="AS65" i="5"/>
  <c r="AS66" i="5"/>
  <c r="AX66" i="5" s="1"/>
  <c r="AS67" i="5"/>
  <c r="AX67" i="5" s="1"/>
  <c r="AS68" i="5"/>
  <c r="AX68" i="5" s="1"/>
  <c r="AS69" i="5"/>
  <c r="AX69" i="5" s="1"/>
  <c r="AS70" i="5"/>
  <c r="AX70" i="5" s="1"/>
  <c r="AS71" i="5"/>
  <c r="AX71" i="5" s="1"/>
  <c r="AS72" i="5"/>
  <c r="AX72" i="5" s="1"/>
  <c r="AS73" i="5"/>
  <c r="AS74" i="5"/>
  <c r="AX74" i="5" s="1"/>
  <c r="AS75" i="5"/>
  <c r="AX75" i="5" s="1"/>
  <c r="AS76" i="5"/>
  <c r="AX76" i="5" s="1"/>
  <c r="AS77" i="5"/>
  <c r="AX77" i="5" s="1"/>
  <c r="AS78" i="5"/>
  <c r="AX78" i="5" s="1"/>
  <c r="AS79" i="5"/>
  <c r="AX79" i="5" s="1"/>
  <c r="AS80" i="5"/>
  <c r="AX80" i="5" s="1"/>
  <c r="AS81" i="5"/>
  <c r="AS82" i="5"/>
  <c r="AX82" i="5" s="1"/>
  <c r="AS83" i="5"/>
  <c r="AX83" i="5" s="1"/>
  <c r="AS84" i="5"/>
  <c r="AX84" i="5" s="1"/>
  <c r="AS85" i="5"/>
  <c r="AX85" i="5" s="1"/>
  <c r="AS86" i="5"/>
  <c r="AX86" i="5" s="1"/>
  <c r="AS87" i="5"/>
  <c r="AX87" i="5" s="1"/>
  <c r="AS88" i="5"/>
  <c r="AX88" i="5" s="1"/>
  <c r="AS89" i="5"/>
  <c r="AS90" i="5"/>
  <c r="AX90" i="5" s="1"/>
  <c r="AS91" i="5"/>
  <c r="AX91" i="5" s="1"/>
  <c r="AS92" i="5"/>
  <c r="AX92" i="5" s="1"/>
  <c r="AS93" i="5"/>
  <c r="AX93" i="5" s="1"/>
  <c r="AS94" i="5"/>
  <c r="AX94" i="5" s="1"/>
  <c r="AS95" i="5"/>
  <c r="AX95" i="5" s="1"/>
  <c r="AS96" i="5"/>
  <c r="AX96" i="5" s="1"/>
  <c r="AS97" i="5"/>
  <c r="AS98" i="5"/>
  <c r="AX98" i="5" s="1"/>
  <c r="AS99" i="5"/>
  <c r="AX99" i="5" s="1"/>
  <c r="AS100" i="5"/>
  <c r="AX100" i="5" s="1"/>
  <c r="AS101" i="5"/>
  <c r="AX101" i="5" s="1"/>
  <c r="AS102" i="5"/>
  <c r="AX102" i="5" s="1"/>
  <c r="AS103" i="5"/>
  <c r="AX103" i="5" s="1"/>
  <c r="AS104" i="5"/>
  <c r="AX104" i="5" s="1"/>
  <c r="AS105" i="5"/>
  <c r="AS106" i="5"/>
  <c r="AX106" i="5" s="1"/>
  <c r="AS107" i="5"/>
  <c r="AX107" i="5" s="1"/>
  <c r="AS108" i="5"/>
  <c r="AX108" i="5" s="1"/>
  <c r="AS109" i="5"/>
  <c r="AX109" i="5" s="1"/>
  <c r="AS110" i="5"/>
  <c r="AX110" i="5" s="1"/>
  <c r="AS111" i="5"/>
  <c r="AX111" i="5" s="1"/>
  <c r="AS112" i="5"/>
  <c r="AX112" i="5" s="1"/>
  <c r="AS113" i="5"/>
  <c r="AS114" i="5"/>
  <c r="AX114" i="5" s="1"/>
  <c r="AS115" i="5"/>
  <c r="AX115" i="5" s="1"/>
  <c r="AS116" i="5"/>
  <c r="AX116" i="5" s="1"/>
  <c r="AS117" i="5"/>
  <c r="AX117" i="5" s="1"/>
  <c r="AS118" i="5"/>
  <c r="AX118" i="5" s="1"/>
  <c r="AS119" i="5"/>
  <c r="AX119" i="5" s="1"/>
  <c r="AS120" i="5"/>
  <c r="AX120" i="5" s="1"/>
  <c r="AS121" i="5"/>
  <c r="AS122" i="5"/>
  <c r="AX122" i="5" s="1"/>
  <c r="AS123" i="5"/>
  <c r="AX123" i="5" s="1"/>
  <c r="AS124" i="5"/>
  <c r="AX124" i="5" s="1"/>
  <c r="AS125" i="5"/>
  <c r="AX125" i="5" s="1"/>
  <c r="AS126" i="5"/>
  <c r="AX126" i="5" s="1"/>
  <c r="AS127" i="5"/>
  <c r="AX127" i="5" s="1"/>
  <c r="AS128" i="5"/>
  <c r="AX128" i="5" s="1"/>
  <c r="AS129" i="5"/>
  <c r="AS130" i="5"/>
  <c r="AX130" i="5" s="1"/>
  <c r="AS131" i="5"/>
  <c r="AX131" i="5" s="1"/>
  <c r="AS132" i="5"/>
  <c r="AX132" i="5" s="1"/>
  <c r="AS133" i="5"/>
  <c r="AX133" i="5" s="1"/>
  <c r="AS134" i="5"/>
  <c r="AX134" i="5" s="1"/>
  <c r="AS135" i="5"/>
  <c r="AX135" i="5" s="1"/>
  <c r="AS136" i="5"/>
  <c r="AX136" i="5" s="1"/>
  <c r="AS137" i="5"/>
  <c r="AS138" i="5"/>
  <c r="AX138" i="5" s="1"/>
  <c r="AS139" i="5"/>
  <c r="AX139" i="5" s="1"/>
  <c r="AS140" i="5"/>
  <c r="AX140" i="5" s="1"/>
  <c r="AS141" i="5"/>
  <c r="AX141" i="5" s="1"/>
  <c r="AS142" i="5"/>
  <c r="AX142" i="5" s="1"/>
  <c r="AS143" i="5"/>
  <c r="AX143" i="5" s="1"/>
  <c r="AS144" i="5"/>
  <c r="AX144" i="5" s="1"/>
  <c r="AS145" i="5"/>
  <c r="AS146" i="5"/>
  <c r="AX146" i="5" s="1"/>
  <c r="AS147" i="5"/>
  <c r="AX147" i="5" s="1"/>
  <c r="AS148" i="5"/>
  <c r="AX148" i="5" s="1"/>
  <c r="AS149" i="5"/>
  <c r="AX149" i="5" s="1"/>
  <c r="AS150" i="5"/>
  <c r="AX150" i="5" s="1"/>
  <c r="AS151" i="5"/>
  <c r="AX151" i="5" s="1"/>
  <c r="AS152" i="5"/>
  <c r="AX152" i="5" s="1"/>
  <c r="AS153" i="5"/>
  <c r="AS154" i="5"/>
  <c r="AX154" i="5" s="1"/>
  <c r="AS155" i="5"/>
  <c r="AX155" i="5" s="1"/>
  <c r="AS156" i="5"/>
  <c r="AX156" i="5" s="1"/>
  <c r="AS157" i="5"/>
  <c r="AX157" i="5" s="1"/>
  <c r="AS158" i="5"/>
  <c r="AX158" i="5" s="1"/>
  <c r="AS159" i="5"/>
  <c r="AX159" i="5" s="1"/>
  <c r="AS160" i="5"/>
  <c r="AX160" i="5" s="1"/>
  <c r="AS161" i="5"/>
  <c r="AS162" i="5"/>
  <c r="AX162" i="5" s="1"/>
  <c r="AS163" i="5"/>
  <c r="AX163" i="5" s="1"/>
  <c r="AS164" i="5"/>
  <c r="AX164" i="5" s="1"/>
  <c r="AS165" i="5"/>
  <c r="AX165" i="5" s="1"/>
  <c r="AS166" i="5"/>
  <c r="AX166" i="5" s="1"/>
  <c r="AS167" i="5"/>
  <c r="AX167" i="5" s="1"/>
  <c r="AS168" i="5"/>
  <c r="AX168" i="5" s="1"/>
  <c r="AS169" i="5"/>
  <c r="AS170" i="5"/>
  <c r="AX170" i="5" s="1"/>
  <c r="AS171" i="5"/>
  <c r="AX171" i="5" s="1"/>
  <c r="AS172" i="5"/>
  <c r="AX172" i="5" s="1"/>
  <c r="AS173" i="5"/>
  <c r="AX173" i="5" s="1"/>
  <c r="AS174" i="5"/>
  <c r="AX174" i="5" s="1"/>
  <c r="AS175" i="5"/>
  <c r="AX175" i="5" s="1"/>
  <c r="AS176" i="5"/>
  <c r="AX176" i="5" s="1"/>
  <c r="AS177" i="5"/>
  <c r="AS178" i="5"/>
  <c r="AX178" i="5" s="1"/>
  <c r="AS179" i="5"/>
  <c r="AX179" i="5" s="1"/>
  <c r="AS180" i="5"/>
  <c r="AX180" i="5" s="1"/>
  <c r="AS181" i="5"/>
  <c r="AX181" i="5" s="1"/>
  <c r="AS182" i="5"/>
  <c r="AX182" i="5" s="1"/>
  <c r="AS183" i="5"/>
  <c r="AX183" i="5" s="1"/>
  <c r="AS184" i="5"/>
  <c r="AX184" i="5" s="1"/>
  <c r="AS185" i="5"/>
  <c r="AS186" i="5"/>
  <c r="AX186" i="5" s="1"/>
  <c r="AS187" i="5"/>
  <c r="AX187" i="5" s="1"/>
  <c r="AS188" i="5"/>
  <c r="AX188" i="5" s="1"/>
  <c r="AS189" i="5"/>
  <c r="AX189" i="5" s="1"/>
  <c r="AS190" i="5"/>
  <c r="AX190" i="5" s="1"/>
  <c r="AS191" i="5"/>
  <c r="AX191" i="5" s="1"/>
  <c r="AS192" i="5"/>
  <c r="AX192" i="5" s="1"/>
  <c r="AS193" i="5"/>
  <c r="AS194" i="5"/>
  <c r="AX194" i="5" s="1"/>
  <c r="AS195" i="5"/>
  <c r="AX195" i="5" s="1"/>
  <c r="AS196" i="5"/>
  <c r="AX196" i="5" s="1"/>
  <c r="AS197" i="5"/>
  <c r="AX197" i="5" s="1"/>
  <c r="AS198" i="5"/>
  <c r="AX198" i="5" s="1"/>
  <c r="AS199" i="5"/>
  <c r="AX199" i="5" s="1"/>
  <c r="AS200" i="5"/>
  <c r="AX200" i="5" s="1"/>
  <c r="AS201" i="5"/>
  <c r="AS202" i="5"/>
  <c r="AX202" i="5" s="1"/>
  <c r="AS203" i="5"/>
  <c r="AX203" i="5" s="1"/>
  <c r="AS204" i="5"/>
  <c r="AX204" i="5" s="1"/>
  <c r="AS205" i="5"/>
  <c r="AX205" i="5" s="1"/>
  <c r="AS206" i="5"/>
  <c r="AX206" i="5" s="1"/>
  <c r="AS207" i="5"/>
  <c r="AX207" i="5" s="1"/>
  <c r="AS208" i="5"/>
  <c r="AX208" i="5" s="1"/>
  <c r="AS209" i="5"/>
  <c r="AS210" i="5"/>
  <c r="AX210" i="5" s="1"/>
  <c r="AS211" i="5"/>
  <c r="AX211" i="5" s="1"/>
  <c r="AS212" i="5"/>
  <c r="AX212" i="5" s="1"/>
  <c r="AS213" i="5"/>
  <c r="AX213" i="5" s="1"/>
  <c r="AS214" i="5"/>
  <c r="AX214" i="5" s="1"/>
  <c r="AS215" i="5"/>
  <c r="AX215" i="5" s="1"/>
  <c r="AS216" i="5"/>
  <c r="AX216" i="5" s="1"/>
  <c r="AS217" i="5"/>
  <c r="AS218" i="5"/>
  <c r="AX218" i="5" s="1"/>
  <c r="AS219" i="5"/>
  <c r="AX219" i="5" s="1"/>
  <c r="AS220" i="5"/>
  <c r="AX220" i="5" s="1"/>
  <c r="AS221" i="5"/>
  <c r="AX221" i="5" s="1"/>
  <c r="AS222" i="5"/>
  <c r="AX222" i="5" s="1"/>
  <c r="AS223" i="5"/>
  <c r="AX223" i="5" s="1"/>
  <c r="AS224" i="5"/>
  <c r="AX224" i="5" s="1"/>
  <c r="AS225" i="5"/>
  <c r="AS226" i="5"/>
  <c r="AX226" i="5" s="1"/>
  <c r="AS227" i="5"/>
  <c r="AX227" i="5" s="1"/>
  <c r="AS228" i="5"/>
  <c r="AX228" i="5" s="1"/>
  <c r="AS229" i="5"/>
  <c r="AX229" i="5" s="1"/>
  <c r="AS230" i="5"/>
  <c r="AX230" i="5" s="1"/>
  <c r="AS231" i="5"/>
  <c r="AX231" i="5" s="1"/>
  <c r="AS232" i="5"/>
  <c r="AX232" i="5" s="1"/>
  <c r="AS233" i="5"/>
  <c r="AS234" i="5"/>
  <c r="AX234" i="5" s="1"/>
  <c r="AS235" i="5"/>
  <c r="AX235" i="5" s="1"/>
  <c r="AS236" i="5"/>
  <c r="AX236" i="5" s="1"/>
  <c r="AS237" i="5"/>
  <c r="AX237" i="5" s="1"/>
  <c r="AS238" i="5"/>
  <c r="AX238" i="5" s="1"/>
  <c r="AS239" i="5"/>
  <c r="AX239" i="5" s="1"/>
  <c r="AS240" i="5"/>
  <c r="AX240" i="5" s="1"/>
  <c r="AS241" i="5"/>
  <c r="AS242" i="5"/>
  <c r="AX242" i="5" s="1"/>
  <c r="AS243" i="5"/>
  <c r="AX243" i="5" s="1"/>
  <c r="AS244" i="5"/>
  <c r="AX244" i="5" s="1"/>
  <c r="AS245" i="5"/>
  <c r="AX245" i="5" s="1"/>
  <c r="AS246" i="5"/>
  <c r="AX246" i="5" s="1"/>
  <c r="AS247" i="5"/>
  <c r="AX247" i="5" s="1"/>
  <c r="AS248" i="5"/>
  <c r="AX248" i="5" s="1"/>
  <c r="AS249" i="5"/>
  <c r="AS250" i="5"/>
  <c r="AX250" i="5" s="1"/>
  <c r="AS251" i="5"/>
  <c r="AX251" i="5" s="1"/>
  <c r="AS252" i="5"/>
  <c r="AX252" i="5" s="1"/>
  <c r="AS253" i="5"/>
  <c r="AX253" i="5" s="1"/>
  <c r="AS254" i="5"/>
  <c r="AX254" i="5" s="1"/>
  <c r="AS255" i="5"/>
  <c r="AX255" i="5" s="1"/>
  <c r="AS256" i="5"/>
  <c r="AX256" i="5" s="1"/>
  <c r="AS257" i="5"/>
  <c r="AS258" i="5"/>
  <c r="AX258" i="5" s="1"/>
  <c r="AS259" i="5"/>
  <c r="AX259" i="5" s="1"/>
  <c r="AS260" i="5"/>
  <c r="AX260" i="5" s="1"/>
  <c r="AS261" i="5"/>
  <c r="AX261" i="5" s="1"/>
  <c r="AS262" i="5"/>
  <c r="AX262" i="5" s="1"/>
  <c r="AS263" i="5"/>
  <c r="AX263" i="5" s="1"/>
  <c r="AS264" i="5"/>
  <c r="AX264" i="5" s="1"/>
  <c r="AS265" i="5"/>
  <c r="AS266" i="5"/>
  <c r="AX266" i="5" s="1"/>
  <c r="AS267" i="5"/>
  <c r="AX267" i="5" s="1"/>
  <c r="AS268" i="5"/>
  <c r="AX268" i="5" s="1"/>
  <c r="AS269" i="5"/>
  <c r="AX269" i="5" s="1"/>
  <c r="AS270" i="5"/>
  <c r="AX270" i="5" s="1"/>
  <c r="AS271" i="5"/>
  <c r="AX271" i="5" s="1"/>
  <c r="AS272" i="5"/>
  <c r="AX272" i="5" s="1"/>
  <c r="AS273" i="5"/>
  <c r="AS274" i="5"/>
  <c r="AX274" i="5" s="1"/>
  <c r="AS275" i="5"/>
  <c r="AX275" i="5" s="1"/>
  <c r="AS276" i="5"/>
  <c r="AX276" i="5" s="1"/>
  <c r="AS277" i="5"/>
  <c r="AX277" i="5" s="1"/>
  <c r="AS278" i="5"/>
  <c r="AX278" i="5" s="1"/>
  <c r="AS279" i="5"/>
  <c r="AX279" i="5" s="1"/>
  <c r="AS280" i="5"/>
  <c r="AX280" i="5" s="1"/>
  <c r="AS281" i="5"/>
  <c r="AS282" i="5"/>
  <c r="AX282" i="5" s="1"/>
  <c r="AS283" i="5"/>
  <c r="AX283" i="5" s="1"/>
  <c r="AS284" i="5"/>
  <c r="AX284" i="5" s="1"/>
  <c r="AS285" i="5"/>
  <c r="AX285" i="5" s="1"/>
  <c r="AS286" i="5"/>
  <c r="AX286" i="5" s="1"/>
  <c r="AS287" i="5"/>
  <c r="AX287" i="5" s="1"/>
  <c r="AS288" i="5"/>
  <c r="AX288" i="5" s="1"/>
  <c r="AS289" i="5"/>
  <c r="AS290" i="5"/>
  <c r="AX290" i="5" s="1"/>
  <c r="AS291" i="5"/>
  <c r="AX291" i="5" s="1"/>
  <c r="AS292" i="5"/>
  <c r="AX292" i="5" s="1"/>
  <c r="AS293" i="5"/>
  <c r="AX293" i="5" s="1"/>
  <c r="AS294" i="5"/>
  <c r="AX294" i="5" s="1"/>
  <c r="AS295" i="5"/>
  <c r="AX295" i="5" s="1"/>
  <c r="AS296" i="5"/>
  <c r="AX296" i="5" s="1"/>
  <c r="AS297" i="5"/>
  <c r="AS298" i="5"/>
  <c r="AX298" i="5" s="1"/>
  <c r="AS299" i="5"/>
  <c r="AX299" i="5" s="1"/>
  <c r="AS300" i="5"/>
  <c r="AX300" i="5" s="1"/>
  <c r="AS301" i="5"/>
  <c r="AX301" i="5" s="1"/>
  <c r="AS302" i="5"/>
  <c r="AX302" i="5" s="1"/>
  <c r="AS303" i="5"/>
  <c r="AX303" i="5" s="1"/>
  <c r="AS304" i="5"/>
  <c r="AX304" i="5" s="1"/>
  <c r="AS305" i="5"/>
  <c r="AS306" i="5"/>
  <c r="AX306" i="5" s="1"/>
  <c r="AS307" i="5"/>
  <c r="AX307" i="5" s="1"/>
  <c r="AS308" i="5"/>
  <c r="AX308" i="5" s="1"/>
  <c r="AS309" i="5"/>
  <c r="AX309" i="5" s="1"/>
  <c r="AS310" i="5"/>
  <c r="AX310" i="5" s="1"/>
  <c r="AS311" i="5"/>
  <c r="AX311" i="5" s="1"/>
  <c r="AS312" i="5"/>
  <c r="AX312" i="5" s="1"/>
  <c r="AS313" i="5"/>
  <c r="AS314" i="5"/>
  <c r="AX314" i="5" s="1"/>
  <c r="AS315" i="5"/>
  <c r="AX315" i="5" s="1"/>
  <c r="AS316" i="5"/>
  <c r="AX316" i="5" s="1"/>
  <c r="AS317" i="5"/>
  <c r="AX317" i="5" s="1"/>
  <c r="AS318" i="5"/>
  <c r="AX318" i="5" s="1"/>
  <c r="AS319" i="5"/>
  <c r="AX319" i="5" s="1"/>
  <c r="AS320" i="5"/>
  <c r="AX320" i="5" s="1"/>
  <c r="AS321" i="5"/>
  <c r="AS322" i="5"/>
  <c r="AX322" i="5" s="1"/>
  <c r="AS323" i="5"/>
  <c r="AX323" i="5" s="1"/>
  <c r="AS324" i="5"/>
  <c r="AX324" i="5" s="1"/>
  <c r="AS325" i="5"/>
  <c r="AX325" i="5" s="1"/>
  <c r="AS326" i="5"/>
  <c r="AX326" i="5" s="1"/>
  <c r="AS327" i="5"/>
  <c r="AX327" i="5" s="1"/>
  <c r="AS328" i="5"/>
  <c r="AX328" i="5" s="1"/>
  <c r="AS329" i="5"/>
  <c r="AS330" i="5"/>
  <c r="AX330" i="5" s="1"/>
  <c r="AS331" i="5"/>
  <c r="AX331" i="5" s="1"/>
  <c r="AS332" i="5"/>
  <c r="AX332" i="5" s="1"/>
  <c r="AS333" i="5"/>
  <c r="AX333" i="5" s="1"/>
  <c r="AS334" i="5"/>
  <c r="AX334" i="5" s="1"/>
  <c r="AS335" i="5"/>
  <c r="AX335" i="5" s="1"/>
  <c r="AS336" i="5"/>
  <c r="AX336" i="5" s="1"/>
  <c r="AS337" i="5"/>
  <c r="AS338" i="5"/>
  <c r="AX338" i="5" s="1"/>
  <c r="AS339" i="5"/>
  <c r="AX339" i="5" s="1"/>
  <c r="AS340" i="5"/>
  <c r="AX340" i="5" s="1"/>
  <c r="AS341" i="5"/>
  <c r="AX341" i="5" s="1"/>
  <c r="AS342" i="5"/>
  <c r="AX342" i="5" s="1"/>
  <c r="AS343" i="5"/>
  <c r="AX343" i="5" s="1"/>
  <c r="AS344" i="5"/>
  <c r="AX344" i="5" s="1"/>
  <c r="AS345" i="5"/>
  <c r="AS346" i="5"/>
  <c r="AX346" i="5" s="1"/>
  <c r="AS347" i="5"/>
  <c r="AX347" i="5" s="1"/>
  <c r="AS348" i="5"/>
  <c r="AX348" i="5" s="1"/>
  <c r="AS349" i="5"/>
  <c r="AX349" i="5" s="1"/>
  <c r="AS350" i="5"/>
  <c r="AX350" i="5" s="1"/>
  <c r="AS351" i="5"/>
  <c r="AX351" i="5" s="1"/>
  <c r="AS352" i="5"/>
  <c r="AX352" i="5" s="1"/>
  <c r="AS353" i="5"/>
  <c r="AS354" i="5"/>
  <c r="AX354" i="5" s="1"/>
  <c r="AS355" i="5"/>
  <c r="AX355" i="5" s="1"/>
  <c r="AS356" i="5"/>
  <c r="AX356" i="5" s="1"/>
  <c r="AS357" i="5"/>
  <c r="AX357" i="5" s="1"/>
  <c r="AS358" i="5"/>
  <c r="AX358" i="5" s="1"/>
  <c r="AS359" i="5"/>
  <c r="AX359" i="5" s="1"/>
  <c r="AS360" i="5"/>
  <c r="AX360" i="5" s="1"/>
  <c r="AS361" i="5"/>
  <c r="AS362" i="5"/>
  <c r="AX362" i="5" s="1"/>
  <c r="AS363" i="5"/>
  <c r="AX363" i="5" s="1"/>
  <c r="AS364" i="5"/>
  <c r="AX364" i="5" s="1"/>
  <c r="AS365" i="5"/>
  <c r="AX365" i="5" s="1"/>
  <c r="AS366" i="5"/>
  <c r="AX366" i="5" s="1"/>
  <c r="AS367" i="5"/>
  <c r="AX367" i="5" s="1"/>
  <c r="AS368" i="5"/>
  <c r="AX368" i="5" s="1"/>
  <c r="AS369" i="5"/>
  <c r="AS370" i="5"/>
  <c r="AX370" i="5" s="1"/>
  <c r="AS371" i="5"/>
  <c r="AX371" i="5" s="1"/>
  <c r="AS372" i="5"/>
  <c r="AX372" i="5" s="1"/>
  <c r="AS373" i="5"/>
  <c r="AX373" i="5" s="1"/>
  <c r="AS374" i="5"/>
  <c r="AX374" i="5" s="1"/>
  <c r="AS375" i="5"/>
  <c r="AX375" i="5" s="1"/>
  <c r="AS376" i="5"/>
  <c r="AX376" i="5" s="1"/>
  <c r="AS377" i="5"/>
  <c r="AS378" i="5"/>
  <c r="AX378" i="5" s="1"/>
  <c r="AS379" i="5"/>
  <c r="AX379" i="5" s="1"/>
  <c r="AS380" i="5"/>
  <c r="AX380" i="5" s="1"/>
  <c r="AS381" i="5"/>
  <c r="AX381" i="5" s="1"/>
  <c r="AS382" i="5"/>
  <c r="AX382" i="5" s="1"/>
  <c r="AS383" i="5"/>
  <c r="AX383" i="5" s="1"/>
  <c r="AS384" i="5"/>
  <c r="AX384" i="5" s="1"/>
  <c r="AS385" i="5"/>
  <c r="AS386" i="5"/>
  <c r="AX386" i="5" s="1"/>
  <c r="AS387" i="5"/>
  <c r="AX387" i="5" s="1"/>
  <c r="AS388" i="5"/>
  <c r="AX388" i="5" s="1"/>
  <c r="AS389" i="5"/>
  <c r="AX389" i="5" s="1"/>
  <c r="AS390" i="5"/>
  <c r="AX390" i="5" s="1"/>
  <c r="AS391" i="5"/>
  <c r="AX391" i="5" s="1"/>
  <c r="AS392" i="5"/>
  <c r="AX392" i="5" s="1"/>
  <c r="AS393" i="5"/>
  <c r="AS394" i="5"/>
  <c r="AX394" i="5" s="1"/>
  <c r="AS395" i="5"/>
  <c r="AX395" i="5" s="1"/>
  <c r="AS396" i="5"/>
  <c r="AX396" i="5" s="1"/>
  <c r="AS397" i="5"/>
  <c r="AX397" i="5" s="1"/>
  <c r="AS398" i="5"/>
  <c r="AX398" i="5" s="1"/>
  <c r="AS399" i="5"/>
  <c r="AX399" i="5" s="1"/>
  <c r="AS400" i="5"/>
  <c r="AX400" i="5" s="1"/>
  <c r="AS401" i="5"/>
  <c r="AS402" i="5"/>
  <c r="AX402" i="5" s="1"/>
  <c r="AS403" i="5"/>
  <c r="AX403" i="5" s="1"/>
  <c r="AS404" i="5"/>
  <c r="AX404" i="5" s="1"/>
  <c r="AS405" i="5"/>
  <c r="AX405" i="5" s="1"/>
  <c r="AS406" i="5"/>
  <c r="AX406" i="5" s="1"/>
  <c r="AS407" i="5"/>
  <c r="AX407" i="5" s="1"/>
  <c r="AS408" i="5"/>
  <c r="AX408" i="5" s="1"/>
  <c r="AS409" i="5"/>
  <c r="AS410" i="5"/>
  <c r="AX410" i="5" s="1"/>
  <c r="AS411" i="5"/>
  <c r="AX411" i="5" s="1"/>
  <c r="AS412" i="5"/>
  <c r="AX412" i="5" s="1"/>
  <c r="AS413" i="5"/>
  <c r="AX413" i="5" s="1"/>
  <c r="AS414" i="5"/>
  <c r="AX414" i="5" s="1"/>
  <c r="AS415" i="5"/>
  <c r="AX415" i="5" s="1"/>
  <c r="AS416" i="5"/>
  <c r="AX416" i="5" s="1"/>
  <c r="AS417" i="5"/>
  <c r="AS418" i="5"/>
  <c r="AX418" i="5" s="1"/>
  <c r="AS419" i="5"/>
  <c r="AX419" i="5" s="1"/>
  <c r="AS420" i="5"/>
  <c r="AX420" i="5" s="1"/>
  <c r="AS421" i="5"/>
  <c r="AX421" i="5" s="1"/>
  <c r="AS422" i="5"/>
  <c r="AX422" i="5" s="1"/>
  <c r="AS423" i="5"/>
  <c r="AX423" i="5" s="1"/>
  <c r="AS424" i="5"/>
  <c r="AX424" i="5" s="1"/>
  <c r="AS425" i="5"/>
  <c r="AS426" i="5"/>
  <c r="AX426" i="5" s="1"/>
  <c r="AS427" i="5"/>
  <c r="AX427" i="5" s="1"/>
  <c r="AS428" i="5"/>
  <c r="AX428" i="5" s="1"/>
  <c r="AS429" i="5"/>
  <c r="AX429" i="5" s="1"/>
  <c r="AS430" i="5"/>
  <c r="AX430" i="5" s="1"/>
  <c r="AS431" i="5"/>
  <c r="AX431" i="5" s="1"/>
  <c r="AS432" i="5"/>
  <c r="AX432" i="5" s="1"/>
  <c r="AS433" i="5"/>
  <c r="AS434" i="5"/>
  <c r="AX434" i="5" s="1"/>
  <c r="AS435" i="5"/>
  <c r="AX435" i="5" s="1"/>
  <c r="AS436" i="5"/>
  <c r="AX436" i="5" s="1"/>
  <c r="AS437" i="5"/>
  <c r="AX437" i="5" s="1"/>
  <c r="AS438" i="5"/>
  <c r="AX438" i="5" s="1"/>
  <c r="AS439" i="5"/>
  <c r="AX439" i="5" s="1"/>
  <c r="AS440" i="5"/>
  <c r="AX440" i="5" s="1"/>
  <c r="AS441" i="5"/>
  <c r="AS442" i="5"/>
  <c r="AX442" i="5" s="1"/>
  <c r="AS443" i="5"/>
  <c r="AX443" i="5" s="1"/>
  <c r="AS444" i="5"/>
  <c r="AX444" i="5" s="1"/>
  <c r="AS445" i="5"/>
  <c r="AX445" i="5" s="1"/>
  <c r="AS446" i="5"/>
  <c r="AX446" i="5" s="1"/>
  <c r="AS447" i="5"/>
  <c r="AX447" i="5" s="1"/>
  <c r="AS448" i="5"/>
  <c r="AX448" i="5" s="1"/>
  <c r="AS449" i="5"/>
  <c r="AS450" i="5"/>
  <c r="AX450" i="5" s="1"/>
  <c r="AS451" i="5"/>
  <c r="AX451" i="5" s="1"/>
  <c r="AS452" i="5"/>
  <c r="AX452" i="5" s="1"/>
  <c r="AS453" i="5"/>
  <c r="AX453" i="5" s="1"/>
  <c r="AS454" i="5"/>
  <c r="AX454" i="5" s="1"/>
  <c r="AS455" i="5"/>
  <c r="AX455" i="5" s="1"/>
  <c r="AS456" i="5"/>
  <c r="AX456" i="5" s="1"/>
  <c r="AS457" i="5"/>
  <c r="AS458" i="5"/>
  <c r="AX458" i="5" s="1"/>
  <c r="AS459" i="5"/>
  <c r="AX459" i="5" s="1"/>
  <c r="AS460" i="5"/>
  <c r="AX460" i="5" s="1"/>
  <c r="AS461" i="5"/>
  <c r="AX461" i="5" s="1"/>
  <c r="AS462" i="5"/>
  <c r="AX462" i="5" s="1"/>
  <c r="AS463" i="5"/>
  <c r="AX463" i="5" s="1"/>
  <c r="AS464" i="5"/>
  <c r="AX464" i="5" s="1"/>
  <c r="AS465" i="5"/>
  <c r="AS466" i="5"/>
  <c r="AX466" i="5" s="1"/>
  <c r="AS467" i="5"/>
  <c r="AX467" i="5" s="1"/>
  <c r="AS468" i="5"/>
  <c r="AX468" i="5" s="1"/>
  <c r="AS469" i="5"/>
  <c r="AX469" i="5" s="1"/>
  <c r="AS470" i="5"/>
  <c r="AX470" i="5" s="1"/>
  <c r="AS471" i="5"/>
  <c r="AX471" i="5" s="1"/>
  <c r="AS472" i="5"/>
  <c r="AX472" i="5" s="1"/>
  <c r="AS473" i="5"/>
  <c r="AS474" i="5"/>
  <c r="AX474" i="5" s="1"/>
  <c r="AS475" i="5"/>
  <c r="AX475" i="5" s="1"/>
  <c r="AS476" i="5"/>
  <c r="AX476" i="5" s="1"/>
  <c r="AS477" i="5"/>
  <c r="AX477" i="5" s="1"/>
  <c r="AS478" i="5"/>
  <c r="AX478" i="5" s="1"/>
  <c r="AS479" i="5"/>
  <c r="AX479" i="5" s="1"/>
  <c r="AS480" i="5"/>
  <c r="AX480" i="5" s="1"/>
  <c r="AS481" i="5"/>
  <c r="AS482" i="5"/>
  <c r="AX482" i="5" s="1"/>
  <c r="AS483" i="5"/>
  <c r="AX483" i="5" s="1"/>
  <c r="AS484" i="5"/>
  <c r="AX484" i="5" s="1"/>
  <c r="AS485" i="5"/>
  <c r="AX485" i="5" s="1"/>
  <c r="AS486" i="5"/>
  <c r="AX486" i="5" s="1"/>
  <c r="AS487" i="5"/>
  <c r="AX487" i="5" s="1"/>
  <c r="AS488" i="5"/>
  <c r="AX488" i="5" s="1"/>
  <c r="AS489" i="5"/>
  <c r="AS490" i="5"/>
  <c r="AX490" i="5" s="1"/>
  <c r="AS491" i="5"/>
  <c r="AX491" i="5" s="1"/>
  <c r="AS492" i="5"/>
  <c r="AX492" i="5" s="1"/>
  <c r="AS493" i="5"/>
  <c r="AX493" i="5" s="1"/>
  <c r="AS494" i="5"/>
  <c r="AX494" i="5" s="1"/>
  <c r="AS495" i="5"/>
  <c r="AX495" i="5" s="1"/>
  <c r="AS496" i="5"/>
  <c r="AX496" i="5" s="1"/>
  <c r="AS497" i="5"/>
  <c r="AS498" i="5"/>
  <c r="AX498" i="5" s="1"/>
  <c r="AS499" i="5"/>
  <c r="AX499" i="5" s="1"/>
  <c r="AS500" i="5"/>
  <c r="AX500" i="5" s="1"/>
  <c r="AS501" i="5"/>
  <c r="AX501" i="5" s="1"/>
  <c r="AS502" i="5"/>
  <c r="AX502" i="5" s="1"/>
  <c r="AS503" i="5"/>
  <c r="AX503" i="5" s="1"/>
  <c r="AS504" i="5"/>
  <c r="AX504" i="5" s="1"/>
  <c r="AS505" i="5"/>
  <c r="AS506" i="5"/>
  <c r="AX506" i="5" s="1"/>
  <c r="AS507" i="5"/>
  <c r="AX507" i="5" s="1"/>
  <c r="AS508" i="5"/>
  <c r="AX508" i="5" s="1"/>
  <c r="AS509" i="5"/>
  <c r="AX509" i="5" s="1"/>
  <c r="AS510" i="5"/>
  <c r="AX510" i="5" s="1"/>
  <c r="AS511" i="5"/>
  <c r="AX511" i="5" s="1"/>
  <c r="AS512" i="5"/>
  <c r="AX512" i="5" s="1"/>
  <c r="AS513" i="5"/>
  <c r="AS514" i="5"/>
  <c r="AX514" i="5" s="1"/>
  <c r="AS515" i="5"/>
  <c r="AX515" i="5" s="1"/>
  <c r="AS516" i="5"/>
  <c r="AX516" i="5" s="1"/>
  <c r="AS517" i="5"/>
  <c r="AX517" i="5" s="1"/>
  <c r="AS518" i="5"/>
  <c r="AX518" i="5" s="1"/>
  <c r="AS519" i="5"/>
  <c r="AX519" i="5" s="1"/>
  <c r="AS520" i="5"/>
  <c r="AX520" i="5" s="1"/>
  <c r="AS521" i="5"/>
  <c r="AS522" i="5"/>
  <c r="AX522" i="5" s="1"/>
  <c r="AS523" i="5"/>
  <c r="AX523" i="5" s="1"/>
  <c r="AS524" i="5"/>
  <c r="AX524" i="5" s="1"/>
  <c r="AS525" i="5"/>
  <c r="AX525" i="5" s="1"/>
  <c r="AS526" i="5"/>
  <c r="AX526" i="5" s="1"/>
  <c r="AS527" i="5"/>
  <c r="AX527" i="5" s="1"/>
  <c r="AS528" i="5"/>
  <c r="AX528" i="5" s="1"/>
  <c r="AS529" i="5"/>
  <c r="AS530" i="5"/>
  <c r="AX530" i="5" s="1"/>
  <c r="AS531" i="5"/>
  <c r="AX531" i="5" s="1"/>
  <c r="AS532" i="5"/>
  <c r="AX532" i="5" s="1"/>
  <c r="AS533" i="5"/>
  <c r="AX533" i="5" s="1"/>
  <c r="AS534" i="5"/>
  <c r="AX534" i="5" s="1"/>
  <c r="AS535" i="5"/>
  <c r="AX535" i="5" s="1"/>
  <c r="AS536" i="5"/>
  <c r="AX536" i="5" s="1"/>
  <c r="AS537" i="5"/>
  <c r="AS538" i="5"/>
  <c r="AX538" i="5" s="1"/>
  <c r="AS539" i="5"/>
  <c r="AX539" i="5" s="1"/>
  <c r="AS540" i="5"/>
  <c r="AX540" i="5" s="1"/>
  <c r="AS541" i="5"/>
  <c r="AX541" i="5" s="1"/>
  <c r="AS542" i="5"/>
  <c r="AX542" i="5" s="1"/>
  <c r="AS543" i="5"/>
  <c r="AX543" i="5" s="1"/>
  <c r="AS544" i="5"/>
  <c r="AX544" i="5" s="1"/>
  <c r="AS545" i="5"/>
  <c r="AS546" i="5"/>
  <c r="AX546" i="5" s="1"/>
  <c r="AS547" i="5"/>
  <c r="AX547" i="5" s="1"/>
  <c r="AS548" i="5"/>
  <c r="AX548" i="5" s="1"/>
  <c r="AS549" i="5"/>
  <c r="AX549" i="5" s="1"/>
  <c r="AS550" i="5"/>
  <c r="AX550" i="5" s="1"/>
  <c r="AS551" i="5"/>
  <c r="AX551" i="5" s="1"/>
  <c r="AS552" i="5"/>
  <c r="AX552" i="5" s="1"/>
  <c r="AS553" i="5"/>
  <c r="AS554" i="5"/>
  <c r="AX554" i="5" s="1"/>
  <c r="AS555" i="5"/>
  <c r="AX555" i="5" s="1"/>
  <c r="AS556" i="5"/>
  <c r="AX556" i="5" s="1"/>
  <c r="AS557" i="5"/>
  <c r="AX557" i="5" s="1"/>
  <c r="AS558" i="5"/>
  <c r="AX558" i="5" s="1"/>
  <c r="AS559" i="5"/>
  <c r="AX559" i="5" s="1"/>
  <c r="AS560" i="5"/>
  <c r="AX560" i="5" s="1"/>
  <c r="AS561" i="5"/>
  <c r="AS562" i="5"/>
  <c r="AX562" i="5" s="1"/>
  <c r="AS563" i="5"/>
  <c r="AX563" i="5" s="1"/>
  <c r="AS564" i="5"/>
  <c r="AX564" i="5" s="1"/>
  <c r="AS565" i="5"/>
  <c r="AX565" i="5" s="1"/>
  <c r="AS566" i="5"/>
  <c r="AX566" i="5" s="1"/>
  <c r="AS567" i="5"/>
  <c r="AX567" i="5" s="1"/>
  <c r="AS568" i="5"/>
  <c r="AX568" i="5" s="1"/>
  <c r="AS569" i="5"/>
  <c r="AS570" i="5"/>
  <c r="AX570" i="5" s="1"/>
  <c r="AS571" i="5"/>
  <c r="AX571" i="5" s="1"/>
  <c r="AS572" i="5"/>
  <c r="AX572" i="5" s="1"/>
  <c r="AS573" i="5"/>
  <c r="AX573" i="5" s="1"/>
  <c r="AS574" i="5"/>
  <c r="AX574" i="5" s="1"/>
  <c r="AS575" i="5"/>
  <c r="AX575" i="5" s="1"/>
  <c r="AS576" i="5"/>
  <c r="AX576" i="5" s="1"/>
  <c r="AS577" i="5"/>
  <c r="AS578" i="5"/>
  <c r="AX578" i="5" s="1"/>
  <c r="AS579" i="5"/>
  <c r="AX579" i="5" s="1"/>
  <c r="AS580" i="5"/>
  <c r="AX580" i="5" s="1"/>
  <c r="AS581" i="5"/>
  <c r="AX581" i="5" s="1"/>
  <c r="AS582" i="5"/>
  <c r="AX582" i="5" s="1"/>
  <c r="AS583" i="5"/>
  <c r="AX583" i="5" s="1"/>
  <c r="AS584" i="5"/>
  <c r="AX584" i="5" s="1"/>
  <c r="AS585" i="5"/>
  <c r="AS586" i="5"/>
  <c r="AX586" i="5" s="1"/>
  <c r="AS587" i="5"/>
  <c r="AX587" i="5" s="1"/>
  <c r="AS588" i="5"/>
  <c r="AX588" i="5" s="1"/>
  <c r="AS589" i="5"/>
  <c r="AX589" i="5" s="1"/>
  <c r="AS590" i="5"/>
  <c r="AX590" i="5" s="1"/>
  <c r="AS591" i="5"/>
  <c r="AX591" i="5" s="1"/>
  <c r="AS592" i="5"/>
  <c r="AX592" i="5" s="1"/>
  <c r="AS593" i="5"/>
  <c r="AS594" i="5"/>
  <c r="AX594" i="5" s="1"/>
  <c r="AS595" i="5"/>
  <c r="AX595" i="5" s="1"/>
  <c r="AS596" i="5"/>
  <c r="AX596" i="5" s="1"/>
  <c r="AS597" i="5"/>
  <c r="AX597" i="5" s="1"/>
  <c r="AS598" i="5"/>
  <c r="AX598" i="5" s="1"/>
  <c r="AS599" i="5"/>
  <c r="AX599" i="5" s="1"/>
  <c r="AS600" i="5"/>
  <c r="AX600" i="5" s="1"/>
  <c r="AS601" i="5"/>
  <c r="AS602" i="5"/>
  <c r="AX602" i="5" s="1"/>
  <c r="AS603" i="5"/>
  <c r="AX603" i="5" s="1"/>
  <c r="AS604" i="5"/>
  <c r="AX604" i="5" s="1"/>
  <c r="AS605" i="5"/>
  <c r="AX605" i="5" s="1"/>
  <c r="AS606" i="5"/>
  <c r="AX606" i="5" s="1"/>
  <c r="AS607" i="5"/>
  <c r="AX607" i="5" s="1"/>
  <c r="AS608" i="5"/>
  <c r="AX608" i="5" s="1"/>
  <c r="AS609" i="5"/>
  <c r="AS610" i="5"/>
  <c r="AX610" i="5" s="1"/>
  <c r="AS611" i="5"/>
  <c r="AX611" i="5" s="1"/>
  <c r="AS612" i="5"/>
  <c r="AX612" i="5" s="1"/>
  <c r="AS613" i="5"/>
  <c r="AX613" i="5" s="1"/>
  <c r="AS614" i="5"/>
  <c r="AX614" i="5" s="1"/>
  <c r="AS615" i="5"/>
  <c r="AX615" i="5" s="1"/>
  <c r="AS616" i="5"/>
  <c r="AX616" i="5" s="1"/>
  <c r="AS617" i="5"/>
  <c r="AS618" i="5"/>
  <c r="AX618" i="5" s="1"/>
  <c r="AS619" i="5"/>
  <c r="AX619" i="5" s="1"/>
  <c r="AS620" i="5"/>
  <c r="AX620" i="5" s="1"/>
  <c r="AS621" i="5"/>
  <c r="AX621" i="5" s="1"/>
  <c r="AS622" i="5"/>
  <c r="AX622" i="5" s="1"/>
  <c r="AS623" i="5"/>
  <c r="AX623" i="5" s="1"/>
  <c r="AS624" i="5"/>
  <c r="AX624" i="5" s="1"/>
  <c r="AS625" i="5"/>
  <c r="AS626" i="5"/>
  <c r="AX626" i="5" s="1"/>
  <c r="AS627" i="5"/>
  <c r="AX627" i="5" s="1"/>
  <c r="AS628" i="5"/>
  <c r="AX628" i="5" s="1"/>
  <c r="AS629" i="5"/>
  <c r="AX629" i="5" s="1"/>
  <c r="AS630" i="5"/>
  <c r="AX630" i="5" s="1"/>
  <c r="AS631" i="5"/>
  <c r="AX631" i="5" s="1"/>
  <c r="AS632" i="5"/>
  <c r="AX632" i="5" s="1"/>
  <c r="AS633" i="5"/>
  <c r="AS634" i="5"/>
  <c r="AX634" i="5" s="1"/>
  <c r="AS635" i="5"/>
  <c r="AX635" i="5" s="1"/>
  <c r="AS636" i="5"/>
  <c r="AX636" i="5" s="1"/>
  <c r="AS637" i="5"/>
  <c r="AX637" i="5" s="1"/>
  <c r="AS638" i="5"/>
  <c r="AX638" i="5" s="1"/>
  <c r="AS639" i="5"/>
  <c r="AX639" i="5" s="1"/>
  <c r="AS640" i="5"/>
  <c r="AX640" i="5" s="1"/>
  <c r="AS641" i="5"/>
  <c r="AS642" i="5"/>
  <c r="AX642" i="5" s="1"/>
  <c r="AS643" i="5"/>
  <c r="AX643" i="5" s="1"/>
  <c r="AS644" i="5"/>
  <c r="AX644" i="5" s="1"/>
  <c r="AS645" i="5"/>
  <c r="AX645" i="5" s="1"/>
  <c r="AS646" i="5"/>
  <c r="AX646" i="5" s="1"/>
  <c r="AS647" i="5"/>
  <c r="AX647" i="5" s="1"/>
  <c r="AS648" i="5"/>
  <c r="AX648" i="5" s="1"/>
  <c r="AS649" i="5"/>
  <c r="AS650" i="5"/>
  <c r="AX650" i="5" s="1"/>
  <c r="AS651" i="5"/>
  <c r="AX651" i="5" s="1"/>
  <c r="AS652" i="5"/>
  <c r="AX652" i="5" s="1"/>
  <c r="AS653" i="5"/>
  <c r="AX653" i="5" s="1"/>
  <c r="AS654" i="5"/>
  <c r="AX654" i="5" s="1"/>
  <c r="AS655" i="5"/>
  <c r="AX655" i="5" s="1"/>
  <c r="AS656" i="5"/>
  <c r="AX656" i="5" s="1"/>
  <c r="AS657" i="5"/>
  <c r="AS658" i="5"/>
  <c r="AX658" i="5" s="1"/>
  <c r="AS659" i="5"/>
  <c r="AX659" i="5" s="1"/>
  <c r="AS660" i="5"/>
  <c r="AX660" i="5" s="1"/>
  <c r="AS661" i="5"/>
  <c r="AX661" i="5" s="1"/>
  <c r="AS662" i="5"/>
  <c r="AX662" i="5" s="1"/>
  <c r="AS663" i="5"/>
  <c r="AX663" i="5" s="1"/>
  <c r="AS664" i="5"/>
  <c r="AX664" i="5" s="1"/>
  <c r="AS665" i="5"/>
  <c r="AS666" i="5"/>
  <c r="AX666" i="5" s="1"/>
  <c r="AS667" i="5"/>
  <c r="AX667" i="5" s="1"/>
  <c r="AS668" i="5"/>
  <c r="AX668" i="5" s="1"/>
  <c r="AS669" i="5"/>
  <c r="AX669" i="5" s="1"/>
  <c r="AS670" i="5"/>
  <c r="AX670" i="5" s="1"/>
  <c r="AS671" i="5"/>
  <c r="AX671" i="5" s="1"/>
  <c r="AS672" i="5"/>
  <c r="AX672" i="5" s="1"/>
  <c r="AS673" i="5"/>
  <c r="AS674" i="5"/>
  <c r="AX674" i="5" s="1"/>
  <c r="AS675" i="5"/>
  <c r="AX675" i="5" s="1"/>
  <c r="AS676" i="5"/>
  <c r="AX676" i="5" s="1"/>
  <c r="AS677" i="5"/>
  <c r="AX677" i="5" s="1"/>
  <c r="AS678" i="5"/>
  <c r="AX678" i="5" s="1"/>
  <c r="AS679" i="5"/>
  <c r="AX679" i="5" s="1"/>
  <c r="AS680" i="5"/>
  <c r="AX680" i="5" s="1"/>
  <c r="AS681" i="5"/>
  <c r="AS682" i="5"/>
  <c r="AX682" i="5" s="1"/>
  <c r="AS683" i="5"/>
  <c r="AX683" i="5" s="1"/>
  <c r="AS684" i="5"/>
  <c r="AX684" i="5" s="1"/>
  <c r="AS685" i="5"/>
  <c r="AX685" i="5" s="1"/>
  <c r="AS686" i="5"/>
  <c r="AX686" i="5" s="1"/>
  <c r="AS687" i="5"/>
  <c r="AX687" i="5" s="1"/>
  <c r="AS688" i="5"/>
  <c r="AX688" i="5" s="1"/>
  <c r="AS689" i="5"/>
  <c r="AS690" i="5"/>
  <c r="AX690" i="5" s="1"/>
  <c r="AS691" i="5"/>
  <c r="AX691" i="5" s="1"/>
  <c r="AS692" i="5"/>
  <c r="AX692" i="5" s="1"/>
  <c r="AS693" i="5"/>
  <c r="AX693" i="5" s="1"/>
  <c r="AS694" i="5"/>
  <c r="AX694" i="5" s="1"/>
  <c r="AS695" i="5"/>
  <c r="AX695" i="5" s="1"/>
  <c r="AS696" i="5"/>
  <c r="AX696" i="5" s="1"/>
  <c r="AS697" i="5"/>
  <c r="AS698" i="5"/>
  <c r="AX698" i="5" s="1"/>
  <c r="AS699" i="5"/>
  <c r="AX699" i="5" s="1"/>
  <c r="AS700" i="5"/>
  <c r="AX700" i="5" s="1"/>
  <c r="AS701" i="5"/>
  <c r="AX701" i="5" s="1"/>
  <c r="AS702" i="5"/>
  <c r="AX702" i="5" s="1"/>
  <c r="AS703" i="5"/>
  <c r="AX703" i="5" s="1"/>
  <c r="AS704" i="5"/>
  <c r="AX704" i="5" s="1"/>
  <c r="AS705" i="5"/>
  <c r="AS706" i="5"/>
  <c r="AX706" i="5" s="1"/>
  <c r="AS707" i="5"/>
  <c r="AX707" i="5" s="1"/>
  <c r="AS708" i="5"/>
  <c r="AX708" i="5" s="1"/>
  <c r="AS709" i="5"/>
  <c r="AX709" i="5" s="1"/>
  <c r="AS710" i="5"/>
  <c r="AX710" i="5" s="1"/>
  <c r="AS711" i="5"/>
  <c r="AX711" i="5" s="1"/>
  <c r="AS712" i="5"/>
  <c r="AX712" i="5" s="1"/>
  <c r="AS713" i="5"/>
  <c r="AS714" i="5"/>
  <c r="AX714" i="5" s="1"/>
  <c r="AS715" i="5"/>
  <c r="AX715" i="5" s="1"/>
  <c r="AS716" i="5"/>
  <c r="AX716" i="5" s="1"/>
  <c r="AS717" i="5"/>
  <c r="AX717" i="5" s="1"/>
  <c r="AS718" i="5"/>
  <c r="AX718" i="5" s="1"/>
  <c r="AS719" i="5"/>
  <c r="AX719" i="5" s="1"/>
  <c r="AS720" i="5"/>
  <c r="AX720" i="5" s="1"/>
  <c r="AS721" i="5"/>
  <c r="AS722" i="5"/>
  <c r="AX722" i="5" s="1"/>
  <c r="AS723" i="5"/>
  <c r="AX723" i="5" s="1"/>
  <c r="AS724" i="5"/>
  <c r="AX724" i="5" s="1"/>
  <c r="AS725" i="5"/>
  <c r="AX725" i="5" s="1"/>
  <c r="AS726" i="5"/>
  <c r="AX726" i="5" s="1"/>
  <c r="AS727" i="5"/>
  <c r="AX727" i="5" s="1"/>
  <c r="AS728" i="5"/>
  <c r="AX728" i="5" s="1"/>
  <c r="AS729" i="5"/>
  <c r="AS730" i="5"/>
  <c r="AX730" i="5" s="1"/>
  <c r="AS731" i="5"/>
  <c r="AX731" i="5" s="1"/>
  <c r="AS732" i="5"/>
  <c r="AX732" i="5" s="1"/>
  <c r="AS733" i="5"/>
  <c r="AX733" i="5" s="1"/>
  <c r="AS734" i="5"/>
  <c r="AX734" i="5" s="1"/>
  <c r="AS735" i="5"/>
  <c r="AX735" i="5" s="1"/>
  <c r="AS736" i="5"/>
  <c r="AX736" i="5" s="1"/>
  <c r="AS737" i="5"/>
  <c r="AS738" i="5"/>
  <c r="AX738" i="5" s="1"/>
  <c r="AS739" i="5"/>
  <c r="AX739" i="5" s="1"/>
  <c r="AS740" i="5"/>
  <c r="AX740" i="5" s="1"/>
  <c r="AS741" i="5"/>
  <c r="AX741" i="5" s="1"/>
  <c r="AS742" i="5"/>
  <c r="AX742" i="5" s="1"/>
  <c r="AS743" i="5"/>
  <c r="AX743" i="5" s="1"/>
  <c r="AS744" i="5"/>
  <c r="AX744" i="5" s="1"/>
  <c r="AS745" i="5"/>
  <c r="AS746" i="5"/>
  <c r="AX746" i="5" s="1"/>
  <c r="AS747" i="5"/>
  <c r="AX747" i="5" s="1"/>
  <c r="AS748" i="5"/>
  <c r="AX748" i="5" s="1"/>
  <c r="AS749" i="5"/>
  <c r="AX749" i="5" s="1"/>
  <c r="AS750" i="5"/>
  <c r="AX750" i="5" s="1"/>
  <c r="AS751" i="5"/>
  <c r="AX751" i="5" s="1"/>
  <c r="AS752" i="5"/>
  <c r="AX752" i="5" s="1"/>
  <c r="AS753" i="5"/>
  <c r="AS754" i="5"/>
  <c r="AX754" i="5" s="1"/>
  <c r="AS755" i="5"/>
  <c r="AX755" i="5" s="1"/>
  <c r="AS756" i="5"/>
  <c r="AX756" i="5" s="1"/>
  <c r="AS757" i="5"/>
  <c r="AX757" i="5" s="1"/>
  <c r="AS758" i="5"/>
  <c r="AX758" i="5" s="1"/>
  <c r="AS759" i="5"/>
  <c r="AX759" i="5" s="1"/>
  <c r="AS760" i="5"/>
  <c r="AX760" i="5" s="1"/>
  <c r="AS761" i="5"/>
  <c r="AS762" i="5"/>
  <c r="AX762" i="5" s="1"/>
  <c r="AS763" i="5"/>
  <c r="AX763" i="5" s="1"/>
  <c r="AS764" i="5"/>
  <c r="AX764" i="5" s="1"/>
  <c r="AS765" i="5"/>
  <c r="AX765" i="5" s="1"/>
  <c r="AS766" i="5"/>
  <c r="AX766" i="5" s="1"/>
  <c r="AS767" i="5"/>
  <c r="AX767" i="5" s="1"/>
  <c r="AS768" i="5"/>
  <c r="AX768" i="5" s="1"/>
  <c r="AS769" i="5"/>
  <c r="AS770" i="5"/>
  <c r="AX770" i="5" s="1"/>
  <c r="AS771" i="5"/>
  <c r="AX771" i="5" s="1"/>
  <c r="AS772" i="5"/>
  <c r="AX772" i="5" s="1"/>
  <c r="AS773" i="5"/>
  <c r="AX773" i="5" s="1"/>
  <c r="AS774" i="5"/>
  <c r="AX774" i="5" s="1"/>
  <c r="AS775" i="5"/>
  <c r="AX775" i="5" s="1"/>
  <c r="AS776" i="5"/>
  <c r="AX776" i="5" s="1"/>
  <c r="AS777" i="5"/>
  <c r="AS778" i="5"/>
  <c r="AX778" i="5" s="1"/>
  <c r="AS779" i="5"/>
  <c r="AX779" i="5" s="1"/>
  <c r="AS780" i="5"/>
  <c r="AX780" i="5" s="1"/>
  <c r="AS781" i="5"/>
  <c r="AX781" i="5" s="1"/>
  <c r="AS782" i="5"/>
  <c r="AX782" i="5" s="1"/>
  <c r="AS783" i="5"/>
  <c r="AX783" i="5" s="1"/>
  <c r="AS784" i="5"/>
  <c r="AX784" i="5" s="1"/>
  <c r="AS785" i="5"/>
  <c r="AS786" i="5"/>
  <c r="AX786" i="5" s="1"/>
  <c r="AS787" i="5"/>
  <c r="AX787" i="5" s="1"/>
  <c r="AS788" i="5"/>
  <c r="AX788" i="5" s="1"/>
  <c r="AS789" i="5"/>
  <c r="AX789" i="5" s="1"/>
  <c r="AS790" i="5"/>
  <c r="AX790" i="5" s="1"/>
  <c r="AS791" i="5"/>
  <c r="AX791" i="5" s="1"/>
  <c r="AS792" i="5"/>
  <c r="AX792" i="5" s="1"/>
  <c r="AS793" i="5"/>
  <c r="AS794" i="5"/>
  <c r="AX794" i="5" s="1"/>
  <c r="AS795" i="5"/>
  <c r="AX795" i="5" s="1"/>
  <c r="AS796" i="5"/>
  <c r="AX796" i="5" s="1"/>
  <c r="AS797" i="5"/>
  <c r="AX797" i="5" s="1"/>
  <c r="AS798" i="5"/>
  <c r="AX798" i="5" s="1"/>
  <c r="AS799" i="5"/>
  <c r="AX799" i="5" s="1"/>
  <c r="AS800" i="5"/>
  <c r="AX800" i="5" s="1"/>
  <c r="AS801" i="5"/>
  <c r="AS802" i="5"/>
  <c r="AX802" i="5" s="1"/>
  <c r="AS803" i="5"/>
  <c r="AX803" i="5" s="1"/>
  <c r="AS804" i="5"/>
  <c r="AX804" i="5" s="1"/>
  <c r="AS805" i="5"/>
  <c r="AX805" i="5" s="1"/>
  <c r="AS806" i="5"/>
  <c r="AX806" i="5" s="1"/>
  <c r="AS807" i="5"/>
  <c r="AX807" i="5" s="1"/>
  <c r="AS808" i="5"/>
  <c r="AX808" i="5" s="1"/>
  <c r="AS809" i="5"/>
  <c r="AS810" i="5"/>
  <c r="AX810" i="5" s="1"/>
  <c r="AS811" i="5"/>
  <c r="AX811" i="5" s="1"/>
  <c r="AS812" i="5"/>
  <c r="AX812" i="5" s="1"/>
  <c r="AS813" i="5"/>
  <c r="AX813" i="5" s="1"/>
  <c r="AS814" i="5"/>
  <c r="AX814" i="5" s="1"/>
  <c r="AS815" i="5"/>
  <c r="AX815" i="5" s="1"/>
  <c r="AS816" i="5"/>
  <c r="AX816" i="5" s="1"/>
  <c r="AS817" i="5"/>
  <c r="AS818" i="5"/>
  <c r="AX818" i="5" s="1"/>
  <c r="AS819" i="5"/>
  <c r="AX819" i="5" s="1"/>
  <c r="AS820" i="5"/>
  <c r="AX820" i="5" s="1"/>
  <c r="AS821" i="5"/>
  <c r="AX821" i="5" s="1"/>
  <c r="AS822" i="5"/>
  <c r="AX822" i="5" s="1"/>
  <c r="AS823" i="5"/>
  <c r="AX823" i="5" s="1"/>
  <c r="AS824" i="5"/>
  <c r="AX824" i="5" s="1"/>
  <c r="AS825" i="5"/>
  <c r="AS826" i="5"/>
  <c r="AX826" i="5" s="1"/>
  <c r="AS827" i="5"/>
  <c r="AX827" i="5" s="1"/>
  <c r="AS828" i="5"/>
  <c r="AX828" i="5" s="1"/>
  <c r="AS829" i="5"/>
  <c r="AX829" i="5" s="1"/>
  <c r="AS830" i="5"/>
  <c r="AX830" i="5" s="1"/>
  <c r="AS831" i="5"/>
  <c r="AX831" i="5" s="1"/>
  <c r="AS832" i="5"/>
  <c r="AX832" i="5" s="1"/>
  <c r="AS833" i="5"/>
  <c r="AS834" i="5"/>
  <c r="AX834" i="5" s="1"/>
  <c r="AS835" i="5"/>
  <c r="AX835" i="5" s="1"/>
  <c r="AS836" i="5"/>
  <c r="AX836" i="5" s="1"/>
  <c r="AS837" i="5"/>
  <c r="AX837" i="5" s="1"/>
  <c r="AS838" i="5"/>
  <c r="AX838" i="5" s="1"/>
  <c r="AS839" i="5"/>
  <c r="AX839" i="5" s="1"/>
  <c r="AS840" i="5"/>
  <c r="AX840" i="5" s="1"/>
  <c r="AS841" i="5"/>
  <c r="AS842" i="5"/>
  <c r="AX842" i="5" s="1"/>
  <c r="AS843" i="5"/>
  <c r="AX843" i="5" s="1"/>
  <c r="AS844" i="5"/>
  <c r="AX844" i="5" s="1"/>
  <c r="AS845" i="5"/>
  <c r="AX845" i="5" s="1"/>
  <c r="AS846" i="5"/>
  <c r="AX846" i="5" s="1"/>
  <c r="AS847" i="5"/>
  <c r="AX847" i="5" s="1"/>
  <c r="AS848" i="5"/>
  <c r="AX848" i="5" s="1"/>
  <c r="AS849" i="5"/>
  <c r="AS850" i="5"/>
  <c r="AX850" i="5" s="1"/>
  <c r="AS851" i="5"/>
  <c r="AX851" i="5" s="1"/>
  <c r="AS852" i="5"/>
  <c r="AX852" i="5" s="1"/>
  <c r="AS853" i="5"/>
  <c r="AX853" i="5" s="1"/>
  <c r="AS854" i="5"/>
  <c r="AX854" i="5" s="1"/>
  <c r="AS855" i="5"/>
  <c r="AX855" i="5" s="1"/>
  <c r="AS856" i="5"/>
  <c r="AX856" i="5" s="1"/>
  <c r="AS857" i="5"/>
  <c r="AS858" i="5"/>
  <c r="AX858" i="5" s="1"/>
  <c r="AS859" i="5"/>
  <c r="AX859" i="5" s="1"/>
  <c r="AS860" i="5"/>
  <c r="AX860" i="5" s="1"/>
  <c r="AS861" i="5"/>
  <c r="AX861" i="5" s="1"/>
  <c r="AS862" i="5"/>
  <c r="AX862" i="5" s="1"/>
  <c r="AS863" i="5"/>
  <c r="AX863" i="5" s="1"/>
  <c r="AS864" i="5"/>
  <c r="AX864" i="5" s="1"/>
  <c r="AS865" i="5"/>
  <c r="AS866" i="5"/>
  <c r="AX866" i="5" s="1"/>
  <c r="AS867" i="5"/>
  <c r="AX867" i="5" s="1"/>
  <c r="AS868" i="5"/>
  <c r="AX868" i="5" s="1"/>
  <c r="AS869" i="5"/>
  <c r="AX869" i="5" s="1"/>
  <c r="AS870" i="5"/>
  <c r="AX870" i="5" s="1"/>
  <c r="AS871" i="5"/>
  <c r="AX871" i="5" s="1"/>
  <c r="AS872" i="5"/>
  <c r="AX872" i="5" s="1"/>
  <c r="AS873" i="5"/>
  <c r="AS874" i="5"/>
  <c r="AX874" i="5" s="1"/>
  <c r="AS875" i="5"/>
  <c r="AX875" i="5" s="1"/>
  <c r="AS876" i="5"/>
  <c r="AX876" i="5" s="1"/>
  <c r="AS877" i="5"/>
  <c r="AX877" i="5" s="1"/>
  <c r="AS878" i="5"/>
  <c r="AX878" i="5" s="1"/>
  <c r="AS879" i="5"/>
  <c r="AX879" i="5" s="1"/>
  <c r="AS880" i="5"/>
  <c r="AX880" i="5" s="1"/>
  <c r="AS881" i="5"/>
  <c r="AS882" i="5"/>
  <c r="AX882" i="5" s="1"/>
  <c r="AS883" i="5"/>
  <c r="AX883" i="5" s="1"/>
  <c r="AS884" i="5"/>
  <c r="AX884" i="5" s="1"/>
  <c r="AS885" i="5"/>
  <c r="AX885" i="5" s="1"/>
  <c r="AS886" i="5"/>
  <c r="AX886" i="5" s="1"/>
  <c r="AS887" i="5"/>
  <c r="AX887" i="5" s="1"/>
  <c r="AS888" i="5"/>
  <c r="AX888" i="5" s="1"/>
  <c r="AS889" i="5"/>
  <c r="AS890" i="5"/>
  <c r="AX890" i="5" s="1"/>
  <c r="AS891" i="5"/>
  <c r="AX891" i="5" s="1"/>
  <c r="AS892" i="5"/>
  <c r="AX892" i="5" s="1"/>
  <c r="AS893" i="5"/>
  <c r="AX893" i="5" s="1"/>
  <c r="AS894" i="5"/>
  <c r="AX894" i="5" s="1"/>
  <c r="AS895" i="5"/>
  <c r="AX895" i="5" s="1"/>
  <c r="AS896" i="5"/>
  <c r="AX896" i="5" s="1"/>
  <c r="AS897" i="5"/>
  <c r="AS898" i="5"/>
  <c r="AX898" i="5" s="1"/>
  <c r="AS899" i="5"/>
  <c r="AX899" i="5" s="1"/>
  <c r="AS900" i="5"/>
  <c r="AX900" i="5" s="1"/>
  <c r="AS901" i="5"/>
  <c r="AX901" i="5" s="1"/>
  <c r="AS902" i="5"/>
  <c r="AX902" i="5" s="1"/>
  <c r="AS903" i="5"/>
  <c r="AX903" i="5" s="1"/>
  <c r="AS904" i="5"/>
  <c r="AX904" i="5" s="1"/>
  <c r="AS905" i="5"/>
  <c r="AS906" i="5"/>
  <c r="AX906" i="5" s="1"/>
  <c r="AS907" i="5"/>
  <c r="AX907" i="5" s="1"/>
  <c r="AS908" i="5"/>
  <c r="AX908" i="5" s="1"/>
  <c r="AS909" i="5"/>
  <c r="AX909" i="5" s="1"/>
  <c r="AS910" i="5"/>
  <c r="AX910" i="5" s="1"/>
  <c r="AS911" i="5"/>
  <c r="AX911" i="5" s="1"/>
  <c r="AS912" i="5"/>
  <c r="AX912" i="5" s="1"/>
  <c r="AS913" i="5"/>
  <c r="AS914" i="5"/>
  <c r="AX914" i="5" s="1"/>
  <c r="AS915" i="5"/>
  <c r="AX915" i="5" s="1"/>
  <c r="AS916" i="5"/>
  <c r="AX916" i="5" s="1"/>
  <c r="AS917" i="5"/>
  <c r="AX917" i="5" s="1"/>
  <c r="AS918" i="5"/>
  <c r="AX918" i="5" s="1"/>
  <c r="AS919" i="5"/>
  <c r="AX919" i="5" s="1"/>
  <c r="AS920" i="5"/>
  <c r="AX920" i="5" s="1"/>
  <c r="AS921" i="5"/>
  <c r="AS922" i="5"/>
  <c r="AX922" i="5" s="1"/>
  <c r="AS923" i="5"/>
  <c r="AX923" i="5" s="1"/>
  <c r="AS924" i="5"/>
  <c r="AX924" i="5" s="1"/>
  <c r="AS925" i="5"/>
  <c r="AX925" i="5" s="1"/>
  <c r="AS926" i="5"/>
  <c r="AX926" i="5" s="1"/>
  <c r="AS927" i="5"/>
  <c r="AX927" i="5" s="1"/>
  <c r="AS928" i="5"/>
  <c r="AX928" i="5" s="1"/>
  <c r="AS929" i="5"/>
  <c r="AS930" i="5"/>
  <c r="AX930" i="5" s="1"/>
  <c r="AS931" i="5"/>
  <c r="AX931" i="5" s="1"/>
  <c r="AS932" i="5"/>
  <c r="AX932" i="5" s="1"/>
  <c r="AS933" i="5"/>
  <c r="AX933" i="5" s="1"/>
  <c r="AS934" i="5"/>
  <c r="AX934" i="5" s="1"/>
  <c r="AS935" i="5"/>
  <c r="AX935" i="5" s="1"/>
  <c r="AS936" i="5"/>
  <c r="AX936" i="5" s="1"/>
  <c r="AS937" i="5"/>
  <c r="AS938" i="5"/>
  <c r="AX938" i="5" s="1"/>
  <c r="AS939" i="5"/>
  <c r="AX939" i="5" s="1"/>
  <c r="AS940" i="5"/>
  <c r="AX940" i="5" s="1"/>
  <c r="AS941" i="5"/>
  <c r="AX941" i="5" s="1"/>
  <c r="AS942" i="5"/>
  <c r="AX942" i="5" s="1"/>
  <c r="AS943" i="5"/>
  <c r="AX943" i="5" s="1"/>
  <c r="AS944" i="5"/>
  <c r="AX944" i="5" s="1"/>
  <c r="AS945" i="5"/>
  <c r="AS946" i="5"/>
  <c r="AX946" i="5" s="1"/>
  <c r="AS947" i="5"/>
  <c r="AX947" i="5" s="1"/>
  <c r="AS948" i="5"/>
  <c r="AX948" i="5" s="1"/>
  <c r="AS949" i="5"/>
  <c r="AX949" i="5" s="1"/>
  <c r="AS950" i="5"/>
  <c r="AX950" i="5" s="1"/>
  <c r="AS951" i="5"/>
  <c r="AX951" i="5" s="1"/>
  <c r="AS952" i="5"/>
  <c r="AX952" i="5" s="1"/>
  <c r="AS953" i="5"/>
  <c r="AS954" i="5"/>
  <c r="AX954" i="5" s="1"/>
  <c r="AS955" i="5"/>
  <c r="AX955" i="5" s="1"/>
  <c r="AS956" i="5"/>
  <c r="AX956" i="5" s="1"/>
  <c r="AS957" i="5"/>
  <c r="AX957" i="5" s="1"/>
  <c r="AS958" i="5"/>
  <c r="AX958" i="5" s="1"/>
  <c r="AS959" i="5"/>
  <c r="AX959" i="5" s="1"/>
  <c r="AS960" i="5"/>
  <c r="AX960" i="5" s="1"/>
  <c r="AS961" i="5"/>
  <c r="AS962" i="5"/>
  <c r="AX962" i="5" s="1"/>
  <c r="AS963" i="5"/>
  <c r="AX963" i="5" s="1"/>
  <c r="AS964" i="5"/>
  <c r="AX964" i="5" s="1"/>
  <c r="AS965" i="5"/>
  <c r="AX965" i="5" s="1"/>
  <c r="AS966" i="5"/>
  <c r="AX966" i="5" s="1"/>
  <c r="AS967" i="5"/>
  <c r="AX967" i="5" s="1"/>
  <c r="AS968" i="5"/>
  <c r="AX968" i="5" s="1"/>
  <c r="AS969" i="5"/>
  <c r="AS970" i="5"/>
  <c r="AX970" i="5" s="1"/>
  <c r="AS971" i="5"/>
  <c r="AX971" i="5" s="1"/>
  <c r="AS972" i="5"/>
  <c r="AX972" i="5" s="1"/>
  <c r="AS973" i="5"/>
  <c r="AX973" i="5" s="1"/>
  <c r="AS974" i="5"/>
  <c r="AX974" i="5" s="1"/>
  <c r="AS975" i="5"/>
  <c r="AX975" i="5" s="1"/>
  <c r="AS976" i="5"/>
  <c r="AX976" i="5" s="1"/>
  <c r="AS977" i="5"/>
  <c r="AS978" i="5"/>
  <c r="AX978" i="5" s="1"/>
  <c r="AS979" i="5"/>
  <c r="AX979" i="5" s="1"/>
  <c r="AS980" i="5"/>
  <c r="AX980" i="5" s="1"/>
  <c r="AS981" i="5"/>
  <c r="AX981" i="5" s="1"/>
  <c r="AS982" i="5"/>
  <c r="AX982" i="5" s="1"/>
  <c r="AS983" i="5"/>
  <c r="AX983" i="5" s="1"/>
  <c r="AS984" i="5"/>
  <c r="AX984" i="5" s="1"/>
  <c r="AS985" i="5"/>
  <c r="AS986" i="5"/>
  <c r="AX986" i="5" s="1"/>
  <c r="AS987" i="5"/>
  <c r="AX987" i="5" s="1"/>
  <c r="AS988" i="5"/>
  <c r="AX988" i="5" s="1"/>
  <c r="AS989" i="5"/>
  <c r="AX989" i="5" s="1"/>
  <c r="AS990" i="5"/>
  <c r="AX990" i="5" s="1"/>
  <c r="AS991" i="5"/>
  <c r="AX991" i="5" s="1"/>
  <c r="AS992" i="5"/>
  <c r="AX992" i="5" s="1"/>
  <c r="AS993" i="5"/>
  <c r="AS994" i="5"/>
  <c r="AX994" i="5" s="1"/>
  <c r="AS995" i="5"/>
  <c r="AX995" i="5" s="1"/>
  <c r="AS996" i="5"/>
  <c r="AX996" i="5" s="1"/>
  <c r="AS997" i="5"/>
  <c r="AX997" i="5" s="1"/>
  <c r="AS998" i="5"/>
  <c r="AX998" i="5" s="1"/>
  <c r="AS999" i="5"/>
  <c r="AX999" i="5" s="1"/>
  <c r="AS1000" i="5"/>
  <c r="AX1000" i="5" s="1"/>
  <c r="AS1001" i="5"/>
  <c r="AS1002" i="5"/>
  <c r="AX1002" i="5" s="1"/>
  <c r="AS1003" i="5"/>
  <c r="AX1003" i="5" s="1"/>
  <c r="AS1004" i="5"/>
  <c r="AX1004" i="5" s="1"/>
  <c r="AS1005" i="5"/>
  <c r="AX1005" i="5" s="1"/>
  <c r="AS1006" i="5"/>
  <c r="AX1006" i="5" s="1"/>
  <c r="AS1007" i="5"/>
  <c r="AX1007" i="5" s="1"/>
  <c r="AS1008" i="5"/>
  <c r="AX1008" i="5" s="1"/>
  <c r="AS1009" i="5"/>
  <c r="AS1010" i="5"/>
  <c r="AX1010" i="5" s="1"/>
  <c r="AS1011" i="5"/>
  <c r="AX1011" i="5" s="1"/>
  <c r="AS1012" i="5"/>
  <c r="AX1012" i="5" s="1"/>
  <c r="AS1013" i="5"/>
  <c r="AX1013" i="5" s="1"/>
  <c r="AS1014" i="5"/>
  <c r="AX1014" i="5" s="1"/>
  <c r="AS1015" i="5"/>
  <c r="AX1015" i="5" s="1"/>
  <c r="AS1016" i="5"/>
  <c r="AX1016" i="5" s="1"/>
  <c r="AS1017" i="5"/>
  <c r="AS1018" i="5"/>
  <c r="AX1018" i="5" s="1"/>
  <c r="AS1019" i="5"/>
  <c r="AX1019" i="5" s="1"/>
  <c r="AS1020" i="5"/>
  <c r="AX1020" i="5" s="1"/>
  <c r="AS1021" i="5"/>
  <c r="AX1021" i="5" s="1"/>
  <c r="AS1022" i="5"/>
  <c r="AX1022" i="5" s="1"/>
  <c r="AS1023" i="5"/>
  <c r="AX1023" i="5" s="1"/>
  <c r="AS1024" i="5"/>
  <c r="AX1024" i="5" s="1"/>
  <c r="AS1025" i="5"/>
  <c r="AS1026" i="5"/>
  <c r="AX1026" i="5" s="1"/>
  <c r="AS1027" i="5"/>
  <c r="AX1027" i="5" s="1"/>
  <c r="AS1028" i="5"/>
  <c r="AX1028" i="5" s="1"/>
  <c r="AS1029" i="5"/>
  <c r="AX1029" i="5" s="1"/>
  <c r="AS1030" i="5"/>
  <c r="AX1030" i="5" s="1"/>
  <c r="AS1031" i="5"/>
  <c r="AX1031" i="5" s="1"/>
  <c r="AS1032" i="5"/>
  <c r="AX1032" i="5" s="1"/>
  <c r="AS1033" i="5"/>
  <c r="AS1034" i="5"/>
  <c r="AX1034" i="5" s="1"/>
  <c r="AS1035" i="5"/>
  <c r="AX1035" i="5" s="1"/>
  <c r="AS1036" i="5"/>
  <c r="AX1036" i="5" s="1"/>
  <c r="AS1037" i="5"/>
  <c r="AX1037" i="5" s="1"/>
  <c r="AS1038" i="5"/>
  <c r="AX1038" i="5" s="1"/>
  <c r="AS1039" i="5"/>
  <c r="AX1039" i="5" s="1"/>
  <c r="AS1040" i="5"/>
  <c r="AX1040" i="5" s="1"/>
  <c r="AS1041" i="5"/>
  <c r="AS1042" i="5"/>
  <c r="AX1042" i="5" s="1"/>
  <c r="AS1043" i="5"/>
  <c r="AX1043" i="5" s="1"/>
  <c r="AS1044" i="5"/>
  <c r="AX1044" i="5" s="1"/>
  <c r="AS1045" i="5"/>
  <c r="AX1045" i="5" s="1"/>
  <c r="AS1046" i="5"/>
  <c r="AX1046" i="5" s="1"/>
  <c r="AS1047" i="5"/>
  <c r="AX1047" i="5" s="1"/>
  <c r="AS1048" i="5"/>
  <c r="AX1048" i="5" s="1"/>
  <c r="AS1049" i="5"/>
  <c r="AS1050" i="5"/>
  <c r="AX1050" i="5" s="1"/>
  <c r="AS1051" i="5"/>
  <c r="AX1051" i="5" s="1"/>
  <c r="AS1052" i="5"/>
  <c r="AX1052" i="5" s="1"/>
  <c r="AS1053" i="5"/>
  <c r="AX1053" i="5" s="1"/>
  <c r="AS1054" i="5"/>
  <c r="AX1054" i="5" s="1"/>
  <c r="AS1055" i="5"/>
  <c r="AX1055" i="5" s="1"/>
  <c r="AS1056" i="5"/>
  <c r="AX1056" i="5" s="1"/>
  <c r="AS1057" i="5"/>
  <c r="AS1058" i="5"/>
  <c r="AX1058" i="5" s="1"/>
  <c r="AS1059" i="5"/>
  <c r="AX1059" i="5" s="1"/>
  <c r="AS1060" i="5"/>
  <c r="AX1060" i="5" s="1"/>
  <c r="AS1061" i="5"/>
  <c r="AX1061" i="5" s="1"/>
  <c r="AS1062" i="5"/>
  <c r="AX1062" i="5" s="1"/>
  <c r="AS1063" i="5"/>
  <c r="AX1063" i="5" s="1"/>
  <c r="AS1064" i="5"/>
  <c r="AX1064" i="5" s="1"/>
  <c r="AS1065" i="5"/>
  <c r="AS1066" i="5"/>
  <c r="AX1066" i="5" s="1"/>
  <c r="AS1067" i="5"/>
  <c r="AX1067" i="5" s="1"/>
  <c r="AS1068" i="5"/>
  <c r="AX1068" i="5" s="1"/>
  <c r="AS1069" i="5"/>
  <c r="AX1069" i="5" s="1"/>
  <c r="AS1070" i="5"/>
  <c r="AX1070" i="5" s="1"/>
  <c r="AS1071" i="5"/>
  <c r="AX1071" i="5" s="1"/>
  <c r="AS1072" i="5"/>
  <c r="AX1072" i="5" s="1"/>
  <c r="AS1073" i="5"/>
  <c r="AS1074" i="5"/>
  <c r="AX1074" i="5" s="1"/>
  <c r="AS1075" i="5"/>
  <c r="AX1075" i="5" s="1"/>
  <c r="AS1076" i="5"/>
  <c r="AX1076" i="5" s="1"/>
  <c r="AS1077" i="5"/>
  <c r="AX1077" i="5" s="1"/>
  <c r="AS1078" i="5"/>
  <c r="AX1078" i="5" s="1"/>
  <c r="AS1079" i="5"/>
  <c r="AX1079" i="5" s="1"/>
  <c r="AS1080" i="5"/>
  <c r="AX1080" i="5" s="1"/>
  <c r="AS1081" i="5"/>
  <c r="AS1082" i="5"/>
  <c r="AX1082" i="5" s="1"/>
  <c r="AS1083" i="5"/>
  <c r="AX1083" i="5" s="1"/>
  <c r="AS1084" i="5"/>
  <c r="AX1084" i="5" s="1"/>
  <c r="AS1085" i="5"/>
  <c r="AX1085" i="5" s="1"/>
  <c r="AS1086" i="5"/>
  <c r="AX1086" i="5" s="1"/>
  <c r="AS1087" i="5"/>
  <c r="AX1087" i="5" s="1"/>
  <c r="AS1088" i="5"/>
  <c r="AX1088" i="5" s="1"/>
  <c r="AS1089" i="5"/>
  <c r="AS1090" i="5"/>
  <c r="AX1090" i="5" s="1"/>
  <c r="AS1091" i="5"/>
  <c r="AX1091" i="5" s="1"/>
  <c r="AS1092" i="5"/>
  <c r="AX1092" i="5" s="1"/>
  <c r="AS1093" i="5"/>
  <c r="AX1093" i="5" s="1"/>
  <c r="AS1094" i="5"/>
  <c r="AX1094" i="5" s="1"/>
  <c r="AS1095" i="5"/>
  <c r="AX1095" i="5" s="1"/>
  <c r="AS1096" i="5"/>
  <c r="AX1096" i="5" s="1"/>
  <c r="AS1097" i="5"/>
  <c r="AS1098" i="5"/>
  <c r="AX1098" i="5" s="1"/>
  <c r="AS1099" i="5"/>
  <c r="AX1099" i="5" s="1"/>
  <c r="AS1100" i="5"/>
  <c r="AX1100" i="5" s="1"/>
  <c r="AS1101" i="5"/>
  <c r="AX1101" i="5" s="1"/>
  <c r="AS1102" i="5"/>
  <c r="AX1102" i="5" s="1"/>
  <c r="AS1103" i="5"/>
  <c r="AX1103" i="5" s="1"/>
  <c r="AS1104" i="5"/>
  <c r="AX1104" i="5" s="1"/>
  <c r="AS1105" i="5"/>
  <c r="AS1106" i="5"/>
  <c r="AX1106" i="5" s="1"/>
  <c r="AS1107" i="5"/>
  <c r="AX1107" i="5" s="1"/>
  <c r="AS1108" i="5"/>
  <c r="AX1108" i="5" s="1"/>
  <c r="AS1109" i="5"/>
  <c r="AX1109" i="5" s="1"/>
  <c r="AS1110" i="5"/>
  <c r="AX1110" i="5" s="1"/>
  <c r="AS1111" i="5"/>
  <c r="AX1111" i="5" s="1"/>
  <c r="AS1112" i="5"/>
  <c r="AX1112" i="5" s="1"/>
  <c r="AS1113" i="5"/>
  <c r="AS1114" i="5"/>
  <c r="AX1114" i="5" s="1"/>
  <c r="AS1115" i="5"/>
  <c r="AX1115" i="5" s="1"/>
  <c r="AS1116" i="5"/>
  <c r="AX1116" i="5" s="1"/>
  <c r="AS1117" i="5"/>
  <c r="AX1117" i="5" s="1"/>
  <c r="AS1118" i="5"/>
  <c r="AX1118" i="5" s="1"/>
  <c r="AS1119" i="5"/>
  <c r="AX1119" i="5" s="1"/>
  <c r="AS1120" i="5"/>
  <c r="AX1120" i="5" s="1"/>
  <c r="AS1121" i="5"/>
  <c r="AS1122" i="5"/>
  <c r="AX1122" i="5" s="1"/>
  <c r="AS1123" i="5"/>
  <c r="AX1123" i="5" s="1"/>
  <c r="AS1124" i="5"/>
  <c r="AX1124" i="5" s="1"/>
  <c r="AS1125" i="5"/>
  <c r="AX1125" i="5" s="1"/>
  <c r="AS1126" i="5"/>
  <c r="AX1126" i="5" s="1"/>
  <c r="AS1127" i="5"/>
  <c r="AX1127" i="5" s="1"/>
  <c r="AS1128" i="5"/>
  <c r="AX1128" i="5" s="1"/>
  <c r="AS1129" i="5"/>
  <c r="AS1130" i="5"/>
  <c r="AX1130" i="5" s="1"/>
  <c r="AS1131" i="5"/>
  <c r="AX1131" i="5" s="1"/>
  <c r="AS1132" i="5"/>
  <c r="AX1132" i="5" s="1"/>
  <c r="AS1133" i="5"/>
  <c r="AX1133" i="5" s="1"/>
  <c r="AS1134" i="5"/>
  <c r="AX1134" i="5" s="1"/>
  <c r="AS1135" i="5"/>
  <c r="AX1135" i="5" s="1"/>
  <c r="AS1136" i="5"/>
  <c r="AX1136" i="5" s="1"/>
  <c r="AS1137" i="5"/>
  <c r="AS1138" i="5"/>
  <c r="AX1138" i="5" s="1"/>
  <c r="AS1139" i="5"/>
  <c r="AX1139" i="5" s="1"/>
  <c r="AS1140" i="5"/>
  <c r="AX1140" i="5" s="1"/>
  <c r="AS1141" i="5"/>
  <c r="AX1141" i="5" s="1"/>
  <c r="AS1142" i="5"/>
  <c r="AX1142" i="5" s="1"/>
  <c r="AS1143" i="5"/>
  <c r="AX1143" i="5" s="1"/>
  <c r="AS1144" i="5"/>
  <c r="AX1144" i="5" s="1"/>
  <c r="AS1145" i="5"/>
  <c r="AS1146" i="5"/>
  <c r="AX1146" i="5" s="1"/>
  <c r="AS1147" i="5"/>
  <c r="AX1147" i="5" s="1"/>
  <c r="AS1148" i="5"/>
  <c r="AX1148" i="5" s="1"/>
  <c r="AS1149" i="5"/>
  <c r="AX1149" i="5" s="1"/>
  <c r="AS1150" i="5"/>
  <c r="AX1150" i="5" s="1"/>
  <c r="AS1151" i="5"/>
  <c r="AX1151" i="5" s="1"/>
  <c r="AS1152" i="5"/>
  <c r="AX1152" i="5" s="1"/>
  <c r="AS1153" i="5"/>
  <c r="AS1154" i="5"/>
  <c r="AX1154" i="5" s="1"/>
  <c r="AS1155" i="5"/>
  <c r="AX1155" i="5" s="1"/>
  <c r="AS1156" i="5"/>
  <c r="AX1156" i="5" s="1"/>
  <c r="AS1157" i="5"/>
  <c r="AX1157" i="5" s="1"/>
  <c r="AS1158" i="5"/>
  <c r="AX1158" i="5" s="1"/>
  <c r="AS1159" i="5"/>
  <c r="AX1159" i="5" s="1"/>
  <c r="AS1160" i="5"/>
  <c r="AX1160" i="5" s="1"/>
  <c r="AS1161" i="5"/>
  <c r="AS1162" i="5"/>
  <c r="AX1162" i="5" s="1"/>
  <c r="AS1163" i="5"/>
  <c r="AX1163" i="5" s="1"/>
  <c r="AS1164" i="5"/>
  <c r="AX1164" i="5" s="1"/>
  <c r="AS1165" i="5"/>
  <c r="AX1165" i="5" s="1"/>
  <c r="AS1166" i="5"/>
  <c r="AX1166" i="5" s="1"/>
  <c r="AS1167" i="5"/>
  <c r="AX1167" i="5" s="1"/>
  <c r="AS1168" i="5"/>
  <c r="AX1168" i="5" s="1"/>
  <c r="AS1169" i="5"/>
  <c r="AS1170" i="5"/>
  <c r="AX1170" i="5" s="1"/>
  <c r="AS1171" i="5"/>
  <c r="AX1171" i="5" s="1"/>
  <c r="AS1172" i="5"/>
  <c r="AX1172" i="5" s="1"/>
  <c r="AS1173" i="5"/>
  <c r="AX1173" i="5" s="1"/>
  <c r="AS1174" i="5"/>
  <c r="AX1174" i="5" s="1"/>
  <c r="AS1175" i="5"/>
  <c r="AX1175" i="5" s="1"/>
  <c r="AS1176" i="5"/>
  <c r="AX1176" i="5" s="1"/>
  <c r="AS1177" i="5"/>
  <c r="AS1178" i="5"/>
  <c r="AX1178" i="5" s="1"/>
  <c r="AS1179" i="5"/>
  <c r="AX1179" i="5" s="1"/>
  <c r="AS1180" i="5"/>
  <c r="AX1180" i="5" s="1"/>
  <c r="AS1181" i="5"/>
  <c r="AX1181" i="5" s="1"/>
  <c r="AS1182" i="5"/>
  <c r="AX1182" i="5" s="1"/>
  <c r="AS1183" i="5"/>
  <c r="AX1183" i="5" s="1"/>
  <c r="AS1184" i="5"/>
  <c r="AX1184" i="5" s="1"/>
  <c r="AS1185" i="5"/>
  <c r="AS1186" i="5"/>
  <c r="AX1186" i="5" s="1"/>
  <c r="AS1187" i="5"/>
  <c r="AX1187" i="5" s="1"/>
  <c r="AS1188" i="5"/>
  <c r="AX1188" i="5" s="1"/>
  <c r="AS1189" i="5"/>
  <c r="AX1189" i="5" s="1"/>
  <c r="AS1190" i="5"/>
  <c r="AX1190" i="5" s="1"/>
  <c r="AS1191" i="5"/>
  <c r="AX1191" i="5" s="1"/>
  <c r="AS1192" i="5"/>
  <c r="AX1192" i="5" s="1"/>
  <c r="AS1193" i="5"/>
  <c r="AS1194" i="5"/>
  <c r="AX1194" i="5" s="1"/>
  <c r="AS1195" i="5"/>
  <c r="AX1195" i="5" s="1"/>
  <c r="AS1196" i="5"/>
  <c r="AX1196" i="5" s="1"/>
  <c r="AS1197" i="5"/>
  <c r="AX1197" i="5" s="1"/>
  <c r="AS1198" i="5"/>
  <c r="AX1198" i="5" s="1"/>
  <c r="AS1199" i="5"/>
  <c r="AX1199" i="5" s="1"/>
  <c r="AS1200" i="5"/>
  <c r="AX1200" i="5" s="1"/>
  <c r="AS1201" i="5"/>
  <c r="AS1202" i="5"/>
  <c r="AX1202" i="5" s="1"/>
  <c r="AS1203" i="5"/>
  <c r="AX1203" i="5" s="1"/>
  <c r="AS1204" i="5"/>
  <c r="AX1204" i="5" s="1"/>
  <c r="AS1205" i="5"/>
  <c r="AX1205" i="5" s="1"/>
  <c r="AS1206" i="5"/>
  <c r="AX1206" i="5" s="1"/>
  <c r="AS1207" i="5"/>
  <c r="AX1207" i="5" s="1"/>
  <c r="AS1208" i="5"/>
  <c r="AX1208" i="5" s="1"/>
  <c r="AS1209" i="5"/>
  <c r="AS1210" i="5"/>
  <c r="AX1210" i="5" s="1"/>
  <c r="AS1211" i="5"/>
  <c r="AX1211" i="5" s="1"/>
  <c r="AS1212" i="5"/>
  <c r="AX1212" i="5" s="1"/>
  <c r="AS1213" i="5"/>
  <c r="AX1213" i="5" s="1"/>
  <c r="AS1214" i="5"/>
  <c r="AX1214" i="5" s="1"/>
  <c r="AS1215" i="5"/>
  <c r="AX1215" i="5" s="1"/>
  <c r="AS1216" i="5"/>
  <c r="AX1216" i="5" s="1"/>
  <c r="AS1217" i="5"/>
  <c r="AS1218" i="5"/>
  <c r="AX1218" i="5" s="1"/>
  <c r="AS1219" i="5"/>
  <c r="AX1219" i="5" s="1"/>
  <c r="AS1220" i="5"/>
  <c r="AX1220" i="5" s="1"/>
  <c r="AS1221" i="5"/>
  <c r="AX1221" i="5" s="1"/>
  <c r="AS1222" i="5"/>
  <c r="AX1222" i="5" s="1"/>
  <c r="AS1223" i="5"/>
  <c r="AX1223" i="5" s="1"/>
  <c r="AS1224" i="5"/>
  <c r="AX1224" i="5" s="1"/>
  <c r="AS1225" i="5"/>
  <c r="AS1226" i="5"/>
  <c r="AX1226" i="5" s="1"/>
  <c r="AS1227" i="5"/>
  <c r="AX1227" i="5" s="1"/>
  <c r="AS1228" i="5"/>
  <c r="AX1228" i="5" s="1"/>
  <c r="AS1229" i="5"/>
  <c r="AX1229" i="5" s="1"/>
  <c r="AS1230" i="5"/>
  <c r="AX1230" i="5" s="1"/>
  <c r="AS1231" i="5"/>
  <c r="AX1231" i="5" s="1"/>
  <c r="AS1232" i="5"/>
  <c r="AX1232" i="5" s="1"/>
  <c r="AS1233" i="5"/>
  <c r="AS1234" i="5"/>
  <c r="AX1234" i="5" s="1"/>
  <c r="AS1235" i="5"/>
  <c r="AX1235" i="5" s="1"/>
  <c r="AS1236" i="5"/>
  <c r="AX1236" i="5" s="1"/>
  <c r="AS1237" i="5"/>
  <c r="AX1237" i="5" s="1"/>
  <c r="AS1238" i="5"/>
  <c r="AX1238" i="5" s="1"/>
  <c r="AS1239" i="5"/>
  <c r="AX1239" i="5" s="1"/>
  <c r="AS1240" i="5"/>
  <c r="AX1240" i="5" s="1"/>
  <c r="AS1241" i="5"/>
  <c r="AS1242" i="5"/>
  <c r="AX1242" i="5" s="1"/>
  <c r="AS1243" i="5"/>
  <c r="AX1243" i="5" s="1"/>
  <c r="AS1244" i="5"/>
  <c r="AX1244" i="5" s="1"/>
  <c r="AS1245" i="5"/>
  <c r="AX1245" i="5" s="1"/>
  <c r="AS1246" i="5"/>
  <c r="AX1246" i="5" s="1"/>
  <c r="AS1247" i="5"/>
  <c r="AX1247" i="5" s="1"/>
  <c r="AS1248" i="5"/>
  <c r="AX1248" i="5" s="1"/>
  <c r="AS1249" i="5"/>
  <c r="AS1250" i="5"/>
  <c r="AX1250" i="5" s="1"/>
  <c r="AS1251" i="5"/>
  <c r="AX1251" i="5" s="1"/>
  <c r="AS1252" i="5"/>
  <c r="AX1252" i="5" s="1"/>
  <c r="AS1253" i="5"/>
  <c r="AX1253" i="5" s="1"/>
  <c r="AS1254" i="5"/>
  <c r="AX1254" i="5" s="1"/>
  <c r="AS1255" i="5"/>
  <c r="AX1255" i="5" s="1"/>
  <c r="AS1256" i="5"/>
  <c r="AX1256" i="5" s="1"/>
  <c r="AS1257" i="5"/>
  <c r="AS1258" i="5"/>
  <c r="AX1258" i="5" s="1"/>
  <c r="AS1259" i="5"/>
  <c r="AX1259" i="5" s="1"/>
  <c r="AS1260" i="5"/>
  <c r="AX1260" i="5" s="1"/>
  <c r="AS1261" i="5"/>
  <c r="AX1261" i="5" s="1"/>
  <c r="AS1262" i="5"/>
  <c r="AX1262" i="5" s="1"/>
  <c r="AS1263" i="5"/>
  <c r="AX1263" i="5" s="1"/>
  <c r="AS1264" i="5"/>
  <c r="AX1264" i="5" s="1"/>
  <c r="AS1265" i="5"/>
  <c r="AS1266" i="5"/>
  <c r="AX1266" i="5" s="1"/>
  <c r="AS1267" i="5"/>
  <c r="AX1267" i="5" s="1"/>
  <c r="AS1268" i="5"/>
  <c r="AX1268" i="5" s="1"/>
  <c r="AS1269" i="5"/>
  <c r="AX1269" i="5" s="1"/>
  <c r="AS1270" i="5"/>
  <c r="AX1270" i="5" s="1"/>
  <c r="AS1271" i="5"/>
  <c r="AX1271" i="5" s="1"/>
  <c r="AS1272" i="5"/>
  <c r="AX1272" i="5" s="1"/>
  <c r="AS1273" i="5"/>
  <c r="AS1274" i="5"/>
  <c r="AX1274" i="5" s="1"/>
  <c r="AS1275" i="5"/>
  <c r="AX1275" i="5" s="1"/>
  <c r="AS1276" i="5"/>
  <c r="AX1276" i="5" s="1"/>
  <c r="AS1277" i="5"/>
  <c r="AX1277" i="5" s="1"/>
  <c r="AS1278" i="5"/>
  <c r="AX1278" i="5" s="1"/>
  <c r="AS1279" i="5"/>
  <c r="AX1279" i="5" s="1"/>
  <c r="AS1280" i="5"/>
  <c r="AX1280" i="5" s="1"/>
  <c r="AS1281" i="5"/>
  <c r="AS1282" i="5"/>
  <c r="AX1282" i="5" s="1"/>
  <c r="AS1283" i="5"/>
  <c r="AX1283" i="5" s="1"/>
  <c r="AS1284" i="5"/>
  <c r="AX1284" i="5" s="1"/>
  <c r="AS1285" i="5"/>
  <c r="AX1285" i="5" s="1"/>
  <c r="AS1286" i="5"/>
  <c r="AX1286" i="5" s="1"/>
  <c r="AS1287" i="5"/>
  <c r="AX1287" i="5" s="1"/>
  <c r="AS1288" i="5"/>
  <c r="AX1288" i="5" s="1"/>
  <c r="AS1289" i="5"/>
  <c r="AS1290" i="5"/>
  <c r="AX1290" i="5" s="1"/>
  <c r="AS1291" i="5"/>
  <c r="AX1291" i="5" s="1"/>
  <c r="AS1292" i="5"/>
  <c r="AX1292" i="5" s="1"/>
  <c r="AS1293" i="5"/>
  <c r="AX1293" i="5" s="1"/>
  <c r="AS1294" i="5"/>
  <c r="AX1294" i="5" s="1"/>
  <c r="AS1295" i="5"/>
  <c r="AX1295" i="5" s="1"/>
  <c r="AS1296" i="5"/>
  <c r="AX1296" i="5" s="1"/>
  <c r="AS1297" i="5"/>
  <c r="AS1298" i="5"/>
  <c r="AX1298" i="5" s="1"/>
  <c r="AS1299" i="5"/>
  <c r="AX1299" i="5" s="1"/>
  <c r="AS1300" i="5"/>
  <c r="AX1300" i="5" s="1"/>
  <c r="AS1301" i="5"/>
  <c r="AX1301" i="5" s="1"/>
  <c r="AS1302" i="5"/>
  <c r="AX1302" i="5" s="1"/>
  <c r="AS1303" i="5"/>
  <c r="AX1303" i="5" s="1"/>
  <c r="AS1304" i="5"/>
  <c r="AX1304" i="5" s="1"/>
  <c r="AS1305" i="5"/>
  <c r="AX1305" i="5" s="1"/>
  <c r="AS1306" i="5"/>
  <c r="AX1306" i="5" s="1"/>
  <c r="AS1307" i="5"/>
  <c r="AX1307" i="5" s="1"/>
  <c r="AS1308" i="5"/>
  <c r="AX1308" i="5" s="1"/>
  <c r="AS1309" i="5"/>
  <c r="AX1309" i="5" s="1"/>
  <c r="AS1310" i="5"/>
  <c r="AX1310" i="5" s="1"/>
  <c r="AS1311" i="5"/>
  <c r="AX1311" i="5" s="1"/>
  <c r="AS1312" i="5"/>
  <c r="AX1312" i="5" s="1"/>
  <c r="AS1313" i="5"/>
  <c r="AX1313" i="5" s="1"/>
  <c r="AS1314" i="5"/>
  <c r="AX1314" i="5" s="1"/>
  <c r="AS1315" i="5"/>
  <c r="AX1315" i="5" s="1"/>
  <c r="AS1316" i="5"/>
  <c r="AX1316" i="5" s="1"/>
  <c r="AS1317" i="5"/>
  <c r="AX1317" i="5" s="1"/>
  <c r="AS1318" i="5"/>
  <c r="AX1318" i="5" s="1"/>
  <c r="AS1319" i="5"/>
  <c r="AX1319" i="5" s="1"/>
  <c r="AS1320" i="5"/>
  <c r="AX1320" i="5" s="1"/>
  <c r="AS1321" i="5"/>
  <c r="AX1321" i="5" s="1"/>
  <c r="AS1322" i="5"/>
  <c r="AX1322" i="5" s="1"/>
  <c r="AS1323" i="5"/>
  <c r="AX1323" i="5" s="1"/>
  <c r="AS1324" i="5"/>
  <c r="AX1324" i="5" s="1"/>
  <c r="AS1325" i="5"/>
  <c r="AX1325" i="5" s="1"/>
  <c r="AS1326" i="5"/>
  <c r="AX1326" i="5" s="1"/>
  <c r="AS1327" i="5"/>
  <c r="AX1327" i="5" s="1"/>
  <c r="AS1328" i="5"/>
  <c r="AX1328" i="5" s="1"/>
  <c r="AS1329" i="5"/>
  <c r="AX1329" i="5" s="1"/>
  <c r="AS1330" i="5"/>
  <c r="AX1330" i="5" s="1"/>
  <c r="AS1331" i="5"/>
  <c r="AX1331" i="5" s="1"/>
  <c r="AS1332" i="5"/>
  <c r="AX1332" i="5" s="1"/>
  <c r="AS1333" i="5"/>
  <c r="AX1333" i="5" s="1"/>
  <c r="AS1334" i="5"/>
  <c r="AX1334" i="5" s="1"/>
  <c r="AS2" i="5"/>
  <c r="AX2" i="5" s="1"/>
  <c r="N20" i="20" l="1"/>
  <c r="N22" i="24"/>
  <c r="N20" i="25"/>
  <c r="N28" i="25"/>
  <c r="N28" i="24"/>
  <c r="N33" i="25"/>
  <c r="N25" i="22"/>
  <c r="N23" i="24"/>
  <c r="N26" i="24"/>
  <c r="N34" i="24"/>
  <c r="N22" i="25"/>
  <c r="N22" i="22"/>
  <c r="N27" i="23"/>
  <c r="N20" i="24"/>
  <c r="N35" i="24"/>
  <c r="N26" i="25"/>
  <c r="N35" i="25"/>
  <c r="N21" i="23"/>
  <c r="N33" i="24"/>
  <c r="N24" i="25"/>
  <c r="AT1388" i="5"/>
  <c r="AT1389" i="5" s="1"/>
  <c r="AT1394" i="5"/>
  <c r="AU1388" i="5"/>
  <c r="AU1389" i="5" s="1"/>
  <c r="AU1394" i="5"/>
  <c r="AT1390" i="5"/>
  <c r="AU1390" i="5"/>
  <c r="AX1404" i="5"/>
  <c r="AV1404" i="5"/>
  <c r="AU1404" i="5"/>
  <c r="BA1402" i="5"/>
  <c r="BA1403" i="5" s="1"/>
  <c r="AT1404" i="5"/>
  <c r="AY1402" i="5"/>
  <c r="AY1403" i="5" s="1"/>
  <c r="AX1402" i="5"/>
  <c r="AX1403" i="5" s="1"/>
  <c r="AU1396" i="5"/>
  <c r="AV1402" i="5"/>
  <c r="AV1403" i="5" s="1"/>
  <c r="AT1396" i="5"/>
  <c r="BA1404" i="5"/>
  <c r="AU1402" i="5"/>
  <c r="AU1403" i="5" s="1"/>
  <c r="AY1404" i="5"/>
  <c r="AT1402" i="5"/>
  <c r="AT1403" i="5" s="1"/>
  <c r="AT1392" i="5"/>
  <c r="AT1393" i="5" s="1"/>
  <c r="AU1392" i="5"/>
  <c r="AU1393" i="5" s="1"/>
  <c r="N39" i="25"/>
  <c r="F67" i="25"/>
  <c r="N30" i="24"/>
  <c r="N24" i="23"/>
  <c r="N25" i="17"/>
  <c r="N22" i="19"/>
  <c r="N30" i="19"/>
  <c r="N29" i="23"/>
  <c r="N33" i="23"/>
  <c r="N29" i="24"/>
  <c r="N32" i="18"/>
  <c r="N24" i="22"/>
  <c r="N25" i="24"/>
  <c r="N22" i="23"/>
  <c r="N25" i="23"/>
  <c r="N28" i="23"/>
  <c r="N23" i="22"/>
  <c r="N21" i="24"/>
  <c r="CM1379" i="5"/>
  <c r="CM1380" i="5" s="1"/>
  <c r="AX1379" i="5"/>
  <c r="AX1380" i="5" s="1"/>
  <c r="AW1379" i="5"/>
  <c r="AW1380" i="5" s="1"/>
  <c r="CL1379" i="5"/>
  <c r="CL1380" i="5" s="1"/>
  <c r="N39" i="24"/>
  <c r="N26" i="23"/>
  <c r="N32" i="17"/>
  <c r="N24" i="18"/>
  <c r="N33" i="18"/>
  <c r="N32" i="20"/>
  <c r="N28" i="22"/>
  <c r="F52" i="24"/>
  <c r="F56" i="24" s="1"/>
  <c r="F60" i="24" s="1"/>
  <c r="N27" i="22"/>
  <c r="N35" i="23"/>
  <c r="N24" i="20"/>
  <c r="N33" i="20"/>
  <c r="N29" i="22"/>
  <c r="N30" i="23"/>
  <c r="AW1376" i="5"/>
  <c r="AW1377" i="5" s="1"/>
  <c r="CL1376" i="5"/>
  <c r="CL1377" i="5" s="1"/>
  <c r="CM1376" i="5"/>
  <c r="CM1377" i="5" s="1"/>
  <c r="CM1373" i="5"/>
  <c r="CM1374" i="5" s="1"/>
  <c r="CL1371" i="5"/>
  <c r="CL1372" i="5" s="1"/>
  <c r="E115" i="10" s="1"/>
  <c r="AW1373" i="5"/>
  <c r="AW1374" i="5" s="1"/>
  <c r="CL1373" i="5"/>
  <c r="CL1374" i="5" s="1"/>
  <c r="N39" i="23"/>
  <c r="N29" i="17"/>
  <c r="N34" i="18"/>
  <c r="N27" i="20"/>
  <c r="N21" i="22"/>
  <c r="N30" i="22"/>
  <c r="N27" i="21"/>
  <c r="N33" i="22"/>
  <c r="N35" i="20"/>
  <c r="N26" i="22"/>
  <c r="N21" i="21"/>
  <c r="N24" i="21"/>
  <c r="N29" i="21"/>
  <c r="N33" i="21"/>
  <c r="N20" i="22"/>
  <c r="N32" i="22"/>
  <c r="N35" i="22"/>
  <c r="F52" i="23"/>
  <c r="F56" i="23" s="1"/>
  <c r="F60" i="23" s="1"/>
  <c r="N28" i="20"/>
  <c r="N34" i="20"/>
  <c r="N34" i="22"/>
  <c r="AW1371" i="5"/>
  <c r="AW1372" i="5" s="1"/>
  <c r="CM1371" i="5"/>
  <c r="CM1372" i="5" s="1"/>
  <c r="N39" i="22"/>
  <c r="N20" i="19"/>
  <c r="N28" i="19"/>
  <c r="N23" i="20"/>
  <c r="N22" i="21"/>
  <c r="N30" i="21"/>
  <c r="N39" i="21"/>
  <c r="N32" i="15"/>
  <c r="N28" i="18"/>
  <c r="N22" i="20"/>
  <c r="F52" i="22"/>
  <c r="F56" i="22" s="1"/>
  <c r="F60" i="22" s="1"/>
  <c r="N23" i="21"/>
  <c r="N26" i="21"/>
  <c r="N32" i="21"/>
  <c r="N35" i="21"/>
  <c r="N20" i="21"/>
  <c r="N25" i="21"/>
  <c r="N28" i="21"/>
  <c r="N34" i="21"/>
  <c r="N21" i="17"/>
  <c r="N26" i="20"/>
  <c r="N23" i="17"/>
  <c r="N26" i="17"/>
  <c r="N27" i="18"/>
  <c r="N21" i="19"/>
  <c r="N29" i="19"/>
  <c r="N29" i="20"/>
  <c r="N23" i="19"/>
  <c r="N32" i="19"/>
  <c r="N25" i="20"/>
  <c r="F52" i="21"/>
  <c r="F56" i="21" s="1"/>
  <c r="F60" i="21" s="1"/>
  <c r="N35" i="15"/>
  <c r="N21" i="20"/>
  <c r="N30" i="20"/>
  <c r="AW1369" i="5"/>
  <c r="AW1370" i="5" s="1"/>
  <c r="CM1369" i="5"/>
  <c r="CM1370" i="5" s="1"/>
  <c r="CL1369" i="5"/>
  <c r="CL1370" i="5" s="1"/>
  <c r="N39" i="20"/>
  <c r="F67" i="20"/>
  <c r="N20" i="18"/>
  <c r="N33" i="17"/>
  <c r="N25" i="18"/>
  <c r="N27" i="19"/>
  <c r="N24" i="19"/>
  <c r="N33" i="19"/>
  <c r="N29" i="15"/>
  <c r="N21" i="18"/>
  <c r="N26" i="19"/>
  <c r="N35" i="19"/>
  <c r="N26" i="18"/>
  <c r="N23" i="18"/>
  <c r="N25" i="19"/>
  <c r="N34" i="19"/>
  <c r="CL1366" i="5"/>
  <c r="CL1367" i="5" s="1"/>
  <c r="CM1366" i="5"/>
  <c r="CM1367" i="5" s="1"/>
  <c r="AW1366" i="5"/>
  <c r="AW1367" i="5" s="1"/>
  <c r="AX1339" i="5"/>
  <c r="AX1340" i="5" s="1"/>
  <c r="AW1363" i="5"/>
  <c r="AW1364" i="5" s="1"/>
  <c r="CM1363" i="5"/>
  <c r="CM1364" i="5" s="1"/>
  <c r="I11" i="19" s="1"/>
  <c r="I39" i="19" s="1"/>
  <c r="AB39" i="19" s="1"/>
  <c r="CL1361" i="5"/>
  <c r="CL1362" i="5" s="1"/>
  <c r="G11" i="18" s="1"/>
  <c r="AA11" i="18" s="1"/>
  <c r="CL1363" i="5"/>
  <c r="CL1364" i="5" s="1"/>
  <c r="E82" i="10" s="1"/>
  <c r="CM1361" i="5"/>
  <c r="CM1362" i="5" s="1"/>
  <c r="AW1361" i="5"/>
  <c r="AW1362" i="5" s="1"/>
  <c r="N39" i="19"/>
  <c r="F67" i="19"/>
  <c r="N20" i="16"/>
  <c r="N28" i="16"/>
  <c r="N27" i="17"/>
  <c r="N30" i="18"/>
  <c r="N29" i="18"/>
  <c r="N35" i="17"/>
  <c r="N22" i="18"/>
  <c r="N23" i="16"/>
  <c r="N32" i="16"/>
  <c r="N35" i="18"/>
  <c r="N39" i="18"/>
  <c r="N24" i="15"/>
  <c r="N33" i="15"/>
  <c r="N24" i="17"/>
  <c r="N30" i="17"/>
  <c r="N34" i="17"/>
  <c r="N20" i="17"/>
  <c r="N23" i="15"/>
  <c r="N23" i="14"/>
  <c r="N20" i="15"/>
  <c r="F52" i="18"/>
  <c r="F56" i="18" s="1"/>
  <c r="F60" i="18" s="1"/>
  <c r="N22" i="17"/>
  <c r="N35" i="13"/>
  <c r="N28" i="17"/>
  <c r="N28" i="13"/>
  <c r="F10" i="17"/>
  <c r="D59" i="10"/>
  <c r="I59" i="10"/>
  <c r="K10" i="17"/>
  <c r="F12" i="17"/>
  <c r="F40" i="17" s="1"/>
  <c r="D61" i="10"/>
  <c r="L13" i="17"/>
  <c r="L38" i="17"/>
  <c r="L40" i="17"/>
  <c r="N40" i="17" s="1"/>
  <c r="N12" i="17"/>
  <c r="M10" i="17"/>
  <c r="M13" i="17" s="1"/>
  <c r="K59" i="10"/>
  <c r="G10" i="17"/>
  <c r="E59" i="10"/>
  <c r="I11" i="17"/>
  <c r="I39" i="17" s="1"/>
  <c r="AB39" i="17" s="1"/>
  <c r="G60" i="10"/>
  <c r="E61" i="10"/>
  <c r="G12" i="17"/>
  <c r="G39" i="17"/>
  <c r="AA39" i="17" s="1"/>
  <c r="AB11" i="17"/>
  <c r="AA11" i="17"/>
  <c r="F61" i="10"/>
  <c r="F62" i="10" s="1"/>
  <c r="H10" i="17"/>
  <c r="G61" i="10"/>
  <c r="I10" i="17"/>
  <c r="J59" i="10"/>
  <c r="J61" i="10"/>
  <c r="K61" i="10"/>
  <c r="K62" i="10" s="1"/>
  <c r="E60" i="10"/>
  <c r="N39" i="17"/>
  <c r="N32" i="14"/>
  <c r="N27" i="15"/>
  <c r="N25" i="16"/>
  <c r="N34" i="16"/>
  <c r="N28" i="14"/>
  <c r="N22" i="16"/>
  <c r="N27" i="16"/>
  <c r="N30" i="16"/>
  <c r="N27" i="14"/>
  <c r="N21" i="16"/>
  <c r="N24" i="16"/>
  <c r="N29" i="16"/>
  <c r="N33" i="16"/>
  <c r="F52" i="17"/>
  <c r="F56" i="17" s="1"/>
  <c r="F60" i="17" s="1"/>
  <c r="N28" i="15"/>
  <c r="N26" i="16"/>
  <c r="N35" i="16"/>
  <c r="N24" i="12"/>
  <c r="N30" i="15"/>
  <c r="AW1357" i="5"/>
  <c r="AW1358" i="5" s="1"/>
  <c r="CM1357" i="5"/>
  <c r="CM1358" i="5" s="1"/>
  <c r="CL1357" i="5"/>
  <c r="CL1358" i="5" s="1"/>
  <c r="CL1355" i="5"/>
  <c r="CL1356" i="5" s="1"/>
  <c r="AW1355" i="5"/>
  <c r="AW1356" i="5" s="1"/>
  <c r="CM1355" i="5"/>
  <c r="CM1356" i="5" s="1"/>
  <c r="CM1353" i="5"/>
  <c r="CM1354" i="5" s="1"/>
  <c r="AW1353" i="5"/>
  <c r="AW1354" i="5" s="1"/>
  <c r="CL1353" i="5"/>
  <c r="CL1354" i="5" s="1"/>
  <c r="CM1351" i="5"/>
  <c r="CM1352" i="5" s="1"/>
  <c r="AW1351" i="5"/>
  <c r="AW1352" i="5" s="1"/>
  <c r="AX1351" i="5"/>
  <c r="AX1352" i="5" s="1"/>
  <c r="CL1351" i="5"/>
  <c r="CL1352" i="5" s="1"/>
  <c r="CL1349" i="5"/>
  <c r="CL1350" i="5" s="1"/>
  <c r="AW1349" i="5"/>
  <c r="AW1350" i="5" s="1"/>
  <c r="CM1349" i="5"/>
  <c r="CM1350" i="5" s="1"/>
  <c r="CL1347" i="5"/>
  <c r="CL1348" i="5" s="1"/>
  <c r="N39" i="16"/>
  <c r="N21" i="13"/>
  <c r="N25" i="14"/>
  <c r="N34" i="14"/>
  <c r="N34" i="15"/>
  <c r="N26" i="15"/>
  <c r="N22" i="15"/>
  <c r="F52" i="16"/>
  <c r="F56" i="16" s="1"/>
  <c r="F60" i="16" s="1"/>
  <c r="N33" i="12"/>
  <c r="N22" i="13"/>
  <c r="N26" i="14"/>
  <c r="N35" i="14"/>
  <c r="N25" i="15"/>
  <c r="N32" i="12"/>
  <c r="N20" i="14"/>
  <c r="N21" i="15"/>
  <c r="AX1347" i="5"/>
  <c r="AX1348" i="5" s="1"/>
  <c r="AW1347" i="5"/>
  <c r="AW1348" i="5" s="1"/>
  <c r="CM1347" i="5"/>
  <c r="CM1348" i="5" s="1"/>
  <c r="N39" i="15"/>
  <c r="N30" i="14"/>
  <c r="N21" i="12"/>
  <c r="N21" i="14"/>
  <c r="N24" i="14"/>
  <c r="N23" i="12"/>
  <c r="N26" i="12"/>
  <c r="N27" i="13"/>
  <c r="N29" i="14"/>
  <c r="N33" i="14"/>
  <c r="F52" i="15"/>
  <c r="F56" i="15" s="1"/>
  <c r="F60" i="15" s="1"/>
  <c r="N28" i="12"/>
  <c r="N22" i="14"/>
  <c r="N22" i="12"/>
  <c r="AW1344" i="5"/>
  <c r="AW1345" i="5" s="1"/>
  <c r="CM1344" i="5"/>
  <c r="CM1345" i="5" s="1"/>
  <c r="CL1344" i="5"/>
  <c r="CL1345" i="5" s="1"/>
  <c r="CL1339" i="5"/>
  <c r="CL1340" i="5" s="1"/>
  <c r="E16" i="10" s="1"/>
  <c r="CM1339" i="5"/>
  <c r="CM1340" i="5" s="1"/>
  <c r="I11" i="13" s="1"/>
  <c r="AT60" i="5"/>
  <c r="AV60" i="5" s="1"/>
  <c r="BO60" i="5" s="1"/>
  <c r="AT16" i="5"/>
  <c r="CE16" i="5" s="1"/>
  <c r="I11" i="14"/>
  <c r="I39" i="14" s="1"/>
  <c r="AB39" i="14" s="1"/>
  <c r="G27" i="10"/>
  <c r="G11" i="14"/>
  <c r="E27" i="10"/>
  <c r="AT156" i="5"/>
  <c r="AV156" i="5" s="1"/>
  <c r="AT92" i="5"/>
  <c r="BV92" i="5" s="1"/>
  <c r="AT28" i="5"/>
  <c r="AV28" i="5" s="1"/>
  <c r="AT330" i="5"/>
  <c r="CI330" i="5" s="1"/>
  <c r="AT10" i="5"/>
  <c r="AU10" i="5" s="1"/>
  <c r="AT266" i="5"/>
  <c r="AU266" i="5" s="1"/>
  <c r="AT5" i="5"/>
  <c r="AU5" i="5" s="1"/>
  <c r="AT202" i="5"/>
  <c r="AU202" i="5" s="1"/>
  <c r="AW1339" i="5"/>
  <c r="AW1340" i="5" s="1"/>
  <c r="N39" i="14"/>
  <c r="N20" i="13"/>
  <c r="N23" i="13"/>
  <c r="N32" i="13"/>
  <c r="N20" i="12"/>
  <c r="N35" i="12"/>
  <c r="N25" i="13"/>
  <c r="N34" i="13"/>
  <c r="N39" i="13"/>
  <c r="N30" i="13"/>
  <c r="F52" i="14"/>
  <c r="F56" i="14" s="1"/>
  <c r="F60" i="14" s="1"/>
  <c r="N24" i="13"/>
  <c r="N29" i="13"/>
  <c r="N33" i="13"/>
  <c r="N30" i="12"/>
  <c r="N26" i="13"/>
  <c r="F67" i="13"/>
  <c r="N25" i="12"/>
  <c r="N27" i="12"/>
  <c r="K6" i="10"/>
  <c r="N34" i="12"/>
  <c r="N29" i="12"/>
  <c r="E5" i="10"/>
  <c r="G11" i="12"/>
  <c r="G10" i="12"/>
  <c r="AA10" i="12" s="1"/>
  <c r="E4" i="10"/>
  <c r="G5" i="10"/>
  <c r="G7" i="10" s="1"/>
  <c r="I11" i="12"/>
  <c r="I39" i="12" s="1"/>
  <c r="AB39" i="12" s="1"/>
  <c r="E6" i="10"/>
  <c r="G12" i="12"/>
  <c r="F10" i="12"/>
  <c r="F38" i="12" s="1"/>
  <c r="D4" i="10"/>
  <c r="I4" i="10"/>
  <c r="K10" i="12"/>
  <c r="D6" i="10"/>
  <c r="F12" i="12"/>
  <c r="H38" i="12"/>
  <c r="L38" i="12"/>
  <c r="N10" i="12"/>
  <c r="F6" i="10"/>
  <c r="H12" i="12"/>
  <c r="H40" i="12" s="1"/>
  <c r="J6" i="10"/>
  <c r="L12" i="12"/>
  <c r="L13" i="12" s="1"/>
  <c r="M38" i="12"/>
  <c r="M41" i="12" s="1"/>
  <c r="M13" i="12"/>
  <c r="AT311" i="5"/>
  <c r="AU311" i="5" s="1"/>
  <c r="BN311" i="5" s="1"/>
  <c r="AT211" i="5"/>
  <c r="AV211" i="5" s="1"/>
  <c r="AT138" i="5"/>
  <c r="AU138" i="5" s="1"/>
  <c r="AT74" i="5"/>
  <c r="AU74" i="5" s="1"/>
  <c r="AT37" i="5"/>
  <c r="AV37" i="5" s="1"/>
  <c r="BO37" i="5" s="1"/>
  <c r="AT13" i="5"/>
  <c r="CE13" i="5" s="1"/>
  <c r="I10" i="12"/>
  <c r="I12" i="12"/>
  <c r="I40" i="12" s="1"/>
  <c r="J4" i="10"/>
  <c r="AT293" i="5"/>
  <c r="AV293" i="5" s="1"/>
  <c r="AT133" i="5"/>
  <c r="AU133" i="5" s="1"/>
  <c r="AT69" i="5"/>
  <c r="AU69" i="5" s="1"/>
  <c r="AT35" i="5"/>
  <c r="CK35" i="5" s="1"/>
  <c r="K4" i="10"/>
  <c r="AT1329" i="5"/>
  <c r="AU1329" i="5" s="1"/>
  <c r="AT275" i="5"/>
  <c r="AV275" i="5" s="1"/>
  <c r="AT192" i="5"/>
  <c r="AU192" i="5" s="1"/>
  <c r="AT128" i="5"/>
  <c r="CC128" i="5" s="1"/>
  <c r="AT64" i="5"/>
  <c r="AU64" i="5" s="1"/>
  <c r="BB64" i="5" s="1"/>
  <c r="AT32" i="5"/>
  <c r="AU32" i="5" s="1"/>
  <c r="BB32" i="5" s="1"/>
  <c r="AT7" i="5"/>
  <c r="AV7" i="5" s="1"/>
  <c r="AT1321" i="5"/>
  <c r="CJ1321" i="5" s="1"/>
  <c r="AT183" i="5"/>
  <c r="AU183" i="5" s="1"/>
  <c r="BB183" i="5" s="1"/>
  <c r="AT119" i="5"/>
  <c r="AU119" i="5" s="1"/>
  <c r="AT1313" i="5"/>
  <c r="AV1313" i="5" s="1"/>
  <c r="AT256" i="5"/>
  <c r="AU256" i="5" s="1"/>
  <c r="AT165" i="5"/>
  <c r="AV165" i="5" s="1"/>
  <c r="BC165" i="5" s="1"/>
  <c r="AT101" i="5"/>
  <c r="AV101" i="5" s="1"/>
  <c r="BO101" i="5" s="1"/>
  <c r="AT55" i="5"/>
  <c r="AU55" i="5" s="1"/>
  <c r="BN55" i="5" s="1"/>
  <c r="AT23" i="5"/>
  <c r="AV23" i="5" s="1"/>
  <c r="BO23" i="5" s="1"/>
  <c r="AT3" i="5"/>
  <c r="CD3" i="5" s="1"/>
  <c r="F4" i="10"/>
  <c r="AT1305" i="5"/>
  <c r="AU1305" i="5" s="1"/>
  <c r="BB1305" i="5" s="1"/>
  <c r="AT247" i="5"/>
  <c r="AU247" i="5" s="1"/>
  <c r="AT53" i="5"/>
  <c r="AV53" i="5" s="1"/>
  <c r="BO53" i="5" s="1"/>
  <c r="AT21" i="5"/>
  <c r="CD21" i="5" s="1"/>
  <c r="AT357" i="5"/>
  <c r="AV357" i="5" s="1"/>
  <c r="AT229" i="5"/>
  <c r="AV229" i="5" s="1"/>
  <c r="AT151" i="5"/>
  <c r="AV151" i="5" s="1"/>
  <c r="AT87" i="5"/>
  <c r="AV87" i="5" s="1"/>
  <c r="BO87" i="5" s="1"/>
  <c r="AT51" i="5"/>
  <c r="AV51" i="5" s="1"/>
  <c r="BO51" i="5" s="1"/>
  <c r="AT19" i="5"/>
  <c r="AV19" i="5" s="1"/>
  <c r="AT220" i="5"/>
  <c r="AV220" i="5" s="1"/>
  <c r="AT147" i="5"/>
  <c r="AV147" i="5" s="1"/>
  <c r="AT83" i="5"/>
  <c r="AV83" i="5" s="1"/>
  <c r="AT39" i="5"/>
  <c r="CI39" i="5" s="1"/>
  <c r="N39" i="12"/>
  <c r="F52" i="12"/>
  <c r="F56" i="12" s="1"/>
  <c r="F60" i="12" s="1"/>
  <c r="AT1297" i="5"/>
  <c r="AX1297" i="5"/>
  <c r="AT1289" i="5"/>
  <c r="AX1289" i="5"/>
  <c r="AT1281" i="5"/>
  <c r="AX1281" i="5"/>
  <c r="AT1273" i="5"/>
  <c r="AX1273" i="5"/>
  <c r="AT1265" i="5"/>
  <c r="AX1265" i="5"/>
  <c r="AT1257" i="5"/>
  <c r="AX1257" i="5"/>
  <c r="AT1249" i="5"/>
  <c r="AX1249" i="5"/>
  <c r="AT1241" i="5"/>
  <c r="AX1241" i="5"/>
  <c r="AT1233" i="5"/>
  <c r="AX1233" i="5"/>
  <c r="AT1225" i="5"/>
  <c r="AX1225" i="5"/>
  <c r="AT1217" i="5"/>
  <c r="AX1217" i="5"/>
  <c r="AT1209" i="5"/>
  <c r="AX1209" i="5"/>
  <c r="AT1201" i="5"/>
  <c r="AX1201" i="5"/>
  <c r="AT1193" i="5"/>
  <c r="AX1193" i="5"/>
  <c r="AT1185" i="5"/>
  <c r="AX1185" i="5"/>
  <c r="AT1177" i="5"/>
  <c r="AX1177" i="5"/>
  <c r="AT1169" i="5"/>
  <c r="AX1169" i="5"/>
  <c r="AT1161" i="5"/>
  <c r="AX1161" i="5"/>
  <c r="AT1153" i="5"/>
  <c r="AX1153" i="5"/>
  <c r="AT1145" i="5"/>
  <c r="AX1145" i="5"/>
  <c r="AT1137" i="5"/>
  <c r="AX1137" i="5"/>
  <c r="AT1129" i="5"/>
  <c r="AX1129" i="5"/>
  <c r="AT1121" i="5"/>
  <c r="AX1121" i="5"/>
  <c r="AT1113" i="5"/>
  <c r="AX1113" i="5"/>
  <c r="AT1105" i="5"/>
  <c r="AX1105" i="5"/>
  <c r="AT1097" i="5"/>
  <c r="AX1097" i="5"/>
  <c r="AT1089" i="5"/>
  <c r="AX1089" i="5"/>
  <c r="AT1081" i="5"/>
  <c r="AX1081" i="5"/>
  <c r="AT1073" i="5"/>
  <c r="AX1073" i="5"/>
  <c r="AT1065" i="5"/>
  <c r="AX1065" i="5"/>
  <c r="AT1057" i="5"/>
  <c r="AX1057" i="5"/>
  <c r="AT1049" i="5"/>
  <c r="AX1049" i="5"/>
  <c r="AT1041" i="5"/>
  <c r="AX1041" i="5"/>
  <c r="AT1033" i="5"/>
  <c r="AX1033" i="5"/>
  <c r="AT1025" i="5"/>
  <c r="AX1025" i="5"/>
  <c r="AT1017" i="5"/>
  <c r="AX1017" i="5"/>
  <c r="AT1009" i="5"/>
  <c r="AX1009" i="5"/>
  <c r="AT1001" i="5"/>
  <c r="AX1001" i="5"/>
  <c r="AT993" i="5"/>
  <c r="AX993" i="5"/>
  <c r="AT985" i="5"/>
  <c r="AX985" i="5"/>
  <c r="AT977" i="5"/>
  <c r="AX977" i="5"/>
  <c r="AT969" i="5"/>
  <c r="AX969" i="5"/>
  <c r="AT961" i="5"/>
  <c r="AX961" i="5"/>
  <c r="AT953" i="5"/>
  <c r="AX953" i="5"/>
  <c r="AT945" i="5"/>
  <c r="AX945" i="5"/>
  <c r="AT937" i="5"/>
  <c r="AX937" i="5"/>
  <c r="AT929" i="5"/>
  <c r="AX929" i="5"/>
  <c r="AT921" i="5"/>
  <c r="AX921" i="5"/>
  <c r="AT913" i="5"/>
  <c r="AX913" i="5"/>
  <c r="AT905" i="5"/>
  <c r="AX905" i="5"/>
  <c r="AT897" i="5"/>
  <c r="AX897" i="5"/>
  <c r="AT889" i="5"/>
  <c r="AX889" i="5"/>
  <c r="AT881" i="5"/>
  <c r="AX881" i="5"/>
  <c r="AT873" i="5"/>
  <c r="AX873" i="5"/>
  <c r="AT865" i="5"/>
  <c r="AX865" i="5"/>
  <c r="AT857" i="5"/>
  <c r="AX857" i="5"/>
  <c r="AT849" i="5"/>
  <c r="AX849" i="5"/>
  <c r="AT841" i="5"/>
  <c r="AX841" i="5"/>
  <c r="AT833" i="5"/>
  <c r="AX833" i="5"/>
  <c r="AT825" i="5"/>
  <c r="AX825" i="5"/>
  <c r="AT817" i="5"/>
  <c r="AX817" i="5"/>
  <c r="AT809" i="5"/>
  <c r="AX809" i="5"/>
  <c r="AT801" i="5"/>
  <c r="AX801" i="5"/>
  <c r="AT793" i="5"/>
  <c r="AX793" i="5"/>
  <c r="AT785" i="5"/>
  <c r="AX785" i="5"/>
  <c r="AT777" i="5"/>
  <c r="AX777" i="5"/>
  <c r="AT769" i="5"/>
  <c r="AX769" i="5"/>
  <c r="AX1371" i="5" s="1"/>
  <c r="AX1372" i="5" s="1"/>
  <c r="AT761" i="5"/>
  <c r="AX761" i="5"/>
  <c r="AT753" i="5"/>
  <c r="AX753" i="5"/>
  <c r="AT745" i="5"/>
  <c r="AX745" i="5"/>
  <c r="AT737" i="5"/>
  <c r="AX737" i="5"/>
  <c r="AT729" i="5"/>
  <c r="AX729" i="5"/>
  <c r="AT721" i="5"/>
  <c r="AX721" i="5"/>
  <c r="AT713" i="5"/>
  <c r="AX713" i="5"/>
  <c r="AT705" i="5"/>
  <c r="AX705" i="5"/>
  <c r="AT697" i="5"/>
  <c r="AX697" i="5"/>
  <c r="AT689" i="5"/>
  <c r="AX689" i="5"/>
  <c r="AT681" i="5"/>
  <c r="AX681" i="5"/>
  <c r="AT673" i="5"/>
  <c r="AX673" i="5"/>
  <c r="AT665" i="5"/>
  <c r="AX665" i="5"/>
  <c r="AT657" i="5"/>
  <c r="AX657" i="5"/>
  <c r="AT649" i="5"/>
  <c r="AX649" i="5"/>
  <c r="AT641" i="5"/>
  <c r="AX641" i="5"/>
  <c r="AT633" i="5"/>
  <c r="AX633" i="5"/>
  <c r="AT625" i="5"/>
  <c r="AX625" i="5"/>
  <c r="AT617" i="5"/>
  <c r="AX617" i="5"/>
  <c r="AT609" i="5"/>
  <c r="AX609" i="5"/>
  <c r="AT601" i="5"/>
  <c r="AX601" i="5"/>
  <c r="AT593" i="5"/>
  <c r="AX593" i="5"/>
  <c r="AT585" i="5"/>
  <c r="AX585" i="5"/>
  <c r="AT577" i="5"/>
  <c r="AX577" i="5"/>
  <c r="AT569" i="5"/>
  <c r="AX569" i="5"/>
  <c r="AT561" i="5"/>
  <c r="AX561" i="5"/>
  <c r="AT553" i="5"/>
  <c r="AX553" i="5"/>
  <c r="AT545" i="5"/>
  <c r="AX545" i="5"/>
  <c r="AT537" i="5"/>
  <c r="AX537" i="5"/>
  <c r="AT529" i="5"/>
  <c r="AX529" i="5"/>
  <c r="AT521" i="5"/>
  <c r="AX521" i="5"/>
  <c r="AT513" i="5"/>
  <c r="AX513" i="5"/>
  <c r="AT505" i="5"/>
  <c r="AX505" i="5"/>
  <c r="AT497" i="5"/>
  <c r="AX497" i="5"/>
  <c r="AT489" i="5"/>
  <c r="AX489" i="5"/>
  <c r="AT481" i="5"/>
  <c r="AX481" i="5"/>
  <c r="AT473" i="5"/>
  <c r="AX473" i="5"/>
  <c r="AT465" i="5"/>
  <c r="AX465" i="5"/>
  <c r="AT457" i="5"/>
  <c r="AX457" i="5"/>
  <c r="AT449" i="5"/>
  <c r="AX449" i="5"/>
  <c r="AT441" i="5"/>
  <c r="AX441" i="5"/>
  <c r="AT433" i="5"/>
  <c r="AX433" i="5"/>
  <c r="AT425" i="5"/>
  <c r="AX425" i="5"/>
  <c r="AT417" i="5"/>
  <c r="AX417" i="5"/>
  <c r="AT409" i="5"/>
  <c r="AX409" i="5"/>
  <c r="AT401" i="5"/>
  <c r="AX401" i="5"/>
  <c r="AT393" i="5"/>
  <c r="AX393" i="5"/>
  <c r="AT385" i="5"/>
  <c r="AX385" i="5"/>
  <c r="AT377" i="5"/>
  <c r="AX377" i="5"/>
  <c r="AT369" i="5"/>
  <c r="AX369" i="5"/>
  <c r="AT361" i="5"/>
  <c r="AX361" i="5"/>
  <c r="AT353" i="5"/>
  <c r="AX353" i="5"/>
  <c r="AT345" i="5"/>
  <c r="AX345" i="5"/>
  <c r="AT337" i="5"/>
  <c r="AX337" i="5"/>
  <c r="AT329" i="5"/>
  <c r="AX329" i="5"/>
  <c r="AT321" i="5"/>
  <c r="AX321" i="5"/>
  <c r="AT313" i="5"/>
  <c r="AX313" i="5"/>
  <c r="AT305" i="5"/>
  <c r="AX305" i="5"/>
  <c r="AT297" i="5"/>
  <c r="AX297" i="5"/>
  <c r="AT289" i="5"/>
  <c r="AX289" i="5"/>
  <c r="AT281" i="5"/>
  <c r="AX281" i="5"/>
  <c r="AT273" i="5"/>
  <c r="AX273" i="5"/>
  <c r="AT265" i="5"/>
  <c r="AX265" i="5"/>
  <c r="AT257" i="5"/>
  <c r="AX257" i="5"/>
  <c r="AT249" i="5"/>
  <c r="AX249" i="5"/>
  <c r="AT241" i="5"/>
  <c r="AX241" i="5"/>
  <c r="AT233" i="5"/>
  <c r="AX233" i="5"/>
  <c r="AT225" i="5"/>
  <c r="AX225" i="5"/>
  <c r="AT217" i="5"/>
  <c r="AX217" i="5"/>
  <c r="AT209" i="5"/>
  <c r="AX209" i="5"/>
  <c r="AT201" i="5"/>
  <c r="AX201" i="5"/>
  <c r="AT193" i="5"/>
  <c r="AX193" i="5"/>
  <c r="AT185" i="5"/>
  <c r="AX185" i="5"/>
  <c r="AT177" i="5"/>
  <c r="AX177" i="5"/>
  <c r="AT169" i="5"/>
  <c r="AX169" i="5"/>
  <c r="AT161" i="5"/>
  <c r="AX161" i="5"/>
  <c r="AT153" i="5"/>
  <c r="AX153" i="5"/>
  <c r="AX1361" i="5" s="1"/>
  <c r="AX1362" i="5" s="1"/>
  <c r="AT145" i="5"/>
  <c r="AX145" i="5"/>
  <c r="AX1357" i="5" s="1"/>
  <c r="AX1358" i="5" s="1"/>
  <c r="AT137" i="5"/>
  <c r="AX137" i="5"/>
  <c r="AT129" i="5"/>
  <c r="AX129" i="5"/>
  <c r="AT121" i="5"/>
  <c r="AX121" i="5"/>
  <c r="AX1353" i="5" s="1"/>
  <c r="AX1354" i="5" s="1"/>
  <c r="AT113" i="5"/>
  <c r="AX113" i="5"/>
  <c r="AT105" i="5"/>
  <c r="AX105" i="5"/>
  <c r="AT97" i="5"/>
  <c r="AX97" i="5"/>
  <c r="AT89" i="5"/>
  <c r="AX89" i="5"/>
  <c r="AT81" i="5"/>
  <c r="AX81" i="5"/>
  <c r="AT73" i="5"/>
  <c r="AX73" i="5"/>
  <c r="AT65" i="5"/>
  <c r="AX65" i="5"/>
  <c r="AT57" i="5"/>
  <c r="AX57" i="5"/>
  <c r="AT49" i="5"/>
  <c r="AX49" i="5"/>
  <c r="AT41" i="5"/>
  <c r="AX41" i="5"/>
  <c r="AT33" i="5"/>
  <c r="AX33" i="5"/>
  <c r="AT25" i="5"/>
  <c r="AX25" i="5"/>
  <c r="AT17" i="5"/>
  <c r="AX17" i="5"/>
  <c r="AT9" i="5"/>
  <c r="AX9" i="5"/>
  <c r="AT1334" i="5"/>
  <c r="AT1326" i="5"/>
  <c r="AT1318" i="5"/>
  <c r="AT1310" i="5"/>
  <c r="AT1302" i="5"/>
  <c r="AT1293" i="5"/>
  <c r="AT1284" i="5"/>
  <c r="AT1275" i="5"/>
  <c r="AT1266" i="5"/>
  <c r="AT1256" i="5"/>
  <c r="AT1247" i="5"/>
  <c r="AT1238" i="5"/>
  <c r="AT1229" i="5"/>
  <c r="AT1220" i="5"/>
  <c r="AT1211" i="5"/>
  <c r="AT1202" i="5"/>
  <c r="AT1192" i="5"/>
  <c r="AT1183" i="5"/>
  <c r="AT1174" i="5"/>
  <c r="AT1165" i="5"/>
  <c r="AT1156" i="5"/>
  <c r="AT1147" i="5"/>
  <c r="AT1138" i="5"/>
  <c r="AT1128" i="5"/>
  <c r="AT1119" i="5"/>
  <c r="AT1110" i="5"/>
  <c r="AT1101" i="5"/>
  <c r="AT1092" i="5"/>
  <c r="AT1083" i="5"/>
  <c r="AT1074" i="5"/>
  <c r="AT1064" i="5"/>
  <c r="AT1055" i="5"/>
  <c r="AT1046" i="5"/>
  <c r="AT1037" i="5"/>
  <c r="AT1028" i="5"/>
  <c r="AT1019" i="5"/>
  <c r="AT1010" i="5"/>
  <c r="AT1000" i="5"/>
  <c r="AT991" i="5"/>
  <c r="AT982" i="5"/>
  <c r="AT973" i="5"/>
  <c r="AT964" i="5"/>
  <c r="AT955" i="5"/>
  <c r="AT946" i="5"/>
  <c r="AT936" i="5"/>
  <c r="AT927" i="5"/>
  <c r="AT918" i="5"/>
  <c r="AT909" i="5"/>
  <c r="AT900" i="5"/>
  <c r="AT891" i="5"/>
  <c r="AT882" i="5"/>
  <c r="AT872" i="5"/>
  <c r="AT863" i="5"/>
  <c r="AT854" i="5"/>
  <c r="AT845" i="5"/>
  <c r="AT836" i="5"/>
  <c r="AT827" i="5"/>
  <c r="AT818" i="5"/>
  <c r="AT808" i="5"/>
  <c r="AT799" i="5"/>
  <c r="AT790" i="5"/>
  <c r="AT781" i="5"/>
  <c r="AT772" i="5"/>
  <c r="AT763" i="5"/>
  <c r="AT754" i="5"/>
  <c r="AT744" i="5"/>
  <c r="AT735" i="5"/>
  <c r="AT726" i="5"/>
  <c r="AT717" i="5"/>
  <c r="AT708" i="5"/>
  <c r="AT699" i="5"/>
  <c r="AT690" i="5"/>
  <c r="AT680" i="5"/>
  <c r="AT671" i="5"/>
  <c r="AT662" i="5"/>
  <c r="AT653" i="5"/>
  <c r="AT644" i="5"/>
  <c r="AT635" i="5"/>
  <c r="AT626" i="5"/>
  <c r="AT616" i="5"/>
  <c r="AT607" i="5"/>
  <c r="AT598" i="5"/>
  <c r="AT589" i="5"/>
  <c r="AT580" i="5"/>
  <c r="AT571" i="5"/>
  <c r="AT562" i="5"/>
  <c r="AT552" i="5"/>
  <c r="AT543" i="5"/>
  <c r="AT534" i="5"/>
  <c r="AT525" i="5"/>
  <c r="AT516" i="5"/>
  <c r="AT507" i="5"/>
  <c r="AT498" i="5"/>
  <c r="AT488" i="5"/>
  <c r="AT479" i="5"/>
  <c r="AT470" i="5"/>
  <c r="AT461" i="5"/>
  <c r="AT452" i="5"/>
  <c r="AT443" i="5"/>
  <c r="AT434" i="5"/>
  <c r="AT424" i="5"/>
  <c r="AT415" i="5"/>
  <c r="AT406" i="5"/>
  <c r="AT397" i="5"/>
  <c r="AT388" i="5"/>
  <c r="AT379" i="5"/>
  <c r="AT370" i="5"/>
  <c r="AT360" i="5"/>
  <c r="AT351" i="5"/>
  <c r="AT342" i="5"/>
  <c r="AT333" i="5"/>
  <c r="AT324" i="5"/>
  <c r="AT315" i="5"/>
  <c r="AT306" i="5"/>
  <c r="AT296" i="5"/>
  <c r="AT287" i="5"/>
  <c r="AT278" i="5"/>
  <c r="AT269" i="5"/>
  <c r="AT260" i="5"/>
  <c r="AT251" i="5"/>
  <c r="AT242" i="5"/>
  <c r="AT232" i="5"/>
  <c r="AT223" i="5"/>
  <c r="AT214" i="5"/>
  <c r="AT205" i="5"/>
  <c r="AT196" i="5"/>
  <c r="AT187" i="5"/>
  <c r="AT178" i="5"/>
  <c r="AT168" i="5"/>
  <c r="AT159" i="5"/>
  <c r="AT150" i="5"/>
  <c r="AT141" i="5"/>
  <c r="AT132" i="5"/>
  <c r="AT123" i="5"/>
  <c r="AT114" i="5"/>
  <c r="AT104" i="5"/>
  <c r="AT95" i="5"/>
  <c r="AT86" i="5"/>
  <c r="AT77" i="5"/>
  <c r="AT68" i="5"/>
  <c r="AT59" i="5"/>
  <c r="AT50" i="5"/>
  <c r="AT40" i="5"/>
  <c r="AT31" i="5"/>
  <c r="AT22" i="5"/>
  <c r="CI13" i="5"/>
  <c r="AT4" i="5"/>
  <c r="AT1333" i="5"/>
  <c r="AT1325" i="5"/>
  <c r="AT1317" i="5"/>
  <c r="AT1309" i="5"/>
  <c r="AT1301" i="5"/>
  <c r="AT1292" i="5"/>
  <c r="AT1283" i="5"/>
  <c r="AT1274" i="5"/>
  <c r="AT1264" i="5"/>
  <c r="AT1255" i="5"/>
  <c r="AT1246" i="5"/>
  <c r="AT1237" i="5"/>
  <c r="AT1228" i="5"/>
  <c r="AT1219" i="5"/>
  <c r="AT1210" i="5"/>
  <c r="AT1200" i="5"/>
  <c r="AT1191" i="5"/>
  <c r="AT1182" i="5"/>
  <c r="AT1173" i="5"/>
  <c r="AT1164" i="5"/>
  <c r="AT1155" i="5"/>
  <c r="AT1146" i="5"/>
  <c r="AT1136" i="5"/>
  <c r="AT1127" i="5"/>
  <c r="AT1118" i="5"/>
  <c r="AT1109" i="5"/>
  <c r="AT1100" i="5"/>
  <c r="AT1091" i="5"/>
  <c r="AT1082" i="5"/>
  <c r="AT1072" i="5"/>
  <c r="AT1063" i="5"/>
  <c r="AT1054" i="5"/>
  <c r="AT1045" i="5"/>
  <c r="AT1036" i="5"/>
  <c r="AT1027" i="5"/>
  <c r="AT1018" i="5"/>
  <c r="AT1008" i="5"/>
  <c r="AT999" i="5"/>
  <c r="AT990" i="5"/>
  <c r="AT981" i="5"/>
  <c r="AT972" i="5"/>
  <c r="AT963" i="5"/>
  <c r="AT954" i="5"/>
  <c r="AT944" i="5"/>
  <c r="AT935" i="5"/>
  <c r="AT926" i="5"/>
  <c r="AT917" i="5"/>
  <c r="AT908" i="5"/>
  <c r="AT899" i="5"/>
  <c r="AT890" i="5"/>
  <c r="AT880" i="5"/>
  <c r="AT871" i="5"/>
  <c r="AT862" i="5"/>
  <c r="AT853" i="5"/>
  <c r="AT844" i="5"/>
  <c r="AT835" i="5"/>
  <c r="AT826" i="5"/>
  <c r="AT816" i="5"/>
  <c r="AT807" i="5"/>
  <c r="AT798" i="5"/>
  <c r="AT789" i="5"/>
  <c r="AT780" i="5"/>
  <c r="AT771" i="5"/>
  <c r="AT762" i="5"/>
  <c r="AT752" i="5"/>
  <c r="AT743" i="5"/>
  <c r="AT734" i="5"/>
  <c r="AT725" i="5"/>
  <c r="AT716" i="5"/>
  <c r="AT707" i="5"/>
  <c r="AT698" i="5"/>
  <c r="AT688" i="5"/>
  <c r="AT679" i="5"/>
  <c r="AT670" i="5"/>
  <c r="AT661" i="5"/>
  <c r="AT652" i="5"/>
  <c r="AT643" i="5"/>
  <c r="AT634" i="5"/>
  <c r="AT624" i="5"/>
  <c r="AT615" i="5"/>
  <c r="AT606" i="5"/>
  <c r="AT597" i="5"/>
  <c r="AT588" i="5"/>
  <c r="AT579" i="5"/>
  <c r="AT570" i="5"/>
  <c r="AT560" i="5"/>
  <c r="AT551" i="5"/>
  <c r="AT542" i="5"/>
  <c r="AT533" i="5"/>
  <c r="AT524" i="5"/>
  <c r="AT515" i="5"/>
  <c r="AT506" i="5"/>
  <c r="AT496" i="5"/>
  <c r="AT487" i="5"/>
  <c r="AT478" i="5"/>
  <c r="AT469" i="5"/>
  <c r="AT460" i="5"/>
  <c r="AT451" i="5"/>
  <c r="AT442" i="5"/>
  <c r="AT432" i="5"/>
  <c r="AT423" i="5"/>
  <c r="AT414" i="5"/>
  <c r="AT405" i="5"/>
  <c r="AT396" i="5"/>
  <c r="AT387" i="5"/>
  <c r="AT378" i="5"/>
  <c r="AT368" i="5"/>
  <c r="AT359" i="5"/>
  <c r="AT350" i="5"/>
  <c r="AT341" i="5"/>
  <c r="AT332" i="5"/>
  <c r="AT323" i="5"/>
  <c r="AT314" i="5"/>
  <c r="AT304" i="5"/>
  <c r="AT295" i="5"/>
  <c r="AT286" i="5"/>
  <c r="AT277" i="5"/>
  <c r="AT268" i="5"/>
  <c r="AT259" i="5"/>
  <c r="AT250" i="5"/>
  <c r="AT240" i="5"/>
  <c r="AT231" i="5"/>
  <c r="AT222" i="5"/>
  <c r="AT213" i="5"/>
  <c r="AT204" i="5"/>
  <c r="AT195" i="5"/>
  <c r="AT186" i="5"/>
  <c r="AT176" i="5"/>
  <c r="AT167" i="5"/>
  <c r="AT158" i="5"/>
  <c r="AT149" i="5"/>
  <c r="AT140" i="5"/>
  <c r="AT131" i="5"/>
  <c r="AT122" i="5"/>
  <c r="AT112" i="5"/>
  <c r="AT103" i="5"/>
  <c r="AT94" i="5"/>
  <c r="AT85" i="5"/>
  <c r="AT76" i="5"/>
  <c r="AT67" i="5"/>
  <c r="AT58" i="5"/>
  <c r="AT48" i="5"/>
  <c r="AT30" i="5"/>
  <c r="AT12" i="5"/>
  <c r="BU3" i="5"/>
  <c r="AT1332" i="5"/>
  <c r="AT1324" i="5"/>
  <c r="AT1316" i="5"/>
  <c r="AT1308" i="5"/>
  <c r="AT1300" i="5"/>
  <c r="AT1291" i="5"/>
  <c r="AT1282" i="5"/>
  <c r="AT1272" i="5"/>
  <c r="AT1263" i="5"/>
  <c r="AT1254" i="5"/>
  <c r="AT1245" i="5"/>
  <c r="AT1236" i="5"/>
  <c r="AT1227" i="5"/>
  <c r="AT1218" i="5"/>
  <c r="AT1208" i="5"/>
  <c r="AT1199" i="5"/>
  <c r="AT1190" i="5"/>
  <c r="AT1181" i="5"/>
  <c r="AT1172" i="5"/>
  <c r="AT1163" i="5"/>
  <c r="AT1154" i="5"/>
  <c r="AT1144" i="5"/>
  <c r="AT1135" i="5"/>
  <c r="AT1126" i="5"/>
  <c r="AT1117" i="5"/>
  <c r="AT1108" i="5"/>
  <c r="AT1099" i="5"/>
  <c r="AT1090" i="5"/>
  <c r="AT1080" i="5"/>
  <c r="AT1071" i="5"/>
  <c r="AT1062" i="5"/>
  <c r="AT1053" i="5"/>
  <c r="AT1044" i="5"/>
  <c r="AT1035" i="5"/>
  <c r="AT1026" i="5"/>
  <c r="AT1016" i="5"/>
  <c r="AT1007" i="5"/>
  <c r="AT998" i="5"/>
  <c r="AT989" i="5"/>
  <c r="AT980" i="5"/>
  <c r="AT971" i="5"/>
  <c r="AT962" i="5"/>
  <c r="AT952" i="5"/>
  <c r="AT943" i="5"/>
  <c r="AT934" i="5"/>
  <c r="AT925" i="5"/>
  <c r="AT916" i="5"/>
  <c r="AT907" i="5"/>
  <c r="AT898" i="5"/>
  <c r="AT888" i="5"/>
  <c r="AT879" i="5"/>
  <c r="AT870" i="5"/>
  <c r="AT861" i="5"/>
  <c r="AT852" i="5"/>
  <c r="AT843" i="5"/>
  <c r="AT834" i="5"/>
  <c r="AT824" i="5"/>
  <c r="AT815" i="5"/>
  <c r="AT806" i="5"/>
  <c r="AT797" i="5"/>
  <c r="AT788" i="5"/>
  <c r="AT779" i="5"/>
  <c r="AT770" i="5"/>
  <c r="AT760" i="5"/>
  <c r="AT751" i="5"/>
  <c r="AT742" i="5"/>
  <c r="AT733" i="5"/>
  <c r="AT724" i="5"/>
  <c r="AT715" i="5"/>
  <c r="AT706" i="5"/>
  <c r="AT696" i="5"/>
  <c r="AT687" i="5"/>
  <c r="AT678" i="5"/>
  <c r="AT669" i="5"/>
  <c r="AT660" i="5"/>
  <c r="AT651" i="5"/>
  <c r="AT642" i="5"/>
  <c r="AT632" i="5"/>
  <c r="AT623" i="5"/>
  <c r="AT614" i="5"/>
  <c r="AT605" i="5"/>
  <c r="AT596" i="5"/>
  <c r="AT587" i="5"/>
  <c r="AT578" i="5"/>
  <c r="AT568" i="5"/>
  <c r="AT559" i="5"/>
  <c r="AT550" i="5"/>
  <c r="AT541" i="5"/>
  <c r="AT532" i="5"/>
  <c r="AT523" i="5"/>
  <c r="AT514" i="5"/>
  <c r="AT504" i="5"/>
  <c r="AT495" i="5"/>
  <c r="AT486" i="5"/>
  <c r="AT477" i="5"/>
  <c r="AT468" i="5"/>
  <c r="AT459" i="5"/>
  <c r="AT450" i="5"/>
  <c r="AT440" i="5"/>
  <c r="AT431" i="5"/>
  <c r="AT422" i="5"/>
  <c r="AT413" i="5"/>
  <c r="AT404" i="5"/>
  <c r="AT395" i="5"/>
  <c r="AT386" i="5"/>
  <c r="AT376" i="5"/>
  <c r="AT367" i="5"/>
  <c r="AT358" i="5"/>
  <c r="AT349" i="5"/>
  <c r="AT340" i="5"/>
  <c r="AT331" i="5"/>
  <c r="AT322" i="5"/>
  <c r="AT312" i="5"/>
  <c r="AT303" i="5"/>
  <c r="AT294" i="5"/>
  <c r="AT285" i="5"/>
  <c r="AT276" i="5"/>
  <c r="AT267" i="5"/>
  <c r="AT258" i="5"/>
  <c r="AT248" i="5"/>
  <c r="AT239" i="5"/>
  <c r="AT230" i="5"/>
  <c r="AT221" i="5"/>
  <c r="AT212" i="5"/>
  <c r="AT203" i="5"/>
  <c r="AT194" i="5"/>
  <c r="AT184" i="5"/>
  <c r="AT175" i="5"/>
  <c r="AT166" i="5"/>
  <c r="AT157" i="5"/>
  <c r="AT148" i="5"/>
  <c r="AT139" i="5"/>
  <c r="AT130" i="5"/>
  <c r="AT120" i="5"/>
  <c r="AT111" i="5"/>
  <c r="AT102" i="5"/>
  <c r="AT93" i="5"/>
  <c r="AT84" i="5"/>
  <c r="AT75" i="5"/>
  <c r="AT66" i="5"/>
  <c r="AT56" i="5"/>
  <c r="AT47" i="5"/>
  <c r="AT38" i="5"/>
  <c r="AT29" i="5"/>
  <c r="AT20" i="5"/>
  <c r="AT11" i="5"/>
  <c r="AT1331" i="5"/>
  <c r="AT1323" i="5"/>
  <c r="AT1315" i="5"/>
  <c r="AT1307" i="5"/>
  <c r="AT1299" i="5"/>
  <c r="AT1290" i="5"/>
  <c r="AT1280" i="5"/>
  <c r="AT1271" i="5"/>
  <c r="AT1262" i="5"/>
  <c r="AT1253" i="5"/>
  <c r="AT1244" i="5"/>
  <c r="AT1235" i="5"/>
  <c r="AT1226" i="5"/>
  <c r="AT1216" i="5"/>
  <c r="AT1207" i="5"/>
  <c r="AT1198" i="5"/>
  <c r="AT1189" i="5"/>
  <c r="AT1180" i="5"/>
  <c r="AT1171" i="5"/>
  <c r="AT1162" i="5"/>
  <c r="AT1152" i="5"/>
  <c r="AT1143" i="5"/>
  <c r="AT1134" i="5"/>
  <c r="AT1125" i="5"/>
  <c r="AT1116" i="5"/>
  <c r="AT1107" i="5"/>
  <c r="AT1098" i="5"/>
  <c r="AT1088" i="5"/>
  <c r="AT1079" i="5"/>
  <c r="AT1070" i="5"/>
  <c r="AT1061" i="5"/>
  <c r="AT1052" i="5"/>
  <c r="AT1043" i="5"/>
  <c r="AT1034" i="5"/>
  <c r="AT1024" i="5"/>
  <c r="AT1015" i="5"/>
  <c r="AT1006" i="5"/>
  <c r="AT997" i="5"/>
  <c r="AT988" i="5"/>
  <c r="AT979" i="5"/>
  <c r="AT970" i="5"/>
  <c r="AT960" i="5"/>
  <c r="AT951" i="5"/>
  <c r="AT942" i="5"/>
  <c r="AT933" i="5"/>
  <c r="AT924" i="5"/>
  <c r="AT915" i="5"/>
  <c r="AT906" i="5"/>
  <c r="AT896" i="5"/>
  <c r="AT887" i="5"/>
  <c r="AT878" i="5"/>
  <c r="AT869" i="5"/>
  <c r="AT860" i="5"/>
  <c r="AT851" i="5"/>
  <c r="AT842" i="5"/>
  <c r="AT832" i="5"/>
  <c r="AT823" i="5"/>
  <c r="AT814" i="5"/>
  <c r="AT805" i="5"/>
  <c r="AT796" i="5"/>
  <c r="AT787" i="5"/>
  <c r="AT778" i="5"/>
  <c r="AT768" i="5"/>
  <c r="AT759" i="5"/>
  <c r="AT750" i="5"/>
  <c r="AT741" i="5"/>
  <c r="AT732" i="5"/>
  <c r="AT723" i="5"/>
  <c r="AT714" i="5"/>
  <c r="AT704" i="5"/>
  <c r="AT695" i="5"/>
  <c r="AT686" i="5"/>
  <c r="AT677" i="5"/>
  <c r="AT668" i="5"/>
  <c r="AT659" i="5"/>
  <c r="AT650" i="5"/>
  <c r="AT640" i="5"/>
  <c r="AT631" i="5"/>
  <c r="AT622" i="5"/>
  <c r="AT613" i="5"/>
  <c r="AT604" i="5"/>
  <c r="AT595" i="5"/>
  <c r="AT586" i="5"/>
  <c r="AT576" i="5"/>
  <c r="AT567" i="5"/>
  <c r="AT558" i="5"/>
  <c r="AT549" i="5"/>
  <c r="AT540" i="5"/>
  <c r="AT531" i="5"/>
  <c r="AT522" i="5"/>
  <c r="AT512" i="5"/>
  <c r="AT503" i="5"/>
  <c r="AT494" i="5"/>
  <c r="AT485" i="5"/>
  <c r="AT476" i="5"/>
  <c r="AT467" i="5"/>
  <c r="AT458" i="5"/>
  <c r="AT448" i="5"/>
  <c r="AT439" i="5"/>
  <c r="AT430" i="5"/>
  <c r="AT421" i="5"/>
  <c r="AT412" i="5"/>
  <c r="AT403" i="5"/>
  <c r="AT394" i="5"/>
  <c r="AT384" i="5"/>
  <c r="AT375" i="5"/>
  <c r="AT366" i="5"/>
  <c r="AT348" i="5"/>
  <c r="AT339" i="5"/>
  <c r="BM330" i="5"/>
  <c r="BD330" i="5"/>
  <c r="AT320" i="5"/>
  <c r="AT302" i="5"/>
  <c r="CI293" i="5"/>
  <c r="CH293" i="5"/>
  <c r="BT293" i="5"/>
  <c r="AT284" i="5"/>
  <c r="BQ256" i="5"/>
  <c r="BH247" i="5"/>
  <c r="AT238" i="5"/>
  <c r="CJ202" i="5"/>
  <c r="BS202" i="5"/>
  <c r="BE202" i="5"/>
  <c r="AT174" i="5"/>
  <c r="BD128" i="5"/>
  <c r="AT110" i="5"/>
  <c r="BY74" i="5"/>
  <c r="AT46" i="5"/>
  <c r="AT1330" i="5"/>
  <c r="AT1322" i="5"/>
  <c r="AT1314" i="5"/>
  <c r="AT1306" i="5"/>
  <c r="AT1298" i="5"/>
  <c r="AT1288" i="5"/>
  <c r="AT1279" i="5"/>
  <c r="AT1270" i="5"/>
  <c r="AT1261" i="5"/>
  <c r="AT1252" i="5"/>
  <c r="AT1243" i="5"/>
  <c r="AT1234" i="5"/>
  <c r="AT1224" i="5"/>
  <c r="AT1215" i="5"/>
  <c r="AT1206" i="5"/>
  <c r="AT1197" i="5"/>
  <c r="AT1188" i="5"/>
  <c r="AT1179" i="5"/>
  <c r="AT1170" i="5"/>
  <c r="AT1160" i="5"/>
  <c r="AT1151" i="5"/>
  <c r="AT1142" i="5"/>
  <c r="AT1133" i="5"/>
  <c r="AT1124" i="5"/>
  <c r="AT1115" i="5"/>
  <c r="AT1106" i="5"/>
  <c r="AT1096" i="5"/>
  <c r="AT1087" i="5"/>
  <c r="AT1078" i="5"/>
  <c r="AT1069" i="5"/>
  <c r="AT1060" i="5"/>
  <c r="AT1051" i="5"/>
  <c r="AT1042" i="5"/>
  <c r="AT1032" i="5"/>
  <c r="AT1023" i="5"/>
  <c r="AT1014" i="5"/>
  <c r="AT1005" i="5"/>
  <c r="AT996" i="5"/>
  <c r="AT987" i="5"/>
  <c r="AT978" i="5"/>
  <c r="AT968" i="5"/>
  <c r="AT959" i="5"/>
  <c r="AT950" i="5"/>
  <c r="AT941" i="5"/>
  <c r="AT932" i="5"/>
  <c r="AT923" i="5"/>
  <c r="AT914" i="5"/>
  <c r="AT904" i="5"/>
  <c r="AT895" i="5"/>
  <c r="AT886" i="5"/>
  <c r="AT877" i="5"/>
  <c r="AT868" i="5"/>
  <c r="AT859" i="5"/>
  <c r="AT850" i="5"/>
  <c r="AT840" i="5"/>
  <c r="AT831" i="5"/>
  <c r="AT822" i="5"/>
  <c r="AT813" i="5"/>
  <c r="AT804" i="5"/>
  <c r="AT795" i="5"/>
  <c r="AT786" i="5"/>
  <c r="AT776" i="5"/>
  <c r="AT767" i="5"/>
  <c r="AT758" i="5"/>
  <c r="AT749" i="5"/>
  <c r="AT740" i="5"/>
  <c r="AT731" i="5"/>
  <c r="AT722" i="5"/>
  <c r="AT712" i="5"/>
  <c r="AT703" i="5"/>
  <c r="AT694" i="5"/>
  <c r="AT685" i="5"/>
  <c r="AT676" i="5"/>
  <c r="AT667" i="5"/>
  <c r="AT658" i="5"/>
  <c r="AT648" i="5"/>
  <c r="AT639" i="5"/>
  <c r="AT630" i="5"/>
  <c r="AT621" i="5"/>
  <c r="AT612" i="5"/>
  <c r="AT603" i="5"/>
  <c r="AT594" i="5"/>
  <c r="AT584" i="5"/>
  <c r="AT575" i="5"/>
  <c r="AT566" i="5"/>
  <c r="AT557" i="5"/>
  <c r="AT548" i="5"/>
  <c r="AT539" i="5"/>
  <c r="AT530" i="5"/>
  <c r="AT520" i="5"/>
  <c r="AT511" i="5"/>
  <c r="AT502" i="5"/>
  <c r="AT493" i="5"/>
  <c r="AT484" i="5"/>
  <c r="AT475" i="5"/>
  <c r="AT466" i="5"/>
  <c r="AT456" i="5"/>
  <c r="AT447" i="5"/>
  <c r="AT438" i="5"/>
  <c r="AT429" i="5"/>
  <c r="AT420" i="5"/>
  <c r="AT411" i="5"/>
  <c r="AT402" i="5"/>
  <c r="AT392" i="5"/>
  <c r="AT383" i="5"/>
  <c r="AT374" i="5"/>
  <c r="AT365" i="5"/>
  <c r="AT356" i="5"/>
  <c r="AT347" i="5"/>
  <c r="AT338" i="5"/>
  <c r="AT328" i="5"/>
  <c r="AT319" i="5"/>
  <c r="AT310" i="5"/>
  <c r="AT301" i="5"/>
  <c r="AT292" i="5"/>
  <c r="AT283" i="5"/>
  <c r="AT274" i="5"/>
  <c r="AT264" i="5"/>
  <c r="AT255" i="5"/>
  <c r="AT246" i="5"/>
  <c r="AT237" i="5"/>
  <c r="AT228" i="5"/>
  <c r="AT219" i="5"/>
  <c r="AT210" i="5"/>
  <c r="AT200" i="5"/>
  <c r="AT191" i="5"/>
  <c r="AT182" i="5"/>
  <c r="AT173" i="5"/>
  <c r="AT164" i="5"/>
  <c r="AT155" i="5"/>
  <c r="AT146" i="5"/>
  <c r="AT136" i="5"/>
  <c r="AT127" i="5"/>
  <c r="AT118" i="5"/>
  <c r="AT109" i="5"/>
  <c r="AT100" i="5"/>
  <c r="AT91" i="5"/>
  <c r="AT82" i="5"/>
  <c r="AT72" i="5"/>
  <c r="AT63" i="5"/>
  <c r="AT54" i="5"/>
  <c r="AT45" i="5"/>
  <c r="AT36" i="5"/>
  <c r="AT27" i="5"/>
  <c r="AT18" i="5"/>
  <c r="AT8" i="5"/>
  <c r="CG1329" i="5"/>
  <c r="AT1296" i="5"/>
  <c r="AT1287" i="5"/>
  <c r="AT1278" i="5"/>
  <c r="AT1269" i="5"/>
  <c r="AT1260" i="5"/>
  <c r="AT1251" i="5"/>
  <c r="AT1242" i="5"/>
  <c r="AT1232" i="5"/>
  <c r="AT1223" i="5"/>
  <c r="AT1214" i="5"/>
  <c r="AT1205" i="5"/>
  <c r="AT1196" i="5"/>
  <c r="AT1187" i="5"/>
  <c r="AT1178" i="5"/>
  <c r="AT1168" i="5"/>
  <c r="AT1159" i="5"/>
  <c r="AT1150" i="5"/>
  <c r="AT1141" i="5"/>
  <c r="AT1132" i="5"/>
  <c r="AT1123" i="5"/>
  <c r="AT1114" i="5"/>
  <c r="AT1104" i="5"/>
  <c r="AT1095" i="5"/>
  <c r="AT1086" i="5"/>
  <c r="AT1077" i="5"/>
  <c r="AT1068" i="5"/>
  <c r="AT1059" i="5"/>
  <c r="AT1050" i="5"/>
  <c r="AT1040" i="5"/>
  <c r="AT1031" i="5"/>
  <c r="AT1022" i="5"/>
  <c r="AT1013" i="5"/>
  <c r="AT1004" i="5"/>
  <c r="AT995" i="5"/>
  <c r="AT986" i="5"/>
  <c r="AT976" i="5"/>
  <c r="AT967" i="5"/>
  <c r="AT958" i="5"/>
  <c r="AT949" i="5"/>
  <c r="AT940" i="5"/>
  <c r="AT931" i="5"/>
  <c r="AT922" i="5"/>
  <c r="AT912" i="5"/>
  <c r="AT903" i="5"/>
  <c r="AT894" i="5"/>
  <c r="AT885" i="5"/>
  <c r="AT876" i="5"/>
  <c r="AT867" i="5"/>
  <c r="AT858" i="5"/>
  <c r="AT848" i="5"/>
  <c r="AT839" i="5"/>
  <c r="AT830" i="5"/>
  <c r="AT821" i="5"/>
  <c r="AT812" i="5"/>
  <c r="AT803" i="5"/>
  <c r="AT794" i="5"/>
  <c r="AT784" i="5"/>
  <c r="AT775" i="5"/>
  <c r="AT766" i="5"/>
  <c r="AT757" i="5"/>
  <c r="AT748" i="5"/>
  <c r="AT739" i="5"/>
  <c r="AT730" i="5"/>
  <c r="AT720" i="5"/>
  <c r="AT711" i="5"/>
  <c r="AT702" i="5"/>
  <c r="AT693" i="5"/>
  <c r="AT684" i="5"/>
  <c r="AT675" i="5"/>
  <c r="AT666" i="5"/>
  <c r="AT656" i="5"/>
  <c r="AT647" i="5"/>
  <c r="AT638" i="5"/>
  <c r="AT629" i="5"/>
  <c r="AT620" i="5"/>
  <c r="AT611" i="5"/>
  <c r="AT602" i="5"/>
  <c r="AT592" i="5"/>
  <c r="AT583" i="5"/>
  <c r="AT574" i="5"/>
  <c r="AT565" i="5"/>
  <c r="AT556" i="5"/>
  <c r="AT547" i="5"/>
  <c r="AT538" i="5"/>
  <c r="AT528" i="5"/>
  <c r="AT519" i="5"/>
  <c r="AT510" i="5"/>
  <c r="AT501" i="5"/>
  <c r="AT492" i="5"/>
  <c r="AT483" i="5"/>
  <c r="AT474" i="5"/>
  <c r="AT464" i="5"/>
  <c r="AT455" i="5"/>
  <c r="AT446" i="5"/>
  <c r="AT437" i="5"/>
  <c r="AT428" i="5"/>
  <c r="AT419" i="5"/>
  <c r="AT410" i="5"/>
  <c r="AT400" i="5"/>
  <c r="AT391" i="5"/>
  <c r="AT382" i="5"/>
  <c r="AT373" i="5"/>
  <c r="AT364" i="5"/>
  <c r="AT355" i="5"/>
  <c r="AT346" i="5"/>
  <c r="AT336" i="5"/>
  <c r="AT327" i="5"/>
  <c r="AT318" i="5"/>
  <c r="AT309" i="5"/>
  <c r="AT300" i="5"/>
  <c r="AT291" i="5"/>
  <c r="AT282" i="5"/>
  <c r="AT272" i="5"/>
  <c r="AT263" i="5"/>
  <c r="AT254" i="5"/>
  <c r="AT245" i="5"/>
  <c r="AT236" i="5"/>
  <c r="AT227" i="5"/>
  <c r="AT218" i="5"/>
  <c r="AT208" i="5"/>
  <c r="AT199" i="5"/>
  <c r="AT190" i="5"/>
  <c r="AT181" i="5"/>
  <c r="AT172" i="5"/>
  <c r="AT163" i="5"/>
  <c r="AT154" i="5"/>
  <c r="AT144" i="5"/>
  <c r="AT135" i="5"/>
  <c r="AT126" i="5"/>
  <c r="AT117" i="5"/>
  <c r="AT108" i="5"/>
  <c r="AT99" i="5"/>
  <c r="AT90" i="5"/>
  <c r="AT80" i="5"/>
  <c r="AT71" i="5"/>
  <c r="AT62" i="5"/>
  <c r="AT44" i="5"/>
  <c r="AT26" i="5"/>
  <c r="BG16" i="5"/>
  <c r="AT1328" i="5"/>
  <c r="AT1320" i="5"/>
  <c r="AT1312" i="5"/>
  <c r="AT1304" i="5"/>
  <c r="AT1295" i="5"/>
  <c r="AT1286" i="5"/>
  <c r="AT1277" i="5"/>
  <c r="AT1268" i="5"/>
  <c r="AT1259" i="5"/>
  <c r="AT1250" i="5"/>
  <c r="AT1240" i="5"/>
  <c r="AT1231" i="5"/>
  <c r="AT1222" i="5"/>
  <c r="AT1213" i="5"/>
  <c r="AT1204" i="5"/>
  <c r="AT1195" i="5"/>
  <c r="AT1186" i="5"/>
  <c r="AT1176" i="5"/>
  <c r="AT1167" i="5"/>
  <c r="AT1158" i="5"/>
  <c r="AT1149" i="5"/>
  <c r="AT1140" i="5"/>
  <c r="AT1131" i="5"/>
  <c r="AT1122" i="5"/>
  <c r="AT1112" i="5"/>
  <c r="AT1103" i="5"/>
  <c r="AT1094" i="5"/>
  <c r="AT1085" i="5"/>
  <c r="AT1076" i="5"/>
  <c r="AT1067" i="5"/>
  <c r="AT1058" i="5"/>
  <c r="AT1048" i="5"/>
  <c r="AT1039" i="5"/>
  <c r="AT1030" i="5"/>
  <c r="AT1021" i="5"/>
  <c r="AT1012" i="5"/>
  <c r="AT1003" i="5"/>
  <c r="AT994" i="5"/>
  <c r="AT984" i="5"/>
  <c r="AT975" i="5"/>
  <c r="AT966" i="5"/>
  <c r="AT957" i="5"/>
  <c r="AT948" i="5"/>
  <c r="AT939" i="5"/>
  <c r="AT930" i="5"/>
  <c r="AT920" i="5"/>
  <c r="AT911" i="5"/>
  <c r="AT902" i="5"/>
  <c r="AT893" i="5"/>
  <c r="AT884" i="5"/>
  <c r="AT875" i="5"/>
  <c r="AT866" i="5"/>
  <c r="AT856" i="5"/>
  <c r="AT847" i="5"/>
  <c r="AT838" i="5"/>
  <c r="AT829" i="5"/>
  <c r="AT820" i="5"/>
  <c r="AT811" i="5"/>
  <c r="AT802" i="5"/>
  <c r="AT792" i="5"/>
  <c r="AT783" i="5"/>
  <c r="AT774" i="5"/>
  <c r="AT765" i="5"/>
  <c r="AT756" i="5"/>
  <c r="AT747" i="5"/>
  <c r="AT738" i="5"/>
  <c r="AT728" i="5"/>
  <c r="AT719" i="5"/>
  <c r="AT710" i="5"/>
  <c r="AT701" i="5"/>
  <c r="AT692" i="5"/>
  <c r="AT683" i="5"/>
  <c r="AT674" i="5"/>
  <c r="AT664" i="5"/>
  <c r="AT655" i="5"/>
  <c r="AT646" i="5"/>
  <c r="AT637" i="5"/>
  <c r="AT628" i="5"/>
  <c r="AT619" i="5"/>
  <c r="AT610" i="5"/>
  <c r="AT600" i="5"/>
  <c r="AT591" i="5"/>
  <c r="AT582" i="5"/>
  <c r="AT573" i="5"/>
  <c r="AT564" i="5"/>
  <c r="AT555" i="5"/>
  <c r="AT546" i="5"/>
  <c r="AT536" i="5"/>
  <c r="AT527" i="5"/>
  <c r="AT518" i="5"/>
  <c r="AT509" i="5"/>
  <c r="AT500" i="5"/>
  <c r="AT491" i="5"/>
  <c r="AT482" i="5"/>
  <c r="AT472" i="5"/>
  <c r="AT463" i="5"/>
  <c r="AT454" i="5"/>
  <c r="AT445" i="5"/>
  <c r="AT436" i="5"/>
  <c r="AT427" i="5"/>
  <c r="AT418" i="5"/>
  <c r="AT408" i="5"/>
  <c r="AT399" i="5"/>
  <c r="AT390" i="5"/>
  <c r="AT381" i="5"/>
  <c r="AT372" i="5"/>
  <c r="AT363" i="5"/>
  <c r="AT354" i="5"/>
  <c r="AT344" i="5"/>
  <c r="AT335" i="5"/>
  <c r="AT326" i="5"/>
  <c r="AT317" i="5"/>
  <c r="AT308" i="5"/>
  <c r="AT299" i="5"/>
  <c r="AT290" i="5"/>
  <c r="AT280" i="5"/>
  <c r="AT271" i="5"/>
  <c r="AT262" i="5"/>
  <c r="AT253" i="5"/>
  <c r="AT244" i="5"/>
  <c r="AT235" i="5"/>
  <c r="AT226" i="5"/>
  <c r="AT216" i="5"/>
  <c r="AT207" i="5"/>
  <c r="AT198" i="5"/>
  <c r="AT189" i="5"/>
  <c r="AT180" i="5"/>
  <c r="AT171" i="5"/>
  <c r="AT162" i="5"/>
  <c r="AT152" i="5"/>
  <c r="AT143" i="5"/>
  <c r="AT134" i="5"/>
  <c r="AT125" i="5"/>
  <c r="AT116" i="5"/>
  <c r="AT107" i="5"/>
  <c r="AT98" i="5"/>
  <c r="AT88" i="5"/>
  <c r="AT79" i="5"/>
  <c r="AT70" i="5"/>
  <c r="AT61" i="5"/>
  <c r="AT52" i="5"/>
  <c r="AT43" i="5"/>
  <c r="AT34" i="5"/>
  <c r="AT24" i="5"/>
  <c r="AT15" i="5"/>
  <c r="AT6" i="5"/>
  <c r="AT2" i="5"/>
  <c r="AT1327" i="5"/>
  <c r="AT1319" i="5"/>
  <c r="AT1311" i="5"/>
  <c r="AT1303" i="5"/>
  <c r="AT1294" i="5"/>
  <c r="AT1285" i="5"/>
  <c r="AT1276" i="5"/>
  <c r="AT1267" i="5"/>
  <c r="AT1258" i="5"/>
  <c r="AT1248" i="5"/>
  <c r="AT1239" i="5"/>
  <c r="AT1230" i="5"/>
  <c r="AT1221" i="5"/>
  <c r="AT1212" i="5"/>
  <c r="AT1203" i="5"/>
  <c r="AT1194" i="5"/>
  <c r="AT1184" i="5"/>
  <c r="AT1175" i="5"/>
  <c r="AT1166" i="5"/>
  <c r="AT1157" i="5"/>
  <c r="AT1148" i="5"/>
  <c r="AT1139" i="5"/>
  <c r="AT1130" i="5"/>
  <c r="AT1120" i="5"/>
  <c r="AT1111" i="5"/>
  <c r="AT1102" i="5"/>
  <c r="AT1093" i="5"/>
  <c r="AT1084" i="5"/>
  <c r="AT1075" i="5"/>
  <c r="AT1066" i="5"/>
  <c r="AT1056" i="5"/>
  <c r="AT1047" i="5"/>
  <c r="AT1038" i="5"/>
  <c r="AT1029" i="5"/>
  <c r="AT1020" i="5"/>
  <c r="AT1011" i="5"/>
  <c r="AT1002" i="5"/>
  <c r="AT992" i="5"/>
  <c r="AT983" i="5"/>
  <c r="AT974" i="5"/>
  <c r="AT965" i="5"/>
  <c r="AT956" i="5"/>
  <c r="AT947" i="5"/>
  <c r="AT938" i="5"/>
  <c r="AT928" i="5"/>
  <c r="AT919" i="5"/>
  <c r="AT910" i="5"/>
  <c r="AT901" i="5"/>
  <c r="AT892" i="5"/>
  <c r="AT883" i="5"/>
  <c r="AT874" i="5"/>
  <c r="AT864" i="5"/>
  <c r="AT855" i="5"/>
  <c r="AT846" i="5"/>
  <c r="AT837" i="5"/>
  <c r="AT828" i="5"/>
  <c r="AT819" i="5"/>
  <c r="AT810" i="5"/>
  <c r="AT800" i="5"/>
  <c r="AT791" i="5"/>
  <c r="AT782" i="5"/>
  <c r="AT773" i="5"/>
  <c r="AT764" i="5"/>
  <c r="AT755" i="5"/>
  <c r="AT746" i="5"/>
  <c r="AT736" i="5"/>
  <c r="AT727" i="5"/>
  <c r="AT718" i="5"/>
  <c r="AT709" i="5"/>
  <c r="AT700" i="5"/>
  <c r="AT691" i="5"/>
  <c r="AT682" i="5"/>
  <c r="AT672" i="5"/>
  <c r="AT663" i="5"/>
  <c r="AT654" i="5"/>
  <c r="AT645" i="5"/>
  <c r="AT636" i="5"/>
  <c r="AT627" i="5"/>
  <c r="AT618" i="5"/>
  <c r="AT608" i="5"/>
  <c r="AT599" i="5"/>
  <c r="AT590" i="5"/>
  <c r="AT581" i="5"/>
  <c r="AT572" i="5"/>
  <c r="AT563" i="5"/>
  <c r="AT554" i="5"/>
  <c r="AT544" i="5"/>
  <c r="AT535" i="5"/>
  <c r="AT526" i="5"/>
  <c r="AT517" i="5"/>
  <c r="AT508" i="5"/>
  <c r="AT499" i="5"/>
  <c r="AT490" i="5"/>
  <c r="AT480" i="5"/>
  <c r="AT471" i="5"/>
  <c r="AT462" i="5"/>
  <c r="AT453" i="5"/>
  <c r="AT444" i="5"/>
  <c r="AT435" i="5"/>
  <c r="AT426" i="5"/>
  <c r="AT416" i="5"/>
  <c r="AT407" i="5"/>
  <c r="AT398" i="5"/>
  <c r="AT389" i="5"/>
  <c r="AT380" i="5"/>
  <c r="AT371" i="5"/>
  <c r="AT362" i="5"/>
  <c r="AT352" i="5"/>
  <c r="AT343" i="5"/>
  <c r="AT334" i="5"/>
  <c r="AT325" i="5"/>
  <c r="AT316" i="5"/>
  <c r="AT307" i="5"/>
  <c r="AT298" i="5"/>
  <c r="AT288" i="5"/>
  <c r="AT279" i="5"/>
  <c r="AT270" i="5"/>
  <c r="AT261" i="5"/>
  <c r="AT252" i="5"/>
  <c r="AT243" i="5"/>
  <c r="AT234" i="5"/>
  <c r="AT224" i="5"/>
  <c r="AT215" i="5"/>
  <c r="AT206" i="5"/>
  <c r="AT197" i="5"/>
  <c r="AT188" i="5"/>
  <c r="AT179" i="5"/>
  <c r="AT170" i="5"/>
  <c r="AT160" i="5"/>
  <c r="AT142" i="5"/>
  <c r="AT124" i="5"/>
  <c r="AT115" i="5"/>
  <c r="AT106" i="5"/>
  <c r="AT96" i="5"/>
  <c r="AT78" i="5"/>
  <c r="BF60" i="5"/>
  <c r="AT42" i="5"/>
  <c r="AT14" i="5"/>
  <c r="C12" i="7"/>
  <c r="G63" i="15" s="1"/>
  <c r="I63" i="15" s="1"/>
  <c r="C13" i="7"/>
  <c r="C14" i="7"/>
  <c r="E51" i="9"/>
  <c r="G63" i="20" l="1"/>
  <c r="I63" i="20" s="1"/>
  <c r="G63" i="25"/>
  <c r="I63" i="25" s="1"/>
  <c r="G63" i="16"/>
  <c r="I63" i="16" s="1"/>
  <c r="G63" i="24"/>
  <c r="I63" i="24" s="1"/>
  <c r="G63" i="22"/>
  <c r="I63" i="22" s="1"/>
  <c r="G63" i="12"/>
  <c r="I63" i="12" s="1"/>
  <c r="G63" i="14"/>
  <c r="I63" i="14" s="1"/>
  <c r="G63" i="18"/>
  <c r="I63" i="18" s="1"/>
  <c r="G63" i="21"/>
  <c r="I63" i="21" s="1"/>
  <c r="G63" i="17"/>
  <c r="I63" i="17" s="1"/>
  <c r="G63" i="23"/>
  <c r="I63" i="23" s="1"/>
  <c r="G63" i="13"/>
  <c r="I63" i="13" s="1"/>
  <c r="G63" i="19"/>
  <c r="I63" i="19" s="1"/>
  <c r="CF128" i="5"/>
  <c r="BO211" i="5"/>
  <c r="CC211" i="5"/>
  <c r="BM74" i="5"/>
  <c r="BT202" i="5"/>
  <c r="BE293" i="5"/>
  <c r="BF128" i="5"/>
  <c r="BC211" i="5"/>
  <c r="AZ293" i="5"/>
  <c r="BH37" i="5"/>
  <c r="CK128" i="5"/>
  <c r="BV211" i="5"/>
  <c r="BG293" i="5"/>
  <c r="AV311" i="5"/>
  <c r="BC311" i="5" s="1"/>
  <c r="BH1313" i="5"/>
  <c r="BY128" i="5"/>
  <c r="AU211" i="5"/>
  <c r="BN211" i="5" s="1"/>
  <c r="CI256" i="5"/>
  <c r="BU128" i="5"/>
  <c r="CA202" i="5"/>
  <c r="BG247" i="5"/>
  <c r="BO293" i="5"/>
  <c r="BI69" i="5"/>
  <c r="BA1329" i="5"/>
  <c r="BP1329" i="5" s="1"/>
  <c r="CA92" i="5"/>
  <c r="CE5" i="5"/>
  <c r="AZ10" i="5"/>
  <c r="BE128" i="5"/>
  <c r="BF202" i="5"/>
  <c r="BQ211" i="5"/>
  <c r="BT32" i="5"/>
  <c r="CF10" i="5"/>
  <c r="BK51" i="5"/>
  <c r="CE60" i="5"/>
  <c r="AY1313" i="5"/>
  <c r="CK10" i="5"/>
  <c r="BE60" i="5"/>
  <c r="CK16" i="5"/>
  <c r="BF92" i="5"/>
  <c r="BD5" i="5"/>
  <c r="CA60" i="5"/>
  <c r="CF21" i="5"/>
  <c r="G11" i="22"/>
  <c r="CE128" i="5"/>
  <c r="BR202" i="5"/>
  <c r="BA211" i="5"/>
  <c r="BP211" i="5" s="1"/>
  <c r="CE211" i="5"/>
  <c r="CD293" i="5"/>
  <c r="BE7" i="5"/>
  <c r="BQ128" i="5"/>
  <c r="BB202" i="5"/>
  <c r="CG202" i="5"/>
  <c r="BR211" i="5"/>
  <c r="CE247" i="5"/>
  <c r="BL293" i="5"/>
  <c r="BX128" i="5"/>
  <c r="BG202" i="5"/>
  <c r="AZ211" i="5"/>
  <c r="BY211" i="5"/>
  <c r="BY256" i="5"/>
  <c r="BR293" i="5"/>
  <c r="CD133" i="5"/>
  <c r="BJ64" i="5"/>
  <c r="BT1321" i="5"/>
  <c r="BH13" i="5"/>
  <c r="BJ128" i="5"/>
  <c r="BV202" i="5"/>
  <c r="BM211" i="5"/>
  <c r="CJ211" i="5"/>
  <c r="CA293" i="5"/>
  <c r="BV1329" i="5"/>
  <c r="AV202" i="5"/>
  <c r="BC202" i="5" s="1"/>
  <c r="BI128" i="5"/>
  <c r="CG128" i="5"/>
  <c r="BD202" i="5"/>
  <c r="CC202" i="5"/>
  <c r="BJ211" i="5"/>
  <c r="BZ211" i="5"/>
  <c r="BT247" i="5"/>
  <c r="BD293" i="5"/>
  <c r="BU293" i="5"/>
  <c r="BY60" i="5"/>
  <c r="BC7" i="5"/>
  <c r="BH10" i="5"/>
  <c r="BR128" i="5"/>
  <c r="CI128" i="5"/>
  <c r="BN202" i="5"/>
  <c r="CD202" i="5"/>
  <c r="BK211" i="5"/>
  <c r="CD211" i="5"/>
  <c r="BR256" i="5"/>
  <c r="BF293" i="5"/>
  <c r="BW293" i="5"/>
  <c r="CH28" i="5"/>
  <c r="BY37" i="5"/>
  <c r="AZ128" i="5"/>
  <c r="BT128" i="5"/>
  <c r="CH128" i="5"/>
  <c r="BK202" i="5"/>
  <c r="BY202" i="5"/>
  <c r="BF211" i="5"/>
  <c r="BX211" i="5"/>
  <c r="BF247" i="5"/>
  <c r="CE256" i="5"/>
  <c r="BM293" i="5"/>
  <c r="CE293" i="5"/>
  <c r="AV3" i="5"/>
  <c r="BO3" i="5" s="1"/>
  <c r="CI1329" i="5"/>
  <c r="AZ28" i="5"/>
  <c r="BH128" i="5"/>
  <c r="BV128" i="5"/>
  <c r="BR183" i="5"/>
  <c r="BM202" i="5"/>
  <c r="CE202" i="5"/>
  <c r="BE211" i="5"/>
  <c r="BU211" i="5"/>
  <c r="CK211" i="5"/>
  <c r="BE256" i="5"/>
  <c r="BC293" i="5"/>
  <c r="BS293" i="5"/>
  <c r="CF293" i="5"/>
  <c r="AU293" i="5"/>
  <c r="BN293" i="5" s="1"/>
  <c r="BS7" i="5"/>
  <c r="BD1321" i="5"/>
  <c r="BV229" i="5"/>
  <c r="BQ311" i="5"/>
  <c r="BM5" i="5"/>
  <c r="BR60" i="5"/>
  <c r="BE35" i="5"/>
  <c r="CA74" i="5"/>
  <c r="BS311" i="5"/>
  <c r="BJ13" i="5"/>
  <c r="BD51" i="5"/>
  <c r="BG5" i="5"/>
  <c r="CC51" i="5"/>
  <c r="CE69" i="5"/>
  <c r="CI1313" i="5"/>
  <c r="CI183" i="5"/>
  <c r="BT35" i="5"/>
  <c r="BM1329" i="5"/>
  <c r="BI10" i="5"/>
  <c r="AV128" i="5"/>
  <c r="BL128" i="5"/>
  <c r="CA128" i="5"/>
  <c r="BA183" i="5"/>
  <c r="BP183" i="5" s="1"/>
  <c r="BJ202" i="5"/>
  <c r="BX202" i="5"/>
  <c r="CK202" i="5"/>
  <c r="BG211" i="5"/>
  <c r="CA211" i="5"/>
  <c r="CH211" i="5"/>
  <c r="BY247" i="5"/>
  <c r="BJ266" i="5"/>
  <c r="BI293" i="5"/>
  <c r="BX293" i="5"/>
  <c r="CF1329" i="5"/>
  <c r="BA10" i="5"/>
  <c r="BP10" i="5" s="1"/>
  <c r="BE1329" i="5"/>
  <c r="BK10" i="5"/>
  <c r="BS183" i="5"/>
  <c r="BV151" i="5"/>
  <c r="BG1329" i="5"/>
  <c r="BW10" i="5"/>
  <c r="BY183" i="5"/>
  <c r="BQ60" i="5"/>
  <c r="BV1313" i="5"/>
  <c r="BN1329" i="5"/>
  <c r="AV74" i="5"/>
  <c r="BC74" i="5" s="1"/>
  <c r="CD10" i="5"/>
  <c r="BD74" i="5"/>
  <c r="AY128" i="5"/>
  <c r="BM128" i="5"/>
  <c r="BZ128" i="5"/>
  <c r="CJ128" i="5"/>
  <c r="BA202" i="5"/>
  <c r="BP202" i="5" s="1"/>
  <c r="BL202" i="5"/>
  <c r="BU202" i="5"/>
  <c r="CH202" i="5"/>
  <c r="BH211" i="5"/>
  <c r="BS211" i="5"/>
  <c r="CG211" i="5"/>
  <c r="AZ247" i="5"/>
  <c r="BF256" i="5"/>
  <c r="AY293" i="5"/>
  <c r="BK293" i="5"/>
  <c r="BY293" i="5"/>
  <c r="CG293" i="5"/>
  <c r="BY51" i="5"/>
  <c r="BI23" i="5"/>
  <c r="BR69" i="5"/>
  <c r="AV183" i="5"/>
  <c r="BC183" i="5" s="1"/>
  <c r="BK1321" i="5"/>
  <c r="BQ1329" i="5"/>
  <c r="BR10" i="5"/>
  <c r="BE92" i="5"/>
  <c r="CE3" i="5"/>
  <c r="BY32" i="5"/>
  <c r="BD1305" i="5"/>
  <c r="CD1321" i="5"/>
  <c r="BW1329" i="5"/>
  <c r="AV10" i="5"/>
  <c r="BO10" i="5" s="1"/>
  <c r="BU10" i="5"/>
  <c r="BR92" i="5"/>
  <c r="BJ183" i="5"/>
  <c r="BG311" i="5"/>
  <c r="BD21" i="5"/>
  <c r="BA1405" i="5"/>
  <c r="AX1405" i="5"/>
  <c r="CC83" i="5"/>
  <c r="BK55" i="5"/>
  <c r="CH220" i="5"/>
  <c r="AY1405" i="5"/>
  <c r="AV1405" i="5"/>
  <c r="AT1405" i="5"/>
  <c r="CC23" i="5"/>
  <c r="BD60" i="5"/>
  <c r="AY69" i="5"/>
  <c r="CD1313" i="5"/>
  <c r="BG128" i="5"/>
  <c r="BS128" i="5"/>
  <c r="CD128" i="5"/>
  <c r="BN138" i="5"/>
  <c r="AZ202" i="5"/>
  <c r="BH202" i="5"/>
  <c r="BW202" i="5"/>
  <c r="CF202" i="5"/>
  <c r="AY211" i="5"/>
  <c r="BI211" i="5"/>
  <c r="BT211" i="5"/>
  <c r="CI211" i="5"/>
  <c r="BD256" i="5"/>
  <c r="CK256" i="5"/>
  <c r="BH293" i="5"/>
  <c r="BQ293" i="5"/>
  <c r="BZ293" i="5"/>
  <c r="CJ293" i="5"/>
  <c r="BR330" i="5"/>
  <c r="CF13" i="5"/>
  <c r="AU357" i="5"/>
  <c r="BN357" i="5" s="1"/>
  <c r="CF7" i="5"/>
  <c r="BA28" i="5"/>
  <c r="BP28" i="5" s="1"/>
  <c r="AZ55" i="5"/>
  <c r="BM83" i="5"/>
  <c r="G11" i="13"/>
  <c r="AB11" i="13" s="1"/>
  <c r="AU1405" i="5"/>
  <c r="CC16" i="5"/>
  <c r="AZ1329" i="5"/>
  <c r="BU1329" i="5"/>
  <c r="BT10" i="5"/>
  <c r="BY28" i="5"/>
  <c r="CA55" i="5"/>
  <c r="BA128" i="5"/>
  <c r="BK128" i="5"/>
  <c r="BW128" i="5"/>
  <c r="CG138" i="5"/>
  <c r="AY202" i="5"/>
  <c r="BI202" i="5"/>
  <c r="BQ202" i="5"/>
  <c r="BZ202" i="5"/>
  <c r="CI202" i="5"/>
  <c r="BD211" i="5"/>
  <c r="BL211" i="5"/>
  <c r="BW211" i="5"/>
  <c r="CF211" i="5"/>
  <c r="CC247" i="5"/>
  <c r="CA256" i="5"/>
  <c r="BA293" i="5"/>
  <c r="BP293" i="5" s="1"/>
  <c r="BJ293" i="5"/>
  <c r="BV293" i="5"/>
  <c r="CC293" i="5"/>
  <c r="CK293" i="5"/>
  <c r="BQ3" i="5"/>
  <c r="BJ37" i="5"/>
  <c r="BU1321" i="5"/>
  <c r="BV330" i="5"/>
  <c r="BY1321" i="5"/>
  <c r="BD229" i="5"/>
  <c r="AZ1321" i="5"/>
  <c r="BX1321" i="5"/>
  <c r="CF330" i="5"/>
  <c r="CI21" i="5"/>
  <c r="BR13" i="5"/>
  <c r="BM13" i="5"/>
  <c r="BS13" i="5"/>
  <c r="AU83" i="5"/>
  <c r="BN83" i="5" s="1"/>
  <c r="BG229" i="5"/>
  <c r="AU330" i="5"/>
  <c r="BB330" i="5" s="1"/>
  <c r="BH51" i="5"/>
  <c r="BJ60" i="5"/>
  <c r="BJ69" i="5"/>
  <c r="BT16" i="5"/>
  <c r="BG1305" i="5"/>
  <c r="BA1321" i="5"/>
  <c r="BP1321" i="5" s="1"/>
  <c r="CF1321" i="5"/>
  <c r="BR1329" i="5"/>
  <c r="CJ1329" i="5"/>
  <c r="BD10" i="5"/>
  <c r="CE10" i="5"/>
  <c r="CK28" i="5"/>
  <c r="CC55" i="5"/>
  <c r="BI83" i="5"/>
  <c r="CD92" i="5"/>
  <c r="BH183" i="5"/>
  <c r="BM229" i="5"/>
  <c r="BG330" i="5"/>
  <c r="CD330" i="5"/>
  <c r="AZ3" i="5"/>
  <c r="BY13" i="5"/>
  <c r="BU23" i="5"/>
  <c r="BQ51" i="5"/>
  <c r="CC69" i="5"/>
  <c r="BC1313" i="5"/>
  <c r="BH1321" i="5"/>
  <c r="BG74" i="5"/>
  <c r="BS83" i="5"/>
  <c r="CI229" i="5"/>
  <c r="BJ330" i="5"/>
  <c r="BA13" i="5"/>
  <c r="BP13" i="5" s="1"/>
  <c r="CK13" i="5"/>
  <c r="CC330" i="5"/>
  <c r="AS1392" i="5"/>
  <c r="AS1393" i="5" s="1"/>
  <c r="BR23" i="5"/>
  <c r="BS16" i="5"/>
  <c r="CE35" i="5"/>
  <c r="BS1321" i="5"/>
  <c r="CK1321" i="5"/>
  <c r="AU23" i="5"/>
  <c r="BB23" i="5" s="1"/>
  <c r="BZ28" i="5"/>
  <c r="BA55" i="5"/>
  <c r="BP55" i="5" s="1"/>
  <c r="CE229" i="5"/>
  <c r="BE330" i="5"/>
  <c r="CA330" i="5"/>
  <c r="BF13" i="5"/>
  <c r="CC13" i="5"/>
  <c r="AS1390" i="5"/>
  <c r="AS1391" i="5" s="1"/>
  <c r="AS1396" i="5"/>
  <c r="AS1397" i="5" s="1"/>
  <c r="AS1388" i="5"/>
  <c r="AS1389" i="5" s="1"/>
  <c r="BF23" i="5"/>
  <c r="CE7" i="5"/>
  <c r="BS35" i="5"/>
  <c r="BJ1321" i="5"/>
  <c r="CE1321" i="5"/>
  <c r="BM28" i="5"/>
  <c r="BT83" i="5"/>
  <c r="BV119" i="5"/>
  <c r="BQ229" i="5"/>
  <c r="BG275" i="5"/>
  <c r="BT330" i="5"/>
  <c r="CF357" i="5"/>
  <c r="AZ13" i="5"/>
  <c r="BW13" i="5"/>
  <c r="AS1394" i="5"/>
  <c r="AS1395" i="5" s="1"/>
  <c r="E148" i="10"/>
  <c r="G11" i="25"/>
  <c r="G148" i="10"/>
  <c r="I11" i="25"/>
  <c r="I39" i="25" s="1"/>
  <c r="AB39" i="25" s="1"/>
  <c r="BQ23" i="5"/>
  <c r="AZ69" i="5"/>
  <c r="BQ7" i="5"/>
  <c r="CI35" i="5"/>
  <c r="BM1321" i="5"/>
  <c r="CA1321" i="5"/>
  <c r="BM55" i="5"/>
  <c r="BR74" i="5"/>
  <c r="BH330" i="5"/>
  <c r="BY330" i="5"/>
  <c r="BD13" i="5"/>
  <c r="BV13" i="5"/>
  <c r="AU1397" i="5"/>
  <c r="AT1391" i="5"/>
  <c r="AU1395" i="5"/>
  <c r="AU1391" i="5"/>
  <c r="CD23" i="5"/>
  <c r="BT69" i="5"/>
  <c r="BE16" i="5"/>
  <c r="BF35" i="5"/>
  <c r="BE1321" i="5"/>
  <c r="BV1321" i="5"/>
  <c r="CH1321" i="5"/>
  <c r="BL28" i="5"/>
  <c r="BW37" i="5"/>
  <c r="BQ92" i="5"/>
  <c r="BQ220" i="5"/>
  <c r="AZ330" i="5"/>
  <c r="BQ330" i="5"/>
  <c r="BK13" i="5"/>
  <c r="CD13" i="5"/>
  <c r="AV92" i="5"/>
  <c r="BO92" i="5" s="1"/>
  <c r="CF220" i="5"/>
  <c r="AT1397" i="5"/>
  <c r="AT1395" i="5"/>
  <c r="F75" i="25"/>
  <c r="F80" i="25" s="1"/>
  <c r="BH83" i="5"/>
  <c r="BU229" i="5"/>
  <c r="AT1379" i="5"/>
  <c r="AT1380" i="5" s="1"/>
  <c r="AS1379" i="5"/>
  <c r="AS1380" i="5" s="1"/>
  <c r="G11" i="24"/>
  <c r="E137" i="10"/>
  <c r="I11" i="24"/>
  <c r="I39" i="24" s="1"/>
  <c r="AB39" i="24" s="1"/>
  <c r="G137" i="10"/>
  <c r="F67" i="24"/>
  <c r="AZ151" i="5"/>
  <c r="CC266" i="5"/>
  <c r="CC151" i="5"/>
  <c r="CH275" i="5"/>
  <c r="AX1376" i="5"/>
  <c r="AX1377" i="5" s="1"/>
  <c r="BM1305" i="5"/>
  <c r="BJ1313" i="5"/>
  <c r="BT311" i="5"/>
  <c r="BR5" i="5"/>
  <c r="BS1305" i="5"/>
  <c r="BK1313" i="5"/>
  <c r="CA311" i="5"/>
  <c r="CA5" i="5"/>
  <c r="CC1305" i="5"/>
  <c r="BS5" i="5"/>
  <c r="CF87" i="5"/>
  <c r="BT1313" i="5"/>
  <c r="AZ311" i="5"/>
  <c r="CD311" i="5"/>
  <c r="CC5" i="5"/>
  <c r="CE1305" i="5"/>
  <c r="BU1313" i="5"/>
  <c r="BF311" i="5"/>
  <c r="CI311" i="5"/>
  <c r="BF5" i="5"/>
  <c r="BE1305" i="5"/>
  <c r="BA1313" i="5"/>
  <c r="BP1313" i="5" s="1"/>
  <c r="CE1313" i="5"/>
  <c r="BH311" i="5"/>
  <c r="AT1376" i="5"/>
  <c r="AT1377" i="5" s="1"/>
  <c r="AS1376" i="5"/>
  <c r="AS1377" i="5" s="1"/>
  <c r="BK133" i="5"/>
  <c r="BM138" i="5"/>
  <c r="CE133" i="5"/>
  <c r="BU156" i="5"/>
  <c r="BO220" i="5"/>
  <c r="AY21" i="5"/>
  <c r="G11" i="23"/>
  <c r="E126" i="10"/>
  <c r="AX1373" i="5"/>
  <c r="AX1374" i="5" s="1"/>
  <c r="I11" i="23"/>
  <c r="I39" i="23" s="1"/>
  <c r="AB39" i="23" s="1"/>
  <c r="G126" i="10"/>
  <c r="F67" i="23"/>
  <c r="AT1373" i="5"/>
  <c r="AT1374" i="5" s="1"/>
  <c r="AS1373" i="5"/>
  <c r="AS1374" i="5" s="1"/>
  <c r="I11" i="22"/>
  <c r="I39" i="22" s="1"/>
  <c r="AB39" i="22" s="1"/>
  <c r="G115" i="10"/>
  <c r="H115" i="10" s="1"/>
  <c r="G39" i="22"/>
  <c r="AB11" i="22"/>
  <c r="AA11" i="22"/>
  <c r="F67" i="22"/>
  <c r="G11" i="21"/>
  <c r="E104" i="10"/>
  <c r="I11" i="21"/>
  <c r="I39" i="21" s="1"/>
  <c r="AB39" i="21" s="1"/>
  <c r="G104" i="10"/>
  <c r="AT1371" i="5"/>
  <c r="AT1372" i="5" s="1"/>
  <c r="AS1371" i="5"/>
  <c r="AS1372" i="5" s="1"/>
  <c r="F67" i="21"/>
  <c r="BE87" i="5"/>
  <c r="BC156" i="5"/>
  <c r="BW156" i="5"/>
  <c r="BL133" i="5"/>
  <c r="AZ64" i="5"/>
  <c r="AX1369" i="5"/>
  <c r="AX1370" i="5" s="1"/>
  <c r="BA133" i="5"/>
  <c r="BP133" i="5" s="1"/>
  <c r="BV133" i="5"/>
  <c r="CK133" i="5"/>
  <c r="BS64" i="5"/>
  <c r="BW138" i="5"/>
  <c r="BD156" i="5"/>
  <c r="CC156" i="5"/>
  <c r="CF64" i="5"/>
  <c r="BU138" i="5"/>
  <c r="BK156" i="5"/>
  <c r="CE156" i="5"/>
  <c r="BD133" i="5"/>
  <c r="BU133" i="5"/>
  <c r="CI64" i="5"/>
  <c r="BG138" i="5"/>
  <c r="CA138" i="5"/>
  <c r="BM156" i="5"/>
  <c r="CK156" i="5"/>
  <c r="BN133" i="5"/>
  <c r="CG133" i="5"/>
  <c r="CA133" i="5"/>
  <c r="BQ64" i="5"/>
  <c r="BQ138" i="5"/>
  <c r="AZ156" i="5"/>
  <c r="CD156" i="5"/>
  <c r="BB133" i="5"/>
  <c r="BT133" i="5"/>
  <c r="BF133" i="5"/>
  <c r="BD138" i="5"/>
  <c r="CD138" i="5"/>
  <c r="BJ156" i="5"/>
  <c r="BH133" i="5"/>
  <c r="CC133" i="5"/>
  <c r="BF138" i="5"/>
  <c r="CH138" i="5"/>
  <c r="BS156" i="5"/>
  <c r="BQ1305" i="5"/>
  <c r="AT1369" i="5"/>
  <c r="AT1370" i="5" s="1"/>
  <c r="AS1369" i="5"/>
  <c r="AS1370" i="5" s="1"/>
  <c r="BW1305" i="5"/>
  <c r="BG7" i="5"/>
  <c r="CK7" i="5"/>
  <c r="BH16" i="5"/>
  <c r="CF16" i="5"/>
  <c r="BH35" i="5"/>
  <c r="BU35" i="5"/>
  <c r="CA28" i="5"/>
  <c r="CE37" i="5"/>
  <c r="CF55" i="5"/>
  <c r="CJ220" i="5"/>
  <c r="BH21" i="5"/>
  <c r="BJ7" i="5"/>
  <c r="BW7" i="5"/>
  <c r="AY16" i="5"/>
  <c r="BI16" i="5"/>
  <c r="BW16" i="5"/>
  <c r="CI16" i="5"/>
  <c r="BG35" i="5"/>
  <c r="BW35" i="5"/>
  <c r="AV21" i="5"/>
  <c r="BO21" i="5" s="1"/>
  <c r="BE28" i="5"/>
  <c r="BQ28" i="5"/>
  <c r="CD28" i="5"/>
  <c r="AZ37" i="5"/>
  <c r="BQ37" i="5"/>
  <c r="CD37" i="5"/>
  <c r="BD55" i="5"/>
  <c r="BR55" i="5"/>
  <c r="CE55" i="5"/>
  <c r="BE220" i="5"/>
  <c r="BS220" i="5"/>
  <c r="CK220" i="5"/>
  <c r="BK21" i="5"/>
  <c r="AU37" i="5"/>
  <c r="BB37" i="5" s="1"/>
  <c r="BT7" i="5"/>
  <c r="BU16" i="5"/>
  <c r="BD28" i="5"/>
  <c r="BJ28" i="5"/>
  <c r="AY37" i="5"/>
  <c r="BK37" i="5"/>
  <c r="BB55" i="5"/>
  <c r="BQ55" i="5"/>
  <c r="BC220" i="5"/>
  <c r="BT220" i="5"/>
  <c r="BS28" i="5"/>
  <c r="CG28" i="5"/>
  <c r="BA37" i="5"/>
  <c r="BP37" i="5" s="1"/>
  <c r="CF37" i="5"/>
  <c r="BF55" i="5"/>
  <c r="BT55" i="5"/>
  <c r="CK55" i="5"/>
  <c r="BY220" i="5"/>
  <c r="BM21" i="5"/>
  <c r="AV35" i="5"/>
  <c r="BO35" i="5" s="1"/>
  <c r="AY7" i="5"/>
  <c r="BI7" i="5"/>
  <c r="CA7" i="5"/>
  <c r="AZ16" i="5"/>
  <c r="BK16" i="5"/>
  <c r="BV16" i="5"/>
  <c r="AU35" i="5"/>
  <c r="BN35" i="5" s="1"/>
  <c r="BK35" i="5"/>
  <c r="CC35" i="5"/>
  <c r="BG28" i="5"/>
  <c r="BU28" i="5"/>
  <c r="CC28" i="5"/>
  <c r="BE37" i="5"/>
  <c r="BV37" i="5"/>
  <c r="CI37" i="5"/>
  <c r="BE55" i="5"/>
  <c r="BW55" i="5"/>
  <c r="BG220" i="5"/>
  <c r="BZ220" i="5"/>
  <c r="BS21" i="5"/>
  <c r="BA7" i="5"/>
  <c r="BP7" i="5" s="1"/>
  <c r="BO7" i="5"/>
  <c r="CC7" i="5"/>
  <c r="BA16" i="5"/>
  <c r="BP16" i="5" s="1"/>
  <c r="BM16" i="5"/>
  <c r="CA16" i="5"/>
  <c r="AY35" i="5"/>
  <c r="BQ35" i="5"/>
  <c r="CF35" i="5"/>
  <c r="BI28" i="5"/>
  <c r="BT28" i="5"/>
  <c r="CE28" i="5"/>
  <c r="BG37" i="5"/>
  <c r="BT37" i="5"/>
  <c r="CK37" i="5"/>
  <c r="BH55" i="5"/>
  <c r="BV55" i="5"/>
  <c r="BH220" i="5"/>
  <c r="CA220" i="5"/>
  <c r="BV21" i="5"/>
  <c r="AV55" i="5"/>
  <c r="BO55" i="5" s="1"/>
  <c r="BM7" i="5"/>
  <c r="BV7" i="5"/>
  <c r="AV16" i="5"/>
  <c r="BO16" i="5" s="1"/>
  <c r="BJ16" i="5"/>
  <c r="BY16" i="5"/>
  <c r="BJ35" i="5"/>
  <c r="BY35" i="5"/>
  <c r="BC28" i="5"/>
  <c r="BR37" i="5"/>
  <c r="BF220" i="5"/>
  <c r="AU7" i="5"/>
  <c r="BB7" i="5" s="1"/>
  <c r="BD7" i="5"/>
  <c r="BR7" i="5"/>
  <c r="CD7" i="5"/>
  <c r="BD16" i="5"/>
  <c r="BQ16" i="5"/>
  <c r="CD16" i="5"/>
  <c r="BD35" i="5"/>
  <c r="BR35" i="5"/>
  <c r="CD35" i="5"/>
  <c r="BK28" i="5"/>
  <c r="BW28" i="5"/>
  <c r="CF28" i="5"/>
  <c r="BI37" i="5"/>
  <c r="BU37" i="5"/>
  <c r="BI55" i="5"/>
  <c r="BY55" i="5"/>
  <c r="BI220" i="5"/>
  <c r="CC220" i="5"/>
  <c r="BW21" i="5"/>
  <c r="I11" i="20"/>
  <c r="I39" i="20" s="1"/>
  <c r="AB39" i="20" s="1"/>
  <c r="G93" i="10"/>
  <c r="G11" i="20"/>
  <c r="E93" i="10"/>
  <c r="F75" i="20"/>
  <c r="F80" i="20" s="1"/>
  <c r="BL119" i="5"/>
  <c r="BX275" i="5"/>
  <c r="CJ119" i="5"/>
  <c r="BA266" i="5"/>
  <c r="BP266" i="5" s="1"/>
  <c r="BT266" i="5"/>
  <c r="CJ266" i="5"/>
  <c r="AZ5" i="5"/>
  <c r="CI5" i="5"/>
  <c r="AZ1305" i="5"/>
  <c r="CK1305" i="5"/>
  <c r="BR1313" i="5"/>
  <c r="BB311" i="5"/>
  <c r="BZ311" i="5" s="1"/>
  <c r="BM311" i="5"/>
  <c r="BV311" i="5"/>
  <c r="CK311" i="5"/>
  <c r="AV5" i="5"/>
  <c r="BC5" i="5" s="1"/>
  <c r="BH5" i="5"/>
  <c r="BU5" i="5"/>
  <c r="BW87" i="5"/>
  <c r="AU1313" i="5"/>
  <c r="BN1313" i="5" s="1"/>
  <c r="BJ1305" i="5"/>
  <c r="BV1305" i="5"/>
  <c r="BD1313" i="5"/>
  <c r="CA1313" i="5"/>
  <c r="BA5" i="5"/>
  <c r="BP5" i="5" s="1"/>
  <c r="BK5" i="5"/>
  <c r="BY5" i="5"/>
  <c r="CK5" i="5"/>
  <c r="BY87" i="5"/>
  <c r="BA1305" i="5"/>
  <c r="BP1305" i="5" s="1"/>
  <c r="CB1305" i="5" s="1"/>
  <c r="BK1305" i="5"/>
  <c r="BY1305" i="5"/>
  <c r="CI1305" i="5"/>
  <c r="BG1313" i="5"/>
  <c r="BS1313" i="5"/>
  <c r="CC1313" i="5"/>
  <c r="BD311" i="5"/>
  <c r="BK311" i="5"/>
  <c r="BY311" i="5"/>
  <c r="BE5" i="5"/>
  <c r="BQ5" i="5"/>
  <c r="BW5" i="5"/>
  <c r="CI87" i="5"/>
  <c r="BF1305" i="5"/>
  <c r="BR1305" i="5"/>
  <c r="CA1305" i="5"/>
  <c r="AZ1313" i="5"/>
  <c r="BI1313" i="5"/>
  <c r="BQ1313" i="5"/>
  <c r="CF1313" i="5"/>
  <c r="BE311" i="5"/>
  <c r="BR311" i="5"/>
  <c r="CC311" i="5"/>
  <c r="BI5" i="5"/>
  <c r="BV5" i="5"/>
  <c r="CD5" i="5"/>
  <c r="BI87" i="5"/>
  <c r="BH1305" i="5"/>
  <c r="BT1305" i="5"/>
  <c r="CD1305" i="5"/>
  <c r="BE1313" i="5"/>
  <c r="BM1313" i="5"/>
  <c r="BY1313" i="5"/>
  <c r="CK1313" i="5"/>
  <c r="AY311" i="5"/>
  <c r="BJ311" i="5"/>
  <c r="BU311" i="5"/>
  <c r="CF311" i="5"/>
  <c r="AY5" i="5"/>
  <c r="BJ5" i="5"/>
  <c r="BT5" i="5"/>
  <c r="CF5" i="5"/>
  <c r="BS87" i="5"/>
  <c r="AV1305" i="5"/>
  <c r="BO1305" i="5" s="1"/>
  <c r="AY1305" i="5"/>
  <c r="BI1305" i="5"/>
  <c r="BU1305" i="5"/>
  <c r="CF1305" i="5"/>
  <c r="BF1313" i="5"/>
  <c r="BO1313" i="5"/>
  <c r="BW1313" i="5"/>
  <c r="BA311" i="5"/>
  <c r="BP311" i="5" s="1"/>
  <c r="BI311" i="5"/>
  <c r="BW311" i="5"/>
  <c r="CE311" i="5"/>
  <c r="AU16" i="5"/>
  <c r="BN16" i="5" s="1"/>
  <c r="AZ7" i="5"/>
  <c r="BH7" i="5"/>
  <c r="BU7" i="5"/>
  <c r="CI7" i="5"/>
  <c r="BF16" i="5"/>
  <c r="BR16" i="5"/>
  <c r="AZ35" i="5"/>
  <c r="BI35" i="5"/>
  <c r="CA35" i="5"/>
  <c r="BI1329" i="5"/>
  <c r="BZ1329" i="5"/>
  <c r="BF28" i="5"/>
  <c r="BO28" i="5"/>
  <c r="BV28" i="5"/>
  <c r="CI28" i="5"/>
  <c r="BD37" i="5"/>
  <c r="BM37" i="5"/>
  <c r="CA37" i="5"/>
  <c r="BG55" i="5"/>
  <c r="BS55" i="5"/>
  <c r="CD55" i="5"/>
  <c r="BY83" i="5"/>
  <c r="CA183" i="5"/>
  <c r="BJ220" i="5"/>
  <c r="BX220" i="5"/>
  <c r="BA229" i="5"/>
  <c r="BP229" i="5" s="1"/>
  <c r="CB229" i="5" s="1"/>
  <c r="CA229" i="5"/>
  <c r="BA21" i="5"/>
  <c r="BP21" i="5" s="1"/>
  <c r="CB21" i="5" s="1"/>
  <c r="BY21" i="5"/>
  <c r="AU28" i="5"/>
  <c r="BB28" i="5" s="1"/>
  <c r="AY28" i="5"/>
  <c r="BH28" i="5"/>
  <c r="BR28" i="5"/>
  <c r="BX28" i="5"/>
  <c r="CJ28" i="5"/>
  <c r="BF37" i="5"/>
  <c r="BS37" i="5"/>
  <c r="CC37" i="5"/>
  <c r="AY55" i="5"/>
  <c r="BJ55" i="5"/>
  <c r="BU55" i="5"/>
  <c r="CI55" i="5"/>
  <c r="BC83" i="5"/>
  <c r="CE83" i="5"/>
  <c r="BE183" i="5"/>
  <c r="AZ220" i="5"/>
  <c r="BR220" i="5"/>
  <c r="CD220" i="5"/>
  <c r="BH229" i="5"/>
  <c r="CG229" i="5"/>
  <c r="BE3" i="5"/>
  <c r="BI21" i="5"/>
  <c r="CC21" i="5"/>
  <c r="AX1366" i="5"/>
  <c r="AX1367" i="5" s="1"/>
  <c r="BF1329" i="5"/>
  <c r="BK1329" i="5"/>
  <c r="BX1329" i="5"/>
  <c r="CH1329" i="5"/>
  <c r="BE10" i="5"/>
  <c r="BM10" i="5"/>
  <c r="CA10" i="5"/>
  <c r="AY83" i="5"/>
  <c r="BO83" i="5"/>
  <c r="CD83" i="5"/>
  <c r="BM183" i="5"/>
  <c r="CC183" i="5"/>
  <c r="BJ229" i="5"/>
  <c r="BY229" i="5"/>
  <c r="CK229" i="5"/>
  <c r="BG3" i="5"/>
  <c r="BD1329" i="5"/>
  <c r="CB1329" i="5" s="1"/>
  <c r="BL1329" i="5"/>
  <c r="BY1329" i="5"/>
  <c r="CD1329" i="5"/>
  <c r="BG10" i="5"/>
  <c r="BQ10" i="5"/>
  <c r="BY10" i="5"/>
  <c r="BA83" i="5"/>
  <c r="BP83" i="5" s="1"/>
  <c r="BQ83" i="5"/>
  <c r="CI83" i="5"/>
  <c r="AZ183" i="5"/>
  <c r="BQ183" i="5"/>
  <c r="CD183" i="5"/>
  <c r="BL229" i="5"/>
  <c r="BW229" i="5"/>
  <c r="BM3" i="5"/>
  <c r="AU229" i="5"/>
  <c r="BB229" i="5" s="1"/>
  <c r="AT1366" i="5"/>
  <c r="AT1367" i="5" s="1"/>
  <c r="AS1366" i="5"/>
  <c r="AS1367" i="5" s="1"/>
  <c r="AY1329" i="5"/>
  <c r="BH1329" i="5"/>
  <c r="BS1329" i="5"/>
  <c r="CA1329" i="5"/>
  <c r="CE1329" i="5"/>
  <c r="BF10" i="5"/>
  <c r="BS10" i="5"/>
  <c r="CC10" i="5"/>
  <c r="BE83" i="5"/>
  <c r="BU83" i="5"/>
  <c r="BF183" i="5"/>
  <c r="BT183" i="5"/>
  <c r="CE183" i="5"/>
  <c r="BC229" i="5"/>
  <c r="BO229" i="5"/>
  <c r="CD229" i="5"/>
  <c r="BS3" i="5"/>
  <c r="BB1329" i="5"/>
  <c r="BJ1329" i="5"/>
  <c r="BT1329" i="5"/>
  <c r="CC1329" i="5"/>
  <c r="CK1329" i="5"/>
  <c r="AY10" i="5"/>
  <c r="BJ10" i="5"/>
  <c r="BV10" i="5"/>
  <c r="CI10" i="5"/>
  <c r="BJ83" i="5"/>
  <c r="CA83" i="5"/>
  <c r="BG183" i="5"/>
  <c r="BW183" i="5"/>
  <c r="BE229" i="5"/>
  <c r="BT229" i="5"/>
  <c r="CF229" i="5"/>
  <c r="BV3" i="5"/>
  <c r="AV1329" i="5"/>
  <c r="BO1329" i="5" s="1"/>
  <c r="BF1321" i="5"/>
  <c r="BL1321" i="5"/>
  <c r="BZ1321" i="5"/>
  <c r="CG1321" i="5"/>
  <c r="AU13" i="5"/>
  <c r="BB13" i="5" s="1"/>
  <c r="BF330" i="5"/>
  <c r="BS330" i="5"/>
  <c r="CE330" i="5"/>
  <c r="BE13" i="5"/>
  <c r="BQ13" i="5"/>
  <c r="CA13" i="5"/>
  <c r="BA23" i="5"/>
  <c r="BP23" i="5" s="1"/>
  <c r="CK23" i="5"/>
  <c r="AV13" i="5"/>
  <c r="BO13" i="5" s="1"/>
  <c r="BG1321" i="5"/>
  <c r="BR1321" i="5"/>
  <c r="BW1321" i="5"/>
  <c r="CI1321" i="5"/>
  <c r="AY330" i="5"/>
  <c r="BI330" i="5"/>
  <c r="BW330" i="5"/>
  <c r="CK330" i="5"/>
  <c r="BG13" i="5"/>
  <c r="BU13" i="5"/>
  <c r="CG13" i="5"/>
  <c r="AY1321" i="5"/>
  <c r="BI1321" i="5"/>
  <c r="BQ1321" i="5"/>
  <c r="CC1321" i="5"/>
  <c r="AV330" i="5"/>
  <c r="BC330" i="5" s="1"/>
  <c r="BA330" i="5"/>
  <c r="BP330" i="5" s="1"/>
  <c r="BK330" i="5"/>
  <c r="BU330" i="5"/>
  <c r="AY13" i="5"/>
  <c r="BI13" i="5"/>
  <c r="BT13" i="5"/>
  <c r="AY220" i="5"/>
  <c r="BL220" i="5"/>
  <c r="BV220" i="5"/>
  <c r="CG220" i="5"/>
  <c r="AU21" i="5"/>
  <c r="BN21" i="5" s="1"/>
  <c r="BG21" i="5"/>
  <c r="CA21" i="5"/>
  <c r="BR119" i="5"/>
  <c r="BD266" i="5"/>
  <c r="BC275" i="5"/>
  <c r="CA151" i="5"/>
  <c r="CD119" i="5"/>
  <c r="BM266" i="5"/>
  <c r="BQ275" i="5"/>
  <c r="AU220" i="5"/>
  <c r="BN220" i="5" s="1"/>
  <c r="CJ151" i="5"/>
  <c r="BX266" i="5"/>
  <c r="CF275" i="5"/>
  <c r="BB119" i="5"/>
  <c r="CH266" i="5"/>
  <c r="BE133" i="5"/>
  <c r="BM133" i="5"/>
  <c r="BY133" i="5"/>
  <c r="CF133" i="5"/>
  <c r="BE64" i="5"/>
  <c r="BT64" i="5"/>
  <c r="AY138" i="5"/>
  <c r="BI138" i="5"/>
  <c r="BR138" i="5"/>
  <c r="BZ138" i="5"/>
  <c r="CI138" i="5"/>
  <c r="BE156" i="5"/>
  <c r="BL156" i="5"/>
  <c r="BY156" i="5"/>
  <c r="CI156" i="5"/>
  <c r="AZ138" i="5"/>
  <c r="BS138" i="5"/>
  <c r="CC138" i="5"/>
  <c r="BF156" i="5"/>
  <c r="BO156" i="5"/>
  <c r="CF156" i="5"/>
  <c r="BJ138" i="5"/>
  <c r="CK138" i="5"/>
  <c r="BX156" i="5"/>
  <c r="BG133" i="5"/>
  <c r="BQ133" i="5"/>
  <c r="BW133" i="5"/>
  <c r="CH133" i="5"/>
  <c r="BG64" i="5"/>
  <c r="BW64" i="5"/>
  <c r="BA138" i="5"/>
  <c r="BP138" i="5" s="1"/>
  <c r="BH138" i="5"/>
  <c r="BT138" i="5"/>
  <c r="BY138" i="5"/>
  <c r="CJ138" i="5"/>
  <c r="BG156" i="5"/>
  <c r="BQ156" i="5"/>
  <c r="BV156" i="5"/>
  <c r="CG156" i="5"/>
  <c r="BA220" i="5"/>
  <c r="BP220" i="5" s="1"/>
  <c r="BK220" i="5"/>
  <c r="BU220" i="5"/>
  <c r="CI220" i="5"/>
  <c r="AZ21" i="5"/>
  <c r="BQ21" i="5"/>
  <c r="CE21" i="5"/>
  <c r="AU156" i="5"/>
  <c r="BN156" i="5" s="1"/>
  <c r="BF64" i="5"/>
  <c r="BU64" i="5"/>
  <c r="AY133" i="5"/>
  <c r="BI133" i="5"/>
  <c r="BS133" i="5"/>
  <c r="BZ133" i="5"/>
  <c r="CI133" i="5"/>
  <c r="BI64" i="5"/>
  <c r="BV64" i="5"/>
  <c r="BB138" i="5"/>
  <c r="BL138" i="5"/>
  <c r="BV138" i="5"/>
  <c r="CE138" i="5"/>
  <c r="AY156" i="5"/>
  <c r="BH156" i="5"/>
  <c r="BR156" i="5"/>
  <c r="BZ156" i="5"/>
  <c r="CJ156" i="5"/>
  <c r="AZ133" i="5"/>
  <c r="BJ133" i="5"/>
  <c r="BR133" i="5"/>
  <c r="BX133" i="5"/>
  <c r="CJ133" i="5"/>
  <c r="AV138" i="5"/>
  <c r="BC138" i="5" s="1"/>
  <c r="BH64" i="5"/>
  <c r="CC64" i="5"/>
  <c r="BE138" i="5"/>
  <c r="BK138" i="5"/>
  <c r="BX138" i="5"/>
  <c r="CF138" i="5"/>
  <c r="BA156" i="5"/>
  <c r="BP156" i="5" s="1"/>
  <c r="BI156" i="5"/>
  <c r="BT156" i="5"/>
  <c r="CA156" i="5"/>
  <c r="CH156" i="5"/>
  <c r="AV133" i="5"/>
  <c r="BO133" i="5" s="1"/>
  <c r="AY119" i="5"/>
  <c r="CA119" i="5"/>
  <c r="AY266" i="5"/>
  <c r="BR266" i="5"/>
  <c r="CI266" i="5"/>
  <c r="BT275" i="5"/>
  <c r="CE151" i="5"/>
  <c r="BF119" i="5"/>
  <c r="CE119" i="5"/>
  <c r="BE266" i="5"/>
  <c r="BW266" i="5"/>
  <c r="AU275" i="5"/>
  <c r="BN275" i="5" s="1"/>
  <c r="BY275" i="5"/>
  <c r="BE21" i="5"/>
  <c r="BU21" i="5"/>
  <c r="CK21" i="5"/>
  <c r="BM119" i="5"/>
  <c r="BH266" i="5"/>
  <c r="BZ266" i="5"/>
  <c r="BH275" i="5"/>
  <c r="CE275" i="5"/>
  <c r="BS119" i="5"/>
  <c r="BK266" i="5"/>
  <c r="CF266" i="5"/>
  <c r="BO275" i="5"/>
  <c r="AV119" i="5"/>
  <c r="BO119" i="5" s="1"/>
  <c r="BG119" i="5"/>
  <c r="BW119" i="5"/>
  <c r="CG119" i="5"/>
  <c r="AZ266" i="5"/>
  <c r="BI266" i="5"/>
  <c r="BS266" i="5"/>
  <c r="BY266" i="5"/>
  <c r="CK266" i="5"/>
  <c r="BJ275" i="5"/>
  <c r="BV275" i="5"/>
  <c r="CJ275" i="5"/>
  <c r="CI151" i="5"/>
  <c r="AZ119" i="5"/>
  <c r="BI119" i="5"/>
  <c r="BY119" i="5"/>
  <c r="CK119" i="5"/>
  <c r="BB266" i="5"/>
  <c r="BL266" i="5"/>
  <c r="BV266" i="5"/>
  <c r="CE266" i="5"/>
  <c r="AZ275" i="5"/>
  <c r="BM275" i="5"/>
  <c r="CA275" i="5"/>
  <c r="CK275" i="5"/>
  <c r="BJ21" i="5"/>
  <c r="BT21" i="5"/>
  <c r="CG21" i="5"/>
  <c r="AV266" i="5"/>
  <c r="BC266" i="5" s="1"/>
  <c r="BA119" i="5"/>
  <c r="BP119" i="5" s="1"/>
  <c r="BK119" i="5"/>
  <c r="CC119" i="5"/>
  <c r="BG266" i="5"/>
  <c r="BN266" i="5"/>
  <c r="BU266" i="5"/>
  <c r="CG266" i="5"/>
  <c r="BA275" i="5"/>
  <c r="BP275" i="5" s="1"/>
  <c r="BL275" i="5"/>
  <c r="BZ275" i="5"/>
  <c r="BD119" i="5"/>
  <c r="BQ119" i="5"/>
  <c r="CH119" i="5"/>
  <c r="BF266" i="5"/>
  <c r="BQ266" i="5"/>
  <c r="CA266" i="5"/>
  <c r="CD266" i="5"/>
  <c r="BE275" i="5"/>
  <c r="BS275" i="5"/>
  <c r="CD275" i="5"/>
  <c r="BI53" i="5"/>
  <c r="AY87" i="5"/>
  <c r="AU101" i="5"/>
  <c r="BN101" i="5" s="1"/>
  <c r="AU165" i="5"/>
  <c r="BN165" i="5" s="1"/>
  <c r="AV32" i="5"/>
  <c r="BO32" i="5" s="1"/>
  <c r="CF32" i="5"/>
  <c r="BG60" i="5"/>
  <c r="BS60" i="5"/>
  <c r="CC60" i="5"/>
  <c r="BB69" i="5"/>
  <c r="BK69" i="5"/>
  <c r="BV69" i="5"/>
  <c r="CI69" i="5"/>
  <c r="AY74" i="5"/>
  <c r="BI74" i="5"/>
  <c r="BS74" i="5"/>
  <c r="CC74" i="5"/>
  <c r="BH92" i="5"/>
  <c r="BS92" i="5"/>
  <c r="CE92" i="5"/>
  <c r="BG32" i="5"/>
  <c r="CK32" i="5"/>
  <c r="AY60" i="5"/>
  <c r="BH60" i="5"/>
  <c r="BU60" i="5"/>
  <c r="CD60" i="5"/>
  <c r="BD69" i="5"/>
  <c r="BM69" i="5"/>
  <c r="BY69" i="5"/>
  <c r="CK69" i="5"/>
  <c r="AZ74" i="5"/>
  <c r="BT74" i="5"/>
  <c r="BI92" i="5"/>
  <c r="CI92" i="5"/>
  <c r="AU60" i="5"/>
  <c r="BN60" i="5" s="1"/>
  <c r="BQ74" i="5"/>
  <c r="CE74" i="5"/>
  <c r="BG92" i="5"/>
  <c r="BJ74" i="5"/>
  <c r="CF74" i="5"/>
  <c r="AY92" i="5"/>
  <c r="BU92" i="5"/>
  <c r="AV69" i="5"/>
  <c r="BO69" i="5" s="1"/>
  <c r="BH32" i="5"/>
  <c r="BA60" i="5"/>
  <c r="BP60" i="5" s="1"/>
  <c r="CB60" i="5" s="1"/>
  <c r="BI60" i="5"/>
  <c r="BT60" i="5"/>
  <c r="CI60" i="5"/>
  <c r="BE69" i="5"/>
  <c r="BN69" i="5"/>
  <c r="BW69" i="5"/>
  <c r="BA74" i="5"/>
  <c r="BP74" i="5" s="1"/>
  <c r="CB74" i="5" s="1"/>
  <c r="BH74" i="5"/>
  <c r="BW74" i="5"/>
  <c r="CD74" i="5"/>
  <c r="BA92" i="5"/>
  <c r="BP92" i="5" s="1"/>
  <c r="BK92" i="5"/>
  <c r="BW92" i="5"/>
  <c r="CF92" i="5"/>
  <c r="AU92" i="5"/>
  <c r="BB92" i="5" s="1"/>
  <c r="BK60" i="5"/>
  <c r="CF60" i="5"/>
  <c r="BF69" i="5"/>
  <c r="CA69" i="5"/>
  <c r="BF74" i="5"/>
  <c r="BT92" i="5"/>
  <c r="CC92" i="5"/>
  <c r="BJ32" i="5"/>
  <c r="BW60" i="5"/>
  <c r="BQ69" i="5"/>
  <c r="BB74" i="5"/>
  <c r="BK74" i="5"/>
  <c r="BV74" i="5"/>
  <c r="CI74" i="5"/>
  <c r="AZ92" i="5"/>
  <c r="BM92" i="5"/>
  <c r="BY92" i="5"/>
  <c r="CK92" i="5"/>
  <c r="BM32" i="5"/>
  <c r="AZ60" i="5"/>
  <c r="BM60" i="5"/>
  <c r="BV60" i="5"/>
  <c r="CK60" i="5"/>
  <c r="BG69" i="5"/>
  <c r="BS69" i="5"/>
  <c r="CD69" i="5"/>
  <c r="BE74" i="5"/>
  <c r="BN74" i="5"/>
  <c r="BU74" i="5"/>
  <c r="CK74" i="5"/>
  <c r="BD92" i="5"/>
  <c r="BJ92" i="5"/>
  <c r="BV32" i="5"/>
  <c r="BA69" i="5"/>
  <c r="BP69" i="5" s="1"/>
  <c r="BH69" i="5"/>
  <c r="BU69" i="5"/>
  <c r="CF69" i="5"/>
  <c r="AX1355" i="5"/>
  <c r="AX1356" i="5" s="1"/>
  <c r="AB45" i="17"/>
  <c r="L61" i="10"/>
  <c r="G11" i="19"/>
  <c r="J11" i="19" s="1"/>
  <c r="AX1363" i="5"/>
  <c r="AX1364" i="5" s="1"/>
  <c r="D62" i="10"/>
  <c r="D65" i="10" s="1"/>
  <c r="E71" i="10"/>
  <c r="G82" i="10"/>
  <c r="H82" i="10" s="1"/>
  <c r="AT1363" i="5"/>
  <c r="AT1364" i="5" s="1"/>
  <c r="AS1363" i="5"/>
  <c r="AS1364" i="5" s="1"/>
  <c r="I11" i="18"/>
  <c r="I39" i="18" s="1"/>
  <c r="AB39" i="18" s="1"/>
  <c r="G71" i="10"/>
  <c r="BK357" i="5"/>
  <c r="AB11" i="18"/>
  <c r="G39" i="18"/>
  <c r="AA39" i="18" s="1"/>
  <c r="F75" i="19"/>
  <c r="F80" i="19" s="1"/>
  <c r="N10" i="17"/>
  <c r="N13" i="17" s="1"/>
  <c r="G62" i="10"/>
  <c r="M38" i="17"/>
  <c r="M41" i="17" s="1"/>
  <c r="J39" i="17"/>
  <c r="AC39" i="17"/>
  <c r="J62" i="10"/>
  <c r="H61" i="10"/>
  <c r="F67" i="18"/>
  <c r="J11" i="17"/>
  <c r="L59" i="10"/>
  <c r="AA45" i="17"/>
  <c r="E62" i="10"/>
  <c r="H59" i="10"/>
  <c r="L41" i="17"/>
  <c r="H60" i="10"/>
  <c r="AA10" i="17"/>
  <c r="G13" i="17"/>
  <c r="J10" i="17"/>
  <c r="G38" i="17"/>
  <c r="BV357" i="5"/>
  <c r="AB10" i="17"/>
  <c r="G40" i="17"/>
  <c r="J40" i="17" s="1"/>
  <c r="J12" i="17"/>
  <c r="I13" i="17"/>
  <c r="I38" i="17"/>
  <c r="I41" i="17" s="1"/>
  <c r="AT1361" i="5"/>
  <c r="AT1362" i="5" s="1"/>
  <c r="AS1361" i="5"/>
  <c r="AS1362" i="5" s="1"/>
  <c r="H13" i="17"/>
  <c r="H38" i="17"/>
  <c r="H41" i="17" s="1"/>
  <c r="F38" i="17"/>
  <c r="F41" i="17" s="1"/>
  <c r="F43" i="17" s="1"/>
  <c r="F13" i="17"/>
  <c r="F16" i="17" s="1"/>
  <c r="G38" i="12"/>
  <c r="AA38" i="12" s="1"/>
  <c r="J11" i="14"/>
  <c r="F67" i="17"/>
  <c r="G13" i="12"/>
  <c r="AT1357" i="5"/>
  <c r="AT1358" i="5" s="1"/>
  <c r="AS1357" i="5"/>
  <c r="AS1358" i="5" s="1"/>
  <c r="BO128" i="5"/>
  <c r="BP128" i="5"/>
  <c r="CB128" i="5" s="1"/>
  <c r="AU128" i="5"/>
  <c r="AT1355" i="5"/>
  <c r="AT1356" i="5" s="1"/>
  <c r="AS1355" i="5"/>
  <c r="AS1356" i="5" s="1"/>
  <c r="AX1349" i="5"/>
  <c r="AX1350" i="5" s="1"/>
  <c r="AT1353" i="5"/>
  <c r="AT1354" i="5" s="1"/>
  <c r="AS1353" i="5"/>
  <c r="AS1354" i="5" s="1"/>
  <c r="AT1351" i="5"/>
  <c r="AT1352" i="5" s="1"/>
  <c r="AS1351" i="5"/>
  <c r="AS1352" i="5" s="1"/>
  <c r="AT1349" i="5"/>
  <c r="AT1350" i="5" s="1"/>
  <c r="AS1349" i="5"/>
  <c r="AS1350" i="5" s="1"/>
  <c r="I11" i="16"/>
  <c r="G49" i="10"/>
  <c r="G11" i="16"/>
  <c r="E49" i="10"/>
  <c r="F67" i="16"/>
  <c r="AT1347" i="5"/>
  <c r="AT1348" i="5" s="1"/>
  <c r="AS1347" i="5"/>
  <c r="AS1348" i="5" s="1"/>
  <c r="CE39" i="5"/>
  <c r="I11" i="15"/>
  <c r="I39" i="15" s="1"/>
  <c r="AB39" i="15" s="1"/>
  <c r="G38" i="10"/>
  <c r="G11" i="15"/>
  <c r="E38" i="10"/>
  <c r="CK39" i="5"/>
  <c r="F67" i="15"/>
  <c r="BK23" i="5"/>
  <c r="AY32" i="5"/>
  <c r="CE32" i="5"/>
  <c r="BT51" i="5"/>
  <c r="BH87" i="5"/>
  <c r="BA151" i="5"/>
  <c r="BP151" i="5" s="1"/>
  <c r="BH23" i="5"/>
  <c r="CI23" i="5"/>
  <c r="BN32" i="5"/>
  <c r="BZ32" i="5" s="1"/>
  <c r="AU51" i="5"/>
  <c r="BN51" i="5" s="1"/>
  <c r="CF51" i="5"/>
  <c r="BM87" i="5"/>
  <c r="BE151" i="5"/>
  <c r="BC23" i="5"/>
  <c r="BY23" i="5"/>
  <c r="BI32" i="5"/>
  <c r="CA32" i="5"/>
  <c r="BJ51" i="5"/>
  <c r="BT87" i="5"/>
  <c r="BH151" i="5"/>
  <c r="BD23" i="5"/>
  <c r="BV23" i="5"/>
  <c r="BE32" i="5"/>
  <c r="BU32" i="5"/>
  <c r="AZ51" i="5"/>
  <c r="BU51" i="5"/>
  <c r="BA87" i="5"/>
  <c r="BP87" i="5" s="1"/>
  <c r="BV87" i="5"/>
  <c r="BM151" i="5"/>
  <c r="BG23" i="5"/>
  <c r="BW23" i="5"/>
  <c r="AZ32" i="5"/>
  <c r="BS32" i="5"/>
  <c r="CI32" i="5"/>
  <c r="BG51" i="5"/>
  <c r="CD51" i="5"/>
  <c r="BJ87" i="5"/>
  <c r="CD87" i="5"/>
  <c r="BO151" i="5"/>
  <c r="AZ23" i="5"/>
  <c r="BM23" i="5"/>
  <c r="CA23" i="5"/>
  <c r="BD32" i="5"/>
  <c r="BR32" i="5"/>
  <c r="CC32" i="5"/>
  <c r="BF51" i="5"/>
  <c r="BV51" i="5"/>
  <c r="AZ87" i="5"/>
  <c r="BK87" i="5"/>
  <c r="CE87" i="5"/>
  <c r="BS151" i="5"/>
  <c r="CE101" i="5"/>
  <c r="AX1344" i="5"/>
  <c r="AX1345" i="5" s="1"/>
  <c r="AV192" i="5"/>
  <c r="BC192" i="5" s="1"/>
  <c r="AT1344" i="5"/>
  <c r="AT1345" i="5" s="1"/>
  <c r="AS1344" i="5"/>
  <c r="AS1345" i="5" s="1"/>
  <c r="BG192" i="5"/>
  <c r="AY53" i="5"/>
  <c r="BR192" i="5"/>
  <c r="BE23" i="5"/>
  <c r="BS23" i="5"/>
  <c r="CE23" i="5"/>
  <c r="BF32" i="5"/>
  <c r="BQ32" i="5"/>
  <c r="CD32" i="5"/>
  <c r="BA51" i="5"/>
  <c r="BP51" i="5" s="1"/>
  <c r="CB51" i="5" s="1"/>
  <c r="BR51" i="5"/>
  <c r="CI51" i="5"/>
  <c r="BG87" i="5"/>
  <c r="BU87" i="5"/>
  <c r="CK87" i="5"/>
  <c r="BT151" i="5"/>
  <c r="BW53" i="5"/>
  <c r="BY165" i="5"/>
  <c r="BX192" i="5"/>
  <c r="BJ151" i="5"/>
  <c r="CH151" i="5"/>
  <c r="BU101" i="5"/>
  <c r="CD101" i="5"/>
  <c r="BN183" i="5"/>
  <c r="BZ183" i="5" s="1"/>
  <c r="CD192" i="5"/>
  <c r="BG151" i="5"/>
  <c r="BX151" i="5"/>
  <c r="BT53" i="5"/>
  <c r="CJ147" i="5"/>
  <c r="BC37" i="5"/>
  <c r="BM147" i="5"/>
  <c r="AY183" i="5"/>
  <c r="BI183" i="5"/>
  <c r="BU183" i="5"/>
  <c r="CF183" i="5"/>
  <c r="CF192" i="5"/>
  <c r="AY151" i="5"/>
  <c r="BR151" i="5"/>
  <c r="CF151" i="5"/>
  <c r="BF7" i="5"/>
  <c r="BK7" i="5"/>
  <c r="BY7" i="5"/>
  <c r="BA35" i="5"/>
  <c r="BP35" i="5" s="1"/>
  <c r="BM35" i="5"/>
  <c r="BV35" i="5"/>
  <c r="BD183" i="5"/>
  <c r="CB183" i="5" s="1"/>
  <c r="BK183" i="5"/>
  <c r="BV183" i="5"/>
  <c r="CK183" i="5"/>
  <c r="BK53" i="5"/>
  <c r="BE101" i="5"/>
  <c r="CA53" i="5"/>
  <c r="CA101" i="5"/>
  <c r="BD39" i="5"/>
  <c r="BL151" i="5"/>
  <c r="BY151" i="5"/>
  <c r="CK151" i="5"/>
  <c r="AZ53" i="5"/>
  <c r="BI19" i="5"/>
  <c r="BH192" i="5"/>
  <c r="CD147" i="5"/>
  <c r="BT192" i="5"/>
  <c r="BF357" i="5"/>
  <c r="BM39" i="5"/>
  <c r="BA101" i="5"/>
  <c r="BP101" i="5" s="1"/>
  <c r="BH147" i="5"/>
  <c r="BT165" i="5"/>
  <c r="BV192" i="5"/>
  <c r="BD220" i="5"/>
  <c r="BM220" i="5"/>
  <c r="BW220" i="5"/>
  <c r="CE220" i="5"/>
  <c r="CK357" i="5"/>
  <c r="BF21" i="5"/>
  <c r="BR21" i="5"/>
  <c r="BE39" i="5"/>
  <c r="BY53" i="5"/>
  <c r="BI101" i="5"/>
  <c r="BT147" i="5"/>
  <c r="CA165" i="5"/>
  <c r="BD192" i="5"/>
  <c r="CC192" i="5"/>
  <c r="BR39" i="5"/>
  <c r="AY23" i="5"/>
  <c r="BJ23" i="5"/>
  <c r="BT23" i="5"/>
  <c r="CF23" i="5"/>
  <c r="BA32" i="5"/>
  <c r="BP32" i="5" s="1"/>
  <c r="BK32" i="5"/>
  <c r="BW32" i="5"/>
  <c r="CG32" i="5"/>
  <c r="BE51" i="5"/>
  <c r="BS51" i="5"/>
  <c r="CE51" i="5"/>
  <c r="BD87" i="5"/>
  <c r="BQ87" i="5"/>
  <c r="CC87" i="5"/>
  <c r="BF151" i="5"/>
  <c r="BQ151" i="5"/>
  <c r="BZ151" i="5"/>
  <c r="BE53" i="5"/>
  <c r="CI53" i="5"/>
  <c r="BF101" i="5"/>
  <c r="BA147" i="5"/>
  <c r="BP147" i="5" s="1"/>
  <c r="BM192" i="5"/>
  <c r="BD357" i="5"/>
  <c r="BK39" i="5"/>
  <c r="BJ53" i="5"/>
  <c r="BJ147" i="5"/>
  <c r="BJ165" i="5"/>
  <c r="BJ357" i="5"/>
  <c r="BV39" i="5"/>
  <c r="CC101" i="5"/>
  <c r="BR147" i="5"/>
  <c r="BF165" i="5"/>
  <c r="BJ192" i="5"/>
  <c r="CE192" i="5"/>
  <c r="BX357" i="5"/>
  <c r="BU39" i="5"/>
  <c r="BZ147" i="5"/>
  <c r="BV165" i="5"/>
  <c r="AZ357" i="5"/>
  <c r="CD357" i="5"/>
  <c r="AY39" i="5"/>
  <c r="BY39" i="5"/>
  <c r="BD151" i="5"/>
  <c r="BK151" i="5"/>
  <c r="BW151" i="5"/>
  <c r="CG151" i="5"/>
  <c r="BU53" i="5"/>
  <c r="BJ19" i="5"/>
  <c r="BK101" i="5"/>
  <c r="CA147" i="5"/>
  <c r="BE165" i="5"/>
  <c r="BW165" i="5"/>
  <c r="BB192" i="5"/>
  <c r="BS192" i="5"/>
  <c r="CG192" i="5"/>
  <c r="BS357" i="5"/>
  <c r="BF39" i="5"/>
  <c r="BW39" i="5"/>
  <c r="BS101" i="5"/>
  <c r="BD147" i="5"/>
  <c r="CF147" i="5"/>
  <c r="BG165" i="5"/>
  <c r="BE192" i="5"/>
  <c r="BU192" i="5"/>
  <c r="CK192" i="5"/>
  <c r="CA357" i="5"/>
  <c r="AU39" i="5"/>
  <c r="BN39" i="5" s="1"/>
  <c r="BJ39" i="5"/>
  <c r="CC39" i="5"/>
  <c r="BH53" i="5"/>
  <c r="CF53" i="5"/>
  <c r="AY101" i="5"/>
  <c r="BQ101" i="5"/>
  <c r="CF101" i="5"/>
  <c r="BQ147" i="5"/>
  <c r="CK147" i="5"/>
  <c r="BI165" i="5"/>
  <c r="CE165" i="5"/>
  <c r="AZ192" i="5"/>
  <c r="BK192" i="5"/>
  <c r="BW192" i="5"/>
  <c r="CH192" i="5"/>
  <c r="BN330" i="5"/>
  <c r="BZ330" i="5" s="1"/>
  <c r="BL357" i="5"/>
  <c r="CG357" i="5"/>
  <c r="BI39" i="5"/>
  <c r="CA39" i="5"/>
  <c r="BM53" i="5"/>
  <c r="BC101" i="5"/>
  <c r="BR101" i="5"/>
  <c r="AY147" i="5"/>
  <c r="BU147" i="5"/>
  <c r="BM165" i="5"/>
  <c r="BA192" i="5"/>
  <c r="BP192" i="5" s="1"/>
  <c r="BL192" i="5"/>
  <c r="CA192" i="5"/>
  <c r="BR357" i="5"/>
  <c r="BA39" i="5"/>
  <c r="BP39" i="5" s="1"/>
  <c r="BQ39" i="5"/>
  <c r="CF39" i="5"/>
  <c r="BC151" i="5"/>
  <c r="BI151" i="5"/>
  <c r="BU151" i="5"/>
  <c r="CD151" i="5"/>
  <c r="BA53" i="5"/>
  <c r="BP53" i="5" s="1"/>
  <c r="BR53" i="5"/>
  <c r="CD53" i="5"/>
  <c r="AU151" i="5"/>
  <c r="BN151" i="5" s="1"/>
  <c r="CI19" i="5"/>
  <c r="BG101" i="5"/>
  <c r="BT101" i="5"/>
  <c r="CI101" i="5"/>
  <c r="BG147" i="5"/>
  <c r="BY147" i="5"/>
  <c r="BK165" i="5"/>
  <c r="CF165" i="5"/>
  <c r="BF192" i="5"/>
  <c r="BN192" i="5"/>
  <c r="BY192" i="5"/>
  <c r="CJ192" i="5"/>
  <c r="BE357" i="5"/>
  <c r="BU357" i="5"/>
  <c r="CI357" i="5"/>
  <c r="BG39" i="5"/>
  <c r="BS39" i="5"/>
  <c r="CD39" i="5"/>
  <c r="BF53" i="5"/>
  <c r="BV53" i="5"/>
  <c r="CK53" i="5"/>
  <c r="BJ101" i="5"/>
  <c r="BW101" i="5"/>
  <c r="AZ147" i="5"/>
  <c r="BK147" i="5"/>
  <c r="CC147" i="5"/>
  <c r="AY165" i="5"/>
  <c r="BR165" i="5"/>
  <c r="CK165" i="5"/>
  <c r="AY192" i="5"/>
  <c r="BI192" i="5"/>
  <c r="BQ192" i="5"/>
  <c r="BZ192" i="5"/>
  <c r="CI192" i="5"/>
  <c r="BG357" i="5"/>
  <c r="BZ357" i="5"/>
  <c r="AV39" i="5"/>
  <c r="BO39" i="5" s="1"/>
  <c r="AZ39" i="5"/>
  <c r="BH39" i="5"/>
  <c r="BT39" i="5"/>
  <c r="K7" i="10"/>
  <c r="BN10" i="5"/>
  <c r="BB10" i="5"/>
  <c r="BY19" i="5"/>
  <c r="AV64" i="5"/>
  <c r="BO64" i="5" s="1"/>
  <c r="BR64" i="5"/>
  <c r="CE64" i="5"/>
  <c r="AZ83" i="5"/>
  <c r="BG83" i="5"/>
  <c r="BW83" i="5"/>
  <c r="BJ119" i="5"/>
  <c r="BU119" i="5"/>
  <c r="CI119" i="5"/>
  <c r="BE147" i="5"/>
  <c r="BS147" i="5"/>
  <c r="CH147" i="5"/>
  <c r="BA165" i="5"/>
  <c r="BP165" i="5" s="1"/>
  <c r="BS165" i="5"/>
  <c r="CD165" i="5"/>
  <c r="AY229" i="5"/>
  <c r="BK229" i="5"/>
  <c r="BX229" i="5"/>
  <c r="CH229" i="5"/>
  <c r="BR247" i="5"/>
  <c r="BJ256" i="5"/>
  <c r="BF275" i="5"/>
  <c r="BR275" i="5"/>
  <c r="CC275" i="5"/>
  <c r="BC357" i="5"/>
  <c r="BQ357" i="5"/>
  <c r="CC357" i="5"/>
  <c r="BA3" i="5"/>
  <c r="BP3" i="5" s="1"/>
  <c r="CA3" i="5"/>
  <c r="BC53" i="5"/>
  <c r="AY19" i="5"/>
  <c r="BD247" i="5"/>
  <c r="CG247" i="5"/>
  <c r="BS256" i="5"/>
  <c r="BF3" i="5"/>
  <c r="BY3" i="5"/>
  <c r="CF19" i="5"/>
  <c r="AY51" i="5"/>
  <c r="BI51" i="5"/>
  <c r="CA51" i="5"/>
  <c r="AV247" i="5"/>
  <c r="BC247" i="5" s="1"/>
  <c r="BD53" i="5"/>
  <c r="BQ53" i="5"/>
  <c r="CE53" i="5"/>
  <c r="CK19" i="5"/>
  <c r="AY64" i="5"/>
  <c r="BK64" i="5"/>
  <c r="CD64" i="5"/>
  <c r="BF83" i="5"/>
  <c r="BR83" i="5"/>
  <c r="CF83" i="5"/>
  <c r="AZ101" i="5"/>
  <c r="BH101" i="5"/>
  <c r="BV101" i="5"/>
  <c r="BH119" i="5"/>
  <c r="BT119" i="5"/>
  <c r="BZ119" i="5"/>
  <c r="AU147" i="5"/>
  <c r="BN147" i="5" s="1"/>
  <c r="BI147" i="5"/>
  <c r="BW147" i="5"/>
  <c r="CE147" i="5"/>
  <c r="BD165" i="5"/>
  <c r="BQ165" i="5"/>
  <c r="CC165" i="5"/>
  <c r="BF229" i="5"/>
  <c r="BS229" i="5"/>
  <c r="CC229" i="5"/>
  <c r="BW247" i="5"/>
  <c r="BG256" i="5"/>
  <c r="CC256" i="5"/>
  <c r="AY275" i="5"/>
  <c r="BI275" i="5"/>
  <c r="BU275" i="5"/>
  <c r="CI275" i="5"/>
  <c r="BA357" i="5"/>
  <c r="BP357" i="5" s="1"/>
  <c r="BM357" i="5"/>
  <c r="BW357" i="5"/>
  <c r="CJ357" i="5"/>
  <c r="BJ3" i="5"/>
  <c r="CC3" i="5"/>
  <c r="BC19" i="5"/>
  <c r="BA64" i="5"/>
  <c r="BP64" i="5" s="1"/>
  <c r="BN64" i="5"/>
  <c r="BZ64" i="5" s="1"/>
  <c r="CA64" i="5"/>
  <c r="BD83" i="5"/>
  <c r="BK83" i="5"/>
  <c r="BV83" i="5"/>
  <c r="CK83" i="5"/>
  <c r="BD101" i="5"/>
  <c r="BM101" i="5"/>
  <c r="BY101" i="5"/>
  <c r="CK101" i="5"/>
  <c r="BE119" i="5"/>
  <c r="BN119" i="5"/>
  <c r="BX119" i="5"/>
  <c r="CF119" i="5"/>
  <c r="BC147" i="5"/>
  <c r="BL147" i="5"/>
  <c r="BV147" i="5"/>
  <c r="CI147" i="5"/>
  <c r="AZ165" i="5"/>
  <c r="BH165" i="5"/>
  <c r="BU165" i="5"/>
  <c r="CI165" i="5"/>
  <c r="AZ229" i="5"/>
  <c r="BI229" i="5"/>
  <c r="BR229" i="5"/>
  <c r="BZ229" i="5"/>
  <c r="CJ229" i="5"/>
  <c r="BM247" i="5"/>
  <c r="AY256" i="5"/>
  <c r="BT256" i="5"/>
  <c r="BD275" i="5"/>
  <c r="CB275" i="5" s="1"/>
  <c r="BK275" i="5"/>
  <c r="BW275" i="5"/>
  <c r="CG275" i="5"/>
  <c r="AY357" i="5"/>
  <c r="BI357" i="5"/>
  <c r="BT357" i="5"/>
  <c r="CE357" i="5"/>
  <c r="AU3" i="5"/>
  <c r="BB3" i="5" s="1"/>
  <c r="BK3" i="5"/>
  <c r="CF3" i="5"/>
  <c r="BG19" i="5"/>
  <c r="BO165" i="5"/>
  <c r="BN247" i="5"/>
  <c r="CF247" i="5"/>
  <c r="BI256" i="5"/>
  <c r="BV256" i="5"/>
  <c r="BC60" i="5"/>
  <c r="BC51" i="5"/>
  <c r="BM51" i="5"/>
  <c r="BW51" i="5"/>
  <c r="CK51" i="5"/>
  <c r="BC87" i="5"/>
  <c r="AU53" i="5"/>
  <c r="BB53" i="5" s="1"/>
  <c r="BG53" i="5"/>
  <c r="BS53" i="5"/>
  <c r="CC53" i="5"/>
  <c r="BU19" i="5"/>
  <c r="BD64" i="5"/>
  <c r="BM64" i="5"/>
  <c r="BY64" i="5"/>
  <c r="CK64" i="5"/>
  <c r="BB247" i="5"/>
  <c r="BS247" i="5"/>
  <c r="CK247" i="5"/>
  <c r="BN256" i="5"/>
  <c r="CD256" i="5"/>
  <c r="BD3" i="5"/>
  <c r="BR3" i="5"/>
  <c r="CI3" i="5"/>
  <c r="BO19" i="5"/>
  <c r="BJ247" i="5"/>
  <c r="BV247" i="5"/>
  <c r="AV256" i="5"/>
  <c r="BC256" i="5" s="1"/>
  <c r="BH256" i="5"/>
  <c r="BW256" i="5"/>
  <c r="CF256" i="5"/>
  <c r="BV19" i="5"/>
  <c r="AY247" i="5"/>
  <c r="BK247" i="5"/>
  <c r="CA247" i="5"/>
  <c r="AZ256" i="5"/>
  <c r="BL256" i="5"/>
  <c r="BZ256" i="5"/>
  <c r="CH256" i="5"/>
  <c r="BH3" i="5"/>
  <c r="BT3" i="5"/>
  <c r="CK3" i="5"/>
  <c r="BZ55" i="5"/>
  <c r="BQ19" i="5"/>
  <c r="BC92" i="5"/>
  <c r="BE247" i="5"/>
  <c r="BQ247" i="5"/>
  <c r="CD247" i="5"/>
  <c r="BB256" i="5"/>
  <c r="BM256" i="5"/>
  <c r="BX256" i="5"/>
  <c r="CJ256" i="5"/>
  <c r="BB293" i="5"/>
  <c r="AY3" i="5"/>
  <c r="BI3" i="5"/>
  <c r="BW3" i="5"/>
  <c r="BH19" i="5"/>
  <c r="BT19" i="5"/>
  <c r="BF147" i="5"/>
  <c r="BO147" i="5"/>
  <c r="BX147" i="5"/>
  <c r="CG147" i="5"/>
  <c r="BA247" i="5"/>
  <c r="BP247" i="5" s="1"/>
  <c r="BI247" i="5"/>
  <c r="BU247" i="5"/>
  <c r="CI247" i="5"/>
  <c r="BA256" i="5"/>
  <c r="BP256" i="5" s="1"/>
  <c r="CB256" i="5" s="1"/>
  <c r="BK256" i="5"/>
  <c r="BU256" i="5"/>
  <c r="CG256" i="5"/>
  <c r="BH357" i="5"/>
  <c r="BO357" i="5"/>
  <c r="BY357" i="5"/>
  <c r="CH357" i="5"/>
  <c r="G39" i="13"/>
  <c r="AA39" i="13" s="1"/>
  <c r="BA19" i="5"/>
  <c r="BP19" i="5" s="1"/>
  <c r="BS19" i="5"/>
  <c r="BN5" i="5"/>
  <c r="BB5" i="5"/>
  <c r="AU19" i="5"/>
  <c r="BN19" i="5" s="1"/>
  <c r="BM19" i="5"/>
  <c r="CC19" i="5"/>
  <c r="I13" i="12"/>
  <c r="I39" i="13"/>
  <c r="AB39" i="13" s="1"/>
  <c r="AB45" i="13" s="1"/>
  <c r="J11" i="13"/>
  <c r="J11" i="12"/>
  <c r="BF87" i="5"/>
  <c r="BR87" i="5"/>
  <c r="CA87" i="5"/>
  <c r="BE19" i="5"/>
  <c r="BR19" i="5"/>
  <c r="CD19" i="5"/>
  <c r="BB275" i="5"/>
  <c r="G16" i="10"/>
  <c r="H16" i="10" s="1"/>
  <c r="CB7" i="5"/>
  <c r="BN1305" i="5"/>
  <c r="BZ1305" i="5" s="1"/>
  <c r="BN37" i="5"/>
  <c r="BZ37" i="5" s="1"/>
  <c r="L6" i="10"/>
  <c r="BC10" i="5"/>
  <c r="AU87" i="5"/>
  <c r="BN87" i="5" s="1"/>
  <c r="BD19" i="5"/>
  <c r="BK19" i="5"/>
  <c r="BW19" i="5"/>
  <c r="CE19" i="5"/>
  <c r="BB156" i="5"/>
  <c r="AA11" i="13"/>
  <c r="AT1341" i="5"/>
  <c r="AT1342" i="5" s="1"/>
  <c r="AS1341" i="5"/>
  <c r="AS1342" i="5" s="1"/>
  <c r="AZ19" i="5"/>
  <c r="BF19" i="5"/>
  <c r="CA19" i="5"/>
  <c r="H27" i="10"/>
  <c r="AB11" i="14"/>
  <c r="AB45" i="14" s="1"/>
  <c r="AA11" i="14"/>
  <c r="G39" i="14"/>
  <c r="BN23" i="5"/>
  <c r="BZ23" i="5" s="1"/>
  <c r="F67" i="14"/>
  <c r="H41" i="12"/>
  <c r="D7" i="10"/>
  <c r="D10" i="10" s="1"/>
  <c r="L4" i="10"/>
  <c r="F75" i="13"/>
  <c r="F80" i="13" s="1"/>
  <c r="J7" i="10"/>
  <c r="BZ69" i="5"/>
  <c r="BB83" i="5"/>
  <c r="BZ83" i="5" s="1"/>
  <c r="BO138" i="5"/>
  <c r="CB293" i="5"/>
  <c r="H13" i="12"/>
  <c r="J12" i="12"/>
  <c r="G40" i="12"/>
  <c r="J40" i="12" s="1"/>
  <c r="L40" i="12"/>
  <c r="N12" i="12"/>
  <c r="N13" i="12" s="1"/>
  <c r="H6" i="10"/>
  <c r="F13" i="12"/>
  <c r="F16" i="12" s="1"/>
  <c r="F40" i="12"/>
  <c r="F41" i="12" s="1"/>
  <c r="F43" i="12" s="1"/>
  <c r="AT1339" i="5"/>
  <c r="AT1340" i="5" s="1"/>
  <c r="AS1339" i="5"/>
  <c r="AS1340" i="5" s="1"/>
  <c r="BO202" i="5"/>
  <c r="CB28" i="5"/>
  <c r="CB330" i="5"/>
  <c r="F7" i="10"/>
  <c r="E7" i="10"/>
  <c r="H4" i="10"/>
  <c r="CB202" i="5"/>
  <c r="CB10" i="5"/>
  <c r="AB11" i="12"/>
  <c r="AB45" i="12" s="1"/>
  <c r="AA11" i="12"/>
  <c r="G39" i="12"/>
  <c r="AV1321" i="5"/>
  <c r="AU1321" i="5"/>
  <c r="J10" i="12"/>
  <c r="I38" i="12"/>
  <c r="AB10" i="12"/>
  <c r="AC10" i="12" s="1"/>
  <c r="N38" i="12"/>
  <c r="H5" i="10"/>
  <c r="CB13" i="5"/>
  <c r="CB5" i="5"/>
  <c r="F67" i="12"/>
  <c r="CB1321" i="5"/>
  <c r="CB55" i="5"/>
  <c r="CB211" i="5"/>
  <c r="CK63" i="5"/>
  <c r="CE63" i="5"/>
  <c r="CI63" i="5"/>
  <c r="CF63" i="5"/>
  <c r="CD63" i="5"/>
  <c r="CC63" i="5"/>
  <c r="CA63" i="5"/>
  <c r="BY63" i="5"/>
  <c r="BV63" i="5"/>
  <c r="BW63" i="5"/>
  <c r="BU63" i="5"/>
  <c r="BT63" i="5"/>
  <c r="BS63" i="5"/>
  <c r="BQ63" i="5"/>
  <c r="BR63" i="5"/>
  <c r="BK63" i="5"/>
  <c r="BI63" i="5"/>
  <c r="BM63" i="5"/>
  <c r="BH63" i="5"/>
  <c r="BJ63" i="5"/>
  <c r="BG63" i="5"/>
  <c r="BE63" i="5"/>
  <c r="BF63" i="5"/>
  <c r="BD63" i="5"/>
  <c r="BA63" i="5"/>
  <c r="BP63" i="5" s="1"/>
  <c r="AY63" i="5"/>
  <c r="AZ63" i="5"/>
  <c r="AU63" i="5"/>
  <c r="BN63" i="5" s="1"/>
  <c r="AV63" i="5"/>
  <c r="BO63" i="5" s="1"/>
  <c r="CK136" i="5"/>
  <c r="CJ136" i="5"/>
  <c r="CH136" i="5"/>
  <c r="CI136" i="5"/>
  <c r="CF136" i="5"/>
  <c r="CE136" i="5"/>
  <c r="CD136" i="5"/>
  <c r="CG136" i="5"/>
  <c r="CC136" i="5"/>
  <c r="CA136" i="5"/>
  <c r="BZ136" i="5"/>
  <c r="BY136" i="5"/>
  <c r="BV136" i="5"/>
  <c r="BX136" i="5"/>
  <c r="BW136" i="5"/>
  <c r="BU136" i="5"/>
  <c r="BT136" i="5"/>
  <c r="BS136" i="5"/>
  <c r="BR136" i="5"/>
  <c r="BQ136" i="5"/>
  <c r="BL136" i="5"/>
  <c r="BK136" i="5"/>
  <c r="BM136" i="5"/>
  <c r="BJ136" i="5"/>
  <c r="BH136" i="5"/>
  <c r="BI136" i="5"/>
  <c r="BG136" i="5"/>
  <c r="BF136" i="5"/>
  <c r="BE136" i="5"/>
  <c r="BD136" i="5"/>
  <c r="BA136" i="5"/>
  <c r="BP136" i="5" s="1"/>
  <c r="AZ136" i="5"/>
  <c r="AV136" i="5"/>
  <c r="BC136" i="5" s="1"/>
  <c r="AY136" i="5"/>
  <c r="AU136" i="5"/>
  <c r="BN136" i="5" s="1"/>
  <c r="CK210" i="5"/>
  <c r="CJ210" i="5"/>
  <c r="CI210" i="5"/>
  <c r="CH210" i="5"/>
  <c r="CG210" i="5"/>
  <c r="CD210" i="5"/>
  <c r="CF210" i="5"/>
  <c r="CE210" i="5"/>
  <c r="CC210" i="5"/>
  <c r="BY210" i="5"/>
  <c r="CA210" i="5"/>
  <c r="BZ210" i="5"/>
  <c r="BU210" i="5"/>
  <c r="BX210" i="5"/>
  <c r="BW210" i="5"/>
  <c r="BV210" i="5"/>
  <c r="BS210" i="5"/>
  <c r="BT210" i="5"/>
  <c r="BR210" i="5"/>
  <c r="BQ210" i="5"/>
  <c r="BM210" i="5"/>
  <c r="BL210" i="5"/>
  <c r="BK210" i="5"/>
  <c r="BJ210" i="5"/>
  <c r="BI210" i="5"/>
  <c r="BH210" i="5"/>
  <c r="BF210" i="5"/>
  <c r="BD210" i="5"/>
  <c r="BG210" i="5"/>
  <c r="BE210" i="5"/>
  <c r="BA210" i="5"/>
  <c r="BP210" i="5" s="1"/>
  <c r="AZ210" i="5"/>
  <c r="AY210" i="5"/>
  <c r="AV210" i="5"/>
  <c r="BO210" i="5" s="1"/>
  <c r="AU210" i="5"/>
  <c r="BN210" i="5" s="1"/>
  <c r="CK283" i="5"/>
  <c r="CI283" i="5"/>
  <c r="CJ283" i="5"/>
  <c r="CE283" i="5"/>
  <c r="CH283" i="5"/>
  <c r="CG283" i="5"/>
  <c r="CD283" i="5"/>
  <c r="CC283" i="5"/>
  <c r="CF283" i="5"/>
  <c r="BZ283" i="5"/>
  <c r="BX283" i="5"/>
  <c r="CA283" i="5"/>
  <c r="BY283" i="5"/>
  <c r="BW283" i="5"/>
  <c r="BV283" i="5"/>
  <c r="BU283" i="5"/>
  <c r="BS283" i="5"/>
  <c r="BT283" i="5"/>
  <c r="BR283" i="5"/>
  <c r="BQ283" i="5"/>
  <c r="BK283" i="5"/>
  <c r="BM283" i="5"/>
  <c r="BL283" i="5"/>
  <c r="BI283" i="5"/>
  <c r="BJ283" i="5"/>
  <c r="BG283" i="5"/>
  <c r="BH283" i="5"/>
  <c r="BF283" i="5"/>
  <c r="BE283" i="5"/>
  <c r="BD283" i="5"/>
  <c r="BA283" i="5"/>
  <c r="BP283" i="5" s="1"/>
  <c r="AY283" i="5"/>
  <c r="AU283" i="5"/>
  <c r="BB283" i="5" s="1"/>
  <c r="AZ283" i="5"/>
  <c r="AV283" i="5"/>
  <c r="BO283" i="5" s="1"/>
  <c r="CK356" i="5"/>
  <c r="CH356" i="5"/>
  <c r="CI356" i="5"/>
  <c r="CF356" i="5"/>
  <c r="CJ356" i="5"/>
  <c r="CE356" i="5"/>
  <c r="CC356" i="5"/>
  <c r="CG356" i="5"/>
  <c r="CD356" i="5"/>
  <c r="CA356" i="5"/>
  <c r="BZ356" i="5"/>
  <c r="BV356" i="5"/>
  <c r="BY356" i="5"/>
  <c r="BX356" i="5"/>
  <c r="BW356" i="5"/>
  <c r="BU356" i="5"/>
  <c r="BT356" i="5"/>
  <c r="BS356" i="5"/>
  <c r="BR356" i="5"/>
  <c r="BQ356" i="5"/>
  <c r="BL356" i="5"/>
  <c r="BM356" i="5"/>
  <c r="BJ356" i="5"/>
  <c r="BK356" i="5"/>
  <c r="BI356" i="5"/>
  <c r="BH356" i="5"/>
  <c r="BG356" i="5"/>
  <c r="BF356" i="5"/>
  <c r="BE356" i="5"/>
  <c r="BD356" i="5"/>
  <c r="AZ356" i="5"/>
  <c r="BA356" i="5"/>
  <c r="BP356" i="5" s="1"/>
  <c r="AY356" i="5"/>
  <c r="AU356" i="5"/>
  <c r="BN356" i="5" s="1"/>
  <c r="AV356" i="5"/>
  <c r="BO356" i="5" s="1"/>
  <c r="CK429" i="5"/>
  <c r="CG429" i="5"/>
  <c r="CJ429" i="5"/>
  <c r="CF429" i="5"/>
  <c r="CE429" i="5"/>
  <c r="CH429" i="5"/>
  <c r="CI429" i="5"/>
  <c r="CD429" i="5"/>
  <c r="CC429" i="5"/>
  <c r="CA429" i="5"/>
  <c r="BZ429" i="5"/>
  <c r="BY429" i="5"/>
  <c r="BW429" i="5"/>
  <c r="BX429" i="5"/>
  <c r="BV429" i="5"/>
  <c r="BT429" i="5"/>
  <c r="BR429" i="5"/>
  <c r="BU429" i="5"/>
  <c r="BS429" i="5"/>
  <c r="BQ429" i="5"/>
  <c r="BM429" i="5"/>
  <c r="BL429" i="5"/>
  <c r="BK429" i="5"/>
  <c r="BJ429" i="5"/>
  <c r="BI429" i="5"/>
  <c r="BG429" i="5"/>
  <c r="BH429" i="5"/>
  <c r="BF429" i="5"/>
  <c r="BE429" i="5"/>
  <c r="BD429" i="5"/>
  <c r="BA429" i="5"/>
  <c r="BP429" i="5" s="1"/>
  <c r="AZ429" i="5"/>
  <c r="AY429" i="5"/>
  <c r="AU429" i="5"/>
  <c r="BB429" i="5" s="1"/>
  <c r="AV429" i="5"/>
  <c r="BO429" i="5" s="1"/>
  <c r="CK502" i="5"/>
  <c r="CI502" i="5"/>
  <c r="CD502" i="5"/>
  <c r="CF502" i="5"/>
  <c r="CC502" i="5"/>
  <c r="CE502" i="5"/>
  <c r="BY502" i="5"/>
  <c r="CA502" i="5"/>
  <c r="BW502" i="5"/>
  <c r="BV502" i="5"/>
  <c r="BU502" i="5"/>
  <c r="BS502" i="5"/>
  <c r="BT502" i="5"/>
  <c r="BQ502" i="5"/>
  <c r="BR502" i="5"/>
  <c r="BM502" i="5"/>
  <c r="BK502" i="5"/>
  <c r="BJ502" i="5"/>
  <c r="BI502" i="5"/>
  <c r="BF502" i="5"/>
  <c r="BH502" i="5"/>
  <c r="BG502" i="5"/>
  <c r="BE502" i="5"/>
  <c r="BD502" i="5"/>
  <c r="BA502" i="5"/>
  <c r="BP502" i="5" s="1"/>
  <c r="AZ502" i="5"/>
  <c r="AY502" i="5"/>
  <c r="AV502" i="5"/>
  <c r="BC502" i="5" s="1"/>
  <c r="AU502" i="5"/>
  <c r="BN502" i="5" s="1"/>
  <c r="CJ575" i="5"/>
  <c r="CK575" i="5"/>
  <c r="CG575" i="5"/>
  <c r="CH575" i="5"/>
  <c r="CE575" i="5"/>
  <c r="CI575" i="5"/>
  <c r="CF575" i="5"/>
  <c r="CD575" i="5"/>
  <c r="CC575" i="5"/>
  <c r="BZ575" i="5"/>
  <c r="CA575" i="5"/>
  <c r="BX575" i="5"/>
  <c r="BV575" i="5"/>
  <c r="BY575" i="5"/>
  <c r="BW575" i="5"/>
  <c r="BU575" i="5"/>
  <c r="BT575" i="5"/>
  <c r="BS575" i="5"/>
  <c r="BQ575" i="5"/>
  <c r="BR575" i="5"/>
  <c r="BL575" i="5"/>
  <c r="BK575" i="5"/>
  <c r="BI575" i="5"/>
  <c r="BM575" i="5"/>
  <c r="BJ575" i="5"/>
  <c r="BG575" i="5"/>
  <c r="BE575" i="5"/>
  <c r="BH575" i="5"/>
  <c r="BF575" i="5"/>
  <c r="BD575" i="5"/>
  <c r="AY575" i="5"/>
  <c r="BA575" i="5"/>
  <c r="BP575" i="5" s="1"/>
  <c r="AZ575" i="5"/>
  <c r="AU575" i="5"/>
  <c r="BB575" i="5" s="1"/>
  <c r="AV575" i="5"/>
  <c r="BO575" i="5" s="1"/>
  <c r="CK648" i="5"/>
  <c r="CH648" i="5"/>
  <c r="CI648" i="5"/>
  <c r="CG648" i="5"/>
  <c r="CF648" i="5"/>
  <c r="CJ648" i="5"/>
  <c r="CE648" i="5"/>
  <c r="CC648" i="5"/>
  <c r="CD648" i="5"/>
  <c r="CA648" i="5"/>
  <c r="BZ648" i="5"/>
  <c r="BY648" i="5"/>
  <c r="BW648" i="5"/>
  <c r="BX648" i="5"/>
  <c r="BV648" i="5"/>
  <c r="BU648" i="5"/>
  <c r="BT648" i="5"/>
  <c r="BS648" i="5"/>
  <c r="BR648" i="5"/>
  <c r="BQ648" i="5"/>
  <c r="BL648" i="5"/>
  <c r="BK648" i="5"/>
  <c r="BM648" i="5"/>
  <c r="BJ648" i="5"/>
  <c r="BH648" i="5"/>
  <c r="BI648" i="5"/>
  <c r="BG648" i="5"/>
  <c r="BF648" i="5"/>
  <c r="BE648" i="5"/>
  <c r="BD648" i="5"/>
  <c r="AZ648" i="5"/>
  <c r="AV648" i="5"/>
  <c r="BO648" i="5" s="1"/>
  <c r="AY648" i="5"/>
  <c r="BA648" i="5"/>
  <c r="BP648" i="5" s="1"/>
  <c r="AU648" i="5"/>
  <c r="BB648" i="5" s="1"/>
  <c r="CJ722" i="5"/>
  <c r="CI722" i="5"/>
  <c r="CH722" i="5"/>
  <c r="CG722" i="5"/>
  <c r="CK722" i="5"/>
  <c r="CF722" i="5"/>
  <c r="CE722" i="5"/>
  <c r="CC722" i="5"/>
  <c r="CD722" i="5"/>
  <c r="CA722" i="5"/>
  <c r="BZ722" i="5"/>
  <c r="BY722" i="5"/>
  <c r="BX722" i="5"/>
  <c r="BU722" i="5"/>
  <c r="BW722" i="5"/>
  <c r="BV722" i="5"/>
  <c r="BS722" i="5"/>
  <c r="BT722" i="5"/>
  <c r="BR722" i="5"/>
  <c r="BQ722" i="5"/>
  <c r="BM722" i="5"/>
  <c r="BL722" i="5"/>
  <c r="BK722" i="5"/>
  <c r="BJ722" i="5"/>
  <c r="BI722" i="5"/>
  <c r="BF722" i="5"/>
  <c r="BH722" i="5"/>
  <c r="BG722" i="5"/>
  <c r="BE722" i="5"/>
  <c r="BD722" i="5"/>
  <c r="BA722" i="5"/>
  <c r="BP722" i="5" s="1"/>
  <c r="AZ722" i="5"/>
  <c r="AY722" i="5"/>
  <c r="AV722" i="5"/>
  <c r="BC722" i="5" s="1"/>
  <c r="AU722" i="5"/>
  <c r="BB722" i="5" s="1"/>
  <c r="CK795" i="5"/>
  <c r="CI795" i="5"/>
  <c r="CG795" i="5"/>
  <c r="CE795" i="5"/>
  <c r="CD795" i="5"/>
  <c r="CF795" i="5"/>
  <c r="CC795" i="5"/>
  <c r="BY795" i="5"/>
  <c r="CA795" i="5"/>
  <c r="BW795" i="5"/>
  <c r="BV795" i="5"/>
  <c r="BU795" i="5"/>
  <c r="BT795" i="5"/>
  <c r="BR795" i="5"/>
  <c r="BS795" i="5"/>
  <c r="BQ795" i="5"/>
  <c r="BM795" i="5"/>
  <c r="BI795" i="5"/>
  <c r="BJ795" i="5"/>
  <c r="BG795" i="5"/>
  <c r="BK795" i="5"/>
  <c r="BH795" i="5"/>
  <c r="BE795" i="5"/>
  <c r="BD795" i="5"/>
  <c r="BF795" i="5"/>
  <c r="AY795" i="5"/>
  <c r="AU795" i="5"/>
  <c r="BA795" i="5"/>
  <c r="AZ795" i="5"/>
  <c r="AV795" i="5"/>
  <c r="CK868" i="5"/>
  <c r="CI868" i="5"/>
  <c r="CF868" i="5"/>
  <c r="CH868" i="5"/>
  <c r="CJ868" i="5"/>
  <c r="CE868" i="5"/>
  <c r="CG868" i="5"/>
  <c r="CC868" i="5"/>
  <c r="CA868" i="5"/>
  <c r="CD868" i="5"/>
  <c r="BX868" i="5"/>
  <c r="BZ868" i="5"/>
  <c r="BY868" i="5"/>
  <c r="BW868" i="5"/>
  <c r="BU868" i="5"/>
  <c r="BV868" i="5"/>
  <c r="BT868" i="5"/>
  <c r="BR868" i="5"/>
  <c r="BQ868" i="5"/>
  <c r="BS868" i="5"/>
  <c r="BM868" i="5"/>
  <c r="BJ868" i="5"/>
  <c r="BL868" i="5"/>
  <c r="BK868" i="5"/>
  <c r="BI868" i="5"/>
  <c r="BH868" i="5"/>
  <c r="BG868" i="5"/>
  <c r="BF868" i="5"/>
  <c r="BD868" i="5"/>
  <c r="BE868" i="5"/>
  <c r="AZ868" i="5"/>
  <c r="AY868" i="5"/>
  <c r="BA868" i="5"/>
  <c r="BP868" i="5" s="1"/>
  <c r="AU868" i="5"/>
  <c r="BN868" i="5" s="1"/>
  <c r="AV868" i="5"/>
  <c r="BC868" i="5" s="1"/>
  <c r="CK941" i="5"/>
  <c r="CF941" i="5"/>
  <c r="CE941" i="5"/>
  <c r="CI941" i="5"/>
  <c r="CD941" i="5"/>
  <c r="CC941" i="5"/>
  <c r="CA941" i="5"/>
  <c r="BW941" i="5"/>
  <c r="BY941" i="5"/>
  <c r="BV941" i="5"/>
  <c r="BR941" i="5"/>
  <c r="BU941" i="5"/>
  <c r="BT941" i="5"/>
  <c r="BS941" i="5"/>
  <c r="BQ941" i="5"/>
  <c r="BM941" i="5"/>
  <c r="BK941" i="5"/>
  <c r="BJ941" i="5"/>
  <c r="BI941" i="5"/>
  <c r="BH941" i="5"/>
  <c r="BG941" i="5"/>
  <c r="BE941" i="5"/>
  <c r="BD941" i="5"/>
  <c r="BF941" i="5"/>
  <c r="BA941" i="5"/>
  <c r="BP941" i="5" s="1"/>
  <c r="AZ941" i="5"/>
  <c r="AY941" i="5"/>
  <c r="AU941" i="5"/>
  <c r="BB941" i="5" s="1"/>
  <c r="AV941" i="5"/>
  <c r="BO941" i="5" s="1"/>
  <c r="CK1014" i="5"/>
  <c r="CI1014" i="5"/>
  <c r="CF1014" i="5"/>
  <c r="CC1014" i="5"/>
  <c r="CD1014" i="5"/>
  <c r="CE1014" i="5"/>
  <c r="CA1014" i="5"/>
  <c r="BY1014" i="5"/>
  <c r="BW1014" i="5"/>
  <c r="BU1014" i="5"/>
  <c r="BV1014" i="5"/>
  <c r="BS1014" i="5"/>
  <c r="BR1014" i="5"/>
  <c r="BT1014" i="5"/>
  <c r="BQ1014" i="5"/>
  <c r="BM1014" i="5"/>
  <c r="BK1014" i="5"/>
  <c r="BI1014" i="5"/>
  <c r="BJ1014" i="5"/>
  <c r="BH1014" i="5"/>
  <c r="BG1014" i="5"/>
  <c r="BF1014" i="5"/>
  <c r="BE1014" i="5"/>
  <c r="BD1014" i="5"/>
  <c r="BA1014" i="5"/>
  <c r="BP1014" i="5" s="1"/>
  <c r="AZ1014" i="5"/>
  <c r="AY1014" i="5"/>
  <c r="AV1014" i="5"/>
  <c r="BC1014" i="5" s="1"/>
  <c r="AU1014" i="5"/>
  <c r="BN1014" i="5" s="1"/>
  <c r="CK1087" i="5"/>
  <c r="CJ1087" i="5"/>
  <c r="CE1087" i="5"/>
  <c r="CG1087" i="5"/>
  <c r="CI1087" i="5"/>
  <c r="CH1087" i="5"/>
  <c r="CF1087" i="5"/>
  <c r="CD1087" i="5"/>
  <c r="BZ1087" i="5"/>
  <c r="CC1087" i="5"/>
  <c r="BY1087" i="5"/>
  <c r="CA1087" i="5"/>
  <c r="BV1087" i="5"/>
  <c r="BX1087" i="5"/>
  <c r="BW1087" i="5"/>
  <c r="BU1087" i="5"/>
  <c r="BT1087" i="5"/>
  <c r="BS1087" i="5"/>
  <c r="BR1087" i="5"/>
  <c r="BQ1087" i="5"/>
  <c r="BL1087" i="5"/>
  <c r="BM1087" i="5"/>
  <c r="BI1087" i="5"/>
  <c r="BK1087" i="5"/>
  <c r="BJ1087" i="5"/>
  <c r="BG1087" i="5"/>
  <c r="BE1087" i="5"/>
  <c r="BH1087" i="5"/>
  <c r="BF1087" i="5"/>
  <c r="BD1087" i="5"/>
  <c r="AY1087" i="5"/>
  <c r="BA1087" i="5"/>
  <c r="BP1087" i="5" s="1"/>
  <c r="AZ1087" i="5"/>
  <c r="AU1087" i="5"/>
  <c r="BB1087" i="5" s="1"/>
  <c r="AV1087" i="5"/>
  <c r="BC1087" i="5" s="1"/>
  <c r="CK1160" i="5"/>
  <c r="CI1160" i="5"/>
  <c r="CF1160" i="5"/>
  <c r="CE1160" i="5"/>
  <c r="CD1160" i="5"/>
  <c r="CC1160" i="5"/>
  <c r="CA1160" i="5"/>
  <c r="BY1160" i="5"/>
  <c r="BW1160" i="5"/>
  <c r="BU1160" i="5"/>
  <c r="BV1160" i="5"/>
  <c r="BT1160" i="5"/>
  <c r="BS1160" i="5"/>
  <c r="BR1160" i="5"/>
  <c r="BQ1160" i="5"/>
  <c r="BM1160" i="5"/>
  <c r="BJ1160" i="5"/>
  <c r="BH1160" i="5"/>
  <c r="BK1160" i="5"/>
  <c r="BI1160" i="5"/>
  <c r="BG1160" i="5"/>
  <c r="BF1160" i="5"/>
  <c r="BE1160" i="5"/>
  <c r="BD1160" i="5"/>
  <c r="AZ1160" i="5"/>
  <c r="AV1160" i="5"/>
  <c r="BO1160" i="5" s="1"/>
  <c r="AY1160" i="5"/>
  <c r="BA1160" i="5"/>
  <c r="BP1160" i="5" s="1"/>
  <c r="AU1160" i="5"/>
  <c r="BN1160" i="5" s="1"/>
  <c r="CK1234" i="5"/>
  <c r="CI1234" i="5"/>
  <c r="CF1234" i="5"/>
  <c r="CE1234" i="5"/>
  <c r="CC1234" i="5"/>
  <c r="CD1234" i="5"/>
  <c r="CA1234" i="5"/>
  <c r="BY1234" i="5"/>
  <c r="BW1234" i="5"/>
  <c r="BU1234" i="5"/>
  <c r="BS1234" i="5"/>
  <c r="BV1234" i="5"/>
  <c r="BT1234" i="5"/>
  <c r="BR1234" i="5"/>
  <c r="BQ1234" i="5"/>
  <c r="BM1234" i="5"/>
  <c r="BI1234" i="5"/>
  <c r="BK1234" i="5"/>
  <c r="BJ1234" i="5"/>
  <c r="BH1234" i="5"/>
  <c r="BG1234" i="5"/>
  <c r="BF1234" i="5"/>
  <c r="BE1234" i="5"/>
  <c r="BD1234" i="5"/>
  <c r="BA1234" i="5"/>
  <c r="BP1234" i="5" s="1"/>
  <c r="AZ1234" i="5"/>
  <c r="AY1234" i="5"/>
  <c r="AU1234" i="5"/>
  <c r="BB1234" i="5" s="1"/>
  <c r="AV1234" i="5"/>
  <c r="BO1234" i="5" s="1"/>
  <c r="CK1306" i="5"/>
  <c r="CI1306" i="5"/>
  <c r="CC1306" i="5"/>
  <c r="CE1306" i="5"/>
  <c r="CD1306" i="5"/>
  <c r="CF1306" i="5"/>
  <c r="CA1306" i="5"/>
  <c r="BY1306" i="5"/>
  <c r="BW1306" i="5"/>
  <c r="BV1306" i="5"/>
  <c r="BU1306" i="5"/>
  <c r="BS1306" i="5"/>
  <c r="BT1306" i="5"/>
  <c r="BR1306" i="5"/>
  <c r="BQ1306" i="5"/>
  <c r="BM1306" i="5"/>
  <c r="BI1306" i="5"/>
  <c r="BK1306" i="5"/>
  <c r="BJ1306" i="5"/>
  <c r="BH1306" i="5"/>
  <c r="BG1306" i="5"/>
  <c r="BF1306" i="5"/>
  <c r="BE1306" i="5"/>
  <c r="BD1306" i="5"/>
  <c r="BA1306" i="5"/>
  <c r="BP1306" i="5" s="1"/>
  <c r="AZ1306" i="5"/>
  <c r="AY1306" i="5"/>
  <c r="AU1306" i="5"/>
  <c r="BN1306" i="5" s="1"/>
  <c r="AV1306" i="5"/>
  <c r="BC1306" i="5" s="1"/>
  <c r="CK148" i="5"/>
  <c r="CH148" i="5"/>
  <c r="CJ148" i="5"/>
  <c r="CF148" i="5"/>
  <c r="CI148" i="5"/>
  <c r="CG148" i="5"/>
  <c r="CC148" i="5"/>
  <c r="CD148" i="5"/>
  <c r="CE148" i="5"/>
  <c r="CA148" i="5"/>
  <c r="BZ148" i="5"/>
  <c r="BV148" i="5"/>
  <c r="BY148" i="5"/>
  <c r="BX148" i="5"/>
  <c r="BW148" i="5"/>
  <c r="BU148" i="5"/>
  <c r="BT148" i="5"/>
  <c r="BS148" i="5"/>
  <c r="BQ148" i="5"/>
  <c r="BR148" i="5"/>
  <c r="BL148" i="5"/>
  <c r="BK148" i="5"/>
  <c r="BJ148" i="5"/>
  <c r="BM148" i="5"/>
  <c r="BI148" i="5"/>
  <c r="BH148" i="5"/>
  <c r="BF148" i="5"/>
  <c r="BG148" i="5"/>
  <c r="BE148" i="5"/>
  <c r="BD148" i="5"/>
  <c r="AZ148" i="5"/>
  <c r="BA148" i="5"/>
  <c r="BP148" i="5" s="1"/>
  <c r="AY148" i="5"/>
  <c r="AV148" i="5"/>
  <c r="BC148" i="5" s="1"/>
  <c r="AU148" i="5"/>
  <c r="BN148" i="5" s="1"/>
  <c r="CI294" i="5"/>
  <c r="CD294" i="5"/>
  <c r="CK294" i="5"/>
  <c r="CF294" i="5"/>
  <c r="CC294" i="5"/>
  <c r="CE294" i="5"/>
  <c r="BY294" i="5"/>
  <c r="CA294" i="5"/>
  <c r="BW294" i="5"/>
  <c r="BV294" i="5"/>
  <c r="BU294" i="5"/>
  <c r="BS294" i="5"/>
  <c r="BT294" i="5"/>
  <c r="BR294" i="5"/>
  <c r="BQ294" i="5"/>
  <c r="BM294" i="5"/>
  <c r="BK294" i="5"/>
  <c r="BJ294" i="5"/>
  <c r="BI294" i="5"/>
  <c r="BG294" i="5"/>
  <c r="BF294" i="5"/>
  <c r="BH294" i="5"/>
  <c r="BD294" i="5"/>
  <c r="BE294" i="5"/>
  <c r="BA294" i="5"/>
  <c r="BP294" i="5" s="1"/>
  <c r="AV294" i="5"/>
  <c r="BO294" i="5" s="1"/>
  <c r="AZ294" i="5"/>
  <c r="AY294" i="5"/>
  <c r="AU294" i="5"/>
  <c r="BN294" i="5" s="1"/>
  <c r="CF440" i="5"/>
  <c r="CK440" i="5"/>
  <c r="CE440" i="5"/>
  <c r="CI440" i="5"/>
  <c r="CC440" i="5"/>
  <c r="CD440" i="5"/>
  <c r="CA440" i="5"/>
  <c r="BY440" i="5"/>
  <c r="BV440" i="5"/>
  <c r="BW440" i="5"/>
  <c r="BU440" i="5"/>
  <c r="BT440" i="5"/>
  <c r="BS440" i="5"/>
  <c r="BR440" i="5"/>
  <c r="BQ440" i="5"/>
  <c r="BM440" i="5"/>
  <c r="BK440" i="5"/>
  <c r="BJ440" i="5"/>
  <c r="BI440" i="5"/>
  <c r="BH440" i="5"/>
  <c r="BG440" i="5"/>
  <c r="BF440" i="5"/>
  <c r="BE440" i="5"/>
  <c r="BD440" i="5"/>
  <c r="BA440" i="5"/>
  <c r="BP440" i="5" s="1"/>
  <c r="AZ440" i="5"/>
  <c r="AV440" i="5"/>
  <c r="BC440" i="5" s="1"/>
  <c r="AY440" i="5"/>
  <c r="AU440" i="5"/>
  <c r="BB440" i="5" s="1"/>
  <c r="CJ514" i="5"/>
  <c r="CI514" i="5"/>
  <c r="CK514" i="5"/>
  <c r="CH514" i="5"/>
  <c r="CG514" i="5"/>
  <c r="CF514" i="5"/>
  <c r="CE514" i="5"/>
  <c r="CD514" i="5"/>
  <c r="CC514" i="5"/>
  <c r="BY514" i="5"/>
  <c r="CA514" i="5"/>
  <c r="BZ514" i="5"/>
  <c r="BU514" i="5"/>
  <c r="BX514" i="5"/>
  <c r="BV514" i="5"/>
  <c r="BW514" i="5"/>
  <c r="BS514" i="5"/>
  <c r="BT514" i="5"/>
  <c r="BQ514" i="5"/>
  <c r="BR514" i="5"/>
  <c r="BM514" i="5"/>
  <c r="BL514" i="5"/>
  <c r="BK514" i="5"/>
  <c r="BJ514" i="5"/>
  <c r="BI514" i="5"/>
  <c r="BH514" i="5"/>
  <c r="BG514" i="5"/>
  <c r="BF514" i="5"/>
  <c r="BD514" i="5"/>
  <c r="BE514" i="5"/>
  <c r="BA514" i="5"/>
  <c r="BP514" i="5" s="1"/>
  <c r="AZ514" i="5"/>
  <c r="AY514" i="5"/>
  <c r="AV514" i="5"/>
  <c r="BC514" i="5" s="1"/>
  <c r="AU514" i="5"/>
  <c r="BN514" i="5" s="1"/>
  <c r="CK660" i="5"/>
  <c r="CH660" i="5"/>
  <c r="CJ660" i="5"/>
  <c r="CF660" i="5"/>
  <c r="CI660" i="5"/>
  <c r="CC660" i="5"/>
  <c r="CG660" i="5"/>
  <c r="CE660" i="5"/>
  <c r="CD660" i="5"/>
  <c r="CA660" i="5"/>
  <c r="BZ660" i="5"/>
  <c r="BY660" i="5"/>
  <c r="BX660" i="5"/>
  <c r="BW660" i="5"/>
  <c r="BU660" i="5"/>
  <c r="BV660" i="5"/>
  <c r="BT660" i="5"/>
  <c r="BS660" i="5"/>
  <c r="BQ660" i="5"/>
  <c r="BR660" i="5"/>
  <c r="BL660" i="5"/>
  <c r="BJ660" i="5"/>
  <c r="BK660" i="5"/>
  <c r="BM660" i="5"/>
  <c r="BI660" i="5"/>
  <c r="BH660" i="5"/>
  <c r="BF660" i="5"/>
  <c r="BG660" i="5"/>
  <c r="BE660" i="5"/>
  <c r="BD660" i="5"/>
  <c r="AZ660" i="5"/>
  <c r="BA660" i="5"/>
  <c r="BP660" i="5" s="1"/>
  <c r="AY660" i="5"/>
  <c r="AV660" i="5"/>
  <c r="BC660" i="5" s="1"/>
  <c r="AU660" i="5"/>
  <c r="BB660" i="5" s="1"/>
  <c r="CI806" i="5"/>
  <c r="CK806" i="5"/>
  <c r="CF806" i="5"/>
  <c r="CD806" i="5"/>
  <c r="CC806" i="5"/>
  <c r="CE806" i="5"/>
  <c r="CA806" i="5"/>
  <c r="BW806" i="5"/>
  <c r="BY806" i="5"/>
  <c r="BU806" i="5"/>
  <c r="BV806" i="5"/>
  <c r="BS806" i="5"/>
  <c r="BT806" i="5"/>
  <c r="BR806" i="5"/>
  <c r="BQ806" i="5"/>
  <c r="BM806" i="5"/>
  <c r="BK806" i="5"/>
  <c r="BJ806" i="5"/>
  <c r="BI806" i="5"/>
  <c r="BH806" i="5"/>
  <c r="BG806" i="5"/>
  <c r="BF806" i="5"/>
  <c r="BD806" i="5"/>
  <c r="BE806" i="5"/>
  <c r="AV806" i="5"/>
  <c r="BO806" i="5" s="1"/>
  <c r="BA806" i="5"/>
  <c r="BP806" i="5" s="1"/>
  <c r="AZ806" i="5"/>
  <c r="AY806" i="5"/>
  <c r="AU806" i="5"/>
  <c r="BN806" i="5" s="1"/>
  <c r="CJ952" i="5"/>
  <c r="CK952" i="5"/>
  <c r="CH952" i="5"/>
  <c r="CF952" i="5"/>
  <c r="CE952" i="5"/>
  <c r="CI952" i="5"/>
  <c r="CG952" i="5"/>
  <c r="CD952" i="5"/>
  <c r="CC952" i="5"/>
  <c r="CA952" i="5"/>
  <c r="BZ952" i="5"/>
  <c r="BY952" i="5"/>
  <c r="BX952" i="5"/>
  <c r="BW952" i="5"/>
  <c r="BU952" i="5"/>
  <c r="BV952" i="5"/>
  <c r="BT952" i="5"/>
  <c r="BS952" i="5"/>
  <c r="BR952" i="5"/>
  <c r="BQ952" i="5"/>
  <c r="BM952" i="5"/>
  <c r="BK952" i="5"/>
  <c r="BL952" i="5"/>
  <c r="BJ952" i="5"/>
  <c r="BI952" i="5"/>
  <c r="BH952" i="5"/>
  <c r="BG952" i="5"/>
  <c r="BF952" i="5"/>
  <c r="BE952" i="5"/>
  <c r="BD952" i="5"/>
  <c r="AZ952" i="5"/>
  <c r="AV952" i="5"/>
  <c r="BC952" i="5" s="1"/>
  <c r="AY952" i="5"/>
  <c r="BA952" i="5"/>
  <c r="BP952" i="5" s="1"/>
  <c r="AU952" i="5"/>
  <c r="BN952" i="5" s="1"/>
  <c r="CK1099" i="5"/>
  <c r="CI1099" i="5"/>
  <c r="CE1099" i="5"/>
  <c r="CF1099" i="5"/>
  <c r="CD1099" i="5"/>
  <c r="CC1099" i="5"/>
  <c r="BY1099" i="5"/>
  <c r="CA1099" i="5"/>
  <c r="BW1099" i="5"/>
  <c r="BV1099" i="5"/>
  <c r="BU1099" i="5"/>
  <c r="BT1099" i="5"/>
  <c r="BR1099" i="5"/>
  <c r="BQ1099" i="5"/>
  <c r="BS1099" i="5"/>
  <c r="BM1099" i="5"/>
  <c r="BI1099" i="5"/>
  <c r="BG1099" i="5"/>
  <c r="BK1099" i="5"/>
  <c r="BJ1099" i="5"/>
  <c r="BH1099" i="5"/>
  <c r="BE1099" i="5"/>
  <c r="BD1099" i="5"/>
  <c r="BF1099" i="5"/>
  <c r="AY1099" i="5"/>
  <c r="BA1099" i="5"/>
  <c r="BP1099" i="5" s="1"/>
  <c r="AZ1099" i="5"/>
  <c r="AU1099" i="5"/>
  <c r="BB1099" i="5" s="1"/>
  <c r="AV1099" i="5"/>
  <c r="BO1099" i="5" s="1"/>
  <c r="CK1316" i="5"/>
  <c r="CI1316" i="5"/>
  <c r="CG1316" i="5"/>
  <c r="CF1316" i="5"/>
  <c r="CJ1316" i="5"/>
  <c r="CE1316" i="5"/>
  <c r="CH1316" i="5"/>
  <c r="CD1316" i="5"/>
  <c r="CA1316" i="5"/>
  <c r="CC1316" i="5"/>
  <c r="BZ1316" i="5"/>
  <c r="BY1316" i="5"/>
  <c r="BW1316" i="5"/>
  <c r="BX1316" i="5"/>
  <c r="BV1316" i="5"/>
  <c r="BU1316" i="5"/>
  <c r="BT1316" i="5"/>
  <c r="BS1316" i="5"/>
  <c r="BR1316" i="5"/>
  <c r="BQ1316" i="5"/>
  <c r="BM1316" i="5"/>
  <c r="BJ1316" i="5"/>
  <c r="BL1316" i="5"/>
  <c r="BK1316" i="5"/>
  <c r="BI1316" i="5"/>
  <c r="BH1316" i="5"/>
  <c r="BG1316" i="5"/>
  <c r="BF1316" i="5"/>
  <c r="BD1316" i="5"/>
  <c r="BE1316" i="5"/>
  <c r="AZ1316" i="5"/>
  <c r="AY1316" i="5"/>
  <c r="BA1316" i="5"/>
  <c r="BP1316" i="5" s="1"/>
  <c r="AV1316" i="5"/>
  <c r="BO1316" i="5" s="1"/>
  <c r="AU1316" i="5"/>
  <c r="BN1316" i="5" s="1"/>
  <c r="CK85" i="5"/>
  <c r="CJ85" i="5"/>
  <c r="CI85" i="5"/>
  <c r="CH85" i="5"/>
  <c r="CG85" i="5"/>
  <c r="CE85" i="5"/>
  <c r="CF85" i="5"/>
  <c r="CD85" i="5"/>
  <c r="CC85" i="5"/>
  <c r="CA85" i="5"/>
  <c r="BW85" i="5"/>
  <c r="BZ85" i="5"/>
  <c r="BY85" i="5"/>
  <c r="BX85" i="5"/>
  <c r="BV85" i="5"/>
  <c r="BT85" i="5"/>
  <c r="BU85" i="5"/>
  <c r="BR85" i="5"/>
  <c r="BS85" i="5"/>
  <c r="BQ85" i="5"/>
  <c r="BM85" i="5"/>
  <c r="BL85" i="5"/>
  <c r="BK85" i="5"/>
  <c r="BH85" i="5"/>
  <c r="BJ85" i="5"/>
  <c r="BI85" i="5"/>
  <c r="BF85" i="5"/>
  <c r="BG85" i="5"/>
  <c r="BE85" i="5"/>
  <c r="BD85" i="5"/>
  <c r="BA85" i="5"/>
  <c r="BP85" i="5" s="1"/>
  <c r="AZ85" i="5"/>
  <c r="AY85" i="5"/>
  <c r="AV85" i="5"/>
  <c r="BO85" i="5" s="1"/>
  <c r="AU85" i="5"/>
  <c r="BN85" i="5" s="1"/>
  <c r="CK231" i="5"/>
  <c r="CE231" i="5"/>
  <c r="CJ231" i="5"/>
  <c r="CF231" i="5"/>
  <c r="CH231" i="5"/>
  <c r="CI231" i="5"/>
  <c r="CD231" i="5"/>
  <c r="CG231" i="5"/>
  <c r="CC231" i="5"/>
  <c r="BZ231" i="5"/>
  <c r="CA231" i="5"/>
  <c r="BX231" i="5"/>
  <c r="BY231" i="5"/>
  <c r="BV231" i="5"/>
  <c r="BW231" i="5"/>
  <c r="BU231" i="5"/>
  <c r="BT231" i="5"/>
  <c r="BS231" i="5"/>
  <c r="BR231" i="5"/>
  <c r="BQ231" i="5"/>
  <c r="BK231" i="5"/>
  <c r="BI231" i="5"/>
  <c r="BM231" i="5"/>
  <c r="BL231" i="5"/>
  <c r="BH231" i="5"/>
  <c r="BJ231" i="5"/>
  <c r="BG231" i="5"/>
  <c r="BE231" i="5"/>
  <c r="BF231" i="5"/>
  <c r="BD231" i="5"/>
  <c r="BA231" i="5"/>
  <c r="BP231" i="5" s="1"/>
  <c r="AY231" i="5"/>
  <c r="AZ231" i="5"/>
  <c r="AU231" i="5"/>
  <c r="BB231" i="5" s="1"/>
  <c r="AV231" i="5"/>
  <c r="BO231" i="5" s="1"/>
  <c r="CI378" i="5"/>
  <c r="CJ378" i="5"/>
  <c r="CH378" i="5"/>
  <c r="CK378" i="5"/>
  <c r="CD378" i="5"/>
  <c r="CG378" i="5"/>
  <c r="CF378" i="5"/>
  <c r="CE378" i="5"/>
  <c r="BY378" i="5"/>
  <c r="CC378" i="5"/>
  <c r="BX378" i="5"/>
  <c r="CA378" i="5"/>
  <c r="BU378" i="5"/>
  <c r="BZ378" i="5"/>
  <c r="BW378" i="5"/>
  <c r="BV378" i="5"/>
  <c r="BS378" i="5"/>
  <c r="BT378" i="5"/>
  <c r="BQ378" i="5"/>
  <c r="BR378" i="5"/>
  <c r="BM378" i="5"/>
  <c r="BL378" i="5"/>
  <c r="BK378" i="5"/>
  <c r="BJ378" i="5"/>
  <c r="BI378" i="5"/>
  <c r="BH378" i="5"/>
  <c r="BF378" i="5"/>
  <c r="BG378" i="5"/>
  <c r="BD378" i="5"/>
  <c r="BE378" i="5"/>
  <c r="BA378" i="5"/>
  <c r="BP378" i="5" s="1"/>
  <c r="AZ378" i="5"/>
  <c r="AY378" i="5"/>
  <c r="AU378" i="5"/>
  <c r="BN378" i="5" s="1"/>
  <c r="AV378" i="5"/>
  <c r="BO378" i="5" s="1"/>
  <c r="CK524" i="5"/>
  <c r="CH524" i="5"/>
  <c r="CF524" i="5"/>
  <c r="CJ524" i="5"/>
  <c r="CG524" i="5"/>
  <c r="CI524" i="5"/>
  <c r="CC524" i="5"/>
  <c r="CE524" i="5"/>
  <c r="CD524" i="5"/>
  <c r="CA524" i="5"/>
  <c r="BX524" i="5"/>
  <c r="BZ524" i="5"/>
  <c r="BY524" i="5"/>
  <c r="BW524" i="5"/>
  <c r="BU524" i="5"/>
  <c r="BV524" i="5"/>
  <c r="BT524" i="5"/>
  <c r="BS524" i="5"/>
  <c r="BR524" i="5"/>
  <c r="BQ524" i="5"/>
  <c r="BM524" i="5"/>
  <c r="BL524" i="5"/>
  <c r="BJ524" i="5"/>
  <c r="BK524" i="5"/>
  <c r="BI524" i="5"/>
  <c r="BH524" i="5"/>
  <c r="BF524" i="5"/>
  <c r="BG524" i="5"/>
  <c r="BE524" i="5"/>
  <c r="BD524" i="5"/>
  <c r="AZ524" i="5"/>
  <c r="BA524" i="5"/>
  <c r="BP524" i="5" s="1"/>
  <c r="AY524" i="5"/>
  <c r="AV524" i="5"/>
  <c r="BO524" i="5" s="1"/>
  <c r="AU524" i="5"/>
  <c r="BN524" i="5" s="1"/>
  <c r="CK670" i="5"/>
  <c r="CJ670" i="5"/>
  <c r="CI670" i="5"/>
  <c r="CH670" i="5"/>
  <c r="CF670" i="5"/>
  <c r="CG670" i="5"/>
  <c r="CE670" i="5"/>
  <c r="CD670" i="5"/>
  <c r="CC670" i="5"/>
  <c r="CA670" i="5"/>
  <c r="BY670" i="5"/>
  <c r="BX670" i="5"/>
  <c r="BZ670" i="5"/>
  <c r="BU670" i="5"/>
  <c r="BW670" i="5"/>
  <c r="BV670" i="5"/>
  <c r="BS670" i="5"/>
  <c r="BR670" i="5"/>
  <c r="BT670" i="5"/>
  <c r="BQ670" i="5"/>
  <c r="BM670" i="5"/>
  <c r="BL670" i="5"/>
  <c r="BK670" i="5"/>
  <c r="BJ670" i="5"/>
  <c r="BI670" i="5"/>
  <c r="BH670" i="5"/>
  <c r="BG670" i="5"/>
  <c r="BF670" i="5"/>
  <c r="BE670" i="5"/>
  <c r="BD670" i="5"/>
  <c r="AV670" i="5"/>
  <c r="BC670" i="5" s="1"/>
  <c r="BA670" i="5"/>
  <c r="BP670" i="5" s="1"/>
  <c r="AZ670" i="5"/>
  <c r="AY670" i="5"/>
  <c r="AU670" i="5"/>
  <c r="BN670" i="5" s="1"/>
  <c r="CI816" i="5"/>
  <c r="CF816" i="5"/>
  <c r="CK816" i="5"/>
  <c r="CD816" i="5"/>
  <c r="CE816" i="5"/>
  <c r="CC816" i="5"/>
  <c r="CA816" i="5"/>
  <c r="BY816" i="5"/>
  <c r="BW816" i="5"/>
  <c r="BV816" i="5"/>
  <c r="BU816" i="5"/>
  <c r="BT816" i="5"/>
  <c r="BS816" i="5"/>
  <c r="BQ816" i="5"/>
  <c r="BR816" i="5"/>
  <c r="BK816" i="5"/>
  <c r="BM816" i="5"/>
  <c r="BJ816" i="5"/>
  <c r="BI816" i="5"/>
  <c r="BH816" i="5"/>
  <c r="BG816" i="5"/>
  <c r="BF816" i="5"/>
  <c r="BE816" i="5"/>
  <c r="BD816" i="5"/>
  <c r="AZ816" i="5"/>
  <c r="AV816" i="5"/>
  <c r="BC816" i="5" s="1"/>
  <c r="AY816" i="5"/>
  <c r="BA816" i="5"/>
  <c r="BP816" i="5" s="1"/>
  <c r="AU816" i="5"/>
  <c r="BN816" i="5" s="1"/>
  <c r="CE963" i="5"/>
  <c r="CK963" i="5"/>
  <c r="CI963" i="5"/>
  <c r="CF963" i="5"/>
  <c r="CD963" i="5"/>
  <c r="BY963" i="5"/>
  <c r="CC963" i="5"/>
  <c r="CA963" i="5"/>
  <c r="BV963" i="5"/>
  <c r="BW963" i="5"/>
  <c r="BU963" i="5"/>
  <c r="BT963" i="5"/>
  <c r="BS963" i="5"/>
  <c r="BR963" i="5"/>
  <c r="BQ963" i="5"/>
  <c r="BM963" i="5"/>
  <c r="BK963" i="5"/>
  <c r="BJ963" i="5"/>
  <c r="BI963" i="5"/>
  <c r="BG963" i="5"/>
  <c r="BH963" i="5"/>
  <c r="BE963" i="5"/>
  <c r="BD963" i="5"/>
  <c r="BF963" i="5"/>
  <c r="AY963" i="5"/>
  <c r="BA963" i="5"/>
  <c r="BP963" i="5" s="1"/>
  <c r="AZ963" i="5"/>
  <c r="AU963" i="5"/>
  <c r="BN963" i="5" s="1"/>
  <c r="AV963" i="5"/>
  <c r="BO963" i="5" s="1"/>
  <c r="CI1109" i="5"/>
  <c r="CD1109" i="5"/>
  <c r="CE1109" i="5"/>
  <c r="CK1109" i="5"/>
  <c r="CF1109" i="5"/>
  <c r="CC1109" i="5"/>
  <c r="CA1109" i="5"/>
  <c r="BW1109" i="5"/>
  <c r="BY1109" i="5"/>
  <c r="BV1109" i="5"/>
  <c r="BU1109" i="5"/>
  <c r="BT1109" i="5"/>
  <c r="BQ1109" i="5"/>
  <c r="BR1109" i="5"/>
  <c r="BS1109" i="5"/>
  <c r="BM1109" i="5"/>
  <c r="BK1109" i="5"/>
  <c r="BI1109" i="5"/>
  <c r="BJ1109" i="5"/>
  <c r="BH1109" i="5"/>
  <c r="BG1109" i="5"/>
  <c r="BF1109" i="5"/>
  <c r="BE1109" i="5"/>
  <c r="BD1109" i="5"/>
  <c r="BA1109" i="5"/>
  <c r="BP1109" i="5" s="1"/>
  <c r="AZ1109" i="5"/>
  <c r="AY1109" i="5"/>
  <c r="AV1109" i="5"/>
  <c r="BC1109" i="5" s="1"/>
  <c r="AU1109" i="5"/>
  <c r="BN1109" i="5" s="1"/>
  <c r="CE1255" i="5"/>
  <c r="CK1255" i="5"/>
  <c r="CF1255" i="5"/>
  <c r="CI1255" i="5"/>
  <c r="CC1255" i="5"/>
  <c r="CD1255" i="5"/>
  <c r="CA1255" i="5"/>
  <c r="BY1255" i="5"/>
  <c r="BV1255" i="5"/>
  <c r="BW1255" i="5"/>
  <c r="BU1255" i="5"/>
  <c r="BT1255" i="5"/>
  <c r="BR1255" i="5"/>
  <c r="BQ1255" i="5"/>
  <c r="BS1255" i="5"/>
  <c r="BM1255" i="5"/>
  <c r="BK1255" i="5"/>
  <c r="BJ1255" i="5"/>
  <c r="BI1255" i="5"/>
  <c r="BG1255" i="5"/>
  <c r="BE1255" i="5"/>
  <c r="BH1255" i="5"/>
  <c r="BF1255" i="5"/>
  <c r="AY1255" i="5"/>
  <c r="BD1255" i="5"/>
  <c r="BA1255" i="5"/>
  <c r="BP1255" i="5" s="1"/>
  <c r="AZ1255" i="5"/>
  <c r="AV1255" i="5"/>
  <c r="BO1255" i="5" s="1"/>
  <c r="AU1255" i="5"/>
  <c r="BN1255" i="5" s="1"/>
  <c r="CK141" i="5"/>
  <c r="CI141" i="5"/>
  <c r="CH141" i="5"/>
  <c r="CF141" i="5"/>
  <c r="CE141" i="5"/>
  <c r="CD141" i="5"/>
  <c r="CJ141" i="5"/>
  <c r="CG141" i="5"/>
  <c r="CC141" i="5"/>
  <c r="CA141" i="5"/>
  <c r="BZ141" i="5"/>
  <c r="BY141" i="5"/>
  <c r="BX141" i="5"/>
  <c r="BW141" i="5"/>
  <c r="BV141" i="5"/>
  <c r="BT141" i="5"/>
  <c r="BR141" i="5"/>
  <c r="BU141" i="5"/>
  <c r="BS141" i="5"/>
  <c r="BQ141" i="5"/>
  <c r="BM141" i="5"/>
  <c r="BK141" i="5"/>
  <c r="BL141" i="5"/>
  <c r="BJ141" i="5"/>
  <c r="BI141" i="5"/>
  <c r="BH141" i="5"/>
  <c r="BG141" i="5"/>
  <c r="BF141" i="5"/>
  <c r="BE141" i="5"/>
  <c r="BD141" i="5"/>
  <c r="BA141" i="5"/>
  <c r="AZ141" i="5"/>
  <c r="AY141" i="5"/>
  <c r="AV141" i="5"/>
  <c r="AU141" i="5"/>
  <c r="CE287" i="5"/>
  <c r="CK287" i="5"/>
  <c r="CF287" i="5"/>
  <c r="CI287" i="5"/>
  <c r="CD287" i="5"/>
  <c r="CC287" i="5"/>
  <c r="CA287" i="5"/>
  <c r="BY287" i="5"/>
  <c r="BV287" i="5"/>
  <c r="BW287" i="5"/>
  <c r="BT287" i="5"/>
  <c r="BU287" i="5"/>
  <c r="BS287" i="5"/>
  <c r="BQ287" i="5"/>
  <c r="BR287" i="5"/>
  <c r="BK287" i="5"/>
  <c r="BI287" i="5"/>
  <c r="BM287" i="5"/>
  <c r="BH287" i="5"/>
  <c r="BJ287" i="5"/>
  <c r="BG287" i="5"/>
  <c r="BE287" i="5"/>
  <c r="BF287" i="5"/>
  <c r="BD287" i="5"/>
  <c r="BA287" i="5"/>
  <c r="BP287" i="5" s="1"/>
  <c r="AY287" i="5"/>
  <c r="AZ287" i="5"/>
  <c r="AV287" i="5"/>
  <c r="BC287" i="5" s="1"/>
  <c r="AU287" i="5"/>
  <c r="BB287" i="5" s="1"/>
  <c r="CF360" i="5"/>
  <c r="CK360" i="5"/>
  <c r="CE360" i="5"/>
  <c r="CD360" i="5"/>
  <c r="CC360" i="5"/>
  <c r="CI360" i="5"/>
  <c r="CA360" i="5"/>
  <c r="BY360" i="5"/>
  <c r="BV360" i="5"/>
  <c r="BW360" i="5"/>
  <c r="BU360" i="5"/>
  <c r="BT360" i="5"/>
  <c r="BS360" i="5"/>
  <c r="BR360" i="5"/>
  <c r="BQ360" i="5"/>
  <c r="BK360" i="5"/>
  <c r="BM360" i="5"/>
  <c r="BJ360" i="5"/>
  <c r="BH360" i="5"/>
  <c r="BI360" i="5"/>
  <c r="BG360" i="5"/>
  <c r="BF360" i="5"/>
  <c r="BE360" i="5"/>
  <c r="BD360" i="5"/>
  <c r="BA360" i="5"/>
  <c r="BP360" i="5" s="1"/>
  <c r="AZ360" i="5"/>
  <c r="AV360" i="5"/>
  <c r="BC360" i="5" s="1"/>
  <c r="AY360" i="5"/>
  <c r="AU360" i="5"/>
  <c r="BB360" i="5" s="1"/>
  <c r="CK434" i="5"/>
  <c r="CI434" i="5"/>
  <c r="CD434" i="5"/>
  <c r="CF434" i="5"/>
  <c r="CE434" i="5"/>
  <c r="CC434" i="5"/>
  <c r="BY434" i="5"/>
  <c r="CA434" i="5"/>
  <c r="BU434" i="5"/>
  <c r="BV434" i="5"/>
  <c r="BW434" i="5"/>
  <c r="BS434" i="5"/>
  <c r="BT434" i="5"/>
  <c r="BQ434" i="5"/>
  <c r="BR434" i="5"/>
  <c r="BM434" i="5"/>
  <c r="BK434" i="5"/>
  <c r="BJ434" i="5"/>
  <c r="BI434" i="5"/>
  <c r="BF434" i="5"/>
  <c r="BD434" i="5"/>
  <c r="BG434" i="5"/>
  <c r="BH434" i="5"/>
  <c r="BE434" i="5"/>
  <c r="BA434" i="5"/>
  <c r="BP434" i="5" s="1"/>
  <c r="AZ434" i="5"/>
  <c r="AY434" i="5"/>
  <c r="AU434" i="5"/>
  <c r="BN434" i="5" s="1"/>
  <c r="AV434" i="5"/>
  <c r="BO434" i="5" s="1"/>
  <c r="CK580" i="5"/>
  <c r="CF580" i="5"/>
  <c r="CI580" i="5"/>
  <c r="CC580" i="5"/>
  <c r="CD580" i="5"/>
  <c r="CE580" i="5"/>
  <c r="CA580" i="5"/>
  <c r="BY580" i="5"/>
  <c r="BW580" i="5"/>
  <c r="BV580" i="5"/>
  <c r="BU580" i="5"/>
  <c r="BT580" i="5"/>
  <c r="BS580" i="5"/>
  <c r="BR580" i="5"/>
  <c r="BQ580" i="5"/>
  <c r="BM580" i="5"/>
  <c r="BJ580" i="5"/>
  <c r="BK580" i="5"/>
  <c r="BI580" i="5"/>
  <c r="BH580" i="5"/>
  <c r="BG580" i="5"/>
  <c r="BF580" i="5"/>
  <c r="BD580" i="5"/>
  <c r="BE580" i="5"/>
  <c r="AZ580" i="5"/>
  <c r="AY580" i="5"/>
  <c r="BA580" i="5"/>
  <c r="BP580" i="5" s="1"/>
  <c r="AU580" i="5"/>
  <c r="BB580" i="5" s="1"/>
  <c r="AV580" i="5"/>
  <c r="BO580" i="5" s="1"/>
  <c r="CJ653" i="5"/>
  <c r="CG653" i="5"/>
  <c r="CK653" i="5"/>
  <c r="CF653" i="5"/>
  <c r="CE653" i="5"/>
  <c r="CD653" i="5"/>
  <c r="CI653" i="5"/>
  <c r="CH653" i="5"/>
  <c r="CC653" i="5"/>
  <c r="CA653" i="5"/>
  <c r="BZ653" i="5"/>
  <c r="BX653" i="5"/>
  <c r="BW653" i="5"/>
  <c r="BY653" i="5"/>
  <c r="BV653" i="5"/>
  <c r="BR653" i="5"/>
  <c r="BU653" i="5"/>
  <c r="BT653" i="5"/>
  <c r="BS653" i="5"/>
  <c r="BQ653" i="5"/>
  <c r="BM653" i="5"/>
  <c r="BL653" i="5"/>
  <c r="BK653" i="5"/>
  <c r="BJ653" i="5"/>
  <c r="BI653" i="5"/>
  <c r="BH653" i="5"/>
  <c r="BG653" i="5"/>
  <c r="BF653" i="5"/>
  <c r="BE653" i="5"/>
  <c r="BD653" i="5"/>
  <c r="BA653" i="5"/>
  <c r="BP653" i="5" s="1"/>
  <c r="AZ653" i="5"/>
  <c r="AY653" i="5"/>
  <c r="AV653" i="5"/>
  <c r="BO653" i="5" s="1"/>
  <c r="AU653" i="5"/>
  <c r="BB653" i="5" s="1"/>
  <c r="CJ726" i="5"/>
  <c r="CI726" i="5"/>
  <c r="CH726" i="5"/>
  <c r="CK726" i="5"/>
  <c r="CG726" i="5"/>
  <c r="CF726" i="5"/>
  <c r="CD726" i="5"/>
  <c r="CC726" i="5"/>
  <c r="CE726" i="5"/>
  <c r="CA726" i="5"/>
  <c r="BX726" i="5"/>
  <c r="BY726" i="5"/>
  <c r="BZ726" i="5"/>
  <c r="BW726" i="5"/>
  <c r="BU726" i="5"/>
  <c r="BV726" i="5"/>
  <c r="BS726" i="5"/>
  <c r="BT726" i="5"/>
  <c r="BQ726" i="5"/>
  <c r="BR726" i="5"/>
  <c r="BM726" i="5"/>
  <c r="BL726" i="5"/>
  <c r="BK726" i="5"/>
  <c r="BJ726" i="5"/>
  <c r="BI726" i="5"/>
  <c r="BH726" i="5"/>
  <c r="BG726" i="5"/>
  <c r="BF726" i="5"/>
  <c r="BE726" i="5"/>
  <c r="BD726" i="5"/>
  <c r="BA726" i="5"/>
  <c r="BP726" i="5" s="1"/>
  <c r="AZ726" i="5"/>
  <c r="AY726" i="5"/>
  <c r="AV726" i="5"/>
  <c r="BC726" i="5" s="1"/>
  <c r="AU726" i="5"/>
  <c r="BN726" i="5" s="1"/>
  <c r="CK799" i="5"/>
  <c r="CE799" i="5"/>
  <c r="CF799" i="5"/>
  <c r="CI799" i="5"/>
  <c r="CD799" i="5"/>
  <c r="CC799" i="5"/>
  <c r="BY799" i="5"/>
  <c r="CA799" i="5"/>
  <c r="BV799" i="5"/>
  <c r="BW799" i="5"/>
  <c r="BT799" i="5"/>
  <c r="BU799" i="5"/>
  <c r="BS799" i="5"/>
  <c r="BQ799" i="5"/>
  <c r="BR799" i="5"/>
  <c r="BI799" i="5"/>
  <c r="BM799" i="5"/>
  <c r="BJ799" i="5"/>
  <c r="BK799" i="5"/>
  <c r="BG799" i="5"/>
  <c r="BE799" i="5"/>
  <c r="BH799" i="5"/>
  <c r="BD799" i="5"/>
  <c r="BF799" i="5"/>
  <c r="AY799" i="5"/>
  <c r="BA799" i="5"/>
  <c r="BP799" i="5" s="1"/>
  <c r="AZ799" i="5"/>
  <c r="AV799" i="5"/>
  <c r="BO799" i="5" s="1"/>
  <c r="AU799" i="5"/>
  <c r="BN799" i="5" s="1"/>
  <c r="CK872" i="5"/>
  <c r="CF872" i="5"/>
  <c r="CE872" i="5"/>
  <c r="CI872" i="5"/>
  <c r="CD872" i="5"/>
  <c r="CA872" i="5"/>
  <c r="CC872" i="5"/>
  <c r="BY872" i="5"/>
  <c r="BW872" i="5"/>
  <c r="BV872" i="5"/>
  <c r="BU872" i="5"/>
  <c r="BT872" i="5"/>
  <c r="BS872" i="5"/>
  <c r="BR872" i="5"/>
  <c r="BQ872" i="5"/>
  <c r="BK872" i="5"/>
  <c r="BM872" i="5"/>
  <c r="BJ872" i="5"/>
  <c r="BH872" i="5"/>
  <c r="BI872" i="5"/>
  <c r="BG872" i="5"/>
  <c r="BF872" i="5"/>
  <c r="BE872" i="5"/>
  <c r="BD872" i="5"/>
  <c r="AZ872" i="5"/>
  <c r="AV872" i="5"/>
  <c r="BO872" i="5" s="1"/>
  <c r="AY872" i="5"/>
  <c r="BA872" i="5"/>
  <c r="BP872" i="5" s="1"/>
  <c r="AU872" i="5"/>
  <c r="BN872" i="5" s="1"/>
  <c r="CK946" i="5"/>
  <c r="CI946" i="5"/>
  <c r="CF946" i="5"/>
  <c r="CE946" i="5"/>
  <c r="CC946" i="5"/>
  <c r="CD946" i="5"/>
  <c r="CA946" i="5"/>
  <c r="BY946" i="5"/>
  <c r="BU946" i="5"/>
  <c r="BW946" i="5"/>
  <c r="BV946" i="5"/>
  <c r="BS946" i="5"/>
  <c r="BT946" i="5"/>
  <c r="BQ946" i="5"/>
  <c r="BR946" i="5"/>
  <c r="BM946" i="5"/>
  <c r="BK946" i="5"/>
  <c r="BJ946" i="5"/>
  <c r="BI946" i="5"/>
  <c r="BF946" i="5"/>
  <c r="BH946" i="5"/>
  <c r="BG946" i="5"/>
  <c r="BE946" i="5"/>
  <c r="BD946" i="5"/>
  <c r="BA946" i="5"/>
  <c r="BP946" i="5" s="1"/>
  <c r="AZ946" i="5"/>
  <c r="AY946" i="5"/>
  <c r="AU946" i="5"/>
  <c r="BB946" i="5" s="1"/>
  <c r="AV946" i="5"/>
  <c r="BC946" i="5" s="1"/>
  <c r="CK1019" i="5"/>
  <c r="CI1019" i="5"/>
  <c r="CE1019" i="5"/>
  <c r="CF1019" i="5"/>
  <c r="CD1019" i="5"/>
  <c r="BY1019" i="5"/>
  <c r="CC1019" i="5"/>
  <c r="CA1019" i="5"/>
  <c r="BW1019" i="5"/>
  <c r="BV1019" i="5"/>
  <c r="BU1019" i="5"/>
  <c r="BT1019" i="5"/>
  <c r="BS1019" i="5"/>
  <c r="BR1019" i="5"/>
  <c r="BQ1019" i="5"/>
  <c r="BM1019" i="5"/>
  <c r="BI1019" i="5"/>
  <c r="BJ1019" i="5"/>
  <c r="BG1019" i="5"/>
  <c r="BK1019" i="5"/>
  <c r="BH1019" i="5"/>
  <c r="BE1019" i="5"/>
  <c r="BD1019" i="5"/>
  <c r="BF1019" i="5"/>
  <c r="AY1019" i="5"/>
  <c r="AU1019" i="5"/>
  <c r="BN1019" i="5" s="1"/>
  <c r="BA1019" i="5"/>
  <c r="BP1019" i="5" s="1"/>
  <c r="AZ1019" i="5"/>
  <c r="AV1019" i="5"/>
  <c r="BO1019" i="5" s="1"/>
  <c r="CK1092" i="5"/>
  <c r="CJ1092" i="5"/>
  <c r="CH1092" i="5"/>
  <c r="CF1092" i="5"/>
  <c r="CI1092" i="5"/>
  <c r="CG1092" i="5"/>
  <c r="CE1092" i="5"/>
  <c r="CA1092" i="5"/>
  <c r="CD1092" i="5"/>
  <c r="CC1092" i="5"/>
  <c r="BZ1092" i="5"/>
  <c r="BY1092" i="5"/>
  <c r="BW1092" i="5"/>
  <c r="BX1092" i="5"/>
  <c r="BU1092" i="5"/>
  <c r="BV1092" i="5"/>
  <c r="BT1092" i="5"/>
  <c r="BS1092" i="5"/>
  <c r="BR1092" i="5"/>
  <c r="BQ1092" i="5"/>
  <c r="BM1092" i="5"/>
  <c r="BJ1092" i="5"/>
  <c r="BL1092" i="5"/>
  <c r="BK1092" i="5"/>
  <c r="BI1092" i="5"/>
  <c r="BH1092" i="5"/>
  <c r="BG1092" i="5"/>
  <c r="BF1092" i="5"/>
  <c r="BD1092" i="5"/>
  <c r="BE1092" i="5"/>
  <c r="AZ1092" i="5"/>
  <c r="AY1092" i="5"/>
  <c r="BA1092" i="5"/>
  <c r="BP1092" i="5" s="1"/>
  <c r="AU1092" i="5"/>
  <c r="BN1092" i="5" s="1"/>
  <c r="AV1092" i="5"/>
  <c r="BO1092" i="5" s="1"/>
  <c r="CK1165" i="5"/>
  <c r="CF1165" i="5"/>
  <c r="CE1165" i="5"/>
  <c r="CI1165" i="5"/>
  <c r="CD1165" i="5"/>
  <c r="CC1165" i="5"/>
  <c r="CA1165" i="5"/>
  <c r="BW1165" i="5"/>
  <c r="BY1165" i="5"/>
  <c r="BV1165" i="5"/>
  <c r="BU1165" i="5"/>
  <c r="BT1165" i="5"/>
  <c r="BS1165" i="5"/>
  <c r="BQ1165" i="5"/>
  <c r="BR1165" i="5"/>
  <c r="BM1165" i="5"/>
  <c r="BK1165" i="5"/>
  <c r="BJ1165" i="5"/>
  <c r="BI1165" i="5"/>
  <c r="BH1165" i="5"/>
  <c r="BG1165" i="5"/>
  <c r="BF1165" i="5"/>
  <c r="BE1165" i="5"/>
  <c r="BD1165" i="5"/>
  <c r="BA1165" i="5"/>
  <c r="BP1165" i="5" s="1"/>
  <c r="AU1165" i="5"/>
  <c r="BN1165" i="5" s="1"/>
  <c r="AZ1165" i="5"/>
  <c r="AY1165" i="5"/>
  <c r="AV1165" i="5"/>
  <c r="BO1165" i="5" s="1"/>
  <c r="CK1238" i="5"/>
  <c r="CI1238" i="5"/>
  <c r="CC1238" i="5"/>
  <c r="CD1238" i="5"/>
  <c r="CF1238" i="5"/>
  <c r="CE1238" i="5"/>
  <c r="CA1238" i="5"/>
  <c r="BY1238" i="5"/>
  <c r="BW1238" i="5"/>
  <c r="BU1238" i="5"/>
  <c r="BV1238" i="5"/>
  <c r="BS1238" i="5"/>
  <c r="BR1238" i="5"/>
  <c r="BT1238" i="5"/>
  <c r="BQ1238" i="5"/>
  <c r="BM1238" i="5"/>
  <c r="BI1238" i="5"/>
  <c r="BK1238" i="5"/>
  <c r="BJ1238" i="5"/>
  <c r="BH1238" i="5"/>
  <c r="BG1238" i="5"/>
  <c r="BF1238" i="5"/>
  <c r="BE1238" i="5"/>
  <c r="BD1238" i="5"/>
  <c r="BA1238" i="5"/>
  <c r="BP1238" i="5" s="1"/>
  <c r="AZ1238" i="5"/>
  <c r="AY1238" i="5"/>
  <c r="AV1238" i="5"/>
  <c r="BC1238" i="5" s="1"/>
  <c r="AU1238" i="5"/>
  <c r="BN1238" i="5" s="1"/>
  <c r="CI1310" i="5"/>
  <c r="CK1310" i="5"/>
  <c r="CG1310" i="5"/>
  <c r="CC1310" i="5"/>
  <c r="CE1310" i="5"/>
  <c r="CF1310" i="5"/>
  <c r="CD1310" i="5"/>
  <c r="CA1310" i="5"/>
  <c r="BY1310" i="5"/>
  <c r="BW1310" i="5"/>
  <c r="BU1310" i="5"/>
  <c r="BV1310" i="5"/>
  <c r="BS1310" i="5"/>
  <c r="BR1310" i="5"/>
  <c r="BT1310" i="5"/>
  <c r="BQ1310" i="5"/>
  <c r="BM1310" i="5"/>
  <c r="BI1310" i="5"/>
  <c r="BK1310" i="5"/>
  <c r="BJ1310" i="5"/>
  <c r="BH1310" i="5"/>
  <c r="BG1310" i="5"/>
  <c r="BF1310" i="5"/>
  <c r="BE1310" i="5"/>
  <c r="BD1310" i="5"/>
  <c r="AV1310" i="5"/>
  <c r="BO1310" i="5" s="1"/>
  <c r="BA1310" i="5"/>
  <c r="BP1310" i="5" s="1"/>
  <c r="AZ1310" i="5"/>
  <c r="AY1310" i="5"/>
  <c r="AU1310" i="5"/>
  <c r="BN1310" i="5" s="1"/>
  <c r="BB16" i="5"/>
  <c r="BZ16" i="5" s="1"/>
  <c r="BB87" i="5"/>
  <c r="BZ87" i="5" s="1"/>
  <c r="CK115" i="5"/>
  <c r="CJ115" i="5"/>
  <c r="CE115" i="5"/>
  <c r="CI115" i="5"/>
  <c r="CD115" i="5"/>
  <c r="CF115" i="5"/>
  <c r="CG115" i="5"/>
  <c r="CH115" i="5"/>
  <c r="CC115" i="5"/>
  <c r="BZ115" i="5"/>
  <c r="BY115" i="5"/>
  <c r="CA115" i="5"/>
  <c r="BX115" i="5"/>
  <c r="BV115" i="5"/>
  <c r="BW115" i="5"/>
  <c r="BT115" i="5"/>
  <c r="BU115" i="5"/>
  <c r="BS115" i="5"/>
  <c r="BR115" i="5"/>
  <c r="BQ115" i="5"/>
  <c r="BK115" i="5"/>
  <c r="BL115" i="5"/>
  <c r="BM115" i="5"/>
  <c r="BI115" i="5"/>
  <c r="BG115" i="5"/>
  <c r="BJ115" i="5"/>
  <c r="BH115" i="5"/>
  <c r="BF115" i="5"/>
  <c r="BE115" i="5"/>
  <c r="BD115" i="5"/>
  <c r="BA115" i="5"/>
  <c r="BP115" i="5" s="1"/>
  <c r="AY115" i="5"/>
  <c r="AU115" i="5"/>
  <c r="BN115" i="5" s="1"/>
  <c r="AZ115" i="5"/>
  <c r="AV115" i="5"/>
  <c r="BC115" i="5" s="1"/>
  <c r="CK142" i="5"/>
  <c r="CJ142" i="5"/>
  <c r="CI142" i="5"/>
  <c r="CG142" i="5"/>
  <c r="CD142" i="5"/>
  <c r="CE142" i="5"/>
  <c r="CH142" i="5"/>
  <c r="CF142" i="5"/>
  <c r="CC142" i="5"/>
  <c r="BY142" i="5"/>
  <c r="CA142" i="5"/>
  <c r="BX142" i="5"/>
  <c r="BZ142" i="5"/>
  <c r="BU142" i="5"/>
  <c r="BV142" i="5"/>
  <c r="BW142" i="5"/>
  <c r="BT142" i="5"/>
  <c r="BS142" i="5"/>
  <c r="BR142" i="5"/>
  <c r="BQ142" i="5"/>
  <c r="BM142" i="5"/>
  <c r="BK142" i="5"/>
  <c r="BL142" i="5"/>
  <c r="BJ142" i="5"/>
  <c r="BI142" i="5"/>
  <c r="BH142" i="5"/>
  <c r="BG142" i="5"/>
  <c r="BF142" i="5"/>
  <c r="BD142" i="5"/>
  <c r="BE142" i="5"/>
  <c r="BA142" i="5"/>
  <c r="BP142" i="5" s="1"/>
  <c r="AZ142" i="5"/>
  <c r="AY142" i="5"/>
  <c r="AV142" i="5"/>
  <c r="BO142" i="5" s="1"/>
  <c r="AU142" i="5"/>
  <c r="BN142" i="5" s="1"/>
  <c r="CK170" i="5"/>
  <c r="CI170" i="5"/>
  <c r="CH170" i="5"/>
  <c r="CD170" i="5"/>
  <c r="CG170" i="5"/>
  <c r="CJ170" i="5"/>
  <c r="CE170" i="5"/>
  <c r="CF170" i="5"/>
  <c r="BY170" i="5"/>
  <c r="CC170" i="5"/>
  <c r="CA170" i="5"/>
  <c r="BZ170" i="5"/>
  <c r="BX170" i="5"/>
  <c r="BU170" i="5"/>
  <c r="BV170" i="5"/>
  <c r="BW170" i="5"/>
  <c r="BT170" i="5"/>
  <c r="BS170" i="5"/>
  <c r="BQ170" i="5"/>
  <c r="BR170" i="5"/>
  <c r="BM170" i="5"/>
  <c r="BL170" i="5"/>
  <c r="BK170" i="5"/>
  <c r="BH170" i="5"/>
  <c r="BJ170" i="5"/>
  <c r="BI170" i="5"/>
  <c r="BF170" i="5"/>
  <c r="BD170" i="5"/>
  <c r="BG170" i="5"/>
  <c r="BE170" i="5"/>
  <c r="BA170" i="5"/>
  <c r="BP170" i="5" s="1"/>
  <c r="AZ170" i="5"/>
  <c r="AY170" i="5"/>
  <c r="AU170" i="5"/>
  <c r="BN170" i="5" s="1"/>
  <c r="AV170" i="5"/>
  <c r="BO170" i="5" s="1"/>
  <c r="CK243" i="5"/>
  <c r="CH243" i="5"/>
  <c r="CJ243" i="5"/>
  <c r="CG243" i="5"/>
  <c r="CE243" i="5"/>
  <c r="CI243" i="5"/>
  <c r="CD243" i="5"/>
  <c r="CF243" i="5"/>
  <c r="CC243" i="5"/>
  <c r="BZ243" i="5"/>
  <c r="BY243" i="5"/>
  <c r="CA243" i="5"/>
  <c r="BX243" i="5"/>
  <c r="BV243" i="5"/>
  <c r="BW243" i="5"/>
  <c r="BU243" i="5"/>
  <c r="BT243" i="5"/>
  <c r="BS243" i="5"/>
  <c r="BR243" i="5"/>
  <c r="BQ243" i="5"/>
  <c r="BL243" i="5"/>
  <c r="BK243" i="5"/>
  <c r="BM243" i="5"/>
  <c r="BI243" i="5"/>
  <c r="BG243" i="5"/>
  <c r="BJ243" i="5"/>
  <c r="BH243" i="5"/>
  <c r="BF243" i="5"/>
  <c r="BE243" i="5"/>
  <c r="BD243" i="5"/>
  <c r="BA243" i="5"/>
  <c r="BP243" i="5" s="1"/>
  <c r="AY243" i="5"/>
  <c r="AU243" i="5"/>
  <c r="BN243" i="5" s="1"/>
  <c r="AZ243" i="5"/>
  <c r="AV243" i="5"/>
  <c r="BC243" i="5" s="1"/>
  <c r="CK316" i="5"/>
  <c r="CF316" i="5"/>
  <c r="CI316" i="5"/>
  <c r="CD316" i="5"/>
  <c r="CC316" i="5"/>
  <c r="CE316" i="5"/>
  <c r="CA316" i="5"/>
  <c r="BY316" i="5"/>
  <c r="BV316" i="5"/>
  <c r="BW316" i="5"/>
  <c r="BU316" i="5"/>
  <c r="BT316" i="5"/>
  <c r="BS316" i="5"/>
  <c r="BR316" i="5"/>
  <c r="BQ316" i="5"/>
  <c r="BJ316" i="5"/>
  <c r="BM316" i="5"/>
  <c r="BK316" i="5"/>
  <c r="BI316" i="5"/>
  <c r="BH316" i="5"/>
  <c r="BG316" i="5"/>
  <c r="BF316" i="5"/>
  <c r="BE316" i="5"/>
  <c r="BD316" i="5"/>
  <c r="AZ316" i="5"/>
  <c r="BA316" i="5"/>
  <c r="BP316" i="5" s="1"/>
  <c r="AY316" i="5"/>
  <c r="AU316" i="5"/>
  <c r="BB316" i="5" s="1"/>
  <c r="AV316" i="5"/>
  <c r="BO316" i="5" s="1"/>
  <c r="CK389" i="5"/>
  <c r="CI389" i="5"/>
  <c r="CG389" i="5"/>
  <c r="CH389" i="5"/>
  <c r="CJ389" i="5"/>
  <c r="CF389" i="5"/>
  <c r="CD389" i="5"/>
  <c r="CE389" i="5"/>
  <c r="CC389" i="5"/>
  <c r="BZ389" i="5"/>
  <c r="BW389" i="5"/>
  <c r="CA389" i="5"/>
  <c r="BY389" i="5"/>
  <c r="BX389" i="5"/>
  <c r="BU389" i="5"/>
  <c r="BT389" i="5"/>
  <c r="BV389" i="5"/>
  <c r="BR389" i="5"/>
  <c r="BS389" i="5"/>
  <c r="BQ389" i="5"/>
  <c r="BL389" i="5"/>
  <c r="BM389" i="5"/>
  <c r="BK389" i="5"/>
  <c r="BJ389" i="5"/>
  <c r="BI389" i="5"/>
  <c r="BG389" i="5"/>
  <c r="BF389" i="5"/>
  <c r="BH389" i="5"/>
  <c r="BE389" i="5"/>
  <c r="BD389" i="5"/>
  <c r="BA389" i="5"/>
  <c r="BP389" i="5" s="1"/>
  <c r="AZ389" i="5"/>
  <c r="AY389" i="5"/>
  <c r="AU389" i="5"/>
  <c r="BN389" i="5" s="1"/>
  <c r="AV389" i="5"/>
  <c r="BO389" i="5" s="1"/>
  <c r="CK462" i="5"/>
  <c r="CI462" i="5"/>
  <c r="CD462" i="5"/>
  <c r="CE462" i="5"/>
  <c r="CF462" i="5"/>
  <c r="CC462" i="5"/>
  <c r="BY462" i="5"/>
  <c r="CA462" i="5"/>
  <c r="BU462" i="5"/>
  <c r="BV462" i="5"/>
  <c r="BW462" i="5"/>
  <c r="BS462" i="5"/>
  <c r="BT462" i="5"/>
  <c r="BR462" i="5"/>
  <c r="BQ462" i="5"/>
  <c r="BM462" i="5"/>
  <c r="BK462" i="5"/>
  <c r="BJ462" i="5"/>
  <c r="BI462" i="5"/>
  <c r="BG462" i="5"/>
  <c r="BH462" i="5"/>
  <c r="BF462" i="5"/>
  <c r="BE462" i="5"/>
  <c r="BD462" i="5"/>
  <c r="BA462" i="5"/>
  <c r="BP462" i="5" s="1"/>
  <c r="AZ462" i="5"/>
  <c r="AY462" i="5"/>
  <c r="AV462" i="5"/>
  <c r="BC462" i="5" s="1"/>
  <c r="AU462" i="5"/>
  <c r="BB462" i="5" s="1"/>
  <c r="CK535" i="5"/>
  <c r="CG535" i="5"/>
  <c r="CI535" i="5"/>
  <c r="CH535" i="5"/>
  <c r="CE535" i="5"/>
  <c r="CJ535" i="5"/>
  <c r="CF535" i="5"/>
  <c r="CD535" i="5"/>
  <c r="CC535" i="5"/>
  <c r="BZ535" i="5"/>
  <c r="CA535" i="5"/>
  <c r="BX535" i="5"/>
  <c r="BV535" i="5"/>
  <c r="BY535" i="5"/>
  <c r="BW535" i="5"/>
  <c r="BU535" i="5"/>
  <c r="BT535" i="5"/>
  <c r="BS535" i="5"/>
  <c r="BR535" i="5"/>
  <c r="BQ535" i="5"/>
  <c r="BM535" i="5"/>
  <c r="BK535" i="5"/>
  <c r="BI535" i="5"/>
  <c r="BL535" i="5"/>
  <c r="BJ535" i="5"/>
  <c r="BG535" i="5"/>
  <c r="BH535" i="5"/>
  <c r="BE535" i="5"/>
  <c r="BF535" i="5"/>
  <c r="BD535" i="5"/>
  <c r="BA535" i="5"/>
  <c r="BP535" i="5" s="1"/>
  <c r="AY535" i="5"/>
  <c r="AZ535" i="5"/>
  <c r="AV535" i="5"/>
  <c r="BC535" i="5" s="1"/>
  <c r="AU535" i="5"/>
  <c r="BB535" i="5" s="1"/>
  <c r="CK608" i="5"/>
  <c r="CI608" i="5"/>
  <c r="CF608" i="5"/>
  <c r="CC608" i="5"/>
  <c r="CD608" i="5"/>
  <c r="CE608" i="5"/>
  <c r="CA608" i="5"/>
  <c r="BY608" i="5"/>
  <c r="BW608" i="5"/>
  <c r="BV608" i="5"/>
  <c r="BU608" i="5"/>
  <c r="BT608" i="5"/>
  <c r="BS608" i="5"/>
  <c r="BR608" i="5"/>
  <c r="BQ608" i="5"/>
  <c r="BM608" i="5"/>
  <c r="BK608" i="5"/>
  <c r="BJ608" i="5"/>
  <c r="BH608" i="5"/>
  <c r="BI608" i="5"/>
  <c r="BG608" i="5"/>
  <c r="BF608" i="5"/>
  <c r="BE608" i="5"/>
  <c r="BD608" i="5"/>
  <c r="AZ608" i="5"/>
  <c r="AY608" i="5"/>
  <c r="BA608" i="5"/>
  <c r="BP608" i="5" s="1"/>
  <c r="AV608" i="5"/>
  <c r="BO608" i="5" s="1"/>
  <c r="AU608" i="5"/>
  <c r="BN608" i="5" s="1"/>
  <c r="CK682" i="5"/>
  <c r="CJ682" i="5"/>
  <c r="CI682" i="5"/>
  <c r="CH682" i="5"/>
  <c r="CG682" i="5"/>
  <c r="CE682" i="5"/>
  <c r="CF682" i="5"/>
  <c r="CD682" i="5"/>
  <c r="CC682" i="5"/>
  <c r="CA682" i="5"/>
  <c r="BZ682" i="5"/>
  <c r="BY682" i="5"/>
  <c r="BX682" i="5"/>
  <c r="BU682" i="5"/>
  <c r="BW682" i="5"/>
  <c r="BV682" i="5"/>
  <c r="BS682" i="5"/>
  <c r="BT682" i="5"/>
  <c r="BQ682" i="5"/>
  <c r="BR682" i="5"/>
  <c r="BM682" i="5"/>
  <c r="BL682" i="5"/>
  <c r="BK682" i="5"/>
  <c r="BJ682" i="5"/>
  <c r="BI682" i="5"/>
  <c r="BF682" i="5"/>
  <c r="BH682" i="5"/>
  <c r="BG682" i="5"/>
  <c r="BD682" i="5"/>
  <c r="BE682" i="5"/>
  <c r="BA682" i="5"/>
  <c r="BP682" i="5" s="1"/>
  <c r="AZ682" i="5"/>
  <c r="AY682" i="5"/>
  <c r="AU682" i="5"/>
  <c r="BN682" i="5" s="1"/>
  <c r="AV682" i="5"/>
  <c r="BC682" i="5" s="1"/>
  <c r="CK755" i="5"/>
  <c r="CE755" i="5"/>
  <c r="CI755" i="5"/>
  <c r="CH755" i="5"/>
  <c r="CJ755" i="5"/>
  <c r="CG755" i="5"/>
  <c r="CF755" i="5"/>
  <c r="CD755" i="5"/>
  <c r="CC755" i="5"/>
  <c r="BZ755" i="5"/>
  <c r="BY755" i="5"/>
  <c r="CA755" i="5"/>
  <c r="BX755" i="5"/>
  <c r="BV755" i="5"/>
  <c r="BW755" i="5"/>
  <c r="BU755" i="5"/>
  <c r="BT755" i="5"/>
  <c r="BS755" i="5"/>
  <c r="BR755" i="5"/>
  <c r="BQ755" i="5"/>
  <c r="BL755" i="5"/>
  <c r="BM755" i="5"/>
  <c r="BI755" i="5"/>
  <c r="BK755" i="5"/>
  <c r="BG755" i="5"/>
  <c r="BJ755" i="5"/>
  <c r="BH755" i="5"/>
  <c r="BE755" i="5"/>
  <c r="BD755" i="5"/>
  <c r="BF755" i="5"/>
  <c r="AY755" i="5"/>
  <c r="AU755" i="5"/>
  <c r="BN755" i="5" s="1"/>
  <c r="BA755" i="5"/>
  <c r="BP755" i="5" s="1"/>
  <c r="AZ755" i="5"/>
  <c r="AV755" i="5"/>
  <c r="BO755" i="5" s="1"/>
  <c r="CK828" i="5"/>
  <c r="CF828" i="5"/>
  <c r="CI828" i="5"/>
  <c r="CE828" i="5"/>
  <c r="CC828" i="5"/>
  <c r="CD828" i="5"/>
  <c r="CA828" i="5"/>
  <c r="BY828" i="5"/>
  <c r="BW828" i="5"/>
  <c r="BV828" i="5"/>
  <c r="BU828" i="5"/>
  <c r="BT828" i="5"/>
  <c r="BR828" i="5"/>
  <c r="BQ828" i="5"/>
  <c r="BS828" i="5"/>
  <c r="BJ828" i="5"/>
  <c r="BM828" i="5"/>
  <c r="BK828" i="5"/>
  <c r="BI828" i="5"/>
  <c r="BH828" i="5"/>
  <c r="BG828" i="5"/>
  <c r="BF828" i="5"/>
  <c r="BD828" i="5"/>
  <c r="BE828" i="5"/>
  <c r="AZ828" i="5"/>
  <c r="AY828" i="5"/>
  <c r="BA828" i="5"/>
  <c r="BP828" i="5" s="1"/>
  <c r="AU828" i="5"/>
  <c r="BB828" i="5" s="1"/>
  <c r="AV828" i="5"/>
  <c r="BC828" i="5" s="1"/>
  <c r="CK901" i="5"/>
  <c r="CI901" i="5"/>
  <c r="CD901" i="5"/>
  <c r="CF901" i="5"/>
  <c r="CE901" i="5"/>
  <c r="CC901" i="5"/>
  <c r="BW901" i="5"/>
  <c r="CA901" i="5"/>
  <c r="BY901" i="5"/>
  <c r="BV901" i="5"/>
  <c r="BU901" i="5"/>
  <c r="BR901" i="5"/>
  <c r="BT901" i="5"/>
  <c r="BQ901" i="5"/>
  <c r="BS901" i="5"/>
  <c r="BM901" i="5"/>
  <c r="BK901" i="5"/>
  <c r="BJ901" i="5"/>
  <c r="BI901" i="5"/>
  <c r="BH901" i="5"/>
  <c r="BG901" i="5"/>
  <c r="BD901" i="5"/>
  <c r="BF901" i="5"/>
  <c r="BE901" i="5"/>
  <c r="BA901" i="5"/>
  <c r="BP901" i="5" s="1"/>
  <c r="AZ901" i="5"/>
  <c r="AY901" i="5"/>
  <c r="AU901" i="5"/>
  <c r="BN901" i="5" s="1"/>
  <c r="AV901" i="5"/>
  <c r="BC901" i="5" s="1"/>
  <c r="CK974" i="5"/>
  <c r="CI974" i="5"/>
  <c r="CE974" i="5"/>
  <c r="CC974" i="5"/>
  <c r="CF974" i="5"/>
  <c r="CD974" i="5"/>
  <c r="CA974" i="5"/>
  <c r="BY974" i="5"/>
  <c r="BU974" i="5"/>
  <c r="BW974" i="5"/>
  <c r="BV974" i="5"/>
  <c r="BS974" i="5"/>
  <c r="BT974" i="5"/>
  <c r="BR974" i="5"/>
  <c r="BQ974" i="5"/>
  <c r="BM974" i="5"/>
  <c r="BJ974" i="5"/>
  <c r="BI974" i="5"/>
  <c r="BK974" i="5"/>
  <c r="BH974" i="5"/>
  <c r="BG974" i="5"/>
  <c r="BF974" i="5"/>
  <c r="BE974" i="5"/>
  <c r="BD974" i="5"/>
  <c r="BA974" i="5"/>
  <c r="BP974" i="5" s="1"/>
  <c r="AZ974" i="5"/>
  <c r="AY974" i="5"/>
  <c r="AV974" i="5"/>
  <c r="BO974" i="5" s="1"/>
  <c r="AU974" i="5"/>
  <c r="BN974" i="5" s="1"/>
  <c r="CK1047" i="5"/>
  <c r="CI1047" i="5"/>
  <c r="CE1047" i="5"/>
  <c r="CF1047" i="5"/>
  <c r="CD1047" i="5"/>
  <c r="CC1047" i="5"/>
  <c r="CA1047" i="5"/>
  <c r="BY1047" i="5"/>
  <c r="BV1047" i="5"/>
  <c r="BW1047" i="5"/>
  <c r="BU1047" i="5"/>
  <c r="BT1047" i="5"/>
  <c r="BS1047" i="5"/>
  <c r="BR1047" i="5"/>
  <c r="BQ1047" i="5"/>
  <c r="BM1047" i="5"/>
  <c r="BK1047" i="5"/>
  <c r="BJ1047" i="5"/>
  <c r="BI1047" i="5"/>
  <c r="BG1047" i="5"/>
  <c r="BH1047" i="5"/>
  <c r="BE1047" i="5"/>
  <c r="BF1047" i="5"/>
  <c r="BD1047" i="5"/>
  <c r="AY1047" i="5"/>
  <c r="BA1047" i="5"/>
  <c r="BP1047" i="5" s="1"/>
  <c r="AZ1047" i="5"/>
  <c r="AV1047" i="5"/>
  <c r="BO1047" i="5" s="1"/>
  <c r="AU1047" i="5"/>
  <c r="BB1047" i="5" s="1"/>
  <c r="CK1120" i="5"/>
  <c r="CI1120" i="5"/>
  <c r="CF1120" i="5"/>
  <c r="CD1120" i="5"/>
  <c r="CE1120" i="5"/>
  <c r="CC1120" i="5"/>
  <c r="CA1120" i="5"/>
  <c r="BY1120" i="5"/>
  <c r="BW1120" i="5"/>
  <c r="BV1120" i="5"/>
  <c r="BU1120" i="5"/>
  <c r="BT1120" i="5"/>
  <c r="BR1120" i="5"/>
  <c r="BQ1120" i="5"/>
  <c r="BS1120" i="5"/>
  <c r="BM1120" i="5"/>
  <c r="BJ1120" i="5"/>
  <c r="BH1120" i="5"/>
  <c r="BI1120" i="5"/>
  <c r="BK1120" i="5"/>
  <c r="BG1120" i="5"/>
  <c r="BF1120" i="5"/>
  <c r="BE1120" i="5"/>
  <c r="BD1120" i="5"/>
  <c r="AZ1120" i="5"/>
  <c r="AY1120" i="5"/>
  <c r="BA1120" i="5"/>
  <c r="BP1120" i="5" s="1"/>
  <c r="AV1120" i="5"/>
  <c r="BO1120" i="5" s="1"/>
  <c r="AU1120" i="5"/>
  <c r="BN1120" i="5" s="1"/>
  <c r="CK1194" i="5"/>
  <c r="CJ1194" i="5"/>
  <c r="CI1194" i="5"/>
  <c r="CH1194" i="5"/>
  <c r="CG1194" i="5"/>
  <c r="CE1194" i="5"/>
  <c r="CF1194" i="5"/>
  <c r="CC1194" i="5"/>
  <c r="CD1194" i="5"/>
  <c r="CA1194" i="5"/>
  <c r="BX1194" i="5"/>
  <c r="BZ1194" i="5"/>
  <c r="BY1194" i="5"/>
  <c r="BW1194" i="5"/>
  <c r="BU1194" i="5"/>
  <c r="BV1194" i="5"/>
  <c r="BS1194" i="5"/>
  <c r="BT1194" i="5"/>
  <c r="BR1194" i="5"/>
  <c r="BQ1194" i="5"/>
  <c r="BM1194" i="5"/>
  <c r="BL1194" i="5"/>
  <c r="BI1194" i="5"/>
  <c r="BK1194" i="5"/>
  <c r="BJ1194" i="5"/>
  <c r="BH1194" i="5"/>
  <c r="BG1194" i="5"/>
  <c r="BF1194" i="5"/>
  <c r="BE1194" i="5"/>
  <c r="BD1194" i="5"/>
  <c r="BA1194" i="5"/>
  <c r="BP1194" i="5" s="1"/>
  <c r="AZ1194" i="5"/>
  <c r="AY1194" i="5"/>
  <c r="AU1194" i="5"/>
  <c r="BN1194" i="5" s="1"/>
  <c r="AV1194" i="5"/>
  <c r="BO1194" i="5" s="1"/>
  <c r="CK1267" i="5"/>
  <c r="CE1267" i="5"/>
  <c r="CI1267" i="5"/>
  <c r="CF1267" i="5"/>
  <c r="CC1267" i="5"/>
  <c r="CD1267" i="5"/>
  <c r="BY1267" i="5"/>
  <c r="CA1267" i="5"/>
  <c r="BV1267" i="5"/>
  <c r="BW1267" i="5"/>
  <c r="BU1267" i="5"/>
  <c r="BT1267" i="5"/>
  <c r="BS1267" i="5"/>
  <c r="BR1267" i="5"/>
  <c r="BQ1267" i="5"/>
  <c r="BM1267" i="5"/>
  <c r="BI1267" i="5"/>
  <c r="BG1267" i="5"/>
  <c r="BK1267" i="5"/>
  <c r="BJ1267" i="5"/>
  <c r="BH1267" i="5"/>
  <c r="BE1267" i="5"/>
  <c r="BF1267" i="5"/>
  <c r="BD1267" i="5"/>
  <c r="AY1267" i="5"/>
  <c r="AU1267" i="5"/>
  <c r="BB1267" i="5" s="1"/>
  <c r="BA1267" i="5"/>
  <c r="BP1267" i="5" s="1"/>
  <c r="AZ1267" i="5"/>
  <c r="AV1267" i="5"/>
  <c r="BO1267" i="5" s="1"/>
  <c r="CK2" i="5"/>
  <c r="CE2" i="5"/>
  <c r="CF2" i="5"/>
  <c r="CI2" i="5"/>
  <c r="CD2" i="5"/>
  <c r="CC2" i="5"/>
  <c r="CA2" i="5"/>
  <c r="BY2" i="5"/>
  <c r="BV2" i="5"/>
  <c r="BW2" i="5"/>
  <c r="BT2" i="5"/>
  <c r="BU2" i="5"/>
  <c r="BR2" i="5"/>
  <c r="BQ2" i="5"/>
  <c r="BS2" i="5"/>
  <c r="BM2" i="5"/>
  <c r="BK2" i="5"/>
  <c r="BJ2" i="5"/>
  <c r="BI2" i="5"/>
  <c r="BH2" i="5"/>
  <c r="BG2" i="5"/>
  <c r="BE2" i="5"/>
  <c r="BF2" i="5"/>
  <c r="AY2" i="5"/>
  <c r="BD2" i="5"/>
  <c r="BA2" i="5"/>
  <c r="AZ2" i="5"/>
  <c r="AV2" i="5"/>
  <c r="BC2" i="5" s="1"/>
  <c r="AU2" i="5"/>
  <c r="CK6" i="5"/>
  <c r="CI6" i="5"/>
  <c r="CD6" i="5"/>
  <c r="CE6" i="5"/>
  <c r="CF6" i="5"/>
  <c r="CC6" i="5"/>
  <c r="BY6" i="5"/>
  <c r="CA6" i="5"/>
  <c r="BW6" i="5"/>
  <c r="BV6" i="5"/>
  <c r="BU6" i="5"/>
  <c r="BT6" i="5"/>
  <c r="BS6" i="5"/>
  <c r="BQ6" i="5"/>
  <c r="BR6" i="5"/>
  <c r="BM6" i="5"/>
  <c r="BK6" i="5"/>
  <c r="BH6" i="5"/>
  <c r="BJ6" i="5"/>
  <c r="BI6" i="5"/>
  <c r="BG6" i="5"/>
  <c r="BF6" i="5"/>
  <c r="BD6" i="5"/>
  <c r="BE6" i="5"/>
  <c r="BA6" i="5"/>
  <c r="BP6" i="5" s="1"/>
  <c r="AV6" i="5"/>
  <c r="BO6" i="5" s="1"/>
  <c r="AZ6" i="5"/>
  <c r="AY6" i="5"/>
  <c r="AU6" i="5"/>
  <c r="BN6" i="5" s="1"/>
  <c r="CK79" i="5"/>
  <c r="CI79" i="5"/>
  <c r="CE79" i="5"/>
  <c r="CF79" i="5"/>
  <c r="CD79" i="5"/>
  <c r="CC79" i="5"/>
  <c r="CA79" i="5"/>
  <c r="BY79" i="5"/>
  <c r="BW79" i="5"/>
  <c r="BV79" i="5"/>
  <c r="BU79" i="5"/>
  <c r="BT79" i="5"/>
  <c r="BS79" i="5"/>
  <c r="BQ79" i="5"/>
  <c r="BR79" i="5"/>
  <c r="BK79" i="5"/>
  <c r="BM79" i="5"/>
  <c r="BI79" i="5"/>
  <c r="BJ79" i="5"/>
  <c r="BH79" i="5"/>
  <c r="BG79" i="5"/>
  <c r="BE79" i="5"/>
  <c r="BF79" i="5"/>
  <c r="BD79" i="5"/>
  <c r="BA79" i="5"/>
  <c r="BP79" i="5" s="1"/>
  <c r="AY79" i="5"/>
  <c r="AZ79" i="5"/>
  <c r="AU79" i="5"/>
  <c r="BB79" i="5" s="1"/>
  <c r="AV79" i="5"/>
  <c r="BC79" i="5" s="1"/>
  <c r="CK152" i="5"/>
  <c r="CH152" i="5"/>
  <c r="CF152" i="5"/>
  <c r="CJ152" i="5"/>
  <c r="CE152" i="5"/>
  <c r="CD152" i="5"/>
  <c r="CI152" i="5"/>
  <c r="CC152" i="5"/>
  <c r="CG152" i="5"/>
  <c r="CA152" i="5"/>
  <c r="BZ152" i="5"/>
  <c r="BY152" i="5"/>
  <c r="BX152" i="5"/>
  <c r="BV152" i="5"/>
  <c r="BW152" i="5"/>
  <c r="BU152" i="5"/>
  <c r="BT152" i="5"/>
  <c r="BS152" i="5"/>
  <c r="BR152" i="5"/>
  <c r="BQ152" i="5"/>
  <c r="BL152" i="5"/>
  <c r="BM152" i="5"/>
  <c r="BK152" i="5"/>
  <c r="BJ152" i="5"/>
  <c r="BI152" i="5"/>
  <c r="BH152" i="5"/>
  <c r="BG152" i="5"/>
  <c r="BF152" i="5"/>
  <c r="BE152" i="5"/>
  <c r="BD152" i="5"/>
  <c r="BA152" i="5"/>
  <c r="AZ152" i="5"/>
  <c r="AV152" i="5"/>
  <c r="AY152" i="5"/>
  <c r="AU152" i="5"/>
  <c r="CJ226" i="5"/>
  <c r="CK226" i="5"/>
  <c r="CI226" i="5"/>
  <c r="CH226" i="5"/>
  <c r="CG226" i="5"/>
  <c r="CD226" i="5"/>
  <c r="CF226" i="5"/>
  <c r="CE226" i="5"/>
  <c r="CC226" i="5"/>
  <c r="BY226" i="5"/>
  <c r="CA226" i="5"/>
  <c r="BZ226" i="5"/>
  <c r="BU226" i="5"/>
  <c r="BX226" i="5"/>
  <c r="BV226" i="5"/>
  <c r="BW226" i="5"/>
  <c r="BS226" i="5"/>
  <c r="BT226" i="5"/>
  <c r="BR226" i="5"/>
  <c r="BQ226" i="5"/>
  <c r="BM226" i="5"/>
  <c r="BL226" i="5"/>
  <c r="BK226" i="5"/>
  <c r="BJ226" i="5"/>
  <c r="BI226" i="5"/>
  <c r="BH226" i="5"/>
  <c r="BG226" i="5"/>
  <c r="BF226" i="5"/>
  <c r="BD226" i="5"/>
  <c r="BE226" i="5"/>
  <c r="BA226" i="5"/>
  <c r="BP226" i="5" s="1"/>
  <c r="AZ226" i="5"/>
  <c r="AY226" i="5"/>
  <c r="AU226" i="5"/>
  <c r="BN226" i="5" s="1"/>
  <c r="AV226" i="5"/>
  <c r="BC226" i="5" s="1"/>
  <c r="CJ299" i="5"/>
  <c r="CK299" i="5"/>
  <c r="CH299" i="5"/>
  <c r="CG299" i="5"/>
  <c r="CI299" i="5"/>
  <c r="CE299" i="5"/>
  <c r="CF299" i="5"/>
  <c r="CC299" i="5"/>
  <c r="CD299" i="5"/>
  <c r="BZ299" i="5"/>
  <c r="CA299" i="5"/>
  <c r="BY299" i="5"/>
  <c r="BX299" i="5"/>
  <c r="BW299" i="5"/>
  <c r="BV299" i="5"/>
  <c r="BU299" i="5"/>
  <c r="BS299" i="5"/>
  <c r="BT299" i="5"/>
  <c r="BQ299" i="5"/>
  <c r="BR299" i="5"/>
  <c r="BK299" i="5"/>
  <c r="BM299" i="5"/>
  <c r="BL299" i="5"/>
  <c r="BI299" i="5"/>
  <c r="BG299" i="5"/>
  <c r="BH299" i="5"/>
  <c r="BJ299" i="5"/>
  <c r="BF299" i="5"/>
  <c r="BE299" i="5"/>
  <c r="BD299" i="5"/>
  <c r="BA299" i="5"/>
  <c r="BP299" i="5" s="1"/>
  <c r="AY299" i="5"/>
  <c r="AZ299" i="5"/>
  <c r="AU299" i="5"/>
  <c r="BB299" i="5" s="1"/>
  <c r="AV299" i="5"/>
  <c r="BO299" i="5" s="1"/>
  <c r="CK372" i="5"/>
  <c r="CJ372" i="5"/>
  <c r="CF372" i="5"/>
  <c r="CI372" i="5"/>
  <c r="CH372" i="5"/>
  <c r="CC372" i="5"/>
  <c r="CG372" i="5"/>
  <c r="CE372" i="5"/>
  <c r="CD372" i="5"/>
  <c r="CA372" i="5"/>
  <c r="BX372" i="5"/>
  <c r="BV372" i="5"/>
  <c r="BY372" i="5"/>
  <c r="BZ372" i="5"/>
  <c r="BW372" i="5"/>
  <c r="BT372" i="5"/>
  <c r="BU372" i="5"/>
  <c r="BS372" i="5"/>
  <c r="BQ372" i="5"/>
  <c r="BR372" i="5"/>
  <c r="BL372" i="5"/>
  <c r="BK372" i="5"/>
  <c r="BJ372" i="5"/>
  <c r="BM372" i="5"/>
  <c r="BI372" i="5"/>
  <c r="BH372" i="5"/>
  <c r="BF372" i="5"/>
  <c r="BG372" i="5"/>
  <c r="BE372" i="5"/>
  <c r="BD372" i="5"/>
  <c r="AZ372" i="5"/>
  <c r="BA372" i="5"/>
  <c r="BP372" i="5" s="1"/>
  <c r="AY372" i="5"/>
  <c r="AU372" i="5"/>
  <c r="BB372" i="5" s="1"/>
  <c r="AV372" i="5"/>
  <c r="BC372" i="5" s="1"/>
  <c r="CK445" i="5"/>
  <c r="CH445" i="5"/>
  <c r="CF445" i="5"/>
  <c r="CE445" i="5"/>
  <c r="CJ445" i="5"/>
  <c r="CI445" i="5"/>
  <c r="CG445" i="5"/>
  <c r="CD445" i="5"/>
  <c r="CC445" i="5"/>
  <c r="CA445" i="5"/>
  <c r="BZ445" i="5"/>
  <c r="BY445" i="5"/>
  <c r="BX445" i="5"/>
  <c r="BW445" i="5"/>
  <c r="BV445" i="5"/>
  <c r="BT445" i="5"/>
  <c r="BR445" i="5"/>
  <c r="BU445" i="5"/>
  <c r="BS445" i="5"/>
  <c r="BQ445" i="5"/>
  <c r="BK445" i="5"/>
  <c r="BL445" i="5"/>
  <c r="BM445" i="5"/>
  <c r="BJ445" i="5"/>
  <c r="BI445" i="5"/>
  <c r="BH445" i="5"/>
  <c r="BG445" i="5"/>
  <c r="BF445" i="5"/>
  <c r="BE445" i="5"/>
  <c r="BD445" i="5"/>
  <c r="BA445" i="5"/>
  <c r="BP445" i="5" s="1"/>
  <c r="AZ445" i="5"/>
  <c r="AY445" i="5"/>
  <c r="AU445" i="5"/>
  <c r="BB445" i="5" s="1"/>
  <c r="AV445" i="5"/>
  <c r="BO445" i="5" s="1"/>
  <c r="CK518" i="5"/>
  <c r="CI518" i="5"/>
  <c r="CJ518" i="5"/>
  <c r="CH518" i="5"/>
  <c r="CE518" i="5"/>
  <c r="CG518" i="5"/>
  <c r="CF518" i="5"/>
  <c r="CD518" i="5"/>
  <c r="CC518" i="5"/>
  <c r="BY518" i="5"/>
  <c r="BX518" i="5"/>
  <c r="BZ518" i="5"/>
  <c r="CA518" i="5"/>
  <c r="BW518" i="5"/>
  <c r="BV518" i="5"/>
  <c r="BU518" i="5"/>
  <c r="BS518" i="5"/>
  <c r="BT518" i="5"/>
  <c r="BQ518" i="5"/>
  <c r="BR518" i="5"/>
  <c r="BM518" i="5"/>
  <c r="BK518" i="5"/>
  <c r="BL518" i="5"/>
  <c r="BJ518" i="5"/>
  <c r="BI518" i="5"/>
  <c r="BH518" i="5"/>
  <c r="BG518" i="5"/>
  <c r="BF518" i="5"/>
  <c r="BD518" i="5"/>
  <c r="BE518" i="5"/>
  <c r="BA518" i="5"/>
  <c r="BP518" i="5" s="1"/>
  <c r="AV518" i="5"/>
  <c r="BO518" i="5" s="1"/>
  <c r="AZ518" i="5"/>
  <c r="AY518" i="5"/>
  <c r="AU518" i="5"/>
  <c r="BN518" i="5" s="1"/>
  <c r="CK591" i="5"/>
  <c r="CH591" i="5"/>
  <c r="CJ591" i="5"/>
  <c r="CI591" i="5"/>
  <c r="CE591" i="5"/>
  <c r="CF591" i="5"/>
  <c r="CG591" i="5"/>
  <c r="CD591" i="5"/>
  <c r="CC591" i="5"/>
  <c r="BZ591" i="5"/>
  <c r="CA591" i="5"/>
  <c r="BV591" i="5"/>
  <c r="BY591" i="5"/>
  <c r="BX591" i="5"/>
  <c r="BW591" i="5"/>
  <c r="BU591" i="5"/>
  <c r="BT591" i="5"/>
  <c r="BS591" i="5"/>
  <c r="BQ591" i="5"/>
  <c r="BR591" i="5"/>
  <c r="BL591" i="5"/>
  <c r="BK591" i="5"/>
  <c r="BM591" i="5"/>
  <c r="BI591" i="5"/>
  <c r="BJ591" i="5"/>
  <c r="BG591" i="5"/>
  <c r="BH591" i="5"/>
  <c r="BE591" i="5"/>
  <c r="BF591" i="5"/>
  <c r="BD591" i="5"/>
  <c r="AY591" i="5"/>
  <c r="BA591" i="5"/>
  <c r="BP591" i="5" s="1"/>
  <c r="AZ591" i="5"/>
  <c r="AU591" i="5"/>
  <c r="BB591" i="5" s="1"/>
  <c r="AV591" i="5"/>
  <c r="BO591" i="5" s="1"/>
  <c r="CK664" i="5"/>
  <c r="CH664" i="5"/>
  <c r="CF664" i="5"/>
  <c r="CG664" i="5"/>
  <c r="CE664" i="5"/>
  <c r="CJ664" i="5"/>
  <c r="CI664" i="5"/>
  <c r="CC664" i="5"/>
  <c r="CD664" i="5"/>
  <c r="CA664" i="5"/>
  <c r="BZ664" i="5"/>
  <c r="BY664" i="5"/>
  <c r="BX664" i="5"/>
  <c r="BW664" i="5"/>
  <c r="BV664" i="5"/>
  <c r="BU664" i="5"/>
  <c r="BT664" i="5"/>
  <c r="BS664" i="5"/>
  <c r="BR664" i="5"/>
  <c r="BQ664" i="5"/>
  <c r="BL664" i="5"/>
  <c r="BM664" i="5"/>
  <c r="BK664" i="5"/>
  <c r="BJ664" i="5"/>
  <c r="BI664" i="5"/>
  <c r="BH664" i="5"/>
  <c r="BG664" i="5"/>
  <c r="BF664" i="5"/>
  <c r="BE664" i="5"/>
  <c r="BD664" i="5"/>
  <c r="AZ664" i="5"/>
  <c r="AV664" i="5"/>
  <c r="BO664" i="5" s="1"/>
  <c r="AY664" i="5"/>
  <c r="BA664" i="5"/>
  <c r="BP664" i="5" s="1"/>
  <c r="AU664" i="5"/>
  <c r="BB664" i="5" s="1"/>
  <c r="CK738" i="5"/>
  <c r="CJ738" i="5"/>
  <c r="CI738" i="5"/>
  <c r="CH738" i="5"/>
  <c r="CF738" i="5"/>
  <c r="CE738" i="5"/>
  <c r="CG738" i="5"/>
  <c r="CD738" i="5"/>
  <c r="CC738" i="5"/>
  <c r="CA738" i="5"/>
  <c r="BZ738" i="5"/>
  <c r="BY738" i="5"/>
  <c r="BX738" i="5"/>
  <c r="BU738" i="5"/>
  <c r="BV738" i="5"/>
  <c r="BW738" i="5"/>
  <c r="BS738" i="5"/>
  <c r="BT738" i="5"/>
  <c r="BR738" i="5"/>
  <c r="BQ738" i="5"/>
  <c r="BM738" i="5"/>
  <c r="BL738" i="5"/>
  <c r="BK738" i="5"/>
  <c r="BJ738" i="5"/>
  <c r="BI738" i="5"/>
  <c r="BH738" i="5"/>
  <c r="BG738" i="5"/>
  <c r="BF738" i="5"/>
  <c r="BD738" i="5"/>
  <c r="BE738" i="5"/>
  <c r="BA738" i="5"/>
  <c r="BP738" i="5" s="1"/>
  <c r="AZ738" i="5"/>
  <c r="AY738" i="5"/>
  <c r="AU738" i="5"/>
  <c r="BN738" i="5" s="1"/>
  <c r="AV738" i="5"/>
  <c r="BC738" i="5" s="1"/>
  <c r="CJ811" i="5"/>
  <c r="CI811" i="5"/>
  <c r="CE811" i="5"/>
  <c r="CK811" i="5"/>
  <c r="CH811" i="5"/>
  <c r="CG811" i="5"/>
  <c r="CD811" i="5"/>
  <c r="CF811" i="5"/>
  <c r="CC811" i="5"/>
  <c r="BZ811" i="5"/>
  <c r="BY811" i="5"/>
  <c r="CA811" i="5"/>
  <c r="BW811" i="5"/>
  <c r="BV811" i="5"/>
  <c r="BX811" i="5"/>
  <c r="BU811" i="5"/>
  <c r="BT811" i="5"/>
  <c r="BQ811" i="5"/>
  <c r="BR811" i="5"/>
  <c r="BS811" i="5"/>
  <c r="BM811" i="5"/>
  <c r="BL811" i="5"/>
  <c r="BI811" i="5"/>
  <c r="BG811" i="5"/>
  <c r="BK811" i="5"/>
  <c r="BJ811" i="5"/>
  <c r="BH811" i="5"/>
  <c r="BE811" i="5"/>
  <c r="BD811" i="5"/>
  <c r="BF811" i="5"/>
  <c r="AY811" i="5"/>
  <c r="BA811" i="5"/>
  <c r="BP811" i="5" s="1"/>
  <c r="AZ811" i="5"/>
  <c r="AU811" i="5"/>
  <c r="BB811" i="5" s="1"/>
  <c r="AV811" i="5"/>
  <c r="BO811" i="5" s="1"/>
  <c r="CK884" i="5"/>
  <c r="CF884" i="5"/>
  <c r="CI884" i="5"/>
  <c r="CE884" i="5"/>
  <c r="CD884" i="5"/>
  <c r="CA884" i="5"/>
  <c r="CC884" i="5"/>
  <c r="BY884" i="5"/>
  <c r="BW884" i="5"/>
  <c r="BV884" i="5"/>
  <c r="BU884" i="5"/>
  <c r="BT884" i="5"/>
  <c r="BQ884" i="5"/>
  <c r="BR884" i="5"/>
  <c r="BS884" i="5"/>
  <c r="BJ884" i="5"/>
  <c r="BK884" i="5"/>
  <c r="BM884" i="5"/>
  <c r="BI884" i="5"/>
  <c r="BH884" i="5"/>
  <c r="BF884" i="5"/>
  <c r="BG884" i="5"/>
  <c r="BE884" i="5"/>
  <c r="BD884" i="5"/>
  <c r="AZ884" i="5"/>
  <c r="BA884" i="5"/>
  <c r="BP884" i="5" s="1"/>
  <c r="AY884" i="5"/>
  <c r="AU884" i="5"/>
  <c r="BN884" i="5" s="1"/>
  <c r="AV884" i="5"/>
  <c r="BO884" i="5" s="1"/>
  <c r="CK957" i="5"/>
  <c r="CF957" i="5"/>
  <c r="CE957" i="5"/>
  <c r="CD957" i="5"/>
  <c r="CI957" i="5"/>
  <c r="CA957" i="5"/>
  <c r="CC957" i="5"/>
  <c r="BY957" i="5"/>
  <c r="BW957" i="5"/>
  <c r="BV957" i="5"/>
  <c r="BR957" i="5"/>
  <c r="BU957" i="5"/>
  <c r="BT957" i="5"/>
  <c r="BS957" i="5"/>
  <c r="BQ957" i="5"/>
  <c r="BM957" i="5"/>
  <c r="BK957" i="5"/>
  <c r="BJ957" i="5"/>
  <c r="BI957" i="5"/>
  <c r="BH957" i="5"/>
  <c r="BG957" i="5"/>
  <c r="BE957" i="5"/>
  <c r="BF957" i="5"/>
  <c r="BD957" i="5"/>
  <c r="BA957" i="5"/>
  <c r="BP957" i="5" s="1"/>
  <c r="AZ957" i="5"/>
  <c r="AY957" i="5"/>
  <c r="AU957" i="5"/>
  <c r="BN957" i="5" s="1"/>
  <c r="AV957" i="5"/>
  <c r="BO957" i="5" s="1"/>
  <c r="CI1030" i="5"/>
  <c r="CK1030" i="5"/>
  <c r="CE1030" i="5"/>
  <c r="CD1030" i="5"/>
  <c r="CC1030" i="5"/>
  <c r="CF1030" i="5"/>
  <c r="CA1030" i="5"/>
  <c r="BW1030" i="5"/>
  <c r="BY1030" i="5"/>
  <c r="BU1030" i="5"/>
  <c r="BV1030" i="5"/>
  <c r="BS1030" i="5"/>
  <c r="BT1030" i="5"/>
  <c r="BR1030" i="5"/>
  <c r="BQ1030" i="5"/>
  <c r="BM1030" i="5"/>
  <c r="BK1030" i="5"/>
  <c r="BJ1030" i="5"/>
  <c r="BI1030" i="5"/>
  <c r="BH1030" i="5"/>
  <c r="BG1030" i="5"/>
  <c r="BD1030" i="5"/>
  <c r="BF1030" i="5"/>
  <c r="BE1030" i="5"/>
  <c r="AV1030" i="5"/>
  <c r="BC1030" i="5" s="1"/>
  <c r="BA1030" i="5"/>
  <c r="BP1030" i="5" s="1"/>
  <c r="AZ1030" i="5"/>
  <c r="AY1030" i="5"/>
  <c r="AU1030" i="5"/>
  <c r="BB1030" i="5" s="1"/>
  <c r="CK1103" i="5"/>
  <c r="CI1103" i="5"/>
  <c r="CG1103" i="5"/>
  <c r="CE1103" i="5"/>
  <c r="CJ1103" i="5"/>
  <c r="CH1103" i="5"/>
  <c r="CD1103" i="5"/>
  <c r="CF1103" i="5"/>
  <c r="BZ1103" i="5"/>
  <c r="CC1103" i="5"/>
  <c r="BY1103" i="5"/>
  <c r="CA1103" i="5"/>
  <c r="BV1103" i="5"/>
  <c r="BW1103" i="5"/>
  <c r="BX1103" i="5"/>
  <c r="BU1103" i="5"/>
  <c r="BT1103" i="5"/>
  <c r="BS1103" i="5"/>
  <c r="BR1103" i="5"/>
  <c r="BQ1103" i="5"/>
  <c r="BL1103" i="5"/>
  <c r="BM1103" i="5"/>
  <c r="BK1103" i="5"/>
  <c r="BJ1103" i="5"/>
  <c r="BI1103" i="5"/>
  <c r="BG1103" i="5"/>
  <c r="BH1103" i="5"/>
  <c r="BE1103" i="5"/>
  <c r="BF1103" i="5"/>
  <c r="BD1103" i="5"/>
  <c r="AY1103" i="5"/>
  <c r="BA1103" i="5"/>
  <c r="BP1103" i="5" s="1"/>
  <c r="AZ1103" i="5"/>
  <c r="AU1103" i="5"/>
  <c r="BN1103" i="5" s="1"/>
  <c r="AV1103" i="5"/>
  <c r="BC1103" i="5" s="1"/>
  <c r="CK1176" i="5"/>
  <c r="CF1176" i="5"/>
  <c r="CE1176" i="5"/>
  <c r="CI1176" i="5"/>
  <c r="CD1176" i="5"/>
  <c r="CA1176" i="5"/>
  <c r="CC1176" i="5"/>
  <c r="BY1176" i="5"/>
  <c r="BW1176" i="5"/>
  <c r="BV1176" i="5"/>
  <c r="BU1176" i="5"/>
  <c r="BT1176" i="5"/>
  <c r="BS1176" i="5"/>
  <c r="BR1176" i="5"/>
  <c r="BQ1176" i="5"/>
  <c r="BM1176" i="5"/>
  <c r="BJ1176" i="5"/>
  <c r="BK1176" i="5"/>
  <c r="BH1176" i="5"/>
  <c r="BI1176" i="5"/>
  <c r="BG1176" i="5"/>
  <c r="BF1176" i="5"/>
  <c r="BE1176" i="5"/>
  <c r="BD1176" i="5"/>
  <c r="AZ1176" i="5"/>
  <c r="AV1176" i="5"/>
  <c r="BO1176" i="5" s="1"/>
  <c r="AY1176" i="5"/>
  <c r="BA1176" i="5"/>
  <c r="BP1176" i="5" s="1"/>
  <c r="AU1176" i="5"/>
  <c r="BN1176" i="5" s="1"/>
  <c r="CI1250" i="5"/>
  <c r="CK1250" i="5"/>
  <c r="CF1250" i="5"/>
  <c r="CE1250" i="5"/>
  <c r="CH1250" i="5"/>
  <c r="CJ1250" i="5"/>
  <c r="CG1250" i="5"/>
  <c r="CC1250" i="5"/>
  <c r="CD1250" i="5"/>
  <c r="CA1250" i="5"/>
  <c r="BZ1250" i="5"/>
  <c r="BY1250" i="5"/>
  <c r="BW1250" i="5"/>
  <c r="BU1250" i="5"/>
  <c r="BX1250" i="5"/>
  <c r="BS1250" i="5"/>
  <c r="BV1250" i="5"/>
  <c r="BT1250" i="5"/>
  <c r="BR1250" i="5"/>
  <c r="BQ1250" i="5"/>
  <c r="BM1250" i="5"/>
  <c r="BL1250" i="5"/>
  <c r="BK1250" i="5"/>
  <c r="BJ1250" i="5"/>
  <c r="BI1250" i="5"/>
  <c r="BH1250" i="5"/>
  <c r="BG1250" i="5"/>
  <c r="BF1250" i="5"/>
  <c r="BE1250" i="5"/>
  <c r="BD1250" i="5"/>
  <c r="BA1250" i="5"/>
  <c r="BP1250" i="5" s="1"/>
  <c r="AZ1250" i="5"/>
  <c r="AY1250" i="5"/>
  <c r="AU1250" i="5"/>
  <c r="BN1250" i="5" s="1"/>
  <c r="AV1250" i="5"/>
  <c r="BO1250" i="5" s="1"/>
  <c r="CK1320" i="5"/>
  <c r="CJ1320" i="5"/>
  <c r="CF1320" i="5"/>
  <c r="CE1320" i="5"/>
  <c r="CI1320" i="5"/>
  <c r="CH1320" i="5"/>
  <c r="CG1320" i="5"/>
  <c r="CD1320" i="5"/>
  <c r="CA1320" i="5"/>
  <c r="BZ1320" i="5"/>
  <c r="CC1320" i="5"/>
  <c r="BY1320" i="5"/>
  <c r="BX1320" i="5"/>
  <c r="BW1320" i="5"/>
  <c r="BU1320" i="5"/>
  <c r="BV1320" i="5"/>
  <c r="BT1320" i="5"/>
  <c r="BS1320" i="5"/>
  <c r="BR1320" i="5"/>
  <c r="BQ1320" i="5"/>
  <c r="BM1320" i="5"/>
  <c r="BL1320" i="5"/>
  <c r="BJ1320" i="5"/>
  <c r="BH1320" i="5"/>
  <c r="BK1320" i="5"/>
  <c r="BI1320" i="5"/>
  <c r="BG1320" i="5"/>
  <c r="BF1320" i="5"/>
  <c r="BE1320" i="5"/>
  <c r="BD1320" i="5"/>
  <c r="AZ1320" i="5"/>
  <c r="AV1320" i="5"/>
  <c r="BC1320" i="5" s="1"/>
  <c r="AY1320" i="5"/>
  <c r="BA1320" i="5"/>
  <c r="BP1320" i="5" s="1"/>
  <c r="AU1320" i="5"/>
  <c r="BN1320" i="5" s="1"/>
  <c r="BC16" i="5"/>
  <c r="BB35" i="5"/>
  <c r="BZ35" i="5" s="1"/>
  <c r="CK62" i="5"/>
  <c r="CI62" i="5"/>
  <c r="CD62" i="5"/>
  <c r="CF62" i="5"/>
  <c r="CE62" i="5"/>
  <c r="CC62" i="5"/>
  <c r="BY62" i="5"/>
  <c r="CA62" i="5"/>
  <c r="BU62" i="5"/>
  <c r="BV62" i="5"/>
  <c r="BW62" i="5"/>
  <c r="BT62" i="5"/>
  <c r="BS62" i="5"/>
  <c r="BR62" i="5"/>
  <c r="BQ62" i="5"/>
  <c r="BM62" i="5"/>
  <c r="BK62" i="5"/>
  <c r="BH62" i="5"/>
  <c r="BJ62" i="5"/>
  <c r="BI62" i="5"/>
  <c r="BG62" i="5"/>
  <c r="BF62" i="5"/>
  <c r="BD62" i="5"/>
  <c r="BE62" i="5"/>
  <c r="BA62" i="5"/>
  <c r="BP62" i="5" s="1"/>
  <c r="AV62" i="5"/>
  <c r="BC62" i="5" s="1"/>
  <c r="AZ62" i="5"/>
  <c r="AY62" i="5"/>
  <c r="AU62" i="5"/>
  <c r="BB62" i="5" s="1"/>
  <c r="CJ135" i="5"/>
  <c r="CG135" i="5"/>
  <c r="CE135" i="5"/>
  <c r="CK135" i="5"/>
  <c r="CF135" i="5"/>
  <c r="CH135" i="5"/>
  <c r="CI135" i="5"/>
  <c r="CD135" i="5"/>
  <c r="CC135" i="5"/>
  <c r="BZ135" i="5"/>
  <c r="CA135" i="5"/>
  <c r="BY135" i="5"/>
  <c r="BX135" i="5"/>
  <c r="BV135" i="5"/>
  <c r="BW135" i="5"/>
  <c r="BU135" i="5"/>
  <c r="BS135" i="5"/>
  <c r="BT135" i="5"/>
  <c r="BQ135" i="5"/>
  <c r="BR135" i="5"/>
  <c r="BK135" i="5"/>
  <c r="BL135" i="5"/>
  <c r="BI135" i="5"/>
  <c r="BM135" i="5"/>
  <c r="BH135" i="5"/>
  <c r="BJ135" i="5"/>
  <c r="BG135" i="5"/>
  <c r="BE135" i="5"/>
  <c r="BF135" i="5"/>
  <c r="BD135" i="5"/>
  <c r="BA135" i="5"/>
  <c r="BP135" i="5" s="1"/>
  <c r="AY135" i="5"/>
  <c r="AZ135" i="5"/>
  <c r="AU135" i="5"/>
  <c r="BB135" i="5" s="1"/>
  <c r="AV135" i="5"/>
  <c r="BO135" i="5" s="1"/>
  <c r="CI208" i="5"/>
  <c r="CG208" i="5"/>
  <c r="CF208" i="5"/>
  <c r="CK208" i="5"/>
  <c r="CJ208" i="5"/>
  <c r="CC208" i="5"/>
  <c r="CH208" i="5"/>
  <c r="CD208" i="5"/>
  <c r="CE208" i="5"/>
  <c r="CA208" i="5"/>
  <c r="BV208" i="5"/>
  <c r="BZ208" i="5"/>
  <c r="BW208" i="5"/>
  <c r="BY208" i="5"/>
  <c r="BX208" i="5"/>
  <c r="BU208" i="5"/>
  <c r="BT208" i="5"/>
  <c r="BS208" i="5"/>
  <c r="BR208" i="5"/>
  <c r="BQ208" i="5"/>
  <c r="BL208" i="5"/>
  <c r="BM208" i="5"/>
  <c r="BK208" i="5"/>
  <c r="BJ208" i="5"/>
  <c r="BI208" i="5"/>
  <c r="BH208" i="5"/>
  <c r="BG208" i="5"/>
  <c r="BF208" i="5"/>
  <c r="BE208" i="5"/>
  <c r="BD208" i="5"/>
  <c r="BA208" i="5"/>
  <c r="BP208" i="5" s="1"/>
  <c r="AZ208" i="5"/>
  <c r="AV208" i="5"/>
  <c r="BC208" i="5" s="1"/>
  <c r="AY208" i="5"/>
  <c r="AU208" i="5"/>
  <c r="BB208" i="5" s="1"/>
  <c r="CK282" i="5"/>
  <c r="CH282" i="5"/>
  <c r="CJ282" i="5"/>
  <c r="CI282" i="5"/>
  <c r="CD282" i="5"/>
  <c r="CG282" i="5"/>
  <c r="CF282" i="5"/>
  <c r="CE282" i="5"/>
  <c r="CC282" i="5"/>
  <c r="BY282" i="5"/>
  <c r="CA282" i="5"/>
  <c r="BZ282" i="5"/>
  <c r="BU282" i="5"/>
  <c r="BV282" i="5"/>
  <c r="BX282" i="5"/>
  <c r="BW282" i="5"/>
  <c r="BS282" i="5"/>
  <c r="BT282" i="5"/>
  <c r="BR282" i="5"/>
  <c r="BQ282" i="5"/>
  <c r="BM282" i="5"/>
  <c r="BL282" i="5"/>
  <c r="BK282" i="5"/>
  <c r="BJ282" i="5"/>
  <c r="BI282" i="5"/>
  <c r="BH282" i="5"/>
  <c r="BF282" i="5"/>
  <c r="BG282" i="5"/>
  <c r="BD282" i="5"/>
  <c r="BE282" i="5"/>
  <c r="BA282" i="5"/>
  <c r="BP282" i="5" s="1"/>
  <c r="AZ282" i="5"/>
  <c r="AY282" i="5"/>
  <c r="AU282" i="5"/>
  <c r="BN282" i="5" s="1"/>
  <c r="AV282" i="5"/>
  <c r="BC282" i="5" s="1"/>
  <c r="CK355" i="5"/>
  <c r="CG355" i="5"/>
  <c r="CE355" i="5"/>
  <c r="CJ355" i="5"/>
  <c r="CI355" i="5"/>
  <c r="CD355" i="5"/>
  <c r="CH355" i="5"/>
  <c r="CF355" i="5"/>
  <c r="CC355" i="5"/>
  <c r="BZ355" i="5"/>
  <c r="BY355" i="5"/>
  <c r="CA355" i="5"/>
  <c r="BX355" i="5"/>
  <c r="BV355" i="5"/>
  <c r="BW355" i="5"/>
  <c r="BU355" i="5"/>
  <c r="BT355" i="5"/>
  <c r="BS355" i="5"/>
  <c r="BR355" i="5"/>
  <c r="BQ355" i="5"/>
  <c r="BK355" i="5"/>
  <c r="BM355" i="5"/>
  <c r="BL355" i="5"/>
  <c r="BI355" i="5"/>
  <c r="BJ355" i="5"/>
  <c r="BG355" i="5"/>
  <c r="BH355" i="5"/>
  <c r="BF355" i="5"/>
  <c r="BE355" i="5"/>
  <c r="BD355" i="5"/>
  <c r="BA355" i="5"/>
  <c r="BP355" i="5" s="1"/>
  <c r="AY355" i="5"/>
  <c r="AZ355" i="5"/>
  <c r="AU355" i="5"/>
  <c r="BN355" i="5" s="1"/>
  <c r="AV355" i="5"/>
  <c r="BC355" i="5" s="1"/>
  <c r="CK428" i="5"/>
  <c r="CJ428" i="5"/>
  <c r="CI428" i="5"/>
  <c r="CF428" i="5"/>
  <c r="CG428" i="5"/>
  <c r="CD428" i="5"/>
  <c r="CC428" i="5"/>
  <c r="CH428" i="5"/>
  <c r="CE428" i="5"/>
  <c r="CA428" i="5"/>
  <c r="BX428" i="5"/>
  <c r="BV428" i="5"/>
  <c r="BY428" i="5"/>
  <c r="BZ428" i="5"/>
  <c r="BW428" i="5"/>
  <c r="BU428" i="5"/>
  <c r="BT428" i="5"/>
  <c r="BS428" i="5"/>
  <c r="BQ428" i="5"/>
  <c r="BR428" i="5"/>
  <c r="BM428" i="5"/>
  <c r="BL428" i="5"/>
  <c r="BK428" i="5"/>
  <c r="BJ428" i="5"/>
  <c r="BI428" i="5"/>
  <c r="BH428" i="5"/>
  <c r="BF428" i="5"/>
  <c r="BG428" i="5"/>
  <c r="BE428" i="5"/>
  <c r="BD428" i="5"/>
  <c r="AZ428" i="5"/>
  <c r="BA428" i="5"/>
  <c r="BP428" i="5" s="1"/>
  <c r="AY428" i="5"/>
  <c r="AU428" i="5"/>
  <c r="BN428" i="5" s="1"/>
  <c r="AV428" i="5"/>
  <c r="BC428" i="5" s="1"/>
  <c r="CH501" i="5"/>
  <c r="CJ501" i="5"/>
  <c r="CK501" i="5"/>
  <c r="CI501" i="5"/>
  <c r="CF501" i="5"/>
  <c r="CG501" i="5"/>
  <c r="CD501" i="5"/>
  <c r="CE501" i="5"/>
  <c r="CC501" i="5"/>
  <c r="CA501" i="5"/>
  <c r="BW501" i="5"/>
  <c r="BY501" i="5"/>
  <c r="BZ501" i="5"/>
  <c r="BX501" i="5"/>
  <c r="BV501" i="5"/>
  <c r="BT501" i="5"/>
  <c r="BU501" i="5"/>
  <c r="BR501" i="5"/>
  <c r="BS501" i="5"/>
  <c r="BQ501" i="5"/>
  <c r="BL501" i="5"/>
  <c r="BM501" i="5"/>
  <c r="BK501" i="5"/>
  <c r="BJ501" i="5"/>
  <c r="BI501" i="5"/>
  <c r="BF501" i="5"/>
  <c r="BH501" i="5"/>
  <c r="BG501" i="5"/>
  <c r="BE501" i="5"/>
  <c r="BD501" i="5"/>
  <c r="BA501" i="5"/>
  <c r="BP501" i="5" s="1"/>
  <c r="AZ501" i="5"/>
  <c r="AY501" i="5"/>
  <c r="AU501" i="5"/>
  <c r="BN501" i="5" s="1"/>
  <c r="AV501" i="5"/>
  <c r="BC501" i="5" s="1"/>
  <c r="CJ574" i="5"/>
  <c r="CI574" i="5"/>
  <c r="CK574" i="5"/>
  <c r="CG574" i="5"/>
  <c r="CH574" i="5"/>
  <c r="CF574" i="5"/>
  <c r="CE574" i="5"/>
  <c r="CD574" i="5"/>
  <c r="CC574" i="5"/>
  <c r="BY574" i="5"/>
  <c r="BZ574" i="5"/>
  <c r="CA574" i="5"/>
  <c r="BX574" i="5"/>
  <c r="BU574" i="5"/>
  <c r="BW574" i="5"/>
  <c r="BV574" i="5"/>
  <c r="BS574" i="5"/>
  <c r="BT574" i="5"/>
  <c r="BR574" i="5"/>
  <c r="BQ574" i="5"/>
  <c r="BM574" i="5"/>
  <c r="BK574" i="5"/>
  <c r="BL574" i="5"/>
  <c r="BJ574" i="5"/>
  <c r="BI574" i="5"/>
  <c r="BH574" i="5"/>
  <c r="BG574" i="5"/>
  <c r="BF574" i="5"/>
  <c r="BE574" i="5"/>
  <c r="BD574" i="5"/>
  <c r="AV574" i="5"/>
  <c r="BC574" i="5" s="1"/>
  <c r="BA574" i="5"/>
  <c r="BP574" i="5" s="1"/>
  <c r="AZ574" i="5"/>
  <c r="AY574" i="5"/>
  <c r="AU574" i="5"/>
  <c r="BB574" i="5" s="1"/>
  <c r="CK647" i="5"/>
  <c r="CJ647" i="5"/>
  <c r="CG647" i="5"/>
  <c r="CE647" i="5"/>
  <c r="CF647" i="5"/>
  <c r="CH647" i="5"/>
  <c r="CI647" i="5"/>
  <c r="CC647" i="5"/>
  <c r="CD647" i="5"/>
  <c r="BZ647" i="5"/>
  <c r="CA647" i="5"/>
  <c r="BY647" i="5"/>
  <c r="BV647" i="5"/>
  <c r="BX647" i="5"/>
  <c r="BW647" i="5"/>
  <c r="BU647" i="5"/>
  <c r="BT647" i="5"/>
  <c r="BS647" i="5"/>
  <c r="BQ647" i="5"/>
  <c r="BR647" i="5"/>
  <c r="BK647" i="5"/>
  <c r="BI647" i="5"/>
  <c r="BM647" i="5"/>
  <c r="BL647" i="5"/>
  <c r="BJ647" i="5"/>
  <c r="BG647" i="5"/>
  <c r="BE647" i="5"/>
  <c r="BH647" i="5"/>
  <c r="BF647" i="5"/>
  <c r="BD647" i="5"/>
  <c r="AY647" i="5"/>
  <c r="BA647" i="5"/>
  <c r="BP647" i="5" s="1"/>
  <c r="AZ647" i="5"/>
  <c r="AU647" i="5"/>
  <c r="BN647" i="5" s="1"/>
  <c r="AV647" i="5"/>
  <c r="BC647" i="5" s="1"/>
  <c r="CI720" i="5"/>
  <c r="CK720" i="5"/>
  <c r="CF720" i="5"/>
  <c r="CJ720" i="5"/>
  <c r="CH720" i="5"/>
  <c r="CC720" i="5"/>
  <c r="CD720" i="5"/>
  <c r="CG720" i="5"/>
  <c r="CE720" i="5"/>
  <c r="CA720" i="5"/>
  <c r="BX720" i="5"/>
  <c r="BW720" i="5"/>
  <c r="BZ720" i="5"/>
  <c r="BY720" i="5"/>
  <c r="BV720" i="5"/>
  <c r="BU720" i="5"/>
  <c r="BT720" i="5"/>
  <c r="BS720" i="5"/>
  <c r="BR720" i="5"/>
  <c r="BQ720" i="5"/>
  <c r="BL720" i="5"/>
  <c r="BK720" i="5"/>
  <c r="BM720" i="5"/>
  <c r="BJ720" i="5"/>
  <c r="BI720" i="5"/>
  <c r="BH720" i="5"/>
  <c r="BG720" i="5"/>
  <c r="BF720" i="5"/>
  <c r="BE720" i="5"/>
  <c r="BD720" i="5"/>
  <c r="AZ720" i="5"/>
  <c r="AV720" i="5"/>
  <c r="BC720" i="5" s="1"/>
  <c r="AY720" i="5"/>
  <c r="BA720" i="5"/>
  <c r="BP720" i="5" s="1"/>
  <c r="AU720" i="5"/>
  <c r="BB720" i="5" s="1"/>
  <c r="CI794" i="5"/>
  <c r="CJ794" i="5"/>
  <c r="CK794" i="5"/>
  <c r="CG794" i="5"/>
  <c r="CH794" i="5"/>
  <c r="CF794" i="5"/>
  <c r="CC794" i="5"/>
  <c r="CE794" i="5"/>
  <c r="CD794" i="5"/>
  <c r="CA794" i="5"/>
  <c r="BZ794" i="5"/>
  <c r="BU794" i="5"/>
  <c r="BY794" i="5"/>
  <c r="BX794" i="5"/>
  <c r="BW794" i="5"/>
  <c r="BV794" i="5"/>
  <c r="BS794" i="5"/>
  <c r="BT794" i="5"/>
  <c r="BR794" i="5"/>
  <c r="BQ794" i="5"/>
  <c r="BM794" i="5"/>
  <c r="BL794" i="5"/>
  <c r="BJ794" i="5"/>
  <c r="BI794" i="5"/>
  <c r="BK794" i="5"/>
  <c r="BF794" i="5"/>
  <c r="BH794" i="5"/>
  <c r="BG794" i="5"/>
  <c r="BD794" i="5"/>
  <c r="BE794" i="5"/>
  <c r="BA794" i="5"/>
  <c r="BP794" i="5" s="1"/>
  <c r="AZ794" i="5"/>
  <c r="AY794" i="5"/>
  <c r="AU794" i="5"/>
  <c r="BN794" i="5" s="1"/>
  <c r="AV794" i="5"/>
  <c r="BC794" i="5" s="1"/>
  <c r="CE867" i="5"/>
  <c r="CK867" i="5"/>
  <c r="CI867" i="5"/>
  <c r="CD867" i="5"/>
  <c r="CF867" i="5"/>
  <c r="CC867" i="5"/>
  <c r="BY867" i="5"/>
  <c r="CA867" i="5"/>
  <c r="BV867" i="5"/>
  <c r="BW867" i="5"/>
  <c r="BU867" i="5"/>
  <c r="BT867" i="5"/>
  <c r="BS867" i="5"/>
  <c r="BR867" i="5"/>
  <c r="BQ867" i="5"/>
  <c r="BM867" i="5"/>
  <c r="BI867" i="5"/>
  <c r="BK867" i="5"/>
  <c r="BJ867" i="5"/>
  <c r="BG867" i="5"/>
  <c r="BH867" i="5"/>
  <c r="BE867" i="5"/>
  <c r="BF867" i="5"/>
  <c r="BD867" i="5"/>
  <c r="AY867" i="5"/>
  <c r="BA867" i="5"/>
  <c r="BP867" i="5" s="1"/>
  <c r="AZ867" i="5"/>
  <c r="AU867" i="5"/>
  <c r="BB867" i="5" s="1"/>
  <c r="AV867" i="5"/>
  <c r="BO867" i="5" s="1"/>
  <c r="CI940" i="5"/>
  <c r="CF940" i="5"/>
  <c r="CK940" i="5"/>
  <c r="CE940" i="5"/>
  <c r="CC940" i="5"/>
  <c r="CA940" i="5"/>
  <c r="CD940" i="5"/>
  <c r="BY940" i="5"/>
  <c r="BW940" i="5"/>
  <c r="BU940" i="5"/>
  <c r="BV940" i="5"/>
  <c r="BT940" i="5"/>
  <c r="BQ940" i="5"/>
  <c r="BR940" i="5"/>
  <c r="BS940" i="5"/>
  <c r="BM940" i="5"/>
  <c r="BJ940" i="5"/>
  <c r="BK940" i="5"/>
  <c r="BI940" i="5"/>
  <c r="BH940" i="5"/>
  <c r="BF940" i="5"/>
  <c r="BG940" i="5"/>
  <c r="BE940" i="5"/>
  <c r="BD940" i="5"/>
  <c r="AZ940" i="5"/>
  <c r="AY940" i="5"/>
  <c r="BA940" i="5"/>
  <c r="BP940" i="5" s="1"/>
  <c r="AU940" i="5"/>
  <c r="BN940" i="5" s="1"/>
  <c r="AV940" i="5"/>
  <c r="BO940" i="5" s="1"/>
  <c r="CJ1013" i="5"/>
  <c r="CH1013" i="5"/>
  <c r="CK1013" i="5"/>
  <c r="CI1013" i="5"/>
  <c r="CG1013" i="5"/>
  <c r="CF1013" i="5"/>
  <c r="CD1013" i="5"/>
  <c r="CE1013" i="5"/>
  <c r="CC1013" i="5"/>
  <c r="CA1013" i="5"/>
  <c r="BX1013" i="5"/>
  <c r="BW1013" i="5"/>
  <c r="BY1013" i="5"/>
  <c r="BZ1013" i="5"/>
  <c r="BV1013" i="5"/>
  <c r="BU1013" i="5"/>
  <c r="BT1013" i="5"/>
  <c r="BQ1013" i="5"/>
  <c r="BR1013" i="5"/>
  <c r="BS1013" i="5"/>
  <c r="BM1013" i="5"/>
  <c r="BL1013" i="5"/>
  <c r="BK1013" i="5"/>
  <c r="BI1013" i="5"/>
  <c r="BJ1013" i="5"/>
  <c r="BH1013" i="5"/>
  <c r="BG1013" i="5"/>
  <c r="BF1013" i="5"/>
  <c r="BE1013" i="5"/>
  <c r="BD1013" i="5"/>
  <c r="BA1013" i="5"/>
  <c r="BP1013" i="5" s="1"/>
  <c r="AZ1013" i="5"/>
  <c r="AY1013" i="5"/>
  <c r="AU1013" i="5"/>
  <c r="BN1013" i="5" s="1"/>
  <c r="AV1013" i="5"/>
  <c r="BO1013" i="5" s="1"/>
  <c r="CI1086" i="5"/>
  <c r="CK1086" i="5"/>
  <c r="CC1086" i="5"/>
  <c r="CF1086" i="5"/>
  <c r="CE1086" i="5"/>
  <c r="CD1086" i="5"/>
  <c r="CA1086" i="5"/>
  <c r="BY1086" i="5"/>
  <c r="BU1086" i="5"/>
  <c r="BW1086" i="5"/>
  <c r="BV1086" i="5"/>
  <c r="BS1086" i="5"/>
  <c r="BR1086" i="5"/>
  <c r="BT1086" i="5"/>
  <c r="BQ1086" i="5"/>
  <c r="BM1086" i="5"/>
  <c r="BI1086" i="5"/>
  <c r="BK1086" i="5"/>
  <c r="BJ1086" i="5"/>
  <c r="BH1086" i="5"/>
  <c r="BG1086" i="5"/>
  <c r="BF1086" i="5"/>
  <c r="BE1086" i="5"/>
  <c r="BD1086" i="5"/>
  <c r="AV1086" i="5"/>
  <c r="BC1086" i="5" s="1"/>
  <c r="BA1086" i="5"/>
  <c r="BP1086" i="5" s="1"/>
  <c r="AZ1086" i="5"/>
  <c r="AY1086" i="5"/>
  <c r="AU1086" i="5"/>
  <c r="BB1086" i="5" s="1"/>
  <c r="CK1159" i="5"/>
  <c r="CH1159" i="5"/>
  <c r="CE1159" i="5"/>
  <c r="CJ1159" i="5"/>
  <c r="CF1159" i="5"/>
  <c r="CI1159" i="5"/>
  <c r="CG1159" i="5"/>
  <c r="CC1159" i="5"/>
  <c r="CD1159" i="5"/>
  <c r="BZ1159" i="5"/>
  <c r="CA1159" i="5"/>
  <c r="BY1159" i="5"/>
  <c r="BV1159" i="5"/>
  <c r="BX1159" i="5"/>
  <c r="BW1159" i="5"/>
  <c r="BU1159" i="5"/>
  <c r="BT1159" i="5"/>
  <c r="BS1159" i="5"/>
  <c r="BR1159" i="5"/>
  <c r="BQ1159" i="5"/>
  <c r="BL1159" i="5"/>
  <c r="BM1159" i="5"/>
  <c r="BK1159" i="5"/>
  <c r="BJ1159" i="5"/>
  <c r="BI1159" i="5"/>
  <c r="BG1159" i="5"/>
  <c r="BE1159" i="5"/>
  <c r="BH1159" i="5"/>
  <c r="BF1159" i="5"/>
  <c r="AY1159" i="5"/>
  <c r="BD1159" i="5"/>
  <c r="BA1159" i="5"/>
  <c r="BP1159" i="5" s="1"/>
  <c r="AZ1159" i="5"/>
  <c r="AV1159" i="5"/>
  <c r="BC1159" i="5" s="1"/>
  <c r="AU1159" i="5"/>
  <c r="BB1159" i="5" s="1"/>
  <c r="CI1232" i="5"/>
  <c r="CG1232" i="5"/>
  <c r="CF1232" i="5"/>
  <c r="CK1232" i="5"/>
  <c r="CJ1232" i="5"/>
  <c r="CD1232" i="5"/>
  <c r="CH1232" i="5"/>
  <c r="CE1232" i="5"/>
  <c r="CA1232" i="5"/>
  <c r="CC1232" i="5"/>
  <c r="BZ1232" i="5"/>
  <c r="BW1232" i="5"/>
  <c r="BY1232" i="5"/>
  <c r="BX1232" i="5"/>
  <c r="BV1232" i="5"/>
  <c r="BU1232" i="5"/>
  <c r="BT1232" i="5"/>
  <c r="BS1232" i="5"/>
  <c r="BR1232" i="5"/>
  <c r="BQ1232" i="5"/>
  <c r="BL1232" i="5"/>
  <c r="BM1232" i="5"/>
  <c r="BJ1232" i="5"/>
  <c r="BK1232" i="5"/>
  <c r="BH1232" i="5"/>
  <c r="BI1232" i="5"/>
  <c r="BG1232" i="5"/>
  <c r="BF1232" i="5"/>
  <c r="BE1232" i="5"/>
  <c r="BD1232" i="5"/>
  <c r="AZ1232" i="5"/>
  <c r="AV1232" i="5"/>
  <c r="BC1232" i="5" s="1"/>
  <c r="AY1232" i="5"/>
  <c r="BA1232" i="5"/>
  <c r="BP1232" i="5" s="1"/>
  <c r="AU1232" i="5"/>
  <c r="BB1232" i="5" s="1"/>
  <c r="BX74" i="5"/>
  <c r="BB101" i="5"/>
  <c r="BZ101" i="5" s="1"/>
  <c r="CK174" i="5"/>
  <c r="CJ174" i="5"/>
  <c r="CI174" i="5"/>
  <c r="CH174" i="5"/>
  <c r="CG174" i="5"/>
  <c r="CD174" i="5"/>
  <c r="CF174" i="5"/>
  <c r="CE174" i="5"/>
  <c r="CC174" i="5"/>
  <c r="BY174" i="5"/>
  <c r="BZ174" i="5"/>
  <c r="CA174" i="5"/>
  <c r="BX174" i="5"/>
  <c r="BU174" i="5"/>
  <c r="BV174" i="5"/>
  <c r="BW174" i="5"/>
  <c r="BT174" i="5"/>
  <c r="BS174" i="5"/>
  <c r="BR174" i="5"/>
  <c r="BQ174" i="5"/>
  <c r="BM174" i="5"/>
  <c r="BL174" i="5"/>
  <c r="BK174" i="5"/>
  <c r="BJ174" i="5"/>
  <c r="BI174" i="5"/>
  <c r="BH174" i="5"/>
  <c r="BG174" i="5"/>
  <c r="BF174" i="5"/>
  <c r="BD174" i="5"/>
  <c r="BE174" i="5"/>
  <c r="BA174" i="5"/>
  <c r="BP174" i="5" s="1"/>
  <c r="AZ174" i="5"/>
  <c r="AY174" i="5"/>
  <c r="AV174" i="5"/>
  <c r="BC174" i="5" s="1"/>
  <c r="AU174" i="5"/>
  <c r="BN174" i="5" s="1"/>
  <c r="BO183" i="5"/>
  <c r="CK302" i="5"/>
  <c r="CI302" i="5"/>
  <c r="CD302" i="5"/>
  <c r="CF302" i="5"/>
  <c r="CE302" i="5"/>
  <c r="CC302" i="5"/>
  <c r="BY302" i="5"/>
  <c r="CA302" i="5"/>
  <c r="BU302" i="5"/>
  <c r="BV302" i="5"/>
  <c r="BW302" i="5"/>
  <c r="BS302" i="5"/>
  <c r="BT302" i="5"/>
  <c r="BR302" i="5"/>
  <c r="BQ302" i="5"/>
  <c r="BM302" i="5"/>
  <c r="BK302" i="5"/>
  <c r="BJ302" i="5"/>
  <c r="BI302" i="5"/>
  <c r="BG302" i="5"/>
  <c r="BH302" i="5"/>
  <c r="BF302" i="5"/>
  <c r="BD302" i="5"/>
  <c r="BE302" i="5"/>
  <c r="BA302" i="5"/>
  <c r="BP302" i="5" s="1"/>
  <c r="AZ302" i="5"/>
  <c r="AY302" i="5"/>
  <c r="AV302" i="5"/>
  <c r="BC302" i="5" s="1"/>
  <c r="AU302" i="5"/>
  <c r="BN302" i="5" s="1"/>
  <c r="CE403" i="5"/>
  <c r="CK403" i="5"/>
  <c r="CI403" i="5"/>
  <c r="CF403" i="5"/>
  <c r="CD403" i="5"/>
  <c r="CC403" i="5"/>
  <c r="BY403" i="5"/>
  <c r="CA403" i="5"/>
  <c r="BV403" i="5"/>
  <c r="BW403" i="5"/>
  <c r="BU403" i="5"/>
  <c r="BT403" i="5"/>
  <c r="BS403" i="5"/>
  <c r="BR403" i="5"/>
  <c r="BQ403" i="5"/>
  <c r="BK403" i="5"/>
  <c r="BM403" i="5"/>
  <c r="BI403" i="5"/>
  <c r="BG403" i="5"/>
  <c r="BJ403" i="5"/>
  <c r="BH403" i="5"/>
  <c r="BF403" i="5"/>
  <c r="BE403" i="5"/>
  <c r="BD403" i="5"/>
  <c r="BA403" i="5"/>
  <c r="BP403" i="5" s="1"/>
  <c r="AY403" i="5"/>
  <c r="AU403" i="5"/>
  <c r="BB403" i="5" s="1"/>
  <c r="AZ403" i="5"/>
  <c r="AV403" i="5"/>
  <c r="BO403" i="5" s="1"/>
  <c r="CK476" i="5"/>
  <c r="CF476" i="5"/>
  <c r="CE476" i="5"/>
  <c r="CD476" i="5"/>
  <c r="CI476" i="5"/>
  <c r="CC476" i="5"/>
  <c r="CA476" i="5"/>
  <c r="BV476" i="5"/>
  <c r="BY476" i="5"/>
  <c r="BW476" i="5"/>
  <c r="BU476" i="5"/>
  <c r="BS476" i="5"/>
  <c r="BT476" i="5"/>
  <c r="BQ476" i="5"/>
  <c r="BR476" i="5"/>
  <c r="BJ476" i="5"/>
  <c r="BM476" i="5"/>
  <c r="BK476" i="5"/>
  <c r="BI476" i="5"/>
  <c r="BH476" i="5"/>
  <c r="BG476" i="5"/>
  <c r="BF476" i="5"/>
  <c r="BD476" i="5"/>
  <c r="BE476" i="5"/>
  <c r="AZ476" i="5"/>
  <c r="BA476" i="5"/>
  <c r="BP476" i="5" s="1"/>
  <c r="AY476" i="5"/>
  <c r="AV476" i="5"/>
  <c r="BO476" i="5" s="1"/>
  <c r="AU476" i="5"/>
  <c r="BB476" i="5" s="1"/>
  <c r="CK549" i="5"/>
  <c r="CJ549" i="5"/>
  <c r="CI549" i="5"/>
  <c r="CH549" i="5"/>
  <c r="CG549" i="5"/>
  <c r="CD549" i="5"/>
  <c r="CF549" i="5"/>
  <c r="CE549" i="5"/>
  <c r="CC549" i="5"/>
  <c r="BW549" i="5"/>
  <c r="CA549" i="5"/>
  <c r="BY549" i="5"/>
  <c r="BZ549" i="5"/>
  <c r="BV549" i="5"/>
  <c r="BU549" i="5"/>
  <c r="BT549" i="5"/>
  <c r="BX549" i="5"/>
  <c r="BR549" i="5"/>
  <c r="BS549" i="5"/>
  <c r="BQ549" i="5"/>
  <c r="BL549" i="5"/>
  <c r="BM549" i="5"/>
  <c r="BK549" i="5"/>
  <c r="BJ549" i="5"/>
  <c r="BI549" i="5"/>
  <c r="BH549" i="5"/>
  <c r="BG549" i="5"/>
  <c r="BF549" i="5"/>
  <c r="BD549" i="5"/>
  <c r="BE549" i="5"/>
  <c r="BA549" i="5"/>
  <c r="BP549" i="5" s="1"/>
  <c r="AZ549" i="5"/>
  <c r="AY549" i="5"/>
  <c r="AV549" i="5"/>
  <c r="BC549" i="5" s="1"/>
  <c r="AU549" i="5"/>
  <c r="BB549" i="5" s="1"/>
  <c r="CK622" i="5"/>
  <c r="CI622" i="5"/>
  <c r="CF622" i="5"/>
  <c r="CE622" i="5"/>
  <c r="CD622" i="5"/>
  <c r="CC622" i="5"/>
  <c r="CA622" i="5"/>
  <c r="BY622" i="5"/>
  <c r="BU622" i="5"/>
  <c r="BW622" i="5"/>
  <c r="BV622" i="5"/>
  <c r="BS622" i="5"/>
  <c r="BT622" i="5"/>
  <c r="BR622" i="5"/>
  <c r="BQ622" i="5"/>
  <c r="BM622" i="5"/>
  <c r="BK622" i="5"/>
  <c r="BJ622" i="5"/>
  <c r="BI622" i="5"/>
  <c r="BH622" i="5"/>
  <c r="BG622" i="5"/>
  <c r="BF622" i="5"/>
  <c r="BE622" i="5"/>
  <c r="BD622" i="5"/>
  <c r="BA622" i="5"/>
  <c r="BP622" i="5" s="1"/>
  <c r="AZ622" i="5"/>
  <c r="AY622" i="5"/>
  <c r="AV622" i="5"/>
  <c r="BO622" i="5" s="1"/>
  <c r="AU622" i="5"/>
  <c r="BN622" i="5" s="1"/>
  <c r="CK695" i="5"/>
  <c r="CJ695" i="5"/>
  <c r="CG695" i="5"/>
  <c r="CE695" i="5"/>
  <c r="CF695" i="5"/>
  <c r="CI695" i="5"/>
  <c r="CH695" i="5"/>
  <c r="CC695" i="5"/>
  <c r="BZ695" i="5"/>
  <c r="CD695" i="5"/>
  <c r="CA695" i="5"/>
  <c r="BY695" i="5"/>
  <c r="BX695" i="5"/>
  <c r="BV695" i="5"/>
  <c r="BW695" i="5"/>
  <c r="BU695" i="5"/>
  <c r="BT695" i="5"/>
  <c r="BS695" i="5"/>
  <c r="BR695" i="5"/>
  <c r="BQ695" i="5"/>
  <c r="BM695" i="5"/>
  <c r="BL695" i="5"/>
  <c r="BI695" i="5"/>
  <c r="BJ695" i="5"/>
  <c r="BK695" i="5"/>
  <c r="BG695" i="5"/>
  <c r="BH695" i="5"/>
  <c r="BE695" i="5"/>
  <c r="BF695" i="5"/>
  <c r="BD695" i="5"/>
  <c r="AY695" i="5"/>
  <c r="BA695" i="5"/>
  <c r="BP695" i="5" s="1"/>
  <c r="AZ695" i="5"/>
  <c r="AV695" i="5"/>
  <c r="BC695" i="5" s="1"/>
  <c r="AU695" i="5"/>
  <c r="BN695" i="5" s="1"/>
  <c r="CI768" i="5"/>
  <c r="CF768" i="5"/>
  <c r="CK768" i="5"/>
  <c r="CC768" i="5"/>
  <c r="CE768" i="5"/>
  <c r="CD768" i="5"/>
  <c r="CA768" i="5"/>
  <c r="BY768" i="5"/>
  <c r="BW768" i="5"/>
  <c r="BV768" i="5"/>
  <c r="BU768" i="5"/>
  <c r="BT768" i="5"/>
  <c r="BS768" i="5"/>
  <c r="BQ768" i="5"/>
  <c r="BR768" i="5"/>
  <c r="BM768" i="5"/>
  <c r="BK768" i="5"/>
  <c r="BJ768" i="5"/>
  <c r="BH768" i="5"/>
  <c r="BI768" i="5"/>
  <c r="BG768" i="5"/>
  <c r="BF768" i="5"/>
  <c r="BE768" i="5"/>
  <c r="BD768" i="5"/>
  <c r="AZ768" i="5"/>
  <c r="AY768" i="5"/>
  <c r="BA768" i="5"/>
  <c r="BP768" i="5" s="1"/>
  <c r="AV768" i="5"/>
  <c r="BO768" i="5" s="1"/>
  <c r="AU768" i="5"/>
  <c r="BN768" i="5" s="1"/>
  <c r="CI842" i="5"/>
  <c r="CK842" i="5"/>
  <c r="CH842" i="5"/>
  <c r="CJ842" i="5"/>
  <c r="CF842" i="5"/>
  <c r="CG842" i="5"/>
  <c r="CC842" i="5"/>
  <c r="CE842" i="5"/>
  <c r="CD842" i="5"/>
  <c r="BX842" i="5"/>
  <c r="CA842" i="5"/>
  <c r="BY842" i="5"/>
  <c r="BU842" i="5"/>
  <c r="BZ842" i="5"/>
  <c r="BW842" i="5"/>
  <c r="BV842" i="5"/>
  <c r="BS842" i="5"/>
  <c r="BT842" i="5"/>
  <c r="BQ842" i="5"/>
  <c r="BR842" i="5"/>
  <c r="BM842" i="5"/>
  <c r="BL842" i="5"/>
  <c r="BK842" i="5"/>
  <c r="BJ842" i="5"/>
  <c r="BI842" i="5"/>
  <c r="BF842" i="5"/>
  <c r="BH842" i="5"/>
  <c r="BG842" i="5"/>
  <c r="BD842" i="5"/>
  <c r="BE842" i="5"/>
  <c r="BA842" i="5"/>
  <c r="BP842" i="5" s="1"/>
  <c r="AZ842" i="5"/>
  <c r="AY842" i="5"/>
  <c r="AV842" i="5"/>
  <c r="BO842" i="5" s="1"/>
  <c r="AU842" i="5"/>
  <c r="BB842" i="5" s="1"/>
  <c r="CE915" i="5"/>
  <c r="CK915" i="5"/>
  <c r="CI915" i="5"/>
  <c r="CF915" i="5"/>
  <c r="CD915" i="5"/>
  <c r="CC915" i="5"/>
  <c r="BY915" i="5"/>
  <c r="CA915" i="5"/>
  <c r="BV915" i="5"/>
  <c r="BW915" i="5"/>
  <c r="BU915" i="5"/>
  <c r="BT915" i="5"/>
  <c r="BS915" i="5"/>
  <c r="BR915" i="5"/>
  <c r="BQ915" i="5"/>
  <c r="BM915" i="5"/>
  <c r="BI915" i="5"/>
  <c r="BK915" i="5"/>
  <c r="BG915" i="5"/>
  <c r="BJ915" i="5"/>
  <c r="BH915" i="5"/>
  <c r="BE915" i="5"/>
  <c r="BD915" i="5"/>
  <c r="BF915" i="5"/>
  <c r="AY915" i="5"/>
  <c r="AU915" i="5"/>
  <c r="BB915" i="5" s="1"/>
  <c r="BA915" i="5"/>
  <c r="BP915" i="5" s="1"/>
  <c r="AZ915" i="5"/>
  <c r="AV915" i="5"/>
  <c r="BC915" i="5" s="1"/>
  <c r="CJ988" i="5"/>
  <c r="CH988" i="5"/>
  <c r="CK988" i="5"/>
  <c r="CF988" i="5"/>
  <c r="CI988" i="5"/>
  <c r="CE988" i="5"/>
  <c r="CG988" i="5"/>
  <c r="CC988" i="5"/>
  <c r="CA988" i="5"/>
  <c r="CD988" i="5"/>
  <c r="BZ988" i="5"/>
  <c r="BY988" i="5"/>
  <c r="BX988" i="5"/>
  <c r="BW988" i="5"/>
  <c r="BU988" i="5"/>
  <c r="BV988" i="5"/>
  <c r="BT988" i="5"/>
  <c r="BS988" i="5"/>
  <c r="BQ988" i="5"/>
  <c r="BR988" i="5"/>
  <c r="BL988" i="5"/>
  <c r="BJ988" i="5"/>
  <c r="BM988" i="5"/>
  <c r="BK988" i="5"/>
  <c r="BI988" i="5"/>
  <c r="BH988" i="5"/>
  <c r="BG988" i="5"/>
  <c r="BF988" i="5"/>
  <c r="BD988" i="5"/>
  <c r="BE988" i="5"/>
  <c r="AZ988" i="5"/>
  <c r="AY988" i="5"/>
  <c r="BA988" i="5"/>
  <c r="BP988" i="5" s="1"/>
  <c r="AV988" i="5"/>
  <c r="BO988" i="5" s="1"/>
  <c r="AU988" i="5"/>
  <c r="BB988" i="5" s="1"/>
  <c r="CI1061" i="5"/>
  <c r="CK1061" i="5"/>
  <c r="CD1061" i="5"/>
  <c r="CF1061" i="5"/>
  <c r="CE1061" i="5"/>
  <c r="CC1061" i="5"/>
  <c r="BW1061" i="5"/>
  <c r="CA1061" i="5"/>
  <c r="BY1061" i="5"/>
  <c r="BV1061" i="5"/>
  <c r="BU1061" i="5"/>
  <c r="BT1061" i="5"/>
  <c r="BQ1061" i="5"/>
  <c r="BS1061" i="5"/>
  <c r="BR1061" i="5"/>
  <c r="BM1061" i="5"/>
  <c r="BK1061" i="5"/>
  <c r="BJ1061" i="5"/>
  <c r="BI1061" i="5"/>
  <c r="BH1061" i="5"/>
  <c r="BG1061" i="5"/>
  <c r="BD1061" i="5"/>
  <c r="BF1061" i="5"/>
  <c r="BE1061" i="5"/>
  <c r="BA1061" i="5"/>
  <c r="BP1061" i="5" s="1"/>
  <c r="AZ1061" i="5"/>
  <c r="AY1061" i="5"/>
  <c r="AV1061" i="5"/>
  <c r="BO1061" i="5" s="1"/>
  <c r="AU1061" i="5"/>
  <c r="BN1061" i="5" s="1"/>
  <c r="CJ1134" i="5"/>
  <c r="CI1134" i="5"/>
  <c r="CK1134" i="5"/>
  <c r="CH1134" i="5"/>
  <c r="CG1134" i="5"/>
  <c r="CF1134" i="5"/>
  <c r="CC1134" i="5"/>
  <c r="CE1134" i="5"/>
  <c r="CD1134" i="5"/>
  <c r="BX1134" i="5"/>
  <c r="CA1134" i="5"/>
  <c r="BZ1134" i="5"/>
  <c r="BY1134" i="5"/>
  <c r="BW1134" i="5"/>
  <c r="BU1134" i="5"/>
  <c r="BV1134" i="5"/>
  <c r="BS1134" i="5"/>
  <c r="BT1134" i="5"/>
  <c r="BR1134" i="5"/>
  <c r="BQ1134" i="5"/>
  <c r="BM1134" i="5"/>
  <c r="BL1134" i="5"/>
  <c r="BK1134" i="5"/>
  <c r="BJ1134" i="5"/>
  <c r="BI1134" i="5"/>
  <c r="BH1134" i="5"/>
  <c r="BG1134" i="5"/>
  <c r="BF1134" i="5"/>
  <c r="BE1134" i="5"/>
  <c r="BD1134" i="5"/>
  <c r="BA1134" i="5"/>
  <c r="BP1134" i="5" s="1"/>
  <c r="AZ1134" i="5"/>
  <c r="AY1134" i="5"/>
  <c r="AV1134" i="5"/>
  <c r="BC1134" i="5" s="1"/>
  <c r="AU1134" i="5"/>
  <c r="BN1134" i="5" s="1"/>
  <c r="CJ1207" i="5"/>
  <c r="CH1207" i="5"/>
  <c r="CE1207" i="5"/>
  <c r="CK1207" i="5"/>
  <c r="CF1207" i="5"/>
  <c r="CI1207" i="5"/>
  <c r="CG1207" i="5"/>
  <c r="CD1207" i="5"/>
  <c r="BZ1207" i="5"/>
  <c r="CC1207" i="5"/>
  <c r="CA1207" i="5"/>
  <c r="BY1207" i="5"/>
  <c r="BX1207" i="5"/>
  <c r="BV1207" i="5"/>
  <c r="BW1207" i="5"/>
  <c r="BT1207" i="5"/>
  <c r="BU1207" i="5"/>
  <c r="BR1207" i="5"/>
  <c r="BQ1207" i="5"/>
  <c r="BS1207" i="5"/>
  <c r="BM1207" i="5"/>
  <c r="BL1207" i="5"/>
  <c r="BK1207" i="5"/>
  <c r="BJ1207" i="5"/>
  <c r="BI1207" i="5"/>
  <c r="BG1207" i="5"/>
  <c r="BH1207" i="5"/>
  <c r="BE1207" i="5"/>
  <c r="BF1207" i="5"/>
  <c r="AY1207" i="5"/>
  <c r="BD1207" i="5"/>
  <c r="BA1207" i="5"/>
  <c r="BP1207" i="5" s="1"/>
  <c r="AZ1207" i="5"/>
  <c r="AV1207" i="5"/>
  <c r="BO1207" i="5" s="1"/>
  <c r="AU1207" i="5"/>
  <c r="BB1207" i="5" s="1"/>
  <c r="CJ1280" i="5"/>
  <c r="CI1280" i="5"/>
  <c r="CF1280" i="5"/>
  <c r="CK1280" i="5"/>
  <c r="CH1280" i="5"/>
  <c r="CG1280" i="5"/>
  <c r="CE1280" i="5"/>
  <c r="CD1280" i="5"/>
  <c r="CC1280" i="5"/>
  <c r="CA1280" i="5"/>
  <c r="BZ1280" i="5"/>
  <c r="BY1280" i="5"/>
  <c r="BX1280" i="5"/>
  <c r="BW1280" i="5"/>
  <c r="BV1280" i="5"/>
  <c r="BU1280" i="5"/>
  <c r="BT1280" i="5"/>
  <c r="BR1280" i="5"/>
  <c r="BQ1280" i="5"/>
  <c r="BS1280" i="5"/>
  <c r="BM1280" i="5"/>
  <c r="BL1280" i="5"/>
  <c r="BJ1280" i="5"/>
  <c r="BH1280" i="5"/>
  <c r="BI1280" i="5"/>
  <c r="BK1280" i="5"/>
  <c r="BG1280" i="5"/>
  <c r="BF1280" i="5"/>
  <c r="BE1280" i="5"/>
  <c r="BD1280" i="5"/>
  <c r="AZ1280" i="5"/>
  <c r="AY1280" i="5"/>
  <c r="BA1280" i="5"/>
  <c r="BP1280" i="5" s="1"/>
  <c r="AV1280" i="5"/>
  <c r="BO1280" i="5" s="1"/>
  <c r="AU1280" i="5"/>
  <c r="BN1280" i="5" s="1"/>
  <c r="CI75" i="5"/>
  <c r="CE75" i="5"/>
  <c r="CK75" i="5"/>
  <c r="CD75" i="5"/>
  <c r="CF75" i="5"/>
  <c r="CC75" i="5"/>
  <c r="CA75" i="5"/>
  <c r="BY75" i="5"/>
  <c r="BW75" i="5"/>
  <c r="BV75" i="5"/>
  <c r="BU75" i="5"/>
  <c r="BS75" i="5"/>
  <c r="BT75" i="5"/>
  <c r="BQ75" i="5"/>
  <c r="BR75" i="5"/>
  <c r="BK75" i="5"/>
  <c r="BM75" i="5"/>
  <c r="BI75" i="5"/>
  <c r="BG75" i="5"/>
  <c r="BH75" i="5"/>
  <c r="BJ75" i="5"/>
  <c r="BF75" i="5"/>
  <c r="BE75" i="5"/>
  <c r="BD75" i="5"/>
  <c r="BA75" i="5"/>
  <c r="BP75" i="5" s="1"/>
  <c r="AY75" i="5"/>
  <c r="AZ75" i="5"/>
  <c r="AU75" i="5"/>
  <c r="BB75" i="5" s="1"/>
  <c r="AV75" i="5"/>
  <c r="BO75" i="5" s="1"/>
  <c r="CJ221" i="5"/>
  <c r="CH221" i="5"/>
  <c r="CI221" i="5"/>
  <c r="CK221" i="5"/>
  <c r="CF221" i="5"/>
  <c r="CE221" i="5"/>
  <c r="CD221" i="5"/>
  <c r="CG221" i="5"/>
  <c r="CC221" i="5"/>
  <c r="CA221" i="5"/>
  <c r="BZ221" i="5"/>
  <c r="BY221" i="5"/>
  <c r="BW221" i="5"/>
  <c r="BX221" i="5"/>
  <c r="BT221" i="5"/>
  <c r="BV221" i="5"/>
  <c r="BU221" i="5"/>
  <c r="BR221" i="5"/>
  <c r="BS221" i="5"/>
  <c r="BQ221" i="5"/>
  <c r="BL221" i="5"/>
  <c r="BK221" i="5"/>
  <c r="BM221" i="5"/>
  <c r="BH221" i="5"/>
  <c r="BJ221" i="5"/>
  <c r="BI221" i="5"/>
  <c r="BG221" i="5"/>
  <c r="BF221" i="5"/>
  <c r="BE221" i="5"/>
  <c r="BD221" i="5"/>
  <c r="BA221" i="5"/>
  <c r="BP221" i="5" s="1"/>
  <c r="AZ221" i="5"/>
  <c r="AY221" i="5"/>
  <c r="AV221" i="5"/>
  <c r="BO221" i="5" s="1"/>
  <c r="AU221" i="5"/>
  <c r="BB221" i="5" s="1"/>
  <c r="CK367" i="5"/>
  <c r="CH367" i="5"/>
  <c r="CE367" i="5"/>
  <c r="CJ367" i="5"/>
  <c r="CI367" i="5"/>
  <c r="CG367" i="5"/>
  <c r="CD367" i="5"/>
  <c r="CF367" i="5"/>
  <c r="CC367" i="5"/>
  <c r="BZ367" i="5"/>
  <c r="BX367" i="5"/>
  <c r="CA367" i="5"/>
  <c r="BY367" i="5"/>
  <c r="BV367" i="5"/>
  <c r="BW367" i="5"/>
  <c r="BU367" i="5"/>
  <c r="BT367" i="5"/>
  <c r="BS367" i="5"/>
  <c r="BR367" i="5"/>
  <c r="BQ367" i="5"/>
  <c r="BK367" i="5"/>
  <c r="BM367" i="5"/>
  <c r="BI367" i="5"/>
  <c r="BL367" i="5"/>
  <c r="BJ367" i="5"/>
  <c r="BH367" i="5"/>
  <c r="BG367" i="5"/>
  <c r="BE367" i="5"/>
  <c r="BF367" i="5"/>
  <c r="BD367" i="5"/>
  <c r="BA367" i="5"/>
  <c r="BP367" i="5" s="1"/>
  <c r="AY367" i="5"/>
  <c r="AZ367" i="5"/>
  <c r="AU367" i="5"/>
  <c r="BB367" i="5" s="1"/>
  <c r="AV367" i="5"/>
  <c r="BO367" i="5" s="1"/>
  <c r="CH587" i="5"/>
  <c r="CK587" i="5"/>
  <c r="CI587" i="5"/>
  <c r="CE587" i="5"/>
  <c r="CJ587" i="5"/>
  <c r="CG587" i="5"/>
  <c r="CF587" i="5"/>
  <c r="CD587" i="5"/>
  <c r="CC587" i="5"/>
  <c r="BZ587" i="5"/>
  <c r="BX587" i="5"/>
  <c r="CA587" i="5"/>
  <c r="BY587" i="5"/>
  <c r="BW587" i="5"/>
  <c r="BV587" i="5"/>
  <c r="BU587" i="5"/>
  <c r="BT587" i="5"/>
  <c r="BS587" i="5"/>
  <c r="BQ587" i="5"/>
  <c r="BR587" i="5"/>
  <c r="BM587" i="5"/>
  <c r="BL587" i="5"/>
  <c r="BK587" i="5"/>
  <c r="BI587" i="5"/>
  <c r="BG587" i="5"/>
  <c r="BJ587" i="5"/>
  <c r="BF587" i="5"/>
  <c r="BH587" i="5"/>
  <c r="BE587" i="5"/>
  <c r="BD587" i="5"/>
  <c r="AY587" i="5"/>
  <c r="BA587" i="5"/>
  <c r="BP587" i="5" s="1"/>
  <c r="AZ587" i="5"/>
  <c r="AU587" i="5"/>
  <c r="BB587" i="5" s="1"/>
  <c r="AV587" i="5"/>
  <c r="BC587" i="5" s="1"/>
  <c r="CK733" i="5"/>
  <c r="CI733" i="5"/>
  <c r="CG733" i="5"/>
  <c r="CH733" i="5"/>
  <c r="CJ733" i="5"/>
  <c r="CF733" i="5"/>
  <c r="CE733" i="5"/>
  <c r="CD733" i="5"/>
  <c r="CC733" i="5"/>
  <c r="CA733" i="5"/>
  <c r="BZ733" i="5"/>
  <c r="BX733" i="5"/>
  <c r="BY733" i="5"/>
  <c r="BW733" i="5"/>
  <c r="BV733" i="5"/>
  <c r="BU733" i="5"/>
  <c r="BR733" i="5"/>
  <c r="BT733" i="5"/>
  <c r="BS733" i="5"/>
  <c r="BQ733" i="5"/>
  <c r="BM733" i="5"/>
  <c r="BL733" i="5"/>
  <c r="BK733" i="5"/>
  <c r="BJ733" i="5"/>
  <c r="BI733" i="5"/>
  <c r="BH733" i="5"/>
  <c r="BG733" i="5"/>
  <c r="BE733" i="5"/>
  <c r="BD733" i="5"/>
  <c r="BF733" i="5"/>
  <c r="BA733" i="5"/>
  <c r="BP733" i="5" s="1"/>
  <c r="AZ733" i="5"/>
  <c r="AY733" i="5"/>
  <c r="AV733" i="5"/>
  <c r="BO733" i="5" s="1"/>
  <c r="AU733" i="5"/>
  <c r="BB733" i="5" s="1"/>
  <c r="CK879" i="5"/>
  <c r="CE879" i="5"/>
  <c r="CI879" i="5"/>
  <c r="CF879" i="5"/>
  <c r="CD879" i="5"/>
  <c r="CC879" i="5"/>
  <c r="BY879" i="5"/>
  <c r="CA879" i="5"/>
  <c r="BV879" i="5"/>
  <c r="BW879" i="5"/>
  <c r="BU879" i="5"/>
  <c r="BT879" i="5"/>
  <c r="BR879" i="5"/>
  <c r="BS879" i="5"/>
  <c r="BQ879" i="5"/>
  <c r="BM879" i="5"/>
  <c r="BI879" i="5"/>
  <c r="BJ879" i="5"/>
  <c r="BK879" i="5"/>
  <c r="BG879" i="5"/>
  <c r="BH879" i="5"/>
  <c r="BE879" i="5"/>
  <c r="BF879" i="5"/>
  <c r="BD879" i="5"/>
  <c r="AY879" i="5"/>
  <c r="BA879" i="5"/>
  <c r="BP879" i="5" s="1"/>
  <c r="AZ879" i="5"/>
  <c r="AU879" i="5"/>
  <c r="BN879" i="5" s="1"/>
  <c r="AV879" i="5"/>
  <c r="BO879" i="5" s="1"/>
  <c r="CJ1026" i="5"/>
  <c r="CK1026" i="5"/>
  <c r="CI1026" i="5"/>
  <c r="CH1026" i="5"/>
  <c r="CF1026" i="5"/>
  <c r="CE1026" i="5"/>
  <c r="CG1026" i="5"/>
  <c r="CC1026" i="5"/>
  <c r="CD1026" i="5"/>
  <c r="CA1026" i="5"/>
  <c r="BZ1026" i="5"/>
  <c r="BY1026" i="5"/>
  <c r="BX1026" i="5"/>
  <c r="BU1026" i="5"/>
  <c r="BW1026" i="5"/>
  <c r="BV1026" i="5"/>
  <c r="BS1026" i="5"/>
  <c r="BT1026" i="5"/>
  <c r="BR1026" i="5"/>
  <c r="BQ1026" i="5"/>
  <c r="BM1026" i="5"/>
  <c r="BL1026" i="5"/>
  <c r="BK1026" i="5"/>
  <c r="BJ1026" i="5"/>
  <c r="BI1026" i="5"/>
  <c r="BH1026" i="5"/>
  <c r="BG1026" i="5"/>
  <c r="BD1026" i="5"/>
  <c r="BF1026" i="5"/>
  <c r="BE1026" i="5"/>
  <c r="BA1026" i="5"/>
  <c r="BP1026" i="5" s="1"/>
  <c r="AZ1026" i="5"/>
  <c r="AY1026" i="5"/>
  <c r="AV1026" i="5"/>
  <c r="BC1026" i="5" s="1"/>
  <c r="AU1026" i="5"/>
  <c r="BN1026" i="5" s="1"/>
  <c r="CK1172" i="5"/>
  <c r="CF1172" i="5"/>
  <c r="CI1172" i="5"/>
  <c r="CE1172" i="5"/>
  <c r="CD1172" i="5"/>
  <c r="CA1172" i="5"/>
  <c r="CC1172" i="5"/>
  <c r="BY1172" i="5"/>
  <c r="BW1172" i="5"/>
  <c r="BV1172" i="5"/>
  <c r="BU1172" i="5"/>
  <c r="BT1172" i="5"/>
  <c r="BS1172" i="5"/>
  <c r="BR1172" i="5"/>
  <c r="BQ1172" i="5"/>
  <c r="BJ1172" i="5"/>
  <c r="BM1172" i="5"/>
  <c r="BI1172" i="5"/>
  <c r="BK1172" i="5"/>
  <c r="BH1172" i="5"/>
  <c r="BF1172" i="5"/>
  <c r="BG1172" i="5"/>
  <c r="BE1172" i="5"/>
  <c r="BD1172" i="5"/>
  <c r="AZ1172" i="5"/>
  <c r="BA1172" i="5"/>
  <c r="BP1172" i="5" s="1"/>
  <c r="AY1172" i="5"/>
  <c r="AV1172" i="5"/>
  <c r="BO1172" i="5" s="1"/>
  <c r="AU1172" i="5"/>
  <c r="BB1172" i="5" s="1"/>
  <c r="CK1245" i="5"/>
  <c r="CI1245" i="5"/>
  <c r="CF1245" i="5"/>
  <c r="CE1245" i="5"/>
  <c r="CD1245" i="5"/>
  <c r="CC1245" i="5"/>
  <c r="CA1245" i="5"/>
  <c r="BY1245" i="5"/>
  <c r="BW1245" i="5"/>
  <c r="BU1245" i="5"/>
  <c r="BV1245" i="5"/>
  <c r="BT1245" i="5"/>
  <c r="BS1245" i="5"/>
  <c r="BQ1245" i="5"/>
  <c r="BR1245" i="5"/>
  <c r="BM1245" i="5"/>
  <c r="BK1245" i="5"/>
  <c r="BI1245" i="5"/>
  <c r="BJ1245" i="5"/>
  <c r="BH1245" i="5"/>
  <c r="BG1245" i="5"/>
  <c r="BF1245" i="5"/>
  <c r="BE1245" i="5"/>
  <c r="BD1245" i="5"/>
  <c r="BA1245" i="5"/>
  <c r="BP1245" i="5" s="1"/>
  <c r="AU1245" i="5"/>
  <c r="BB1245" i="5" s="1"/>
  <c r="AZ1245" i="5"/>
  <c r="AY1245" i="5"/>
  <c r="AV1245" i="5"/>
  <c r="BO1245" i="5" s="1"/>
  <c r="BC39" i="5"/>
  <c r="CK158" i="5"/>
  <c r="CJ158" i="5"/>
  <c r="CI158" i="5"/>
  <c r="CG158" i="5"/>
  <c r="CD158" i="5"/>
  <c r="CH158" i="5"/>
  <c r="CF158" i="5"/>
  <c r="CE158" i="5"/>
  <c r="CC158" i="5"/>
  <c r="BY158" i="5"/>
  <c r="BZ158" i="5"/>
  <c r="CA158" i="5"/>
  <c r="BX158" i="5"/>
  <c r="BU158" i="5"/>
  <c r="BV158" i="5"/>
  <c r="BW158" i="5"/>
  <c r="BT158" i="5"/>
  <c r="BS158" i="5"/>
  <c r="BR158" i="5"/>
  <c r="BQ158" i="5"/>
  <c r="BM158" i="5"/>
  <c r="BK158" i="5"/>
  <c r="BL158" i="5"/>
  <c r="BH158" i="5"/>
  <c r="BJ158" i="5"/>
  <c r="BI158" i="5"/>
  <c r="BG158" i="5"/>
  <c r="BF158" i="5"/>
  <c r="BD158" i="5"/>
  <c r="BE158" i="5"/>
  <c r="BA158" i="5"/>
  <c r="BP158" i="5" s="1"/>
  <c r="AV158" i="5"/>
  <c r="BO158" i="5" s="1"/>
  <c r="AZ158" i="5"/>
  <c r="AY158" i="5"/>
  <c r="AU158" i="5"/>
  <c r="BB158" i="5" s="1"/>
  <c r="CK304" i="5"/>
  <c r="CI304" i="5"/>
  <c r="CF304" i="5"/>
  <c r="CG304" i="5"/>
  <c r="CC304" i="5"/>
  <c r="CD304" i="5"/>
  <c r="CE304" i="5"/>
  <c r="CA304" i="5"/>
  <c r="BV304" i="5"/>
  <c r="BW304" i="5"/>
  <c r="BY304" i="5"/>
  <c r="BU304" i="5"/>
  <c r="BS304" i="5"/>
  <c r="BT304" i="5"/>
  <c r="BQ304" i="5"/>
  <c r="BR304" i="5"/>
  <c r="BM304" i="5"/>
  <c r="BK304" i="5"/>
  <c r="BJ304" i="5"/>
  <c r="BI304" i="5"/>
  <c r="BH304" i="5"/>
  <c r="BG304" i="5"/>
  <c r="BF304" i="5"/>
  <c r="BE304" i="5"/>
  <c r="BD304" i="5"/>
  <c r="BA304" i="5"/>
  <c r="BP304" i="5" s="1"/>
  <c r="AZ304" i="5"/>
  <c r="AV304" i="5"/>
  <c r="BO304" i="5" s="1"/>
  <c r="AY304" i="5"/>
  <c r="AU304" i="5"/>
  <c r="BN304" i="5" s="1"/>
  <c r="CK451" i="5"/>
  <c r="CH451" i="5"/>
  <c r="CE451" i="5"/>
  <c r="CI451" i="5"/>
  <c r="CG451" i="5"/>
  <c r="CJ451" i="5"/>
  <c r="CF451" i="5"/>
  <c r="CD451" i="5"/>
  <c r="CC451" i="5"/>
  <c r="BZ451" i="5"/>
  <c r="BY451" i="5"/>
  <c r="CA451" i="5"/>
  <c r="BX451" i="5"/>
  <c r="BW451" i="5"/>
  <c r="BV451" i="5"/>
  <c r="BU451" i="5"/>
  <c r="BT451" i="5"/>
  <c r="BS451" i="5"/>
  <c r="BR451" i="5"/>
  <c r="BQ451" i="5"/>
  <c r="BL451" i="5"/>
  <c r="BM451" i="5"/>
  <c r="BK451" i="5"/>
  <c r="BI451" i="5"/>
  <c r="BJ451" i="5"/>
  <c r="BG451" i="5"/>
  <c r="BH451" i="5"/>
  <c r="BF451" i="5"/>
  <c r="BE451" i="5"/>
  <c r="BD451" i="5"/>
  <c r="BA451" i="5"/>
  <c r="BP451" i="5" s="1"/>
  <c r="AY451" i="5"/>
  <c r="AZ451" i="5"/>
  <c r="AU451" i="5"/>
  <c r="BN451" i="5" s="1"/>
  <c r="AV451" i="5"/>
  <c r="BO451" i="5" s="1"/>
  <c r="CK597" i="5"/>
  <c r="CI597" i="5"/>
  <c r="CD597" i="5"/>
  <c r="CE597" i="5"/>
  <c r="CF597" i="5"/>
  <c r="CC597" i="5"/>
  <c r="CA597" i="5"/>
  <c r="BW597" i="5"/>
  <c r="BY597" i="5"/>
  <c r="BT597" i="5"/>
  <c r="BV597" i="5"/>
  <c r="BU597" i="5"/>
  <c r="BR597" i="5"/>
  <c r="BS597" i="5"/>
  <c r="BQ597" i="5"/>
  <c r="BM597" i="5"/>
  <c r="BK597" i="5"/>
  <c r="BJ597" i="5"/>
  <c r="BI597" i="5"/>
  <c r="BF597" i="5"/>
  <c r="BH597" i="5"/>
  <c r="BG597" i="5"/>
  <c r="BE597" i="5"/>
  <c r="BD597" i="5"/>
  <c r="BA597" i="5"/>
  <c r="BP597" i="5" s="1"/>
  <c r="AZ597" i="5"/>
  <c r="AY597" i="5"/>
  <c r="AV597" i="5"/>
  <c r="BC597" i="5" s="1"/>
  <c r="AU597" i="5"/>
  <c r="BN597" i="5" s="1"/>
  <c r="CJ743" i="5"/>
  <c r="CE743" i="5"/>
  <c r="CK743" i="5"/>
  <c r="CG743" i="5"/>
  <c r="CF743" i="5"/>
  <c r="CI743" i="5"/>
  <c r="CH743" i="5"/>
  <c r="CC743" i="5"/>
  <c r="BZ743" i="5"/>
  <c r="CD743" i="5"/>
  <c r="CA743" i="5"/>
  <c r="BY743" i="5"/>
  <c r="BV743" i="5"/>
  <c r="BX743" i="5"/>
  <c r="BW743" i="5"/>
  <c r="BT743" i="5"/>
  <c r="BU743" i="5"/>
  <c r="BS743" i="5"/>
  <c r="BR743" i="5"/>
  <c r="BQ743" i="5"/>
  <c r="BI743" i="5"/>
  <c r="BM743" i="5"/>
  <c r="BL743" i="5"/>
  <c r="BK743" i="5"/>
  <c r="BJ743" i="5"/>
  <c r="BG743" i="5"/>
  <c r="BE743" i="5"/>
  <c r="BH743" i="5"/>
  <c r="BF743" i="5"/>
  <c r="BD743" i="5"/>
  <c r="AY743" i="5"/>
  <c r="BA743" i="5"/>
  <c r="BP743" i="5" s="1"/>
  <c r="AZ743" i="5"/>
  <c r="AU743" i="5"/>
  <c r="BB743" i="5" s="1"/>
  <c r="AV743" i="5"/>
  <c r="BC743" i="5" s="1"/>
  <c r="CI890" i="5"/>
  <c r="CK890" i="5"/>
  <c r="CF890" i="5"/>
  <c r="CC890" i="5"/>
  <c r="CD890" i="5"/>
  <c r="CE890" i="5"/>
  <c r="CA890" i="5"/>
  <c r="BU890" i="5"/>
  <c r="BY890" i="5"/>
  <c r="BW890" i="5"/>
  <c r="BV890" i="5"/>
  <c r="BS890" i="5"/>
  <c r="BT890" i="5"/>
  <c r="BQ890" i="5"/>
  <c r="BR890" i="5"/>
  <c r="BM890" i="5"/>
  <c r="BJ890" i="5"/>
  <c r="BI890" i="5"/>
  <c r="BK890" i="5"/>
  <c r="BF890" i="5"/>
  <c r="BH890" i="5"/>
  <c r="BG890" i="5"/>
  <c r="BD890" i="5"/>
  <c r="BE890" i="5"/>
  <c r="BA890" i="5"/>
  <c r="BP890" i="5" s="1"/>
  <c r="AZ890" i="5"/>
  <c r="AY890" i="5"/>
  <c r="AU890" i="5"/>
  <c r="BN890" i="5" s="1"/>
  <c r="AV890" i="5"/>
  <c r="BO890" i="5" s="1"/>
  <c r="CJ1036" i="5"/>
  <c r="CH1036" i="5"/>
  <c r="CK1036" i="5"/>
  <c r="CF1036" i="5"/>
  <c r="CI1036" i="5"/>
  <c r="CG1036" i="5"/>
  <c r="CE1036" i="5"/>
  <c r="CD1036" i="5"/>
  <c r="CA1036" i="5"/>
  <c r="CC1036" i="5"/>
  <c r="BX1036" i="5"/>
  <c r="BZ1036" i="5"/>
  <c r="BY1036" i="5"/>
  <c r="BW1036" i="5"/>
  <c r="BU1036" i="5"/>
  <c r="BV1036" i="5"/>
  <c r="BT1036" i="5"/>
  <c r="BR1036" i="5"/>
  <c r="BQ1036" i="5"/>
  <c r="BS1036" i="5"/>
  <c r="BM1036" i="5"/>
  <c r="BJ1036" i="5"/>
  <c r="BL1036" i="5"/>
  <c r="BK1036" i="5"/>
  <c r="BI1036" i="5"/>
  <c r="BH1036" i="5"/>
  <c r="BF1036" i="5"/>
  <c r="BG1036" i="5"/>
  <c r="BE1036" i="5"/>
  <c r="BD1036" i="5"/>
  <c r="AZ1036" i="5"/>
  <c r="AY1036" i="5"/>
  <c r="BA1036" i="5"/>
  <c r="BP1036" i="5" s="1"/>
  <c r="AV1036" i="5"/>
  <c r="BO1036" i="5" s="1"/>
  <c r="AU1036" i="5"/>
  <c r="BN1036" i="5" s="1"/>
  <c r="CI1182" i="5"/>
  <c r="CK1182" i="5"/>
  <c r="CC1182" i="5"/>
  <c r="CE1182" i="5"/>
  <c r="CF1182" i="5"/>
  <c r="CD1182" i="5"/>
  <c r="CA1182" i="5"/>
  <c r="BY1182" i="5"/>
  <c r="BW1182" i="5"/>
  <c r="BU1182" i="5"/>
  <c r="BV1182" i="5"/>
  <c r="BS1182" i="5"/>
  <c r="BR1182" i="5"/>
  <c r="BT1182" i="5"/>
  <c r="BQ1182" i="5"/>
  <c r="BM1182" i="5"/>
  <c r="BI1182" i="5"/>
  <c r="BK1182" i="5"/>
  <c r="BJ1182" i="5"/>
  <c r="BH1182" i="5"/>
  <c r="BG1182" i="5"/>
  <c r="BF1182" i="5"/>
  <c r="BE1182" i="5"/>
  <c r="BD1182" i="5"/>
  <c r="AV1182" i="5"/>
  <c r="BO1182" i="5" s="1"/>
  <c r="BA1182" i="5"/>
  <c r="BP1182" i="5" s="1"/>
  <c r="AZ1182" i="5"/>
  <c r="AY1182" i="5"/>
  <c r="AU1182" i="5"/>
  <c r="BN1182" i="5" s="1"/>
  <c r="CK1325" i="5"/>
  <c r="CI1325" i="5"/>
  <c r="CF1325" i="5"/>
  <c r="CE1325" i="5"/>
  <c r="CD1325" i="5"/>
  <c r="CC1325" i="5"/>
  <c r="CA1325" i="5"/>
  <c r="BW1325" i="5"/>
  <c r="BY1325" i="5"/>
  <c r="BV1325" i="5"/>
  <c r="BU1325" i="5"/>
  <c r="BT1325" i="5"/>
  <c r="BS1325" i="5"/>
  <c r="BQ1325" i="5"/>
  <c r="BR1325" i="5"/>
  <c r="BM1325" i="5"/>
  <c r="BK1325" i="5"/>
  <c r="BJ1325" i="5"/>
  <c r="BI1325" i="5"/>
  <c r="BH1325" i="5"/>
  <c r="BG1325" i="5"/>
  <c r="BF1325" i="5"/>
  <c r="BE1325" i="5"/>
  <c r="BD1325" i="5"/>
  <c r="BA1325" i="5"/>
  <c r="BP1325" i="5" s="1"/>
  <c r="AU1325" i="5"/>
  <c r="BB1325" i="5" s="1"/>
  <c r="AZ1325" i="5"/>
  <c r="AY1325" i="5"/>
  <c r="AV1325" i="5"/>
  <c r="BC1325" i="5" s="1"/>
  <c r="CK4" i="5"/>
  <c r="CF4" i="5"/>
  <c r="CI4" i="5"/>
  <c r="CD4" i="5"/>
  <c r="CC4" i="5"/>
  <c r="CE4" i="5"/>
  <c r="CA4" i="5"/>
  <c r="BY4" i="5"/>
  <c r="BV4" i="5"/>
  <c r="BW4" i="5"/>
  <c r="BU4" i="5"/>
  <c r="BT4" i="5"/>
  <c r="BS4" i="5"/>
  <c r="BQ4" i="5"/>
  <c r="BR4" i="5"/>
  <c r="BM4" i="5"/>
  <c r="BJ4" i="5"/>
  <c r="BK4" i="5"/>
  <c r="BI4" i="5"/>
  <c r="BH4" i="5"/>
  <c r="BG4" i="5"/>
  <c r="BF4" i="5"/>
  <c r="BE4" i="5"/>
  <c r="BD4" i="5"/>
  <c r="AZ4" i="5"/>
  <c r="BA4" i="5"/>
  <c r="BP4" i="5" s="1"/>
  <c r="AY4" i="5"/>
  <c r="AU4" i="5"/>
  <c r="BN4" i="5" s="1"/>
  <c r="AV4" i="5"/>
  <c r="BC4" i="5" s="1"/>
  <c r="CK68" i="5"/>
  <c r="CF68" i="5"/>
  <c r="CI68" i="5"/>
  <c r="CD68" i="5"/>
  <c r="CC68" i="5"/>
  <c r="CE68" i="5"/>
  <c r="CA68" i="5"/>
  <c r="BY68" i="5"/>
  <c r="BV68" i="5"/>
  <c r="BW68" i="5"/>
  <c r="BU68" i="5"/>
  <c r="BT68" i="5"/>
  <c r="BS68" i="5"/>
  <c r="BR68" i="5"/>
  <c r="BQ68" i="5"/>
  <c r="BM68" i="5"/>
  <c r="BJ68" i="5"/>
  <c r="BK68" i="5"/>
  <c r="BI68" i="5"/>
  <c r="BH68" i="5"/>
  <c r="BG68" i="5"/>
  <c r="BF68" i="5"/>
  <c r="BE68" i="5"/>
  <c r="BD68" i="5"/>
  <c r="AZ68" i="5"/>
  <c r="BA68" i="5"/>
  <c r="BP68" i="5" s="1"/>
  <c r="AY68" i="5"/>
  <c r="AU68" i="5"/>
  <c r="BB68" i="5" s="1"/>
  <c r="AV68" i="5"/>
  <c r="BC68" i="5" s="1"/>
  <c r="CJ214" i="5"/>
  <c r="CK214" i="5"/>
  <c r="CI214" i="5"/>
  <c r="CD214" i="5"/>
  <c r="CG214" i="5"/>
  <c r="CH214" i="5"/>
  <c r="CF214" i="5"/>
  <c r="CC214" i="5"/>
  <c r="CE214" i="5"/>
  <c r="BY214" i="5"/>
  <c r="BZ214" i="5"/>
  <c r="CA214" i="5"/>
  <c r="BW214" i="5"/>
  <c r="BV214" i="5"/>
  <c r="BU214" i="5"/>
  <c r="BX214" i="5"/>
  <c r="BS214" i="5"/>
  <c r="BT214" i="5"/>
  <c r="BQ214" i="5"/>
  <c r="BR214" i="5"/>
  <c r="BM214" i="5"/>
  <c r="BK214" i="5"/>
  <c r="BL214" i="5"/>
  <c r="BH214" i="5"/>
  <c r="BJ214" i="5"/>
  <c r="BI214" i="5"/>
  <c r="BF214" i="5"/>
  <c r="BG214" i="5"/>
  <c r="BD214" i="5"/>
  <c r="BE214" i="5"/>
  <c r="BA214" i="5"/>
  <c r="BP214" i="5" s="1"/>
  <c r="AZ214" i="5"/>
  <c r="AY214" i="5"/>
  <c r="AV214" i="5"/>
  <c r="BC214" i="5" s="1"/>
  <c r="AU214" i="5"/>
  <c r="BN214" i="5" s="1"/>
  <c r="CK507" i="5"/>
  <c r="CI507" i="5"/>
  <c r="CG507" i="5"/>
  <c r="CE507" i="5"/>
  <c r="CH507" i="5"/>
  <c r="CJ507" i="5"/>
  <c r="CF507" i="5"/>
  <c r="CC507" i="5"/>
  <c r="CD507" i="5"/>
  <c r="BZ507" i="5"/>
  <c r="CA507" i="5"/>
  <c r="BX507" i="5"/>
  <c r="BY507" i="5"/>
  <c r="BW507" i="5"/>
  <c r="BV507" i="5"/>
  <c r="BU507" i="5"/>
  <c r="BS507" i="5"/>
  <c r="BT507" i="5"/>
  <c r="BR507" i="5"/>
  <c r="BQ507" i="5"/>
  <c r="BM507" i="5"/>
  <c r="BK507" i="5"/>
  <c r="BL507" i="5"/>
  <c r="BI507" i="5"/>
  <c r="BJ507" i="5"/>
  <c r="BG507" i="5"/>
  <c r="BF507" i="5"/>
  <c r="BH507" i="5"/>
  <c r="BE507" i="5"/>
  <c r="BD507" i="5"/>
  <c r="BA507" i="5"/>
  <c r="BP507" i="5" s="1"/>
  <c r="AY507" i="5"/>
  <c r="AU507" i="5"/>
  <c r="BB507" i="5" s="1"/>
  <c r="AZ507" i="5"/>
  <c r="AV507" i="5"/>
  <c r="BC507" i="5" s="1"/>
  <c r="BC32" i="5"/>
  <c r="CK124" i="5"/>
  <c r="CH124" i="5"/>
  <c r="CJ124" i="5"/>
  <c r="CG124" i="5"/>
  <c r="CF124" i="5"/>
  <c r="CI124" i="5"/>
  <c r="CD124" i="5"/>
  <c r="CC124" i="5"/>
  <c r="CE124" i="5"/>
  <c r="CA124" i="5"/>
  <c r="BY124" i="5"/>
  <c r="BZ124" i="5"/>
  <c r="BV124" i="5"/>
  <c r="BX124" i="5"/>
  <c r="BW124" i="5"/>
  <c r="BU124" i="5"/>
  <c r="BT124" i="5"/>
  <c r="BS124" i="5"/>
  <c r="BR124" i="5"/>
  <c r="BQ124" i="5"/>
  <c r="BL124" i="5"/>
  <c r="BJ124" i="5"/>
  <c r="BM124" i="5"/>
  <c r="BK124" i="5"/>
  <c r="BI124" i="5"/>
  <c r="BH124" i="5"/>
  <c r="BG124" i="5"/>
  <c r="BF124" i="5"/>
  <c r="BE124" i="5"/>
  <c r="BD124" i="5"/>
  <c r="AZ124" i="5"/>
  <c r="BA124" i="5"/>
  <c r="BP124" i="5" s="1"/>
  <c r="AY124" i="5"/>
  <c r="AU124" i="5"/>
  <c r="BB124" i="5" s="1"/>
  <c r="AV124" i="5"/>
  <c r="BC124" i="5" s="1"/>
  <c r="CI179" i="5"/>
  <c r="CE179" i="5"/>
  <c r="CK179" i="5"/>
  <c r="CD179" i="5"/>
  <c r="CF179" i="5"/>
  <c r="CC179" i="5"/>
  <c r="BY179" i="5"/>
  <c r="CA179" i="5"/>
  <c r="BW179" i="5"/>
  <c r="BV179" i="5"/>
  <c r="BU179" i="5"/>
  <c r="BT179" i="5"/>
  <c r="BS179" i="5"/>
  <c r="BR179" i="5"/>
  <c r="BQ179" i="5"/>
  <c r="BK179" i="5"/>
  <c r="BM179" i="5"/>
  <c r="BI179" i="5"/>
  <c r="BG179" i="5"/>
  <c r="BJ179" i="5"/>
  <c r="BH179" i="5"/>
  <c r="BF179" i="5"/>
  <c r="BE179" i="5"/>
  <c r="BD179" i="5"/>
  <c r="BA179" i="5"/>
  <c r="BP179" i="5" s="1"/>
  <c r="AY179" i="5"/>
  <c r="AU179" i="5"/>
  <c r="BN179" i="5" s="1"/>
  <c r="AZ179" i="5"/>
  <c r="AV179" i="5"/>
  <c r="BO179" i="5" s="1"/>
  <c r="CK252" i="5"/>
  <c r="CH252" i="5"/>
  <c r="CG252" i="5"/>
  <c r="CF252" i="5"/>
  <c r="CJ252" i="5"/>
  <c r="CI252" i="5"/>
  <c r="CD252" i="5"/>
  <c r="CC252" i="5"/>
  <c r="CE252" i="5"/>
  <c r="CA252" i="5"/>
  <c r="BX252" i="5"/>
  <c r="BY252" i="5"/>
  <c r="BZ252" i="5"/>
  <c r="BV252" i="5"/>
  <c r="BW252" i="5"/>
  <c r="BU252" i="5"/>
  <c r="BS252" i="5"/>
  <c r="BT252" i="5"/>
  <c r="BR252" i="5"/>
  <c r="BQ252" i="5"/>
  <c r="BJ252" i="5"/>
  <c r="BM252" i="5"/>
  <c r="BL252" i="5"/>
  <c r="BK252" i="5"/>
  <c r="BI252" i="5"/>
  <c r="BH252" i="5"/>
  <c r="BG252" i="5"/>
  <c r="BF252" i="5"/>
  <c r="BE252" i="5"/>
  <c r="BD252" i="5"/>
  <c r="AZ252" i="5"/>
  <c r="BA252" i="5"/>
  <c r="BP252" i="5" s="1"/>
  <c r="AY252" i="5"/>
  <c r="AU252" i="5"/>
  <c r="BN252" i="5" s="1"/>
  <c r="AV252" i="5"/>
  <c r="BC252" i="5" s="1"/>
  <c r="CK325" i="5"/>
  <c r="CJ325" i="5"/>
  <c r="CI325" i="5"/>
  <c r="CH325" i="5"/>
  <c r="CG325" i="5"/>
  <c r="CF325" i="5"/>
  <c r="CE325" i="5"/>
  <c r="CD325" i="5"/>
  <c r="CC325" i="5"/>
  <c r="BX325" i="5"/>
  <c r="CA325" i="5"/>
  <c r="BW325" i="5"/>
  <c r="BZ325" i="5"/>
  <c r="BY325" i="5"/>
  <c r="BV325" i="5"/>
  <c r="BU325" i="5"/>
  <c r="BT325" i="5"/>
  <c r="BR325" i="5"/>
  <c r="BS325" i="5"/>
  <c r="BQ325" i="5"/>
  <c r="BM325" i="5"/>
  <c r="BL325" i="5"/>
  <c r="BK325" i="5"/>
  <c r="BJ325" i="5"/>
  <c r="BI325" i="5"/>
  <c r="BG325" i="5"/>
  <c r="BF325" i="5"/>
  <c r="BH325" i="5"/>
  <c r="BE325" i="5"/>
  <c r="BD325" i="5"/>
  <c r="BA325" i="5"/>
  <c r="BP325" i="5" s="1"/>
  <c r="AZ325" i="5"/>
  <c r="AY325" i="5"/>
  <c r="AU325" i="5"/>
  <c r="BB325" i="5" s="1"/>
  <c r="AV325" i="5"/>
  <c r="BO325" i="5" s="1"/>
  <c r="CK398" i="5"/>
  <c r="CI398" i="5"/>
  <c r="CD398" i="5"/>
  <c r="CE398" i="5"/>
  <c r="CF398" i="5"/>
  <c r="CC398" i="5"/>
  <c r="BY398" i="5"/>
  <c r="CA398" i="5"/>
  <c r="BU398" i="5"/>
  <c r="BV398" i="5"/>
  <c r="BW398" i="5"/>
  <c r="BS398" i="5"/>
  <c r="BT398" i="5"/>
  <c r="BR398" i="5"/>
  <c r="BQ398" i="5"/>
  <c r="BM398" i="5"/>
  <c r="BK398" i="5"/>
  <c r="BJ398" i="5"/>
  <c r="BI398" i="5"/>
  <c r="BG398" i="5"/>
  <c r="BH398" i="5"/>
  <c r="BF398" i="5"/>
  <c r="BD398" i="5"/>
  <c r="BE398" i="5"/>
  <c r="BA398" i="5"/>
  <c r="BP398" i="5" s="1"/>
  <c r="AZ398" i="5"/>
  <c r="AY398" i="5"/>
  <c r="AV398" i="5"/>
  <c r="BC398" i="5" s="1"/>
  <c r="AU398" i="5"/>
  <c r="BN398" i="5" s="1"/>
  <c r="CK471" i="5"/>
  <c r="CI471" i="5"/>
  <c r="CE471" i="5"/>
  <c r="CF471" i="5"/>
  <c r="CD471" i="5"/>
  <c r="CC471" i="5"/>
  <c r="CA471" i="5"/>
  <c r="BY471" i="5"/>
  <c r="BV471" i="5"/>
  <c r="BW471" i="5"/>
  <c r="BU471" i="5"/>
  <c r="BT471" i="5"/>
  <c r="BS471" i="5"/>
  <c r="BQ471" i="5"/>
  <c r="BR471" i="5"/>
  <c r="BM471" i="5"/>
  <c r="BK471" i="5"/>
  <c r="BI471" i="5"/>
  <c r="BJ471" i="5"/>
  <c r="BH471" i="5"/>
  <c r="BG471" i="5"/>
  <c r="BE471" i="5"/>
  <c r="BF471" i="5"/>
  <c r="BD471" i="5"/>
  <c r="BA471" i="5"/>
  <c r="BP471" i="5" s="1"/>
  <c r="AY471" i="5"/>
  <c r="AZ471" i="5"/>
  <c r="AV471" i="5"/>
  <c r="BC471" i="5" s="1"/>
  <c r="AU471" i="5"/>
  <c r="BB471" i="5" s="1"/>
  <c r="CK544" i="5"/>
  <c r="CI544" i="5"/>
  <c r="CG544" i="5"/>
  <c r="CF544" i="5"/>
  <c r="CJ544" i="5"/>
  <c r="CC544" i="5"/>
  <c r="CH544" i="5"/>
  <c r="CE544" i="5"/>
  <c r="CD544" i="5"/>
  <c r="CA544" i="5"/>
  <c r="BY544" i="5"/>
  <c r="BZ544" i="5"/>
  <c r="BX544" i="5"/>
  <c r="BW544" i="5"/>
  <c r="BV544" i="5"/>
  <c r="BU544" i="5"/>
  <c r="BT544" i="5"/>
  <c r="BS544" i="5"/>
  <c r="BQ544" i="5"/>
  <c r="BR544" i="5"/>
  <c r="BM544" i="5"/>
  <c r="BL544" i="5"/>
  <c r="BK544" i="5"/>
  <c r="BJ544" i="5"/>
  <c r="BH544" i="5"/>
  <c r="BI544" i="5"/>
  <c r="BG544" i="5"/>
  <c r="BF544" i="5"/>
  <c r="BE544" i="5"/>
  <c r="BD544" i="5"/>
  <c r="AZ544" i="5"/>
  <c r="AY544" i="5"/>
  <c r="AV544" i="5"/>
  <c r="BO544" i="5" s="1"/>
  <c r="BA544" i="5"/>
  <c r="BP544" i="5" s="1"/>
  <c r="AU544" i="5"/>
  <c r="BB544" i="5" s="1"/>
  <c r="CI618" i="5"/>
  <c r="CK618" i="5"/>
  <c r="CE618" i="5"/>
  <c r="CF618" i="5"/>
  <c r="CD618" i="5"/>
  <c r="CC618" i="5"/>
  <c r="CA618" i="5"/>
  <c r="BU618" i="5"/>
  <c r="BY618" i="5"/>
  <c r="BW618" i="5"/>
  <c r="BV618" i="5"/>
  <c r="BS618" i="5"/>
  <c r="BT618" i="5"/>
  <c r="BQ618" i="5"/>
  <c r="BR618" i="5"/>
  <c r="BM618" i="5"/>
  <c r="BK618" i="5"/>
  <c r="BJ618" i="5"/>
  <c r="BI618" i="5"/>
  <c r="BF618" i="5"/>
  <c r="BH618" i="5"/>
  <c r="BG618" i="5"/>
  <c r="BD618" i="5"/>
  <c r="BE618" i="5"/>
  <c r="BA618" i="5"/>
  <c r="BP618" i="5" s="1"/>
  <c r="AZ618" i="5"/>
  <c r="AY618" i="5"/>
  <c r="AU618" i="5"/>
  <c r="BN618" i="5" s="1"/>
  <c r="AV618" i="5"/>
  <c r="BC618" i="5" s="1"/>
  <c r="CG691" i="5"/>
  <c r="CI691" i="5"/>
  <c r="CE691" i="5"/>
  <c r="CJ691" i="5"/>
  <c r="CH691" i="5"/>
  <c r="CK691" i="5"/>
  <c r="CF691" i="5"/>
  <c r="CD691" i="5"/>
  <c r="CC691" i="5"/>
  <c r="BZ691" i="5"/>
  <c r="BY691" i="5"/>
  <c r="CA691" i="5"/>
  <c r="BV691" i="5"/>
  <c r="BW691" i="5"/>
  <c r="BX691" i="5"/>
  <c r="BU691" i="5"/>
  <c r="BT691" i="5"/>
  <c r="BS691" i="5"/>
  <c r="BR691" i="5"/>
  <c r="BQ691" i="5"/>
  <c r="BL691" i="5"/>
  <c r="BM691" i="5"/>
  <c r="BI691" i="5"/>
  <c r="BK691" i="5"/>
  <c r="BG691" i="5"/>
  <c r="BJ691" i="5"/>
  <c r="BF691" i="5"/>
  <c r="BH691" i="5"/>
  <c r="BE691" i="5"/>
  <c r="BD691" i="5"/>
  <c r="AY691" i="5"/>
  <c r="AU691" i="5"/>
  <c r="BN691" i="5" s="1"/>
  <c r="BA691" i="5"/>
  <c r="BP691" i="5" s="1"/>
  <c r="AZ691" i="5"/>
  <c r="AV691" i="5"/>
  <c r="BO691" i="5" s="1"/>
  <c r="CK764" i="5"/>
  <c r="CJ764" i="5"/>
  <c r="CF764" i="5"/>
  <c r="CG764" i="5"/>
  <c r="CH764" i="5"/>
  <c r="CI764" i="5"/>
  <c r="CC764" i="5"/>
  <c r="CE764" i="5"/>
  <c r="CD764" i="5"/>
  <c r="CA764" i="5"/>
  <c r="BX764" i="5"/>
  <c r="BZ764" i="5"/>
  <c r="BY764" i="5"/>
  <c r="BW764" i="5"/>
  <c r="BV764" i="5"/>
  <c r="BU764" i="5"/>
  <c r="BT764" i="5"/>
  <c r="BR764" i="5"/>
  <c r="BQ764" i="5"/>
  <c r="BS764" i="5"/>
  <c r="BL764" i="5"/>
  <c r="BJ764" i="5"/>
  <c r="BM764" i="5"/>
  <c r="BK764" i="5"/>
  <c r="BI764" i="5"/>
  <c r="BH764" i="5"/>
  <c r="BG764" i="5"/>
  <c r="BF764" i="5"/>
  <c r="BD764" i="5"/>
  <c r="BE764" i="5"/>
  <c r="AZ764" i="5"/>
  <c r="AY764" i="5"/>
  <c r="BA764" i="5"/>
  <c r="BP764" i="5" s="1"/>
  <c r="AU764" i="5"/>
  <c r="BB764" i="5" s="1"/>
  <c r="AV764" i="5"/>
  <c r="BC764" i="5" s="1"/>
  <c r="CI837" i="5"/>
  <c r="CD837" i="5"/>
  <c r="CK837" i="5"/>
  <c r="CE837" i="5"/>
  <c r="CF837" i="5"/>
  <c r="CC837" i="5"/>
  <c r="CA837" i="5"/>
  <c r="BW837" i="5"/>
  <c r="BY837" i="5"/>
  <c r="BV837" i="5"/>
  <c r="BU837" i="5"/>
  <c r="BR837" i="5"/>
  <c r="BT837" i="5"/>
  <c r="BQ837" i="5"/>
  <c r="BS837" i="5"/>
  <c r="BM837" i="5"/>
  <c r="BK837" i="5"/>
  <c r="BJ837" i="5"/>
  <c r="BI837" i="5"/>
  <c r="BH837" i="5"/>
  <c r="BG837" i="5"/>
  <c r="BD837" i="5"/>
  <c r="BF837" i="5"/>
  <c r="BE837" i="5"/>
  <c r="BA837" i="5"/>
  <c r="BP837" i="5" s="1"/>
  <c r="AZ837" i="5"/>
  <c r="AY837" i="5"/>
  <c r="AU837" i="5"/>
  <c r="BB837" i="5" s="1"/>
  <c r="AV837" i="5"/>
  <c r="BO837" i="5" s="1"/>
  <c r="CI910" i="5"/>
  <c r="CK910" i="5"/>
  <c r="CE910" i="5"/>
  <c r="CC910" i="5"/>
  <c r="CF910" i="5"/>
  <c r="CD910" i="5"/>
  <c r="CA910" i="5"/>
  <c r="BY910" i="5"/>
  <c r="BU910" i="5"/>
  <c r="BW910" i="5"/>
  <c r="BV910" i="5"/>
  <c r="BS910" i="5"/>
  <c r="BT910" i="5"/>
  <c r="BR910" i="5"/>
  <c r="BQ910" i="5"/>
  <c r="BM910" i="5"/>
  <c r="BJ910" i="5"/>
  <c r="BI910" i="5"/>
  <c r="BK910" i="5"/>
  <c r="BH910" i="5"/>
  <c r="BG910" i="5"/>
  <c r="BF910" i="5"/>
  <c r="BE910" i="5"/>
  <c r="BD910" i="5"/>
  <c r="BA910" i="5"/>
  <c r="BP910" i="5" s="1"/>
  <c r="AZ910" i="5"/>
  <c r="AY910" i="5"/>
  <c r="AV910" i="5"/>
  <c r="BC910" i="5" s="1"/>
  <c r="AU910" i="5"/>
  <c r="BN910" i="5" s="1"/>
  <c r="CI983" i="5"/>
  <c r="CE983" i="5"/>
  <c r="CK983" i="5"/>
  <c r="CF983" i="5"/>
  <c r="CD983" i="5"/>
  <c r="CC983" i="5"/>
  <c r="CA983" i="5"/>
  <c r="BY983" i="5"/>
  <c r="BV983" i="5"/>
  <c r="BW983" i="5"/>
  <c r="BT983" i="5"/>
  <c r="BU983" i="5"/>
  <c r="BQ983" i="5"/>
  <c r="BR983" i="5"/>
  <c r="BS983" i="5"/>
  <c r="BM983" i="5"/>
  <c r="BJ983" i="5"/>
  <c r="BK983" i="5"/>
  <c r="BI983" i="5"/>
  <c r="BG983" i="5"/>
  <c r="BH983" i="5"/>
  <c r="BE983" i="5"/>
  <c r="BF983" i="5"/>
  <c r="BD983" i="5"/>
  <c r="AY983" i="5"/>
  <c r="BA983" i="5"/>
  <c r="BP983" i="5" s="1"/>
  <c r="AZ983" i="5"/>
  <c r="AV983" i="5"/>
  <c r="BO983" i="5" s="1"/>
  <c r="AU983" i="5"/>
  <c r="BN983" i="5" s="1"/>
  <c r="CJ1056" i="5"/>
  <c r="CK1056" i="5"/>
  <c r="CI1056" i="5"/>
  <c r="CH1056" i="5"/>
  <c r="CF1056" i="5"/>
  <c r="CG1056" i="5"/>
  <c r="CE1056" i="5"/>
  <c r="CD1056" i="5"/>
  <c r="CC1056" i="5"/>
  <c r="CA1056" i="5"/>
  <c r="BX1056" i="5"/>
  <c r="BY1056" i="5"/>
  <c r="BZ1056" i="5"/>
  <c r="BW1056" i="5"/>
  <c r="BV1056" i="5"/>
  <c r="BU1056" i="5"/>
  <c r="BT1056" i="5"/>
  <c r="BR1056" i="5"/>
  <c r="BQ1056" i="5"/>
  <c r="BS1056" i="5"/>
  <c r="BM1056" i="5"/>
  <c r="BL1056" i="5"/>
  <c r="BJ1056" i="5"/>
  <c r="BH1056" i="5"/>
  <c r="BI1056" i="5"/>
  <c r="BK1056" i="5"/>
  <c r="BG1056" i="5"/>
  <c r="BF1056" i="5"/>
  <c r="BE1056" i="5"/>
  <c r="BD1056" i="5"/>
  <c r="AZ1056" i="5"/>
  <c r="AY1056" i="5"/>
  <c r="BA1056" i="5"/>
  <c r="BP1056" i="5" s="1"/>
  <c r="AV1056" i="5"/>
  <c r="BC1056" i="5" s="1"/>
  <c r="AU1056" i="5"/>
  <c r="BN1056" i="5" s="1"/>
  <c r="CI1130" i="5"/>
  <c r="CK1130" i="5"/>
  <c r="CE1130" i="5"/>
  <c r="CC1130" i="5"/>
  <c r="CF1130" i="5"/>
  <c r="CD1130" i="5"/>
  <c r="CA1130" i="5"/>
  <c r="BY1130" i="5"/>
  <c r="BU1130" i="5"/>
  <c r="BW1130" i="5"/>
  <c r="BV1130" i="5"/>
  <c r="BS1130" i="5"/>
  <c r="BT1130" i="5"/>
  <c r="BR1130" i="5"/>
  <c r="BQ1130" i="5"/>
  <c r="BM1130" i="5"/>
  <c r="BI1130" i="5"/>
  <c r="BK1130" i="5"/>
  <c r="BJ1130" i="5"/>
  <c r="BH1130" i="5"/>
  <c r="BG1130" i="5"/>
  <c r="BD1130" i="5"/>
  <c r="BF1130" i="5"/>
  <c r="BE1130" i="5"/>
  <c r="BA1130" i="5"/>
  <c r="BP1130" i="5" s="1"/>
  <c r="AZ1130" i="5"/>
  <c r="AY1130" i="5"/>
  <c r="AU1130" i="5"/>
  <c r="BN1130" i="5" s="1"/>
  <c r="AV1130" i="5"/>
  <c r="BC1130" i="5" s="1"/>
  <c r="CJ1203" i="5"/>
  <c r="CI1203" i="5"/>
  <c r="CH1203" i="5"/>
  <c r="CE1203" i="5"/>
  <c r="CK1203" i="5"/>
  <c r="CG1203" i="5"/>
  <c r="CF1203" i="5"/>
  <c r="CD1203" i="5"/>
  <c r="CC1203" i="5"/>
  <c r="BZ1203" i="5"/>
  <c r="BY1203" i="5"/>
  <c r="CA1203" i="5"/>
  <c r="BV1203" i="5"/>
  <c r="BW1203" i="5"/>
  <c r="BX1203" i="5"/>
  <c r="BU1203" i="5"/>
  <c r="BT1203" i="5"/>
  <c r="BS1203" i="5"/>
  <c r="BR1203" i="5"/>
  <c r="BQ1203" i="5"/>
  <c r="BL1203" i="5"/>
  <c r="BM1203" i="5"/>
  <c r="BI1203" i="5"/>
  <c r="BG1203" i="5"/>
  <c r="BK1203" i="5"/>
  <c r="BJ1203" i="5"/>
  <c r="BH1203" i="5"/>
  <c r="BE1203" i="5"/>
  <c r="BF1203" i="5"/>
  <c r="BD1203" i="5"/>
  <c r="AY1203" i="5"/>
  <c r="AU1203" i="5"/>
  <c r="BB1203" i="5" s="1"/>
  <c r="BA1203" i="5"/>
  <c r="BP1203" i="5" s="1"/>
  <c r="AZ1203" i="5"/>
  <c r="AV1203" i="5"/>
  <c r="BO1203" i="5" s="1"/>
  <c r="CK1276" i="5"/>
  <c r="CF1276" i="5"/>
  <c r="CG1276" i="5"/>
  <c r="CI1276" i="5"/>
  <c r="CE1276" i="5"/>
  <c r="CC1276" i="5"/>
  <c r="CD1276" i="5"/>
  <c r="CA1276" i="5"/>
  <c r="BY1276" i="5"/>
  <c r="BW1276" i="5"/>
  <c r="BU1276" i="5"/>
  <c r="BV1276" i="5"/>
  <c r="BT1276" i="5"/>
  <c r="BS1276" i="5"/>
  <c r="BR1276" i="5"/>
  <c r="BQ1276" i="5"/>
  <c r="BJ1276" i="5"/>
  <c r="BM1276" i="5"/>
  <c r="BI1276" i="5"/>
  <c r="BK1276" i="5"/>
  <c r="BH1276" i="5"/>
  <c r="BG1276" i="5"/>
  <c r="BF1276" i="5"/>
  <c r="BD1276" i="5"/>
  <c r="BE1276" i="5"/>
  <c r="AZ1276" i="5"/>
  <c r="AY1276" i="5"/>
  <c r="BA1276" i="5"/>
  <c r="BP1276" i="5" s="1"/>
  <c r="AV1276" i="5"/>
  <c r="BO1276" i="5" s="1"/>
  <c r="AU1276" i="5"/>
  <c r="BB1276" i="5" s="1"/>
  <c r="CJ15" i="5"/>
  <c r="CK15" i="5"/>
  <c r="CI15" i="5"/>
  <c r="CE15" i="5"/>
  <c r="CG15" i="5"/>
  <c r="CH15" i="5"/>
  <c r="CF15" i="5"/>
  <c r="CD15" i="5"/>
  <c r="BZ15" i="5"/>
  <c r="CC15" i="5"/>
  <c r="CA15" i="5"/>
  <c r="BX15" i="5"/>
  <c r="BY15" i="5"/>
  <c r="BV15" i="5"/>
  <c r="BW15" i="5"/>
  <c r="BU15" i="5"/>
  <c r="BT15" i="5"/>
  <c r="BS15" i="5"/>
  <c r="BR15" i="5"/>
  <c r="BQ15" i="5"/>
  <c r="BK15" i="5"/>
  <c r="BL15" i="5"/>
  <c r="BM15" i="5"/>
  <c r="BI15" i="5"/>
  <c r="BJ15" i="5"/>
  <c r="BH15" i="5"/>
  <c r="BG15" i="5"/>
  <c r="BE15" i="5"/>
  <c r="BF15" i="5"/>
  <c r="BD15" i="5"/>
  <c r="BA15" i="5"/>
  <c r="BP15" i="5" s="1"/>
  <c r="AY15" i="5"/>
  <c r="AZ15" i="5"/>
  <c r="AU15" i="5"/>
  <c r="BN15" i="5" s="1"/>
  <c r="AV15" i="5"/>
  <c r="BO15" i="5" s="1"/>
  <c r="CK88" i="5"/>
  <c r="CF88" i="5"/>
  <c r="CE88" i="5"/>
  <c r="CD88" i="5"/>
  <c r="CI88" i="5"/>
  <c r="CC88" i="5"/>
  <c r="CA88" i="5"/>
  <c r="BY88" i="5"/>
  <c r="BV88" i="5"/>
  <c r="BW88" i="5"/>
  <c r="BU88" i="5"/>
  <c r="BT88" i="5"/>
  <c r="BS88" i="5"/>
  <c r="BR88" i="5"/>
  <c r="BQ88" i="5"/>
  <c r="BM88" i="5"/>
  <c r="BK88" i="5"/>
  <c r="BJ88" i="5"/>
  <c r="BI88" i="5"/>
  <c r="BH88" i="5"/>
  <c r="BG88" i="5"/>
  <c r="BF88" i="5"/>
  <c r="BE88" i="5"/>
  <c r="BD88" i="5"/>
  <c r="BA88" i="5"/>
  <c r="BP88" i="5" s="1"/>
  <c r="AZ88" i="5"/>
  <c r="AV88" i="5"/>
  <c r="BO88" i="5" s="1"/>
  <c r="AY88" i="5"/>
  <c r="AU88" i="5"/>
  <c r="BB88" i="5" s="1"/>
  <c r="CJ162" i="5"/>
  <c r="CI162" i="5"/>
  <c r="CG162" i="5"/>
  <c r="CD162" i="5"/>
  <c r="CF162" i="5"/>
  <c r="CE162" i="5"/>
  <c r="CK162" i="5"/>
  <c r="CH162" i="5"/>
  <c r="BY162" i="5"/>
  <c r="CC162" i="5"/>
  <c r="CA162" i="5"/>
  <c r="BZ162" i="5"/>
  <c r="BU162" i="5"/>
  <c r="BX162" i="5"/>
  <c r="BV162" i="5"/>
  <c r="BW162" i="5"/>
  <c r="BS162" i="5"/>
  <c r="BT162" i="5"/>
  <c r="BQ162" i="5"/>
  <c r="BR162" i="5"/>
  <c r="BM162" i="5"/>
  <c r="BK162" i="5"/>
  <c r="BL162" i="5"/>
  <c r="BJ162" i="5"/>
  <c r="BI162" i="5"/>
  <c r="BH162" i="5"/>
  <c r="BG162" i="5"/>
  <c r="BF162" i="5"/>
  <c r="BD162" i="5"/>
  <c r="BE162" i="5"/>
  <c r="BA162" i="5"/>
  <c r="BP162" i="5" s="1"/>
  <c r="AZ162" i="5"/>
  <c r="AY162" i="5"/>
  <c r="AU162" i="5"/>
  <c r="BN162" i="5" s="1"/>
  <c r="AV162" i="5"/>
  <c r="BC162" i="5" s="1"/>
  <c r="CK235" i="5"/>
  <c r="CJ235" i="5"/>
  <c r="CI235" i="5"/>
  <c r="CE235" i="5"/>
  <c r="CG235" i="5"/>
  <c r="CH235" i="5"/>
  <c r="CF235" i="5"/>
  <c r="CD235" i="5"/>
  <c r="CC235" i="5"/>
  <c r="BZ235" i="5"/>
  <c r="CA235" i="5"/>
  <c r="BY235" i="5"/>
  <c r="BX235" i="5"/>
  <c r="BW235" i="5"/>
  <c r="BV235" i="5"/>
  <c r="BU235" i="5"/>
  <c r="BT235" i="5"/>
  <c r="BS235" i="5"/>
  <c r="BQ235" i="5"/>
  <c r="BR235" i="5"/>
  <c r="BK235" i="5"/>
  <c r="BM235" i="5"/>
  <c r="BL235" i="5"/>
  <c r="BI235" i="5"/>
  <c r="BG235" i="5"/>
  <c r="BH235" i="5"/>
  <c r="BJ235" i="5"/>
  <c r="BF235" i="5"/>
  <c r="BE235" i="5"/>
  <c r="BD235" i="5"/>
  <c r="BA235" i="5"/>
  <c r="BP235" i="5" s="1"/>
  <c r="AY235" i="5"/>
  <c r="AZ235" i="5"/>
  <c r="AU235" i="5"/>
  <c r="BB235" i="5" s="1"/>
  <c r="AV235" i="5"/>
  <c r="BC235" i="5" s="1"/>
  <c r="CK308" i="5"/>
  <c r="CF308" i="5"/>
  <c r="CI308" i="5"/>
  <c r="CC308" i="5"/>
  <c r="CE308" i="5"/>
  <c r="CD308" i="5"/>
  <c r="CA308" i="5"/>
  <c r="BV308" i="5"/>
  <c r="BY308" i="5"/>
  <c r="BW308" i="5"/>
  <c r="BU308" i="5"/>
  <c r="BT308" i="5"/>
  <c r="BS308" i="5"/>
  <c r="BR308" i="5"/>
  <c r="BQ308" i="5"/>
  <c r="BK308" i="5"/>
  <c r="BJ308" i="5"/>
  <c r="BM308" i="5"/>
  <c r="BI308" i="5"/>
  <c r="BH308" i="5"/>
  <c r="BF308" i="5"/>
  <c r="BG308" i="5"/>
  <c r="BE308" i="5"/>
  <c r="BD308" i="5"/>
  <c r="AZ308" i="5"/>
  <c r="BA308" i="5"/>
  <c r="BP308" i="5" s="1"/>
  <c r="AY308" i="5"/>
  <c r="AU308" i="5"/>
  <c r="BN308" i="5" s="1"/>
  <c r="AV308" i="5"/>
  <c r="BO308" i="5" s="1"/>
  <c r="CK381" i="5"/>
  <c r="CF381" i="5"/>
  <c r="CE381" i="5"/>
  <c r="CI381" i="5"/>
  <c r="CD381" i="5"/>
  <c r="CC381" i="5"/>
  <c r="CA381" i="5"/>
  <c r="BY381" i="5"/>
  <c r="BW381" i="5"/>
  <c r="BT381" i="5"/>
  <c r="BV381" i="5"/>
  <c r="BU381" i="5"/>
  <c r="BR381" i="5"/>
  <c r="BS381" i="5"/>
  <c r="BQ381" i="5"/>
  <c r="BK381" i="5"/>
  <c r="BM381" i="5"/>
  <c r="BJ381" i="5"/>
  <c r="BI381" i="5"/>
  <c r="BH381" i="5"/>
  <c r="BG381" i="5"/>
  <c r="BF381" i="5"/>
  <c r="BE381" i="5"/>
  <c r="BD381" i="5"/>
  <c r="BA381" i="5"/>
  <c r="BP381" i="5" s="1"/>
  <c r="AZ381" i="5"/>
  <c r="AY381" i="5"/>
  <c r="AU381" i="5"/>
  <c r="BB381" i="5" s="1"/>
  <c r="AV381" i="5"/>
  <c r="BO381" i="5" s="1"/>
  <c r="CK454" i="5"/>
  <c r="CI454" i="5"/>
  <c r="CD454" i="5"/>
  <c r="CE454" i="5"/>
  <c r="CC454" i="5"/>
  <c r="CF454" i="5"/>
  <c r="BY454" i="5"/>
  <c r="CA454" i="5"/>
  <c r="BW454" i="5"/>
  <c r="BV454" i="5"/>
  <c r="BU454" i="5"/>
  <c r="BS454" i="5"/>
  <c r="BT454" i="5"/>
  <c r="BR454" i="5"/>
  <c r="BQ454" i="5"/>
  <c r="BM454" i="5"/>
  <c r="BK454" i="5"/>
  <c r="BJ454" i="5"/>
  <c r="BI454" i="5"/>
  <c r="BG454" i="5"/>
  <c r="BF454" i="5"/>
  <c r="BH454" i="5"/>
  <c r="BD454" i="5"/>
  <c r="BE454" i="5"/>
  <c r="BA454" i="5"/>
  <c r="BP454" i="5" s="1"/>
  <c r="AV454" i="5"/>
  <c r="BC454" i="5" s="1"/>
  <c r="AZ454" i="5"/>
  <c r="AY454" i="5"/>
  <c r="AU454" i="5"/>
  <c r="BB454" i="5" s="1"/>
  <c r="CK527" i="5"/>
  <c r="CI527" i="5"/>
  <c r="CE527" i="5"/>
  <c r="CF527" i="5"/>
  <c r="CD527" i="5"/>
  <c r="CC527" i="5"/>
  <c r="CA527" i="5"/>
  <c r="BY527" i="5"/>
  <c r="BV527" i="5"/>
  <c r="BW527" i="5"/>
  <c r="BU527" i="5"/>
  <c r="BT527" i="5"/>
  <c r="BS527" i="5"/>
  <c r="BR527" i="5"/>
  <c r="BQ527" i="5"/>
  <c r="BK527" i="5"/>
  <c r="BM527" i="5"/>
  <c r="BI527" i="5"/>
  <c r="BJ527" i="5"/>
  <c r="BG527" i="5"/>
  <c r="BH527" i="5"/>
  <c r="BE527" i="5"/>
  <c r="BF527" i="5"/>
  <c r="BD527" i="5"/>
  <c r="BA527" i="5"/>
  <c r="BP527" i="5" s="1"/>
  <c r="AY527" i="5"/>
  <c r="AZ527" i="5"/>
  <c r="AU527" i="5"/>
  <c r="BN527" i="5" s="1"/>
  <c r="AV527" i="5"/>
  <c r="BO527" i="5" s="1"/>
  <c r="CK600" i="5"/>
  <c r="CF600" i="5"/>
  <c r="CE600" i="5"/>
  <c r="CI600" i="5"/>
  <c r="CC600" i="5"/>
  <c r="CD600" i="5"/>
  <c r="CA600" i="5"/>
  <c r="BY600" i="5"/>
  <c r="BV600" i="5"/>
  <c r="BW600" i="5"/>
  <c r="BU600" i="5"/>
  <c r="BT600" i="5"/>
  <c r="BS600" i="5"/>
  <c r="BR600" i="5"/>
  <c r="BQ600" i="5"/>
  <c r="BM600" i="5"/>
  <c r="BK600" i="5"/>
  <c r="BJ600" i="5"/>
  <c r="BI600" i="5"/>
  <c r="BH600" i="5"/>
  <c r="BG600" i="5"/>
  <c r="BF600" i="5"/>
  <c r="BE600" i="5"/>
  <c r="BD600" i="5"/>
  <c r="AZ600" i="5"/>
  <c r="AV600" i="5"/>
  <c r="BC600" i="5" s="1"/>
  <c r="AY600" i="5"/>
  <c r="BA600" i="5"/>
  <c r="BP600" i="5" s="1"/>
  <c r="AU600" i="5"/>
  <c r="BN600" i="5" s="1"/>
  <c r="CJ674" i="5"/>
  <c r="CI674" i="5"/>
  <c r="CK674" i="5"/>
  <c r="CG674" i="5"/>
  <c r="CF674" i="5"/>
  <c r="CE674" i="5"/>
  <c r="CH674" i="5"/>
  <c r="CD674" i="5"/>
  <c r="CC674" i="5"/>
  <c r="CA674" i="5"/>
  <c r="BZ674" i="5"/>
  <c r="BY674" i="5"/>
  <c r="BU674" i="5"/>
  <c r="BX674" i="5"/>
  <c r="BV674" i="5"/>
  <c r="BW674" i="5"/>
  <c r="BS674" i="5"/>
  <c r="BT674" i="5"/>
  <c r="BQ674" i="5"/>
  <c r="BR674" i="5"/>
  <c r="BM674" i="5"/>
  <c r="BL674" i="5"/>
  <c r="BK674" i="5"/>
  <c r="BJ674" i="5"/>
  <c r="BI674" i="5"/>
  <c r="BH674" i="5"/>
  <c r="BG674" i="5"/>
  <c r="BF674" i="5"/>
  <c r="BD674" i="5"/>
  <c r="BE674" i="5"/>
  <c r="BA674" i="5"/>
  <c r="BP674" i="5" s="1"/>
  <c r="AZ674" i="5"/>
  <c r="AY674" i="5"/>
  <c r="AU674" i="5"/>
  <c r="BN674" i="5" s="1"/>
  <c r="AV674" i="5"/>
  <c r="BO674" i="5" s="1"/>
  <c r="CK747" i="5"/>
  <c r="CI747" i="5"/>
  <c r="CE747" i="5"/>
  <c r="CJ747" i="5"/>
  <c r="CH747" i="5"/>
  <c r="CG747" i="5"/>
  <c r="CF747" i="5"/>
  <c r="CD747" i="5"/>
  <c r="CC747" i="5"/>
  <c r="BZ747" i="5"/>
  <c r="BY747" i="5"/>
  <c r="CA747" i="5"/>
  <c r="BX747" i="5"/>
  <c r="BW747" i="5"/>
  <c r="BV747" i="5"/>
  <c r="BU747" i="5"/>
  <c r="BT747" i="5"/>
  <c r="BQ747" i="5"/>
  <c r="BS747" i="5"/>
  <c r="BR747" i="5"/>
  <c r="BM747" i="5"/>
  <c r="BL747" i="5"/>
  <c r="BI747" i="5"/>
  <c r="BG747" i="5"/>
  <c r="BK747" i="5"/>
  <c r="BJ747" i="5"/>
  <c r="BH747" i="5"/>
  <c r="BE747" i="5"/>
  <c r="BD747" i="5"/>
  <c r="BF747" i="5"/>
  <c r="AY747" i="5"/>
  <c r="BA747" i="5"/>
  <c r="BP747" i="5" s="1"/>
  <c r="AZ747" i="5"/>
  <c r="AU747" i="5"/>
  <c r="BN747" i="5" s="1"/>
  <c r="AV747" i="5"/>
  <c r="BO747" i="5" s="1"/>
  <c r="CF820" i="5"/>
  <c r="CK820" i="5"/>
  <c r="CI820" i="5"/>
  <c r="CE820" i="5"/>
  <c r="CD820" i="5"/>
  <c r="CA820" i="5"/>
  <c r="CC820" i="5"/>
  <c r="BY820" i="5"/>
  <c r="BW820" i="5"/>
  <c r="BU820" i="5"/>
  <c r="BV820" i="5"/>
  <c r="BT820" i="5"/>
  <c r="BR820" i="5"/>
  <c r="BQ820" i="5"/>
  <c r="BS820" i="5"/>
  <c r="BJ820" i="5"/>
  <c r="BK820" i="5"/>
  <c r="BM820" i="5"/>
  <c r="BI820" i="5"/>
  <c r="BH820" i="5"/>
  <c r="BF820" i="5"/>
  <c r="BG820" i="5"/>
  <c r="BE820" i="5"/>
  <c r="BD820" i="5"/>
  <c r="AZ820" i="5"/>
  <c r="BA820" i="5"/>
  <c r="BP820" i="5" s="1"/>
  <c r="AY820" i="5"/>
  <c r="AU820" i="5"/>
  <c r="BN820" i="5" s="1"/>
  <c r="AV820" i="5"/>
  <c r="BC820" i="5" s="1"/>
  <c r="CK893" i="5"/>
  <c r="CF893" i="5"/>
  <c r="CE893" i="5"/>
  <c r="CI893" i="5"/>
  <c r="CD893" i="5"/>
  <c r="CC893" i="5"/>
  <c r="CA893" i="5"/>
  <c r="BY893" i="5"/>
  <c r="BW893" i="5"/>
  <c r="BU893" i="5"/>
  <c r="BR893" i="5"/>
  <c r="BV893" i="5"/>
  <c r="BT893" i="5"/>
  <c r="BS893" i="5"/>
  <c r="BQ893" i="5"/>
  <c r="BM893" i="5"/>
  <c r="BK893" i="5"/>
  <c r="BJ893" i="5"/>
  <c r="BI893" i="5"/>
  <c r="BH893" i="5"/>
  <c r="BG893" i="5"/>
  <c r="BE893" i="5"/>
  <c r="BF893" i="5"/>
  <c r="BD893" i="5"/>
  <c r="BA893" i="5"/>
  <c r="BP893" i="5" s="1"/>
  <c r="AZ893" i="5"/>
  <c r="AY893" i="5"/>
  <c r="AU893" i="5"/>
  <c r="BN893" i="5" s="1"/>
  <c r="AV893" i="5"/>
  <c r="BO893" i="5" s="1"/>
  <c r="CI966" i="5"/>
  <c r="CK966" i="5"/>
  <c r="CE966" i="5"/>
  <c r="CD966" i="5"/>
  <c r="CC966" i="5"/>
  <c r="CF966" i="5"/>
  <c r="CA966" i="5"/>
  <c r="BY966" i="5"/>
  <c r="BW966" i="5"/>
  <c r="BU966" i="5"/>
  <c r="BV966" i="5"/>
  <c r="BS966" i="5"/>
  <c r="BT966" i="5"/>
  <c r="BR966" i="5"/>
  <c r="BQ966" i="5"/>
  <c r="BM966" i="5"/>
  <c r="BK966" i="5"/>
  <c r="BJ966" i="5"/>
  <c r="BI966" i="5"/>
  <c r="BH966" i="5"/>
  <c r="BG966" i="5"/>
  <c r="BD966" i="5"/>
  <c r="BF966" i="5"/>
  <c r="BE966" i="5"/>
  <c r="AV966" i="5"/>
  <c r="BC966" i="5" s="1"/>
  <c r="BA966" i="5"/>
  <c r="BP966" i="5" s="1"/>
  <c r="AZ966" i="5"/>
  <c r="AY966" i="5"/>
  <c r="AU966" i="5"/>
  <c r="BN966" i="5" s="1"/>
  <c r="CI1039" i="5"/>
  <c r="CE1039" i="5"/>
  <c r="CK1039" i="5"/>
  <c r="CF1039" i="5"/>
  <c r="CC1039" i="5"/>
  <c r="CD1039" i="5"/>
  <c r="BY1039" i="5"/>
  <c r="CA1039" i="5"/>
  <c r="BV1039" i="5"/>
  <c r="BW1039" i="5"/>
  <c r="BT1039" i="5"/>
  <c r="BU1039" i="5"/>
  <c r="BR1039" i="5"/>
  <c r="BQ1039" i="5"/>
  <c r="BS1039" i="5"/>
  <c r="BM1039" i="5"/>
  <c r="BK1039" i="5"/>
  <c r="BJ1039" i="5"/>
  <c r="BI1039" i="5"/>
  <c r="BG1039" i="5"/>
  <c r="BH1039" i="5"/>
  <c r="BE1039" i="5"/>
  <c r="BF1039" i="5"/>
  <c r="BD1039" i="5"/>
  <c r="AY1039" i="5"/>
  <c r="BA1039" i="5"/>
  <c r="BP1039" i="5" s="1"/>
  <c r="AZ1039" i="5"/>
  <c r="AU1039" i="5"/>
  <c r="BN1039" i="5" s="1"/>
  <c r="AV1039" i="5"/>
  <c r="BC1039" i="5" s="1"/>
  <c r="CJ1112" i="5"/>
  <c r="CH1112" i="5"/>
  <c r="CF1112" i="5"/>
  <c r="CE1112" i="5"/>
  <c r="CK1112" i="5"/>
  <c r="CI1112" i="5"/>
  <c r="CG1112" i="5"/>
  <c r="CD1112" i="5"/>
  <c r="CA1112" i="5"/>
  <c r="CC1112" i="5"/>
  <c r="BZ1112" i="5"/>
  <c r="BY1112" i="5"/>
  <c r="BX1112" i="5"/>
  <c r="BW1112" i="5"/>
  <c r="BV1112" i="5"/>
  <c r="BU1112" i="5"/>
  <c r="BT1112" i="5"/>
  <c r="BS1112" i="5"/>
  <c r="BR1112" i="5"/>
  <c r="BQ1112" i="5"/>
  <c r="BM1112" i="5"/>
  <c r="BL1112" i="5"/>
  <c r="BJ1112" i="5"/>
  <c r="BK1112" i="5"/>
  <c r="BH1112" i="5"/>
  <c r="BI1112" i="5"/>
  <c r="BG1112" i="5"/>
  <c r="BF1112" i="5"/>
  <c r="BE1112" i="5"/>
  <c r="BD1112" i="5"/>
  <c r="AZ1112" i="5"/>
  <c r="AV1112" i="5"/>
  <c r="BO1112" i="5" s="1"/>
  <c r="AY1112" i="5"/>
  <c r="BA1112" i="5"/>
  <c r="BP1112" i="5" s="1"/>
  <c r="AU1112" i="5"/>
  <c r="BN1112" i="5" s="1"/>
  <c r="CI1186" i="5"/>
  <c r="CK1186" i="5"/>
  <c r="CF1186" i="5"/>
  <c r="CE1186" i="5"/>
  <c r="CC1186" i="5"/>
  <c r="CD1186" i="5"/>
  <c r="CA1186" i="5"/>
  <c r="BY1186" i="5"/>
  <c r="BU1186" i="5"/>
  <c r="BW1186" i="5"/>
  <c r="BV1186" i="5"/>
  <c r="BS1186" i="5"/>
  <c r="BT1186" i="5"/>
  <c r="BR1186" i="5"/>
  <c r="BQ1186" i="5"/>
  <c r="BM1186" i="5"/>
  <c r="BK1186" i="5"/>
  <c r="BJ1186" i="5"/>
  <c r="BI1186" i="5"/>
  <c r="BH1186" i="5"/>
  <c r="BG1186" i="5"/>
  <c r="BF1186" i="5"/>
  <c r="BE1186" i="5"/>
  <c r="BD1186" i="5"/>
  <c r="BA1186" i="5"/>
  <c r="BP1186" i="5" s="1"/>
  <c r="AZ1186" i="5"/>
  <c r="AY1186" i="5"/>
  <c r="AU1186" i="5"/>
  <c r="BB1186" i="5" s="1"/>
  <c r="AV1186" i="5"/>
  <c r="BO1186" i="5" s="1"/>
  <c r="CI1259" i="5"/>
  <c r="CE1259" i="5"/>
  <c r="CK1259" i="5"/>
  <c r="CF1259" i="5"/>
  <c r="CD1259" i="5"/>
  <c r="CC1259" i="5"/>
  <c r="BY1259" i="5"/>
  <c r="CA1259" i="5"/>
  <c r="BW1259" i="5"/>
  <c r="BV1259" i="5"/>
  <c r="BU1259" i="5"/>
  <c r="BT1259" i="5"/>
  <c r="BS1259" i="5"/>
  <c r="BR1259" i="5"/>
  <c r="BQ1259" i="5"/>
  <c r="BM1259" i="5"/>
  <c r="BI1259" i="5"/>
  <c r="BG1259" i="5"/>
  <c r="BK1259" i="5"/>
  <c r="BJ1259" i="5"/>
  <c r="BH1259" i="5"/>
  <c r="BE1259" i="5"/>
  <c r="BF1259" i="5"/>
  <c r="BD1259" i="5"/>
  <c r="AY1259" i="5"/>
  <c r="BA1259" i="5"/>
  <c r="BP1259" i="5" s="1"/>
  <c r="AZ1259" i="5"/>
  <c r="AU1259" i="5"/>
  <c r="BB1259" i="5" s="1"/>
  <c r="AV1259" i="5"/>
  <c r="BO1259" i="5" s="1"/>
  <c r="CK1328" i="5"/>
  <c r="CI1328" i="5"/>
  <c r="CJ1328" i="5"/>
  <c r="CF1328" i="5"/>
  <c r="CH1328" i="5"/>
  <c r="CD1328" i="5"/>
  <c r="CG1328" i="5"/>
  <c r="CE1328" i="5"/>
  <c r="CA1328" i="5"/>
  <c r="CC1328" i="5"/>
  <c r="BZ1328" i="5"/>
  <c r="BY1328" i="5"/>
  <c r="BW1328" i="5"/>
  <c r="BX1328" i="5"/>
  <c r="BV1328" i="5"/>
  <c r="BU1328" i="5"/>
  <c r="BT1328" i="5"/>
  <c r="BS1328" i="5"/>
  <c r="BR1328" i="5"/>
  <c r="BQ1328" i="5"/>
  <c r="BL1328" i="5"/>
  <c r="BM1328" i="5"/>
  <c r="BJ1328" i="5"/>
  <c r="BK1328" i="5"/>
  <c r="BH1328" i="5"/>
  <c r="BI1328" i="5"/>
  <c r="BG1328" i="5"/>
  <c r="BF1328" i="5"/>
  <c r="BE1328" i="5"/>
  <c r="BD1328" i="5"/>
  <c r="AZ1328" i="5"/>
  <c r="AV1328" i="5"/>
  <c r="BC1328" i="5" s="1"/>
  <c r="AY1328" i="5"/>
  <c r="BA1328" i="5"/>
  <c r="BP1328" i="5" s="1"/>
  <c r="AU1328" i="5"/>
  <c r="BN1328" i="5" s="1"/>
  <c r="BC35" i="5"/>
  <c r="CK71" i="5"/>
  <c r="CE71" i="5"/>
  <c r="CI71" i="5"/>
  <c r="CF71" i="5"/>
  <c r="CD71" i="5"/>
  <c r="CC71" i="5"/>
  <c r="CA71" i="5"/>
  <c r="BY71" i="5"/>
  <c r="BV71" i="5"/>
  <c r="BW71" i="5"/>
  <c r="BT71" i="5"/>
  <c r="BU71" i="5"/>
  <c r="BS71" i="5"/>
  <c r="BR71" i="5"/>
  <c r="BQ71" i="5"/>
  <c r="BK71" i="5"/>
  <c r="BI71" i="5"/>
  <c r="BM71" i="5"/>
  <c r="BH71" i="5"/>
  <c r="BJ71" i="5"/>
  <c r="BG71" i="5"/>
  <c r="BE71" i="5"/>
  <c r="BF71" i="5"/>
  <c r="BD71" i="5"/>
  <c r="BA71" i="5"/>
  <c r="BP71" i="5" s="1"/>
  <c r="AY71" i="5"/>
  <c r="AZ71" i="5"/>
  <c r="AU71" i="5"/>
  <c r="BB71" i="5" s="1"/>
  <c r="AV71" i="5"/>
  <c r="BO71" i="5" s="1"/>
  <c r="CK144" i="5"/>
  <c r="CJ144" i="5"/>
  <c r="CH144" i="5"/>
  <c r="CI144" i="5"/>
  <c r="CF144" i="5"/>
  <c r="CC144" i="5"/>
  <c r="CG144" i="5"/>
  <c r="CE144" i="5"/>
  <c r="CD144" i="5"/>
  <c r="CA144" i="5"/>
  <c r="BZ144" i="5"/>
  <c r="BV144" i="5"/>
  <c r="BY144" i="5"/>
  <c r="BW144" i="5"/>
  <c r="BX144" i="5"/>
  <c r="BU144" i="5"/>
  <c r="BT144" i="5"/>
  <c r="BS144" i="5"/>
  <c r="BR144" i="5"/>
  <c r="BQ144" i="5"/>
  <c r="BL144" i="5"/>
  <c r="BM144" i="5"/>
  <c r="BK144" i="5"/>
  <c r="BJ144" i="5"/>
  <c r="BI144" i="5"/>
  <c r="BH144" i="5"/>
  <c r="BG144" i="5"/>
  <c r="BF144" i="5"/>
  <c r="BE144" i="5"/>
  <c r="BD144" i="5"/>
  <c r="BA144" i="5"/>
  <c r="BP144" i="5" s="1"/>
  <c r="AZ144" i="5"/>
  <c r="AV144" i="5"/>
  <c r="BO144" i="5" s="1"/>
  <c r="AY144" i="5"/>
  <c r="AU144" i="5"/>
  <c r="BB144" i="5" s="1"/>
  <c r="CK218" i="5"/>
  <c r="CH218" i="5"/>
  <c r="CI218" i="5"/>
  <c r="CG218" i="5"/>
  <c r="CD218" i="5"/>
  <c r="CJ218" i="5"/>
  <c r="CF218" i="5"/>
  <c r="CE218" i="5"/>
  <c r="BY218" i="5"/>
  <c r="CC218" i="5"/>
  <c r="BZ218" i="5"/>
  <c r="CA218" i="5"/>
  <c r="BX218" i="5"/>
  <c r="BU218" i="5"/>
  <c r="BV218" i="5"/>
  <c r="BW218" i="5"/>
  <c r="BS218" i="5"/>
  <c r="BT218" i="5"/>
  <c r="BQ218" i="5"/>
  <c r="BR218" i="5"/>
  <c r="BM218" i="5"/>
  <c r="BL218" i="5"/>
  <c r="BK218" i="5"/>
  <c r="BJ218" i="5"/>
  <c r="BI218" i="5"/>
  <c r="BH218" i="5"/>
  <c r="BF218" i="5"/>
  <c r="BG218" i="5"/>
  <c r="BD218" i="5"/>
  <c r="BE218" i="5"/>
  <c r="BA218" i="5"/>
  <c r="BP218" i="5" s="1"/>
  <c r="AZ218" i="5"/>
  <c r="AY218" i="5"/>
  <c r="AU218" i="5"/>
  <c r="BN218" i="5" s="1"/>
  <c r="AV218" i="5"/>
  <c r="BO218" i="5" s="1"/>
  <c r="CK291" i="5"/>
  <c r="CG291" i="5"/>
  <c r="CE291" i="5"/>
  <c r="CD291" i="5"/>
  <c r="CI291" i="5"/>
  <c r="CF291" i="5"/>
  <c r="CC291" i="5"/>
  <c r="BY291" i="5"/>
  <c r="CA291" i="5"/>
  <c r="BV291" i="5"/>
  <c r="BW291" i="5"/>
  <c r="BU291" i="5"/>
  <c r="BT291" i="5"/>
  <c r="BS291" i="5"/>
  <c r="BR291" i="5"/>
  <c r="BQ291" i="5"/>
  <c r="BK291" i="5"/>
  <c r="BM291" i="5"/>
  <c r="BI291" i="5"/>
  <c r="BJ291" i="5"/>
  <c r="BG291" i="5"/>
  <c r="BH291" i="5"/>
  <c r="BF291" i="5"/>
  <c r="BE291" i="5"/>
  <c r="BD291" i="5"/>
  <c r="BA291" i="5"/>
  <c r="BP291" i="5" s="1"/>
  <c r="AY291" i="5"/>
  <c r="AZ291" i="5"/>
  <c r="AU291" i="5"/>
  <c r="BN291" i="5" s="1"/>
  <c r="AV291" i="5"/>
  <c r="BC291" i="5" s="1"/>
  <c r="CK364" i="5"/>
  <c r="CJ364" i="5"/>
  <c r="CG364" i="5"/>
  <c r="CI364" i="5"/>
  <c r="CF364" i="5"/>
  <c r="CH364" i="5"/>
  <c r="CC364" i="5"/>
  <c r="CE364" i="5"/>
  <c r="CD364" i="5"/>
  <c r="CA364" i="5"/>
  <c r="BV364" i="5"/>
  <c r="BZ364" i="5"/>
  <c r="BY364" i="5"/>
  <c r="BW364" i="5"/>
  <c r="BX364" i="5"/>
  <c r="BU364" i="5"/>
  <c r="BT364" i="5"/>
  <c r="BS364" i="5"/>
  <c r="BR364" i="5"/>
  <c r="BQ364" i="5"/>
  <c r="BM364" i="5"/>
  <c r="BK364" i="5"/>
  <c r="BJ364" i="5"/>
  <c r="BL364" i="5"/>
  <c r="BI364" i="5"/>
  <c r="BH364" i="5"/>
  <c r="BF364" i="5"/>
  <c r="BG364" i="5"/>
  <c r="BE364" i="5"/>
  <c r="BD364" i="5"/>
  <c r="AZ364" i="5"/>
  <c r="BA364" i="5"/>
  <c r="BP364" i="5" s="1"/>
  <c r="AY364" i="5"/>
  <c r="AU364" i="5"/>
  <c r="BN364" i="5" s="1"/>
  <c r="AV364" i="5"/>
  <c r="BC364" i="5" s="1"/>
  <c r="CK437" i="5"/>
  <c r="CI437" i="5"/>
  <c r="CF437" i="5"/>
  <c r="CE437" i="5"/>
  <c r="CD437" i="5"/>
  <c r="CC437" i="5"/>
  <c r="BY437" i="5"/>
  <c r="BW437" i="5"/>
  <c r="CA437" i="5"/>
  <c r="BT437" i="5"/>
  <c r="BV437" i="5"/>
  <c r="BU437" i="5"/>
  <c r="BR437" i="5"/>
  <c r="BS437" i="5"/>
  <c r="BQ437" i="5"/>
  <c r="BM437" i="5"/>
  <c r="BK437" i="5"/>
  <c r="BJ437" i="5"/>
  <c r="BI437" i="5"/>
  <c r="BF437" i="5"/>
  <c r="BH437" i="5"/>
  <c r="BG437" i="5"/>
  <c r="BE437" i="5"/>
  <c r="BD437" i="5"/>
  <c r="BA437" i="5"/>
  <c r="BP437" i="5" s="1"/>
  <c r="AZ437" i="5"/>
  <c r="AY437" i="5"/>
  <c r="AU437" i="5"/>
  <c r="BB437" i="5" s="1"/>
  <c r="AV437" i="5"/>
  <c r="BO437" i="5" s="1"/>
  <c r="CJ510" i="5"/>
  <c r="CK510" i="5"/>
  <c r="CI510" i="5"/>
  <c r="CD510" i="5"/>
  <c r="CF510" i="5"/>
  <c r="CH510" i="5"/>
  <c r="CG510" i="5"/>
  <c r="CE510" i="5"/>
  <c r="CC510" i="5"/>
  <c r="BY510" i="5"/>
  <c r="CA510" i="5"/>
  <c r="BZ510" i="5"/>
  <c r="BX510" i="5"/>
  <c r="BU510" i="5"/>
  <c r="BV510" i="5"/>
  <c r="BW510" i="5"/>
  <c r="BS510" i="5"/>
  <c r="BR510" i="5"/>
  <c r="BT510" i="5"/>
  <c r="BQ510" i="5"/>
  <c r="BM510" i="5"/>
  <c r="BK510" i="5"/>
  <c r="BL510" i="5"/>
  <c r="BJ510" i="5"/>
  <c r="BI510" i="5"/>
  <c r="BH510" i="5"/>
  <c r="BG510" i="5"/>
  <c r="BF510" i="5"/>
  <c r="BE510" i="5"/>
  <c r="BD510" i="5"/>
  <c r="BA510" i="5"/>
  <c r="BP510" i="5" s="1"/>
  <c r="AV510" i="5"/>
  <c r="BO510" i="5" s="1"/>
  <c r="AZ510" i="5"/>
  <c r="AY510" i="5"/>
  <c r="AU510" i="5"/>
  <c r="BN510" i="5" s="1"/>
  <c r="CK583" i="5"/>
  <c r="CG583" i="5"/>
  <c r="CJ583" i="5"/>
  <c r="CH583" i="5"/>
  <c r="CE583" i="5"/>
  <c r="CI583" i="5"/>
  <c r="CF583" i="5"/>
  <c r="CD583" i="5"/>
  <c r="BZ583" i="5"/>
  <c r="CC583" i="5"/>
  <c r="CA583" i="5"/>
  <c r="BY583" i="5"/>
  <c r="BV583" i="5"/>
  <c r="BX583" i="5"/>
  <c r="BW583" i="5"/>
  <c r="BU583" i="5"/>
  <c r="BS583" i="5"/>
  <c r="BT583" i="5"/>
  <c r="BR583" i="5"/>
  <c r="BQ583" i="5"/>
  <c r="BK583" i="5"/>
  <c r="BL583" i="5"/>
  <c r="BI583" i="5"/>
  <c r="BM583" i="5"/>
  <c r="BJ583" i="5"/>
  <c r="BG583" i="5"/>
  <c r="BE583" i="5"/>
  <c r="BH583" i="5"/>
  <c r="BF583" i="5"/>
  <c r="BD583" i="5"/>
  <c r="AY583" i="5"/>
  <c r="BA583" i="5"/>
  <c r="BP583" i="5" s="1"/>
  <c r="AZ583" i="5"/>
  <c r="AU583" i="5"/>
  <c r="BN583" i="5" s="1"/>
  <c r="AV583" i="5"/>
  <c r="BC583" i="5" s="1"/>
  <c r="CK656" i="5"/>
  <c r="CH656" i="5"/>
  <c r="CI656" i="5"/>
  <c r="CF656" i="5"/>
  <c r="CJ656" i="5"/>
  <c r="CC656" i="5"/>
  <c r="CD656" i="5"/>
  <c r="CG656" i="5"/>
  <c r="CE656" i="5"/>
  <c r="CA656" i="5"/>
  <c r="BX656" i="5"/>
  <c r="BY656" i="5"/>
  <c r="BZ656" i="5"/>
  <c r="BW656" i="5"/>
  <c r="BV656" i="5"/>
  <c r="BU656" i="5"/>
  <c r="BT656" i="5"/>
  <c r="BS656" i="5"/>
  <c r="BR656" i="5"/>
  <c r="BQ656" i="5"/>
  <c r="BL656" i="5"/>
  <c r="BK656" i="5"/>
  <c r="BM656" i="5"/>
  <c r="BJ656" i="5"/>
  <c r="BI656" i="5"/>
  <c r="BH656" i="5"/>
  <c r="BG656" i="5"/>
  <c r="BF656" i="5"/>
  <c r="BE656" i="5"/>
  <c r="BD656" i="5"/>
  <c r="AZ656" i="5"/>
  <c r="AV656" i="5"/>
  <c r="BO656" i="5" s="1"/>
  <c r="AY656" i="5"/>
  <c r="BA656" i="5"/>
  <c r="BP656" i="5" s="1"/>
  <c r="AU656" i="5"/>
  <c r="BN656" i="5" s="1"/>
  <c r="CK730" i="5"/>
  <c r="CJ730" i="5"/>
  <c r="CI730" i="5"/>
  <c r="CH730" i="5"/>
  <c r="CG730" i="5"/>
  <c r="CF730" i="5"/>
  <c r="CE730" i="5"/>
  <c r="CD730" i="5"/>
  <c r="CC730" i="5"/>
  <c r="BZ730" i="5"/>
  <c r="CA730" i="5"/>
  <c r="BY730" i="5"/>
  <c r="BU730" i="5"/>
  <c r="BX730" i="5"/>
  <c r="BV730" i="5"/>
  <c r="BW730" i="5"/>
  <c r="BS730" i="5"/>
  <c r="BT730" i="5"/>
  <c r="BQ730" i="5"/>
  <c r="BR730" i="5"/>
  <c r="BM730" i="5"/>
  <c r="BL730" i="5"/>
  <c r="BJ730" i="5"/>
  <c r="BI730" i="5"/>
  <c r="BK730" i="5"/>
  <c r="BF730" i="5"/>
  <c r="BH730" i="5"/>
  <c r="BG730" i="5"/>
  <c r="BD730" i="5"/>
  <c r="BE730" i="5"/>
  <c r="BA730" i="5"/>
  <c r="BP730" i="5" s="1"/>
  <c r="AZ730" i="5"/>
  <c r="AY730" i="5"/>
  <c r="AU730" i="5"/>
  <c r="BN730" i="5" s="1"/>
  <c r="AV730" i="5"/>
  <c r="BO730" i="5" s="1"/>
  <c r="CK803" i="5"/>
  <c r="CE803" i="5"/>
  <c r="CI803" i="5"/>
  <c r="CF803" i="5"/>
  <c r="CD803" i="5"/>
  <c r="CC803" i="5"/>
  <c r="BY803" i="5"/>
  <c r="CA803" i="5"/>
  <c r="BV803" i="5"/>
  <c r="BW803" i="5"/>
  <c r="BU803" i="5"/>
  <c r="BT803" i="5"/>
  <c r="BS803" i="5"/>
  <c r="BR803" i="5"/>
  <c r="BQ803" i="5"/>
  <c r="BM803" i="5"/>
  <c r="BI803" i="5"/>
  <c r="BK803" i="5"/>
  <c r="BJ803" i="5"/>
  <c r="BG803" i="5"/>
  <c r="BH803" i="5"/>
  <c r="BE803" i="5"/>
  <c r="BF803" i="5"/>
  <c r="BD803" i="5"/>
  <c r="AY803" i="5"/>
  <c r="BA803" i="5"/>
  <c r="BP803" i="5" s="1"/>
  <c r="AZ803" i="5"/>
  <c r="AU803" i="5"/>
  <c r="BN803" i="5" s="1"/>
  <c r="AV803" i="5"/>
  <c r="BC803" i="5" s="1"/>
  <c r="CK876" i="5"/>
  <c r="CI876" i="5"/>
  <c r="CF876" i="5"/>
  <c r="CE876" i="5"/>
  <c r="CD876" i="5"/>
  <c r="CA876" i="5"/>
  <c r="CC876" i="5"/>
  <c r="BY876" i="5"/>
  <c r="BW876" i="5"/>
  <c r="BU876" i="5"/>
  <c r="BV876" i="5"/>
  <c r="BT876" i="5"/>
  <c r="BR876" i="5"/>
  <c r="BS876" i="5"/>
  <c r="BQ876" i="5"/>
  <c r="BM876" i="5"/>
  <c r="BJ876" i="5"/>
  <c r="BK876" i="5"/>
  <c r="BI876" i="5"/>
  <c r="BH876" i="5"/>
  <c r="BF876" i="5"/>
  <c r="BG876" i="5"/>
  <c r="BE876" i="5"/>
  <c r="BD876" i="5"/>
  <c r="AZ876" i="5"/>
  <c r="AY876" i="5"/>
  <c r="BA876" i="5"/>
  <c r="BP876" i="5" s="1"/>
  <c r="AU876" i="5"/>
  <c r="BN876" i="5" s="1"/>
  <c r="AV876" i="5"/>
  <c r="BO876" i="5" s="1"/>
  <c r="CK949" i="5"/>
  <c r="CI949" i="5"/>
  <c r="CD949" i="5"/>
  <c r="CF949" i="5"/>
  <c r="CE949" i="5"/>
  <c r="CC949" i="5"/>
  <c r="BW949" i="5"/>
  <c r="CA949" i="5"/>
  <c r="BY949" i="5"/>
  <c r="BV949" i="5"/>
  <c r="BU949" i="5"/>
  <c r="BR949" i="5"/>
  <c r="BT949" i="5"/>
  <c r="BQ949" i="5"/>
  <c r="BS949" i="5"/>
  <c r="BM949" i="5"/>
  <c r="BK949" i="5"/>
  <c r="BJ949" i="5"/>
  <c r="BI949" i="5"/>
  <c r="BH949" i="5"/>
  <c r="BG949" i="5"/>
  <c r="BE949" i="5"/>
  <c r="BF949" i="5"/>
  <c r="BD949" i="5"/>
  <c r="BA949" i="5"/>
  <c r="BP949" i="5" s="1"/>
  <c r="AZ949" i="5"/>
  <c r="AY949" i="5"/>
  <c r="AU949" i="5"/>
  <c r="BB949" i="5" s="1"/>
  <c r="AV949" i="5"/>
  <c r="BC949" i="5" s="1"/>
  <c r="CK1022" i="5"/>
  <c r="CI1022" i="5"/>
  <c r="CC1022" i="5"/>
  <c r="CF1022" i="5"/>
  <c r="CD1022" i="5"/>
  <c r="CE1022" i="5"/>
  <c r="CA1022" i="5"/>
  <c r="BY1022" i="5"/>
  <c r="BU1022" i="5"/>
  <c r="BW1022" i="5"/>
  <c r="BV1022" i="5"/>
  <c r="BS1022" i="5"/>
  <c r="BR1022" i="5"/>
  <c r="BT1022" i="5"/>
  <c r="BQ1022" i="5"/>
  <c r="BM1022" i="5"/>
  <c r="BI1022" i="5"/>
  <c r="BJ1022" i="5"/>
  <c r="BK1022" i="5"/>
  <c r="BH1022" i="5"/>
  <c r="BG1022" i="5"/>
  <c r="BF1022" i="5"/>
  <c r="BE1022" i="5"/>
  <c r="BD1022" i="5"/>
  <c r="AV1022" i="5"/>
  <c r="BC1022" i="5" s="1"/>
  <c r="BA1022" i="5"/>
  <c r="BP1022" i="5" s="1"/>
  <c r="AZ1022" i="5"/>
  <c r="AY1022" i="5"/>
  <c r="AU1022" i="5"/>
  <c r="BB1022" i="5" s="1"/>
  <c r="CK1095" i="5"/>
  <c r="CE1095" i="5"/>
  <c r="CF1095" i="5"/>
  <c r="CI1095" i="5"/>
  <c r="CD1095" i="5"/>
  <c r="CC1095" i="5"/>
  <c r="CA1095" i="5"/>
  <c r="BY1095" i="5"/>
  <c r="BV1095" i="5"/>
  <c r="BW1095" i="5"/>
  <c r="BT1095" i="5"/>
  <c r="BU1095" i="5"/>
  <c r="BS1095" i="5"/>
  <c r="BR1095" i="5"/>
  <c r="BQ1095" i="5"/>
  <c r="BM1095" i="5"/>
  <c r="BK1095" i="5"/>
  <c r="BJ1095" i="5"/>
  <c r="BI1095" i="5"/>
  <c r="BG1095" i="5"/>
  <c r="BE1095" i="5"/>
  <c r="BH1095" i="5"/>
  <c r="BF1095" i="5"/>
  <c r="BD1095" i="5"/>
  <c r="AY1095" i="5"/>
  <c r="BA1095" i="5"/>
  <c r="BP1095" i="5" s="1"/>
  <c r="AZ1095" i="5"/>
  <c r="AU1095" i="5"/>
  <c r="BB1095" i="5" s="1"/>
  <c r="AV1095" i="5"/>
  <c r="BO1095" i="5" s="1"/>
  <c r="CK1168" i="5"/>
  <c r="CI1168" i="5"/>
  <c r="CF1168" i="5"/>
  <c r="CD1168" i="5"/>
  <c r="CE1168" i="5"/>
  <c r="CA1168" i="5"/>
  <c r="CC1168" i="5"/>
  <c r="BY1168" i="5"/>
  <c r="BW1168" i="5"/>
  <c r="BV1168" i="5"/>
  <c r="BU1168" i="5"/>
  <c r="BT1168" i="5"/>
  <c r="BR1168" i="5"/>
  <c r="BQ1168" i="5"/>
  <c r="BS1168" i="5"/>
  <c r="BM1168" i="5"/>
  <c r="BJ1168" i="5"/>
  <c r="BK1168" i="5"/>
  <c r="BH1168" i="5"/>
  <c r="BI1168" i="5"/>
  <c r="BG1168" i="5"/>
  <c r="BF1168" i="5"/>
  <c r="BE1168" i="5"/>
  <c r="BD1168" i="5"/>
  <c r="AZ1168" i="5"/>
  <c r="AV1168" i="5"/>
  <c r="BO1168" i="5" s="1"/>
  <c r="AY1168" i="5"/>
  <c r="BA1168" i="5"/>
  <c r="BP1168" i="5" s="1"/>
  <c r="AU1168" i="5"/>
  <c r="BN1168" i="5" s="1"/>
  <c r="CK1242" i="5"/>
  <c r="CJ1242" i="5"/>
  <c r="CI1242" i="5"/>
  <c r="CH1242" i="5"/>
  <c r="CG1242" i="5"/>
  <c r="CF1242" i="5"/>
  <c r="CC1242" i="5"/>
  <c r="CE1242" i="5"/>
  <c r="CD1242" i="5"/>
  <c r="CA1242" i="5"/>
  <c r="BY1242" i="5"/>
  <c r="BX1242" i="5"/>
  <c r="BZ1242" i="5"/>
  <c r="BV1242" i="5"/>
  <c r="BU1242" i="5"/>
  <c r="BW1242" i="5"/>
  <c r="BS1242" i="5"/>
  <c r="BT1242" i="5"/>
  <c r="BR1242" i="5"/>
  <c r="BQ1242" i="5"/>
  <c r="BM1242" i="5"/>
  <c r="BL1242" i="5"/>
  <c r="BI1242" i="5"/>
  <c r="BK1242" i="5"/>
  <c r="BJ1242" i="5"/>
  <c r="BH1242" i="5"/>
  <c r="BG1242" i="5"/>
  <c r="BF1242" i="5"/>
  <c r="BE1242" i="5"/>
  <c r="BD1242" i="5"/>
  <c r="BA1242" i="5"/>
  <c r="BP1242" i="5" s="1"/>
  <c r="AZ1242" i="5"/>
  <c r="AY1242" i="5"/>
  <c r="AU1242" i="5"/>
  <c r="BB1242" i="5" s="1"/>
  <c r="AV1242" i="5"/>
  <c r="BC1242" i="5" s="1"/>
  <c r="CK72" i="5"/>
  <c r="CF72" i="5"/>
  <c r="CI72" i="5"/>
  <c r="CE72" i="5"/>
  <c r="CD72" i="5"/>
  <c r="CC72" i="5"/>
  <c r="CA72" i="5"/>
  <c r="BY72" i="5"/>
  <c r="BV72" i="5"/>
  <c r="BW72" i="5"/>
  <c r="BT72" i="5"/>
  <c r="BU72" i="5"/>
  <c r="BS72" i="5"/>
  <c r="BR72" i="5"/>
  <c r="BQ72" i="5"/>
  <c r="BK72" i="5"/>
  <c r="BM72" i="5"/>
  <c r="BJ72" i="5"/>
  <c r="BH72" i="5"/>
  <c r="BI72" i="5"/>
  <c r="BG72" i="5"/>
  <c r="BF72" i="5"/>
  <c r="BE72" i="5"/>
  <c r="BD72" i="5"/>
  <c r="BA72" i="5"/>
  <c r="BP72" i="5" s="1"/>
  <c r="AZ72" i="5"/>
  <c r="AV72" i="5"/>
  <c r="BC72" i="5" s="1"/>
  <c r="AY72" i="5"/>
  <c r="AU72" i="5"/>
  <c r="BN72" i="5" s="1"/>
  <c r="CK146" i="5"/>
  <c r="CJ146" i="5"/>
  <c r="CI146" i="5"/>
  <c r="CG146" i="5"/>
  <c r="CH146" i="5"/>
  <c r="CD146" i="5"/>
  <c r="CF146" i="5"/>
  <c r="CE146" i="5"/>
  <c r="CC146" i="5"/>
  <c r="BY146" i="5"/>
  <c r="CA146" i="5"/>
  <c r="BZ146" i="5"/>
  <c r="BU146" i="5"/>
  <c r="BX146" i="5"/>
  <c r="BV146" i="5"/>
  <c r="BW146" i="5"/>
  <c r="BS146" i="5"/>
  <c r="BT146" i="5"/>
  <c r="BR146" i="5"/>
  <c r="BQ146" i="5"/>
  <c r="BM146" i="5"/>
  <c r="BK146" i="5"/>
  <c r="BL146" i="5"/>
  <c r="BJ146" i="5"/>
  <c r="BI146" i="5"/>
  <c r="BH146" i="5"/>
  <c r="BF146" i="5"/>
  <c r="BD146" i="5"/>
  <c r="BG146" i="5"/>
  <c r="BE146" i="5"/>
  <c r="BA146" i="5"/>
  <c r="BP146" i="5" s="1"/>
  <c r="AZ146" i="5"/>
  <c r="AY146" i="5"/>
  <c r="AV146" i="5"/>
  <c r="BO146" i="5" s="1"/>
  <c r="AU146" i="5"/>
  <c r="BB146" i="5" s="1"/>
  <c r="CK219" i="5"/>
  <c r="CI219" i="5"/>
  <c r="CE219" i="5"/>
  <c r="CC219" i="5"/>
  <c r="CF219" i="5"/>
  <c r="CD219" i="5"/>
  <c r="CA219" i="5"/>
  <c r="BY219" i="5"/>
  <c r="BW219" i="5"/>
  <c r="BV219" i="5"/>
  <c r="BU219" i="5"/>
  <c r="BS219" i="5"/>
  <c r="BT219" i="5"/>
  <c r="BQ219" i="5"/>
  <c r="BR219" i="5"/>
  <c r="BK219" i="5"/>
  <c r="BM219" i="5"/>
  <c r="BI219" i="5"/>
  <c r="BJ219" i="5"/>
  <c r="BG219" i="5"/>
  <c r="BH219" i="5"/>
  <c r="BF219" i="5"/>
  <c r="BE219" i="5"/>
  <c r="BD219" i="5"/>
  <c r="BA219" i="5"/>
  <c r="BP219" i="5" s="1"/>
  <c r="AY219" i="5"/>
  <c r="AU219" i="5"/>
  <c r="BN219" i="5" s="1"/>
  <c r="AZ219" i="5"/>
  <c r="AV219" i="5"/>
  <c r="BC219" i="5" s="1"/>
  <c r="CK292" i="5"/>
  <c r="CI292" i="5"/>
  <c r="CF292" i="5"/>
  <c r="CE292" i="5"/>
  <c r="CC292" i="5"/>
  <c r="CD292" i="5"/>
  <c r="CA292" i="5"/>
  <c r="BV292" i="5"/>
  <c r="BY292" i="5"/>
  <c r="BW292" i="5"/>
  <c r="BU292" i="5"/>
  <c r="BT292" i="5"/>
  <c r="BS292" i="5"/>
  <c r="BQ292" i="5"/>
  <c r="BR292" i="5"/>
  <c r="BM292" i="5"/>
  <c r="BJ292" i="5"/>
  <c r="BK292" i="5"/>
  <c r="BI292" i="5"/>
  <c r="BH292" i="5"/>
  <c r="BG292" i="5"/>
  <c r="BF292" i="5"/>
  <c r="BE292" i="5"/>
  <c r="BD292" i="5"/>
  <c r="AZ292" i="5"/>
  <c r="BA292" i="5"/>
  <c r="BP292" i="5" s="1"/>
  <c r="AY292" i="5"/>
  <c r="AU292" i="5"/>
  <c r="BN292" i="5" s="1"/>
  <c r="AV292" i="5"/>
  <c r="BC292" i="5" s="1"/>
  <c r="CK365" i="5"/>
  <c r="CF365" i="5"/>
  <c r="CE365" i="5"/>
  <c r="CD365" i="5"/>
  <c r="CI365" i="5"/>
  <c r="CC365" i="5"/>
  <c r="CA365" i="5"/>
  <c r="BY365" i="5"/>
  <c r="BW365" i="5"/>
  <c r="BT365" i="5"/>
  <c r="BV365" i="5"/>
  <c r="BU365" i="5"/>
  <c r="BR365" i="5"/>
  <c r="BS365" i="5"/>
  <c r="BQ365" i="5"/>
  <c r="BM365" i="5"/>
  <c r="BK365" i="5"/>
  <c r="BJ365" i="5"/>
  <c r="BI365" i="5"/>
  <c r="BG365" i="5"/>
  <c r="BH365" i="5"/>
  <c r="BF365" i="5"/>
  <c r="BE365" i="5"/>
  <c r="BD365" i="5"/>
  <c r="BA365" i="5"/>
  <c r="BP365" i="5" s="1"/>
  <c r="AZ365" i="5"/>
  <c r="AY365" i="5"/>
  <c r="AU365" i="5"/>
  <c r="BB365" i="5" s="1"/>
  <c r="AV365" i="5"/>
  <c r="BO365" i="5" s="1"/>
  <c r="CK438" i="5"/>
  <c r="CI438" i="5"/>
  <c r="CD438" i="5"/>
  <c r="CF438" i="5"/>
  <c r="CE438" i="5"/>
  <c r="CC438" i="5"/>
  <c r="BY438" i="5"/>
  <c r="CA438" i="5"/>
  <c r="BW438" i="5"/>
  <c r="BV438" i="5"/>
  <c r="BU438" i="5"/>
  <c r="BS438" i="5"/>
  <c r="BT438" i="5"/>
  <c r="BR438" i="5"/>
  <c r="BQ438" i="5"/>
  <c r="BM438" i="5"/>
  <c r="BK438" i="5"/>
  <c r="BJ438" i="5"/>
  <c r="BI438" i="5"/>
  <c r="BF438" i="5"/>
  <c r="BH438" i="5"/>
  <c r="BG438" i="5"/>
  <c r="BD438" i="5"/>
  <c r="BE438" i="5"/>
  <c r="BA438" i="5"/>
  <c r="BP438" i="5" s="1"/>
  <c r="AZ438" i="5"/>
  <c r="AY438" i="5"/>
  <c r="AV438" i="5"/>
  <c r="BO438" i="5" s="1"/>
  <c r="AU438" i="5"/>
  <c r="BN438" i="5" s="1"/>
  <c r="CK511" i="5"/>
  <c r="CJ511" i="5"/>
  <c r="CG511" i="5"/>
  <c r="CE511" i="5"/>
  <c r="CH511" i="5"/>
  <c r="CI511" i="5"/>
  <c r="CF511" i="5"/>
  <c r="CD511" i="5"/>
  <c r="BZ511" i="5"/>
  <c r="CC511" i="5"/>
  <c r="CA511" i="5"/>
  <c r="BX511" i="5"/>
  <c r="BY511" i="5"/>
  <c r="BV511" i="5"/>
  <c r="BW511" i="5"/>
  <c r="BT511" i="5"/>
  <c r="BU511" i="5"/>
  <c r="BS511" i="5"/>
  <c r="BQ511" i="5"/>
  <c r="BR511" i="5"/>
  <c r="BK511" i="5"/>
  <c r="BL511" i="5"/>
  <c r="BI511" i="5"/>
  <c r="BM511" i="5"/>
  <c r="BJ511" i="5"/>
  <c r="BG511" i="5"/>
  <c r="BE511" i="5"/>
  <c r="BH511" i="5"/>
  <c r="BF511" i="5"/>
  <c r="BD511" i="5"/>
  <c r="BA511" i="5"/>
  <c r="BP511" i="5" s="1"/>
  <c r="AY511" i="5"/>
  <c r="AZ511" i="5"/>
  <c r="AU511" i="5"/>
  <c r="BN511" i="5" s="1"/>
  <c r="AV511" i="5"/>
  <c r="BO511" i="5" s="1"/>
  <c r="CK584" i="5"/>
  <c r="CF584" i="5"/>
  <c r="CI584" i="5"/>
  <c r="CE584" i="5"/>
  <c r="CC584" i="5"/>
  <c r="CD584" i="5"/>
  <c r="CA584" i="5"/>
  <c r="BY584" i="5"/>
  <c r="BW584" i="5"/>
  <c r="BV584" i="5"/>
  <c r="BU584" i="5"/>
  <c r="BT584" i="5"/>
  <c r="BS584" i="5"/>
  <c r="BR584" i="5"/>
  <c r="BQ584" i="5"/>
  <c r="BK584" i="5"/>
  <c r="BM584" i="5"/>
  <c r="BJ584" i="5"/>
  <c r="BH584" i="5"/>
  <c r="BI584" i="5"/>
  <c r="BG584" i="5"/>
  <c r="BF584" i="5"/>
  <c r="BE584" i="5"/>
  <c r="BD584" i="5"/>
  <c r="AZ584" i="5"/>
  <c r="AV584" i="5"/>
  <c r="BO584" i="5" s="1"/>
  <c r="AY584" i="5"/>
  <c r="BA584" i="5"/>
  <c r="BP584" i="5" s="1"/>
  <c r="AU584" i="5"/>
  <c r="BB584" i="5" s="1"/>
  <c r="CK658" i="5"/>
  <c r="CJ658" i="5"/>
  <c r="CI658" i="5"/>
  <c r="CG658" i="5"/>
  <c r="CF658" i="5"/>
  <c r="CE658" i="5"/>
  <c r="CH658" i="5"/>
  <c r="CD658" i="5"/>
  <c r="CC658" i="5"/>
  <c r="CA658" i="5"/>
  <c r="BZ658" i="5"/>
  <c r="BY658" i="5"/>
  <c r="BU658" i="5"/>
  <c r="BX658" i="5"/>
  <c r="BW658" i="5"/>
  <c r="BV658" i="5"/>
  <c r="BS658" i="5"/>
  <c r="BT658" i="5"/>
  <c r="BR658" i="5"/>
  <c r="BQ658" i="5"/>
  <c r="BM658" i="5"/>
  <c r="BK658" i="5"/>
  <c r="BL658" i="5"/>
  <c r="BJ658" i="5"/>
  <c r="BI658" i="5"/>
  <c r="BF658" i="5"/>
  <c r="BH658" i="5"/>
  <c r="BG658" i="5"/>
  <c r="BE658" i="5"/>
  <c r="BD658" i="5"/>
  <c r="BA658" i="5"/>
  <c r="BP658" i="5" s="1"/>
  <c r="AZ658" i="5"/>
  <c r="AY658" i="5"/>
  <c r="AV658" i="5"/>
  <c r="BO658" i="5" s="1"/>
  <c r="AU658" i="5"/>
  <c r="BN658" i="5" s="1"/>
  <c r="CK731" i="5"/>
  <c r="CI731" i="5"/>
  <c r="CJ731" i="5"/>
  <c r="CE731" i="5"/>
  <c r="CH731" i="5"/>
  <c r="CG731" i="5"/>
  <c r="CD731" i="5"/>
  <c r="CC731" i="5"/>
  <c r="CF731" i="5"/>
  <c r="BZ731" i="5"/>
  <c r="BY731" i="5"/>
  <c r="BX731" i="5"/>
  <c r="CA731" i="5"/>
  <c r="BW731" i="5"/>
  <c r="BV731" i="5"/>
  <c r="BU731" i="5"/>
  <c r="BT731" i="5"/>
  <c r="BS731" i="5"/>
  <c r="BQ731" i="5"/>
  <c r="BR731" i="5"/>
  <c r="BM731" i="5"/>
  <c r="BL731" i="5"/>
  <c r="BI731" i="5"/>
  <c r="BJ731" i="5"/>
  <c r="BG731" i="5"/>
  <c r="BK731" i="5"/>
  <c r="BH731" i="5"/>
  <c r="BE731" i="5"/>
  <c r="BD731" i="5"/>
  <c r="BF731" i="5"/>
  <c r="AY731" i="5"/>
  <c r="AU731" i="5"/>
  <c r="BB731" i="5" s="1"/>
  <c r="BA731" i="5"/>
  <c r="BP731" i="5" s="1"/>
  <c r="AZ731" i="5"/>
  <c r="AV731" i="5"/>
  <c r="BC731" i="5" s="1"/>
  <c r="CK804" i="5"/>
  <c r="CI804" i="5"/>
  <c r="CF804" i="5"/>
  <c r="CE804" i="5"/>
  <c r="CD804" i="5"/>
  <c r="CA804" i="5"/>
  <c r="CC804" i="5"/>
  <c r="BY804" i="5"/>
  <c r="BW804" i="5"/>
  <c r="BU804" i="5"/>
  <c r="BV804" i="5"/>
  <c r="BT804" i="5"/>
  <c r="BS804" i="5"/>
  <c r="BQ804" i="5"/>
  <c r="BR804" i="5"/>
  <c r="BM804" i="5"/>
  <c r="BJ804" i="5"/>
  <c r="BK804" i="5"/>
  <c r="BI804" i="5"/>
  <c r="BH804" i="5"/>
  <c r="BG804" i="5"/>
  <c r="BF804" i="5"/>
  <c r="BD804" i="5"/>
  <c r="BE804" i="5"/>
  <c r="AZ804" i="5"/>
  <c r="AY804" i="5"/>
  <c r="BA804" i="5"/>
  <c r="BP804" i="5" s="1"/>
  <c r="AU804" i="5"/>
  <c r="BN804" i="5" s="1"/>
  <c r="AV804" i="5"/>
  <c r="BO804" i="5" s="1"/>
  <c r="CK877" i="5"/>
  <c r="CF877" i="5"/>
  <c r="CE877" i="5"/>
  <c r="CD877" i="5"/>
  <c r="CI877" i="5"/>
  <c r="CC877" i="5"/>
  <c r="CA877" i="5"/>
  <c r="BW877" i="5"/>
  <c r="BY877" i="5"/>
  <c r="BU877" i="5"/>
  <c r="BR877" i="5"/>
  <c r="BV877" i="5"/>
  <c r="BT877" i="5"/>
  <c r="BS877" i="5"/>
  <c r="BQ877" i="5"/>
  <c r="BM877" i="5"/>
  <c r="BK877" i="5"/>
  <c r="BJ877" i="5"/>
  <c r="BI877" i="5"/>
  <c r="BH877" i="5"/>
  <c r="BG877" i="5"/>
  <c r="BE877" i="5"/>
  <c r="BD877" i="5"/>
  <c r="BF877" i="5"/>
  <c r="BA877" i="5"/>
  <c r="BP877" i="5" s="1"/>
  <c r="AZ877" i="5"/>
  <c r="AY877" i="5"/>
  <c r="AU877" i="5"/>
  <c r="BB877" i="5" s="1"/>
  <c r="AV877" i="5"/>
  <c r="BO877" i="5" s="1"/>
  <c r="CK950" i="5"/>
  <c r="CI950" i="5"/>
  <c r="CE950" i="5"/>
  <c r="CC950" i="5"/>
  <c r="CD950" i="5"/>
  <c r="CF950" i="5"/>
  <c r="CA950" i="5"/>
  <c r="BY950" i="5"/>
  <c r="BW950" i="5"/>
  <c r="BU950" i="5"/>
  <c r="BV950" i="5"/>
  <c r="BS950" i="5"/>
  <c r="BT950" i="5"/>
  <c r="BR950" i="5"/>
  <c r="BQ950" i="5"/>
  <c r="BM950" i="5"/>
  <c r="BK950" i="5"/>
  <c r="BJ950" i="5"/>
  <c r="BI950" i="5"/>
  <c r="BH950" i="5"/>
  <c r="BG950" i="5"/>
  <c r="BE950" i="5"/>
  <c r="BF950" i="5"/>
  <c r="BD950" i="5"/>
  <c r="BA950" i="5"/>
  <c r="BP950" i="5" s="1"/>
  <c r="AZ950" i="5"/>
  <c r="AY950" i="5"/>
  <c r="AV950" i="5"/>
  <c r="BO950" i="5" s="1"/>
  <c r="AU950" i="5"/>
  <c r="BB950" i="5" s="1"/>
  <c r="CK1023" i="5"/>
  <c r="CE1023" i="5"/>
  <c r="CI1023" i="5"/>
  <c r="CF1023" i="5"/>
  <c r="CD1023" i="5"/>
  <c r="CC1023" i="5"/>
  <c r="BY1023" i="5"/>
  <c r="CA1023" i="5"/>
  <c r="BV1023" i="5"/>
  <c r="BW1023" i="5"/>
  <c r="BT1023" i="5"/>
  <c r="BU1023" i="5"/>
  <c r="BR1023" i="5"/>
  <c r="BQ1023" i="5"/>
  <c r="BS1023" i="5"/>
  <c r="BM1023" i="5"/>
  <c r="BI1023" i="5"/>
  <c r="BJ1023" i="5"/>
  <c r="BK1023" i="5"/>
  <c r="BG1023" i="5"/>
  <c r="BE1023" i="5"/>
  <c r="BH1023" i="5"/>
  <c r="BF1023" i="5"/>
  <c r="BD1023" i="5"/>
  <c r="AY1023" i="5"/>
  <c r="BA1023" i="5"/>
  <c r="BP1023" i="5" s="1"/>
  <c r="AZ1023" i="5"/>
  <c r="AU1023" i="5"/>
  <c r="BN1023" i="5" s="1"/>
  <c r="AV1023" i="5"/>
  <c r="BO1023" i="5" s="1"/>
  <c r="CK1096" i="5"/>
  <c r="CF1096" i="5"/>
  <c r="CI1096" i="5"/>
  <c r="CE1096" i="5"/>
  <c r="CC1096" i="5"/>
  <c r="CD1096" i="5"/>
  <c r="CA1096" i="5"/>
  <c r="BY1096" i="5"/>
  <c r="BW1096" i="5"/>
  <c r="BU1096" i="5"/>
  <c r="BV1096" i="5"/>
  <c r="BT1096" i="5"/>
  <c r="BS1096" i="5"/>
  <c r="BR1096" i="5"/>
  <c r="BQ1096" i="5"/>
  <c r="BM1096" i="5"/>
  <c r="BJ1096" i="5"/>
  <c r="BH1096" i="5"/>
  <c r="BK1096" i="5"/>
  <c r="BI1096" i="5"/>
  <c r="BG1096" i="5"/>
  <c r="BF1096" i="5"/>
  <c r="BE1096" i="5"/>
  <c r="BD1096" i="5"/>
  <c r="AZ1096" i="5"/>
  <c r="AV1096" i="5"/>
  <c r="BO1096" i="5" s="1"/>
  <c r="AY1096" i="5"/>
  <c r="BA1096" i="5"/>
  <c r="BP1096" i="5" s="1"/>
  <c r="AU1096" i="5"/>
  <c r="BN1096" i="5" s="1"/>
  <c r="CK1170" i="5"/>
  <c r="CI1170" i="5"/>
  <c r="CF1170" i="5"/>
  <c r="CE1170" i="5"/>
  <c r="CC1170" i="5"/>
  <c r="CD1170" i="5"/>
  <c r="CA1170" i="5"/>
  <c r="BY1170" i="5"/>
  <c r="BU1170" i="5"/>
  <c r="BW1170" i="5"/>
  <c r="BV1170" i="5"/>
  <c r="BS1170" i="5"/>
  <c r="BT1170" i="5"/>
  <c r="BR1170" i="5"/>
  <c r="BQ1170" i="5"/>
  <c r="BM1170" i="5"/>
  <c r="BI1170" i="5"/>
  <c r="BK1170" i="5"/>
  <c r="BJ1170" i="5"/>
  <c r="BH1170" i="5"/>
  <c r="BG1170" i="5"/>
  <c r="BF1170" i="5"/>
  <c r="BE1170" i="5"/>
  <c r="BD1170" i="5"/>
  <c r="BA1170" i="5"/>
  <c r="BP1170" i="5" s="1"/>
  <c r="AZ1170" i="5"/>
  <c r="AY1170" i="5"/>
  <c r="AU1170" i="5"/>
  <c r="BN1170" i="5" s="1"/>
  <c r="AV1170" i="5"/>
  <c r="BO1170" i="5" s="1"/>
  <c r="CK1243" i="5"/>
  <c r="CI1243" i="5"/>
  <c r="CE1243" i="5"/>
  <c r="CD1243" i="5"/>
  <c r="CF1243" i="5"/>
  <c r="BY1243" i="5"/>
  <c r="CC1243" i="5"/>
  <c r="CA1243" i="5"/>
  <c r="BW1243" i="5"/>
  <c r="BV1243" i="5"/>
  <c r="BU1243" i="5"/>
  <c r="BT1243" i="5"/>
  <c r="BS1243" i="5"/>
  <c r="BR1243" i="5"/>
  <c r="BQ1243" i="5"/>
  <c r="BM1243" i="5"/>
  <c r="BI1243" i="5"/>
  <c r="BK1243" i="5"/>
  <c r="BJ1243" i="5"/>
  <c r="BG1243" i="5"/>
  <c r="BH1243" i="5"/>
  <c r="BE1243" i="5"/>
  <c r="BF1243" i="5"/>
  <c r="BD1243" i="5"/>
  <c r="AY1243" i="5"/>
  <c r="AU1243" i="5"/>
  <c r="BN1243" i="5" s="1"/>
  <c r="BA1243" i="5"/>
  <c r="BP1243" i="5" s="1"/>
  <c r="AZ1243" i="5"/>
  <c r="AV1243" i="5"/>
  <c r="BO1243" i="5" s="1"/>
  <c r="CK1314" i="5"/>
  <c r="CI1314" i="5"/>
  <c r="CF1314" i="5"/>
  <c r="CE1314" i="5"/>
  <c r="CC1314" i="5"/>
  <c r="CD1314" i="5"/>
  <c r="CA1314" i="5"/>
  <c r="BY1314" i="5"/>
  <c r="BU1314" i="5"/>
  <c r="BW1314" i="5"/>
  <c r="BV1314" i="5"/>
  <c r="BS1314" i="5"/>
  <c r="BT1314" i="5"/>
  <c r="BR1314" i="5"/>
  <c r="BQ1314" i="5"/>
  <c r="BM1314" i="5"/>
  <c r="BK1314" i="5"/>
  <c r="BJ1314" i="5"/>
  <c r="BI1314" i="5"/>
  <c r="BH1314" i="5"/>
  <c r="BG1314" i="5"/>
  <c r="BF1314" i="5"/>
  <c r="BE1314" i="5"/>
  <c r="BD1314" i="5"/>
  <c r="BA1314" i="5"/>
  <c r="BP1314" i="5" s="1"/>
  <c r="AZ1314" i="5"/>
  <c r="AY1314" i="5"/>
  <c r="AU1314" i="5"/>
  <c r="BB1314" i="5" s="1"/>
  <c r="AV1314" i="5"/>
  <c r="BC1314" i="5" s="1"/>
  <c r="BL55" i="5"/>
  <c r="BO74" i="5"/>
  <c r="BX92" i="5"/>
  <c r="BC128" i="5"/>
  <c r="CK284" i="5"/>
  <c r="CF284" i="5"/>
  <c r="CE284" i="5"/>
  <c r="CC284" i="5"/>
  <c r="CI284" i="5"/>
  <c r="CD284" i="5"/>
  <c r="CA284" i="5"/>
  <c r="BV284" i="5"/>
  <c r="BY284" i="5"/>
  <c r="BW284" i="5"/>
  <c r="BU284" i="5"/>
  <c r="BS284" i="5"/>
  <c r="BT284" i="5"/>
  <c r="BR284" i="5"/>
  <c r="BQ284" i="5"/>
  <c r="BJ284" i="5"/>
  <c r="BM284" i="5"/>
  <c r="BK284" i="5"/>
  <c r="BI284" i="5"/>
  <c r="BH284" i="5"/>
  <c r="BG284" i="5"/>
  <c r="BF284" i="5"/>
  <c r="BE284" i="5"/>
  <c r="BD284" i="5"/>
  <c r="AZ284" i="5"/>
  <c r="BA284" i="5"/>
  <c r="BP284" i="5" s="1"/>
  <c r="AY284" i="5"/>
  <c r="AV284" i="5"/>
  <c r="BO284" i="5" s="1"/>
  <c r="AU284" i="5"/>
  <c r="BN284" i="5" s="1"/>
  <c r="BO311" i="5"/>
  <c r="BB357" i="5"/>
  <c r="CK412" i="5"/>
  <c r="CH412" i="5"/>
  <c r="CJ412" i="5"/>
  <c r="CF412" i="5"/>
  <c r="CI412" i="5"/>
  <c r="CD412" i="5"/>
  <c r="CG412" i="5"/>
  <c r="CE412" i="5"/>
  <c r="CC412" i="5"/>
  <c r="CA412" i="5"/>
  <c r="BZ412" i="5"/>
  <c r="BV412" i="5"/>
  <c r="BY412" i="5"/>
  <c r="BW412" i="5"/>
  <c r="BX412" i="5"/>
  <c r="BU412" i="5"/>
  <c r="BS412" i="5"/>
  <c r="BT412" i="5"/>
  <c r="BR412" i="5"/>
  <c r="BQ412" i="5"/>
  <c r="BL412" i="5"/>
  <c r="BJ412" i="5"/>
  <c r="BM412" i="5"/>
  <c r="BK412" i="5"/>
  <c r="BI412" i="5"/>
  <c r="BH412" i="5"/>
  <c r="BG412" i="5"/>
  <c r="BF412" i="5"/>
  <c r="BE412" i="5"/>
  <c r="BD412" i="5"/>
  <c r="AZ412" i="5"/>
  <c r="BA412" i="5"/>
  <c r="BP412" i="5" s="1"/>
  <c r="AY412" i="5"/>
  <c r="AV412" i="5"/>
  <c r="BC412" i="5" s="1"/>
  <c r="AU412" i="5"/>
  <c r="BN412" i="5" s="1"/>
  <c r="CK485" i="5"/>
  <c r="CI485" i="5"/>
  <c r="CH485" i="5"/>
  <c r="CJ485" i="5"/>
  <c r="CG485" i="5"/>
  <c r="CF485" i="5"/>
  <c r="CD485" i="5"/>
  <c r="CE485" i="5"/>
  <c r="CC485" i="5"/>
  <c r="BX485" i="5"/>
  <c r="CA485" i="5"/>
  <c r="BW485" i="5"/>
  <c r="BY485" i="5"/>
  <c r="BZ485" i="5"/>
  <c r="BV485" i="5"/>
  <c r="BU485" i="5"/>
  <c r="BT485" i="5"/>
  <c r="BR485" i="5"/>
  <c r="BS485" i="5"/>
  <c r="BQ485" i="5"/>
  <c r="BM485" i="5"/>
  <c r="BL485" i="5"/>
  <c r="BK485" i="5"/>
  <c r="BJ485" i="5"/>
  <c r="BI485" i="5"/>
  <c r="BG485" i="5"/>
  <c r="BF485" i="5"/>
  <c r="BH485" i="5"/>
  <c r="BD485" i="5"/>
  <c r="BE485" i="5"/>
  <c r="BA485" i="5"/>
  <c r="BP485" i="5" s="1"/>
  <c r="AZ485" i="5"/>
  <c r="AY485" i="5"/>
  <c r="AV485" i="5"/>
  <c r="BC485" i="5" s="1"/>
  <c r="AU485" i="5"/>
  <c r="BB485" i="5" s="1"/>
  <c r="CK558" i="5"/>
  <c r="CI558" i="5"/>
  <c r="CF558" i="5"/>
  <c r="CD558" i="5"/>
  <c r="CE558" i="5"/>
  <c r="CC558" i="5"/>
  <c r="BY558" i="5"/>
  <c r="CA558" i="5"/>
  <c r="BU558" i="5"/>
  <c r="BW558" i="5"/>
  <c r="BV558" i="5"/>
  <c r="BS558" i="5"/>
  <c r="BT558" i="5"/>
  <c r="BR558" i="5"/>
  <c r="BQ558" i="5"/>
  <c r="BM558" i="5"/>
  <c r="BK558" i="5"/>
  <c r="BJ558" i="5"/>
  <c r="BI558" i="5"/>
  <c r="BH558" i="5"/>
  <c r="BG558" i="5"/>
  <c r="BF558" i="5"/>
  <c r="BE558" i="5"/>
  <c r="BD558" i="5"/>
  <c r="AZ558" i="5"/>
  <c r="AY558" i="5"/>
  <c r="AV558" i="5"/>
  <c r="BO558" i="5" s="1"/>
  <c r="BA558" i="5"/>
  <c r="BP558" i="5" s="1"/>
  <c r="AU558" i="5"/>
  <c r="BN558" i="5" s="1"/>
  <c r="CK631" i="5"/>
  <c r="CJ631" i="5"/>
  <c r="CG631" i="5"/>
  <c r="CE631" i="5"/>
  <c r="CF631" i="5"/>
  <c r="CH631" i="5"/>
  <c r="CI631" i="5"/>
  <c r="CD631" i="5"/>
  <c r="CC631" i="5"/>
  <c r="BZ631" i="5"/>
  <c r="CA631" i="5"/>
  <c r="BY631" i="5"/>
  <c r="BV631" i="5"/>
  <c r="BX631" i="5"/>
  <c r="BW631" i="5"/>
  <c r="BT631" i="5"/>
  <c r="BU631" i="5"/>
  <c r="BS631" i="5"/>
  <c r="BQ631" i="5"/>
  <c r="BR631" i="5"/>
  <c r="BM631" i="5"/>
  <c r="BK631" i="5"/>
  <c r="BL631" i="5"/>
  <c r="BI631" i="5"/>
  <c r="BJ631" i="5"/>
  <c r="BG631" i="5"/>
  <c r="BH631" i="5"/>
  <c r="BE631" i="5"/>
  <c r="BF631" i="5"/>
  <c r="BD631" i="5"/>
  <c r="AY631" i="5"/>
  <c r="BA631" i="5"/>
  <c r="BP631" i="5" s="1"/>
  <c r="AZ631" i="5"/>
  <c r="AV631" i="5"/>
  <c r="BC631" i="5" s="1"/>
  <c r="AU631" i="5"/>
  <c r="BN631" i="5" s="1"/>
  <c r="CI704" i="5"/>
  <c r="CF704" i="5"/>
  <c r="CK704" i="5"/>
  <c r="CJ704" i="5"/>
  <c r="CE704" i="5"/>
  <c r="CC704" i="5"/>
  <c r="CH704" i="5"/>
  <c r="CG704" i="5"/>
  <c r="CD704" i="5"/>
  <c r="CA704" i="5"/>
  <c r="BZ704" i="5"/>
  <c r="BX704" i="5"/>
  <c r="BY704" i="5"/>
  <c r="BW704" i="5"/>
  <c r="BV704" i="5"/>
  <c r="BU704" i="5"/>
  <c r="BT704" i="5"/>
  <c r="BS704" i="5"/>
  <c r="BQ704" i="5"/>
  <c r="BR704" i="5"/>
  <c r="BL704" i="5"/>
  <c r="BM704" i="5"/>
  <c r="BK704" i="5"/>
  <c r="BJ704" i="5"/>
  <c r="BH704" i="5"/>
  <c r="BI704" i="5"/>
  <c r="BG704" i="5"/>
  <c r="BF704" i="5"/>
  <c r="BE704" i="5"/>
  <c r="BD704" i="5"/>
  <c r="AZ704" i="5"/>
  <c r="AY704" i="5"/>
  <c r="BA704" i="5"/>
  <c r="BP704" i="5" s="1"/>
  <c r="AV704" i="5"/>
  <c r="BO704" i="5" s="1"/>
  <c r="AU704" i="5"/>
  <c r="BN704" i="5" s="1"/>
  <c r="CI778" i="5"/>
  <c r="CK778" i="5"/>
  <c r="CJ778" i="5"/>
  <c r="CH778" i="5"/>
  <c r="CG778" i="5"/>
  <c r="CF778" i="5"/>
  <c r="CC778" i="5"/>
  <c r="CE778" i="5"/>
  <c r="CD778" i="5"/>
  <c r="CA778" i="5"/>
  <c r="BU778" i="5"/>
  <c r="BZ778" i="5"/>
  <c r="BY778" i="5"/>
  <c r="BX778" i="5"/>
  <c r="BW778" i="5"/>
  <c r="BV778" i="5"/>
  <c r="BS778" i="5"/>
  <c r="BT778" i="5"/>
  <c r="BR778" i="5"/>
  <c r="BQ778" i="5"/>
  <c r="BM778" i="5"/>
  <c r="BL778" i="5"/>
  <c r="BK778" i="5"/>
  <c r="BJ778" i="5"/>
  <c r="BI778" i="5"/>
  <c r="BF778" i="5"/>
  <c r="BH778" i="5"/>
  <c r="BG778" i="5"/>
  <c r="BD778" i="5"/>
  <c r="BE778" i="5"/>
  <c r="BA778" i="5"/>
  <c r="BP778" i="5" s="1"/>
  <c r="AZ778" i="5"/>
  <c r="AY778" i="5"/>
  <c r="AV778" i="5"/>
  <c r="BO778" i="5" s="1"/>
  <c r="AU778" i="5"/>
  <c r="BN778" i="5" s="1"/>
  <c r="CK851" i="5"/>
  <c r="CE851" i="5"/>
  <c r="CI851" i="5"/>
  <c r="CF851" i="5"/>
  <c r="CD851" i="5"/>
  <c r="BY851" i="5"/>
  <c r="CC851" i="5"/>
  <c r="CA851" i="5"/>
  <c r="BV851" i="5"/>
  <c r="BW851" i="5"/>
  <c r="BU851" i="5"/>
  <c r="BT851" i="5"/>
  <c r="BS851" i="5"/>
  <c r="BR851" i="5"/>
  <c r="BQ851" i="5"/>
  <c r="BM851" i="5"/>
  <c r="BI851" i="5"/>
  <c r="BK851" i="5"/>
  <c r="BG851" i="5"/>
  <c r="BJ851" i="5"/>
  <c r="BH851" i="5"/>
  <c r="BE851" i="5"/>
  <c r="BD851" i="5"/>
  <c r="BF851" i="5"/>
  <c r="AY851" i="5"/>
  <c r="AU851" i="5"/>
  <c r="BN851" i="5" s="1"/>
  <c r="BA851" i="5"/>
  <c r="BP851" i="5" s="1"/>
  <c r="AZ851" i="5"/>
  <c r="AV851" i="5"/>
  <c r="BC851" i="5" s="1"/>
  <c r="CF924" i="5"/>
  <c r="CK924" i="5"/>
  <c r="CI924" i="5"/>
  <c r="CE924" i="5"/>
  <c r="CD924" i="5"/>
  <c r="CC924" i="5"/>
  <c r="CA924" i="5"/>
  <c r="BY924" i="5"/>
  <c r="BW924" i="5"/>
  <c r="BU924" i="5"/>
  <c r="BV924" i="5"/>
  <c r="BT924" i="5"/>
  <c r="BR924" i="5"/>
  <c r="BS924" i="5"/>
  <c r="BQ924" i="5"/>
  <c r="BJ924" i="5"/>
  <c r="BM924" i="5"/>
  <c r="BK924" i="5"/>
  <c r="BI924" i="5"/>
  <c r="BH924" i="5"/>
  <c r="BG924" i="5"/>
  <c r="BF924" i="5"/>
  <c r="BD924" i="5"/>
  <c r="BE924" i="5"/>
  <c r="AZ924" i="5"/>
  <c r="AY924" i="5"/>
  <c r="BA924" i="5"/>
  <c r="BP924" i="5" s="1"/>
  <c r="AV924" i="5"/>
  <c r="BO924" i="5" s="1"/>
  <c r="AU924" i="5"/>
  <c r="BN924" i="5" s="1"/>
  <c r="CI997" i="5"/>
  <c r="CK997" i="5"/>
  <c r="CD997" i="5"/>
  <c r="CF997" i="5"/>
  <c r="CE997" i="5"/>
  <c r="CC997" i="5"/>
  <c r="CA997" i="5"/>
  <c r="BW997" i="5"/>
  <c r="BY997" i="5"/>
  <c r="BV997" i="5"/>
  <c r="BU997" i="5"/>
  <c r="BT997" i="5"/>
  <c r="BQ997" i="5"/>
  <c r="BR997" i="5"/>
  <c r="BS997" i="5"/>
  <c r="BM997" i="5"/>
  <c r="BK997" i="5"/>
  <c r="BJ997" i="5"/>
  <c r="BI997" i="5"/>
  <c r="BH997" i="5"/>
  <c r="BG997" i="5"/>
  <c r="BD997" i="5"/>
  <c r="BF997" i="5"/>
  <c r="BE997" i="5"/>
  <c r="BA997" i="5"/>
  <c r="BP997" i="5" s="1"/>
  <c r="AZ997" i="5"/>
  <c r="AY997" i="5"/>
  <c r="AV997" i="5"/>
  <c r="BO997" i="5" s="1"/>
  <c r="AU997" i="5"/>
  <c r="BN997" i="5" s="1"/>
  <c r="CI1070" i="5"/>
  <c r="CF1070" i="5"/>
  <c r="CK1070" i="5"/>
  <c r="CC1070" i="5"/>
  <c r="CE1070" i="5"/>
  <c r="CD1070" i="5"/>
  <c r="CA1070" i="5"/>
  <c r="BY1070" i="5"/>
  <c r="BU1070" i="5"/>
  <c r="BW1070" i="5"/>
  <c r="BV1070" i="5"/>
  <c r="BS1070" i="5"/>
  <c r="BT1070" i="5"/>
  <c r="BR1070" i="5"/>
  <c r="BQ1070" i="5"/>
  <c r="BM1070" i="5"/>
  <c r="BK1070" i="5"/>
  <c r="BJ1070" i="5"/>
  <c r="BI1070" i="5"/>
  <c r="BH1070" i="5"/>
  <c r="BG1070" i="5"/>
  <c r="BF1070" i="5"/>
  <c r="BE1070" i="5"/>
  <c r="BD1070" i="5"/>
  <c r="BA1070" i="5"/>
  <c r="BP1070" i="5" s="1"/>
  <c r="AZ1070" i="5"/>
  <c r="AY1070" i="5"/>
  <c r="AV1070" i="5"/>
  <c r="BO1070" i="5" s="1"/>
  <c r="AU1070" i="5"/>
  <c r="BB1070" i="5" s="1"/>
  <c r="CK1143" i="5"/>
  <c r="CE1143" i="5"/>
  <c r="CF1143" i="5"/>
  <c r="CI1143" i="5"/>
  <c r="CD1143" i="5"/>
  <c r="CC1143" i="5"/>
  <c r="CA1143" i="5"/>
  <c r="BY1143" i="5"/>
  <c r="BV1143" i="5"/>
  <c r="BW1143" i="5"/>
  <c r="BT1143" i="5"/>
  <c r="BU1143" i="5"/>
  <c r="BS1143" i="5"/>
  <c r="BR1143" i="5"/>
  <c r="BQ1143" i="5"/>
  <c r="BM1143" i="5"/>
  <c r="BK1143" i="5"/>
  <c r="BJ1143" i="5"/>
  <c r="BI1143" i="5"/>
  <c r="BG1143" i="5"/>
  <c r="BH1143" i="5"/>
  <c r="BE1143" i="5"/>
  <c r="BF1143" i="5"/>
  <c r="BD1143" i="5"/>
  <c r="AY1143" i="5"/>
  <c r="BA1143" i="5"/>
  <c r="BP1143" i="5" s="1"/>
  <c r="AZ1143" i="5"/>
  <c r="AV1143" i="5"/>
  <c r="BO1143" i="5" s="1"/>
  <c r="AU1143" i="5"/>
  <c r="BN1143" i="5" s="1"/>
  <c r="CJ1216" i="5"/>
  <c r="CH1216" i="5"/>
  <c r="CI1216" i="5"/>
  <c r="CK1216" i="5"/>
  <c r="CF1216" i="5"/>
  <c r="CE1216" i="5"/>
  <c r="CG1216" i="5"/>
  <c r="CD1216" i="5"/>
  <c r="CC1216" i="5"/>
  <c r="CA1216" i="5"/>
  <c r="BZ1216" i="5"/>
  <c r="BX1216" i="5"/>
  <c r="BY1216" i="5"/>
  <c r="BW1216" i="5"/>
  <c r="BV1216" i="5"/>
  <c r="BU1216" i="5"/>
  <c r="BT1216" i="5"/>
  <c r="BS1216" i="5"/>
  <c r="BR1216" i="5"/>
  <c r="BQ1216" i="5"/>
  <c r="BM1216" i="5"/>
  <c r="BL1216" i="5"/>
  <c r="BJ1216" i="5"/>
  <c r="BH1216" i="5"/>
  <c r="BI1216" i="5"/>
  <c r="BK1216" i="5"/>
  <c r="BG1216" i="5"/>
  <c r="BF1216" i="5"/>
  <c r="BE1216" i="5"/>
  <c r="BD1216" i="5"/>
  <c r="AZ1216" i="5"/>
  <c r="AY1216" i="5"/>
  <c r="BA1216" i="5"/>
  <c r="BP1216" i="5" s="1"/>
  <c r="AV1216" i="5"/>
  <c r="BO1216" i="5" s="1"/>
  <c r="AU1216" i="5"/>
  <c r="BN1216" i="5" s="1"/>
  <c r="CK1290" i="5"/>
  <c r="CI1290" i="5"/>
  <c r="CF1290" i="5"/>
  <c r="CC1290" i="5"/>
  <c r="CE1290" i="5"/>
  <c r="CD1290" i="5"/>
  <c r="CA1290" i="5"/>
  <c r="BY1290" i="5"/>
  <c r="BW1290" i="5"/>
  <c r="BU1290" i="5"/>
  <c r="BV1290" i="5"/>
  <c r="BS1290" i="5"/>
  <c r="BT1290" i="5"/>
  <c r="BR1290" i="5"/>
  <c r="BQ1290" i="5"/>
  <c r="BM1290" i="5"/>
  <c r="BI1290" i="5"/>
  <c r="BK1290" i="5"/>
  <c r="BJ1290" i="5"/>
  <c r="BH1290" i="5"/>
  <c r="BG1290" i="5"/>
  <c r="BF1290" i="5"/>
  <c r="BE1290" i="5"/>
  <c r="BD1290" i="5"/>
  <c r="BA1290" i="5"/>
  <c r="BP1290" i="5" s="1"/>
  <c r="AZ1290" i="5"/>
  <c r="AY1290" i="5"/>
  <c r="AU1290" i="5"/>
  <c r="BB1290" i="5" s="1"/>
  <c r="AV1290" i="5"/>
  <c r="BC1290" i="5" s="1"/>
  <c r="CK11" i="5"/>
  <c r="CI11" i="5"/>
  <c r="CE11" i="5"/>
  <c r="CD11" i="5"/>
  <c r="CF11" i="5"/>
  <c r="CC11" i="5"/>
  <c r="CA11" i="5"/>
  <c r="BY11" i="5"/>
  <c r="BW11" i="5"/>
  <c r="BV11" i="5"/>
  <c r="BU11" i="5"/>
  <c r="BT11" i="5"/>
  <c r="BS11" i="5"/>
  <c r="BR11" i="5"/>
  <c r="BQ11" i="5"/>
  <c r="BK11" i="5"/>
  <c r="BM11" i="5"/>
  <c r="BI11" i="5"/>
  <c r="BG11" i="5"/>
  <c r="BH11" i="5"/>
  <c r="BJ11" i="5"/>
  <c r="BF11" i="5"/>
  <c r="BE11" i="5"/>
  <c r="BD11" i="5"/>
  <c r="BA11" i="5"/>
  <c r="BP11" i="5" s="1"/>
  <c r="AY11" i="5"/>
  <c r="AZ11" i="5"/>
  <c r="AU11" i="5"/>
  <c r="BN11" i="5" s="1"/>
  <c r="AV11" i="5"/>
  <c r="BC11" i="5" s="1"/>
  <c r="CK84" i="5"/>
  <c r="CF84" i="5"/>
  <c r="CI84" i="5"/>
  <c r="CC84" i="5"/>
  <c r="CD84" i="5"/>
  <c r="CE84" i="5"/>
  <c r="CA84" i="5"/>
  <c r="BV84" i="5"/>
  <c r="BY84" i="5"/>
  <c r="BW84" i="5"/>
  <c r="BT84" i="5"/>
  <c r="BU84" i="5"/>
  <c r="BS84" i="5"/>
  <c r="BQ84" i="5"/>
  <c r="BR84" i="5"/>
  <c r="BK84" i="5"/>
  <c r="BJ84" i="5"/>
  <c r="BM84" i="5"/>
  <c r="BI84" i="5"/>
  <c r="BH84" i="5"/>
  <c r="BF84" i="5"/>
  <c r="BG84" i="5"/>
  <c r="BE84" i="5"/>
  <c r="BD84" i="5"/>
  <c r="AZ84" i="5"/>
  <c r="BA84" i="5"/>
  <c r="BP84" i="5" s="1"/>
  <c r="AY84" i="5"/>
  <c r="AV84" i="5"/>
  <c r="BO84" i="5" s="1"/>
  <c r="AU84" i="5"/>
  <c r="BN84" i="5" s="1"/>
  <c r="CJ157" i="5"/>
  <c r="CI157" i="5"/>
  <c r="CF157" i="5"/>
  <c r="CE157" i="5"/>
  <c r="CD157" i="5"/>
  <c r="CK157" i="5"/>
  <c r="CH157" i="5"/>
  <c r="CG157" i="5"/>
  <c r="CC157" i="5"/>
  <c r="CA157" i="5"/>
  <c r="BZ157" i="5"/>
  <c r="BY157" i="5"/>
  <c r="BX157" i="5"/>
  <c r="BW157" i="5"/>
  <c r="BV157" i="5"/>
  <c r="BT157" i="5"/>
  <c r="BR157" i="5"/>
  <c r="BU157" i="5"/>
  <c r="BS157" i="5"/>
  <c r="BQ157" i="5"/>
  <c r="BK157" i="5"/>
  <c r="BL157" i="5"/>
  <c r="BM157" i="5"/>
  <c r="BH157" i="5"/>
  <c r="BJ157" i="5"/>
  <c r="BI157" i="5"/>
  <c r="BG157" i="5"/>
  <c r="BF157" i="5"/>
  <c r="BE157" i="5"/>
  <c r="BD157" i="5"/>
  <c r="BA157" i="5"/>
  <c r="BP157" i="5" s="1"/>
  <c r="AZ157" i="5"/>
  <c r="AY157" i="5"/>
  <c r="AV157" i="5"/>
  <c r="BO157" i="5" s="1"/>
  <c r="AU157" i="5"/>
  <c r="BN157" i="5" s="1"/>
  <c r="CI230" i="5"/>
  <c r="CH230" i="5"/>
  <c r="CJ230" i="5"/>
  <c r="CG230" i="5"/>
  <c r="CD230" i="5"/>
  <c r="CK230" i="5"/>
  <c r="CF230" i="5"/>
  <c r="CE230" i="5"/>
  <c r="CC230" i="5"/>
  <c r="BY230" i="5"/>
  <c r="BZ230" i="5"/>
  <c r="CA230" i="5"/>
  <c r="BW230" i="5"/>
  <c r="BV230" i="5"/>
  <c r="BX230" i="5"/>
  <c r="BU230" i="5"/>
  <c r="BS230" i="5"/>
  <c r="BT230" i="5"/>
  <c r="BR230" i="5"/>
  <c r="BQ230" i="5"/>
  <c r="BM230" i="5"/>
  <c r="BL230" i="5"/>
  <c r="BK230" i="5"/>
  <c r="BJ230" i="5"/>
  <c r="BI230" i="5"/>
  <c r="BG230" i="5"/>
  <c r="BF230" i="5"/>
  <c r="BH230" i="5"/>
  <c r="BD230" i="5"/>
  <c r="BE230" i="5"/>
  <c r="BA230" i="5"/>
  <c r="BP230" i="5" s="1"/>
  <c r="AV230" i="5"/>
  <c r="BO230" i="5" s="1"/>
  <c r="AZ230" i="5"/>
  <c r="AY230" i="5"/>
  <c r="AU230" i="5"/>
  <c r="BN230" i="5" s="1"/>
  <c r="CH303" i="5"/>
  <c r="CK303" i="5"/>
  <c r="CJ303" i="5"/>
  <c r="CG303" i="5"/>
  <c r="CE303" i="5"/>
  <c r="CI303" i="5"/>
  <c r="CD303" i="5"/>
  <c r="CF303" i="5"/>
  <c r="CC303" i="5"/>
  <c r="BZ303" i="5"/>
  <c r="BX303" i="5"/>
  <c r="CA303" i="5"/>
  <c r="BY303" i="5"/>
  <c r="BV303" i="5"/>
  <c r="BW303" i="5"/>
  <c r="BU303" i="5"/>
  <c r="BT303" i="5"/>
  <c r="BS303" i="5"/>
  <c r="BQ303" i="5"/>
  <c r="BR303" i="5"/>
  <c r="BL303" i="5"/>
  <c r="BK303" i="5"/>
  <c r="BM303" i="5"/>
  <c r="BI303" i="5"/>
  <c r="BJ303" i="5"/>
  <c r="BH303" i="5"/>
  <c r="BG303" i="5"/>
  <c r="BE303" i="5"/>
  <c r="BF303" i="5"/>
  <c r="BD303" i="5"/>
  <c r="BA303" i="5"/>
  <c r="BP303" i="5" s="1"/>
  <c r="AY303" i="5"/>
  <c r="AZ303" i="5"/>
  <c r="AU303" i="5"/>
  <c r="BN303" i="5" s="1"/>
  <c r="AV303" i="5"/>
  <c r="BO303" i="5" s="1"/>
  <c r="CK376" i="5"/>
  <c r="CF376" i="5"/>
  <c r="CI376" i="5"/>
  <c r="CE376" i="5"/>
  <c r="CD376" i="5"/>
  <c r="CC376" i="5"/>
  <c r="CA376" i="5"/>
  <c r="BY376" i="5"/>
  <c r="BV376" i="5"/>
  <c r="BW376" i="5"/>
  <c r="BU376" i="5"/>
  <c r="BT376" i="5"/>
  <c r="BS376" i="5"/>
  <c r="BR376" i="5"/>
  <c r="BQ376" i="5"/>
  <c r="BM376" i="5"/>
  <c r="BK376" i="5"/>
  <c r="BJ376" i="5"/>
  <c r="BI376" i="5"/>
  <c r="BH376" i="5"/>
  <c r="BG376" i="5"/>
  <c r="BF376" i="5"/>
  <c r="BE376" i="5"/>
  <c r="BD376" i="5"/>
  <c r="BA376" i="5"/>
  <c r="BP376" i="5" s="1"/>
  <c r="AZ376" i="5"/>
  <c r="AV376" i="5"/>
  <c r="BC376" i="5" s="1"/>
  <c r="AY376" i="5"/>
  <c r="AU376" i="5"/>
  <c r="BN376" i="5" s="1"/>
  <c r="CK450" i="5"/>
  <c r="CJ450" i="5"/>
  <c r="CI450" i="5"/>
  <c r="CH450" i="5"/>
  <c r="CG450" i="5"/>
  <c r="CD450" i="5"/>
  <c r="CF450" i="5"/>
  <c r="CE450" i="5"/>
  <c r="BY450" i="5"/>
  <c r="CC450" i="5"/>
  <c r="CA450" i="5"/>
  <c r="BZ450" i="5"/>
  <c r="BU450" i="5"/>
  <c r="BX450" i="5"/>
  <c r="BW450" i="5"/>
  <c r="BV450" i="5"/>
  <c r="BS450" i="5"/>
  <c r="BT450" i="5"/>
  <c r="BR450" i="5"/>
  <c r="BQ450" i="5"/>
  <c r="BM450" i="5"/>
  <c r="BL450" i="5"/>
  <c r="BK450" i="5"/>
  <c r="BJ450" i="5"/>
  <c r="BI450" i="5"/>
  <c r="BG450" i="5"/>
  <c r="BF450" i="5"/>
  <c r="BD450" i="5"/>
  <c r="BH450" i="5"/>
  <c r="BE450" i="5"/>
  <c r="BA450" i="5"/>
  <c r="BP450" i="5" s="1"/>
  <c r="AZ450" i="5"/>
  <c r="AY450" i="5"/>
  <c r="AV450" i="5"/>
  <c r="BC450" i="5" s="1"/>
  <c r="AU450" i="5"/>
  <c r="BN450" i="5" s="1"/>
  <c r="CK523" i="5"/>
  <c r="CH523" i="5"/>
  <c r="CI523" i="5"/>
  <c r="CE523" i="5"/>
  <c r="CJ523" i="5"/>
  <c r="CG523" i="5"/>
  <c r="CF523" i="5"/>
  <c r="CD523" i="5"/>
  <c r="CC523" i="5"/>
  <c r="BZ523" i="5"/>
  <c r="CA523" i="5"/>
  <c r="BY523" i="5"/>
  <c r="BX523" i="5"/>
  <c r="BW523" i="5"/>
  <c r="BV523" i="5"/>
  <c r="BU523" i="5"/>
  <c r="BT523" i="5"/>
  <c r="BS523" i="5"/>
  <c r="BR523" i="5"/>
  <c r="BQ523" i="5"/>
  <c r="BL523" i="5"/>
  <c r="BM523" i="5"/>
  <c r="BK523" i="5"/>
  <c r="BI523" i="5"/>
  <c r="BG523" i="5"/>
  <c r="BJ523" i="5"/>
  <c r="BF523" i="5"/>
  <c r="BH523" i="5"/>
  <c r="BE523" i="5"/>
  <c r="BD523" i="5"/>
  <c r="BA523" i="5"/>
  <c r="BP523" i="5" s="1"/>
  <c r="AY523" i="5"/>
  <c r="AZ523" i="5"/>
  <c r="AU523" i="5"/>
  <c r="BN523" i="5" s="1"/>
  <c r="AV523" i="5"/>
  <c r="BC523" i="5" s="1"/>
  <c r="CK596" i="5"/>
  <c r="CH596" i="5"/>
  <c r="CF596" i="5"/>
  <c r="CJ596" i="5"/>
  <c r="CG596" i="5"/>
  <c r="CI596" i="5"/>
  <c r="CC596" i="5"/>
  <c r="CD596" i="5"/>
  <c r="CE596" i="5"/>
  <c r="CA596" i="5"/>
  <c r="BZ596" i="5"/>
  <c r="BX596" i="5"/>
  <c r="BY596" i="5"/>
  <c r="BW596" i="5"/>
  <c r="BV596" i="5"/>
  <c r="BT596" i="5"/>
  <c r="BU596" i="5"/>
  <c r="BS596" i="5"/>
  <c r="BQ596" i="5"/>
  <c r="BR596" i="5"/>
  <c r="BL596" i="5"/>
  <c r="BJ596" i="5"/>
  <c r="BK596" i="5"/>
  <c r="BM596" i="5"/>
  <c r="BI596" i="5"/>
  <c r="BH596" i="5"/>
  <c r="BF596" i="5"/>
  <c r="BG596" i="5"/>
  <c r="BE596" i="5"/>
  <c r="BD596" i="5"/>
  <c r="AZ596" i="5"/>
  <c r="BA596" i="5"/>
  <c r="BP596" i="5" s="1"/>
  <c r="AY596" i="5"/>
  <c r="AV596" i="5"/>
  <c r="BO596" i="5" s="1"/>
  <c r="AU596" i="5"/>
  <c r="BB596" i="5" s="1"/>
  <c r="CK669" i="5"/>
  <c r="CG669" i="5"/>
  <c r="CI669" i="5"/>
  <c r="CJ669" i="5"/>
  <c r="CF669" i="5"/>
  <c r="CE669" i="5"/>
  <c r="CH669" i="5"/>
  <c r="CD669" i="5"/>
  <c r="CC669" i="5"/>
  <c r="CA669" i="5"/>
  <c r="BZ669" i="5"/>
  <c r="BX669" i="5"/>
  <c r="BY669" i="5"/>
  <c r="BW669" i="5"/>
  <c r="BV669" i="5"/>
  <c r="BR669" i="5"/>
  <c r="BU669" i="5"/>
  <c r="BT669" i="5"/>
  <c r="BS669" i="5"/>
  <c r="BQ669" i="5"/>
  <c r="BM669" i="5"/>
  <c r="BL669" i="5"/>
  <c r="BK669" i="5"/>
  <c r="BJ669" i="5"/>
  <c r="BI669" i="5"/>
  <c r="BH669" i="5"/>
  <c r="BG669" i="5"/>
  <c r="BF669" i="5"/>
  <c r="BE669" i="5"/>
  <c r="BD669" i="5"/>
  <c r="BA669" i="5"/>
  <c r="BP669" i="5" s="1"/>
  <c r="AZ669" i="5"/>
  <c r="AY669" i="5"/>
  <c r="AV669" i="5"/>
  <c r="BC669" i="5" s="1"/>
  <c r="AU669" i="5"/>
  <c r="BN669" i="5" s="1"/>
  <c r="CJ742" i="5"/>
  <c r="CI742" i="5"/>
  <c r="CH742" i="5"/>
  <c r="CK742" i="5"/>
  <c r="CF742" i="5"/>
  <c r="CE742" i="5"/>
  <c r="CD742" i="5"/>
  <c r="CC742" i="5"/>
  <c r="CG742" i="5"/>
  <c r="CA742" i="5"/>
  <c r="BX742" i="5"/>
  <c r="BY742" i="5"/>
  <c r="BW742" i="5"/>
  <c r="BZ742" i="5"/>
  <c r="BU742" i="5"/>
  <c r="BV742" i="5"/>
  <c r="BS742" i="5"/>
  <c r="BT742" i="5"/>
  <c r="BR742" i="5"/>
  <c r="BQ742" i="5"/>
  <c r="BM742" i="5"/>
  <c r="BL742" i="5"/>
  <c r="BK742" i="5"/>
  <c r="BJ742" i="5"/>
  <c r="BI742" i="5"/>
  <c r="BH742" i="5"/>
  <c r="BG742" i="5"/>
  <c r="BF742" i="5"/>
  <c r="BD742" i="5"/>
  <c r="BE742" i="5"/>
  <c r="AV742" i="5"/>
  <c r="BO742" i="5" s="1"/>
  <c r="BA742" i="5"/>
  <c r="BP742" i="5" s="1"/>
  <c r="AZ742" i="5"/>
  <c r="AY742" i="5"/>
  <c r="AU742" i="5"/>
  <c r="BB742" i="5" s="1"/>
  <c r="CK815" i="5"/>
  <c r="CE815" i="5"/>
  <c r="CI815" i="5"/>
  <c r="CF815" i="5"/>
  <c r="CD815" i="5"/>
  <c r="CC815" i="5"/>
  <c r="BY815" i="5"/>
  <c r="CA815" i="5"/>
  <c r="BV815" i="5"/>
  <c r="BW815" i="5"/>
  <c r="BT815" i="5"/>
  <c r="BU815" i="5"/>
  <c r="BQ815" i="5"/>
  <c r="BR815" i="5"/>
  <c r="BS815" i="5"/>
  <c r="BM815" i="5"/>
  <c r="BI815" i="5"/>
  <c r="BJ815" i="5"/>
  <c r="BK815" i="5"/>
  <c r="BG815" i="5"/>
  <c r="BH815" i="5"/>
  <c r="BE815" i="5"/>
  <c r="BF815" i="5"/>
  <c r="BD815" i="5"/>
  <c r="AY815" i="5"/>
  <c r="BA815" i="5"/>
  <c r="BP815" i="5" s="1"/>
  <c r="AZ815" i="5"/>
  <c r="AU815" i="5"/>
  <c r="BN815" i="5" s="1"/>
  <c r="AV815" i="5"/>
  <c r="BO815" i="5" s="1"/>
  <c r="CK888" i="5"/>
  <c r="CF888" i="5"/>
  <c r="CI888" i="5"/>
  <c r="CE888" i="5"/>
  <c r="CD888" i="5"/>
  <c r="CC888" i="5"/>
  <c r="CA888" i="5"/>
  <c r="BY888" i="5"/>
  <c r="BW888" i="5"/>
  <c r="BU888" i="5"/>
  <c r="BV888" i="5"/>
  <c r="BT888" i="5"/>
  <c r="BS888" i="5"/>
  <c r="BR888" i="5"/>
  <c r="BQ888" i="5"/>
  <c r="BM888" i="5"/>
  <c r="BK888" i="5"/>
  <c r="BJ888" i="5"/>
  <c r="BI888" i="5"/>
  <c r="BH888" i="5"/>
  <c r="BG888" i="5"/>
  <c r="BF888" i="5"/>
  <c r="BE888" i="5"/>
  <c r="BD888" i="5"/>
  <c r="AZ888" i="5"/>
  <c r="AV888" i="5"/>
  <c r="BO888" i="5" s="1"/>
  <c r="AY888" i="5"/>
  <c r="BA888" i="5"/>
  <c r="BP888" i="5" s="1"/>
  <c r="AU888" i="5"/>
  <c r="BN888" i="5" s="1"/>
  <c r="CK962" i="5"/>
  <c r="CI962" i="5"/>
  <c r="CF962" i="5"/>
  <c r="CE962" i="5"/>
  <c r="CC962" i="5"/>
  <c r="CD962" i="5"/>
  <c r="CA962" i="5"/>
  <c r="BY962" i="5"/>
  <c r="BU962" i="5"/>
  <c r="BW962" i="5"/>
  <c r="BS962" i="5"/>
  <c r="BV962" i="5"/>
  <c r="BT962" i="5"/>
  <c r="BR962" i="5"/>
  <c r="BQ962" i="5"/>
  <c r="BM962" i="5"/>
  <c r="BK962" i="5"/>
  <c r="BJ962" i="5"/>
  <c r="BI962" i="5"/>
  <c r="BH962" i="5"/>
  <c r="BG962" i="5"/>
  <c r="BF962" i="5"/>
  <c r="BD962" i="5"/>
  <c r="BE962" i="5"/>
  <c r="BA962" i="5"/>
  <c r="BP962" i="5" s="1"/>
  <c r="AZ962" i="5"/>
  <c r="AY962" i="5"/>
  <c r="AV962" i="5"/>
  <c r="BC962" i="5" s="1"/>
  <c r="AU962" i="5"/>
  <c r="BN962" i="5" s="1"/>
  <c r="CK1035" i="5"/>
  <c r="CJ1035" i="5"/>
  <c r="CI1035" i="5"/>
  <c r="CH1035" i="5"/>
  <c r="CE1035" i="5"/>
  <c r="CG1035" i="5"/>
  <c r="CD1035" i="5"/>
  <c r="CF1035" i="5"/>
  <c r="CC1035" i="5"/>
  <c r="BZ1035" i="5"/>
  <c r="BY1035" i="5"/>
  <c r="CA1035" i="5"/>
  <c r="BW1035" i="5"/>
  <c r="BV1035" i="5"/>
  <c r="BX1035" i="5"/>
  <c r="BU1035" i="5"/>
  <c r="BT1035" i="5"/>
  <c r="BR1035" i="5"/>
  <c r="BQ1035" i="5"/>
  <c r="BS1035" i="5"/>
  <c r="BM1035" i="5"/>
  <c r="BL1035" i="5"/>
  <c r="BI1035" i="5"/>
  <c r="BG1035" i="5"/>
  <c r="BK1035" i="5"/>
  <c r="BJ1035" i="5"/>
  <c r="BH1035" i="5"/>
  <c r="BE1035" i="5"/>
  <c r="BD1035" i="5"/>
  <c r="BF1035" i="5"/>
  <c r="AY1035" i="5"/>
  <c r="BA1035" i="5"/>
  <c r="BP1035" i="5" s="1"/>
  <c r="AZ1035" i="5"/>
  <c r="AU1035" i="5"/>
  <c r="BB1035" i="5" s="1"/>
  <c r="AV1035" i="5"/>
  <c r="BO1035" i="5" s="1"/>
  <c r="CK1108" i="5"/>
  <c r="CF1108" i="5"/>
  <c r="CI1108" i="5"/>
  <c r="CD1108" i="5"/>
  <c r="CE1108" i="5"/>
  <c r="CA1108" i="5"/>
  <c r="CC1108" i="5"/>
  <c r="BY1108" i="5"/>
  <c r="BW1108" i="5"/>
  <c r="BU1108" i="5"/>
  <c r="BV1108" i="5"/>
  <c r="BT1108" i="5"/>
  <c r="BR1108" i="5"/>
  <c r="BQ1108" i="5"/>
  <c r="BS1108" i="5"/>
  <c r="BJ1108" i="5"/>
  <c r="BM1108" i="5"/>
  <c r="BI1108" i="5"/>
  <c r="BK1108" i="5"/>
  <c r="BH1108" i="5"/>
  <c r="BF1108" i="5"/>
  <c r="BG1108" i="5"/>
  <c r="BE1108" i="5"/>
  <c r="BD1108" i="5"/>
  <c r="AZ1108" i="5"/>
  <c r="BA1108" i="5"/>
  <c r="BP1108" i="5" s="1"/>
  <c r="AY1108" i="5"/>
  <c r="AV1108" i="5"/>
  <c r="BO1108" i="5" s="1"/>
  <c r="AU1108" i="5"/>
  <c r="BN1108" i="5" s="1"/>
  <c r="CK1181" i="5"/>
  <c r="CI1181" i="5"/>
  <c r="CF1181" i="5"/>
  <c r="CE1181" i="5"/>
  <c r="CD1181" i="5"/>
  <c r="CC1181" i="5"/>
  <c r="CA1181" i="5"/>
  <c r="BY1181" i="5"/>
  <c r="BW1181" i="5"/>
  <c r="BU1181" i="5"/>
  <c r="BV1181" i="5"/>
  <c r="BT1181" i="5"/>
  <c r="BS1181" i="5"/>
  <c r="BQ1181" i="5"/>
  <c r="BR1181" i="5"/>
  <c r="BM1181" i="5"/>
  <c r="BK1181" i="5"/>
  <c r="BI1181" i="5"/>
  <c r="BJ1181" i="5"/>
  <c r="BH1181" i="5"/>
  <c r="BG1181" i="5"/>
  <c r="BF1181" i="5"/>
  <c r="BE1181" i="5"/>
  <c r="BD1181" i="5"/>
  <c r="BA1181" i="5"/>
  <c r="BP1181" i="5" s="1"/>
  <c r="AU1181" i="5"/>
  <c r="BN1181" i="5" s="1"/>
  <c r="AZ1181" i="5"/>
  <c r="AY1181" i="5"/>
  <c r="AV1181" i="5"/>
  <c r="BC1181" i="5" s="1"/>
  <c r="CK1254" i="5"/>
  <c r="CI1254" i="5"/>
  <c r="CF1254" i="5"/>
  <c r="CE1254" i="5"/>
  <c r="CD1254" i="5"/>
  <c r="CC1254" i="5"/>
  <c r="CA1254" i="5"/>
  <c r="BY1254" i="5"/>
  <c r="BW1254" i="5"/>
  <c r="BU1254" i="5"/>
  <c r="BV1254" i="5"/>
  <c r="BS1254" i="5"/>
  <c r="BT1254" i="5"/>
  <c r="BR1254" i="5"/>
  <c r="BQ1254" i="5"/>
  <c r="BM1254" i="5"/>
  <c r="BK1254" i="5"/>
  <c r="BJ1254" i="5"/>
  <c r="BI1254" i="5"/>
  <c r="BH1254" i="5"/>
  <c r="BG1254" i="5"/>
  <c r="BF1254" i="5"/>
  <c r="BE1254" i="5"/>
  <c r="BD1254" i="5"/>
  <c r="AV1254" i="5"/>
  <c r="BO1254" i="5" s="1"/>
  <c r="BA1254" i="5"/>
  <c r="BP1254" i="5" s="1"/>
  <c r="AZ1254" i="5"/>
  <c r="AY1254" i="5"/>
  <c r="AU1254" i="5"/>
  <c r="BN1254" i="5" s="1"/>
  <c r="CK1324" i="5"/>
  <c r="CI1324" i="5"/>
  <c r="CF1324" i="5"/>
  <c r="CE1324" i="5"/>
  <c r="CC1324" i="5"/>
  <c r="CA1324" i="5"/>
  <c r="CD1324" i="5"/>
  <c r="BY1324" i="5"/>
  <c r="BW1324" i="5"/>
  <c r="BU1324" i="5"/>
  <c r="BV1324" i="5"/>
  <c r="BT1324" i="5"/>
  <c r="BR1324" i="5"/>
  <c r="BQ1324" i="5"/>
  <c r="BS1324" i="5"/>
  <c r="BM1324" i="5"/>
  <c r="BJ1324" i="5"/>
  <c r="BK1324" i="5"/>
  <c r="BI1324" i="5"/>
  <c r="BH1324" i="5"/>
  <c r="BF1324" i="5"/>
  <c r="BG1324" i="5"/>
  <c r="BE1324" i="5"/>
  <c r="BD1324" i="5"/>
  <c r="AZ1324" i="5"/>
  <c r="AY1324" i="5"/>
  <c r="BA1324" i="5"/>
  <c r="BP1324" i="5" s="1"/>
  <c r="AV1324" i="5"/>
  <c r="BO1324" i="5" s="1"/>
  <c r="AU1324" i="5"/>
  <c r="BN1324" i="5" s="1"/>
  <c r="BL3" i="5"/>
  <c r="CI94" i="5"/>
  <c r="CK94" i="5"/>
  <c r="CD94" i="5"/>
  <c r="CF94" i="5"/>
  <c r="CE94" i="5"/>
  <c r="CC94" i="5"/>
  <c r="BY94" i="5"/>
  <c r="CA94" i="5"/>
  <c r="BU94" i="5"/>
  <c r="BW94" i="5"/>
  <c r="BV94" i="5"/>
  <c r="BT94" i="5"/>
  <c r="BS94" i="5"/>
  <c r="BR94" i="5"/>
  <c r="BQ94" i="5"/>
  <c r="BM94" i="5"/>
  <c r="BK94" i="5"/>
  <c r="BH94" i="5"/>
  <c r="BJ94" i="5"/>
  <c r="BI94" i="5"/>
  <c r="BG94" i="5"/>
  <c r="BF94" i="5"/>
  <c r="BD94" i="5"/>
  <c r="BE94" i="5"/>
  <c r="BA94" i="5"/>
  <c r="BP94" i="5" s="1"/>
  <c r="AV94" i="5"/>
  <c r="BC94" i="5" s="1"/>
  <c r="AZ94" i="5"/>
  <c r="AY94" i="5"/>
  <c r="AU94" i="5"/>
  <c r="BN94" i="5" s="1"/>
  <c r="CJ167" i="5"/>
  <c r="CK167" i="5"/>
  <c r="CE167" i="5"/>
  <c r="CI167" i="5"/>
  <c r="CF167" i="5"/>
  <c r="CD167" i="5"/>
  <c r="CH167" i="5"/>
  <c r="CG167" i="5"/>
  <c r="BZ167" i="5"/>
  <c r="CC167" i="5"/>
  <c r="CA167" i="5"/>
  <c r="BX167" i="5"/>
  <c r="BY167" i="5"/>
  <c r="BW167" i="5"/>
  <c r="BV167" i="5"/>
  <c r="BU167" i="5"/>
  <c r="BT167" i="5"/>
  <c r="BS167" i="5"/>
  <c r="BR167" i="5"/>
  <c r="BQ167" i="5"/>
  <c r="BK167" i="5"/>
  <c r="BI167" i="5"/>
  <c r="BM167" i="5"/>
  <c r="BL167" i="5"/>
  <c r="BH167" i="5"/>
  <c r="BJ167" i="5"/>
  <c r="BG167" i="5"/>
  <c r="BE167" i="5"/>
  <c r="BF167" i="5"/>
  <c r="BD167" i="5"/>
  <c r="BA167" i="5"/>
  <c r="BP167" i="5" s="1"/>
  <c r="AY167" i="5"/>
  <c r="AZ167" i="5"/>
  <c r="AU167" i="5"/>
  <c r="BN167" i="5" s="1"/>
  <c r="AV167" i="5"/>
  <c r="BC167" i="5" s="1"/>
  <c r="CJ240" i="5"/>
  <c r="CI240" i="5"/>
  <c r="CK240" i="5"/>
  <c r="CF240" i="5"/>
  <c r="CH240" i="5"/>
  <c r="CG240" i="5"/>
  <c r="CC240" i="5"/>
  <c r="CE240" i="5"/>
  <c r="CD240" i="5"/>
  <c r="CA240" i="5"/>
  <c r="BV240" i="5"/>
  <c r="BZ240" i="5"/>
  <c r="BY240" i="5"/>
  <c r="BX240" i="5"/>
  <c r="BW240" i="5"/>
  <c r="BU240" i="5"/>
  <c r="BS240" i="5"/>
  <c r="BT240" i="5"/>
  <c r="BR240" i="5"/>
  <c r="BQ240" i="5"/>
  <c r="BL240" i="5"/>
  <c r="BM240" i="5"/>
  <c r="BK240" i="5"/>
  <c r="BJ240" i="5"/>
  <c r="BI240" i="5"/>
  <c r="BH240" i="5"/>
  <c r="BG240" i="5"/>
  <c r="BF240" i="5"/>
  <c r="BE240" i="5"/>
  <c r="BD240" i="5"/>
  <c r="BA240" i="5"/>
  <c r="BP240" i="5" s="1"/>
  <c r="AZ240" i="5"/>
  <c r="AV240" i="5"/>
  <c r="BO240" i="5" s="1"/>
  <c r="AY240" i="5"/>
  <c r="AU240" i="5"/>
  <c r="BN240" i="5" s="1"/>
  <c r="CK314" i="5"/>
  <c r="CI314" i="5"/>
  <c r="CD314" i="5"/>
  <c r="CF314" i="5"/>
  <c r="CE314" i="5"/>
  <c r="BY314" i="5"/>
  <c r="CC314" i="5"/>
  <c r="CA314" i="5"/>
  <c r="BU314" i="5"/>
  <c r="BV314" i="5"/>
  <c r="BW314" i="5"/>
  <c r="BS314" i="5"/>
  <c r="BT314" i="5"/>
  <c r="BR314" i="5"/>
  <c r="BQ314" i="5"/>
  <c r="BM314" i="5"/>
  <c r="BK314" i="5"/>
  <c r="BJ314" i="5"/>
  <c r="BI314" i="5"/>
  <c r="BH314" i="5"/>
  <c r="BF314" i="5"/>
  <c r="BG314" i="5"/>
  <c r="BD314" i="5"/>
  <c r="BE314" i="5"/>
  <c r="BA314" i="5"/>
  <c r="BP314" i="5" s="1"/>
  <c r="AZ314" i="5"/>
  <c r="AY314" i="5"/>
  <c r="AU314" i="5"/>
  <c r="BN314" i="5" s="1"/>
  <c r="AV314" i="5"/>
  <c r="BO314" i="5" s="1"/>
  <c r="CJ387" i="5"/>
  <c r="CK387" i="5"/>
  <c r="CH387" i="5"/>
  <c r="CE387" i="5"/>
  <c r="CI387" i="5"/>
  <c r="CF387" i="5"/>
  <c r="CG387" i="5"/>
  <c r="CD387" i="5"/>
  <c r="CC387" i="5"/>
  <c r="BZ387" i="5"/>
  <c r="BY387" i="5"/>
  <c r="CA387" i="5"/>
  <c r="BV387" i="5"/>
  <c r="BX387" i="5"/>
  <c r="BW387" i="5"/>
  <c r="BU387" i="5"/>
  <c r="BT387" i="5"/>
  <c r="BS387" i="5"/>
  <c r="BR387" i="5"/>
  <c r="BQ387" i="5"/>
  <c r="BK387" i="5"/>
  <c r="BL387" i="5"/>
  <c r="BM387" i="5"/>
  <c r="BI387" i="5"/>
  <c r="BJ387" i="5"/>
  <c r="BG387" i="5"/>
  <c r="BH387" i="5"/>
  <c r="BF387" i="5"/>
  <c r="BE387" i="5"/>
  <c r="BD387" i="5"/>
  <c r="BA387" i="5"/>
  <c r="BP387" i="5" s="1"/>
  <c r="AY387" i="5"/>
  <c r="AZ387" i="5"/>
  <c r="AU387" i="5"/>
  <c r="BN387" i="5" s="1"/>
  <c r="AV387" i="5"/>
  <c r="BC387" i="5" s="1"/>
  <c r="CK460" i="5"/>
  <c r="CJ460" i="5"/>
  <c r="CH460" i="5"/>
  <c r="CF460" i="5"/>
  <c r="CI460" i="5"/>
  <c r="CG460" i="5"/>
  <c r="CD460" i="5"/>
  <c r="CC460" i="5"/>
  <c r="CE460" i="5"/>
  <c r="CA460" i="5"/>
  <c r="BZ460" i="5"/>
  <c r="BV460" i="5"/>
  <c r="BX460" i="5"/>
  <c r="BY460" i="5"/>
  <c r="BW460" i="5"/>
  <c r="BU460" i="5"/>
  <c r="BT460" i="5"/>
  <c r="BS460" i="5"/>
  <c r="BQ460" i="5"/>
  <c r="BR460" i="5"/>
  <c r="BM460" i="5"/>
  <c r="BL460" i="5"/>
  <c r="BJ460" i="5"/>
  <c r="BK460" i="5"/>
  <c r="BI460" i="5"/>
  <c r="BH460" i="5"/>
  <c r="BF460" i="5"/>
  <c r="BG460" i="5"/>
  <c r="BE460" i="5"/>
  <c r="BD460" i="5"/>
  <c r="AZ460" i="5"/>
  <c r="BA460" i="5"/>
  <c r="BP460" i="5" s="1"/>
  <c r="AY460" i="5"/>
  <c r="AV460" i="5"/>
  <c r="BC460" i="5" s="1"/>
  <c r="AU460" i="5"/>
  <c r="BN460" i="5" s="1"/>
  <c r="CI533" i="5"/>
  <c r="CK533" i="5"/>
  <c r="CE533" i="5"/>
  <c r="CD533" i="5"/>
  <c r="CF533" i="5"/>
  <c r="CC533" i="5"/>
  <c r="BW533" i="5"/>
  <c r="CA533" i="5"/>
  <c r="BY533" i="5"/>
  <c r="BT533" i="5"/>
  <c r="BV533" i="5"/>
  <c r="BU533" i="5"/>
  <c r="BR533" i="5"/>
  <c r="BS533" i="5"/>
  <c r="BQ533" i="5"/>
  <c r="BM533" i="5"/>
  <c r="BK533" i="5"/>
  <c r="BJ533" i="5"/>
  <c r="BI533" i="5"/>
  <c r="BF533" i="5"/>
  <c r="BH533" i="5"/>
  <c r="BG533" i="5"/>
  <c r="BE533" i="5"/>
  <c r="BD533" i="5"/>
  <c r="BA533" i="5"/>
  <c r="BP533" i="5" s="1"/>
  <c r="AZ533" i="5"/>
  <c r="AY533" i="5"/>
  <c r="AV533" i="5"/>
  <c r="BC533" i="5" s="1"/>
  <c r="AU533" i="5"/>
  <c r="BN533" i="5" s="1"/>
  <c r="CI606" i="5"/>
  <c r="CJ606" i="5"/>
  <c r="CG606" i="5"/>
  <c r="CK606" i="5"/>
  <c r="CH606" i="5"/>
  <c r="CF606" i="5"/>
  <c r="CD606" i="5"/>
  <c r="CE606" i="5"/>
  <c r="CC606" i="5"/>
  <c r="CA606" i="5"/>
  <c r="BZ606" i="5"/>
  <c r="BY606" i="5"/>
  <c r="BX606" i="5"/>
  <c r="BU606" i="5"/>
  <c r="BW606" i="5"/>
  <c r="BV606" i="5"/>
  <c r="BS606" i="5"/>
  <c r="BR606" i="5"/>
  <c r="BT606" i="5"/>
  <c r="BQ606" i="5"/>
  <c r="BM606" i="5"/>
  <c r="BK606" i="5"/>
  <c r="BL606" i="5"/>
  <c r="BJ606" i="5"/>
  <c r="BI606" i="5"/>
  <c r="BH606" i="5"/>
  <c r="BG606" i="5"/>
  <c r="BF606" i="5"/>
  <c r="BE606" i="5"/>
  <c r="BD606" i="5"/>
  <c r="AV606" i="5"/>
  <c r="BC606" i="5" s="1"/>
  <c r="BA606" i="5"/>
  <c r="BP606" i="5" s="1"/>
  <c r="AZ606" i="5"/>
  <c r="AY606" i="5"/>
  <c r="AU606" i="5"/>
  <c r="BB606" i="5" s="1"/>
  <c r="CJ679" i="5"/>
  <c r="CK679" i="5"/>
  <c r="CG679" i="5"/>
  <c r="CE679" i="5"/>
  <c r="CF679" i="5"/>
  <c r="CI679" i="5"/>
  <c r="CH679" i="5"/>
  <c r="CD679" i="5"/>
  <c r="BZ679" i="5"/>
  <c r="CC679" i="5"/>
  <c r="CA679" i="5"/>
  <c r="BY679" i="5"/>
  <c r="BX679" i="5"/>
  <c r="BV679" i="5"/>
  <c r="BW679" i="5"/>
  <c r="BU679" i="5"/>
  <c r="BT679" i="5"/>
  <c r="BS679" i="5"/>
  <c r="BR679" i="5"/>
  <c r="BQ679" i="5"/>
  <c r="BI679" i="5"/>
  <c r="BM679" i="5"/>
  <c r="BL679" i="5"/>
  <c r="BK679" i="5"/>
  <c r="BJ679" i="5"/>
  <c r="BG679" i="5"/>
  <c r="BE679" i="5"/>
  <c r="BH679" i="5"/>
  <c r="BF679" i="5"/>
  <c r="BD679" i="5"/>
  <c r="AY679" i="5"/>
  <c r="BA679" i="5"/>
  <c r="BP679" i="5" s="1"/>
  <c r="AZ679" i="5"/>
  <c r="AU679" i="5"/>
  <c r="BN679" i="5" s="1"/>
  <c r="AV679" i="5"/>
  <c r="BO679" i="5" s="1"/>
  <c r="CK752" i="5"/>
  <c r="CJ752" i="5"/>
  <c r="CI752" i="5"/>
  <c r="CF752" i="5"/>
  <c r="CH752" i="5"/>
  <c r="CC752" i="5"/>
  <c r="CG752" i="5"/>
  <c r="CD752" i="5"/>
  <c r="CE752" i="5"/>
  <c r="CA752" i="5"/>
  <c r="BX752" i="5"/>
  <c r="BZ752" i="5"/>
  <c r="BW752" i="5"/>
  <c r="BY752" i="5"/>
  <c r="BV752" i="5"/>
  <c r="BU752" i="5"/>
  <c r="BT752" i="5"/>
  <c r="BS752" i="5"/>
  <c r="BR752" i="5"/>
  <c r="BQ752" i="5"/>
  <c r="BL752" i="5"/>
  <c r="BK752" i="5"/>
  <c r="BM752" i="5"/>
  <c r="BJ752" i="5"/>
  <c r="BI752" i="5"/>
  <c r="BH752" i="5"/>
  <c r="BG752" i="5"/>
  <c r="BF752" i="5"/>
  <c r="BE752" i="5"/>
  <c r="BD752" i="5"/>
  <c r="AZ752" i="5"/>
  <c r="AV752" i="5"/>
  <c r="BC752" i="5" s="1"/>
  <c r="AY752" i="5"/>
  <c r="BA752" i="5"/>
  <c r="BP752" i="5" s="1"/>
  <c r="AU752" i="5"/>
  <c r="BN752" i="5" s="1"/>
  <c r="CI826" i="5"/>
  <c r="CK826" i="5"/>
  <c r="CC826" i="5"/>
  <c r="CE826" i="5"/>
  <c r="CF826" i="5"/>
  <c r="CD826" i="5"/>
  <c r="CA826" i="5"/>
  <c r="BY826" i="5"/>
  <c r="BU826" i="5"/>
  <c r="BV826" i="5"/>
  <c r="BW826" i="5"/>
  <c r="BS826" i="5"/>
  <c r="BT826" i="5"/>
  <c r="BR826" i="5"/>
  <c r="BQ826" i="5"/>
  <c r="BM826" i="5"/>
  <c r="BJ826" i="5"/>
  <c r="BI826" i="5"/>
  <c r="BK826" i="5"/>
  <c r="BF826" i="5"/>
  <c r="BH826" i="5"/>
  <c r="BG826" i="5"/>
  <c r="BD826" i="5"/>
  <c r="BE826" i="5"/>
  <c r="BA826" i="5"/>
  <c r="BP826" i="5" s="1"/>
  <c r="AZ826" i="5"/>
  <c r="AY826" i="5"/>
  <c r="AU826" i="5"/>
  <c r="BN826" i="5" s="1"/>
  <c r="AV826" i="5"/>
  <c r="BC826" i="5" s="1"/>
  <c r="CJ899" i="5"/>
  <c r="CK899" i="5"/>
  <c r="CG899" i="5"/>
  <c r="CE899" i="5"/>
  <c r="CH899" i="5"/>
  <c r="CI899" i="5"/>
  <c r="CF899" i="5"/>
  <c r="CD899" i="5"/>
  <c r="BZ899" i="5"/>
  <c r="CC899" i="5"/>
  <c r="BY899" i="5"/>
  <c r="CA899" i="5"/>
  <c r="BV899" i="5"/>
  <c r="BX899" i="5"/>
  <c r="BW899" i="5"/>
  <c r="BU899" i="5"/>
  <c r="BT899" i="5"/>
  <c r="BS899" i="5"/>
  <c r="BR899" i="5"/>
  <c r="BQ899" i="5"/>
  <c r="BL899" i="5"/>
  <c r="BM899" i="5"/>
  <c r="BI899" i="5"/>
  <c r="BK899" i="5"/>
  <c r="BJ899" i="5"/>
  <c r="BG899" i="5"/>
  <c r="BH899" i="5"/>
  <c r="BE899" i="5"/>
  <c r="BD899" i="5"/>
  <c r="BF899" i="5"/>
  <c r="AY899" i="5"/>
  <c r="BA899" i="5"/>
  <c r="BP899" i="5" s="1"/>
  <c r="AZ899" i="5"/>
  <c r="AU899" i="5"/>
  <c r="BN899" i="5" s="1"/>
  <c r="AV899" i="5"/>
  <c r="BC899" i="5" s="1"/>
  <c r="CK972" i="5"/>
  <c r="CH972" i="5"/>
  <c r="CF972" i="5"/>
  <c r="CJ972" i="5"/>
  <c r="CI972" i="5"/>
  <c r="CG972" i="5"/>
  <c r="CE972" i="5"/>
  <c r="CD972" i="5"/>
  <c r="CA972" i="5"/>
  <c r="CC972" i="5"/>
  <c r="BX972" i="5"/>
  <c r="BY972" i="5"/>
  <c r="BZ972" i="5"/>
  <c r="BW972" i="5"/>
  <c r="BV972" i="5"/>
  <c r="BU972" i="5"/>
  <c r="BT972" i="5"/>
  <c r="BS972" i="5"/>
  <c r="BQ972" i="5"/>
  <c r="BR972" i="5"/>
  <c r="BM972" i="5"/>
  <c r="BJ972" i="5"/>
  <c r="BK972" i="5"/>
  <c r="BL972" i="5"/>
  <c r="BI972" i="5"/>
  <c r="BH972" i="5"/>
  <c r="BF972" i="5"/>
  <c r="BG972" i="5"/>
  <c r="BE972" i="5"/>
  <c r="BD972" i="5"/>
  <c r="AZ972" i="5"/>
  <c r="AY972" i="5"/>
  <c r="BA972" i="5"/>
  <c r="BP972" i="5" s="1"/>
  <c r="AV972" i="5"/>
  <c r="BC972" i="5" s="1"/>
  <c r="AU972" i="5"/>
  <c r="BN972" i="5" s="1"/>
  <c r="CK1045" i="5"/>
  <c r="CI1045" i="5"/>
  <c r="CE1045" i="5"/>
  <c r="CD1045" i="5"/>
  <c r="CF1045" i="5"/>
  <c r="CC1045" i="5"/>
  <c r="BW1045" i="5"/>
  <c r="CA1045" i="5"/>
  <c r="BY1045" i="5"/>
  <c r="BV1045" i="5"/>
  <c r="BU1045" i="5"/>
  <c r="BT1045" i="5"/>
  <c r="BQ1045" i="5"/>
  <c r="BS1045" i="5"/>
  <c r="BR1045" i="5"/>
  <c r="BM1045" i="5"/>
  <c r="BK1045" i="5"/>
  <c r="BI1045" i="5"/>
  <c r="BJ1045" i="5"/>
  <c r="BH1045" i="5"/>
  <c r="BG1045" i="5"/>
  <c r="BF1045" i="5"/>
  <c r="BE1045" i="5"/>
  <c r="BD1045" i="5"/>
  <c r="BA1045" i="5"/>
  <c r="BP1045" i="5" s="1"/>
  <c r="AZ1045" i="5"/>
  <c r="AY1045" i="5"/>
  <c r="AV1045" i="5"/>
  <c r="BO1045" i="5" s="1"/>
  <c r="AU1045" i="5"/>
  <c r="BN1045" i="5" s="1"/>
  <c r="CI1118" i="5"/>
  <c r="CJ1118" i="5"/>
  <c r="CH1118" i="5"/>
  <c r="CK1118" i="5"/>
  <c r="CC1118" i="5"/>
  <c r="CG1118" i="5"/>
  <c r="CF1118" i="5"/>
  <c r="CD1118" i="5"/>
  <c r="CE1118" i="5"/>
  <c r="CA1118" i="5"/>
  <c r="BZ1118" i="5"/>
  <c r="BY1118" i="5"/>
  <c r="BX1118" i="5"/>
  <c r="BW1118" i="5"/>
  <c r="BU1118" i="5"/>
  <c r="BV1118" i="5"/>
  <c r="BS1118" i="5"/>
  <c r="BR1118" i="5"/>
  <c r="BT1118" i="5"/>
  <c r="BQ1118" i="5"/>
  <c r="BM1118" i="5"/>
  <c r="BL1118" i="5"/>
  <c r="BI1118" i="5"/>
  <c r="BK1118" i="5"/>
  <c r="BJ1118" i="5"/>
  <c r="BH1118" i="5"/>
  <c r="BG1118" i="5"/>
  <c r="BF1118" i="5"/>
  <c r="BE1118" i="5"/>
  <c r="BD1118" i="5"/>
  <c r="AV1118" i="5"/>
  <c r="BC1118" i="5" s="1"/>
  <c r="BA1118" i="5"/>
  <c r="BP1118" i="5" s="1"/>
  <c r="AZ1118" i="5"/>
  <c r="AY1118" i="5"/>
  <c r="AU1118" i="5"/>
  <c r="BN1118" i="5" s="1"/>
  <c r="CE1191" i="5"/>
  <c r="CK1191" i="5"/>
  <c r="CF1191" i="5"/>
  <c r="CI1191" i="5"/>
  <c r="CC1191" i="5"/>
  <c r="CD1191" i="5"/>
  <c r="CA1191" i="5"/>
  <c r="BY1191" i="5"/>
  <c r="BV1191" i="5"/>
  <c r="BW1191" i="5"/>
  <c r="BU1191" i="5"/>
  <c r="BT1191" i="5"/>
  <c r="BS1191" i="5"/>
  <c r="BR1191" i="5"/>
  <c r="BQ1191" i="5"/>
  <c r="BM1191" i="5"/>
  <c r="BK1191" i="5"/>
  <c r="BJ1191" i="5"/>
  <c r="BI1191" i="5"/>
  <c r="BG1191" i="5"/>
  <c r="BE1191" i="5"/>
  <c r="BH1191" i="5"/>
  <c r="BF1191" i="5"/>
  <c r="AY1191" i="5"/>
  <c r="BD1191" i="5"/>
  <c r="BA1191" i="5"/>
  <c r="BP1191" i="5" s="1"/>
  <c r="AZ1191" i="5"/>
  <c r="AV1191" i="5"/>
  <c r="BC1191" i="5" s="1"/>
  <c r="AU1191" i="5"/>
  <c r="BB1191" i="5" s="1"/>
  <c r="CI1264" i="5"/>
  <c r="CF1264" i="5"/>
  <c r="CK1264" i="5"/>
  <c r="CD1264" i="5"/>
  <c r="CE1264" i="5"/>
  <c r="CA1264" i="5"/>
  <c r="CC1264" i="5"/>
  <c r="BW1264" i="5"/>
  <c r="BY1264" i="5"/>
  <c r="BV1264" i="5"/>
  <c r="BU1264" i="5"/>
  <c r="BT1264" i="5"/>
  <c r="BS1264" i="5"/>
  <c r="BR1264" i="5"/>
  <c r="BQ1264" i="5"/>
  <c r="BM1264" i="5"/>
  <c r="BJ1264" i="5"/>
  <c r="BK1264" i="5"/>
  <c r="BH1264" i="5"/>
  <c r="BI1264" i="5"/>
  <c r="BG1264" i="5"/>
  <c r="BF1264" i="5"/>
  <c r="BE1264" i="5"/>
  <c r="BD1264" i="5"/>
  <c r="AZ1264" i="5"/>
  <c r="AV1264" i="5"/>
  <c r="BC1264" i="5" s="1"/>
  <c r="AY1264" i="5"/>
  <c r="BA1264" i="5"/>
  <c r="BP1264" i="5" s="1"/>
  <c r="AU1264" i="5"/>
  <c r="BN1264" i="5" s="1"/>
  <c r="CK1333" i="5"/>
  <c r="CJ1333" i="5"/>
  <c r="CI1333" i="5"/>
  <c r="CH1333" i="5"/>
  <c r="CD1333" i="5"/>
  <c r="CF1333" i="5"/>
  <c r="CG1333" i="5"/>
  <c r="CE1333" i="5"/>
  <c r="CC1333" i="5"/>
  <c r="BW1333" i="5"/>
  <c r="CA1333" i="5"/>
  <c r="BX1333" i="5"/>
  <c r="BZ1333" i="5"/>
  <c r="BY1333" i="5"/>
  <c r="BV1333" i="5"/>
  <c r="BU1333" i="5"/>
  <c r="BT1333" i="5"/>
  <c r="BQ1333" i="5"/>
  <c r="BR1333" i="5"/>
  <c r="BS1333" i="5"/>
  <c r="BM1333" i="5"/>
  <c r="BL1333" i="5"/>
  <c r="BK1333" i="5"/>
  <c r="BI1333" i="5"/>
  <c r="BJ1333" i="5"/>
  <c r="BH1333" i="5"/>
  <c r="BG1333" i="5"/>
  <c r="BF1333" i="5"/>
  <c r="BE1333" i="5"/>
  <c r="BD1333" i="5"/>
  <c r="BA1333" i="5"/>
  <c r="BP1333" i="5" s="1"/>
  <c r="AZ1333" i="5"/>
  <c r="AY1333" i="5"/>
  <c r="AU1333" i="5"/>
  <c r="BN1333" i="5" s="1"/>
  <c r="AV1333" i="5"/>
  <c r="BO1333" i="5" s="1"/>
  <c r="CK77" i="5"/>
  <c r="CF77" i="5"/>
  <c r="CE77" i="5"/>
  <c r="CD77" i="5"/>
  <c r="CI77" i="5"/>
  <c r="CC77" i="5"/>
  <c r="CA77" i="5"/>
  <c r="BY77" i="5"/>
  <c r="BW77" i="5"/>
  <c r="BT77" i="5"/>
  <c r="BV77" i="5"/>
  <c r="BU77" i="5"/>
  <c r="BR77" i="5"/>
  <c r="BS77" i="5"/>
  <c r="BQ77" i="5"/>
  <c r="BM77" i="5"/>
  <c r="BK77" i="5"/>
  <c r="BJ77" i="5"/>
  <c r="BI77" i="5"/>
  <c r="BH77" i="5"/>
  <c r="BG77" i="5"/>
  <c r="BF77" i="5"/>
  <c r="BE77" i="5"/>
  <c r="BD77" i="5"/>
  <c r="BA77" i="5"/>
  <c r="BP77" i="5" s="1"/>
  <c r="AZ77" i="5"/>
  <c r="AY77" i="5"/>
  <c r="AV77" i="5"/>
  <c r="BC77" i="5" s="1"/>
  <c r="AU77" i="5"/>
  <c r="BB77" i="5" s="1"/>
  <c r="CJ150" i="5"/>
  <c r="CI150" i="5"/>
  <c r="CH150" i="5"/>
  <c r="CG150" i="5"/>
  <c r="CD150" i="5"/>
  <c r="CK150" i="5"/>
  <c r="CF150" i="5"/>
  <c r="CC150" i="5"/>
  <c r="CE150" i="5"/>
  <c r="BY150" i="5"/>
  <c r="BZ150" i="5"/>
  <c r="CA150" i="5"/>
  <c r="BX150" i="5"/>
  <c r="BW150" i="5"/>
  <c r="BV150" i="5"/>
  <c r="BU150" i="5"/>
  <c r="BS150" i="5"/>
  <c r="BT150" i="5"/>
  <c r="BQ150" i="5"/>
  <c r="BR150" i="5"/>
  <c r="BM150" i="5"/>
  <c r="BK150" i="5"/>
  <c r="BL150" i="5"/>
  <c r="BH150" i="5"/>
  <c r="BJ150" i="5"/>
  <c r="BI150" i="5"/>
  <c r="BF150" i="5"/>
  <c r="BG150" i="5"/>
  <c r="BD150" i="5"/>
  <c r="BE150" i="5"/>
  <c r="BA150" i="5"/>
  <c r="BP150" i="5" s="1"/>
  <c r="AZ150" i="5"/>
  <c r="AY150" i="5"/>
  <c r="AV150" i="5"/>
  <c r="BC150" i="5" s="1"/>
  <c r="AU150" i="5"/>
  <c r="BN150" i="5" s="1"/>
  <c r="CK223" i="5"/>
  <c r="CJ223" i="5"/>
  <c r="CE223" i="5"/>
  <c r="CI223" i="5"/>
  <c r="CH223" i="5"/>
  <c r="CG223" i="5"/>
  <c r="CF223" i="5"/>
  <c r="CD223" i="5"/>
  <c r="BZ223" i="5"/>
  <c r="CC223" i="5"/>
  <c r="CA223" i="5"/>
  <c r="BY223" i="5"/>
  <c r="BX223" i="5"/>
  <c r="BW223" i="5"/>
  <c r="BV223" i="5"/>
  <c r="BU223" i="5"/>
  <c r="BT223" i="5"/>
  <c r="BS223" i="5"/>
  <c r="BR223" i="5"/>
  <c r="BQ223" i="5"/>
  <c r="BK223" i="5"/>
  <c r="BL223" i="5"/>
  <c r="BI223" i="5"/>
  <c r="BM223" i="5"/>
  <c r="BH223" i="5"/>
  <c r="BJ223" i="5"/>
  <c r="BG223" i="5"/>
  <c r="BE223" i="5"/>
  <c r="BF223" i="5"/>
  <c r="BD223" i="5"/>
  <c r="BA223" i="5"/>
  <c r="BP223" i="5" s="1"/>
  <c r="AY223" i="5"/>
  <c r="AZ223" i="5"/>
  <c r="AV223" i="5"/>
  <c r="BO223" i="5" s="1"/>
  <c r="AU223" i="5"/>
  <c r="BN223" i="5" s="1"/>
  <c r="CH296" i="5"/>
  <c r="CK296" i="5"/>
  <c r="CF296" i="5"/>
  <c r="CE296" i="5"/>
  <c r="CD296" i="5"/>
  <c r="CI296" i="5"/>
  <c r="CC296" i="5"/>
  <c r="CJ296" i="5"/>
  <c r="CG296" i="5"/>
  <c r="CA296" i="5"/>
  <c r="BZ296" i="5"/>
  <c r="BY296" i="5"/>
  <c r="BV296" i="5"/>
  <c r="BX296" i="5"/>
  <c r="BW296" i="5"/>
  <c r="BU296" i="5"/>
  <c r="BS296" i="5"/>
  <c r="BR296" i="5"/>
  <c r="BT296" i="5"/>
  <c r="BQ296" i="5"/>
  <c r="BL296" i="5"/>
  <c r="BK296" i="5"/>
  <c r="BM296" i="5"/>
  <c r="BJ296" i="5"/>
  <c r="BH296" i="5"/>
  <c r="BI296" i="5"/>
  <c r="BG296" i="5"/>
  <c r="BF296" i="5"/>
  <c r="BE296" i="5"/>
  <c r="BD296" i="5"/>
  <c r="BA296" i="5"/>
  <c r="BP296" i="5" s="1"/>
  <c r="AZ296" i="5"/>
  <c r="AV296" i="5"/>
  <c r="BC296" i="5" s="1"/>
  <c r="AY296" i="5"/>
  <c r="AU296" i="5"/>
  <c r="BN296" i="5" s="1"/>
  <c r="CK370" i="5"/>
  <c r="CH370" i="5"/>
  <c r="CI370" i="5"/>
  <c r="CD370" i="5"/>
  <c r="CJ370" i="5"/>
  <c r="CF370" i="5"/>
  <c r="CE370" i="5"/>
  <c r="CG370" i="5"/>
  <c r="CC370" i="5"/>
  <c r="BY370" i="5"/>
  <c r="CA370" i="5"/>
  <c r="BZ370" i="5"/>
  <c r="BX370" i="5"/>
  <c r="BU370" i="5"/>
  <c r="BV370" i="5"/>
  <c r="BW370" i="5"/>
  <c r="BS370" i="5"/>
  <c r="BT370" i="5"/>
  <c r="BR370" i="5"/>
  <c r="BQ370" i="5"/>
  <c r="BM370" i="5"/>
  <c r="BL370" i="5"/>
  <c r="BK370" i="5"/>
  <c r="BJ370" i="5"/>
  <c r="BI370" i="5"/>
  <c r="BF370" i="5"/>
  <c r="BD370" i="5"/>
  <c r="BG370" i="5"/>
  <c r="BH370" i="5"/>
  <c r="BE370" i="5"/>
  <c r="BA370" i="5"/>
  <c r="BP370" i="5" s="1"/>
  <c r="AZ370" i="5"/>
  <c r="AY370" i="5"/>
  <c r="AU370" i="5"/>
  <c r="BN370" i="5" s="1"/>
  <c r="AV370" i="5"/>
  <c r="BC370" i="5" s="1"/>
  <c r="CK443" i="5"/>
  <c r="CJ443" i="5"/>
  <c r="CI443" i="5"/>
  <c r="CG443" i="5"/>
  <c r="CE443" i="5"/>
  <c r="CH443" i="5"/>
  <c r="CF443" i="5"/>
  <c r="CC443" i="5"/>
  <c r="CD443" i="5"/>
  <c r="BZ443" i="5"/>
  <c r="CA443" i="5"/>
  <c r="BX443" i="5"/>
  <c r="BW443" i="5"/>
  <c r="BV443" i="5"/>
  <c r="BY443" i="5"/>
  <c r="BU443" i="5"/>
  <c r="BT443" i="5"/>
  <c r="BS443" i="5"/>
  <c r="BR443" i="5"/>
  <c r="BQ443" i="5"/>
  <c r="BK443" i="5"/>
  <c r="BL443" i="5"/>
  <c r="BM443" i="5"/>
  <c r="BI443" i="5"/>
  <c r="BJ443" i="5"/>
  <c r="BG443" i="5"/>
  <c r="BH443" i="5"/>
  <c r="BF443" i="5"/>
  <c r="BE443" i="5"/>
  <c r="BD443" i="5"/>
  <c r="BA443" i="5"/>
  <c r="BP443" i="5" s="1"/>
  <c r="AY443" i="5"/>
  <c r="AU443" i="5"/>
  <c r="BB443" i="5" s="1"/>
  <c r="AZ443" i="5"/>
  <c r="AV443" i="5"/>
  <c r="BO443" i="5" s="1"/>
  <c r="CK516" i="5"/>
  <c r="CJ516" i="5"/>
  <c r="CG516" i="5"/>
  <c r="CF516" i="5"/>
  <c r="CI516" i="5"/>
  <c r="CH516" i="5"/>
  <c r="CC516" i="5"/>
  <c r="CE516" i="5"/>
  <c r="CD516" i="5"/>
  <c r="CA516" i="5"/>
  <c r="BY516" i="5"/>
  <c r="BV516" i="5"/>
  <c r="BZ516" i="5"/>
  <c r="BX516" i="5"/>
  <c r="BW516" i="5"/>
  <c r="BU516" i="5"/>
  <c r="BT516" i="5"/>
  <c r="BS516" i="5"/>
  <c r="BQ516" i="5"/>
  <c r="BR516" i="5"/>
  <c r="BM516" i="5"/>
  <c r="BJ516" i="5"/>
  <c r="BL516" i="5"/>
  <c r="BK516" i="5"/>
  <c r="BI516" i="5"/>
  <c r="BH516" i="5"/>
  <c r="BG516" i="5"/>
  <c r="BF516" i="5"/>
  <c r="BD516" i="5"/>
  <c r="BE516" i="5"/>
  <c r="AZ516" i="5"/>
  <c r="BA516" i="5"/>
  <c r="BP516" i="5" s="1"/>
  <c r="AY516" i="5"/>
  <c r="AU516" i="5"/>
  <c r="BB516" i="5" s="1"/>
  <c r="AV516" i="5"/>
  <c r="BC516" i="5" s="1"/>
  <c r="CG589" i="5"/>
  <c r="CK589" i="5"/>
  <c r="CJ589" i="5"/>
  <c r="CF589" i="5"/>
  <c r="CE589" i="5"/>
  <c r="CD589" i="5"/>
  <c r="CI589" i="5"/>
  <c r="CH589" i="5"/>
  <c r="CC589" i="5"/>
  <c r="CA589" i="5"/>
  <c r="BZ589" i="5"/>
  <c r="BY589" i="5"/>
  <c r="BX589" i="5"/>
  <c r="BW589" i="5"/>
  <c r="BV589" i="5"/>
  <c r="BT589" i="5"/>
  <c r="BU589" i="5"/>
  <c r="BR589" i="5"/>
  <c r="BS589" i="5"/>
  <c r="BQ589" i="5"/>
  <c r="BM589" i="5"/>
  <c r="BL589" i="5"/>
  <c r="BK589" i="5"/>
  <c r="BJ589" i="5"/>
  <c r="BI589" i="5"/>
  <c r="BH589" i="5"/>
  <c r="BG589" i="5"/>
  <c r="BF589" i="5"/>
  <c r="BE589" i="5"/>
  <c r="BD589" i="5"/>
  <c r="BA589" i="5"/>
  <c r="BP589" i="5" s="1"/>
  <c r="AZ589" i="5"/>
  <c r="AY589" i="5"/>
  <c r="AV589" i="5"/>
  <c r="BO589" i="5" s="1"/>
  <c r="AU589" i="5"/>
  <c r="BB589" i="5" s="1"/>
  <c r="CJ662" i="5"/>
  <c r="CI662" i="5"/>
  <c r="CK662" i="5"/>
  <c r="CH662" i="5"/>
  <c r="CG662" i="5"/>
  <c r="CF662" i="5"/>
  <c r="CD662" i="5"/>
  <c r="CC662" i="5"/>
  <c r="CE662" i="5"/>
  <c r="CA662" i="5"/>
  <c r="BX662" i="5"/>
  <c r="BZ662" i="5"/>
  <c r="BY662" i="5"/>
  <c r="BW662" i="5"/>
  <c r="BU662" i="5"/>
  <c r="BV662" i="5"/>
  <c r="BS662" i="5"/>
  <c r="BT662" i="5"/>
  <c r="BQ662" i="5"/>
  <c r="BR662" i="5"/>
  <c r="BM662" i="5"/>
  <c r="BK662" i="5"/>
  <c r="BL662" i="5"/>
  <c r="BJ662" i="5"/>
  <c r="BI662" i="5"/>
  <c r="BF662" i="5"/>
  <c r="BH662" i="5"/>
  <c r="BG662" i="5"/>
  <c r="BE662" i="5"/>
  <c r="BD662" i="5"/>
  <c r="BA662" i="5"/>
  <c r="BP662" i="5" s="1"/>
  <c r="AZ662" i="5"/>
  <c r="AY662" i="5"/>
  <c r="AV662" i="5"/>
  <c r="BC662" i="5" s="1"/>
  <c r="AU662" i="5"/>
  <c r="BN662" i="5" s="1"/>
  <c r="CK735" i="5"/>
  <c r="CE735" i="5"/>
  <c r="CJ735" i="5"/>
  <c r="CH735" i="5"/>
  <c r="CI735" i="5"/>
  <c r="CF735" i="5"/>
  <c r="CG735" i="5"/>
  <c r="BZ735" i="5"/>
  <c r="CD735" i="5"/>
  <c r="CC735" i="5"/>
  <c r="BY735" i="5"/>
  <c r="CA735" i="5"/>
  <c r="BX735" i="5"/>
  <c r="BV735" i="5"/>
  <c r="BW735" i="5"/>
  <c r="BU735" i="5"/>
  <c r="BT735" i="5"/>
  <c r="BS735" i="5"/>
  <c r="BR735" i="5"/>
  <c r="BQ735" i="5"/>
  <c r="BL735" i="5"/>
  <c r="BI735" i="5"/>
  <c r="BM735" i="5"/>
  <c r="BJ735" i="5"/>
  <c r="BK735" i="5"/>
  <c r="BG735" i="5"/>
  <c r="BE735" i="5"/>
  <c r="BH735" i="5"/>
  <c r="BD735" i="5"/>
  <c r="BF735" i="5"/>
  <c r="AY735" i="5"/>
  <c r="BA735" i="5"/>
  <c r="BP735" i="5" s="1"/>
  <c r="AZ735" i="5"/>
  <c r="AV735" i="5"/>
  <c r="BC735" i="5" s="1"/>
  <c r="AU735" i="5"/>
  <c r="BB735" i="5" s="1"/>
  <c r="CK808" i="5"/>
  <c r="CF808" i="5"/>
  <c r="CE808" i="5"/>
  <c r="CI808" i="5"/>
  <c r="CD808" i="5"/>
  <c r="CA808" i="5"/>
  <c r="CC808" i="5"/>
  <c r="BY808" i="5"/>
  <c r="BW808" i="5"/>
  <c r="BV808" i="5"/>
  <c r="BU808" i="5"/>
  <c r="BT808" i="5"/>
  <c r="BS808" i="5"/>
  <c r="BR808" i="5"/>
  <c r="BQ808" i="5"/>
  <c r="BK808" i="5"/>
  <c r="BM808" i="5"/>
  <c r="BJ808" i="5"/>
  <c r="BH808" i="5"/>
  <c r="BI808" i="5"/>
  <c r="BG808" i="5"/>
  <c r="BF808" i="5"/>
  <c r="BE808" i="5"/>
  <c r="BD808" i="5"/>
  <c r="AZ808" i="5"/>
  <c r="AV808" i="5"/>
  <c r="BC808" i="5" s="1"/>
  <c r="AY808" i="5"/>
  <c r="BA808" i="5"/>
  <c r="BP808" i="5" s="1"/>
  <c r="AU808" i="5"/>
  <c r="BN808" i="5" s="1"/>
  <c r="CK882" i="5"/>
  <c r="CI882" i="5"/>
  <c r="CJ882" i="5"/>
  <c r="CF882" i="5"/>
  <c r="CE882" i="5"/>
  <c r="CH882" i="5"/>
  <c r="CG882" i="5"/>
  <c r="CC882" i="5"/>
  <c r="CD882" i="5"/>
  <c r="CA882" i="5"/>
  <c r="BZ882" i="5"/>
  <c r="BX882" i="5"/>
  <c r="BY882" i="5"/>
  <c r="BU882" i="5"/>
  <c r="BW882" i="5"/>
  <c r="BS882" i="5"/>
  <c r="BV882" i="5"/>
  <c r="BT882" i="5"/>
  <c r="BR882" i="5"/>
  <c r="BQ882" i="5"/>
  <c r="BM882" i="5"/>
  <c r="BL882" i="5"/>
  <c r="BK882" i="5"/>
  <c r="BJ882" i="5"/>
  <c r="BI882" i="5"/>
  <c r="BF882" i="5"/>
  <c r="BH882" i="5"/>
  <c r="BG882" i="5"/>
  <c r="BE882" i="5"/>
  <c r="BD882" i="5"/>
  <c r="BA882" i="5"/>
  <c r="BP882" i="5" s="1"/>
  <c r="AZ882" i="5"/>
  <c r="AY882" i="5"/>
  <c r="AU882" i="5"/>
  <c r="BN882" i="5" s="1"/>
  <c r="AV882" i="5"/>
  <c r="BC882" i="5" s="1"/>
  <c r="CK955" i="5"/>
  <c r="CI955" i="5"/>
  <c r="CE955" i="5"/>
  <c r="CF955" i="5"/>
  <c r="CD955" i="5"/>
  <c r="CC955" i="5"/>
  <c r="BY955" i="5"/>
  <c r="CA955" i="5"/>
  <c r="BW955" i="5"/>
  <c r="BV955" i="5"/>
  <c r="BU955" i="5"/>
  <c r="BT955" i="5"/>
  <c r="BR955" i="5"/>
  <c r="BQ955" i="5"/>
  <c r="BS955" i="5"/>
  <c r="BM955" i="5"/>
  <c r="BI955" i="5"/>
  <c r="BJ955" i="5"/>
  <c r="BG955" i="5"/>
  <c r="BK955" i="5"/>
  <c r="BH955" i="5"/>
  <c r="BE955" i="5"/>
  <c r="BF955" i="5"/>
  <c r="BD955" i="5"/>
  <c r="AY955" i="5"/>
  <c r="AU955" i="5"/>
  <c r="BB955" i="5" s="1"/>
  <c r="BA955" i="5"/>
  <c r="BP955" i="5" s="1"/>
  <c r="AZ955" i="5"/>
  <c r="AV955" i="5"/>
  <c r="BO955" i="5" s="1"/>
  <c r="CK1028" i="5"/>
  <c r="CF1028" i="5"/>
  <c r="CE1028" i="5"/>
  <c r="CI1028" i="5"/>
  <c r="CD1028" i="5"/>
  <c r="CA1028" i="5"/>
  <c r="CC1028" i="5"/>
  <c r="BY1028" i="5"/>
  <c r="BW1028" i="5"/>
  <c r="BV1028" i="5"/>
  <c r="BU1028" i="5"/>
  <c r="BT1028" i="5"/>
  <c r="BR1028" i="5"/>
  <c r="BQ1028" i="5"/>
  <c r="BS1028" i="5"/>
  <c r="BM1028" i="5"/>
  <c r="BJ1028" i="5"/>
  <c r="BK1028" i="5"/>
  <c r="BI1028" i="5"/>
  <c r="BH1028" i="5"/>
  <c r="BG1028" i="5"/>
  <c r="BF1028" i="5"/>
  <c r="BD1028" i="5"/>
  <c r="BE1028" i="5"/>
  <c r="AZ1028" i="5"/>
  <c r="AY1028" i="5"/>
  <c r="BA1028" i="5"/>
  <c r="BP1028" i="5" s="1"/>
  <c r="AU1028" i="5"/>
  <c r="BN1028" i="5" s="1"/>
  <c r="AV1028" i="5"/>
  <c r="BO1028" i="5" s="1"/>
  <c r="CK1101" i="5"/>
  <c r="CF1101" i="5"/>
  <c r="CE1101" i="5"/>
  <c r="CD1101" i="5"/>
  <c r="CI1101" i="5"/>
  <c r="CC1101" i="5"/>
  <c r="CA1101" i="5"/>
  <c r="BW1101" i="5"/>
  <c r="BY1101" i="5"/>
  <c r="BU1101" i="5"/>
  <c r="BV1101" i="5"/>
  <c r="BT1101" i="5"/>
  <c r="BS1101" i="5"/>
  <c r="BQ1101" i="5"/>
  <c r="BR1101" i="5"/>
  <c r="BM1101" i="5"/>
  <c r="BK1101" i="5"/>
  <c r="BJ1101" i="5"/>
  <c r="BI1101" i="5"/>
  <c r="BH1101" i="5"/>
  <c r="BG1101" i="5"/>
  <c r="BF1101" i="5"/>
  <c r="BE1101" i="5"/>
  <c r="BD1101" i="5"/>
  <c r="BA1101" i="5"/>
  <c r="BP1101" i="5" s="1"/>
  <c r="AZ1101" i="5"/>
  <c r="AY1101" i="5"/>
  <c r="AV1101" i="5"/>
  <c r="BO1101" i="5" s="1"/>
  <c r="AU1101" i="5"/>
  <c r="BN1101" i="5" s="1"/>
  <c r="CK1174" i="5"/>
  <c r="CI1174" i="5"/>
  <c r="CJ1174" i="5"/>
  <c r="CG1174" i="5"/>
  <c r="CH1174" i="5"/>
  <c r="CC1174" i="5"/>
  <c r="CF1174" i="5"/>
  <c r="CD1174" i="5"/>
  <c r="CE1174" i="5"/>
  <c r="CA1174" i="5"/>
  <c r="BZ1174" i="5"/>
  <c r="BY1174" i="5"/>
  <c r="BW1174" i="5"/>
  <c r="BX1174" i="5"/>
  <c r="BU1174" i="5"/>
  <c r="BV1174" i="5"/>
  <c r="BS1174" i="5"/>
  <c r="BR1174" i="5"/>
  <c r="BT1174" i="5"/>
  <c r="BQ1174" i="5"/>
  <c r="BL1174" i="5"/>
  <c r="BM1174" i="5"/>
  <c r="BI1174" i="5"/>
  <c r="BK1174" i="5"/>
  <c r="BJ1174" i="5"/>
  <c r="BH1174" i="5"/>
  <c r="BG1174" i="5"/>
  <c r="BF1174" i="5"/>
  <c r="BE1174" i="5"/>
  <c r="BD1174" i="5"/>
  <c r="BA1174" i="5"/>
  <c r="BP1174" i="5" s="1"/>
  <c r="AZ1174" i="5"/>
  <c r="AY1174" i="5"/>
  <c r="AV1174" i="5"/>
  <c r="BO1174" i="5" s="1"/>
  <c r="AU1174" i="5"/>
  <c r="BN1174" i="5" s="1"/>
  <c r="CK1247" i="5"/>
  <c r="CE1247" i="5"/>
  <c r="CI1247" i="5"/>
  <c r="CF1247" i="5"/>
  <c r="CD1247" i="5"/>
  <c r="CC1247" i="5"/>
  <c r="BY1247" i="5"/>
  <c r="CA1247" i="5"/>
  <c r="BV1247" i="5"/>
  <c r="BW1247" i="5"/>
  <c r="BU1247" i="5"/>
  <c r="BT1247" i="5"/>
  <c r="BR1247" i="5"/>
  <c r="BQ1247" i="5"/>
  <c r="BS1247" i="5"/>
  <c r="BM1247" i="5"/>
  <c r="BI1247" i="5"/>
  <c r="BK1247" i="5"/>
  <c r="BJ1247" i="5"/>
  <c r="BG1247" i="5"/>
  <c r="BE1247" i="5"/>
  <c r="BH1247" i="5"/>
  <c r="BF1247" i="5"/>
  <c r="BD1247" i="5"/>
  <c r="AY1247" i="5"/>
  <c r="BA1247" i="5"/>
  <c r="BP1247" i="5" s="1"/>
  <c r="AZ1247" i="5"/>
  <c r="AV1247" i="5"/>
  <c r="BO1247" i="5" s="1"/>
  <c r="AU1247" i="5"/>
  <c r="BB1247" i="5" s="1"/>
  <c r="CI1318" i="5"/>
  <c r="CK1318" i="5"/>
  <c r="CF1318" i="5"/>
  <c r="CD1318" i="5"/>
  <c r="CC1318" i="5"/>
  <c r="CE1318" i="5"/>
  <c r="CA1318" i="5"/>
  <c r="BW1318" i="5"/>
  <c r="BY1318" i="5"/>
  <c r="BU1318" i="5"/>
  <c r="BV1318" i="5"/>
  <c r="BS1318" i="5"/>
  <c r="BT1318" i="5"/>
  <c r="BR1318" i="5"/>
  <c r="BQ1318" i="5"/>
  <c r="BM1318" i="5"/>
  <c r="BK1318" i="5"/>
  <c r="BJ1318" i="5"/>
  <c r="BI1318" i="5"/>
  <c r="BH1318" i="5"/>
  <c r="BG1318" i="5"/>
  <c r="BF1318" i="5"/>
  <c r="BE1318" i="5"/>
  <c r="BD1318" i="5"/>
  <c r="AV1318" i="5"/>
  <c r="BC1318" i="5" s="1"/>
  <c r="BA1318" i="5"/>
  <c r="BP1318" i="5" s="1"/>
  <c r="AZ1318" i="5"/>
  <c r="AY1318" i="5"/>
  <c r="AU1318" i="5"/>
  <c r="BN1318" i="5" s="1"/>
  <c r="CI25" i="5"/>
  <c r="CK25" i="5"/>
  <c r="CD25" i="5"/>
  <c r="CF25" i="5"/>
  <c r="CE25" i="5"/>
  <c r="CC25" i="5"/>
  <c r="BY25" i="5"/>
  <c r="CA25" i="5"/>
  <c r="BW25" i="5"/>
  <c r="BV25" i="5"/>
  <c r="BT25" i="5"/>
  <c r="BU25" i="5"/>
  <c r="BR25" i="5"/>
  <c r="BS25" i="5"/>
  <c r="BQ25" i="5"/>
  <c r="BM25" i="5"/>
  <c r="BK25" i="5"/>
  <c r="BJ25" i="5"/>
  <c r="BI25" i="5"/>
  <c r="BH25" i="5"/>
  <c r="BF25" i="5"/>
  <c r="BG25" i="5"/>
  <c r="BE25" i="5"/>
  <c r="BD25" i="5"/>
  <c r="BA25" i="5"/>
  <c r="BP25" i="5" s="1"/>
  <c r="AZ25" i="5"/>
  <c r="AY25" i="5"/>
  <c r="AV25" i="5"/>
  <c r="BO25" i="5" s="1"/>
  <c r="AU25" i="5"/>
  <c r="BB25" i="5" s="1"/>
  <c r="CI57" i="5"/>
  <c r="CK57" i="5"/>
  <c r="CE57" i="5"/>
  <c r="CF57" i="5"/>
  <c r="CD57" i="5"/>
  <c r="CC57" i="5"/>
  <c r="CA57" i="5"/>
  <c r="BW57" i="5"/>
  <c r="BY57" i="5"/>
  <c r="BV57" i="5"/>
  <c r="BT57" i="5"/>
  <c r="BU57" i="5"/>
  <c r="BR57" i="5"/>
  <c r="BS57" i="5"/>
  <c r="BQ57" i="5"/>
  <c r="BM57" i="5"/>
  <c r="BK57" i="5"/>
  <c r="BJ57" i="5"/>
  <c r="BI57" i="5"/>
  <c r="BH57" i="5"/>
  <c r="BF57" i="5"/>
  <c r="BG57" i="5"/>
  <c r="BE57" i="5"/>
  <c r="BD57" i="5"/>
  <c r="BA57" i="5"/>
  <c r="BP57" i="5" s="1"/>
  <c r="AZ57" i="5"/>
  <c r="AY57" i="5"/>
  <c r="AV57" i="5"/>
  <c r="BO57" i="5" s="1"/>
  <c r="AU57" i="5"/>
  <c r="BB57" i="5" s="1"/>
  <c r="CK89" i="5"/>
  <c r="CI89" i="5"/>
  <c r="CF89" i="5"/>
  <c r="CD89" i="5"/>
  <c r="CE89" i="5"/>
  <c r="CC89" i="5"/>
  <c r="CA89" i="5"/>
  <c r="BY89" i="5"/>
  <c r="BW89" i="5"/>
  <c r="BV89" i="5"/>
  <c r="BT89" i="5"/>
  <c r="BU89" i="5"/>
  <c r="BR89" i="5"/>
  <c r="BS89" i="5"/>
  <c r="BQ89" i="5"/>
  <c r="BM89" i="5"/>
  <c r="BK89" i="5"/>
  <c r="BJ89" i="5"/>
  <c r="BI89" i="5"/>
  <c r="BH89" i="5"/>
  <c r="BF89" i="5"/>
  <c r="BG89" i="5"/>
  <c r="BE89" i="5"/>
  <c r="BD89" i="5"/>
  <c r="BA89" i="5"/>
  <c r="BP89" i="5" s="1"/>
  <c r="AZ89" i="5"/>
  <c r="AY89" i="5"/>
  <c r="AV89" i="5"/>
  <c r="BO89" i="5" s="1"/>
  <c r="AU89" i="5"/>
  <c r="BB89" i="5" s="1"/>
  <c r="CK121" i="5"/>
  <c r="CJ121" i="5"/>
  <c r="CI121" i="5"/>
  <c r="CH121" i="5"/>
  <c r="CE121" i="5"/>
  <c r="CG121" i="5"/>
  <c r="CF121" i="5"/>
  <c r="CD121" i="5"/>
  <c r="CC121" i="5"/>
  <c r="BX121" i="5"/>
  <c r="BZ121" i="5"/>
  <c r="CA121" i="5"/>
  <c r="BW121" i="5"/>
  <c r="BY121" i="5"/>
  <c r="BV121" i="5"/>
  <c r="BT121" i="5"/>
  <c r="BU121" i="5"/>
  <c r="BR121" i="5"/>
  <c r="BS121" i="5"/>
  <c r="BQ121" i="5"/>
  <c r="BM121" i="5"/>
  <c r="BK121" i="5"/>
  <c r="BL121" i="5"/>
  <c r="BJ121" i="5"/>
  <c r="BI121" i="5"/>
  <c r="BH121" i="5"/>
  <c r="BF121" i="5"/>
  <c r="BG121" i="5"/>
  <c r="BE121" i="5"/>
  <c r="BD121" i="5"/>
  <c r="BA121" i="5"/>
  <c r="BP121" i="5" s="1"/>
  <c r="AZ121" i="5"/>
  <c r="AY121" i="5"/>
  <c r="AV121" i="5"/>
  <c r="BC121" i="5" s="1"/>
  <c r="AU121" i="5"/>
  <c r="BN121" i="5" s="1"/>
  <c r="CK153" i="5"/>
  <c r="CH153" i="5"/>
  <c r="CG153" i="5"/>
  <c r="CJ153" i="5"/>
  <c r="CI153" i="5"/>
  <c r="CD153" i="5"/>
  <c r="CF153" i="5"/>
  <c r="CE153" i="5"/>
  <c r="CC153" i="5"/>
  <c r="BX153" i="5"/>
  <c r="BY153" i="5"/>
  <c r="BZ153" i="5"/>
  <c r="CA153" i="5"/>
  <c r="BW153" i="5"/>
  <c r="BV153" i="5"/>
  <c r="BT153" i="5"/>
  <c r="BU153" i="5"/>
  <c r="BR153" i="5"/>
  <c r="BS153" i="5"/>
  <c r="BQ153" i="5"/>
  <c r="BM153" i="5"/>
  <c r="BK153" i="5"/>
  <c r="BL153" i="5"/>
  <c r="BJ153" i="5"/>
  <c r="BI153" i="5"/>
  <c r="BH153" i="5"/>
  <c r="BF153" i="5"/>
  <c r="BG153" i="5"/>
  <c r="BE153" i="5"/>
  <c r="BD153" i="5"/>
  <c r="BA153" i="5"/>
  <c r="BP153" i="5" s="1"/>
  <c r="AZ153" i="5"/>
  <c r="AY153" i="5"/>
  <c r="AV153" i="5"/>
  <c r="BC153" i="5" s="1"/>
  <c r="AU153" i="5"/>
  <c r="BN153" i="5" s="1"/>
  <c r="CK185" i="5"/>
  <c r="CI185" i="5"/>
  <c r="CE185" i="5"/>
  <c r="CF185" i="5"/>
  <c r="CD185" i="5"/>
  <c r="CC185" i="5"/>
  <c r="CA185" i="5"/>
  <c r="BW185" i="5"/>
  <c r="BY185" i="5"/>
  <c r="BV185" i="5"/>
  <c r="BT185" i="5"/>
  <c r="BU185" i="5"/>
  <c r="BR185" i="5"/>
  <c r="BS185" i="5"/>
  <c r="BQ185" i="5"/>
  <c r="BM185" i="5"/>
  <c r="BK185" i="5"/>
  <c r="BJ185" i="5"/>
  <c r="BI185" i="5"/>
  <c r="BH185" i="5"/>
  <c r="BF185" i="5"/>
  <c r="BG185" i="5"/>
  <c r="BE185" i="5"/>
  <c r="BD185" i="5"/>
  <c r="BA185" i="5"/>
  <c r="BP185" i="5" s="1"/>
  <c r="AZ185" i="5"/>
  <c r="AY185" i="5"/>
  <c r="AV185" i="5"/>
  <c r="BC185" i="5" s="1"/>
  <c r="AU185" i="5"/>
  <c r="BN185" i="5" s="1"/>
  <c r="CK217" i="5"/>
  <c r="CF217" i="5"/>
  <c r="CI217" i="5"/>
  <c r="CD217" i="5"/>
  <c r="CE217" i="5"/>
  <c r="CC217" i="5"/>
  <c r="CA217" i="5"/>
  <c r="BY217" i="5"/>
  <c r="BW217" i="5"/>
  <c r="BV217" i="5"/>
  <c r="BT217" i="5"/>
  <c r="BU217" i="5"/>
  <c r="BR217" i="5"/>
  <c r="BS217" i="5"/>
  <c r="BQ217" i="5"/>
  <c r="BM217" i="5"/>
  <c r="BK217" i="5"/>
  <c r="BJ217" i="5"/>
  <c r="BI217" i="5"/>
  <c r="BH217" i="5"/>
  <c r="BF217" i="5"/>
  <c r="BG217" i="5"/>
  <c r="BE217" i="5"/>
  <c r="BD217" i="5"/>
  <c r="BA217" i="5"/>
  <c r="BP217" i="5" s="1"/>
  <c r="AZ217" i="5"/>
  <c r="AY217" i="5"/>
  <c r="AV217" i="5"/>
  <c r="BC217" i="5" s="1"/>
  <c r="AU217" i="5"/>
  <c r="BN217" i="5" s="1"/>
  <c r="CJ249" i="5"/>
  <c r="CK249" i="5"/>
  <c r="CH249" i="5"/>
  <c r="CI249" i="5"/>
  <c r="CG249" i="5"/>
  <c r="CE249" i="5"/>
  <c r="CF249" i="5"/>
  <c r="CD249" i="5"/>
  <c r="CC249" i="5"/>
  <c r="BZ249" i="5"/>
  <c r="CA249" i="5"/>
  <c r="BW249" i="5"/>
  <c r="BX249" i="5"/>
  <c r="BY249" i="5"/>
  <c r="BV249" i="5"/>
  <c r="BT249" i="5"/>
  <c r="BU249" i="5"/>
  <c r="BR249" i="5"/>
  <c r="BS249" i="5"/>
  <c r="BQ249" i="5"/>
  <c r="BM249" i="5"/>
  <c r="BL249" i="5"/>
  <c r="BK249" i="5"/>
  <c r="BJ249" i="5"/>
  <c r="BI249" i="5"/>
  <c r="BH249" i="5"/>
  <c r="BF249" i="5"/>
  <c r="BG249" i="5"/>
  <c r="BE249" i="5"/>
  <c r="BD249" i="5"/>
  <c r="BA249" i="5"/>
  <c r="BP249" i="5" s="1"/>
  <c r="AZ249" i="5"/>
  <c r="AY249" i="5"/>
  <c r="AV249" i="5"/>
  <c r="BC249" i="5" s="1"/>
  <c r="AU249" i="5"/>
  <c r="BN249" i="5" s="1"/>
  <c r="CK281" i="5"/>
  <c r="CI281" i="5"/>
  <c r="CD281" i="5"/>
  <c r="CF281" i="5"/>
  <c r="CE281" i="5"/>
  <c r="CC281" i="5"/>
  <c r="BY281" i="5"/>
  <c r="CA281" i="5"/>
  <c r="BW281" i="5"/>
  <c r="BV281" i="5"/>
  <c r="BT281" i="5"/>
  <c r="BU281" i="5"/>
  <c r="BR281" i="5"/>
  <c r="BS281" i="5"/>
  <c r="BQ281" i="5"/>
  <c r="BM281" i="5"/>
  <c r="BK281" i="5"/>
  <c r="BJ281" i="5"/>
  <c r="BI281" i="5"/>
  <c r="BH281" i="5"/>
  <c r="BF281" i="5"/>
  <c r="BG281" i="5"/>
  <c r="BE281" i="5"/>
  <c r="BD281" i="5"/>
  <c r="BA281" i="5"/>
  <c r="BP281" i="5" s="1"/>
  <c r="AZ281" i="5"/>
  <c r="AY281" i="5"/>
  <c r="AV281" i="5"/>
  <c r="BO281" i="5" s="1"/>
  <c r="AU281" i="5"/>
  <c r="BN281" i="5" s="1"/>
  <c r="CK313" i="5"/>
  <c r="CG313" i="5"/>
  <c r="CI313" i="5"/>
  <c r="CH313" i="5"/>
  <c r="CJ313" i="5"/>
  <c r="CE313" i="5"/>
  <c r="CF313" i="5"/>
  <c r="CD313" i="5"/>
  <c r="CC313" i="5"/>
  <c r="BX313" i="5"/>
  <c r="CA313" i="5"/>
  <c r="BZ313" i="5"/>
  <c r="BW313" i="5"/>
  <c r="BY313" i="5"/>
  <c r="BV313" i="5"/>
  <c r="BT313" i="5"/>
  <c r="BU313" i="5"/>
  <c r="BR313" i="5"/>
  <c r="BS313" i="5"/>
  <c r="BQ313" i="5"/>
  <c r="BL313" i="5"/>
  <c r="BM313" i="5"/>
  <c r="BK313" i="5"/>
  <c r="BJ313" i="5"/>
  <c r="BI313" i="5"/>
  <c r="BH313" i="5"/>
  <c r="BF313" i="5"/>
  <c r="BG313" i="5"/>
  <c r="BE313" i="5"/>
  <c r="BD313" i="5"/>
  <c r="BA313" i="5"/>
  <c r="BP313" i="5" s="1"/>
  <c r="AZ313" i="5"/>
  <c r="AY313" i="5"/>
  <c r="AV313" i="5"/>
  <c r="AU313" i="5"/>
  <c r="BB313" i="5" s="1"/>
  <c r="CK345" i="5"/>
  <c r="CI345" i="5"/>
  <c r="CF345" i="5"/>
  <c r="CD345" i="5"/>
  <c r="CE345" i="5"/>
  <c r="CC345" i="5"/>
  <c r="CA345" i="5"/>
  <c r="BY345" i="5"/>
  <c r="BW345" i="5"/>
  <c r="BV345" i="5"/>
  <c r="BT345" i="5"/>
  <c r="BU345" i="5"/>
  <c r="BR345" i="5"/>
  <c r="BS345" i="5"/>
  <c r="BQ345" i="5"/>
  <c r="BM345" i="5"/>
  <c r="BK345" i="5"/>
  <c r="BJ345" i="5"/>
  <c r="BI345" i="5"/>
  <c r="BH345" i="5"/>
  <c r="BF345" i="5"/>
  <c r="BG345" i="5"/>
  <c r="BE345" i="5"/>
  <c r="BD345" i="5"/>
  <c r="BA345" i="5"/>
  <c r="BP345" i="5" s="1"/>
  <c r="AZ345" i="5"/>
  <c r="AY345" i="5"/>
  <c r="AV345" i="5"/>
  <c r="BO345" i="5" s="1"/>
  <c r="AU345" i="5"/>
  <c r="CK377" i="5"/>
  <c r="CJ377" i="5"/>
  <c r="CH377" i="5"/>
  <c r="CI377" i="5"/>
  <c r="CG377" i="5"/>
  <c r="CE377" i="5"/>
  <c r="CD377" i="5"/>
  <c r="CF377" i="5"/>
  <c r="CC377" i="5"/>
  <c r="BZ377" i="5"/>
  <c r="CA377" i="5"/>
  <c r="BW377" i="5"/>
  <c r="BY377" i="5"/>
  <c r="BX377" i="5"/>
  <c r="BV377" i="5"/>
  <c r="BT377" i="5"/>
  <c r="BU377" i="5"/>
  <c r="BR377" i="5"/>
  <c r="BS377" i="5"/>
  <c r="BQ377" i="5"/>
  <c r="BL377" i="5"/>
  <c r="BM377" i="5"/>
  <c r="BK377" i="5"/>
  <c r="BJ377" i="5"/>
  <c r="BI377" i="5"/>
  <c r="BH377" i="5"/>
  <c r="BF377" i="5"/>
  <c r="BG377" i="5"/>
  <c r="BE377" i="5"/>
  <c r="BD377" i="5"/>
  <c r="BA377" i="5"/>
  <c r="BP377" i="5" s="1"/>
  <c r="AZ377" i="5"/>
  <c r="AY377" i="5"/>
  <c r="AV377" i="5"/>
  <c r="BO377" i="5" s="1"/>
  <c r="AU377" i="5"/>
  <c r="BN377" i="5" s="1"/>
  <c r="CK409" i="5"/>
  <c r="CI409" i="5"/>
  <c r="CF409" i="5"/>
  <c r="CD409" i="5"/>
  <c r="CE409" i="5"/>
  <c r="CC409" i="5"/>
  <c r="BY409" i="5"/>
  <c r="CA409" i="5"/>
  <c r="BW409" i="5"/>
  <c r="BV409" i="5"/>
  <c r="BT409" i="5"/>
  <c r="BU409" i="5"/>
  <c r="BR409" i="5"/>
  <c r="BS409" i="5"/>
  <c r="BQ409" i="5"/>
  <c r="BM409" i="5"/>
  <c r="BK409" i="5"/>
  <c r="BJ409" i="5"/>
  <c r="BI409" i="5"/>
  <c r="BH409" i="5"/>
  <c r="BF409" i="5"/>
  <c r="BG409" i="5"/>
  <c r="BE409" i="5"/>
  <c r="BD409" i="5"/>
  <c r="BA409" i="5"/>
  <c r="BP409" i="5" s="1"/>
  <c r="AZ409" i="5"/>
  <c r="AY409" i="5"/>
  <c r="AV409" i="5"/>
  <c r="BO409" i="5" s="1"/>
  <c r="AU409" i="5"/>
  <c r="BB409" i="5" s="1"/>
  <c r="CJ441" i="5"/>
  <c r="CK441" i="5"/>
  <c r="CG441" i="5"/>
  <c r="CI441" i="5"/>
  <c r="CH441" i="5"/>
  <c r="CE441" i="5"/>
  <c r="CF441" i="5"/>
  <c r="CD441" i="5"/>
  <c r="CC441" i="5"/>
  <c r="BX441" i="5"/>
  <c r="CA441" i="5"/>
  <c r="BZ441" i="5"/>
  <c r="BW441" i="5"/>
  <c r="BY441" i="5"/>
  <c r="BV441" i="5"/>
  <c r="BT441" i="5"/>
  <c r="BU441" i="5"/>
  <c r="BR441" i="5"/>
  <c r="BS441" i="5"/>
  <c r="BQ441" i="5"/>
  <c r="BM441" i="5"/>
  <c r="BK441" i="5"/>
  <c r="BL441" i="5"/>
  <c r="BJ441" i="5"/>
  <c r="BI441" i="5"/>
  <c r="BH441" i="5"/>
  <c r="BF441" i="5"/>
  <c r="BG441" i="5"/>
  <c r="BE441" i="5"/>
  <c r="BD441" i="5"/>
  <c r="BA441" i="5"/>
  <c r="BP441" i="5" s="1"/>
  <c r="AZ441" i="5"/>
  <c r="AY441" i="5"/>
  <c r="AV441" i="5"/>
  <c r="BO441" i="5" s="1"/>
  <c r="AU441" i="5"/>
  <c r="BB441" i="5" s="1"/>
  <c r="CK473" i="5"/>
  <c r="CF473" i="5"/>
  <c r="CI473" i="5"/>
  <c r="CE473" i="5"/>
  <c r="CD473" i="5"/>
  <c r="CC473" i="5"/>
  <c r="CA473" i="5"/>
  <c r="BY473" i="5"/>
  <c r="BW473" i="5"/>
  <c r="BV473" i="5"/>
  <c r="BT473" i="5"/>
  <c r="BU473" i="5"/>
  <c r="BR473" i="5"/>
  <c r="BS473" i="5"/>
  <c r="BQ473" i="5"/>
  <c r="BM473" i="5"/>
  <c r="BK473" i="5"/>
  <c r="BJ473" i="5"/>
  <c r="BI473" i="5"/>
  <c r="BH473" i="5"/>
  <c r="BF473" i="5"/>
  <c r="BG473" i="5"/>
  <c r="BD473" i="5"/>
  <c r="BE473" i="5"/>
  <c r="BA473" i="5"/>
  <c r="BP473" i="5" s="1"/>
  <c r="AZ473" i="5"/>
  <c r="AY473" i="5"/>
  <c r="AV473" i="5"/>
  <c r="BO473" i="5" s="1"/>
  <c r="AU473" i="5"/>
  <c r="BN473" i="5" s="1"/>
  <c r="CJ505" i="5"/>
  <c r="CK505" i="5"/>
  <c r="CI505" i="5"/>
  <c r="CH505" i="5"/>
  <c r="CG505" i="5"/>
  <c r="CE505" i="5"/>
  <c r="CD505" i="5"/>
  <c r="CF505" i="5"/>
  <c r="CC505" i="5"/>
  <c r="BZ505" i="5"/>
  <c r="BX505" i="5"/>
  <c r="CA505" i="5"/>
  <c r="BW505" i="5"/>
  <c r="BY505" i="5"/>
  <c r="BV505" i="5"/>
  <c r="BT505" i="5"/>
  <c r="BU505" i="5"/>
  <c r="BR505" i="5"/>
  <c r="BS505" i="5"/>
  <c r="BQ505" i="5"/>
  <c r="BM505" i="5"/>
  <c r="BK505" i="5"/>
  <c r="BL505" i="5"/>
  <c r="BJ505" i="5"/>
  <c r="BI505" i="5"/>
  <c r="BF505" i="5"/>
  <c r="BH505" i="5"/>
  <c r="BG505" i="5"/>
  <c r="BD505" i="5"/>
  <c r="BE505" i="5"/>
  <c r="BA505" i="5"/>
  <c r="BP505" i="5" s="1"/>
  <c r="AZ505" i="5"/>
  <c r="AY505" i="5"/>
  <c r="AV505" i="5"/>
  <c r="BO505" i="5" s="1"/>
  <c r="AU505" i="5"/>
  <c r="BB505" i="5" s="1"/>
  <c r="CK537" i="5"/>
  <c r="CI537" i="5"/>
  <c r="CF537" i="5"/>
  <c r="CD537" i="5"/>
  <c r="CE537" i="5"/>
  <c r="CC537" i="5"/>
  <c r="BY537" i="5"/>
  <c r="CA537" i="5"/>
  <c r="BW537" i="5"/>
  <c r="BT537" i="5"/>
  <c r="BV537" i="5"/>
  <c r="BU537" i="5"/>
  <c r="BR537" i="5"/>
  <c r="BS537" i="5"/>
  <c r="BQ537" i="5"/>
  <c r="BM537" i="5"/>
  <c r="BK537" i="5"/>
  <c r="BJ537" i="5"/>
  <c r="BI537" i="5"/>
  <c r="BF537" i="5"/>
  <c r="BH537" i="5"/>
  <c r="BG537" i="5"/>
  <c r="BD537" i="5"/>
  <c r="BE537" i="5"/>
  <c r="BA537" i="5"/>
  <c r="BP537" i="5" s="1"/>
  <c r="AZ537" i="5"/>
  <c r="AY537" i="5"/>
  <c r="AV537" i="5"/>
  <c r="BO537" i="5" s="1"/>
  <c r="AU537" i="5"/>
  <c r="CK569" i="5"/>
  <c r="CI569" i="5"/>
  <c r="CE569" i="5"/>
  <c r="CD569" i="5"/>
  <c r="CF569" i="5"/>
  <c r="CC569" i="5"/>
  <c r="CA569" i="5"/>
  <c r="BW569" i="5"/>
  <c r="BY569" i="5"/>
  <c r="BT569" i="5"/>
  <c r="BU569" i="5"/>
  <c r="BV569" i="5"/>
  <c r="BR569" i="5"/>
  <c r="BS569" i="5"/>
  <c r="BQ569" i="5"/>
  <c r="BM569" i="5"/>
  <c r="BK569" i="5"/>
  <c r="BJ569" i="5"/>
  <c r="BI569" i="5"/>
  <c r="BF569" i="5"/>
  <c r="BH569" i="5"/>
  <c r="BG569" i="5"/>
  <c r="BD569" i="5"/>
  <c r="BE569" i="5"/>
  <c r="BA569" i="5"/>
  <c r="BP569" i="5" s="1"/>
  <c r="AZ569" i="5"/>
  <c r="AY569" i="5"/>
  <c r="AV569" i="5"/>
  <c r="BO569" i="5" s="1"/>
  <c r="AU569" i="5"/>
  <c r="BN569" i="5" s="1"/>
  <c r="CJ601" i="5"/>
  <c r="CK601" i="5"/>
  <c r="CH601" i="5"/>
  <c r="CG601" i="5"/>
  <c r="CI601" i="5"/>
  <c r="CF601" i="5"/>
  <c r="CD601" i="5"/>
  <c r="CE601" i="5"/>
  <c r="CC601" i="5"/>
  <c r="CA601" i="5"/>
  <c r="BW601" i="5"/>
  <c r="BY601" i="5"/>
  <c r="BX601" i="5"/>
  <c r="BZ601" i="5"/>
  <c r="BT601" i="5"/>
  <c r="BV601" i="5"/>
  <c r="BU601" i="5"/>
  <c r="BR601" i="5"/>
  <c r="BS601" i="5"/>
  <c r="BQ601" i="5"/>
  <c r="BM601" i="5"/>
  <c r="BK601" i="5"/>
  <c r="BL601" i="5"/>
  <c r="BJ601" i="5"/>
  <c r="BI601" i="5"/>
  <c r="BF601" i="5"/>
  <c r="BH601" i="5"/>
  <c r="BG601" i="5"/>
  <c r="BD601" i="5"/>
  <c r="BE601" i="5"/>
  <c r="BA601" i="5"/>
  <c r="BP601" i="5" s="1"/>
  <c r="AZ601" i="5"/>
  <c r="AY601" i="5"/>
  <c r="AV601" i="5"/>
  <c r="BC601" i="5" s="1"/>
  <c r="AU601" i="5"/>
  <c r="BB601" i="5" s="1"/>
  <c r="CK633" i="5"/>
  <c r="CH633" i="5"/>
  <c r="CI633" i="5"/>
  <c r="CJ633" i="5"/>
  <c r="CE633" i="5"/>
  <c r="CD633" i="5"/>
  <c r="CG633" i="5"/>
  <c r="CF633" i="5"/>
  <c r="CC633" i="5"/>
  <c r="BX633" i="5"/>
  <c r="BZ633" i="5"/>
  <c r="CA633" i="5"/>
  <c r="BW633" i="5"/>
  <c r="BY633" i="5"/>
  <c r="BU633" i="5"/>
  <c r="BV633" i="5"/>
  <c r="BR633" i="5"/>
  <c r="BT633" i="5"/>
  <c r="BS633" i="5"/>
  <c r="BQ633" i="5"/>
  <c r="BM633" i="5"/>
  <c r="BK633" i="5"/>
  <c r="BL633" i="5"/>
  <c r="BJ633" i="5"/>
  <c r="BI633" i="5"/>
  <c r="BF633" i="5"/>
  <c r="BH633" i="5"/>
  <c r="BG633" i="5"/>
  <c r="BD633" i="5"/>
  <c r="BE633" i="5"/>
  <c r="BA633" i="5"/>
  <c r="BP633" i="5" s="1"/>
  <c r="AZ633" i="5"/>
  <c r="AY633" i="5"/>
  <c r="AV633" i="5"/>
  <c r="BC633" i="5" s="1"/>
  <c r="AU633" i="5"/>
  <c r="BB633" i="5" s="1"/>
  <c r="CK665" i="5"/>
  <c r="CH665" i="5"/>
  <c r="CG665" i="5"/>
  <c r="CI665" i="5"/>
  <c r="CF665" i="5"/>
  <c r="CD665" i="5"/>
  <c r="CJ665" i="5"/>
  <c r="CE665" i="5"/>
  <c r="CC665" i="5"/>
  <c r="BX665" i="5"/>
  <c r="CA665" i="5"/>
  <c r="BW665" i="5"/>
  <c r="BZ665" i="5"/>
  <c r="BY665" i="5"/>
  <c r="BV665" i="5"/>
  <c r="BU665" i="5"/>
  <c r="BR665" i="5"/>
  <c r="BT665" i="5"/>
  <c r="BS665" i="5"/>
  <c r="BQ665" i="5"/>
  <c r="BM665" i="5"/>
  <c r="BK665" i="5"/>
  <c r="BL665" i="5"/>
  <c r="BJ665" i="5"/>
  <c r="BI665" i="5"/>
  <c r="BF665" i="5"/>
  <c r="BH665" i="5"/>
  <c r="BG665" i="5"/>
  <c r="BD665" i="5"/>
  <c r="BE665" i="5"/>
  <c r="BA665" i="5"/>
  <c r="BP665" i="5" s="1"/>
  <c r="AZ665" i="5"/>
  <c r="AY665" i="5"/>
  <c r="AV665" i="5"/>
  <c r="BC665" i="5" s="1"/>
  <c r="AU665" i="5"/>
  <c r="BN665" i="5" s="1"/>
  <c r="CK697" i="5"/>
  <c r="CI697" i="5"/>
  <c r="CJ697" i="5"/>
  <c r="CH697" i="5"/>
  <c r="CE697" i="5"/>
  <c r="CD697" i="5"/>
  <c r="CG697" i="5"/>
  <c r="CF697" i="5"/>
  <c r="CC697" i="5"/>
  <c r="BX697" i="5"/>
  <c r="CA697" i="5"/>
  <c r="BZ697" i="5"/>
  <c r="BW697" i="5"/>
  <c r="BY697" i="5"/>
  <c r="BU697" i="5"/>
  <c r="BV697" i="5"/>
  <c r="BR697" i="5"/>
  <c r="BT697" i="5"/>
  <c r="BS697" i="5"/>
  <c r="BQ697" i="5"/>
  <c r="BM697" i="5"/>
  <c r="BK697" i="5"/>
  <c r="BL697" i="5"/>
  <c r="BJ697" i="5"/>
  <c r="BI697" i="5"/>
  <c r="BF697" i="5"/>
  <c r="BH697" i="5"/>
  <c r="BG697" i="5"/>
  <c r="BD697" i="5"/>
  <c r="BE697" i="5"/>
  <c r="BA697" i="5"/>
  <c r="BP697" i="5" s="1"/>
  <c r="AZ697" i="5"/>
  <c r="AY697" i="5"/>
  <c r="AV697" i="5"/>
  <c r="BC697" i="5" s="1"/>
  <c r="AU697" i="5"/>
  <c r="BN697" i="5" s="1"/>
  <c r="CK729" i="5"/>
  <c r="CG729" i="5"/>
  <c r="CJ729" i="5"/>
  <c r="CF729" i="5"/>
  <c r="CI729" i="5"/>
  <c r="CD729" i="5"/>
  <c r="CH729" i="5"/>
  <c r="CE729" i="5"/>
  <c r="CC729" i="5"/>
  <c r="BX729" i="5"/>
  <c r="CA729" i="5"/>
  <c r="BW729" i="5"/>
  <c r="BZ729" i="5"/>
  <c r="BY729" i="5"/>
  <c r="BV729" i="5"/>
  <c r="BU729" i="5"/>
  <c r="BR729" i="5"/>
  <c r="BT729" i="5"/>
  <c r="BQ729" i="5"/>
  <c r="BS729" i="5"/>
  <c r="BM729" i="5"/>
  <c r="BK729" i="5"/>
  <c r="BL729" i="5"/>
  <c r="BJ729" i="5"/>
  <c r="BI729" i="5"/>
  <c r="BH729" i="5"/>
  <c r="BG729" i="5"/>
  <c r="BD729" i="5"/>
  <c r="BF729" i="5"/>
  <c r="BE729" i="5"/>
  <c r="BA729" i="5"/>
  <c r="BP729" i="5" s="1"/>
  <c r="AZ729" i="5"/>
  <c r="AY729" i="5"/>
  <c r="AV729" i="5"/>
  <c r="BC729" i="5" s="1"/>
  <c r="AU729" i="5"/>
  <c r="BN729" i="5" s="1"/>
  <c r="CK761" i="5"/>
  <c r="CI761" i="5"/>
  <c r="CG761" i="5"/>
  <c r="CJ761" i="5"/>
  <c r="CE761" i="5"/>
  <c r="CH761" i="5"/>
  <c r="CD761" i="5"/>
  <c r="CF761" i="5"/>
  <c r="CC761" i="5"/>
  <c r="BX761" i="5"/>
  <c r="BZ761" i="5"/>
  <c r="CA761" i="5"/>
  <c r="BW761" i="5"/>
  <c r="BY761" i="5"/>
  <c r="BU761" i="5"/>
  <c r="BV761" i="5"/>
  <c r="BR761" i="5"/>
  <c r="BT761" i="5"/>
  <c r="BQ761" i="5"/>
  <c r="BS761" i="5"/>
  <c r="BM761" i="5"/>
  <c r="BK761" i="5"/>
  <c r="BL761" i="5"/>
  <c r="BJ761" i="5"/>
  <c r="BI761" i="5"/>
  <c r="BH761" i="5"/>
  <c r="BG761" i="5"/>
  <c r="BD761" i="5"/>
  <c r="BE761" i="5"/>
  <c r="BF761" i="5"/>
  <c r="BA761" i="5"/>
  <c r="BP761" i="5" s="1"/>
  <c r="AZ761" i="5"/>
  <c r="AY761" i="5"/>
  <c r="AV761" i="5"/>
  <c r="BC761" i="5" s="1"/>
  <c r="AU761" i="5"/>
  <c r="BN761" i="5" s="1"/>
  <c r="CK793" i="5"/>
  <c r="CH793" i="5"/>
  <c r="CJ793" i="5"/>
  <c r="CI793" i="5"/>
  <c r="CG793" i="5"/>
  <c r="CF793" i="5"/>
  <c r="CD793" i="5"/>
  <c r="CE793" i="5"/>
  <c r="CC793" i="5"/>
  <c r="CA793" i="5"/>
  <c r="BW793" i="5"/>
  <c r="BZ793" i="5"/>
  <c r="BY793" i="5"/>
  <c r="BX793" i="5"/>
  <c r="BV793" i="5"/>
  <c r="BU793" i="5"/>
  <c r="BR793" i="5"/>
  <c r="BT793" i="5"/>
  <c r="BQ793" i="5"/>
  <c r="BS793" i="5"/>
  <c r="BL793" i="5"/>
  <c r="BM793" i="5"/>
  <c r="BK793" i="5"/>
  <c r="BJ793" i="5"/>
  <c r="BI793" i="5"/>
  <c r="BH793" i="5"/>
  <c r="BG793" i="5"/>
  <c r="BD793" i="5"/>
  <c r="BF793" i="5"/>
  <c r="BE793" i="5"/>
  <c r="BA793" i="5"/>
  <c r="BP793" i="5" s="1"/>
  <c r="AZ793" i="5"/>
  <c r="AY793" i="5"/>
  <c r="AV793" i="5"/>
  <c r="BC793" i="5" s="1"/>
  <c r="AU793" i="5"/>
  <c r="BB793" i="5" s="1"/>
  <c r="CK825" i="5"/>
  <c r="CI825" i="5"/>
  <c r="CE825" i="5"/>
  <c r="CD825" i="5"/>
  <c r="CF825" i="5"/>
  <c r="CC825" i="5"/>
  <c r="CA825" i="5"/>
  <c r="BW825" i="5"/>
  <c r="BY825" i="5"/>
  <c r="BU825" i="5"/>
  <c r="BV825" i="5"/>
  <c r="BR825" i="5"/>
  <c r="BT825" i="5"/>
  <c r="BQ825" i="5"/>
  <c r="BS825" i="5"/>
  <c r="BM825" i="5"/>
  <c r="BK825" i="5"/>
  <c r="BJ825" i="5"/>
  <c r="BI825" i="5"/>
  <c r="BH825" i="5"/>
  <c r="BG825" i="5"/>
  <c r="BD825" i="5"/>
  <c r="BE825" i="5"/>
  <c r="BF825" i="5"/>
  <c r="BA825" i="5"/>
  <c r="BP825" i="5" s="1"/>
  <c r="AZ825" i="5"/>
  <c r="AY825" i="5"/>
  <c r="AV825" i="5"/>
  <c r="BO825" i="5" s="1"/>
  <c r="AU825" i="5"/>
  <c r="BN825" i="5" s="1"/>
  <c r="CK857" i="5"/>
  <c r="CF857" i="5"/>
  <c r="CI857" i="5"/>
  <c r="CD857" i="5"/>
  <c r="CE857" i="5"/>
  <c r="CC857" i="5"/>
  <c r="CA857" i="5"/>
  <c r="BW857" i="5"/>
  <c r="BY857" i="5"/>
  <c r="BV857" i="5"/>
  <c r="BU857" i="5"/>
  <c r="BR857" i="5"/>
  <c r="BT857" i="5"/>
  <c r="BQ857" i="5"/>
  <c r="BS857" i="5"/>
  <c r="BM857" i="5"/>
  <c r="BK857" i="5"/>
  <c r="BJ857" i="5"/>
  <c r="BI857" i="5"/>
  <c r="BH857" i="5"/>
  <c r="BG857" i="5"/>
  <c r="BD857" i="5"/>
  <c r="BF857" i="5"/>
  <c r="BE857" i="5"/>
  <c r="BA857" i="5"/>
  <c r="BP857" i="5" s="1"/>
  <c r="AZ857" i="5"/>
  <c r="AY857" i="5"/>
  <c r="AV857" i="5"/>
  <c r="BC857" i="5" s="1"/>
  <c r="AU857" i="5"/>
  <c r="BN857" i="5" s="1"/>
  <c r="CK889" i="5"/>
  <c r="CI889" i="5"/>
  <c r="CE889" i="5"/>
  <c r="CD889" i="5"/>
  <c r="CF889" i="5"/>
  <c r="CC889" i="5"/>
  <c r="CA889" i="5"/>
  <c r="BW889" i="5"/>
  <c r="BY889" i="5"/>
  <c r="BU889" i="5"/>
  <c r="BV889" i="5"/>
  <c r="BR889" i="5"/>
  <c r="BT889" i="5"/>
  <c r="BQ889" i="5"/>
  <c r="BS889" i="5"/>
  <c r="BM889" i="5"/>
  <c r="BK889" i="5"/>
  <c r="BJ889" i="5"/>
  <c r="BI889" i="5"/>
  <c r="BH889" i="5"/>
  <c r="BG889" i="5"/>
  <c r="BD889" i="5"/>
  <c r="BE889" i="5"/>
  <c r="BF889" i="5"/>
  <c r="BA889" i="5"/>
  <c r="BP889" i="5" s="1"/>
  <c r="AZ889" i="5"/>
  <c r="AY889" i="5"/>
  <c r="AV889" i="5"/>
  <c r="BO889" i="5" s="1"/>
  <c r="AU889" i="5"/>
  <c r="BN889" i="5" s="1"/>
  <c r="CK921" i="5"/>
  <c r="CH921" i="5"/>
  <c r="CJ921" i="5"/>
  <c r="CI921" i="5"/>
  <c r="CF921" i="5"/>
  <c r="CD921" i="5"/>
  <c r="CG921" i="5"/>
  <c r="CE921" i="5"/>
  <c r="CC921" i="5"/>
  <c r="CA921" i="5"/>
  <c r="BW921" i="5"/>
  <c r="BZ921" i="5"/>
  <c r="BY921" i="5"/>
  <c r="BX921" i="5"/>
  <c r="BU921" i="5"/>
  <c r="BV921" i="5"/>
  <c r="BR921" i="5"/>
  <c r="BT921" i="5"/>
  <c r="BQ921" i="5"/>
  <c r="BS921" i="5"/>
  <c r="BL921" i="5"/>
  <c r="BM921" i="5"/>
  <c r="BK921" i="5"/>
  <c r="BJ921" i="5"/>
  <c r="BI921" i="5"/>
  <c r="BH921" i="5"/>
  <c r="BG921" i="5"/>
  <c r="BD921" i="5"/>
  <c r="BF921" i="5"/>
  <c r="BE921" i="5"/>
  <c r="BA921" i="5"/>
  <c r="BP921" i="5" s="1"/>
  <c r="AZ921" i="5"/>
  <c r="AY921" i="5"/>
  <c r="AV921" i="5"/>
  <c r="BC921" i="5" s="1"/>
  <c r="AU921" i="5"/>
  <c r="BN921" i="5" s="1"/>
  <c r="CK953" i="5"/>
  <c r="CI953" i="5"/>
  <c r="CE953" i="5"/>
  <c r="CD953" i="5"/>
  <c r="CF953" i="5"/>
  <c r="CC953" i="5"/>
  <c r="CA953" i="5"/>
  <c r="BW953" i="5"/>
  <c r="BY953" i="5"/>
  <c r="BU953" i="5"/>
  <c r="BV953" i="5"/>
  <c r="BR953" i="5"/>
  <c r="BT953" i="5"/>
  <c r="BQ953" i="5"/>
  <c r="BS953" i="5"/>
  <c r="BM953" i="5"/>
  <c r="BK953" i="5"/>
  <c r="BJ953" i="5"/>
  <c r="BI953" i="5"/>
  <c r="BH953" i="5"/>
  <c r="BG953" i="5"/>
  <c r="BD953" i="5"/>
  <c r="BE953" i="5"/>
  <c r="BF953" i="5"/>
  <c r="BA953" i="5"/>
  <c r="BP953" i="5" s="1"/>
  <c r="AZ953" i="5"/>
  <c r="AY953" i="5"/>
  <c r="AV953" i="5"/>
  <c r="BO953" i="5" s="1"/>
  <c r="AU953" i="5"/>
  <c r="BN953" i="5" s="1"/>
  <c r="CK985" i="5"/>
  <c r="CF985" i="5"/>
  <c r="CI985" i="5"/>
  <c r="CD985" i="5"/>
  <c r="CE985" i="5"/>
  <c r="CC985" i="5"/>
  <c r="CA985" i="5"/>
  <c r="BW985" i="5"/>
  <c r="BY985" i="5"/>
  <c r="BV985" i="5"/>
  <c r="BU985" i="5"/>
  <c r="BR985" i="5"/>
  <c r="BT985" i="5"/>
  <c r="BQ985" i="5"/>
  <c r="BS985" i="5"/>
  <c r="BM985" i="5"/>
  <c r="BK985" i="5"/>
  <c r="BJ985" i="5"/>
  <c r="BI985" i="5"/>
  <c r="BH985" i="5"/>
  <c r="BG985" i="5"/>
  <c r="BD985" i="5"/>
  <c r="BF985" i="5"/>
  <c r="BE985" i="5"/>
  <c r="BA985" i="5"/>
  <c r="BP985" i="5" s="1"/>
  <c r="AZ985" i="5"/>
  <c r="AY985" i="5"/>
  <c r="AV985" i="5"/>
  <c r="BO985" i="5" s="1"/>
  <c r="AU985" i="5"/>
  <c r="BN985" i="5" s="1"/>
  <c r="CK1017" i="5"/>
  <c r="CI1017" i="5"/>
  <c r="CE1017" i="5"/>
  <c r="CD1017" i="5"/>
  <c r="CF1017" i="5"/>
  <c r="CC1017" i="5"/>
  <c r="CA1017" i="5"/>
  <c r="BW1017" i="5"/>
  <c r="BY1017" i="5"/>
  <c r="BU1017" i="5"/>
  <c r="BV1017" i="5"/>
  <c r="BT1017" i="5"/>
  <c r="BQ1017" i="5"/>
  <c r="BS1017" i="5"/>
  <c r="BR1017" i="5"/>
  <c r="BM1017" i="5"/>
  <c r="BK1017" i="5"/>
  <c r="BJ1017" i="5"/>
  <c r="BI1017" i="5"/>
  <c r="BH1017" i="5"/>
  <c r="BG1017" i="5"/>
  <c r="BD1017" i="5"/>
  <c r="BF1017" i="5"/>
  <c r="BE1017" i="5"/>
  <c r="BA1017" i="5"/>
  <c r="BP1017" i="5" s="1"/>
  <c r="AZ1017" i="5"/>
  <c r="AY1017" i="5"/>
  <c r="AV1017" i="5"/>
  <c r="BO1017" i="5" s="1"/>
  <c r="AU1017" i="5"/>
  <c r="BN1017" i="5" s="1"/>
  <c r="CK1049" i="5"/>
  <c r="CI1049" i="5"/>
  <c r="CF1049" i="5"/>
  <c r="CD1049" i="5"/>
  <c r="CE1049" i="5"/>
  <c r="CC1049" i="5"/>
  <c r="CA1049" i="5"/>
  <c r="BW1049" i="5"/>
  <c r="BY1049" i="5"/>
  <c r="BU1049" i="5"/>
  <c r="BV1049" i="5"/>
  <c r="BT1049" i="5"/>
  <c r="BQ1049" i="5"/>
  <c r="BS1049" i="5"/>
  <c r="BR1049" i="5"/>
  <c r="BM1049" i="5"/>
  <c r="BK1049" i="5"/>
  <c r="BJ1049" i="5"/>
  <c r="BI1049" i="5"/>
  <c r="BH1049" i="5"/>
  <c r="BG1049" i="5"/>
  <c r="BD1049" i="5"/>
  <c r="BF1049" i="5"/>
  <c r="BE1049" i="5"/>
  <c r="BA1049" i="5"/>
  <c r="BP1049" i="5" s="1"/>
  <c r="AZ1049" i="5"/>
  <c r="AY1049" i="5"/>
  <c r="AV1049" i="5"/>
  <c r="BO1049" i="5" s="1"/>
  <c r="AU1049" i="5"/>
  <c r="BN1049" i="5" s="1"/>
  <c r="CK1081" i="5"/>
  <c r="CJ1081" i="5"/>
  <c r="CH1081" i="5"/>
  <c r="CI1081" i="5"/>
  <c r="CE1081" i="5"/>
  <c r="CD1081" i="5"/>
  <c r="CG1081" i="5"/>
  <c r="CF1081" i="5"/>
  <c r="CC1081" i="5"/>
  <c r="CA1081" i="5"/>
  <c r="BZ1081" i="5"/>
  <c r="BX1081" i="5"/>
  <c r="BW1081" i="5"/>
  <c r="BY1081" i="5"/>
  <c r="BU1081" i="5"/>
  <c r="BV1081" i="5"/>
  <c r="BT1081" i="5"/>
  <c r="BQ1081" i="5"/>
  <c r="BR1081" i="5"/>
  <c r="BS1081" i="5"/>
  <c r="BM1081" i="5"/>
  <c r="BK1081" i="5"/>
  <c r="BL1081" i="5"/>
  <c r="BJ1081" i="5"/>
  <c r="BI1081" i="5"/>
  <c r="BH1081" i="5"/>
  <c r="BG1081" i="5"/>
  <c r="BD1081" i="5"/>
  <c r="BF1081" i="5"/>
  <c r="BE1081" i="5"/>
  <c r="BA1081" i="5"/>
  <c r="BP1081" i="5" s="1"/>
  <c r="AZ1081" i="5"/>
  <c r="AY1081" i="5"/>
  <c r="AV1081" i="5"/>
  <c r="BC1081" i="5" s="1"/>
  <c r="AU1081" i="5"/>
  <c r="BN1081" i="5" s="1"/>
  <c r="CK1113" i="5"/>
  <c r="CI1113" i="5"/>
  <c r="CF1113" i="5"/>
  <c r="CD1113" i="5"/>
  <c r="CE1113" i="5"/>
  <c r="CC1113" i="5"/>
  <c r="CA1113" i="5"/>
  <c r="BW1113" i="5"/>
  <c r="BY1113" i="5"/>
  <c r="BV1113" i="5"/>
  <c r="BU1113" i="5"/>
  <c r="BT1113" i="5"/>
  <c r="BQ1113" i="5"/>
  <c r="BR1113" i="5"/>
  <c r="BS1113" i="5"/>
  <c r="BM1113" i="5"/>
  <c r="BK1113" i="5"/>
  <c r="BJ1113" i="5"/>
  <c r="BI1113" i="5"/>
  <c r="BH1113" i="5"/>
  <c r="BG1113" i="5"/>
  <c r="BD1113" i="5"/>
  <c r="BF1113" i="5"/>
  <c r="BE1113" i="5"/>
  <c r="BA1113" i="5"/>
  <c r="BP1113" i="5" s="1"/>
  <c r="AZ1113" i="5"/>
  <c r="AY1113" i="5"/>
  <c r="AV1113" i="5"/>
  <c r="BC1113" i="5" s="1"/>
  <c r="AU1113" i="5"/>
  <c r="CK1145" i="5"/>
  <c r="CI1145" i="5"/>
  <c r="CE1145" i="5"/>
  <c r="CD1145" i="5"/>
  <c r="CF1145" i="5"/>
  <c r="CC1145" i="5"/>
  <c r="CA1145" i="5"/>
  <c r="BW1145" i="5"/>
  <c r="BY1145" i="5"/>
  <c r="BV1145" i="5"/>
  <c r="BU1145" i="5"/>
  <c r="BT1145" i="5"/>
  <c r="BQ1145" i="5"/>
  <c r="BS1145" i="5"/>
  <c r="BR1145" i="5"/>
  <c r="BM1145" i="5"/>
  <c r="BK1145" i="5"/>
  <c r="BJ1145" i="5"/>
  <c r="BI1145" i="5"/>
  <c r="BH1145" i="5"/>
  <c r="BG1145" i="5"/>
  <c r="BD1145" i="5"/>
  <c r="BF1145" i="5"/>
  <c r="BE1145" i="5"/>
  <c r="BA1145" i="5"/>
  <c r="BP1145" i="5" s="1"/>
  <c r="AZ1145" i="5"/>
  <c r="AY1145" i="5"/>
  <c r="AU1145" i="5"/>
  <c r="BN1145" i="5" s="1"/>
  <c r="AV1145" i="5"/>
  <c r="BO1145" i="5" s="1"/>
  <c r="CK1177" i="5"/>
  <c r="CI1177" i="5"/>
  <c r="CF1177" i="5"/>
  <c r="CD1177" i="5"/>
  <c r="CE1177" i="5"/>
  <c r="CC1177" i="5"/>
  <c r="CA1177" i="5"/>
  <c r="BW1177" i="5"/>
  <c r="BY1177" i="5"/>
  <c r="BV1177" i="5"/>
  <c r="BU1177" i="5"/>
  <c r="BT1177" i="5"/>
  <c r="BQ1177" i="5"/>
  <c r="BS1177" i="5"/>
  <c r="BR1177" i="5"/>
  <c r="BM1177" i="5"/>
  <c r="BK1177" i="5"/>
  <c r="BJ1177" i="5"/>
  <c r="BI1177" i="5"/>
  <c r="BH1177" i="5"/>
  <c r="BG1177" i="5"/>
  <c r="BD1177" i="5"/>
  <c r="BF1177" i="5"/>
  <c r="BE1177" i="5"/>
  <c r="BA1177" i="5"/>
  <c r="BP1177" i="5" s="1"/>
  <c r="AZ1177" i="5"/>
  <c r="AY1177" i="5"/>
  <c r="AU1177" i="5"/>
  <c r="BN1177" i="5" s="1"/>
  <c r="AV1177" i="5"/>
  <c r="BC1177" i="5" s="1"/>
  <c r="CK1209" i="5"/>
  <c r="CI1209" i="5"/>
  <c r="CE1209" i="5"/>
  <c r="CD1209" i="5"/>
  <c r="CF1209" i="5"/>
  <c r="CC1209" i="5"/>
  <c r="CA1209" i="5"/>
  <c r="BW1209" i="5"/>
  <c r="BY1209" i="5"/>
  <c r="BV1209" i="5"/>
  <c r="BU1209" i="5"/>
  <c r="BT1209" i="5"/>
  <c r="BQ1209" i="5"/>
  <c r="BR1209" i="5"/>
  <c r="BS1209" i="5"/>
  <c r="BM1209" i="5"/>
  <c r="BK1209" i="5"/>
  <c r="BJ1209" i="5"/>
  <c r="BI1209" i="5"/>
  <c r="BH1209" i="5"/>
  <c r="BG1209" i="5"/>
  <c r="BD1209" i="5"/>
  <c r="BF1209" i="5"/>
  <c r="BE1209" i="5"/>
  <c r="BA1209" i="5"/>
  <c r="BP1209" i="5" s="1"/>
  <c r="AZ1209" i="5"/>
  <c r="AY1209" i="5"/>
  <c r="AU1209" i="5"/>
  <c r="BB1209" i="5" s="1"/>
  <c r="AV1209" i="5"/>
  <c r="BO1209" i="5" s="1"/>
  <c r="CK1241" i="5"/>
  <c r="CI1241" i="5"/>
  <c r="CF1241" i="5"/>
  <c r="CD1241" i="5"/>
  <c r="CE1241" i="5"/>
  <c r="CC1241" i="5"/>
  <c r="CA1241" i="5"/>
  <c r="BW1241" i="5"/>
  <c r="BY1241" i="5"/>
  <c r="BV1241" i="5"/>
  <c r="BU1241" i="5"/>
  <c r="BT1241" i="5"/>
  <c r="BQ1241" i="5"/>
  <c r="BR1241" i="5"/>
  <c r="BS1241" i="5"/>
  <c r="BM1241" i="5"/>
  <c r="BK1241" i="5"/>
  <c r="BJ1241" i="5"/>
  <c r="BI1241" i="5"/>
  <c r="BH1241" i="5"/>
  <c r="BG1241" i="5"/>
  <c r="BD1241" i="5"/>
  <c r="BF1241" i="5"/>
  <c r="BE1241" i="5"/>
  <c r="BA1241" i="5"/>
  <c r="BP1241" i="5" s="1"/>
  <c r="AZ1241" i="5"/>
  <c r="AY1241" i="5"/>
  <c r="AU1241" i="5"/>
  <c r="BB1241" i="5" s="1"/>
  <c r="AV1241" i="5"/>
  <c r="BC1241" i="5" s="1"/>
  <c r="CK1273" i="5"/>
  <c r="CI1273" i="5"/>
  <c r="CE1273" i="5"/>
  <c r="CD1273" i="5"/>
  <c r="CF1273" i="5"/>
  <c r="CC1273" i="5"/>
  <c r="CA1273" i="5"/>
  <c r="BW1273" i="5"/>
  <c r="BY1273" i="5"/>
  <c r="BV1273" i="5"/>
  <c r="BU1273" i="5"/>
  <c r="BT1273" i="5"/>
  <c r="BQ1273" i="5"/>
  <c r="BS1273" i="5"/>
  <c r="BR1273" i="5"/>
  <c r="BM1273" i="5"/>
  <c r="BK1273" i="5"/>
  <c r="BJ1273" i="5"/>
  <c r="BI1273" i="5"/>
  <c r="BH1273" i="5"/>
  <c r="BG1273" i="5"/>
  <c r="BD1273" i="5"/>
  <c r="BF1273" i="5"/>
  <c r="BE1273" i="5"/>
  <c r="BA1273" i="5"/>
  <c r="BP1273" i="5" s="1"/>
  <c r="AZ1273" i="5"/>
  <c r="AY1273" i="5"/>
  <c r="AU1273" i="5"/>
  <c r="BN1273" i="5" s="1"/>
  <c r="AV1273" i="5"/>
  <c r="BO1273" i="5" s="1"/>
  <c r="CJ154" i="5"/>
  <c r="CI154" i="5"/>
  <c r="CG154" i="5"/>
  <c r="CK154" i="5"/>
  <c r="CD154" i="5"/>
  <c r="CH154" i="5"/>
  <c r="CF154" i="5"/>
  <c r="CE154" i="5"/>
  <c r="CC154" i="5"/>
  <c r="BY154" i="5"/>
  <c r="CA154" i="5"/>
  <c r="BZ154" i="5"/>
  <c r="BX154" i="5"/>
  <c r="BU154" i="5"/>
  <c r="BV154" i="5"/>
  <c r="BW154" i="5"/>
  <c r="BS154" i="5"/>
  <c r="BT154" i="5"/>
  <c r="BR154" i="5"/>
  <c r="BQ154" i="5"/>
  <c r="BM154" i="5"/>
  <c r="BK154" i="5"/>
  <c r="BL154" i="5"/>
  <c r="BJ154" i="5"/>
  <c r="BI154" i="5"/>
  <c r="BH154" i="5"/>
  <c r="BF154" i="5"/>
  <c r="BG154" i="5"/>
  <c r="BD154" i="5"/>
  <c r="BE154" i="5"/>
  <c r="BA154" i="5"/>
  <c r="BP154" i="5" s="1"/>
  <c r="AZ154" i="5"/>
  <c r="AY154" i="5"/>
  <c r="AU154" i="5"/>
  <c r="BB154" i="5" s="1"/>
  <c r="AV154" i="5"/>
  <c r="BC154" i="5" s="1"/>
  <c r="CK300" i="5"/>
  <c r="CI300" i="5"/>
  <c r="CF300" i="5"/>
  <c r="CJ300" i="5"/>
  <c r="CH300" i="5"/>
  <c r="CC300" i="5"/>
  <c r="CD300" i="5"/>
  <c r="CG300" i="5"/>
  <c r="CE300" i="5"/>
  <c r="CA300" i="5"/>
  <c r="BZ300" i="5"/>
  <c r="BV300" i="5"/>
  <c r="BY300" i="5"/>
  <c r="BX300" i="5"/>
  <c r="BW300" i="5"/>
  <c r="BU300" i="5"/>
  <c r="BT300" i="5"/>
  <c r="BS300" i="5"/>
  <c r="BQ300" i="5"/>
  <c r="BR300" i="5"/>
  <c r="BM300" i="5"/>
  <c r="BK300" i="5"/>
  <c r="BJ300" i="5"/>
  <c r="BL300" i="5"/>
  <c r="BI300" i="5"/>
  <c r="BH300" i="5"/>
  <c r="BF300" i="5"/>
  <c r="BG300" i="5"/>
  <c r="BE300" i="5"/>
  <c r="BD300" i="5"/>
  <c r="AZ300" i="5"/>
  <c r="BA300" i="5"/>
  <c r="BP300" i="5" s="1"/>
  <c r="AY300" i="5"/>
  <c r="AU300" i="5"/>
  <c r="BN300" i="5" s="1"/>
  <c r="AV300" i="5"/>
  <c r="BO300" i="5" s="1"/>
  <c r="CJ446" i="5"/>
  <c r="CK446" i="5"/>
  <c r="CI446" i="5"/>
  <c r="CH446" i="5"/>
  <c r="CD446" i="5"/>
  <c r="CG446" i="5"/>
  <c r="CF446" i="5"/>
  <c r="CE446" i="5"/>
  <c r="CC446" i="5"/>
  <c r="BY446" i="5"/>
  <c r="BZ446" i="5"/>
  <c r="CA446" i="5"/>
  <c r="BX446" i="5"/>
  <c r="BU446" i="5"/>
  <c r="BV446" i="5"/>
  <c r="BW446" i="5"/>
  <c r="BS446" i="5"/>
  <c r="BT446" i="5"/>
  <c r="BR446" i="5"/>
  <c r="BQ446" i="5"/>
  <c r="BM446" i="5"/>
  <c r="BK446" i="5"/>
  <c r="BL446" i="5"/>
  <c r="BJ446" i="5"/>
  <c r="BI446" i="5"/>
  <c r="BH446" i="5"/>
  <c r="BG446" i="5"/>
  <c r="BF446" i="5"/>
  <c r="BD446" i="5"/>
  <c r="BE446" i="5"/>
  <c r="BA446" i="5"/>
  <c r="BP446" i="5" s="1"/>
  <c r="AV446" i="5"/>
  <c r="AZ446" i="5"/>
  <c r="AY446" i="5"/>
  <c r="AU446" i="5"/>
  <c r="CK519" i="5"/>
  <c r="CE519" i="5"/>
  <c r="CI519" i="5"/>
  <c r="CF519" i="5"/>
  <c r="CD519" i="5"/>
  <c r="CC519" i="5"/>
  <c r="CA519" i="5"/>
  <c r="BY519" i="5"/>
  <c r="BV519" i="5"/>
  <c r="BW519" i="5"/>
  <c r="BU519" i="5"/>
  <c r="BS519" i="5"/>
  <c r="BT519" i="5"/>
  <c r="BQ519" i="5"/>
  <c r="BR519" i="5"/>
  <c r="BK519" i="5"/>
  <c r="BI519" i="5"/>
  <c r="BM519" i="5"/>
  <c r="BJ519" i="5"/>
  <c r="BG519" i="5"/>
  <c r="BE519" i="5"/>
  <c r="BH519" i="5"/>
  <c r="BF519" i="5"/>
  <c r="BD519" i="5"/>
  <c r="BA519" i="5"/>
  <c r="BP519" i="5" s="1"/>
  <c r="AY519" i="5"/>
  <c r="AZ519" i="5"/>
  <c r="AU519" i="5"/>
  <c r="BN519" i="5" s="1"/>
  <c r="AV519" i="5"/>
  <c r="BC519" i="5" s="1"/>
  <c r="CJ666" i="5"/>
  <c r="CI666" i="5"/>
  <c r="CK666" i="5"/>
  <c r="CH666" i="5"/>
  <c r="CF666" i="5"/>
  <c r="CG666" i="5"/>
  <c r="CE666" i="5"/>
  <c r="CD666" i="5"/>
  <c r="CC666" i="5"/>
  <c r="CA666" i="5"/>
  <c r="BZ666" i="5"/>
  <c r="BX666" i="5"/>
  <c r="BU666" i="5"/>
  <c r="BY666" i="5"/>
  <c r="BW666" i="5"/>
  <c r="BV666" i="5"/>
  <c r="BS666" i="5"/>
  <c r="BT666" i="5"/>
  <c r="BR666" i="5"/>
  <c r="BQ666" i="5"/>
  <c r="BM666" i="5"/>
  <c r="BK666" i="5"/>
  <c r="BL666" i="5"/>
  <c r="BJ666" i="5"/>
  <c r="BI666" i="5"/>
  <c r="BF666" i="5"/>
  <c r="BH666" i="5"/>
  <c r="BG666" i="5"/>
  <c r="BD666" i="5"/>
  <c r="BE666" i="5"/>
  <c r="BA666" i="5"/>
  <c r="BP666" i="5" s="1"/>
  <c r="AZ666" i="5"/>
  <c r="AY666" i="5"/>
  <c r="AU666" i="5"/>
  <c r="BN666" i="5" s="1"/>
  <c r="AV666" i="5"/>
  <c r="BC666" i="5" s="1"/>
  <c r="CK812" i="5"/>
  <c r="CI812" i="5"/>
  <c r="CF812" i="5"/>
  <c r="CE812" i="5"/>
  <c r="CC812" i="5"/>
  <c r="CA812" i="5"/>
  <c r="CD812" i="5"/>
  <c r="BY812" i="5"/>
  <c r="BW812" i="5"/>
  <c r="BV812" i="5"/>
  <c r="BU812" i="5"/>
  <c r="BT812" i="5"/>
  <c r="BQ812" i="5"/>
  <c r="BR812" i="5"/>
  <c r="BS812" i="5"/>
  <c r="BM812" i="5"/>
  <c r="BJ812" i="5"/>
  <c r="BK812" i="5"/>
  <c r="BI812" i="5"/>
  <c r="BH812" i="5"/>
  <c r="BF812" i="5"/>
  <c r="BG812" i="5"/>
  <c r="BE812" i="5"/>
  <c r="BD812" i="5"/>
  <c r="AZ812" i="5"/>
  <c r="AY812" i="5"/>
  <c r="BA812" i="5"/>
  <c r="BP812" i="5" s="1"/>
  <c r="AU812" i="5"/>
  <c r="BB812" i="5" s="1"/>
  <c r="AV812" i="5"/>
  <c r="BC812" i="5" s="1"/>
  <c r="CI958" i="5"/>
  <c r="CK958" i="5"/>
  <c r="CF958" i="5"/>
  <c r="CC958" i="5"/>
  <c r="CE958" i="5"/>
  <c r="CD958" i="5"/>
  <c r="CA958" i="5"/>
  <c r="BY958" i="5"/>
  <c r="BU958" i="5"/>
  <c r="BW958" i="5"/>
  <c r="BV958" i="5"/>
  <c r="BS958" i="5"/>
  <c r="BR958" i="5"/>
  <c r="BT958" i="5"/>
  <c r="BQ958" i="5"/>
  <c r="BM958" i="5"/>
  <c r="BJ958" i="5"/>
  <c r="BI958" i="5"/>
  <c r="BK958" i="5"/>
  <c r="BH958" i="5"/>
  <c r="BG958" i="5"/>
  <c r="BE958" i="5"/>
  <c r="BF958" i="5"/>
  <c r="BD958" i="5"/>
  <c r="AV958" i="5"/>
  <c r="BO958" i="5" s="1"/>
  <c r="BA958" i="5"/>
  <c r="BP958" i="5" s="1"/>
  <c r="AZ958" i="5"/>
  <c r="AY958" i="5"/>
  <c r="AU958" i="5"/>
  <c r="BN958" i="5" s="1"/>
  <c r="CJ1178" i="5"/>
  <c r="CI1178" i="5"/>
  <c r="CK1178" i="5"/>
  <c r="CG1178" i="5"/>
  <c r="CH1178" i="5"/>
  <c r="CE1178" i="5"/>
  <c r="CC1178" i="5"/>
  <c r="CF1178" i="5"/>
  <c r="CD1178" i="5"/>
  <c r="CA1178" i="5"/>
  <c r="BZ1178" i="5"/>
  <c r="BX1178" i="5"/>
  <c r="BY1178" i="5"/>
  <c r="BW1178" i="5"/>
  <c r="BV1178" i="5"/>
  <c r="BU1178" i="5"/>
  <c r="BS1178" i="5"/>
  <c r="BT1178" i="5"/>
  <c r="BR1178" i="5"/>
  <c r="BQ1178" i="5"/>
  <c r="BM1178" i="5"/>
  <c r="BL1178" i="5"/>
  <c r="BI1178" i="5"/>
  <c r="BK1178" i="5"/>
  <c r="BJ1178" i="5"/>
  <c r="BH1178" i="5"/>
  <c r="BG1178" i="5"/>
  <c r="BF1178" i="5"/>
  <c r="BE1178" i="5"/>
  <c r="BD1178" i="5"/>
  <c r="BA1178" i="5"/>
  <c r="BP1178" i="5" s="1"/>
  <c r="AZ1178" i="5"/>
  <c r="AY1178" i="5"/>
  <c r="AU1178" i="5"/>
  <c r="BN1178" i="5" s="1"/>
  <c r="AV1178" i="5"/>
  <c r="BO1178" i="5" s="1"/>
  <c r="CK8" i="5"/>
  <c r="CK1341" i="5" s="1"/>
  <c r="CK1342" i="5" s="1"/>
  <c r="CI8" i="5"/>
  <c r="CI1341" i="5" s="1"/>
  <c r="CI1342" i="5" s="1"/>
  <c r="CF8" i="5"/>
  <c r="CF1341" i="5" s="1"/>
  <c r="CF1342" i="5" s="1"/>
  <c r="CE8" i="5"/>
  <c r="CE1341" i="5" s="1"/>
  <c r="CE1342" i="5" s="1"/>
  <c r="CD8" i="5"/>
  <c r="CD1341" i="5" s="1"/>
  <c r="CD1342" i="5" s="1"/>
  <c r="CC8" i="5"/>
  <c r="CC1341" i="5" s="1"/>
  <c r="CC1342" i="5" s="1"/>
  <c r="CA8" i="5"/>
  <c r="CA1341" i="5" s="1"/>
  <c r="CA1342" i="5" s="1"/>
  <c r="BY8" i="5"/>
  <c r="BY1341" i="5" s="1"/>
  <c r="BY1342" i="5" s="1"/>
  <c r="BV8" i="5"/>
  <c r="BV1341" i="5" s="1"/>
  <c r="BV1342" i="5" s="1"/>
  <c r="BW8" i="5"/>
  <c r="BW1341" i="5" s="1"/>
  <c r="BW1342" i="5" s="1"/>
  <c r="BU8" i="5"/>
  <c r="BU1341" i="5" s="1"/>
  <c r="BU1342" i="5" s="1"/>
  <c r="BT8" i="5"/>
  <c r="BT1341" i="5" s="1"/>
  <c r="BT1342" i="5" s="1"/>
  <c r="BS8" i="5"/>
  <c r="BS1341" i="5" s="1"/>
  <c r="BS1342" i="5" s="1"/>
  <c r="BR8" i="5"/>
  <c r="BR1341" i="5" s="1"/>
  <c r="BR1342" i="5" s="1"/>
  <c r="BQ8" i="5"/>
  <c r="BQ1341" i="5" s="1"/>
  <c r="BQ1342" i="5" s="1"/>
  <c r="BK8" i="5"/>
  <c r="BK1341" i="5" s="1"/>
  <c r="BK1342" i="5" s="1"/>
  <c r="BM8" i="5"/>
  <c r="BM1341" i="5" s="1"/>
  <c r="BM1342" i="5" s="1"/>
  <c r="BJ8" i="5"/>
  <c r="BJ1341" i="5" s="1"/>
  <c r="BJ1342" i="5" s="1"/>
  <c r="BH8" i="5"/>
  <c r="BH1341" i="5" s="1"/>
  <c r="BH1342" i="5" s="1"/>
  <c r="BI8" i="5"/>
  <c r="BI1341" i="5" s="1"/>
  <c r="BI1342" i="5" s="1"/>
  <c r="BG8" i="5"/>
  <c r="BG1341" i="5" s="1"/>
  <c r="BG1342" i="5" s="1"/>
  <c r="BF8" i="5"/>
  <c r="BF1341" i="5" s="1"/>
  <c r="BF1342" i="5" s="1"/>
  <c r="BE8" i="5"/>
  <c r="BE1341" i="5" s="1"/>
  <c r="BE1342" i="5" s="1"/>
  <c r="BD8" i="5"/>
  <c r="BD1341" i="5" s="1"/>
  <c r="BD1342" i="5" s="1"/>
  <c r="BA8" i="5"/>
  <c r="AZ8" i="5"/>
  <c r="AZ1341" i="5" s="1"/>
  <c r="AZ1342" i="5" s="1"/>
  <c r="AV8" i="5"/>
  <c r="AY8" i="5"/>
  <c r="AY1341" i="5" s="1"/>
  <c r="AY1342" i="5" s="1"/>
  <c r="AU8" i="5"/>
  <c r="CK82" i="5"/>
  <c r="CI82" i="5"/>
  <c r="CD82" i="5"/>
  <c r="CF82" i="5"/>
  <c r="CE82" i="5"/>
  <c r="CC82" i="5"/>
  <c r="BY82" i="5"/>
  <c r="CA82" i="5"/>
  <c r="BU82" i="5"/>
  <c r="BW82" i="5"/>
  <c r="BV82" i="5"/>
  <c r="BS82" i="5"/>
  <c r="BT82" i="5"/>
  <c r="BR82" i="5"/>
  <c r="BQ82" i="5"/>
  <c r="BM82" i="5"/>
  <c r="BK82" i="5"/>
  <c r="BJ82" i="5"/>
  <c r="BI82" i="5"/>
  <c r="BH82" i="5"/>
  <c r="BF82" i="5"/>
  <c r="BD82" i="5"/>
  <c r="BG82" i="5"/>
  <c r="BE82" i="5"/>
  <c r="BA82" i="5"/>
  <c r="BP82" i="5" s="1"/>
  <c r="AZ82" i="5"/>
  <c r="AY82" i="5"/>
  <c r="AV82" i="5"/>
  <c r="BC82" i="5" s="1"/>
  <c r="AU82" i="5"/>
  <c r="BB82" i="5" s="1"/>
  <c r="CK155" i="5"/>
  <c r="CJ155" i="5"/>
  <c r="CI155" i="5"/>
  <c r="CH155" i="5"/>
  <c r="CE155" i="5"/>
  <c r="CG155" i="5"/>
  <c r="CF155" i="5"/>
  <c r="CC155" i="5"/>
  <c r="CD155" i="5"/>
  <c r="BZ155" i="5"/>
  <c r="CA155" i="5"/>
  <c r="BX155" i="5"/>
  <c r="BW155" i="5"/>
  <c r="BV155" i="5"/>
  <c r="BY155" i="5"/>
  <c r="BU155" i="5"/>
  <c r="BS155" i="5"/>
  <c r="BT155" i="5"/>
  <c r="BR155" i="5"/>
  <c r="BQ155" i="5"/>
  <c r="BK155" i="5"/>
  <c r="BL155" i="5"/>
  <c r="BM155" i="5"/>
  <c r="BI155" i="5"/>
  <c r="BJ155" i="5"/>
  <c r="BG155" i="5"/>
  <c r="BH155" i="5"/>
  <c r="BF155" i="5"/>
  <c r="BE155" i="5"/>
  <c r="BD155" i="5"/>
  <c r="BA155" i="5"/>
  <c r="BP155" i="5" s="1"/>
  <c r="AY155" i="5"/>
  <c r="AU155" i="5"/>
  <c r="BN155" i="5" s="1"/>
  <c r="AZ155" i="5"/>
  <c r="AV155" i="5"/>
  <c r="BC155" i="5" s="1"/>
  <c r="CK228" i="5"/>
  <c r="CI228" i="5"/>
  <c r="CF228" i="5"/>
  <c r="CE228" i="5"/>
  <c r="CC228" i="5"/>
  <c r="CD228" i="5"/>
  <c r="CA228" i="5"/>
  <c r="BV228" i="5"/>
  <c r="BY228" i="5"/>
  <c r="BW228" i="5"/>
  <c r="BU228" i="5"/>
  <c r="BT228" i="5"/>
  <c r="BS228" i="5"/>
  <c r="BR228" i="5"/>
  <c r="BQ228" i="5"/>
  <c r="BM228" i="5"/>
  <c r="BJ228" i="5"/>
  <c r="BK228" i="5"/>
  <c r="BI228" i="5"/>
  <c r="BH228" i="5"/>
  <c r="BG228" i="5"/>
  <c r="BF228" i="5"/>
  <c r="BE228" i="5"/>
  <c r="BD228" i="5"/>
  <c r="AZ228" i="5"/>
  <c r="BA228" i="5"/>
  <c r="BP228" i="5" s="1"/>
  <c r="AY228" i="5"/>
  <c r="AU228" i="5"/>
  <c r="BN228" i="5" s="1"/>
  <c r="AV228" i="5"/>
  <c r="BO228" i="5" s="1"/>
  <c r="CK301" i="5"/>
  <c r="CI301" i="5"/>
  <c r="CF301" i="5"/>
  <c r="CE301" i="5"/>
  <c r="CD301" i="5"/>
  <c r="CC301" i="5"/>
  <c r="CA301" i="5"/>
  <c r="BY301" i="5"/>
  <c r="BW301" i="5"/>
  <c r="BV301" i="5"/>
  <c r="BT301" i="5"/>
  <c r="BR301" i="5"/>
  <c r="BU301" i="5"/>
  <c r="BS301" i="5"/>
  <c r="BQ301" i="5"/>
  <c r="BM301" i="5"/>
  <c r="BK301" i="5"/>
  <c r="BJ301" i="5"/>
  <c r="BI301" i="5"/>
  <c r="BG301" i="5"/>
  <c r="BH301" i="5"/>
  <c r="BF301" i="5"/>
  <c r="BE301" i="5"/>
  <c r="BD301" i="5"/>
  <c r="BA301" i="5"/>
  <c r="BP301" i="5" s="1"/>
  <c r="AZ301" i="5"/>
  <c r="AY301" i="5"/>
  <c r="AU301" i="5"/>
  <c r="BN301" i="5" s="1"/>
  <c r="AV301" i="5"/>
  <c r="CI374" i="5"/>
  <c r="CG374" i="5"/>
  <c r="CJ374" i="5"/>
  <c r="CH374" i="5"/>
  <c r="CD374" i="5"/>
  <c r="CK374" i="5"/>
  <c r="CC374" i="5"/>
  <c r="CF374" i="5"/>
  <c r="CE374" i="5"/>
  <c r="BY374" i="5"/>
  <c r="BZ374" i="5"/>
  <c r="CA374" i="5"/>
  <c r="BX374" i="5"/>
  <c r="BW374" i="5"/>
  <c r="BV374" i="5"/>
  <c r="BU374" i="5"/>
  <c r="BS374" i="5"/>
  <c r="BT374" i="5"/>
  <c r="BQ374" i="5"/>
  <c r="BR374" i="5"/>
  <c r="BM374" i="5"/>
  <c r="BL374" i="5"/>
  <c r="BK374" i="5"/>
  <c r="BJ374" i="5"/>
  <c r="BI374" i="5"/>
  <c r="BF374" i="5"/>
  <c r="BH374" i="5"/>
  <c r="BG374" i="5"/>
  <c r="BD374" i="5"/>
  <c r="BE374" i="5"/>
  <c r="BA374" i="5"/>
  <c r="BP374" i="5" s="1"/>
  <c r="AZ374" i="5"/>
  <c r="AY374" i="5"/>
  <c r="AV374" i="5"/>
  <c r="BC374" i="5" s="1"/>
  <c r="AU374" i="5"/>
  <c r="BB374" i="5" s="1"/>
  <c r="CE447" i="5"/>
  <c r="CK447" i="5"/>
  <c r="CI447" i="5"/>
  <c r="CF447" i="5"/>
  <c r="CD447" i="5"/>
  <c r="CC447" i="5"/>
  <c r="CA447" i="5"/>
  <c r="BY447" i="5"/>
  <c r="BV447" i="5"/>
  <c r="BW447" i="5"/>
  <c r="BU447" i="5"/>
  <c r="BT447" i="5"/>
  <c r="BS447" i="5"/>
  <c r="BQ447" i="5"/>
  <c r="BR447" i="5"/>
  <c r="BK447" i="5"/>
  <c r="BI447" i="5"/>
  <c r="BM447" i="5"/>
  <c r="BH447" i="5"/>
  <c r="BJ447" i="5"/>
  <c r="BG447" i="5"/>
  <c r="BE447" i="5"/>
  <c r="BF447" i="5"/>
  <c r="BD447" i="5"/>
  <c r="BA447" i="5"/>
  <c r="BP447" i="5" s="1"/>
  <c r="AY447" i="5"/>
  <c r="AZ447" i="5"/>
  <c r="AU447" i="5"/>
  <c r="AV447" i="5"/>
  <c r="BO447" i="5" s="1"/>
  <c r="CJ520" i="5"/>
  <c r="CI520" i="5"/>
  <c r="CG520" i="5"/>
  <c r="CF520" i="5"/>
  <c r="CE520" i="5"/>
  <c r="CH520" i="5"/>
  <c r="CC520" i="5"/>
  <c r="CK520" i="5"/>
  <c r="CD520" i="5"/>
  <c r="CA520" i="5"/>
  <c r="BZ520" i="5"/>
  <c r="BY520" i="5"/>
  <c r="BV520" i="5"/>
  <c r="BX520" i="5"/>
  <c r="BW520" i="5"/>
  <c r="BU520" i="5"/>
  <c r="BS520" i="5"/>
  <c r="BR520" i="5"/>
  <c r="BT520" i="5"/>
  <c r="BQ520" i="5"/>
  <c r="BK520" i="5"/>
  <c r="BM520" i="5"/>
  <c r="BL520" i="5"/>
  <c r="BJ520" i="5"/>
  <c r="BH520" i="5"/>
  <c r="BI520" i="5"/>
  <c r="BG520" i="5"/>
  <c r="BF520" i="5"/>
  <c r="BE520" i="5"/>
  <c r="BD520" i="5"/>
  <c r="BA520" i="5"/>
  <c r="BP520" i="5" s="1"/>
  <c r="AZ520" i="5"/>
  <c r="AV520" i="5"/>
  <c r="BC520" i="5" s="1"/>
  <c r="AY520" i="5"/>
  <c r="AU520" i="5"/>
  <c r="CK594" i="5"/>
  <c r="CJ594" i="5"/>
  <c r="CI594" i="5"/>
  <c r="CH594" i="5"/>
  <c r="CF594" i="5"/>
  <c r="CE594" i="5"/>
  <c r="CG594" i="5"/>
  <c r="CD594" i="5"/>
  <c r="CC594" i="5"/>
  <c r="BY594" i="5"/>
  <c r="CA594" i="5"/>
  <c r="BZ594" i="5"/>
  <c r="BU594" i="5"/>
  <c r="BW594" i="5"/>
  <c r="BV594" i="5"/>
  <c r="BX594" i="5"/>
  <c r="BS594" i="5"/>
  <c r="BT594" i="5"/>
  <c r="BR594" i="5"/>
  <c r="BQ594" i="5"/>
  <c r="BM594" i="5"/>
  <c r="BL594" i="5"/>
  <c r="BK594" i="5"/>
  <c r="BJ594" i="5"/>
  <c r="BI594" i="5"/>
  <c r="BF594" i="5"/>
  <c r="BH594" i="5"/>
  <c r="BG594" i="5"/>
  <c r="BE594" i="5"/>
  <c r="BD594" i="5"/>
  <c r="BA594" i="5"/>
  <c r="BP594" i="5" s="1"/>
  <c r="AZ594" i="5"/>
  <c r="AY594" i="5"/>
  <c r="AV594" i="5"/>
  <c r="BC594" i="5" s="1"/>
  <c r="AU594" i="5"/>
  <c r="BN594" i="5" s="1"/>
  <c r="CK667" i="5"/>
  <c r="CJ667" i="5"/>
  <c r="CI667" i="5"/>
  <c r="CG667" i="5"/>
  <c r="CE667" i="5"/>
  <c r="CH667" i="5"/>
  <c r="CF667" i="5"/>
  <c r="CD667" i="5"/>
  <c r="CC667" i="5"/>
  <c r="BZ667" i="5"/>
  <c r="BY667" i="5"/>
  <c r="CA667" i="5"/>
  <c r="BX667" i="5"/>
  <c r="BW667" i="5"/>
  <c r="BV667" i="5"/>
  <c r="BU667" i="5"/>
  <c r="BT667" i="5"/>
  <c r="BS667" i="5"/>
  <c r="BR667" i="5"/>
  <c r="BQ667" i="5"/>
  <c r="BM667" i="5"/>
  <c r="BK667" i="5"/>
  <c r="BL667" i="5"/>
  <c r="BI667" i="5"/>
  <c r="BJ667" i="5"/>
  <c r="BG667" i="5"/>
  <c r="BF667" i="5"/>
  <c r="BH667" i="5"/>
  <c r="BE667" i="5"/>
  <c r="BD667" i="5"/>
  <c r="AY667" i="5"/>
  <c r="AU667" i="5"/>
  <c r="BB667" i="5" s="1"/>
  <c r="BA667" i="5"/>
  <c r="BP667" i="5" s="1"/>
  <c r="AZ667" i="5"/>
  <c r="AV667" i="5"/>
  <c r="BO667" i="5" s="1"/>
  <c r="CK740" i="5"/>
  <c r="CI740" i="5"/>
  <c r="CF740" i="5"/>
  <c r="CJ740" i="5"/>
  <c r="CH740" i="5"/>
  <c r="CE740" i="5"/>
  <c r="CC740" i="5"/>
  <c r="CG740" i="5"/>
  <c r="CA740" i="5"/>
  <c r="CD740" i="5"/>
  <c r="BZ740" i="5"/>
  <c r="BY740" i="5"/>
  <c r="BX740" i="5"/>
  <c r="BW740" i="5"/>
  <c r="BU740" i="5"/>
  <c r="BV740" i="5"/>
  <c r="BT740" i="5"/>
  <c r="BS740" i="5"/>
  <c r="BR740" i="5"/>
  <c r="BQ740" i="5"/>
  <c r="BL740" i="5"/>
  <c r="BM740" i="5"/>
  <c r="BJ740" i="5"/>
  <c r="BK740" i="5"/>
  <c r="BI740" i="5"/>
  <c r="BH740" i="5"/>
  <c r="BG740" i="5"/>
  <c r="BF740" i="5"/>
  <c r="BD740" i="5"/>
  <c r="BE740" i="5"/>
  <c r="AZ740" i="5"/>
  <c r="AY740" i="5"/>
  <c r="BA740" i="5"/>
  <c r="BP740" i="5" s="1"/>
  <c r="AU740" i="5"/>
  <c r="BB740" i="5" s="1"/>
  <c r="AV740" i="5"/>
  <c r="BO740" i="5" s="1"/>
  <c r="CK813" i="5"/>
  <c r="CI813" i="5"/>
  <c r="CF813" i="5"/>
  <c r="CE813" i="5"/>
  <c r="CD813" i="5"/>
  <c r="CC813" i="5"/>
  <c r="CA813" i="5"/>
  <c r="BW813" i="5"/>
  <c r="BY813" i="5"/>
  <c r="BV813" i="5"/>
  <c r="BR813" i="5"/>
  <c r="BU813" i="5"/>
  <c r="BT813" i="5"/>
  <c r="BS813" i="5"/>
  <c r="BQ813" i="5"/>
  <c r="BM813" i="5"/>
  <c r="BK813" i="5"/>
  <c r="BJ813" i="5"/>
  <c r="BI813" i="5"/>
  <c r="BH813" i="5"/>
  <c r="BG813" i="5"/>
  <c r="BE813" i="5"/>
  <c r="BD813" i="5"/>
  <c r="BF813" i="5"/>
  <c r="BA813" i="5"/>
  <c r="BP813" i="5" s="1"/>
  <c r="AZ813" i="5"/>
  <c r="AY813" i="5"/>
  <c r="AU813" i="5"/>
  <c r="BN813" i="5" s="1"/>
  <c r="AV813" i="5"/>
  <c r="CK886" i="5"/>
  <c r="CI886" i="5"/>
  <c r="CC886" i="5"/>
  <c r="CD886" i="5"/>
  <c r="CF886" i="5"/>
  <c r="CE886" i="5"/>
  <c r="CA886" i="5"/>
  <c r="BY886" i="5"/>
  <c r="BW886" i="5"/>
  <c r="BU886" i="5"/>
  <c r="BV886" i="5"/>
  <c r="BS886" i="5"/>
  <c r="BT886" i="5"/>
  <c r="BQ886" i="5"/>
  <c r="BR886" i="5"/>
  <c r="BM886" i="5"/>
  <c r="BK886" i="5"/>
  <c r="BJ886" i="5"/>
  <c r="BI886" i="5"/>
  <c r="BH886" i="5"/>
  <c r="BG886" i="5"/>
  <c r="BE886" i="5"/>
  <c r="BF886" i="5"/>
  <c r="BD886" i="5"/>
  <c r="BA886" i="5"/>
  <c r="BP886" i="5" s="1"/>
  <c r="AZ886" i="5"/>
  <c r="AY886" i="5"/>
  <c r="AV886" i="5"/>
  <c r="BC886" i="5" s="1"/>
  <c r="AU886" i="5"/>
  <c r="BN886" i="5" s="1"/>
  <c r="CK959" i="5"/>
  <c r="CE959" i="5"/>
  <c r="CI959" i="5"/>
  <c r="CF959" i="5"/>
  <c r="CD959" i="5"/>
  <c r="CC959" i="5"/>
  <c r="BY959" i="5"/>
  <c r="CA959" i="5"/>
  <c r="BV959" i="5"/>
  <c r="BW959" i="5"/>
  <c r="BU959" i="5"/>
  <c r="BT959" i="5"/>
  <c r="BS959" i="5"/>
  <c r="BQ959" i="5"/>
  <c r="BR959" i="5"/>
  <c r="BI959" i="5"/>
  <c r="BM959" i="5"/>
  <c r="BJ959" i="5"/>
  <c r="BK959" i="5"/>
  <c r="BG959" i="5"/>
  <c r="BE959" i="5"/>
  <c r="BH959" i="5"/>
  <c r="BF959" i="5"/>
  <c r="BD959" i="5"/>
  <c r="AY959" i="5"/>
  <c r="BA959" i="5"/>
  <c r="BP959" i="5" s="1"/>
  <c r="AZ959" i="5"/>
  <c r="AU959" i="5"/>
  <c r="BN959" i="5" s="1"/>
  <c r="AV959" i="5"/>
  <c r="BO959" i="5" s="1"/>
  <c r="CK1032" i="5"/>
  <c r="CJ1032" i="5"/>
  <c r="CI1032" i="5"/>
  <c r="CG1032" i="5"/>
  <c r="CF1032" i="5"/>
  <c r="CE1032" i="5"/>
  <c r="CH1032" i="5"/>
  <c r="CD1032" i="5"/>
  <c r="CC1032" i="5"/>
  <c r="CA1032" i="5"/>
  <c r="BZ1032" i="5"/>
  <c r="BY1032" i="5"/>
  <c r="BX1032" i="5"/>
  <c r="BW1032" i="5"/>
  <c r="BU1032" i="5"/>
  <c r="BV1032" i="5"/>
  <c r="BT1032" i="5"/>
  <c r="BS1032" i="5"/>
  <c r="BR1032" i="5"/>
  <c r="BQ1032" i="5"/>
  <c r="BL1032" i="5"/>
  <c r="BM1032" i="5"/>
  <c r="BJ1032" i="5"/>
  <c r="BH1032" i="5"/>
  <c r="BK1032" i="5"/>
  <c r="BI1032" i="5"/>
  <c r="BG1032" i="5"/>
  <c r="BF1032" i="5"/>
  <c r="BE1032" i="5"/>
  <c r="BD1032" i="5"/>
  <c r="AZ1032" i="5"/>
  <c r="AV1032" i="5"/>
  <c r="BC1032" i="5" s="1"/>
  <c r="AY1032" i="5"/>
  <c r="BA1032" i="5"/>
  <c r="BP1032" i="5" s="1"/>
  <c r="AU1032" i="5"/>
  <c r="BN1032" i="5" s="1"/>
  <c r="CK1106" i="5"/>
  <c r="CI1106" i="5"/>
  <c r="CF1106" i="5"/>
  <c r="CE1106" i="5"/>
  <c r="CC1106" i="5"/>
  <c r="CD1106" i="5"/>
  <c r="CA1106" i="5"/>
  <c r="BY1106" i="5"/>
  <c r="BU1106" i="5"/>
  <c r="BW1106" i="5"/>
  <c r="BS1106" i="5"/>
  <c r="BV1106" i="5"/>
  <c r="BT1106" i="5"/>
  <c r="BR1106" i="5"/>
  <c r="BQ1106" i="5"/>
  <c r="BM1106" i="5"/>
  <c r="BI1106" i="5"/>
  <c r="BK1106" i="5"/>
  <c r="BJ1106" i="5"/>
  <c r="BH1106" i="5"/>
  <c r="BG1106" i="5"/>
  <c r="BF1106" i="5"/>
  <c r="BE1106" i="5"/>
  <c r="BD1106" i="5"/>
  <c r="BA1106" i="5"/>
  <c r="BP1106" i="5" s="1"/>
  <c r="AZ1106" i="5"/>
  <c r="AY1106" i="5"/>
  <c r="AV1106" i="5"/>
  <c r="BO1106" i="5" s="1"/>
  <c r="AU1106" i="5"/>
  <c r="BN1106" i="5" s="1"/>
  <c r="CK1179" i="5"/>
  <c r="CI1179" i="5"/>
  <c r="CE1179" i="5"/>
  <c r="CD1179" i="5"/>
  <c r="CF1179" i="5"/>
  <c r="CC1179" i="5"/>
  <c r="BY1179" i="5"/>
  <c r="CA1179" i="5"/>
  <c r="BW1179" i="5"/>
  <c r="BV1179" i="5"/>
  <c r="BU1179" i="5"/>
  <c r="BT1179" i="5"/>
  <c r="BS1179" i="5"/>
  <c r="BR1179" i="5"/>
  <c r="BQ1179" i="5"/>
  <c r="BM1179" i="5"/>
  <c r="BI1179" i="5"/>
  <c r="BK1179" i="5"/>
  <c r="BJ1179" i="5"/>
  <c r="BG1179" i="5"/>
  <c r="BH1179" i="5"/>
  <c r="BE1179" i="5"/>
  <c r="BF1179" i="5"/>
  <c r="BD1179" i="5"/>
  <c r="AY1179" i="5"/>
  <c r="AU1179" i="5"/>
  <c r="BB1179" i="5" s="1"/>
  <c r="BA1179" i="5"/>
  <c r="BP1179" i="5" s="1"/>
  <c r="AZ1179" i="5"/>
  <c r="AV1179" i="5"/>
  <c r="BC1179" i="5" s="1"/>
  <c r="CK1252" i="5"/>
  <c r="CI1252" i="5"/>
  <c r="CF1252" i="5"/>
  <c r="CE1252" i="5"/>
  <c r="CC1252" i="5"/>
  <c r="CA1252" i="5"/>
  <c r="CD1252" i="5"/>
  <c r="BY1252" i="5"/>
  <c r="BW1252" i="5"/>
  <c r="BV1252" i="5"/>
  <c r="BU1252" i="5"/>
  <c r="BT1252" i="5"/>
  <c r="BR1252" i="5"/>
  <c r="BQ1252" i="5"/>
  <c r="BS1252" i="5"/>
  <c r="BM1252" i="5"/>
  <c r="BJ1252" i="5"/>
  <c r="BK1252" i="5"/>
  <c r="BI1252" i="5"/>
  <c r="BH1252" i="5"/>
  <c r="BG1252" i="5"/>
  <c r="BF1252" i="5"/>
  <c r="BD1252" i="5"/>
  <c r="BE1252" i="5"/>
  <c r="AZ1252" i="5"/>
  <c r="AY1252" i="5"/>
  <c r="BA1252" i="5"/>
  <c r="BP1252" i="5" s="1"/>
  <c r="AU1252" i="5"/>
  <c r="BB1252" i="5" s="1"/>
  <c r="AV1252" i="5"/>
  <c r="BO1252" i="5" s="1"/>
  <c r="CK1322" i="5"/>
  <c r="CI1322" i="5"/>
  <c r="CE1322" i="5"/>
  <c r="CC1322" i="5"/>
  <c r="CD1322" i="5"/>
  <c r="CF1322" i="5"/>
  <c r="CA1322" i="5"/>
  <c r="BW1322" i="5"/>
  <c r="BU1322" i="5"/>
  <c r="BY1322" i="5"/>
  <c r="BV1322" i="5"/>
  <c r="BS1322" i="5"/>
  <c r="BT1322" i="5"/>
  <c r="BR1322" i="5"/>
  <c r="BQ1322" i="5"/>
  <c r="BM1322" i="5"/>
  <c r="BI1322" i="5"/>
  <c r="BK1322" i="5"/>
  <c r="BJ1322" i="5"/>
  <c r="BH1322" i="5"/>
  <c r="BG1322" i="5"/>
  <c r="BF1322" i="5"/>
  <c r="BE1322" i="5"/>
  <c r="BD1322" i="5"/>
  <c r="BA1322" i="5"/>
  <c r="BP1322" i="5" s="1"/>
  <c r="AZ1322" i="5"/>
  <c r="AY1322" i="5"/>
  <c r="AU1322" i="5"/>
  <c r="BN1322" i="5" s="1"/>
  <c r="AV1322" i="5"/>
  <c r="BO1322" i="5" s="1"/>
  <c r="CI86" i="5"/>
  <c r="CD86" i="5"/>
  <c r="CK86" i="5"/>
  <c r="CF86" i="5"/>
  <c r="CC86" i="5"/>
  <c r="CE86" i="5"/>
  <c r="BY86" i="5"/>
  <c r="CA86" i="5"/>
  <c r="BW86" i="5"/>
  <c r="BV86" i="5"/>
  <c r="BU86" i="5"/>
  <c r="BS86" i="5"/>
  <c r="BT86" i="5"/>
  <c r="BQ86" i="5"/>
  <c r="BR86" i="5"/>
  <c r="BM86" i="5"/>
  <c r="BK86" i="5"/>
  <c r="BH86" i="5"/>
  <c r="BJ86" i="5"/>
  <c r="BI86" i="5"/>
  <c r="BF86" i="5"/>
  <c r="BG86" i="5"/>
  <c r="BD86" i="5"/>
  <c r="BE86" i="5"/>
  <c r="BA86" i="5"/>
  <c r="BP86" i="5" s="1"/>
  <c r="AZ86" i="5"/>
  <c r="AY86" i="5"/>
  <c r="AV86" i="5"/>
  <c r="BC86" i="5" s="1"/>
  <c r="AU86" i="5"/>
  <c r="BN86" i="5" s="1"/>
  <c r="CF232" i="5"/>
  <c r="CK232" i="5"/>
  <c r="CI232" i="5"/>
  <c r="CE232" i="5"/>
  <c r="CD232" i="5"/>
  <c r="CC232" i="5"/>
  <c r="CA232" i="5"/>
  <c r="BY232" i="5"/>
  <c r="BV232" i="5"/>
  <c r="BW232" i="5"/>
  <c r="BU232" i="5"/>
  <c r="BT232" i="5"/>
  <c r="BS232" i="5"/>
  <c r="BR232" i="5"/>
  <c r="BQ232" i="5"/>
  <c r="BK232" i="5"/>
  <c r="BM232" i="5"/>
  <c r="BJ232" i="5"/>
  <c r="BH232" i="5"/>
  <c r="BI232" i="5"/>
  <c r="BG232" i="5"/>
  <c r="BF232" i="5"/>
  <c r="BE232" i="5"/>
  <c r="BD232" i="5"/>
  <c r="BA232" i="5"/>
  <c r="BP232" i="5" s="1"/>
  <c r="AZ232" i="5"/>
  <c r="AV232" i="5"/>
  <c r="BC232" i="5" s="1"/>
  <c r="AY232" i="5"/>
  <c r="AU232" i="5"/>
  <c r="BN232" i="5" s="1"/>
  <c r="CK379" i="5"/>
  <c r="CI379" i="5"/>
  <c r="CE379" i="5"/>
  <c r="CF379" i="5"/>
  <c r="CC379" i="5"/>
  <c r="CD379" i="5"/>
  <c r="CA379" i="5"/>
  <c r="BW379" i="5"/>
  <c r="BV379" i="5"/>
  <c r="BY379" i="5"/>
  <c r="BU379" i="5"/>
  <c r="BS379" i="5"/>
  <c r="BT379" i="5"/>
  <c r="BR379" i="5"/>
  <c r="BQ379" i="5"/>
  <c r="BK379" i="5"/>
  <c r="BM379" i="5"/>
  <c r="BI379" i="5"/>
  <c r="BJ379" i="5"/>
  <c r="BG379" i="5"/>
  <c r="BH379" i="5"/>
  <c r="BF379" i="5"/>
  <c r="BE379" i="5"/>
  <c r="BD379" i="5"/>
  <c r="BA379" i="5"/>
  <c r="BP379" i="5" s="1"/>
  <c r="AY379" i="5"/>
  <c r="AU379" i="5"/>
  <c r="BB379" i="5" s="1"/>
  <c r="AZ379" i="5"/>
  <c r="AV379" i="5"/>
  <c r="BC379" i="5" s="1"/>
  <c r="CI525" i="5"/>
  <c r="CF525" i="5"/>
  <c r="CE525" i="5"/>
  <c r="CK525" i="5"/>
  <c r="CD525" i="5"/>
  <c r="CC525" i="5"/>
  <c r="CA525" i="5"/>
  <c r="BY525" i="5"/>
  <c r="BW525" i="5"/>
  <c r="BV525" i="5"/>
  <c r="BT525" i="5"/>
  <c r="BR525" i="5"/>
  <c r="BU525" i="5"/>
  <c r="BS525" i="5"/>
  <c r="BQ525" i="5"/>
  <c r="BM525" i="5"/>
  <c r="BK525" i="5"/>
  <c r="BJ525" i="5"/>
  <c r="BI525" i="5"/>
  <c r="BH525" i="5"/>
  <c r="BG525" i="5"/>
  <c r="BF525" i="5"/>
  <c r="BE525" i="5"/>
  <c r="BD525" i="5"/>
  <c r="BA525" i="5"/>
  <c r="BP525" i="5" s="1"/>
  <c r="AZ525" i="5"/>
  <c r="AY525" i="5"/>
  <c r="AV525" i="5"/>
  <c r="BO525" i="5" s="1"/>
  <c r="AU525" i="5"/>
  <c r="BN525" i="5" s="1"/>
  <c r="CG671" i="5"/>
  <c r="CH671" i="5"/>
  <c r="CJ671" i="5"/>
  <c r="CE671" i="5"/>
  <c r="CI671" i="5"/>
  <c r="CK671" i="5"/>
  <c r="CF671" i="5"/>
  <c r="CD671" i="5"/>
  <c r="CC671" i="5"/>
  <c r="BZ671" i="5"/>
  <c r="BY671" i="5"/>
  <c r="CA671" i="5"/>
  <c r="BV671" i="5"/>
  <c r="BX671" i="5"/>
  <c r="BW671" i="5"/>
  <c r="BT671" i="5"/>
  <c r="BU671" i="5"/>
  <c r="BS671" i="5"/>
  <c r="BQ671" i="5"/>
  <c r="BR671" i="5"/>
  <c r="BL671" i="5"/>
  <c r="BI671" i="5"/>
  <c r="BM671" i="5"/>
  <c r="BJ671" i="5"/>
  <c r="BK671" i="5"/>
  <c r="BG671" i="5"/>
  <c r="BE671" i="5"/>
  <c r="BH671" i="5"/>
  <c r="BF671" i="5"/>
  <c r="BD671" i="5"/>
  <c r="AY671" i="5"/>
  <c r="BA671" i="5"/>
  <c r="BP671" i="5" s="1"/>
  <c r="AZ671" i="5"/>
  <c r="AV671" i="5"/>
  <c r="BO671" i="5" s="1"/>
  <c r="AU671" i="5"/>
  <c r="BN671" i="5" s="1"/>
  <c r="CK818" i="5"/>
  <c r="CI818" i="5"/>
  <c r="CJ818" i="5"/>
  <c r="CF818" i="5"/>
  <c r="CE818" i="5"/>
  <c r="CG818" i="5"/>
  <c r="CH818" i="5"/>
  <c r="CC818" i="5"/>
  <c r="CD818" i="5"/>
  <c r="CA818" i="5"/>
  <c r="BZ818" i="5"/>
  <c r="BX818" i="5"/>
  <c r="BY818" i="5"/>
  <c r="BU818" i="5"/>
  <c r="BV818" i="5"/>
  <c r="BW818" i="5"/>
  <c r="BS818" i="5"/>
  <c r="BT818" i="5"/>
  <c r="BQ818" i="5"/>
  <c r="BR818" i="5"/>
  <c r="BM818" i="5"/>
  <c r="BL818" i="5"/>
  <c r="BK818" i="5"/>
  <c r="BJ818" i="5"/>
  <c r="BI818" i="5"/>
  <c r="BF818" i="5"/>
  <c r="BH818" i="5"/>
  <c r="BG818" i="5"/>
  <c r="BE818" i="5"/>
  <c r="BD818" i="5"/>
  <c r="BA818" i="5"/>
  <c r="BP818" i="5" s="1"/>
  <c r="AZ818" i="5"/>
  <c r="AY818" i="5"/>
  <c r="AU818" i="5"/>
  <c r="BN818" i="5" s="1"/>
  <c r="AV818" i="5"/>
  <c r="BC818" i="5" s="1"/>
  <c r="CK1037" i="5"/>
  <c r="CF1037" i="5"/>
  <c r="CE1037" i="5"/>
  <c r="CI1037" i="5"/>
  <c r="CD1037" i="5"/>
  <c r="CC1037" i="5"/>
  <c r="CA1037" i="5"/>
  <c r="BW1037" i="5"/>
  <c r="BY1037" i="5"/>
  <c r="BU1037" i="5"/>
  <c r="BV1037" i="5"/>
  <c r="BT1037" i="5"/>
  <c r="BS1037" i="5"/>
  <c r="BQ1037" i="5"/>
  <c r="BR1037" i="5"/>
  <c r="BM1037" i="5"/>
  <c r="BK1037" i="5"/>
  <c r="BJ1037" i="5"/>
  <c r="BI1037" i="5"/>
  <c r="BH1037" i="5"/>
  <c r="BG1037" i="5"/>
  <c r="BF1037" i="5"/>
  <c r="BE1037" i="5"/>
  <c r="BD1037" i="5"/>
  <c r="BA1037" i="5"/>
  <c r="BP1037" i="5" s="1"/>
  <c r="AZ1037" i="5"/>
  <c r="AY1037" i="5"/>
  <c r="AV1037" i="5"/>
  <c r="BO1037" i="5" s="1"/>
  <c r="AU1037" i="5"/>
  <c r="BN1037" i="5" s="1"/>
  <c r="BX35" i="5"/>
  <c r="CK80" i="5"/>
  <c r="CI80" i="5"/>
  <c r="CF80" i="5"/>
  <c r="CC80" i="5"/>
  <c r="CE80" i="5"/>
  <c r="CD80" i="5"/>
  <c r="CA80" i="5"/>
  <c r="BV80" i="5"/>
  <c r="BW80" i="5"/>
  <c r="BY80" i="5"/>
  <c r="BU80" i="5"/>
  <c r="BT80" i="5"/>
  <c r="BS80" i="5"/>
  <c r="BR80" i="5"/>
  <c r="BQ80" i="5"/>
  <c r="BM80" i="5"/>
  <c r="BK80" i="5"/>
  <c r="BJ80" i="5"/>
  <c r="BI80" i="5"/>
  <c r="BH80" i="5"/>
  <c r="BG80" i="5"/>
  <c r="BF80" i="5"/>
  <c r="BE80" i="5"/>
  <c r="BD80" i="5"/>
  <c r="BA80" i="5"/>
  <c r="BP80" i="5" s="1"/>
  <c r="AZ80" i="5"/>
  <c r="AV80" i="5"/>
  <c r="BO80" i="5" s="1"/>
  <c r="AY80" i="5"/>
  <c r="AU80" i="5"/>
  <c r="BN80" i="5" s="1"/>
  <c r="CK227" i="5"/>
  <c r="CE227" i="5"/>
  <c r="CD227" i="5"/>
  <c r="CI227" i="5"/>
  <c r="CF227" i="5"/>
  <c r="CC227" i="5"/>
  <c r="BY227" i="5"/>
  <c r="CA227" i="5"/>
  <c r="BV227" i="5"/>
  <c r="BW227" i="5"/>
  <c r="BU227" i="5"/>
  <c r="BT227" i="5"/>
  <c r="BS227" i="5"/>
  <c r="BR227" i="5"/>
  <c r="BQ227" i="5"/>
  <c r="BK227" i="5"/>
  <c r="BM227" i="5"/>
  <c r="BI227" i="5"/>
  <c r="BJ227" i="5"/>
  <c r="BG227" i="5"/>
  <c r="BH227" i="5"/>
  <c r="BF227" i="5"/>
  <c r="BE227" i="5"/>
  <c r="BD227" i="5"/>
  <c r="BA227" i="5"/>
  <c r="BP227" i="5" s="1"/>
  <c r="AY227" i="5"/>
  <c r="AZ227" i="5"/>
  <c r="AU227" i="5"/>
  <c r="BN227" i="5" s="1"/>
  <c r="AV227" i="5"/>
  <c r="CJ373" i="5"/>
  <c r="CK373" i="5"/>
  <c r="CI373" i="5"/>
  <c r="CH373" i="5"/>
  <c r="CF373" i="5"/>
  <c r="CD373" i="5"/>
  <c r="CG373" i="5"/>
  <c r="CE373" i="5"/>
  <c r="CC373" i="5"/>
  <c r="CA373" i="5"/>
  <c r="BW373" i="5"/>
  <c r="BY373" i="5"/>
  <c r="BX373" i="5"/>
  <c r="BZ373" i="5"/>
  <c r="BV373" i="5"/>
  <c r="BT373" i="5"/>
  <c r="BU373" i="5"/>
  <c r="BR373" i="5"/>
  <c r="BS373" i="5"/>
  <c r="BQ373" i="5"/>
  <c r="BM373" i="5"/>
  <c r="BL373" i="5"/>
  <c r="BK373" i="5"/>
  <c r="BJ373" i="5"/>
  <c r="BI373" i="5"/>
  <c r="BF373" i="5"/>
  <c r="BH373" i="5"/>
  <c r="BG373" i="5"/>
  <c r="BE373" i="5"/>
  <c r="BD373" i="5"/>
  <c r="BA373" i="5"/>
  <c r="BP373" i="5" s="1"/>
  <c r="AZ373" i="5"/>
  <c r="AY373" i="5"/>
  <c r="AU373" i="5"/>
  <c r="BB373" i="5" s="1"/>
  <c r="AV373" i="5"/>
  <c r="BO373" i="5" s="1"/>
  <c r="CJ592" i="5"/>
  <c r="CK592" i="5"/>
  <c r="CI592" i="5"/>
  <c r="CG592" i="5"/>
  <c r="CF592" i="5"/>
  <c r="CC592" i="5"/>
  <c r="CH592" i="5"/>
  <c r="CE592" i="5"/>
  <c r="CD592" i="5"/>
  <c r="CA592" i="5"/>
  <c r="BX592" i="5"/>
  <c r="BZ592" i="5"/>
  <c r="BW592" i="5"/>
  <c r="BY592" i="5"/>
  <c r="BV592" i="5"/>
  <c r="BU592" i="5"/>
  <c r="BS592" i="5"/>
  <c r="BT592" i="5"/>
  <c r="BR592" i="5"/>
  <c r="BQ592" i="5"/>
  <c r="BK592" i="5"/>
  <c r="BM592" i="5"/>
  <c r="BL592" i="5"/>
  <c r="BJ592" i="5"/>
  <c r="BI592" i="5"/>
  <c r="BH592" i="5"/>
  <c r="BG592" i="5"/>
  <c r="BF592" i="5"/>
  <c r="BE592" i="5"/>
  <c r="BD592" i="5"/>
  <c r="AZ592" i="5"/>
  <c r="AV592" i="5"/>
  <c r="AY592" i="5"/>
  <c r="BA592" i="5"/>
  <c r="BP592" i="5" s="1"/>
  <c r="AU592" i="5"/>
  <c r="BB592" i="5" s="1"/>
  <c r="CK739" i="5"/>
  <c r="CJ739" i="5"/>
  <c r="CH739" i="5"/>
  <c r="CE739" i="5"/>
  <c r="CI739" i="5"/>
  <c r="CG739" i="5"/>
  <c r="CF739" i="5"/>
  <c r="CD739" i="5"/>
  <c r="CC739" i="5"/>
  <c r="BZ739" i="5"/>
  <c r="BY739" i="5"/>
  <c r="CA739" i="5"/>
  <c r="BX739" i="5"/>
  <c r="BV739" i="5"/>
  <c r="BW739" i="5"/>
  <c r="BU739" i="5"/>
  <c r="BT739" i="5"/>
  <c r="BS739" i="5"/>
  <c r="BR739" i="5"/>
  <c r="BQ739" i="5"/>
  <c r="BM739" i="5"/>
  <c r="BL739" i="5"/>
  <c r="BI739" i="5"/>
  <c r="BK739" i="5"/>
  <c r="BJ739" i="5"/>
  <c r="BG739" i="5"/>
  <c r="BH739" i="5"/>
  <c r="BE739" i="5"/>
  <c r="BF739" i="5"/>
  <c r="BD739" i="5"/>
  <c r="AY739" i="5"/>
  <c r="BA739" i="5"/>
  <c r="BP739" i="5" s="1"/>
  <c r="AZ739" i="5"/>
  <c r="AU739" i="5"/>
  <c r="BN739" i="5" s="1"/>
  <c r="AV739" i="5"/>
  <c r="BO739" i="5" s="1"/>
  <c r="CI885" i="5"/>
  <c r="CK885" i="5"/>
  <c r="CF885" i="5"/>
  <c r="CD885" i="5"/>
  <c r="CE885" i="5"/>
  <c r="CC885" i="5"/>
  <c r="CA885" i="5"/>
  <c r="BW885" i="5"/>
  <c r="BY885" i="5"/>
  <c r="BV885" i="5"/>
  <c r="BU885" i="5"/>
  <c r="BR885" i="5"/>
  <c r="BT885" i="5"/>
  <c r="BQ885" i="5"/>
  <c r="BS885" i="5"/>
  <c r="BM885" i="5"/>
  <c r="BK885" i="5"/>
  <c r="BJ885" i="5"/>
  <c r="BI885" i="5"/>
  <c r="BH885" i="5"/>
  <c r="BG885" i="5"/>
  <c r="BE885" i="5"/>
  <c r="BF885" i="5"/>
  <c r="BD885" i="5"/>
  <c r="BA885" i="5"/>
  <c r="BP885" i="5" s="1"/>
  <c r="AZ885" i="5"/>
  <c r="AY885" i="5"/>
  <c r="AU885" i="5"/>
  <c r="BB885" i="5" s="1"/>
  <c r="AV885" i="5"/>
  <c r="BC885" i="5" s="1"/>
  <c r="CE1031" i="5"/>
  <c r="CI1031" i="5"/>
  <c r="CF1031" i="5"/>
  <c r="CK1031" i="5"/>
  <c r="CC1031" i="5"/>
  <c r="CD1031" i="5"/>
  <c r="CA1031" i="5"/>
  <c r="BY1031" i="5"/>
  <c r="BV1031" i="5"/>
  <c r="BW1031" i="5"/>
  <c r="BU1031" i="5"/>
  <c r="BT1031" i="5"/>
  <c r="BS1031" i="5"/>
  <c r="BR1031" i="5"/>
  <c r="BQ1031" i="5"/>
  <c r="BM1031" i="5"/>
  <c r="BK1031" i="5"/>
  <c r="BJ1031" i="5"/>
  <c r="BI1031" i="5"/>
  <c r="BG1031" i="5"/>
  <c r="BE1031" i="5"/>
  <c r="BH1031" i="5"/>
  <c r="BF1031" i="5"/>
  <c r="BD1031" i="5"/>
  <c r="AY1031" i="5"/>
  <c r="BA1031" i="5"/>
  <c r="BP1031" i="5" s="1"/>
  <c r="AZ1031" i="5"/>
  <c r="AU1031" i="5"/>
  <c r="BN1031" i="5" s="1"/>
  <c r="AV1031" i="5"/>
  <c r="BO1031" i="5" s="1"/>
  <c r="CI1104" i="5"/>
  <c r="CF1104" i="5"/>
  <c r="CK1104" i="5"/>
  <c r="CE1104" i="5"/>
  <c r="CD1104" i="5"/>
  <c r="CA1104" i="5"/>
  <c r="CC1104" i="5"/>
  <c r="BW1104" i="5"/>
  <c r="BY1104" i="5"/>
  <c r="BV1104" i="5"/>
  <c r="BU1104" i="5"/>
  <c r="BT1104" i="5"/>
  <c r="BS1104" i="5"/>
  <c r="BR1104" i="5"/>
  <c r="BQ1104" i="5"/>
  <c r="BM1104" i="5"/>
  <c r="BJ1104" i="5"/>
  <c r="BK1104" i="5"/>
  <c r="BH1104" i="5"/>
  <c r="BI1104" i="5"/>
  <c r="BG1104" i="5"/>
  <c r="BF1104" i="5"/>
  <c r="BE1104" i="5"/>
  <c r="BD1104" i="5"/>
  <c r="AZ1104" i="5"/>
  <c r="AV1104" i="5"/>
  <c r="BC1104" i="5" s="1"/>
  <c r="AY1104" i="5"/>
  <c r="BA1104" i="5"/>
  <c r="BP1104" i="5" s="1"/>
  <c r="AU1104" i="5"/>
  <c r="BN1104" i="5" s="1"/>
  <c r="CK1251" i="5"/>
  <c r="CE1251" i="5"/>
  <c r="CI1251" i="5"/>
  <c r="CF1251" i="5"/>
  <c r="CD1251" i="5"/>
  <c r="CC1251" i="5"/>
  <c r="BY1251" i="5"/>
  <c r="CA1251" i="5"/>
  <c r="BV1251" i="5"/>
  <c r="BW1251" i="5"/>
  <c r="BU1251" i="5"/>
  <c r="BT1251" i="5"/>
  <c r="BS1251" i="5"/>
  <c r="BR1251" i="5"/>
  <c r="BQ1251" i="5"/>
  <c r="BM1251" i="5"/>
  <c r="BK1251" i="5"/>
  <c r="BJ1251" i="5"/>
  <c r="BI1251" i="5"/>
  <c r="BG1251" i="5"/>
  <c r="BH1251" i="5"/>
  <c r="BE1251" i="5"/>
  <c r="BF1251" i="5"/>
  <c r="BD1251" i="5"/>
  <c r="AY1251" i="5"/>
  <c r="BA1251" i="5"/>
  <c r="BP1251" i="5" s="1"/>
  <c r="AZ1251" i="5"/>
  <c r="AU1251" i="5"/>
  <c r="BB1251" i="5" s="1"/>
  <c r="AV1251" i="5"/>
  <c r="BC1251" i="5" s="1"/>
  <c r="BL1305" i="5"/>
  <c r="BX10" i="5"/>
  <c r="BX37" i="5"/>
  <c r="BC55" i="5"/>
  <c r="BL74" i="5"/>
  <c r="BX101" i="5"/>
  <c r="BB165" i="5"/>
  <c r="BZ165" i="5" s="1"/>
  <c r="CK238" i="5"/>
  <c r="CI238" i="5"/>
  <c r="CD238" i="5"/>
  <c r="CF238" i="5"/>
  <c r="CE238" i="5"/>
  <c r="CC238" i="5"/>
  <c r="BY238" i="5"/>
  <c r="CA238" i="5"/>
  <c r="BU238" i="5"/>
  <c r="BW238" i="5"/>
  <c r="BV238" i="5"/>
  <c r="BS238" i="5"/>
  <c r="BT238" i="5"/>
  <c r="BR238" i="5"/>
  <c r="BQ238" i="5"/>
  <c r="BM238" i="5"/>
  <c r="BK238" i="5"/>
  <c r="BJ238" i="5"/>
  <c r="BI238" i="5"/>
  <c r="BG238" i="5"/>
  <c r="BH238" i="5"/>
  <c r="BF238" i="5"/>
  <c r="BD238" i="5"/>
  <c r="BE238" i="5"/>
  <c r="BA238" i="5"/>
  <c r="BP238" i="5" s="1"/>
  <c r="AZ238" i="5"/>
  <c r="AY238" i="5"/>
  <c r="AV238" i="5"/>
  <c r="BC238" i="5" s="1"/>
  <c r="AU238" i="5"/>
  <c r="BN238" i="5" s="1"/>
  <c r="CK320" i="5"/>
  <c r="CI320" i="5"/>
  <c r="CF320" i="5"/>
  <c r="CE320" i="5"/>
  <c r="CC320" i="5"/>
  <c r="CD320" i="5"/>
  <c r="CA320" i="5"/>
  <c r="BV320" i="5"/>
  <c r="BY320" i="5"/>
  <c r="BW320" i="5"/>
  <c r="BU320" i="5"/>
  <c r="BT320" i="5"/>
  <c r="BS320" i="5"/>
  <c r="BQ320" i="5"/>
  <c r="BR320" i="5"/>
  <c r="BM320" i="5"/>
  <c r="BK320" i="5"/>
  <c r="BJ320" i="5"/>
  <c r="BH320" i="5"/>
  <c r="BI320" i="5"/>
  <c r="BG320" i="5"/>
  <c r="BF320" i="5"/>
  <c r="BE320" i="5"/>
  <c r="BD320" i="5"/>
  <c r="BA320" i="5"/>
  <c r="BP320" i="5" s="1"/>
  <c r="AZ320" i="5"/>
  <c r="AY320" i="5"/>
  <c r="AV320" i="5"/>
  <c r="BO320" i="5" s="1"/>
  <c r="AU320" i="5"/>
  <c r="BN320" i="5" s="1"/>
  <c r="BX330" i="5"/>
  <c r="CK421" i="5"/>
  <c r="CJ421" i="5"/>
  <c r="CI421" i="5"/>
  <c r="CG421" i="5"/>
  <c r="CH421" i="5"/>
  <c r="CF421" i="5"/>
  <c r="CE421" i="5"/>
  <c r="CD421" i="5"/>
  <c r="CC421" i="5"/>
  <c r="BW421" i="5"/>
  <c r="CA421" i="5"/>
  <c r="BZ421" i="5"/>
  <c r="BX421" i="5"/>
  <c r="BY421" i="5"/>
  <c r="BU421" i="5"/>
  <c r="BT421" i="5"/>
  <c r="BV421" i="5"/>
  <c r="BR421" i="5"/>
  <c r="BS421" i="5"/>
  <c r="BQ421" i="5"/>
  <c r="BL421" i="5"/>
  <c r="BM421" i="5"/>
  <c r="BK421" i="5"/>
  <c r="BJ421" i="5"/>
  <c r="BI421" i="5"/>
  <c r="BG421" i="5"/>
  <c r="BF421" i="5"/>
  <c r="BH421" i="5"/>
  <c r="BE421" i="5"/>
  <c r="BD421" i="5"/>
  <c r="BA421" i="5"/>
  <c r="BP421" i="5" s="1"/>
  <c r="AZ421" i="5"/>
  <c r="AY421" i="5"/>
  <c r="AV421" i="5"/>
  <c r="BO421" i="5" s="1"/>
  <c r="AU421" i="5"/>
  <c r="BB421" i="5" s="1"/>
  <c r="CK494" i="5"/>
  <c r="CI494" i="5"/>
  <c r="CG494" i="5"/>
  <c r="CH494" i="5"/>
  <c r="CD494" i="5"/>
  <c r="CJ494" i="5"/>
  <c r="CF494" i="5"/>
  <c r="CE494" i="5"/>
  <c r="CC494" i="5"/>
  <c r="BY494" i="5"/>
  <c r="CA494" i="5"/>
  <c r="BX494" i="5"/>
  <c r="BZ494" i="5"/>
  <c r="BU494" i="5"/>
  <c r="BW494" i="5"/>
  <c r="BV494" i="5"/>
  <c r="BS494" i="5"/>
  <c r="BT494" i="5"/>
  <c r="BR494" i="5"/>
  <c r="BQ494" i="5"/>
  <c r="BM494" i="5"/>
  <c r="BK494" i="5"/>
  <c r="BL494" i="5"/>
  <c r="BJ494" i="5"/>
  <c r="BI494" i="5"/>
  <c r="BG494" i="5"/>
  <c r="BH494" i="5"/>
  <c r="BF494" i="5"/>
  <c r="BE494" i="5"/>
  <c r="BD494" i="5"/>
  <c r="BA494" i="5"/>
  <c r="BP494" i="5" s="1"/>
  <c r="AZ494" i="5"/>
  <c r="AY494" i="5"/>
  <c r="AV494" i="5"/>
  <c r="BC494" i="5" s="1"/>
  <c r="AU494" i="5"/>
  <c r="BN494" i="5" s="1"/>
  <c r="CK567" i="5"/>
  <c r="CJ567" i="5"/>
  <c r="CG567" i="5"/>
  <c r="CE567" i="5"/>
  <c r="CI567" i="5"/>
  <c r="CH567" i="5"/>
  <c r="CF567" i="5"/>
  <c r="CD567" i="5"/>
  <c r="CC567" i="5"/>
  <c r="BZ567" i="5"/>
  <c r="CA567" i="5"/>
  <c r="BX567" i="5"/>
  <c r="BY567" i="5"/>
  <c r="BV567" i="5"/>
  <c r="BW567" i="5"/>
  <c r="BU567" i="5"/>
  <c r="BT567" i="5"/>
  <c r="BS567" i="5"/>
  <c r="BR567" i="5"/>
  <c r="BQ567" i="5"/>
  <c r="BM567" i="5"/>
  <c r="BK567" i="5"/>
  <c r="BL567" i="5"/>
  <c r="BI567" i="5"/>
  <c r="BJ567" i="5"/>
  <c r="BG567" i="5"/>
  <c r="BH567" i="5"/>
  <c r="BE567" i="5"/>
  <c r="BF567" i="5"/>
  <c r="BD567" i="5"/>
  <c r="BA567" i="5"/>
  <c r="BP567" i="5" s="1"/>
  <c r="AY567" i="5"/>
  <c r="AZ567" i="5"/>
  <c r="AV567" i="5"/>
  <c r="BO567" i="5" s="1"/>
  <c r="AU567" i="5"/>
  <c r="BN567" i="5" s="1"/>
  <c r="CK640" i="5"/>
  <c r="CH640" i="5"/>
  <c r="CI640" i="5"/>
  <c r="CF640" i="5"/>
  <c r="CJ640" i="5"/>
  <c r="CC640" i="5"/>
  <c r="CE640" i="5"/>
  <c r="CG640" i="5"/>
  <c r="CD640" i="5"/>
  <c r="CA640" i="5"/>
  <c r="BZ640" i="5"/>
  <c r="BX640" i="5"/>
  <c r="BY640" i="5"/>
  <c r="BW640" i="5"/>
  <c r="BV640" i="5"/>
  <c r="BU640" i="5"/>
  <c r="BT640" i="5"/>
  <c r="BS640" i="5"/>
  <c r="BQ640" i="5"/>
  <c r="BR640" i="5"/>
  <c r="BL640" i="5"/>
  <c r="BM640" i="5"/>
  <c r="BK640" i="5"/>
  <c r="BJ640" i="5"/>
  <c r="BH640" i="5"/>
  <c r="BI640" i="5"/>
  <c r="BG640" i="5"/>
  <c r="BF640" i="5"/>
  <c r="BE640" i="5"/>
  <c r="BD640" i="5"/>
  <c r="AZ640" i="5"/>
  <c r="AY640" i="5"/>
  <c r="BA640" i="5"/>
  <c r="BP640" i="5" s="1"/>
  <c r="AV640" i="5"/>
  <c r="BO640" i="5" s="1"/>
  <c r="AU640" i="5"/>
  <c r="BN640" i="5" s="1"/>
  <c r="CK714" i="5"/>
  <c r="CJ714" i="5"/>
  <c r="CI714" i="5"/>
  <c r="CH714" i="5"/>
  <c r="CF714" i="5"/>
  <c r="CG714" i="5"/>
  <c r="CE714" i="5"/>
  <c r="CD714" i="5"/>
  <c r="CC714" i="5"/>
  <c r="CA714" i="5"/>
  <c r="BY714" i="5"/>
  <c r="BU714" i="5"/>
  <c r="BZ714" i="5"/>
  <c r="BX714" i="5"/>
  <c r="BW714" i="5"/>
  <c r="BV714" i="5"/>
  <c r="BS714" i="5"/>
  <c r="BT714" i="5"/>
  <c r="BQ714" i="5"/>
  <c r="BR714" i="5"/>
  <c r="BM714" i="5"/>
  <c r="BL714" i="5"/>
  <c r="BK714" i="5"/>
  <c r="BJ714" i="5"/>
  <c r="BI714" i="5"/>
  <c r="BF714" i="5"/>
  <c r="BH714" i="5"/>
  <c r="BG714" i="5"/>
  <c r="BD714" i="5"/>
  <c r="BE714" i="5"/>
  <c r="BA714" i="5"/>
  <c r="BP714" i="5" s="1"/>
  <c r="AZ714" i="5"/>
  <c r="AY714" i="5"/>
  <c r="AV714" i="5"/>
  <c r="BO714" i="5" s="1"/>
  <c r="AU714" i="5"/>
  <c r="BB714" i="5" s="1"/>
  <c r="CK787" i="5"/>
  <c r="CJ787" i="5"/>
  <c r="CH787" i="5"/>
  <c r="CG787" i="5"/>
  <c r="CE787" i="5"/>
  <c r="CI787" i="5"/>
  <c r="CF787" i="5"/>
  <c r="CD787" i="5"/>
  <c r="CC787" i="5"/>
  <c r="BZ787" i="5"/>
  <c r="BY787" i="5"/>
  <c r="BX787" i="5"/>
  <c r="CA787" i="5"/>
  <c r="BV787" i="5"/>
  <c r="BW787" i="5"/>
  <c r="BU787" i="5"/>
  <c r="BT787" i="5"/>
  <c r="BS787" i="5"/>
  <c r="BR787" i="5"/>
  <c r="BQ787" i="5"/>
  <c r="BL787" i="5"/>
  <c r="BM787" i="5"/>
  <c r="BI787" i="5"/>
  <c r="BK787" i="5"/>
  <c r="BG787" i="5"/>
  <c r="BJ787" i="5"/>
  <c r="BH787" i="5"/>
  <c r="BE787" i="5"/>
  <c r="BD787" i="5"/>
  <c r="BF787" i="5"/>
  <c r="AY787" i="5"/>
  <c r="AU787" i="5"/>
  <c r="BB787" i="5" s="1"/>
  <c r="BA787" i="5"/>
  <c r="BP787" i="5" s="1"/>
  <c r="AZ787" i="5"/>
  <c r="AV787" i="5"/>
  <c r="BO787" i="5" s="1"/>
  <c r="CF860" i="5"/>
  <c r="CK860" i="5"/>
  <c r="CI860" i="5"/>
  <c r="CE860" i="5"/>
  <c r="CC860" i="5"/>
  <c r="CD860" i="5"/>
  <c r="CA860" i="5"/>
  <c r="BY860" i="5"/>
  <c r="BW860" i="5"/>
  <c r="BU860" i="5"/>
  <c r="BV860" i="5"/>
  <c r="BT860" i="5"/>
  <c r="BS860" i="5"/>
  <c r="BQ860" i="5"/>
  <c r="BR860" i="5"/>
  <c r="BJ860" i="5"/>
  <c r="BM860" i="5"/>
  <c r="BK860" i="5"/>
  <c r="BI860" i="5"/>
  <c r="BH860" i="5"/>
  <c r="BG860" i="5"/>
  <c r="BF860" i="5"/>
  <c r="BD860" i="5"/>
  <c r="BE860" i="5"/>
  <c r="AZ860" i="5"/>
  <c r="AY860" i="5"/>
  <c r="BA860" i="5"/>
  <c r="BP860" i="5" s="1"/>
  <c r="AV860" i="5"/>
  <c r="BO860" i="5" s="1"/>
  <c r="AU860" i="5"/>
  <c r="BN860" i="5" s="1"/>
  <c r="CI933" i="5"/>
  <c r="CK933" i="5"/>
  <c r="CD933" i="5"/>
  <c r="CE933" i="5"/>
  <c r="CF933" i="5"/>
  <c r="CC933" i="5"/>
  <c r="BW933" i="5"/>
  <c r="CA933" i="5"/>
  <c r="BY933" i="5"/>
  <c r="BV933" i="5"/>
  <c r="BU933" i="5"/>
  <c r="BR933" i="5"/>
  <c r="BT933" i="5"/>
  <c r="BQ933" i="5"/>
  <c r="BS933" i="5"/>
  <c r="BM933" i="5"/>
  <c r="BK933" i="5"/>
  <c r="BJ933" i="5"/>
  <c r="BI933" i="5"/>
  <c r="BH933" i="5"/>
  <c r="BG933" i="5"/>
  <c r="BF933" i="5"/>
  <c r="BD933" i="5"/>
  <c r="BE933" i="5"/>
  <c r="BA933" i="5"/>
  <c r="BP933" i="5" s="1"/>
  <c r="AZ933" i="5"/>
  <c r="AY933" i="5"/>
  <c r="AV933" i="5"/>
  <c r="BO933" i="5" s="1"/>
  <c r="AU933" i="5"/>
  <c r="BB933" i="5" s="1"/>
  <c r="CI1006" i="5"/>
  <c r="CK1006" i="5"/>
  <c r="CF1006" i="5"/>
  <c r="CC1006" i="5"/>
  <c r="CE1006" i="5"/>
  <c r="CD1006" i="5"/>
  <c r="CA1006" i="5"/>
  <c r="BY1006" i="5"/>
  <c r="BU1006" i="5"/>
  <c r="BW1006" i="5"/>
  <c r="BV1006" i="5"/>
  <c r="BS1006" i="5"/>
  <c r="BT1006" i="5"/>
  <c r="BR1006" i="5"/>
  <c r="BQ1006" i="5"/>
  <c r="BM1006" i="5"/>
  <c r="BJ1006" i="5"/>
  <c r="BI1006" i="5"/>
  <c r="BK1006" i="5"/>
  <c r="BH1006" i="5"/>
  <c r="BG1006" i="5"/>
  <c r="BF1006" i="5"/>
  <c r="BE1006" i="5"/>
  <c r="BD1006" i="5"/>
  <c r="BA1006" i="5"/>
  <c r="BP1006" i="5" s="1"/>
  <c r="AZ1006" i="5"/>
  <c r="AY1006" i="5"/>
  <c r="AV1006" i="5"/>
  <c r="BC1006" i="5" s="1"/>
  <c r="AU1006" i="5"/>
  <c r="BB1006" i="5" s="1"/>
  <c r="CK1079" i="5"/>
  <c r="CE1079" i="5"/>
  <c r="CI1079" i="5"/>
  <c r="CF1079" i="5"/>
  <c r="CD1079" i="5"/>
  <c r="CC1079" i="5"/>
  <c r="CA1079" i="5"/>
  <c r="BY1079" i="5"/>
  <c r="BV1079" i="5"/>
  <c r="BW1079" i="5"/>
  <c r="BU1079" i="5"/>
  <c r="BT1079" i="5"/>
  <c r="BR1079" i="5"/>
  <c r="BQ1079" i="5"/>
  <c r="BS1079" i="5"/>
  <c r="BM1079" i="5"/>
  <c r="BK1079" i="5"/>
  <c r="BJ1079" i="5"/>
  <c r="BI1079" i="5"/>
  <c r="BG1079" i="5"/>
  <c r="BH1079" i="5"/>
  <c r="BE1079" i="5"/>
  <c r="BF1079" i="5"/>
  <c r="BD1079" i="5"/>
  <c r="AY1079" i="5"/>
  <c r="BA1079" i="5"/>
  <c r="BP1079" i="5" s="1"/>
  <c r="AZ1079" i="5"/>
  <c r="AV1079" i="5"/>
  <c r="BC1079" i="5" s="1"/>
  <c r="AU1079" i="5"/>
  <c r="BN1079" i="5" s="1"/>
  <c r="CI1152" i="5"/>
  <c r="CF1152" i="5"/>
  <c r="CK1152" i="5"/>
  <c r="CE1152" i="5"/>
  <c r="CD1152" i="5"/>
  <c r="CC1152" i="5"/>
  <c r="CA1152" i="5"/>
  <c r="BY1152" i="5"/>
  <c r="BW1152" i="5"/>
  <c r="BV1152" i="5"/>
  <c r="BU1152" i="5"/>
  <c r="BT1152" i="5"/>
  <c r="BR1152" i="5"/>
  <c r="BQ1152" i="5"/>
  <c r="BS1152" i="5"/>
  <c r="BM1152" i="5"/>
  <c r="BJ1152" i="5"/>
  <c r="BH1152" i="5"/>
  <c r="BI1152" i="5"/>
  <c r="BK1152" i="5"/>
  <c r="BG1152" i="5"/>
  <c r="BF1152" i="5"/>
  <c r="BE1152" i="5"/>
  <c r="BD1152" i="5"/>
  <c r="AZ1152" i="5"/>
  <c r="AY1152" i="5"/>
  <c r="BA1152" i="5"/>
  <c r="BP1152" i="5" s="1"/>
  <c r="AV1152" i="5"/>
  <c r="BO1152" i="5" s="1"/>
  <c r="AU1152" i="5"/>
  <c r="BN1152" i="5" s="1"/>
  <c r="CI1226" i="5"/>
  <c r="CK1226" i="5"/>
  <c r="CF1226" i="5"/>
  <c r="CE1226" i="5"/>
  <c r="CC1226" i="5"/>
  <c r="CD1226" i="5"/>
  <c r="CA1226" i="5"/>
  <c r="BY1226" i="5"/>
  <c r="BU1226" i="5"/>
  <c r="BW1226" i="5"/>
  <c r="BV1226" i="5"/>
  <c r="BS1226" i="5"/>
  <c r="BT1226" i="5"/>
  <c r="BR1226" i="5"/>
  <c r="BQ1226" i="5"/>
  <c r="BM1226" i="5"/>
  <c r="BI1226" i="5"/>
  <c r="BK1226" i="5"/>
  <c r="BJ1226" i="5"/>
  <c r="BH1226" i="5"/>
  <c r="BG1226" i="5"/>
  <c r="BF1226" i="5"/>
  <c r="BE1226" i="5"/>
  <c r="BD1226" i="5"/>
  <c r="BA1226" i="5"/>
  <c r="BP1226" i="5" s="1"/>
  <c r="AZ1226" i="5"/>
  <c r="AY1226" i="5"/>
  <c r="AU1226" i="5"/>
  <c r="BB1226" i="5" s="1"/>
  <c r="AV1226" i="5"/>
  <c r="BC1226" i="5" s="1"/>
  <c r="CK1299" i="5"/>
  <c r="CE1299" i="5"/>
  <c r="CI1299" i="5"/>
  <c r="CF1299" i="5"/>
  <c r="CD1299" i="5"/>
  <c r="BY1299" i="5"/>
  <c r="CC1299" i="5"/>
  <c r="CA1299" i="5"/>
  <c r="BV1299" i="5"/>
  <c r="BW1299" i="5"/>
  <c r="BU1299" i="5"/>
  <c r="BT1299" i="5"/>
  <c r="BS1299" i="5"/>
  <c r="BR1299" i="5"/>
  <c r="BQ1299" i="5"/>
  <c r="BM1299" i="5"/>
  <c r="BI1299" i="5"/>
  <c r="BG1299" i="5"/>
  <c r="BK1299" i="5"/>
  <c r="BJ1299" i="5"/>
  <c r="BH1299" i="5"/>
  <c r="BE1299" i="5"/>
  <c r="BF1299" i="5"/>
  <c r="BD1299" i="5"/>
  <c r="AY1299" i="5"/>
  <c r="AU1299" i="5"/>
  <c r="BB1299" i="5" s="1"/>
  <c r="BA1299" i="5"/>
  <c r="BP1299" i="5" s="1"/>
  <c r="AZ1299" i="5"/>
  <c r="AV1299" i="5"/>
  <c r="BO1299" i="5" s="1"/>
  <c r="CK20" i="5"/>
  <c r="CF20" i="5"/>
  <c r="CI20" i="5"/>
  <c r="CC20" i="5"/>
  <c r="CE20" i="5"/>
  <c r="CD20" i="5"/>
  <c r="CA20" i="5"/>
  <c r="BV20" i="5"/>
  <c r="BY20" i="5"/>
  <c r="BW20" i="5"/>
  <c r="BU20" i="5"/>
  <c r="BT20" i="5"/>
  <c r="BS20" i="5"/>
  <c r="BQ20" i="5"/>
  <c r="BR20" i="5"/>
  <c r="BK20" i="5"/>
  <c r="BJ20" i="5"/>
  <c r="BM20" i="5"/>
  <c r="BI20" i="5"/>
  <c r="BH20" i="5"/>
  <c r="BF20" i="5"/>
  <c r="BG20" i="5"/>
  <c r="BE20" i="5"/>
  <c r="BD20" i="5"/>
  <c r="AZ20" i="5"/>
  <c r="BA20" i="5"/>
  <c r="BP20" i="5" s="1"/>
  <c r="AY20" i="5"/>
  <c r="AV20" i="5"/>
  <c r="BO20" i="5" s="1"/>
  <c r="AU20" i="5"/>
  <c r="BB20" i="5" s="1"/>
  <c r="CI93" i="5"/>
  <c r="CK93" i="5"/>
  <c r="CF93" i="5"/>
  <c r="CE93" i="5"/>
  <c r="CD93" i="5"/>
  <c r="CC93" i="5"/>
  <c r="CA93" i="5"/>
  <c r="BY93" i="5"/>
  <c r="BW93" i="5"/>
  <c r="BT93" i="5"/>
  <c r="BV93" i="5"/>
  <c r="BU93" i="5"/>
  <c r="BR93" i="5"/>
  <c r="BS93" i="5"/>
  <c r="BQ93" i="5"/>
  <c r="BK93" i="5"/>
  <c r="BM93" i="5"/>
  <c r="BH93" i="5"/>
  <c r="BJ93" i="5"/>
  <c r="BI93" i="5"/>
  <c r="BG93" i="5"/>
  <c r="BF93" i="5"/>
  <c r="BE93" i="5"/>
  <c r="BD93" i="5"/>
  <c r="BA93" i="5"/>
  <c r="BP93" i="5" s="1"/>
  <c r="AZ93" i="5"/>
  <c r="AY93" i="5"/>
  <c r="AV93" i="5"/>
  <c r="BC93" i="5" s="1"/>
  <c r="AU93" i="5"/>
  <c r="BB93" i="5" s="1"/>
  <c r="CI166" i="5"/>
  <c r="CH166" i="5"/>
  <c r="CJ166" i="5"/>
  <c r="CD166" i="5"/>
  <c r="CK166" i="5"/>
  <c r="CG166" i="5"/>
  <c r="CF166" i="5"/>
  <c r="CC166" i="5"/>
  <c r="CE166" i="5"/>
  <c r="BY166" i="5"/>
  <c r="BZ166" i="5"/>
  <c r="CA166" i="5"/>
  <c r="BW166" i="5"/>
  <c r="BV166" i="5"/>
  <c r="BX166" i="5"/>
  <c r="BU166" i="5"/>
  <c r="BS166" i="5"/>
  <c r="BT166" i="5"/>
  <c r="BR166" i="5"/>
  <c r="BQ166" i="5"/>
  <c r="BM166" i="5"/>
  <c r="BL166" i="5"/>
  <c r="BK166" i="5"/>
  <c r="BH166" i="5"/>
  <c r="BJ166" i="5"/>
  <c r="BI166" i="5"/>
  <c r="BG166" i="5"/>
  <c r="BF166" i="5"/>
  <c r="BD166" i="5"/>
  <c r="BE166" i="5"/>
  <c r="BA166" i="5"/>
  <c r="BP166" i="5" s="1"/>
  <c r="AV166" i="5"/>
  <c r="BO166" i="5" s="1"/>
  <c r="AZ166" i="5"/>
  <c r="AY166" i="5"/>
  <c r="AU166" i="5"/>
  <c r="BN166" i="5" s="1"/>
  <c r="CH239" i="5"/>
  <c r="CE239" i="5"/>
  <c r="CK239" i="5"/>
  <c r="CG239" i="5"/>
  <c r="CD239" i="5"/>
  <c r="CJ239" i="5"/>
  <c r="CI239" i="5"/>
  <c r="CF239" i="5"/>
  <c r="CC239" i="5"/>
  <c r="BZ239" i="5"/>
  <c r="BX239" i="5"/>
  <c r="CA239" i="5"/>
  <c r="BY239" i="5"/>
  <c r="BV239" i="5"/>
  <c r="BW239" i="5"/>
  <c r="BU239" i="5"/>
  <c r="BT239" i="5"/>
  <c r="BS239" i="5"/>
  <c r="BR239" i="5"/>
  <c r="BQ239" i="5"/>
  <c r="BK239" i="5"/>
  <c r="BL239" i="5"/>
  <c r="BM239" i="5"/>
  <c r="BI239" i="5"/>
  <c r="BJ239" i="5"/>
  <c r="BH239" i="5"/>
  <c r="BG239" i="5"/>
  <c r="BE239" i="5"/>
  <c r="BF239" i="5"/>
  <c r="BD239" i="5"/>
  <c r="BA239" i="5"/>
  <c r="BP239" i="5" s="1"/>
  <c r="AY239" i="5"/>
  <c r="AZ239" i="5"/>
  <c r="AU239" i="5"/>
  <c r="BN239" i="5" s="1"/>
  <c r="AV239" i="5"/>
  <c r="BC239" i="5" s="1"/>
  <c r="CH312" i="5"/>
  <c r="CK312" i="5"/>
  <c r="CJ312" i="5"/>
  <c r="CG312" i="5"/>
  <c r="CF312" i="5"/>
  <c r="CE312" i="5"/>
  <c r="CD312" i="5"/>
  <c r="CI312" i="5"/>
  <c r="CC312" i="5"/>
  <c r="CA312" i="5"/>
  <c r="BZ312" i="5"/>
  <c r="BY312" i="5"/>
  <c r="BV312" i="5"/>
  <c r="BX312" i="5"/>
  <c r="BW312" i="5"/>
  <c r="BU312" i="5"/>
  <c r="BT312" i="5"/>
  <c r="BS312" i="5"/>
  <c r="BR312" i="5"/>
  <c r="BQ312" i="5"/>
  <c r="BL312" i="5"/>
  <c r="BM312" i="5"/>
  <c r="BK312" i="5"/>
  <c r="BJ312" i="5"/>
  <c r="BI312" i="5"/>
  <c r="BH312" i="5"/>
  <c r="BG312" i="5"/>
  <c r="BF312" i="5"/>
  <c r="BE312" i="5"/>
  <c r="BD312" i="5"/>
  <c r="BA312" i="5"/>
  <c r="BP312" i="5" s="1"/>
  <c r="AZ312" i="5"/>
  <c r="AV312" i="5"/>
  <c r="BO312" i="5" s="1"/>
  <c r="AY312" i="5"/>
  <c r="AU312" i="5"/>
  <c r="BB312" i="5" s="1"/>
  <c r="CK386" i="5"/>
  <c r="CI386" i="5"/>
  <c r="CD386" i="5"/>
  <c r="CF386" i="5"/>
  <c r="CE386" i="5"/>
  <c r="CC386" i="5"/>
  <c r="BY386" i="5"/>
  <c r="CA386" i="5"/>
  <c r="BU386" i="5"/>
  <c r="BV386" i="5"/>
  <c r="BW386" i="5"/>
  <c r="BS386" i="5"/>
  <c r="BT386" i="5"/>
  <c r="BQ386" i="5"/>
  <c r="BR386" i="5"/>
  <c r="BM386" i="5"/>
  <c r="BK386" i="5"/>
  <c r="BJ386" i="5"/>
  <c r="BI386" i="5"/>
  <c r="BG386" i="5"/>
  <c r="BF386" i="5"/>
  <c r="BD386" i="5"/>
  <c r="BH386" i="5"/>
  <c r="BE386" i="5"/>
  <c r="BA386" i="5"/>
  <c r="BP386" i="5" s="1"/>
  <c r="AZ386" i="5"/>
  <c r="AY386" i="5"/>
  <c r="AV386" i="5"/>
  <c r="BC386" i="5" s="1"/>
  <c r="AU386" i="5"/>
  <c r="BN386" i="5" s="1"/>
  <c r="CJ459" i="5"/>
  <c r="CI459" i="5"/>
  <c r="CH459" i="5"/>
  <c r="CE459" i="5"/>
  <c r="CK459" i="5"/>
  <c r="CG459" i="5"/>
  <c r="CF459" i="5"/>
  <c r="CC459" i="5"/>
  <c r="CD459" i="5"/>
  <c r="BZ459" i="5"/>
  <c r="BX459" i="5"/>
  <c r="CA459" i="5"/>
  <c r="BY459" i="5"/>
  <c r="BW459" i="5"/>
  <c r="BV459" i="5"/>
  <c r="BU459" i="5"/>
  <c r="BT459" i="5"/>
  <c r="BS459" i="5"/>
  <c r="BQ459" i="5"/>
  <c r="BR459" i="5"/>
  <c r="BM459" i="5"/>
  <c r="BL459" i="5"/>
  <c r="BK459" i="5"/>
  <c r="BI459" i="5"/>
  <c r="BG459" i="5"/>
  <c r="BH459" i="5"/>
  <c r="BJ459" i="5"/>
  <c r="BF459" i="5"/>
  <c r="BE459" i="5"/>
  <c r="BD459" i="5"/>
  <c r="BA459" i="5"/>
  <c r="BP459" i="5" s="1"/>
  <c r="AY459" i="5"/>
  <c r="AZ459" i="5"/>
  <c r="AU459" i="5"/>
  <c r="BN459" i="5" s="1"/>
  <c r="AV459" i="5"/>
  <c r="BO459" i="5" s="1"/>
  <c r="CK532" i="5"/>
  <c r="CJ532" i="5"/>
  <c r="CH532" i="5"/>
  <c r="CF532" i="5"/>
  <c r="CI532" i="5"/>
  <c r="CG532" i="5"/>
  <c r="CC532" i="5"/>
  <c r="CE532" i="5"/>
  <c r="CD532" i="5"/>
  <c r="CA532" i="5"/>
  <c r="BX532" i="5"/>
  <c r="BZ532" i="5"/>
  <c r="BY532" i="5"/>
  <c r="BW532" i="5"/>
  <c r="BU532" i="5"/>
  <c r="BV532" i="5"/>
  <c r="BT532" i="5"/>
  <c r="BS532" i="5"/>
  <c r="BQ532" i="5"/>
  <c r="BR532" i="5"/>
  <c r="BJ532" i="5"/>
  <c r="BL532" i="5"/>
  <c r="BK532" i="5"/>
  <c r="BM532" i="5"/>
  <c r="BI532" i="5"/>
  <c r="BH532" i="5"/>
  <c r="BF532" i="5"/>
  <c r="BG532" i="5"/>
  <c r="BE532" i="5"/>
  <c r="BD532" i="5"/>
  <c r="AZ532" i="5"/>
  <c r="BA532" i="5"/>
  <c r="BP532" i="5" s="1"/>
  <c r="AY532" i="5"/>
  <c r="AV532" i="5"/>
  <c r="BO532" i="5" s="1"/>
  <c r="AU532" i="5"/>
  <c r="BB532" i="5" s="1"/>
  <c r="CJ605" i="5"/>
  <c r="CK605" i="5"/>
  <c r="CI605" i="5"/>
  <c r="CH605" i="5"/>
  <c r="CG605" i="5"/>
  <c r="CF605" i="5"/>
  <c r="CE605" i="5"/>
  <c r="CD605" i="5"/>
  <c r="CC605" i="5"/>
  <c r="CA605" i="5"/>
  <c r="BZ605" i="5"/>
  <c r="BY605" i="5"/>
  <c r="BX605" i="5"/>
  <c r="BW605" i="5"/>
  <c r="BT605" i="5"/>
  <c r="BV605" i="5"/>
  <c r="BU605" i="5"/>
  <c r="BR605" i="5"/>
  <c r="BS605" i="5"/>
  <c r="BQ605" i="5"/>
  <c r="BM605" i="5"/>
  <c r="BL605" i="5"/>
  <c r="BK605" i="5"/>
  <c r="BJ605" i="5"/>
  <c r="BI605" i="5"/>
  <c r="BH605" i="5"/>
  <c r="BG605" i="5"/>
  <c r="BF605" i="5"/>
  <c r="BE605" i="5"/>
  <c r="BD605" i="5"/>
  <c r="BA605" i="5"/>
  <c r="BP605" i="5" s="1"/>
  <c r="AZ605" i="5"/>
  <c r="AY605" i="5"/>
  <c r="AV605" i="5"/>
  <c r="BO605" i="5" s="1"/>
  <c r="AU605" i="5"/>
  <c r="BB605" i="5" s="1"/>
  <c r="CJ678" i="5"/>
  <c r="CI678" i="5"/>
  <c r="CH678" i="5"/>
  <c r="CK678" i="5"/>
  <c r="CG678" i="5"/>
  <c r="CF678" i="5"/>
  <c r="CD678" i="5"/>
  <c r="CC678" i="5"/>
  <c r="CE678" i="5"/>
  <c r="BX678" i="5"/>
  <c r="CA678" i="5"/>
  <c r="BZ678" i="5"/>
  <c r="BW678" i="5"/>
  <c r="BY678" i="5"/>
  <c r="BU678" i="5"/>
  <c r="BV678" i="5"/>
  <c r="BS678" i="5"/>
  <c r="BT678" i="5"/>
  <c r="BR678" i="5"/>
  <c r="BQ678" i="5"/>
  <c r="BM678" i="5"/>
  <c r="BL678" i="5"/>
  <c r="BK678" i="5"/>
  <c r="BJ678" i="5"/>
  <c r="BI678" i="5"/>
  <c r="BH678" i="5"/>
  <c r="BG678" i="5"/>
  <c r="BF678" i="5"/>
  <c r="BD678" i="5"/>
  <c r="BE678" i="5"/>
  <c r="AV678" i="5"/>
  <c r="BO678" i="5" s="1"/>
  <c r="BA678" i="5"/>
  <c r="BP678" i="5" s="1"/>
  <c r="AZ678" i="5"/>
  <c r="AY678" i="5"/>
  <c r="AU678" i="5"/>
  <c r="BN678" i="5" s="1"/>
  <c r="CK751" i="5"/>
  <c r="CE751" i="5"/>
  <c r="CJ751" i="5"/>
  <c r="CH751" i="5"/>
  <c r="CG751" i="5"/>
  <c r="CI751" i="5"/>
  <c r="CF751" i="5"/>
  <c r="CC751" i="5"/>
  <c r="CD751" i="5"/>
  <c r="BZ751" i="5"/>
  <c r="BY751" i="5"/>
  <c r="CA751" i="5"/>
  <c r="BX751" i="5"/>
  <c r="BV751" i="5"/>
  <c r="BW751" i="5"/>
  <c r="BU751" i="5"/>
  <c r="BT751" i="5"/>
  <c r="BS751" i="5"/>
  <c r="BR751" i="5"/>
  <c r="BQ751" i="5"/>
  <c r="BM751" i="5"/>
  <c r="BI751" i="5"/>
  <c r="BL751" i="5"/>
  <c r="BJ751" i="5"/>
  <c r="BK751" i="5"/>
  <c r="BG751" i="5"/>
  <c r="BH751" i="5"/>
  <c r="BE751" i="5"/>
  <c r="BF751" i="5"/>
  <c r="BD751" i="5"/>
  <c r="AY751" i="5"/>
  <c r="BA751" i="5"/>
  <c r="BP751" i="5" s="1"/>
  <c r="AZ751" i="5"/>
  <c r="AU751" i="5"/>
  <c r="BN751" i="5" s="1"/>
  <c r="AV751" i="5"/>
  <c r="BO751" i="5" s="1"/>
  <c r="CF824" i="5"/>
  <c r="CK824" i="5"/>
  <c r="CE824" i="5"/>
  <c r="CI824" i="5"/>
  <c r="CD824" i="5"/>
  <c r="CC824" i="5"/>
  <c r="CA824" i="5"/>
  <c r="BY824" i="5"/>
  <c r="BV824" i="5"/>
  <c r="BW824" i="5"/>
  <c r="BU824" i="5"/>
  <c r="BT824" i="5"/>
  <c r="BS824" i="5"/>
  <c r="BR824" i="5"/>
  <c r="BQ824" i="5"/>
  <c r="BM824" i="5"/>
  <c r="BK824" i="5"/>
  <c r="BJ824" i="5"/>
  <c r="BI824" i="5"/>
  <c r="BH824" i="5"/>
  <c r="BG824" i="5"/>
  <c r="BF824" i="5"/>
  <c r="BE824" i="5"/>
  <c r="BD824" i="5"/>
  <c r="AZ824" i="5"/>
  <c r="AV824" i="5"/>
  <c r="BO824" i="5" s="1"/>
  <c r="AY824" i="5"/>
  <c r="BA824" i="5"/>
  <c r="BP824" i="5" s="1"/>
  <c r="AU824" i="5"/>
  <c r="BB824" i="5" s="1"/>
  <c r="CI898" i="5"/>
  <c r="CK898" i="5"/>
  <c r="CJ898" i="5"/>
  <c r="CF898" i="5"/>
  <c r="CE898" i="5"/>
  <c r="CG898" i="5"/>
  <c r="CH898" i="5"/>
  <c r="CC898" i="5"/>
  <c r="CD898" i="5"/>
  <c r="CA898" i="5"/>
  <c r="BZ898" i="5"/>
  <c r="BY898" i="5"/>
  <c r="BX898" i="5"/>
  <c r="BU898" i="5"/>
  <c r="BW898" i="5"/>
  <c r="BV898" i="5"/>
  <c r="BS898" i="5"/>
  <c r="BT898" i="5"/>
  <c r="BQ898" i="5"/>
  <c r="BR898" i="5"/>
  <c r="BM898" i="5"/>
  <c r="BL898" i="5"/>
  <c r="BK898" i="5"/>
  <c r="BJ898" i="5"/>
  <c r="BI898" i="5"/>
  <c r="BH898" i="5"/>
  <c r="BG898" i="5"/>
  <c r="BF898" i="5"/>
  <c r="BD898" i="5"/>
  <c r="BE898" i="5"/>
  <c r="BA898" i="5"/>
  <c r="BP898" i="5" s="1"/>
  <c r="AZ898" i="5"/>
  <c r="AY898" i="5"/>
  <c r="AV898" i="5"/>
  <c r="BC898" i="5" s="1"/>
  <c r="AU898" i="5"/>
  <c r="BN898" i="5" s="1"/>
  <c r="CK971" i="5"/>
  <c r="CI971" i="5"/>
  <c r="CE971" i="5"/>
  <c r="CD971" i="5"/>
  <c r="CF971" i="5"/>
  <c r="CC971" i="5"/>
  <c r="BY971" i="5"/>
  <c r="CA971" i="5"/>
  <c r="BW971" i="5"/>
  <c r="BV971" i="5"/>
  <c r="BU971" i="5"/>
  <c r="BT971" i="5"/>
  <c r="BQ971" i="5"/>
  <c r="BR971" i="5"/>
  <c r="BS971" i="5"/>
  <c r="BM971" i="5"/>
  <c r="BI971" i="5"/>
  <c r="BG971" i="5"/>
  <c r="BK971" i="5"/>
  <c r="BJ971" i="5"/>
  <c r="BH971" i="5"/>
  <c r="BE971" i="5"/>
  <c r="BD971" i="5"/>
  <c r="BF971" i="5"/>
  <c r="AY971" i="5"/>
  <c r="BA971" i="5"/>
  <c r="BP971" i="5" s="1"/>
  <c r="AZ971" i="5"/>
  <c r="AU971" i="5"/>
  <c r="BN971" i="5" s="1"/>
  <c r="AV971" i="5"/>
  <c r="BC971" i="5" s="1"/>
  <c r="CK1044" i="5"/>
  <c r="CF1044" i="5"/>
  <c r="CI1044" i="5"/>
  <c r="CE1044" i="5"/>
  <c r="CA1044" i="5"/>
  <c r="CD1044" i="5"/>
  <c r="CC1044" i="5"/>
  <c r="BY1044" i="5"/>
  <c r="BW1044" i="5"/>
  <c r="BU1044" i="5"/>
  <c r="BV1044" i="5"/>
  <c r="BT1044" i="5"/>
  <c r="BS1044" i="5"/>
  <c r="BR1044" i="5"/>
  <c r="BQ1044" i="5"/>
  <c r="BJ1044" i="5"/>
  <c r="BM1044" i="5"/>
  <c r="BI1044" i="5"/>
  <c r="BK1044" i="5"/>
  <c r="BH1044" i="5"/>
  <c r="BF1044" i="5"/>
  <c r="BG1044" i="5"/>
  <c r="BE1044" i="5"/>
  <c r="BD1044" i="5"/>
  <c r="AZ1044" i="5"/>
  <c r="BA1044" i="5"/>
  <c r="BP1044" i="5" s="1"/>
  <c r="AY1044" i="5"/>
  <c r="AV1044" i="5"/>
  <c r="BO1044" i="5" s="1"/>
  <c r="AU1044" i="5"/>
  <c r="BN1044" i="5" s="1"/>
  <c r="CI1117" i="5"/>
  <c r="CK1117" i="5"/>
  <c r="CF1117" i="5"/>
  <c r="CE1117" i="5"/>
  <c r="CD1117" i="5"/>
  <c r="CC1117" i="5"/>
  <c r="CA1117" i="5"/>
  <c r="BY1117" i="5"/>
  <c r="BW1117" i="5"/>
  <c r="BU1117" i="5"/>
  <c r="BV1117" i="5"/>
  <c r="BT1117" i="5"/>
  <c r="BS1117" i="5"/>
  <c r="BQ1117" i="5"/>
  <c r="BR1117" i="5"/>
  <c r="BM1117" i="5"/>
  <c r="BK1117" i="5"/>
  <c r="BI1117" i="5"/>
  <c r="BJ1117" i="5"/>
  <c r="BH1117" i="5"/>
  <c r="BG1117" i="5"/>
  <c r="BF1117" i="5"/>
  <c r="BE1117" i="5"/>
  <c r="BD1117" i="5"/>
  <c r="BA1117" i="5"/>
  <c r="BP1117" i="5" s="1"/>
  <c r="AZ1117" i="5"/>
  <c r="AY1117" i="5"/>
  <c r="AV1117" i="5"/>
  <c r="BO1117" i="5" s="1"/>
  <c r="AU1117" i="5"/>
  <c r="BB1117" i="5" s="1"/>
  <c r="CI1190" i="5"/>
  <c r="CK1190" i="5"/>
  <c r="CJ1190" i="5"/>
  <c r="CH1190" i="5"/>
  <c r="CG1190" i="5"/>
  <c r="CF1190" i="5"/>
  <c r="CD1190" i="5"/>
  <c r="CC1190" i="5"/>
  <c r="CE1190" i="5"/>
  <c r="CA1190" i="5"/>
  <c r="BZ1190" i="5"/>
  <c r="BW1190" i="5"/>
  <c r="BY1190" i="5"/>
  <c r="BX1190" i="5"/>
  <c r="BU1190" i="5"/>
  <c r="BV1190" i="5"/>
  <c r="BS1190" i="5"/>
  <c r="BT1190" i="5"/>
  <c r="BR1190" i="5"/>
  <c r="BQ1190" i="5"/>
  <c r="BM1190" i="5"/>
  <c r="BL1190" i="5"/>
  <c r="BK1190" i="5"/>
  <c r="BJ1190" i="5"/>
  <c r="BI1190" i="5"/>
  <c r="BH1190" i="5"/>
  <c r="BG1190" i="5"/>
  <c r="BF1190" i="5"/>
  <c r="BE1190" i="5"/>
  <c r="BD1190" i="5"/>
  <c r="AV1190" i="5"/>
  <c r="BO1190" i="5" s="1"/>
  <c r="BA1190" i="5"/>
  <c r="BP1190" i="5" s="1"/>
  <c r="AZ1190" i="5"/>
  <c r="AY1190" i="5"/>
  <c r="AU1190" i="5"/>
  <c r="BN1190" i="5" s="1"/>
  <c r="CK1263" i="5"/>
  <c r="CE1263" i="5"/>
  <c r="CI1263" i="5"/>
  <c r="CF1263" i="5"/>
  <c r="CD1263" i="5"/>
  <c r="CC1263" i="5"/>
  <c r="BY1263" i="5"/>
  <c r="CA1263" i="5"/>
  <c r="BV1263" i="5"/>
  <c r="BW1263" i="5"/>
  <c r="BT1263" i="5"/>
  <c r="BU1263" i="5"/>
  <c r="BS1263" i="5"/>
  <c r="BR1263" i="5"/>
  <c r="BQ1263" i="5"/>
  <c r="BM1263" i="5"/>
  <c r="BK1263" i="5"/>
  <c r="BJ1263" i="5"/>
  <c r="BI1263" i="5"/>
  <c r="BG1263" i="5"/>
  <c r="BH1263" i="5"/>
  <c r="BE1263" i="5"/>
  <c r="BF1263" i="5"/>
  <c r="BD1263" i="5"/>
  <c r="AY1263" i="5"/>
  <c r="BA1263" i="5"/>
  <c r="BP1263" i="5" s="1"/>
  <c r="AZ1263" i="5"/>
  <c r="AU1263" i="5"/>
  <c r="BN1263" i="5" s="1"/>
  <c r="AV1263" i="5"/>
  <c r="BO1263" i="5" s="1"/>
  <c r="CK1332" i="5"/>
  <c r="CJ1332" i="5"/>
  <c r="CG1332" i="5"/>
  <c r="CF1332" i="5"/>
  <c r="CI1332" i="5"/>
  <c r="CH1332" i="5"/>
  <c r="CE1332" i="5"/>
  <c r="CD1332" i="5"/>
  <c r="CA1332" i="5"/>
  <c r="CC1332" i="5"/>
  <c r="BZ1332" i="5"/>
  <c r="BY1332" i="5"/>
  <c r="BX1332" i="5"/>
  <c r="BW1332" i="5"/>
  <c r="BU1332" i="5"/>
  <c r="BV1332" i="5"/>
  <c r="BT1332" i="5"/>
  <c r="BR1332" i="5"/>
  <c r="BQ1332" i="5"/>
  <c r="BS1332" i="5"/>
  <c r="BL1332" i="5"/>
  <c r="BJ1332" i="5"/>
  <c r="BM1332" i="5"/>
  <c r="BI1332" i="5"/>
  <c r="BK1332" i="5"/>
  <c r="BH1332" i="5"/>
  <c r="BF1332" i="5"/>
  <c r="BG1332" i="5"/>
  <c r="BE1332" i="5"/>
  <c r="BD1332" i="5"/>
  <c r="AZ1332" i="5"/>
  <c r="BA1332" i="5"/>
  <c r="BP1332" i="5" s="1"/>
  <c r="AY1332" i="5"/>
  <c r="AV1332" i="5"/>
  <c r="BO1332" i="5" s="1"/>
  <c r="AU1332" i="5"/>
  <c r="BN1332" i="5" s="1"/>
  <c r="BC3" i="5"/>
  <c r="CK30" i="5"/>
  <c r="CI30" i="5"/>
  <c r="CD30" i="5"/>
  <c r="CF30" i="5"/>
  <c r="CE30" i="5"/>
  <c r="CC30" i="5"/>
  <c r="BY30" i="5"/>
  <c r="CA30" i="5"/>
  <c r="BU30" i="5"/>
  <c r="BV30" i="5"/>
  <c r="BW30" i="5"/>
  <c r="BT30" i="5"/>
  <c r="BS30" i="5"/>
  <c r="BR30" i="5"/>
  <c r="BQ30" i="5"/>
  <c r="BM30" i="5"/>
  <c r="BK30" i="5"/>
  <c r="BH30" i="5"/>
  <c r="BJ30" i="5"/>
  <c r="BI30" i="5"/>
  <c r="BG30" i="5"/>
  <c r="BF30" i="5"/>
  <c r="BD30" i="5"/>
  <c r="BE30" i="5"/>
  <c r="BA30" i="5"/>
  <c r="BP30" i="5" s="1"/>
  <c r="AV30" i="5"/>
  <c r="BO30" i="5" s="1"/>
  <c r="AZ30" i="5"/>
  <c r="AY30" i="5"/>
  <c r="AU30" i="5"/>
  <c r="BN30" i="5" s="1"/>
  <c r="CK103" i="5"/>
  <c r="CE103" i="5"/>
  <c r="CI103" i="5"/>
  <c r="CF103" i="5"/>
  <c r="CD103" i="5"/>
  <c r="CC103" i="5"/>
  <c r="CA103" i="5"/>
  <c r="BY103" i="5"/>
  <c r="BV103" i="5"/>
  <c r="BW103" i="5"/>
  <c r="BU103" i="5"/>
  <c r="BT103" i="5"/>
  <c r="BS103" i="5"/>
  <c r="BR103" i="5"/>
  <c r="BQ103" i="5"/>
  <c r="BK103" i="5"/>
  <c r="BI103" i="5"/>
  <c r="BM103" i="5"/>
  <c r="BH103" i="5"/>
  <c r="BJ103" i="5"/>
  <c r="BG103" i="5"/>
  <c r="BE103" i="5"/>
  <c r="BF103" i="5"/>
  <c r="BD103" i="5"/>
  <c r="BA103" i="5"/>
  <c r="BP103" i="5" s="1"/>
  <c r="AY103" i="5"/>
  <c r="AZ103" i="5"/>
  <c r="AU103" i="5"/>
  <c r="BB103" i="5" s="1"/>
  <c r="AV103" i="5"/>
  <c r="BO103" i="5" s="1"/>
  <c r="CJ176" i="5"/>
  <c r="CK176" i="5"/>
  <c r="CI176" i="5"/>
  <c r="CG176" i="5"/>
  <c r="CH176" i="5"/>
  <c r="CF176" i="5"/>
  <c r="CC176" i="5"/>
  <c r="CD176" i="5"/>
  <c r="CE176" i="5"/>
  <c r="CA176" i="5"/>
  <c r="BZ176" i="5"/>
  <c r="BX176" i="5"/>
  <c r="BV176" i="5"/>
  <c r="BW176" i="5"/>
  <c r="BY176" i="5"/>
  <c r="BU176" i="5"/>
  <c r="BS176" i="5"/>
  <c r="BT176" i="5"/>
  <c r="BQ176" i="5"/>
  <c r="BR176" i="5"/>
  <c r="BM176" i="5"/>
  <c r="BL176" i="5"/>
  <c r="BK176" i="5"/>
  <c r="BJ176" i="5"/>
  <c r="BI176" i="5"/>
  <c r="BH176" i="5"/>
  <c r="BG176" i="5"/>
  <c r="BF176" i="5"/>
  <c r="BE176" i="5"/>
  <c r="BD176" i="5"/>
  <c r="BA176" i="5"/>
  <c r="BP176" i="5" s="1"/>
  <c r="AZ176" i="5"/>
  <c r="AV176" i="5"/>
  <c r="BO176" i="5" s="1"/>
  <c r="AY176" i="5"/>
  <c r="AU176" i="5"/>
  <c r="BB176" i="5" s="1"/>
  <c r="CK250" i="5"/>
  <c r="CJ250" i="5"/>
  <c r="CI250" i="5"/>
  <c r="CG250" i="5"/>
  <c r="CD250" i="5"/>
  <c r="CH250" i="5"/>
  <c r="CF250" i="5"/>
  <c r="CE250" i="5"/>
  <c r="CC250" i="5"/>
  <c r="BY250" i="5"/>
  <c r="BZ250" i="5"/>
  <c r="CA250" i="5"/>
  <c r="BU250" i="5"/>
  <c r="BX250" i="5"/>
  <c r="BW250" i="5"/>
  <c r="BV250" i="5"/>
  <c r="BS250" i="5"/>
  <c r="BT250" i="5"/>
  <c r="BQ250" i="5"/>
  <c r="BR250" i="5"/>
  <c r="BM250" i="5"/>
  <c r="BL250" i="5"/>
  <c r="BK250" i="5"/>
  <c r="BJ250" i="5"/>
  <c r="BI250" i="5"/>
  <c r="BH250" i="5"/>
  <c r="BF250" i="5"/>
  <c r="BG250" i="5"/>
  <c r="BD250" i="5"/>
  <c r="BE250" i="5"/>
  <c r="BA250" i="5"/>
  <c r="BP250" i="5" s="1"/>
  <c r="AZ250" i="5"/>
  <c r="AY250" i="5"/>
  <c r="AU250" i="5"/>
  <c r="BN250" i="5" s="1"/>
  <c r="AV250" i="5"/>
  <c r="BC250" i="5" s="1"/>
  <c r="CK323" i="5"/>
  <c r="CE323" i="5"/>
  <c r="CD323" i="5"/>
  <c r="CF323" i="5"/>
  <c r="CI323" i="5"/>
  <c r="CC323" i="5"/>
  <c r="BY323" i="5"/>
  <c r="CA323" i="5"/>
  <c r="BW323" i="5"/>
  <c r="BV323" i="5"/>
  <c r="BU323" i="5"/>
  <c r="BT323" i="5"/>
  <c r="BS323" i="5"/>
  <c r="BR323" i="5"/>
  <c r="BQ323" i="5"/>
  <c r="BK323" i="5"/>
  <c r="BM323" i="5"/>
  <c r="BI323" i="5"/>
  <c r="BJ323" i="5"/>
  <c r="BG323" i="5"/>
  <c r="BH323" i="5"/>
  <c r="BF323" i="5"/>
  <c r="BE323" i="5"/>
  <c r="BD323" i="5"/>
  <c r="BA323" i="5"/>
  <c r="BP323" i="5" s="1"/>
  <c r="AY323" i="5"/>
  <c r="AZ323" i="5"/>
  <c r="AU323" i="5"/>
  <c r="BB323" i="5" s="1"/>
  <c r="AV323" i="5"/>
  <c r="BO323" i="5" s="1"/>
  <c r="CK396" i="5"/>
  <c r="CJ396" i="5"/>
  <c r="CH396" i="5"/>
  <c r="CF396" i="5"/>
  <c r="CI396" i="5"/>
  <c r="CG396" i="5"/>
  <c r="CD396" i="5"/>
  <c r="CC396" i="5"/>
  <c r="CE396" i="5"/>
  <c r="CA396" i="5"/>
  <c r="BZ396" i="5"/>
  <c r="BV396" i="5"/>
  <c r="BY396" i="5"/>
  <c r="BX396" i="5"/>
  <c r="BW396" i="5"/>
  <c r="BU396" i="5"/>
  <c r="BT396" i="5"/>
  <c r="BS396" i="5"/>
  <c r="BR396" i="5"/>
  <c r="BQ396" i="5"/>
  <c r="BL396" i="5"/>
  <c r="BM396" i="5"/>
  <c r="BK396" i="5"/>
  <c r="BJ396" i="5"/>
  <c r="BI396" i="5"/>
  <c r="BH396" i="5"/>
  <c r="BF396" i="5"/>
  <c r="BG396" i="5"/>
  <c r="BE396" i="5"/>
  <c r="BD396" i="5"/>
  <c r="AZ396" i="5"/>
  <c r="BA396" i="5"/>
  <c r="BP396" i="5" s="1"/>
  <c r="AY396" i="5"/>
  <c r="AV396" i="5"/>
  <c r="BC396" i="5" s="1"/>
  <c r="AU396" i="5"/>
  <c r="BN396" i="5" s="1"/>
  <c r="CK469" i="5"/>
  <c r="CJ469" i="5"/>
  <c r="CI469" i="5"/>
  <c r="CG469" i="5"/>
  <c r="CE469" i="5"/>
  <c r="CH469" i="5"/>
  <c r="CD469" i="5"/>
  <c r="CF469" i="5"/>
  <c r="CC469" i="5"/>
  <c r="CA469" i="5"/>
  <c r="BW469" i="5"/>
  <c r="BZ469" i="5"/>
  <c r="BY469" i="5"/>
  <c r="BX469" i="5"/>
  <c r="BV469" i="5"/>
  <c r="BT469" i="5"/>
  <c r="BU469" i="5"/>
  <c r="BR469" i="5"/>
  <c r="BS469" i="5"/>
  <c r="BQ469" i="5"/>
  <c r="BM469" i="5"/>
  <c r="BL469" i="5"/>
  <c r="BK469" i="5"/>
  <c r="BJ469" i="5"/>
  <c r="BI469" i="5"/>
  <c r="BF469" i="5"/>
  <c r="BH469" i="5"/>
  <c r="BG469" i="5"/>
  <c r="BE469" i="5"/>
  <c r="BD469" i="5"/>
  <c r="BA469" i="5"/>
  <c r="BP469" i="5" s="1"/>
  <c r="AZ469" i="5"/>
  <c r="AY469" i="5"/>
  <c r="AV469" i="5"/>
  <c r="BO469" i="5" s="1"/>
  <c r="AU469" i="5"/>
  <c r="BN469" i="5" s="1"/>
  <c r="CK542" i="5"/>
  <c r="CI542" i="5"/>
  <c r="CF542" i="5"/>
  <c r="CD542" i="5"/>
  <c r="CE542" i="5"/>
  <c r="CC542" i="5"/>
  <c r="BY542" i="5"/>
  <c r="CA542" i="5"/>
  <c r="BU542" i="5"/>
  <c r="BW542" i="5"/>
  <c r="BV542" i="5"/>
  <c r="BS542" i="5"/>
  <c r="BT542" i="5"/>
  <c r="BR542" i="5"/>
  <c r="BQ542" i="5"/>
  <c r="BM542" i="5"/>
  <c r="BK542" i="5"/>
  <c r="BJ542" i="5"/>
  <c r="BI542" i="5"/>
  <c r="BH542" i="5"/>
  <c r="BG542" i="5"/>
  <c r="BF542" i="5"/>
  <c r="BE542" i="5"/>
  <c r="BD542" i="5"/>
  <c r="BA542" i="5"/>
  <c r="BP542" i="5" s="1"/>
  <c r="AV542" i="5"/>
  <c r="BC542" i="5" s="1"/>
  <c r="AZ542" i="5"/>
  <c r="AY542" i="5"/>
  <c r="AU542" i="5"/>
  <c r="BB542" i="5" s="1"/>
  <c r="CK615" i="5"/>
  <c r="CE615" i="5"/>
  <c r="CI615" i="5"/>
  <c r="CF615" i="5"/>
  <c r="CD615" i="5"/>
  <c r="CC615" i="5"/>
  <c r="CA615" i="5"/>
  <c r="BY615" i="5"/>
  <c r="BV615" i="5"/>
  <c r="BW615" i="5"/>
  <c r="BT615" i="5"/>
  <c r="BU615" i="5"/>
  <c r="BS615" i="5"/>
  <c r="BR615" i="5"/>
  <c r="BQ615" i="5"/>
  <c r="BK615" i="5"/>
  <c r="BI615" i="5"/>
  <c r="BM615" i="5"/>
  <c r="BJ615" i="5"/>
  <c r="BG615" i="5"/>
  <c r="BE615" i="5"/>
  <c r="BH615" i="5"/>
  <c r="BF615" i="5"/>
  <c r="BD615" i="5"/>
  <c r="AY615" i="5"/>
  <c r="BA615" i="5"/>
  <c r="BP615" i="5" s="1"/>
  <c r="AZ615" i="5"/>
  <c r="AU615" i="5"/>
  <c r="BB615" i="5" s="1"/>
  <c r="AV615" i="5"/>
  <c r="BO615" i="5" s="1"/>
  <c r="CK688" i="5"/>
  <c r="CI688" i="5"/>
  <c r="CJ688" i="5"/>
  <c r="CF688" i="5"/>
  <c r="CH688" i="5"/>
  <c r="CC688" i="5"/>
  <c r="CG688" i="5"/>
  <c r="CD688" i="5"/>
  <c r="CE688" i="5"/>
  <c r="CA688" i="5"/>
  <c r="BZ688" i="5"/>
  <c r="BX688" i="5"/>
  <c r="BY688" i="5"/>
  <c r="BW688" i="5"/>
  <c r="BV688" i="5"/>
  <c r="BU688" i="5"/>
  <c r="BT688" i="5"/>
  <c r="BS688" i="5"/>
  <c r="BQ688" i="5"/>
  <c r="BR688" i="5"/>
  <c r="BL688" i="5"/>
  <c r="BK688" i="5"/>
  <c r="BM688" i="5"/>
  <c r="BJ688" i="5"/>
  <c r="BI688" i="5"/>
  <c r="BH688" i="5"/>
  <c r="BG688" i="5"/>
  <c r="BF688" i="5"/>
  <c r="BE688" i="5"/>
  <c r="BD688" i="5"/>
  <c r="AZ688" i="5"/>
  <c r="AV688" i="5"/>
  <c r="BO688" i="5" s="1"/>
  <c r="AY688" i="5"/>
  <c r="BA688" i="5"/>
  <c r="BP688" i="5" s="1"/>
  <c r="AU688" i="5"/>
  <c r="BN688" i="5" s="1"/>
  <c r="CK762" i="5"/>
  <c r="CJ762" i="5"/>
  <c r="CI762" i="5"/>
  <c r="CH762" i="5"/>
  <c r="CF762" i="5"/>
  <c r="CE762" i="5"/>
  <c r="CG762" i="5"/>
  <c r="CD762" i="5"/>
  <c r="CC762" i="5"/>
  <c r="CA762" i="5"/>
  <c r="BZ762" i="5"/>
  <c r="BU762" i="5"/>
  <c r="BY762" i="5"/>
  <c r="BW762" i="5"/>
  <c r="BX762" i="5"/>
  <c r="BV762" i="5"/>
  <c r="BS762" i="5"/>
  <c r="BT762" i="5"/>
  <c r="BQ762" i="5"/>
  <c r="BR762" i="5"/>
  <c r="BM762" i="5"/>
  <c r="BL762" i="5"/>
  <c r="BJ762" i="5"/>
  <c r="BI762" i="5"/>
  <c r="BK762" i="5"/>
  <c r="BF762" i="5"/>
  <c r="BH762" i="5"/>
  <c r="BG762" i="5"/>
  <c r="BD762" i="5"/>
  <c r="BE762" i="5"/>
  <c r="BA762" i="5"/>
  <c r="BP762" i="5" s="1"/>
  <c r="AZ762" i="5"/>
  <c r="AY762" i="5"/>
  <c r="AU762" i="5"/>
  <c r="BN762" i="5" s="1"/>
  <c r="AV762" i="5"/>
  <c r="BO762" i="5" s="1"/>
  <c r="CE835" i="5"/>
  <c r="CK835" i="5"/>
  <c r="CI835" i="5"/>
  <c r="CF835" i="5"/>
  <c r="CD835" i="5"/>
  <c r="CC835" i="5"/>
  <c r="BY835" i="5"/>
  <c r="CA835" i="5"/>
  <c r="BV835" i="5"/>
  <c r="BW835" i="5"/>
  <c r="BU835" i="5"/>
  <c r="BT835" i="5"/>
  <c r="BS835" i="5"/>
  <c r="BR835" i="5"/>
  <c r="BQ835" i="5"/>
  <c r="BM835" i="5"/>
  <c r="BI835" i="5"/>
  <c r="BK835" i="5"/>
  <c r="BJ835" i="5"/>
  <c r="BG835" i="5"/>
  <c r="BH835" i="5"/>
  <c r="BE835" i="5"/>
  <c r="BD835" i="5"/>
  <c r="BF835" i="5"/>
  <c r="AY835" i="5"/>
  <c r="BA835" i="5"/>
  <c r="BP835" i="5" s="1"/>
  <c r="AZ835" i="5"/>
  <c r="AU835" i="5"/>
  <c r="BN835" i="5" s="1"/>
  <c r="AV835" i="5"/>
  <c r="BC835" i="5" s="1"/>
  <c r="CF908" i="5"/>
  <c r="CK908" i="5"/>
  <c r="CI908" i="5"/>
  <c r="CJ908" i="5"/>
  <c r="CH908" i="5"/>
  <c r="CG908" i="5"/>
  <c r="CE908" i="5"/>
  <c r="CD908" i="5"/>
  <c r="CA908" i="5"/>
  <c r="CC908" i="5"/>
  <c r="BZ908" i="5"/>
  <c r="BX908" i="5"/>
  <c r="BY908" i="5"/>
  <c r="BW908" i="5"/>
  <c r="BU908" i="5"/>
  <c r="BV908" i="5"/>
  <c r="BT908" i="5"/>
  <c r="BR908" i="5"/>
  <c r="BQ908" i="5"/>
  <c r="BS908" i="5"/>
  <c r="BM908" i="5"/>
  <c r="BJ908" i="5"/>
  <c r="BL908" i="5"/>
  <c r="BK908" i="5"/>
  <c r="BI908" i="5"/>
  <c r="BH908" i="5"/>
  <c r="BF908" i="5"/>
  <c r="BG908" i="5"/>
  <c r="BE908" i="5"/>
  <c r="BD908" i="5"/>
  <c r="AZ908" i="5"/>
  <c r="AY908" i="5"/>
  <c r="BA908" i="5"/>
  <c r="BP908" i="5" s="1"/>
  <c r="AV908" i="5"/>
  <c r="BO908" i="5" s="1"/>
  <c r="AU908" i="5"/>
  <c r="BN908" i="5" s="1"/>
  <c r="CK981" i="5"/>
  <c r="CI981" i="5"/>
  <c r="CD981" i="5"/>
  <c r="CE981" i="5"/>
  <c r="CF981" i="5"/>
  <c r="CC981" i="5"/>
  <c r="CA981" i="5"/>
  <c r="BW981" i="5"/>
  <c r="BY981" i="5"/>
  <c r="BV981" i="5"/>
  <c r="BU981" i="5"/>
  <c r="BR981" i="5"/>
  <c r="BT981" i="5"/>
  <c r="BQ981" i="5"/>
  <c r="BS981" i="5"/>
  <c r="BM981" i="5"/>
  <c r="BK981" i="5"/>
  <c r="BI981" i="5"/>
  <c r="BJ981" i="5"/>
  <c r="BH981" i="5"/>
  <c r="BG981" i="5"/>
  <c r="BF981" i="5"/>
  <c r="BE981" i="5"/>
  <c r="BD981" i="5"/>
  <c r="BA981" i="5"/>
  <c r="BP981" i="5" s="1"/>
  <c r="AZ981" i="5"/>
  <c r="AY981" i="5"/>
  <c r="AV981" i="5"/>
  <c r="BO981" i="5" s="1"/>
  <c r="AU981" i="5"/>
  <c r="BN981" i="5" s="1"/>
  <c r="CI1054" i="5"/>
  <c r="CK1054" i="5"/>
  <c r="CC1054" i="5"/>
  <c r="CE1054" i="5"/>
  <c r="CF1054" i="5"/>
  <c r="CD1054" i="5"/>
  <c r="CA1054" i="5"/>
  <c r="BY1054" i="5"/>
  <c r="BU1054" i="5"/>
  <c r="BW1054" i="5"/>
  <c r="BV1054" i="5"/>
  <c r="BS1054" i="5"/>
  <c r="BR1054" i="5"/>
  <c r="BT1054" i="5"/>
  <c r="BQ1054" i="5"/>
  <c r="BM1054" i="5"/>
  <c r="BI1054" i="5"/>
  <c r="BK1054" i="5"/>
  <c r="BJ1054" i="5"/>
  <c r="BH1054" i="5"/>
  <c r="BG1054" i="5"/>
  <c r="BF1054" i="5"/>
  <c r="BE1054" i="5"/>
  <c r="BD1054" i="5"/>
  <c r="AV1054" i="5"/>
  <c r="BO1054" i="5" s="1"/>
  <c r="BA1054" i="5"/>
  <c r="BP1054" i="5" s="1"/>
  <c r="AZ1054" i="5"/>
  <c r="AY1054" i="5"/>
  <c r="AU1054" i="5"/>
  <c r="BB1054" i="5" s="1"/>
  <c r="CE1127" i="5"/>
  <c r="CK1127" i="5"/>
  <c r="CI1127" i="5"/>
  <c r="CF1127" i="5"/>
  <c r="CC1127" i="5"/>
  <c r="CD1127" i="5"/>
  <c r="CA1127" i="5"/>
  <c r="BY1127" i="5"/>
  <c r="BV1127" i="5"/>
  <c r="BW1127" i="5"/>
  <c r="BU1127" i="5"/>
  <c r="BT1127" i="5"/>
  <c r="BR1127" i="5"/>
  <c r="BQ1127" i="5"/>
  <c r="BS1127" i="5"/>
  <c r="BM1127" i="5"/>
  <c r="BK1127" i="5"/>
  <c r="BJ1127" i="5"/>
  <c r="BI1127" i="5"/>
  <c r="BG1127" i="5"/>
  <c r="BE1127" i="5"/>
  <c r="BH1127" i="5"/>
  <c r="BF1127" i="5"/>
  <c r="BD1127" i="5"/>
  <c r="AY1127" i="5"/>
  <c r="BA1127" i="5"/>
  <c r="BP1127" i="5" s="1"/>
  <c r="AZ1127" i="5"/>
  <c r="AV1127" i="5"/>
  <c r="BO1127" i="5" s="1"/>
  <c r="AU1127" i="5"/>
  <c r="BN1127" i="5" s="1"/>
  <c r="CI1200" i="5"/>
  <c r="CF1200" i="5"/>
  <c r="CK1200" i="5"/>
  <c r="CD1200" i="5"/>
  <c r="CE1200" i="5"/>
  <c r="CA1200" i="5"/>
  <c r="CC1200" i="5"/>
  <c r="BY1200" i="5"/>
  <c r="BW1200" i="5"/>
  <c r="BV1200" i="5"/>
  <c r="BU1200" i="5"/>
  <c r="BT1200" i="5"/>
  <c r="BS1200" i="5"/>
  <c r="BR1200" i="5"/>
  <c r="BQ1200" i="5"/>
  <c r="BM1200" i="5"/>
  <c r="BJ1200" i="5"/>
  <c r="BK1200" i="5"/>
  <c r="BH1200" i="5"/>
  <c r="BI1200" i="5"/>
  <c r="BG1200" i="5"/>
  <c r="BF1200" i="5"/>
  <c r="BE1200" i="5"/>
  <c r="BD1200" i="5"/>
  <c r="AZ1200" i="5"/>
  <c r="AV1200" i="5"/>
  <c r="BO1200" i="5" s="1"/>
  <c r="AY1200" i="5"/>
  <c r="BA1200" i="5"/>
  <c r="BP1200" i="5" s="1"/>
  <c r="AU1200" i="5"/>
  <c r="BN1200" i="5" s="1"/>
  <c r="CI1274" i="5"/>
  <c r="CK1274" i="5"/>
  <c r="CE1274" i="5"/>
  <c r="CC1274" i="5"/>
  <c r="CD1274" i="5"/>
  <c r="CF1274" i="5"/>
  <c r="CA1274" i="5"/>
  <c r="BY1274" i="5"/>
  <c r="BW1274" i="5"/>
  <c r="BV1274" i="5"/>
  <c r="BU1274" i="5"/>
  <c r="BS1274" i="5"/>
  <c r="BT1274" i="5"/>
  <c r="BR1274" i="5"/>
  <c r="BQ1274" i="5"/>
  <c r="BM1274" i="5"/>
  <c r="BI1274" i="5"/>
  <c r="BK1274" i="5"/>
  <c r="BJ1274" i="5"/>
  <c r="BH1274" i="5"/>
  <c r="BG1274" i="5"/>
  <c r="BF1274" i="5"/>
  <c r="BE1274" i="5"/>
  <c r="BD1274" i="5"/>
  <c r="BA1274" i="5"/>
  <c r="BP1274" i="5" s="1"/>
  <c r="AZ1274" i="5"/>
  <c r="AY1274" i="5"/>
  <c r="AU1274" i="5"/>
  <c r="BN1274" i="5" s="1"/>
  <c r="AV1274" i="5"/>
  <c r="BO1274" i="5" s="1"/>
  <c r="CK159" i="5"/>
  <c r="CH159" i="5"/>
  <c r="CE159" i="5"/>
  <c r="CI159" i="5"/>
  <c r="CJ159" i="5"/>
  <c r="CF159" i="5"/>
  <c r="CG159" i="5"/>
  <c r="CD159" i="5"/>
  <c r="CC159" i="5"/>
  <c r="BZ159" i="5"/>
  <c r="CA159" i="5"/>
  <c r="BX159" i="5"/>
  <c r="BY159" i="5"/>
  <c r="BV159" i="5"/>
  <c r="BW159" i="5"/>
  <c r="BT159" i="5"/>
  <c r="BU159" i="5"/>
  <c r="BS159" i="5"/>
  <c r="BQ159" i="5"/>
  <c r="BR159" i="5"/>
  <c r="BK159" i="5"/>
  <c r="BL159" i="5"/>
  <c r="BI159" i="5"/>
  <c r="BM159" i="5"/>
  <c r="BH159" i="5"/>
  <c r="BJ159" i="5"/>
  <c r="BG159" i="5"/>
  <c r="BE159" i="5"/>
  <c r="BF159" i="5"/>
  <c r="BD159" i="5"/>
  <c r="BA159" i="5"/>
  <c r="AY159" i="5"/>
  <c r="AZ159" i="5"/>
  <c r="AV159" i="5"/>
  <c r="AU159" i="5"/>
  <c r="CK306" i="5"/>
  <c r="CJ306" i="5"/>
  <c r="CI306" i="5"/>
  <c r="CG306" i="5"/>
  <c r="CD306" i="5"/>
  <c r="CF306" i="5"/>
  <c r="CE306" i="5"/>
  <c r="CH306" i="5"/>
  <c r="CC306" i="5"/>
  <c r="BY306" i="5"/>
  <c r="CA306" i="5"/>
  <c r="BZ306" i="5"/>
  <c r="BX306" i="5"/>
  <c r="BU306" i="5"/>
  <c r="BV306" i="5"/>
  <c r="BW306" i="5"/>
  <c r="BS306" i="5"/>
  <c r="BT306" i="5"/>
  <c r="BQ306" i="5"/>
  <c r="BR306" i="5"/>
  <c r="BM306" i="5"/>
  <c r="BK306" i="5"/>
  <c r="BL306" i="5"/>
  <c r="BJ306" i="5"/>
  <c r="BI306" i="5"/>
  <c r="BF306" i="5"/>
  <c r="BD306" i="5"/>
  <c r="BG306" i="5"/>
  <c r="BH306" i="5"/>
  <c r="BE306" i="5"/>
  <c r="BA306" i="5"/>
  <c r="BP306" i="5" s="1"/>
  <c r="AZ306" i="5"/>
  <c r="AY306" i="5"/>
  <c r="AU306" i="5"/>
  <c r="BN306" i="5" s="1"/>
  <c r="AV306" i="5"/>
  <c r="BO306" i="5" s="1"/>
  <c r="CK452" i="5"/>
  <c r="CF452" i="5"/>
  <c r="CI452" i="5"/>
  <c r="CC452" i="5"/>
  <c r="CD452" i="5"/>
  <c r="CE452" i="5"/>
  <c r="CA452" i="5"/>
  <c r="BY452" i="5"/>
  <c r="BV452" i="5"/>
  <c r="BW452" i="5"/>
  <c r="BU452" i="5"/>
  <c r="BT452" i="5"/>
  <c r="BS452" i="5"/>
  <c r="BR452" i="5"/>
  <c r="BQ452" i="5"/>
  <c r="BM452" i="5"/>
  <c r="BJ452" i="5"/>
  <c r="BK452" i="5"/>
  <c r="BI452" i="5"/>
  <c r="BH452" i="5"/>
  <c r="BG452" i="5"/>
  <c r="BF452" i="5"/>
  <c r="BE452" i="5"/>
  <c r="BD452" i="5"/>
  <c r="AZ452" i="5"/>
  <c r="BA452" i="5"/>
  <c r="BP452" i="5" s="1"/>
  <c r="AY452" i="5"/>
  <c r="AU452" i="5"/>
  <c r="BN452" i="5" s="1"/>
  <c r="AV452" i="5"/>
  <c r="BC452" i="5" s="1"/>
  <c r="CI598" i="5"/>
  <c r="CJ598" i="5"/>
  <c r="CK598" i="5"/>
  <c r="CH598" i="5"/>
  <c r="CG598" i="5"/>
  <c r="CF598" i="5"/>
  <c r="CD598" i="5"/>
  <c r="CC598" i="5"/>
  <c r="CE598" i="5"/>
  <c r="BX598" i="5"/>
  <c r="CA598" i="5"/>
  <c r="BY598" i="5"/>
  <c r="BZ598" i="5"/>
  <c r="BW598" i="5"/>
  <c r="BU598" i="5"/>
  <c r="BV598" i="5"/>
  <c r="BS598" i="5"/>
  <c r="BT598" i="5"/>
  <c r="BQ598" i="5"/>
  <c r="BR598" i="5"/>
  <c r="BM598" i="5"/>
  <c r="BK598" i="5"/>
  <c r="BL598" i="5"/>
  <c r="BJ598" i="5"/>
  <c r="BI598" i="5"/>
  <c r="BF598" i="5"/>
  <c r="BH598" i="5"/>
  <c r="BG598" i="5"/>
  <c r="BE598" i="5"/>
  <c r="BD598" i="5"/>
  <c r="BA598" i="5"/>
  <c r="BP598" i="5" s="1"/>
  <c r="AZ598" i="5"/>
  <c r="AY598" i="5"/>
  <c r="AV598" i="5"/>
  <c r="BO598" i="5" s="1"/>
  <c r="AU598" i="5"/>
  <c r="BB598" i="5" s="1"/>
  <c r="CK744" i="5"/>
  <c r="CF744" i="5"/>
  <c r="CH744" i="5"/>
  <c r="CJ744" i="5"/>
  <c r="CE744" i="5"/>
  <c r="CI744" i="5"/>
  <c r="CC744" i="5"/>
  <c r="CG744" i="5"/>
  <c r="CD744" i="5"/>
  <c r="CA744" i="5"/>
  <c r="BZ744" i="5"/>
  <c r="BY744" i="5"/>
  <c r="BX744" i="5"/>
  <c r="BV744" i="5"/>
  <c r="BW744" i="5"/>
  <c r="BU744" i="5"/>
  <c r="BT744" i="5"/>
  <c r="BS744" i="5"/>
  <c r="BR744" i="5"/>
  <c r="BQ744" i="5"/>
  <c r="BL744" i="5"/>
  <c r="BK744" i="5"/>
  <c r="BM744" i="5"/>
  <c r="BJ744" i="5"/>
  <c r="BH744" i="5"/>
  <c r="BI744" i="5"/>
  <c r="BG744" i="5"/>
  <c r="BF744" i="5"/>
  <c r="BE744" i="5"/>
  <c r="BD744" i="5"/>
  <c r="AZ744" i="5"/>
  <c r="AV744" i="5"/>
  <c r="BC744" i="5" s="1"/>
  <c r="AY744" i="5"/>
  <c r="BA744" i="5"/>
  <c r="BP744" i="5" s="1"/>
  <c r="AU744" i="5"/>
  <c r="BN744" i="5" s="1"/>
  <c r="CK891" i="5"/>
  <c r="CI891" i="5"/>
  <c r="CE891" i="5"/>
  <c r="CF891" i="5"/>
  <c r="CD891" i="5"/>
  <c r="CC891" i="5"/>
  <c r="BY891" i="5"/>
  <c r="CA891" i="5"/>
  <c r="BW891" i="5"/>
  <c r="BV891" i="5"/>
  <c r="BU891" i="5"/>
  <c r="BT891" i="5"/>
  <c r="BR891" i="5"/>
  <c r="BS891" i="5"/>
  <c r="BQ891" i="5"/>
  <c r="BM891" i="5"/>
  <c r="BI891" i="5"/>
  <c r="BJ891" i="5"/>
  <c r="BG891" i="5"/>
  <c r="BK891" i="5"/>
  <c r="BH891" i="5"/>
  <c r="BE891" i="5"/>
  <c r="BF891" i="5"/>
  <c r="BD891" i="5"/>
  <c r="AY891" i="5"/>
  <c r="AU891" i="5"/>
  <c r="BN891" i="5" s="1"/>
  <c r="BA891" i="5"/>
  <c r="BP891" i="5" s="1"/>
  <c r="AZ891" i="5"/>
  <c r="AV891" i="5"/>
  <c r="BO891" i="5" s="1"/>
  <c r="CK964" i="5"/>
  <c r="CF964" i="5"/>
  <c r="CI964" i="5"/>
  <c r="CE964" i="5"/>
  <c r="CD964" i="5"/>
  <c r="CA964" i="5"/>
  <c r="CC964" i="5"/>
  <c r="BY964" i="5"/>
  <c r="BW964" i="5"/>
  <c r="BU964" i="5"/>
  <c r="BV964" i="5"/>
  <c r="BT964" i="5"/>
  <c r="BR964" i="5"/>
  <c r="BS964" i="5"/>
  <c r="BQ964" i="5"/>
  <c r="BM964" i="5"/>
  <c r="BJ964" i="5"/>
  <c r="BK964" i="5"/>
  <c r="BI964" i="5"/>
  <c r="BH964" i="5"/>
  <c r="BG964" i="5"/>
  <c r="BF964" i="5"/>
  <c r="BD964" i="5"/>
  <c r="BE964" i="5"/>
  <c r="AZ964" i="5"/>
  <c r="AY964" i="5"/>
  <c r="BA964" i="5"/>
  <c r="BP964" i="5" s="1"/>
  <c r="AU964" i="5"/>
  <c r="BN964" i="5" s="1"/>
  <c r="AV964" i="5"/>
  <c r="BC964" i="5" s="1"/>
  <c r="CK1110" i="5"/>
  <c r="CI1110" i="5"/>
  <c r="CC1110" i="5"/>
  <c r="CD1110" i="5"/>
  <c r="CF1110" i="5"/>
  <c r="CE1110" i="5"/>
  <c r="CA1110" i="5"/>
  <c r="BY1110" i="5"/>
  <c r="BW1110" i="5"/>
  <c r="BU1110" i="5"/>
  <c r="BV1110" i="5"/>
  <c r="BS1110" i="5"/>
  <c r="BR1110" i="5"/>
  <c r="BT1110" i="5"/>
  <c r="BQ1110" i="5"/>
  <c r="BM1110" i="5"/>
  <c r="BI1110" i="5"/>
  <c r="BK1110" i="5"/>
  <c r="BJ1110" i="5"/>
  <c r="BH1110" i="5"/>
  <c r="BG1110" i="5"/>
  <c r="BF1110" i="5"/>
  <c r="BE1110" i="5"/>
  <c r="BD1110" i="5"/>
  <c r="BA1110" i="5"/>
  <c r="BP1110" i="5" s="1"/>
  <c r="AZ1110" i="5"/>
  <c r="AY1110" i="5"/>
  <c r="AV1110" i="5"/>
  <c r="BO1110" i="5" s="1"/>
  <c r="AU1110" i="5"/>
  <c r="BN1110" i="5" s="1"/>
  <c r="CK1183" i="5"/>
  <c r="CE1183" i="5"/>
  <c r="CI1183" i="5"/>
  <c r="CF1183" i="5"/>
  <c r="CD1183" i="5"/>
  <c r="CC1183" i="5"/>
  <c r="BY1183" i="5"/>
  <c r="CA1183" i="5"/>
  <c r="BV1183" i="5"/>
  <c r="BW1183" i="5"/>
  <c r="BU1183" i="5"/>
  <c r="BT1183" i="5"/>
  <c r="BR1183" i="5"/>
  <c r="BQ1183" i="5"/>
  <c r="BS1183" i="5"/>
  <c r="BM1183" i="5"/>
  <c r="BI1183" i="5"/>
  <c r="BK1183" i="5"/>
  <c r="BJ1183" i="5"/>
  <c r="BG1183" i="5"/>
  <c r="BE1183" i="5"/>
  <c r="BH1183" i="5"/>
  <c r="BF1183" i="5"/>
  <c r="BD1183" i="5"/>
  <c r="AY1183" i="5"/>
  <c r="BA1183" i="5"/>
  <c r="BP1183" i="5" s="1"/>
  <c r="AZ1183" i="5"/>
  <c r="AV1183" i="5"/>
  <c r="BO1183" i="5" s="1"/>
  <c r="AU1183" i="5"/>
  <c r="BB1183" i="5" s="1"/>
  <c r="CK1256" i="5"/>
  <c r="CF1256" i="5"/>
  <c r="CE1256" i="5"/>
  <c r="CI1256" i="5"/>
  <c r="CD1256" i="5"/>
  <c r="CA1256" i="5"/>
  <c r="CC1256" i="5"/>
  <c r="BY1256" i="5"/>
  <c r="BW1256" i="5"/>
  <c r="BV1256" i="5"/>
  <c r="BU1256" i="5"/>
  <c r="BT1256" i="5"/>
  <c r="BS1256" i="5"/>
  <c r="BR1256" i="5"/>
  <c r="BQ1256" i="5"/>
  <c r="BM1256" i="5"/>
  <c r="BJ1256" i="5"/>
  <c r="BH1256" i="5"/>
  <c r="BK1256" i="5"/>
  <c r="BI1256" i="5"/>
  <c r="BG1256" i="5"/>
  <c r="BF1256" i="5"/>
  <c r="BE1256" i="5"/>
  <c r="BD1256" i="5"/>
  <c r="AZ1256" i="5"/>
  <c r="AV1256" i="5"/>
  <c r="BO1256" i="5" s="1"/>
  <c r="AY1256" i="5"/>
  <c r="BA1256" i="5"/>
  <c r="BP1256" i="5" s="1"/>
  <c r="AU1256" i="5"/>
  <c r="BB1256" i="5" s="1"/>
  <c r="CI1326" i="5"/>
  <c r="CK1326" i="5"/>
  <c r="CH1326" i="5"/>
  <c r="CG1326" i="5"/>
  <c r="CJ1326" i="5"/>
  <c r="CF1326" i="5"/>
  <c r="CC1326" i="5"/>
  <c r="CD1326" i="5"/>
  <c r="CE1326" i="5"/>
  <c r="CA1326" i="5"/>
  <c r="BZ1326" i="5"/>
  <c r="BY1326" i="5"/>
  <c r="BX1326" i="5"/>
  <c r="BW1326" i="5"/>
  <c r="BU1326" i="5"/>
  <c r="BV1326" i="5"/>
  <c r="BS1326" i="5"/>
  <c r="BT1326" i="5"/>
  <c r="BR1326" i="5"/>
  <c r="BQ1326" i="5"/>
  <c r="BM1326" i="5"/>
  <c r="BL1326" i="5"/>
  <c r="BK1326" i="5"/>
  <c r="BJ1326" i="5"/>
  <c r="BI1326" i="5"/>
  <c r="BH1326" i="5"/>
  <c r="BG1326" i="5"/>
  <c r="BF1326" i="5"/>
  <c r="BE1326" i="5"/>
  <c r="BD1326" i="5"/>
  <c r="BA1326" i="5"/>
  <c r="BP1326" i="5" s="1"/>
  <c r="AZ1326" i="5"/>
  <c r="AY1326" i="5"/>
  <c r="AV1326" i="5"/>
  <c r="BO1326" i="5" s="1"/>
  <c r="AU1326" i="5"/>
  <c r="BB1326" i="5" s="1"/>
  <c r="CK197" i="5"/>
  <c r="CJ197" i="5"/>
  <c r="CI197" i="5"/>
  <c r="CG197" i="5"/>
  <c r="CH197" i="5"/>
  <c r="CF197" i="5"/>
  <c r="CD197" i="5"/>
  <c r="CE197" i="5"/>
  <c r="CC197" i="5"/>
  <c r="BX197" i="5"/>
  <c r="CA197" i="5"/>
  <c r="BW197" i="5"/>
  <c r="BZ197" i="5"/>
  <c r="BY197" i="5"/>
  <c r="BV197" i="5"/>
  <c r="BU197" i="5"/>
  <c r="BT197" i="5"/>
  <c r="BR197" i="5"/>
  <c r="BS197" i="5"/>
  <c r="BQ197" i="5"/>
  <c r="BM197" i="5"/>
  <c r="BL197" i="5"/>
  <c r="BK197" i="5"/>
  <c r="BH197" i="5"/>
  <c r="BJ197" i="5"/>
  <c r="BI197" i="5"/>
  <c r="BG197" i="5"/>
  <c r="BF197" i="5"/>
  <c r="BE197" i="5"/>
  <c r="BD197" i="5"/>
  <c r="BA197" i="5"/>
  <c r="BP197" i="5" s="1"/>
  <c r="AZ197" i="5"/>
  <c r="AY197" i="5"/>
  <c r="AU197" i="5"/>
  <c r="BB197" i="5" s="1"/>
  <c r="AV197" i="5"/>
  <c r="BO197" i="5" s="1"/>
  <c r="CK270" i="5"/>
  <c r="CI270" i="5"/>
  <c r="CD270" i="5"/>
  <c r="CE270" i="5"/>
  <c r="CF270" i="5"/>
  <c r="CC270" i="5"/>
  <c r="BY270" i="5"/>
  <c r="CA270" i="5"/>
  <c r="BU270" i="5"/>
  <c r="BV270" i="5"/>
  <c r="BW270" i="5"/>
  <c r="BS270" i="5"/>
  <c r="BT270" i="5"/>
  <c r="BR270" i="5"/>
  <c r="BQ270" i="5"/>
  <c r="BM270" i="5"/>
  <c r="BK270" i="5"/>
  <c r="BJ270" i="5"/>
  <c r="BI270" i="5"/>
  <c r="BG270" i="5"/>
  <c r="BH270" i="5"/>
  <c r="BF270" i="5"/>
  <c r="BD270" i="5"/>
  <c r="BE270" i="5"/>
  <c r="BA270" i="5"/>
  <c r="BP270" i="5" s="1"/>
  <c r="AZ270" i="5"/>
  <c r="AY270" i="5"/>
  <c r="AV270" i="5"/>
  <c r="BC270" i="5" s="1"/>
  <c r="AU270" i="5"/>
  <c r="BN270" i="5" s="1"/>
  <c r="CK343" i="5"/>
  <c r="CJ343" i="5"/>
  <c r="CH343" i="5"/>
  <c r="CG343" i="5"/>
  <c r="CI343" i="5"/>
  <c r="CE343" i="5"/>
  <c r="CF343" i="5"/>
  <c r="CD343" i="5"/>
  <c r="CC343" i="5"/>
  <c r="BZ343" i="5"/>
  <c r="CA343" i="5"/>
  <c r="BX343" i="5"/>
  <c r="BY343" i="5"/>
  <c r="BV343" i="5"/>
  <c r="BW343" i="5"/>
  <c r="BU343" i="5"/>
  <c r="BT343" i="5"/>
  <c r="BS343" i="5"/>
  <c r="BQ343" i="5"/>
  <c r="BR343" i="5"/>
  <c r="BK343" i="5"/>
  <c r="BM343" i="5"/>
  <c r="BI343" i="5"/>
  <c r="BL343" i="5"/>
  <c r="BJ343" i="5"/>
  <c r="BH343" i="5"/>
  <c r="BG343" i="5"/>
  <c r="BE343" i="5"/>
  <c r="BF343" i="5"/>
  <c r="BD343" i="5"/>
  <c r="BA343" i="5"/>
  <c r="BP343" i="5" s="1"/>
  <c r="AY343" i="5"/>
  <c r="AZ343" i="5"/>
  <c r="AV343" i="5"/>
  <c r="BO343" i="5" s="1"/>
  <c r="AU343" i="5"/>
  <c r="BB343" i="5" s="1"/>
  <c r="CK416" i="5"/>
  <c r="CI416" i="5"/>
  <c r="CF416" i="5"/>
  <c r="CC416" i="5"/>
  <c r="CD416" i="5"/>
  <c r="CE416" i="5"/>
  <c r="CA416" i="5"/>
  <c r="BV416" i="5"/>
  <c r="BY416" i="5"/>
  <c r="BW416" i="5"/>
  <c r="BU416" i="5"/>
  <c r="BT416" i="5"/>
  <c r="BS416" i="5"/>
  <c r="BQ416" i="5"/>
  <c r="BR416" i="5"/>
  <c r="BM416" i="5"/>
  <c r="BK416" i="5"/>
  <c r="BJ416" i="5"/>
  <c r="BH416" i="5"/>
  <c r="BI416" i="5"/>
  <c r="BG416" i="5"/>
  <c r="BF416" i="5"/>
  <c r="BE416" i="5"/>
  <c r="BD416" i="5"/>
  <c r="BA416" i="5"/>
  <c r="BP416" i="5" s="1"/>
  <c r="AZ416" i="5"/>
  <c r="AY416" i="5"/>
  <c r="AV416" i="5"/>
  <c r="BO416" i="5" s="1"/>
  <c r="AU416" i="5"/>
  <c r="BN416" i="5" s="1"/>
  <c r="CI490" i="5"/>
  <c r="CD490" i="5"/>
  <c r="CK490" i="5"/>
  <c r="CE490" i="5"/>
  <c r="CF490" i="5"/>
  <c r="CC490" i="5"/>
  <c r="BY490" i="5"/>
  <c r="CA490" i="5"/>
  <c r="BU490" i="5"/>
  <c r="BV490" i="5"/>
  <c r="BW490" i="5"/>
  <c r="BT490" i="5"/>
  <c r="BS490" i="5"/>
  <c r="BQ490" i="5"/>
  <c r="BR490" i="5"/>
  <c r="BM490" i="5"/>
  <c r="BK490" i="5"/>
  <c r="BJ490" i="5"/>
  <c r="BI490" i="5"/>
  <c r="BH490" i="5"/>
  <c r="BF490" i="5"/>
  <c r="BG490" i="5"/>
  <c r="BD490" i="5"/>
  <c r="BE490" i="5"/>
  <c r="BA490" i="5"/>
  <c r="BP490" i="5" s="1"/>
  <c r="AZ490" i="5"/>
  <c r="AY490" i="5"/>
  <c r="AU490" i="5"/>
  <c r="BB490" i="5" s="1"/>
  <c r="AV490" i="5"/>
  <c r="BC490" i="5" s="1"/>
  <c r="CI563" i="5"/>
  <c r="CE563" i="5"/>
  <c r="CK563" i="5"/>
  <c r="CD563" i="5"/>
  <c r="CF563" i="5"/>
  <c r="CC563" i="5"/>
  <c r="BY563" i="5"/>
  <c r="CA563" i="5"/>
  <c r="BV563" i="5"/>
  <c r="BW563" i="5"/>
  <c r="BU563" i="5"/>
  <c r="BS563" i="5"/>
  <c r="BR563" i="5"/>
  <c r="BT563" i="5"/>
  <c r="BQ563" i="5"/>
  <c r="BK563" i="5"/>
  <c r="BM563" i="5"/>
  <c r="BI563" i="5"/>
  <c r="BG563" i="5"/>
  <c r="BJ563" i="5"/>
  <c r="BF563" i="5"/>
  <c r="BH563" i="5"/>
  <c r="BE563" i="5"/>
  <c r="BD563" i="5"/>
  <c r="BA563" i="5"/>
  <c r="BP563" i="5" s="1"/>
  <c r="AY563" i="5"/>
  <c r="AU563" i="5"/>
  <c r="BB563" i="5" s="1"/>
  <c r="AZ563" i="5"/>
  <c r="AV563" i="5"/>
  <c r="BO563" i="5" s="1"/>
  <c r="CK636" i="5"/>
  <c r="CJ636" i="5"/>
  <c r="CH636" i="5"/>
  <c r="CF636" i="5"/>
  <c r="CG636" i="5"/>
  <c r="CI636" i="5"/>
  <c r="CC636" i="5"/>
  <c r="CD636" i="5"/>
  <c r="CE636" i="5"/>
  <c r="CA636" i="5"/>
  <c r="BX636" i="5"/>
  <c r="BZ636" i="5"/>
  <c r="BY636" i="5"/>
  <c r="BW636" i="5"/>
  <c r="BV636" i="5"/>
  <c r="BU636" i="5"/>
  <c r="BT636" i="5"/>
  <c r="BS636" i="5"/>
  <c r="BR636" i="5"/>
  <c r="BQ636" i="5"/>
  <c r="BL636" i="5"/>
  <c r="BJ636" i="5"/>
  <c r="BM636" i="5"/>
  <c r="BK636" i="5"/>
  <c r="BI636" i="5"/>
  <c r="BH636" i="5"/>
  <c r="BG636" i="5"/>
  <c r="BF636" i="5"/>
  <c r="BD636" i="5"/>
  <c r="BE636" i="5"/>
  <c r="AZ636" i="5"/>
  <c r="AY636" i="5"/>
  <c r="BA636" i="5"/>
  <c r="BP636" i="5" s="1"/>
  <c r="AU636" i="5"/>
  <c r="BN636" i="5" s="1"/>
  <c r="AV636" i="5"/>
  <c r="BC636" i="5" s="1"/>
  <c r="CK709" i="5"/>
  <c r="CJ709" i="5"/>
  <c r="CI709" i="5"/>
  <c r="CG709" i="5"/>
  <c r="CD709" i="5"/>
  <c r="CF709" i="5"/>
  <c r="CH709" i="5"/>
  <c r="CE709" i="5"/>
  <c r="CC709" i="5"/>
  <c r="BX709" i="5"/>
  <c r="CA709" i="5"/>
  <c r="BW709" i="5"/>
  <c r="BZ709" i="5"/>
  <c r="BY709" i="5"/>
  <c r="BV709" i="5"/>
  <c r="BU709" i="5"/>
  <c r="BR709" i="5"/>
  <c r="BT709" i="5"/>
  <c r="BS709" i="5"/>
  <c r="BQ709" i="5"/>
  <c r="BM709" i="5"/>
  <c r="BL709" i="5"/>
  <c r="BK709" i="5"/>
  <c r="BJ709" i="5"/>
  <c r="BI709" i="5"/>
  <c r="BH709" i="5"/>
  <c r="BG709" i="5"/>
  <c r="BF709" i="5"/>
  <c r="BD709" i="5"/>
  <c r="BE709" i="5"/>
  <c r="BA709" i="5"/>
  <c r="BP709" i="5" s="1"/>
  <c r="AZ709" i="5"/>
  <c r="AY709" i="5"/>
  <c r="AU709" i="5"/>
  <c r="BB709" i="5" s="1"/>
  <c r="AV709" i="5"/>
  <c r="BO709" i="5" s="1"/>
  <c r="CK782" i="5"/>
  <c r="CI782" i="5"/>
  <c r="CJ782" i="5"/>
  <c r="CH782" i="5"/>
  <c r="CE782" i="5"/>
  <c r="CC782" i="5"/>
  <c r="CG782" i="5"/>
  <c r="CD782" i="5"/>
  <c r="CF782" i="5"/>
  <c r="CA782" i="5"/>
  <c r="BZ782" i="5"/>
  <c r="BY782" i="5"/>
  <c r="BU782" i="5"/>
  <c r="BX782" i="5"/>
  <c r="BW782" i="5"/>
  <c r="BV782" i="5"/>
  <c r="BS782" i="5"/>
  <c r="BT782" i="5"/>
  <c r="BR782" i="5"/>
  <c r="BQ782" i="5"/>
  <c r="BL782" i="5"/>
  <c r="BM782" i="5"/>
  <c r="BJ782" i="5"/>
  <c r="BI782" i="5"/>
  <c r="BK782" i="5"/>
  <c r="BH782" i="5"/>
  <c r="BG782" i="5"/>
  <c r="BF782" i="5"/>
  <c r="BE782" i="5"/>
  <c r="BD782" i="5"/>
  <c r="BA782" i="5"/>
  <c r="BP782" i="5" s="1"/>
  <c r="AZ782" i="5"/>
  <c r="AY782" i="5"/>
  <c r="AV782" i="5"/>
  <c r="BC782" i="5" s="1"/>
  <c r="AU782" i="5"/>
  <c r="BN782" i="5" s="1"/>
  <c r="CK855" i="5"/>
  <c r="CI855" i="5"/>
  <c r="CE855" i="5"/>
  <c r="CF855" i="5"/>
  <c r="CD855" i="5"/>
  <c r="CC855" i="5"/>
  <c r="CA855" i="5"/>
  <c r="BY855" i="5"/>
  <c r="BV855" i="5"/>
  <c r="BW855" i="5"/>
  <c r="BT855" i="5"/>
  <c r="BU855" i="5"/>
  <c r="BQ855" i="5"/>
  <c r="BR855" i="5"/>
  <c r="BS855" i="5"/>
  <c r="BM855" i="5"/>
  <c r="BI855" i="5"/>
  <c r="BJ855" i="5"/>
  <c r="BK855" i="5"/>
  <c r="BG855" i="5"/>
  <c r="BH855" i="5"/>
  <c r="BE855" i="5"/>
  <c r="BF855" i="5"/>
  <c r="BD855" i="5"/>
  <c r="AY855" i="5"/>
  <c r="BA855" i="5"/>
  <c r="BP855" i="5" s="1"/>
  <c r="AZ855" i="5"/>
  <c r="AV855" i="5"/>
  <c r="BO855" i="5" s="1"/>
  <c r="AU855" i="5"/>
  <c r="BN855" i="5" s="1"/>
  <c r="CK928" i="5"/>
  <c r="CI928" i="5"/>
  <c r="CF928" i="5"/>
  <c r="CD928" i="5"/>
  <c r="CE928" i="5"/>
  <c r="CC928" i="5"/>
  <c r="CA928" i="5"/>
  <c r="BY928" i="5"/>
  <c r="BW928" i="5"/>
  <c r="BV928" i="5"/>
  <c r="BU928" i="5"/>
  <c r="BT928" i="5"/>
  <c r="BQ928" i="5"/>
  <c r="BR928" i="5"/>
  <c r="BS928" i="5"/>
  <c r="BM928" i="5"/>
  <c r="BK928" i="5"/>
  <c r="BJ928" i="5"/>
  <c r="BH928" i="5"/>
  <c r="BI928" i="5"/>
  <c r="BG928" i="5"/>
  <c r="BF928" i="5"/>
  <c r="BE928" i="5"/>
  <c r="BD928" i="5"/>
  <c r="AZ928" i="5"/>
  <c r="AY928" i="5"/>
  <c r="BA928" i="5"/>
  <c r="BP928" i="5" s="1"/>
  <c r="AV928" i="5"/>
  <c r="BO928" i="5" s="1"/>
  <c r="AU928" i="5"/>
  <c r="BB928" i="5" s="1"/>
  <c r="CK1002" i="5"/>
  <c r="CI1002" i="5"/>
  <c r="CE1002" i="5"/>
  <c r="CC1002" i="5"/>
  <c r="CD1002" i="5"/>
  <c r="CF1002" i="5"/>
  <c r="CA1002" i="5"/>
  <c r="BU1002" i="5"/>
  <c r="BY1002" i="5"/>
  <c r="BW1002" i="5"/>
  <c r="BV1002" i="5"/>
  <c r="BS1002" i="5"/>
  <c r="BT1002" i="5"/>
  <c r="BR1002" i="5"/>
  <c r="BQ1002" i="5"/>
  <c r="BM1002" i="5"/>
  <c r="BI1002" i="5"/>
  <c r="BK1002" i="5"/>
  <c r="BJ1002" i="5"/>
  <c r="BH1002" i="5"/>
  <c r="BG1002" i="5"/>
  <c r="BD1002" i="5"/>
  <c r="BF1002" i="5"/>
  <c r="BE1002" i="5"/>
  <c r="BA1002" i="5"/>
  <c r="BP1002" i="5" s="1"/>
  <c r="AZ1002" i="5"/>
  <c r="AY1002" i="5"/>
  <c r="AU1002" i="5"/>
  <c r="BN1002" i="5" s="1"/>
  <c r="AV1002" i="5"/>
  <c r="BO1002" i="5" s="1"/>
  <c r="CK1075" i="5"/>
  <c r="CJ1075" i="5"/>
  <c r="CI1075" i="5"/>
  <c r="CE1075" i="5"/>
  <c r="CH1075" i="5"/>
  <c r="CG1075" i="5"/>
  <c r="CD1075" i="5"/>
  <c r="CF1075" i="5"/>
  <c r="CC1075" i="5"/>
  <c r="BZ1075" i="5"/>
  <c r="BY1075" i="5"/>
  <c r="CA1075" i="5"/>
  <c r="BX1075" i="5"/>
  <c r="BV1075" i="5"/>
  <c r="BW1075" i="5"/>
  <c r="BU1075" i="5"/>
  <c r="BT1075" i="5"/>
  <c r="BS1075" i="5"/>
  <c r="BR1075" i="5"/>
  <c r="BQ1075" i="5"/>
  <c r="BL1075" i="5"/>
  <c r="BM1075" i="5"/>
  <c r="BI1075" i="5"/>
  <c r="BG1075" i="5"/>
  <c r="BK1075" i="5"/>
  <c r="BJ1075" i="5"/>
  <c r="BH1075" i="5"/>
  <c r="BE1075" i="5"/>
  <c r="BF1075" i="5"/>
  <c r="BD1075" i="5"/>
  <c r="AY1075" i="5"/>
  <c r="AU1075" i="5"/>
  <c r="BB1075" i="5" s="1"/>
  <c r="BA1075" i="5"/>
  <c r="BP1075" i="5" s="1"/>
  <c r="AZ1075" i="5"/>
  <c r="AV1075" i="5"/>
  <c r="BO1075" i="5" s="1"/>
  <c r="CK1148" i="5"/>
  <c r="CF1148" i="5"/>
  <c r="CI1148" i="5"/>
  <c r="CC1148" i="5"/>
  <c r="CE1148" i="5"/>
  <c r="CA1148" i="5"/>
  <c r="CD1148" i="5"/>
  <c r="BY1148" i="5"/>
  <c r="BW1148" i="5"/>
  <c r="BU1148" i="5"/>
  <c r="BV1148" i="5"/>
  <c r="BT1148" i="5"/>
  <c r="BS1148" i="5"/>
  <c r="BR1148" i="5"/>
  <c r="BQ1148" i="5"/>
  <c r="BJ1148" i="5"/>
  <c r="BM1148" i="5"/>
  <c r="BI1148" i="5"/>
  <c r="BK1148" i="5"/>
  <c r="BH1148" i="5"/>
  <c r="BG1148" i="5"/>
  <c r="BF1148" i="5"/>
  <c r="BD1148" i="5"/>
  <c r="BE1148" i="5"/>
  <c r="AZ1148" i="5"/>
  <c r="AY1148" i="5"/>
  <c r="BA1148" i="5"/>
  <c r="BP1148" i="5" s="1"/>
  <c r="AV1148" i="5"/>
  <c r="BO1148" i="5" s="1"/>
  <c r="AU1148" i="5"/>
  <c r="BN1148" i="5" s="1"/>
  <c r="CK1221" i="5"/>
  <c r="CI1221" i="5"/>
  <c r="CD1221" i="5"/>
  <c r="CE1221" i="5"/>
  <c r="CF1221" i="5"/>
  <c r="CC1221" i="5"/>
  <c r="CA1221" i="5"/>
  <c r="BW1221" i="5"/>
  <c r="BY1221" i="5"/>
  <c r="BV1221" i="5"/>
  <c r="BU1221" i="5"/>
  <c r="BT1221" i="5"/>
  <c r="BQ1221" i="5"/>
  <c r="BS1221" i="5"/>
  <c r="BR1221" i="5"/>
  <c r="BM1221" i="5"/>
  <c r="BK1221" i="5"/>
  <c r="BJ1221" i="5"/>
  <c r="BI1221" i="5"/>
  <c r="BH1221" i="5"/>
  <c r="BG1221" i="5"/>
  <c r="BD1221" i="5"/>
  <c r="BF1221" i="5"/>
  <c r="BE1221" i="5"/>
  <c r="BA1221" i="5"/>
  <c r="BP1221" i="5" s="1"/>
  <c r="AU1221" i="5"/>
  <c r="BN1221" i="5" s="1"/>
  <c r="AZ1221" i="5"/>
  <c r="AY1221" i="5"/>
  <c r="AV1221" i="5"/>
  <c r="BC1221" i="5" s="1"/>
  <c r="CI1294" i="5"/>
  <c r="CK1294" i="5"/>
  <c r="CJ1294" i="5"/>
  <c r="CE1294" i="5"/>
  <c r="CH1294" i="5"/>
  <c r="CG1294" i="5"/>
  <c r="CC1294" i="5"/>
  <c r="CD1294" i="5"/>
  <c r="CF1294" i="5"/>
  <c r="CA1294" i="5"/>
  <c r="BZ1294" i="5"/>
  <c r="BY1294" i="5"/>
  <c r="BW1294" i="5"/>
  <c r="BX1294" i="5"/>
  <c r="BU1294" i="5"/>
  <c r="BV1294" i="5"/>
  <c r="BS1294" i="5"/>
  <c r="BT1294" i="5"/>
  <c r="BR1294" i="5"/>
  <c r="BQ1294" i="5"/>
  <c r="BM1294" i="5"/>
  <c r="BL1294" i="5"/>
  <c r="BK1294" i="5"/>
  <c r="BJ1294" i="5"/>
  <c r="BI1294" i="5"/>
  <c r="BH1294" i="5"/>
  <c r="BG1294" i="5"/>
  <c r="BF1294" i="5"/>
  <c r="BE1294" i="5"/>
  <c r="BD1294" i="5"/>
  <c r="BA1294" i="5"/>
  <c r="BP1294" i="5" s="1"/>
  <c r="AZ1294" i="5"/>
  <c r="AY1294" i="5"/>
  <c r="AV1294" i="5"/>
  <c r="BC1294" i="5" s="1"/>
  <c r="AU1294" i="5"/>
  <c r="BB1294" i="5" s="1"/>
  <c r="CD34" i="5"/>
  <c r="CK34" i="5"/>
  <c r="CI34" i="5"/>
  <c r="CF34" i="5"/>
  <c r="CE34" i="5"/>
  <c r="CC34" i="5"/>
  <c r="BY34" i="5"/>
  <c r="CA34" i="5"/>
  <c r="BU34" i="5"/>
  <c r="BV34" i="5"/>
  <c r="BW34" i="5"/>
  <c r="BS34" i="5"/>
  <c r="BT34" i="5"/>
  <c r="BQ34" i="5"/>
  <c r="BR34" i="5"/>
  <c r="BM34" i="5"/>
  <c r="BK34" i="5"/>
  <c r="BJ34" i="5"/>
  <c r="BI34" i="5"/>
  <c r="BH34" i="5"/>
  <c r="BG34" i="5"/>
  <c r="BF34" i="5"/>
  <c r="BD34" i="5"/>
  <c r="BE34" i="5"/>
  <c r="BA34" i="5"/>
  <c r="BP34" i="5" s="1"/>
  <c r="AZ34" i="5"/>
  <c r="AY34" i="5"/>
  <c r="AU34" i="5"/>
  <c r="BB34" i="5" s="1"/>
  <c r="AV34" i="5"/>
  <c r="BO34" i="5" s="1"/>
  <c r="CJ107" i="5"/>
  <c r="CH107" i="5"/>
  <c r="CI107" i="5"/>
  <c r="CK107" i="5"/>
  <c r="CE107" i="5"/>
  <c r="CG107" i="5"/>
  <c r="CC107" i="5"/>
  <c r="CF107" i="5"/>
  <c r="CD107" i="5"/>
  <c r="BZ107" i="5"/>
  <c r="CA107" i="5"/>
  <c r="BY107" i="5"/>
  <c r="BX107" i="5"/>
  <c r="BW107" i="5"/>
  <c r="BV107" i="5"/>
  <c r="BU107" i="5"/>
  <c r="BT107" i="5"/>
  <c r="BS107" i="5"/>
  <c r="BQ107" i="5"/>
  <c r="BR107" i="5"/>
  <c r="BK107" i="5"/>
  <c r="BM107" i="5"/>
  <c r="BL107" i="5"/>
  <c r="BI107" i="5"/>
  <c r="BG107" i="5"/>
  <c r="BH107" i="5"/>
  <c r="BJ107" i="5"/>
  <c r="BF107" i="5"/>
  <c r="BE107" i="5"/>
  <c r="BD107" i="5"/>
  <c r="BA107" i="5"/>
  <c r="BP107" i="5" s="1"/>
  <c r="AY107" i="5"/>
  <c r="AZ107" i="5"/>
  <c r="AU107" i="5"/>
  <c r="BN107" i="5" s="1"/>
  <c r="AV107" i="5"/>
  <c r="BO107" i="5" s="1"/>
  <c r="CK180" i="5"/>
  <c r="CF180" i="5"/>
  <c r="CI180" i="5"/>
  <c r="CC180" i="5"/>
  <c r="CD180" i="5"/>
  <c r="CE180" i="5"/>
  <c r="CA180" i="5"/>
  <c r="BV180" i="5"/>
  <c r="BY180" i="5"/>
  <c r="BW180" i="5"/>
  <c r="BU180" i="5"/>
  <c r="BT180" i="5"/>
  <c r="BS180" i="5"/>
  <c r="BR180" i="5"/>
  <c r="BQ180" i="5"/>
  <c r="BK180" i="5"/>
  <c r="BJ180" i="5"/>
  <c r="BM180" i="5"/>
  <c r="BI180" i="5"/>
  <c r="BH180" i="5"/>
  <c r="BF180" i="5"/>
  <c r="BG180" i="5"/>
  <c r="BE180" i="5"/>
  <c r="BD180" i="5"/>
  <c r="AZ180" i="5"/>
  <c r="BA180" i="5"/>
  <c r="BP180" i="5" s="1"/>
  <c r="AY180" i="5"/>
  <c r="AU180" i="5"/>
  <c r="BN180" i="5" s="1"/>
  <c r="AV180" i="5"/>
  <c r="BO180" i="5" s="1"/>
  <c r="CJ253" i="5"/>
  <c r="CK253" i="5"/>
  <c r="CI253" i="5"/>
  <c r="CF253" i="5"/>
  <c r="CE253" i="5"/>
  <c r="CD253" i="5"/>
  <c r="CG253" i="5"/>
  <c r="CH253" i="5"/>
  <c r="CC253" i="5"/>
  <c r="CA253" i="5"/>
  <c r="BZ253" i="5"/>
  <c r="BY253" i="5"/>
  <c r="BW253" i="5"/>
  <c r="BX253" i="5"/>
  <c r="BT253" i="5"/>
  <c r="BV253" i="5"/>
  <c r="BU253" i="5"/>
  <c r="BR253" i="5"/>
  <c r="BS253" i="5"/>
  <c r="BQ253" i="5"/>
  <c r="BK253" i="5"/>
  <c r="BM253" i="5"/>
  <c r="BL253" i="5"/>
  <c r="BJ253" i="5"/>
  <c r="BI253" i="5"/>
  <c r="BH253" i="5"/>
  <c r="BG253" i="5"/>
  <c r="BF253" i="5"/>
  <c r="BE253" i="5"/>
  <c r="BD253" i="5"/>
  <c r="BA253" i="5"/>
  <c r="BP253" i="5" s="1"/>
  <c r="AZ253" i="5"/>
  <c r="AY253" i="5"/>
  <c r="AU253" i="5"/>
  <c r="BB253" i="5" s="1"/>
  <c r="AV253" i="5"/>
  <c r="BC253" i="5" s="1"/>
  <c r="CI326" i="5"/>
  <c r="CD326" i="5"/>
  <c r="CK326" i="5"/>
  <c r="CE326" i="5"/>
  <c r="CF326" i="5"/>
  <c r="CC326" i="5"/>
  <c r="BY326" i="5"/>
  <c r="CA326" i="5"/>
  <c r="BW326" i="5"/>
  <c r="BV326" i="5"/>
  <c r="BU326" i="5"/>
  <c r="BS326" i="5"/>
  <c r="BT326" i="5"/>
  <c r="BR326" i="5"/>
  <c r="BQ326" i="5"/>
  <c r="BM326" i="5"/>
  <c r="BK326" i="5"/>
  <c r="BJ326" i="5"/>
  <c r="BI326" i="5"/>
  <c r="BG326" i="5"/>
  <c r="BF326" i="5"/>
  <c r="BH326" i="5"/>
  <c r="BD326" i="5"/>
  <c r="BE326" i="5"/>
  <c r="BA326" i="5"/>
  <c r="BP326" i="5" s="1"/>
  <c r="AV326" i="5"/>
  <c r="BC326" i="5" s="1"/>
  <c r="AZ326" i="5"/>
  <c r="AY326" i="5"/>
  <c r="AU326" i="5"/>
  <c r="BN326" i="5" s="1"/>
  <c r="CK399" i="5"/>
  <c r="CJ399" i="5"/>
  <c r="CI399" i="5"/>
  <c r="CE399" i="5"/>
  <c r="CH399" i="5"/>
  <c r="CF399" i="5"/>
  <c r="CG399" i="5"/>
  <c r="CD399" i="5"/>
  <c r="CC399" i="5"/>
  <c r="BZ399" i="5"/>
  <c r="BX399" i="5"/>
  <c r="CA399" i="5"/>
  <c r="BY399" i="5"/>
  <c r="BV399" i="5"/>
  <c r="BW399" i="5"/>
  <c r="BU399" i="5"/>
  <c r="BT399" i="5"/>
  <c r="BS399" i="5"/>
  <c r="BR399" i="5"/>
  <c r="BQ399" i="5"/>
  <c r="BK399" i="5"/>
  <c r="BM399" i="5"/>
  <c r="BI399" i="5"/>
  <c r="BL399" i="5"/>
  <c r="BJ399" i="5"/>
  <c r="BH399" i="5"/>
  <c r="BG399" i="5"/>
  <c r="BE399" i="5"/>
  <c r="BF399" i="5"/>
  <c r="BD399" i="5"/>
  <c r="BA399" i="5"/>
  <c r="BP399" i="5" s="1"/>
  <c r="AY399" i="5"/>
  <c r="AZ399" i="5"/>
  <c r="AU399" i="5"/>
  <c r="BB399" i="5" s="1"/>
  <c r="AV399" i="5"/>
  <c r="BC399" i="5" s="1"/>
  <c r="CH472" i="5"/>
  <c r="CK472" i="5"/>
  <c r="CF472" i="5"/>
  <c r="CI472" i="5"/>
  <c r="CE472" i="5"/>
  <c r="CC472" i="5"/>
  <c r="CJ472" i="5"/>
  <c r="CG472" i="5"/>
  <c r="CD472" i="5"/>
  <c r="CA472" i="5"/>
  <c r="BZ472" i="5"/>
  <c r="BY472" i="5"/>
  <c r="BX472" i="5"/>
  <c r="BV472" i="5"/>
  <c r="BW472" i="5"/>
  <c r="BU472" i="5"/>
  <c r="BT472" i="5"/>
  <c r="BS472" i="5"/>
  <c r="BR472" i="5"/>
  <c r="BQ472" i="5"/>
  <c r="BL472" i="5"/>
  <c r="BM472" i="5"/>
  <c r="BK472" i="5"/>
  <c r="BJ472" i="5"/>
  <c r="BI472" i="5"/>
  <c r="BH472" i="5"/>
  <c r="BG472" i="5"/>
  <c r="BF472" i="5"/>
  <c r="BE472" i="5"/>
  <c r="BD472" i="5"/>
  <c r="BA472" i="5"/>
  <c r="BP472" i="5" s="1"/>
  <c r="AZ472" i="5"/>
  <c r="AV472" i="5"/>
  <c r="BO472" i="5" s="1"/>
  <c r="AY472" i="5"/>
  <c r="AU472" i="5"/>
  <c r="BN472" i="5" s="1"/>
  <c r="CJ546" i="5"/>
  <c r="CI546" i="5"/>
  <c r="CH546" i="5"/>
  <c r="CK546" i="5"/>
  <c r="CF546" i="5"/>
  <c r="CE546" i="5"/>
  <c r="CG546" i="5"/>
  <c r="CD546" i="5"/>
  <c r="BY546" i="5"/>
  <c r="CC546" i="5"/>
  <c r="CA546" i="5"/>
  <c r="BZ546" i="5"/>
  <c r="BX546" i="5"/>
  <c r="BU546" i="5"/>
  <c r="BV546" i="5"/>
  <c r="BW546" i="5"/>
  <c r="BS546" i="5"/>
  <c r="BT546" i="5"/>
  <c r="BQ546" i="5"/>
  <c r="BR546" i="5"/>
  <c r="BM546" i="5"/>
  <c r="BL546" i="5"/>
  <c r="BK546" i="5"/>
  <c r="BJ546" i="5"/>
  <c r="BI546" i="5"/>
  <c r="BH546" i="5"/>
  <c r="BG546" i="5"/>
  <c r="BF546" i="5"/>
  <c r="BD546" i="5"/>
  <c r="BE546" i="5"/>
  <c r="BA546" i="5"/>
  <c r="BP546" i="5" s="1"/>
  <c r="AZ546" i="5"/>
  <c r="AY546" i="5"/>
  <c r="AU546" i="5"/>
  <c r="BN546" i="5" s="1"/>
  <c r="AV546" i="5"/>
  <c r="BC546" i="5" s="1"/>
  <c r="CI619" i="5"/>
  <c r="CG619" i="5"/>
  <c r="CJ619" i="5"/>
  <c r="CE619" i="5"/>
  <c r="CK619" i="5"/>
  <c r="CH619" i="5"/>
  <c r="CD619" i="5"/>
  <c r="CC619" i="5"/>
  <c r="CF619" i="5"/>
  <c r="BZ619" i="5"/>
  <c r="BY619" i="5"/>
  <c r="CA619" i="5"/>
  <c r="BX619" i="5"/>
  <c r="BW619" i="5"/>
  <c r="BV619" i="5"/>
  <c r="BU619" i="5"/>
  <c r="BT619" i="5"/>
  <c r="BS619" i="5"/>
  <c r="BQ619" i="5"/>
  <c r="BR619" i="5"/>
  <c r="BM619" i="5"/>
  <c r="BL619" i="5"/>
  <c r="BK619" i="5"/>
  <c r="BI619" i="5"/>
  <c r="BG619" i="5"/>
  <c r="BJ619" i="5"/>
  <c r="BF619" i="5"/>
  <c r="BH619" i="5"/>
  <c r="BE619" i="5"/>
  <c r="BD619" i="5"/>
  <c r="AY619" i="5"/>
  <c r="BA619" i="5"/>
  <c r="BP619" i="5" s="1"/>
  <c r="AZ619" i="5"/>
  <c r="AU619" i="5"/>
  <c r="BN619" i="5" s="1"/>
  <c r="AV619" i="5"/>
  <c r="BO619" i="5" s="1"/>
  <c r="CK692" i="5"/>
  <c r="CF692" i="5"/>
  <c r="CH692" i="5"/>
  <c r="CI692" i="5"/>
  <c r="CG692" i="5"/>
  <c r="CJ692" i="5"/>
  <c r="CC692" i="5"/>
  <c r="CE692" i="5"/>
  <c r="CA692" i="5"/>
  <c r="CD692" i="5"/>
  <c r="BX692" i="5"/>
  <c r="BZ692" i="5"/>
  <c r="BY692" i="5"/>
  <c r="BW692" i="5"/>
  <c r="BU692" i="5"/>
  <c r="BV692" i="5"/>
  <c r="BT692" i="5"/>
  <c r="BS692" i="5"/>
  <c r="BR692" i="5"/>
  <c r="BQ692" i="5"/>
  <c r="BL692" i="5"/>
  <c r="BJ692" i="5"/>
  <c r="BK692" i="5"/>
  <c r="BM692" i="5"/>
  <c r="BI692" i="5"/>
  <c r="BH692" i="5"/>
  <c r="BF692" i="5"/>
  <c r="BG692" i="5"/>
  <c r="BE692" i="5"/>
  <c r="BD692" i="5"/>
  <c r="AZ692" i="5"/>
  <c r="BA692" i="5"/>
  <c r="BP692" i="5" s="1"/>
  <c r="AY692" i="5"/>
  <c r="AU692" i="5"/>
  <c r="BN692" i="5" s="1"/>
  <c r="AV692" i="5"/>
  <c r="BC692" i="5" s="1"/>
  <c r="CK765" i="5"/>
  <c r="CI765" i="5"/>
  <c r="CF765" i="5"/>
  <c r="CE765" i="5"/>
  <c r="CD765" i="5"/>
  <c r="CC765" i="5"/>
  <c r="CA765" i="5"/>
  <c r="BY765" i="5"/>
  <c r="BW765" i="5"/>
  <c r="BV765" i="5"/>
  <c r="BU765" i="5"/>
  <c r="BR765" i="5"/>
  <c r="BT765" i="5"/>
  <c r="BS765" i="5"/>
  <c r="BQ765" i="5"/>
  <c r="BM765" i="5"/>
  <c r="BK765" i="5"/>
  <c r="BJ765" i="5"/>
  <c r="BI765" i="5"/>
  <c r="BH765" i="5"/>
  <c r="BG765" i="5"/>
  <c r="BE765" i="5"/>
  <c r="BF765" i="5"/>
  <c r="BD765" i="5"/>
  <c r="BA765" i="5"/>
  <c r="AZ765" i="5"/>
  <c r="AY765" i="5"/>
  <c r="AU765" i="5"/>
  <c r="AV765" i="5"/>
  <c r="CI838" i="5"/>
  <c r="CK838" i="5"/>
  <c r="CE838" i="5"/>
  <c r="CD838" i="5"/>
  <c r="CC838" i="5"/>
  <c r="CF838" i="5"/>
  <c r="CA838" i="5"/>
  <c r="BY838" i="5"/>
  <c r="BW838" i="5"/>
  <c r="BU838" i="5"/>
  <c r="BV838" i="5"/>
  <c r="BS838" i="5"/>
  <c r="BT838" i="5"/>
  <c r="BR838" i="5"/>
  <c r="BQ838" i="5"/>
  <c r="BM838" i="5"/>
  <c r="BK838" i="5"/>
  <c r="BJ838" i="5"/>
  <c r="BI838" i="5"/>
  <c r="BH838" i="5"/>
  <c r="BG838" i="5"/>
  <c r="BD838" i="5"/>
  <c r="BF838" i="5"/>
  <c r="BE838" i="5"/>
  <c r="AV838" i="5"/>
  <c r="BC838" i="5" s="1"/>
  <c r="BA838" i="5"/>
  <c r="BP838" i="5" s="1"/>
  <c r="AZ838" i="5"/>
  <c r="AY838" i="5"/>
  <c r="AU838" i="5"/>
  <c r="BN838" i="5" s="1"/>
  <c r="CK911" i="5"/>
  <c r="CI911" i="5"/>
  <c r="CE911" i="5"/>
  <c r="CF911" i="5"/>
  <c r="CD911" i="5"/>
  <c r="CC911" i="5"/>
  <c r="BY911" i="5"/>
  <c r="CA911" i="5"/>
  <c r="BV911" i="5"/>
  <c r="BW911" i="5"/>
  <c r="BT911" i="5"/>
  <c r="BU911" i="5"/>
  <c r="BR911" i="5"/>
  <c r="BQ911" i="5"/>
  <c r="BS911" i="5"/>
  <c r="BM911" i="5"/>
  <c r="BI911" i="5"/>
  <c r="BJ911" i="5"/>
  <c r="BK911" i="5"/>
  <c r="BG911" i="5"/>
  <c r="BH911" i="5"/>
  <c r="BE911" i="5"/>
  <c r="BF911" i="5"/>
  <c r="BD911" i="5"/>
  <c r="AY911" i="5"/>
  <c r="BA911" i="5"/>
  <c r="BP911" i="5" s="1"/>
  <c r="AZ911" i="5"/>
  <c r="AU911" i="5"/>
  <c r="BN911" i="5" s="1"/>
  <c r="AV911" i="5"/>
  <c r="BC911" i="5" s="1"/>
  <c r="CK984" i="5"/>
  <c r="CJ984" i="5"/>
  <c r="CF984" i="5"/>
  <c r="CI984" i="5"/>
  <c r="CE984" i="5"/>
  <c r="CH984" i="5"/>
  <c r="CG984" i="5"/>
  <c r="CD984" i="5"/>
  <c r="CA984" i="5"/>
  <c r="CC984" i="5"/>
  <c r="BX984" i="5"/>
  <c r="BZ984" i="5"/>
  <c r="BY984" i="5"/>
  <c r="BW984" i="5"/>
  <c r="BV984" i="5"/>
  <c r="BU984" i="5"/>
  <c r="BT984" i="5"/>
  <c r="BS984" i="5"/>
  <c r="BR984" i="5"/>
  <c r="BQ984" i="5"/>
  <c r="BM984" i="5"/>
  <c r="BL984" i="5"/>
  <c r="BK984" i="5"/>
  <c r="BJ984" i="5"/>
  <c r="BH984" i="5"/>
  <c r="BI984" i="5"/>
  <c r="BG984" i="5"/>
  <c r="BF984" i="5"/>
  <c r="BE984" i="5"/>
  <c r="BD984" i="5"/>
  <c r="AZ984" i="5"/>
  <c r="AV984" i="5"/>
  <c r="BO984" i="5" s="1"/>
  <c r="AY984" i="5"/>
  <c r="BA984" i="5"/>
  <c r="BP984" i="5" s="1"/>
  <c r="AU984" i="5"/>
  <c r="BB984" i="5" s="1"/>
  <c r="CK1058" i="5"/>
  <c r="CI1058" i="5"/>
  <c r="CJ1058" i="5"/>
  <c r="CH1058" i="5"/>
  <c r="CF1058" i="5"/>
  <c r="CE1058" i="5"/>
  <c r="CG1058" i="5"/>
  <c r="CC1058" i="5"/>
  <c r="CD1058" i="5"/>
  <c r="CA1058" i="5"/>
  <c r="BZ1058" i="5"/>
  <c r="BY1058" i="5"/>
  <c r="BU1058" i="5"/>
  <c r="BX1058" i="5"/>
  <c r="BW1058" i="5"/>
  <c r="BV1058" i="5"/>
  <c r="BS1058" i="5"/>
  <c r="BT1058" i="5"/>
  <c r="BR1058" i="5"/>
  <c r="BQ1058" i="5"/>
  <c r="BM1058" i="5"/>
  <c r="BL1058" i="5"/>
  <c r="BK1058" i="5"/>
  <c r="BJ1058" i="5"/>
  <c r="BI1058" i="5"/>
  <c r="BH1058" i="5"/>
  <c r="BG1058" i="5"/>
  <c r="BD1058" i="5"/>
  <c r="BF1058" i="5"/>
  <c r="BE1058" i="5"/>
  <c r="BA1058" i="5"/>
  <c r="BP1058" i="5" s="1"/>
  <c r="AZ1058" i="5"/>
  <c r="AY1058" i="5"/>
  <c r="AU1058" i="5"/>
  <c r="BN1058" i="5" s="1"/>
  <c r="AV1058" i="5"/>
  <c r="BC1058" i="5" s="1"/>
  <c r="CK1131" i="5"/>
  <c r="CI1131" i="5"/>
  <c r="CE1131" i="5"/>
  <c r="CD1131" i="5"/>
  <c r="CF1131" i="5"/>
  <c r="CC1131" i="5"/>
  <c r="BY1131" i="5"/>
  <c r="CA1131" i="5"/>
  <c r="BW1131" i="5"/>
  <c r="BV1131" i="5"/>
  <c r="BU1131" i="5"/>
  <c r="BT1131" i="5"/>
  <c r="BS1131" i="5"/>
  <c r="BR1131" i="5"/>
  <c r="BQ1131" i="5"/>
  <c r="BM1131" i="5"/>
  <c r="BI1131" i="5"/>
  <c r="BG1131" i="5"/>
  <c r="BK1131" i="5"/>
  <c r="BJ1131" i="5"/>
  <c r="BH1131" i="5"/>
  <c r="BE1131" i="5"/>
  <c r="BD1131" i="5"/>
  <c r="BF1131" i="5"/>
  <c r="AY1131" i="5"/>
  <c r="BA1131" i="5"/>
  <c r="BP1131" i="5" s="1"/>
  <c r="AZ1131" i="5"/>
  <c r="AU1131" i="5"/>
  <c r="BB1131" i="5" s="1"/>
  <c r="AV1131" i="5"/>
  <c r="BO1131" i="5" s="1"/>
  <c r="CK1204" i="5"/>
  <c r="CF1204" i="5"/>
  <c r="CI1204" i="5"/>
  <c r="CE1204" i="5"/>
  <c r="CD1204" i="5"/>
  <c r="CA1204" i="5"/>
  <c r="CC1204" i="5"/>
  <c r="BY1204" i="5"/>
  <c r="BW1204" i="5"/>
  <c r="BU1204" i="5"/>
  <c r="BV1204" i="5"/>
  <c r="BT1204" i="5"/>
  <c r="BR1204" i="5"/>
  <c r="BQ1204" i="5"/>
  <c r="BS1204" i="5"/>
  <c r="BJ1204" i="5"/>
  <c r="BM1204" i="5"/>
  <c r="BI1204" i="5"/>
  <c r="BK1204" i="5"/>
  <c r="BH1204" i="5"/>
  <c r="BF1204" i="5"/>
  <c r="BG1204" i="5"/>
  <c r="BE1204" i="5"/>
  <c r="BD1204" i="5"/>
  <c r="AZ1204" i="5"/>
  <c r="BA1204" i="5"/>
  <c r="BP1204" i="5" s="1"/>
  <c r="AY1204" i="5"/>
  <c r="AV1204" i="5"/>
  <c r="BC1204" i="5" s="1"/>
  <c r="AU1204" i="5"/>
  <c r="BN1204" i="5" s="1"/>
  <c r="CK1277" i="5"/>
  <c r="CI1277" i="5"/>
  <c r="CF1277" i="5"/>
  <c r="CE1277" i="5"/>
  <c r="CD1277" i="5"/>
  <c r="CC1277" i="5"/>
  <c r="CA1277" i="5"/>
  <c r="BY1277" i="5"/>
  <c r="BW1277" i="5"/>
  <c r="BU1277" i="5"/>
  <c r="BV1277" i="5"/>
  <c r="BT1277" i="5"/>
  <c r="BS1277" i="5"/>
  <c r="BQ1277" i="5"/>
  <c r="BR1277" i="5"/>
  <c r="BM1277" i="5"/>
  <c r="BK1277" i="5"/>
  <c r="BI1277" i="5"/>
  <c r="BJ1277" i="5"/>
  <c r="BH1277" i="5"/>
  <c r="BG1277" i="5"/>
  <c r="BF1277" i="5"/>
  <c r="BE1277" i="5"/>
  <c r="BD1277" i="5"/>
  <c r="BA1277" i="5"/>
  <c r="BP1277" i="5" s="1"/>
  <c r="AU1277" i="5"/>
  <c r="BB1277" i="5" s="1"/>
  <c r="AZ1277" i="5"/>
  <c r="AY1277" i="5"/>
  <c r="AV1277" i="5"/>
  <c r="BO1277" i="5" s="1"/>
  <c r="CJ26" i="5"/>
  <c r="CH26" i="5"/>
  <c r="CG26" i="5"/>
  <c r="CI26" i="5"/>
  <c r="CD26" i="5"/>
  <c r="CK26" i="5"/>
  <c r="CF26" i="5"/>
  <c r="CC26" i="5"/>
  <c r="CE26" i="5"/>
  <c r="BY26" i="5"/>
  <c r="CA26" i="5"/>
  <c r="BZ26" i="5"/>
  <c r="BX26" i="5"/>
  <c r="BU26" i="5"/>
  <c r="BV26" i="5"/>
  <c r="BW26" i="5"/>
  <c r="BS26" i="5"/>
  <c r="BT26" i="5"/>
  <c r="BR26" i="5"/>
  <c r="BQ26" i="5"/>
  <c r="BM26" i="5"/>
  <c r="BL26" i="5"/>
  <c r="BK26" i="5"/>
  <c r="BJ26" i="5"/>
  <c r="BI26" i="5"/>
  <c r="BH26" i="5"/>
  <c r="BF26" i="5"/>
  <c r="BG26" i="5"/>
  <c r="BD26" i="5"/>
  <c r="BE26" i="5"/>
  <c r="BA26" i="5"/>
  <c r="BP26" i="5" s="1"/>
  <c r="AZ26" i="5"/>
  <c r="AY26" i="5"/>
  <c r="AU26" i="5"/>
  <c r="BN26" i="5" s="1"/>
  <c r="AV26" i="5"/>
  <c r="BC26" i="5" s="1"/>
  <c r="BX53" i="5"/>
  <c r="CK90" i="5"/>
  <c r="CI90" i="5"/>
  <c r="CD90" i="5"/>
  <c r="CF90" i="5"/>
  <c r="CE90" i="5"/>
  <c r="BY90" i="5"/>
  <c r="CC90" i="5"/>
  <c r="CA90" i="5"/>
  <c r="BU90" i="5"/>
  <c r="BV90" i="5"/>
  <c r="BW90" i="5"/>
  <c r="BS90" i="5"/>
  <c r="BT90" i="5"/>
  <c r="BQ90" i="5"/>
  <c r="BR90" i="5"/>
  <c r="BM90" i="5"/>
  <c r="BK90" i="5"/>
  <c r="BJ90" i="5"/>
  <c r="BI90" i="5"/>
  <c r="BH90" i="5"/>
  <c r="BF90" i="5"/>
  <c r="BG90" i="5"/>
  <c r="BD90" i="5"/>
  <c r="BE90" i="5"/>
  <c r="BA90" i="5"/>
  <c r="BP90" i="5" s="1"/>
  <c r="AZ90" i="5"/>
  <c r="AY90" i="5"/>
  <c r="AU90" i="5"/>
  <c r="BB90" i="5" s="1"/>
  <c r="AV90" i="5"/>
  <c r="BC90" i="5" s="1"/>
  <c r="CK163" i="5"/>
  <c r="CE163" i="5"/>
  <c r="CD163" i="5"/>
  <c r="CJ163" i="5"/>
  <c r="CI163" i="5"/>
  <c r="CH163" i="5"/>
  <c r="CG163" i="5"/>
  <c r="CF163" i="5"/>
  <c r="CC163" i="5"/>
  <c r="BZ163" i="5"/>
  <c r="BY163" i="5"/>
  <c r="BX163" i="5"/>
  <c r="CA163" i="5"/>
  <c r="BV163" i="5"/>
  <c r="BW163" i="5"/>
  <c r="BU163" i="5"/>
  <c r="BT163" i="5"/>
  <c r="BS163" i="5"/>
  <c r="BR163" i="5"/>
  <c r="BQ163" i="5"/>
  <c r="BK163" i="5"/>
  <c r="BM163" i="5"/>
  <c r="BL163" i="5"/>
  <c r="BI163" i="5"/>
  <c r="BJ163" i="5"/>
  <c r="BG163" i="5"/>
  <c r="BH163" i="5"/>
  <c r="BF163" i="5"/>
  <c r="BE163" i="5"/>
  <c r="BD163" i="5"/>
  <c r="BA163" i="5"/>
  <c r="BP163" i="5" s="1"/>
  <c r="AY163" i="5"/>
  <c r="AZ163" i="5"/>
  <c r="AU163" i="5"/>
  <c r="BN163" i="5" s="1"/>
  <c r="AV163" i="5"/>
  <c r="BO163" i="5" s="1"/>
  <c r="CK236" i="5"/>
  <c r="CI236" i="5"/>
  <c r="CF236" i="5"/>
  <c r="CC236" i="5"/>
  <c r="CE236" i="5"/>
  <c r="CD236" i="5"/>
  <c r="CA236" i="5"/>
  <c r="BV236" i="5"/>
  <c r="BY236" i="5"/>
  <c r="BW236" i="5"/>
  <c r="BU236" i="5"/>
  <c r="BT236" i="5"/>
  <c r="BS236" i="5"/>
  <c r="BR236" i="5"/>
  <c r="BQ236" i="5"/>
  <c r="BM236" i="5"/>
  <c r="BK236" i="5"/>
  <c r="BJ236" i="5"/>
  <c r="BI236" i="5"/>
  <c r="BH236" i="5"/>
  <c r="BF236" i="5"/>
  <c r="BG236" i="5"/>
  <c r="BE236" i="5"/>
  <c r="BD236" i="5"/>
  <c r="AZ236" i="5"/>
  <c r="BA236" i="5"/>
  <c r="BP236" i="5" s="1"/>
  <c r="AY236" i="5"/>
  <c r="AU236" i="5"/>
  <c r="BN236" i="5" s="1"/>
  <c r="AV236" i="5"/>
  <c r="BC236" i="5" s="1"/>
  <c r="CJ309" i="5"/>
  <c r="CI309" i="5"/>
  <c r="CH309" i="5"/>
  <c r="CK309" i="5"/>
  <c r="CD309" i="5"/>
  <c r="CF309" i="5"/>
  <c r="CG309" i="5"/>
  <c r="CE309" i="5"/>
  <c r="CC309" i="5"/>
  <c r="BY309" i="5"/>
  <c r="BW309" i="5"/>
  <c r="BZ309" i="5"/>
  <c r="CA309" i="5"/>
  <c r="BX309" i="5"/>
  <c r="BT309" i="5"/>
  <c r="BV309" i="5"/>
  <c r="BU309" i="5"/>
  <c r="BR309" i="5"/>
  <c r="BS309" i="5"/>
  <c r="BQ309" i="5"/>
  <c r="BM309" i="5"/>
  <c r="BK309" i="5"/>
  <c r="BL309" i="5"/>
  <c r="BJ309" i="5"/>
  <c r="BI309" i="5"/>
  <c r="BF309" i="5"/>
  <c r="BH309" i="5"/>
  <c r="BG309" i="5"/>
  <c r="BE309" i="5"/>
  <c r="BD309" i="5"/>
  <c r="BA309" i="5"/>
  <c r="BP309" i="5" s="1"/>
  <c r="AZ309" i="5"/>
  <c r="AY309" i="5"/>
  <c r="AU309" i="5"/>
  <c r="BB309" i="5" s="1"/>
  <c r="AV309" i="5"/>
  <c r="BC309" i="5" s="1"/>
  <c r="CI382" i="5"/>
  <c r="CG382" i="5"/>
  <c r="CD382" i="5"/>
  <c r="CK382" i="5"/>
  <c r="CH382" i="5"/>
  <c r="CJ382" i="5"/>
  <c r="CF382" i="5"/>
  <c r="CE382" i="5"/>
  <c r="CC382" i="5"/>
  <c r="BY382" i="5"/>
  <c r="CA382" i="5"/>
  <c r="BX382" i="5"/>
  <c r="BZ382" i="5"/>
  <c r="BU382" i="5"/>
  <c r="BV382" i="5"/>
  <c r="BW382" i="5"/>
  <c r="BS382" i="5"/>
  <c r="BR382" i="5"/>
  <c r="BT382" i="5"/>
  <c r="BQ382" i="5"/>
  <c r="BM382" i="5"/>
  <c r="BK382" i="5"/>
  <c r="BL382" i="5"/>
  <c r="BJ382" i="5"/>
  <c r="BI382" i="5"/>
  <c r="BH382" i="5"/>
  <c r="BG382" i="5"/>
  <c r="BF382" i="5"/>
  <c r="BD382" i="5"/>
  <c r="BE382" i="5"/>
  <c r="BA382" i="5"/>
  <c r="BP382" i="5" s="1"/>
  <c r="AV382" i="5"/>
  <c r="BO382" i="5" s="1"/>
  <c r="AZ382" i="5"/>
  <c r="AY382" i="5"/>
  <c r="AU382" i="5"/>
  <c r="BB382" i="5" s="1"/>
  <c r="CK455" i="5"/>
  <c r="CE455" i="5"/>
  <c r="CJ455" i="5"/>
  <c r="CF455" i="5"/>
  <c r="CI455" i="5"/>
  <c r="CD455" i="5"/>
  <c r="CG455" i="5"/>
  <c r="CH455" i="5"/>
  <c r="BZ455" i="5"/>
  <c r="CC455" i="5"/>
  <c r="CA455" i="5"/>
  <c r="BX455" i="5"/>
  <c r="BY455" i="5"/>
  <c r="BV455" i="5"/>
  <c r="BW455" i="5"/>
  <c r="BU455" i="5"/>
  <c r="BS455" i="5"/>
  <c r="BT455" i="5"/>
  <c r="BR455" i="5"/>
  <c r="BQ455" i="5"/>
  <c r="BK455" i="5"/>
  <c r="BI455" i="5"/>
  <c r="BM455" i="5"/>
  <c r="BL455" i="5"/>
  <c r="BH455" i="5"/>
  <c r="BJ455" i="5"/>
  <c r="BG455" i="5"/>
  <c r="BE455" i="5"/>
  <c r="BF455" i="5"/>
  <c r="BD455" i="5"/>
  <c r="BA455" i="5"/>
  <c r="BP455" i="5" s="1"/>
  <c r="AY455" i="5"/>
  <c r="AZ455" i="5"/>
  <c r="AU455" i="5"/>
  <c r="BN455" i="5" s="1"/>
  <c r="AV455" i="5"/>
  <c r="BO455" i="5" s="1"/>
  <c r="CK528" i="5"/>
  <c r="CI528" i="5"/>
  <c r="CF528" i="5"/>
  <c r="CC528" i="5"/>
  <c r="CD528" i="5"/>
  <c r="CE528" i="5"/>
  <c r="CA528" i="5"/>
  <c r="BY528" i="5"/>
  <c r="BW528" i="5"/>
  <c r="BV528" i="5"/>
  <c r="BU528" i="5"/>
  <c r="BT528" i="5"/>
  <c r="BS528" i="5"/>
  <c r="BR528" i="5"/>
  <c r="BQ528" i="5"/>
  <c r="BK528" i="5"/>
  <c r="BM528" i="5"/>
  <c r="BJ528" i="5"/>
  <c r="BI528" i="5"/>
  <c r="BH528" i="5"/>
  <c r="BG528" i="5"/>
  <c r="BF528" i="5"/>
  <c r="BE528" i="5"/>
  <c r="BD528" i="5"/>
  <c r="BA528" i="5"/>
  <c r="BP528" i="5" s="1"/>
  <c r="AZ528" i="5"/>
  <c r="AV528" i="5"/>
  <c r="BC528" i="5" s="1"/>
  <c r="AY528" i="5"/>
  <c r="AU528" i="5"/>
  <c r="BN528" i="5" s="1"/>
  <c r="CK602" i="5"/>
  <c r="CJ602" i="5"/>
  <c r="CH602" i="5"/>
  <c r="CI602" i="5"/>
  <c r="CG602" i="5"/>
  <c r="CF602" i="5"/>
  <c r="CE602" i="5"/>
  <c r="CD602" i="5"/>
  <c r="CC602" i="5"/>
  <c r="BZ602" i="5"/>
  <c r="CA602" i="5"/>
  <c r="BY602" i="5"/>
  <c r="BU602" i="5"/>
  <c r="BX602" i="5"/>
  <c r="BV602" i="5"/>
  <c r="BW602" i="5"/>
  <c r="BS602" i="5"/>
  <c r="BT602" i="5"/>
  <c r="BQ602" i="5"/>
  <c r="BR602" i="5"/>
  <c r="BM602" i="5"/>
  <c r="BL602" i="5"/>
  <c r="BK602" i="5"/>
  <c r="BJ602" i="5"/>
  <c r="BI602" i="5"/>
  <c r="BF602" i="5"/>
  <c r="BH602" i="5"/>
  <c r="BG602" i="5"/>
  <c r="BD602" i="5"/>
  <c r="BE602" i="5"/>
  <c r="BA602" i="5"/>
  <c r="BP602" i="5" s="1"/>
  <c r="AZ602" i="5"/>
  <c r="AY602" i="5"/>
  <c r="AU602" i="5"/>
  <c r="BB602" i="5" s="1"/>
  <c r="AV602" i="5"/>
  <c r="BO602" i="5" s="1"/>
  <c r="CK675" i="5"/>
  <c r="CH675" i="5"/>
  <c r="CG675" i="5"/>
  <c r="CJ675" i="5"/>
  <c r="CE675" i="5"/>
  <c r="CF675" i="5"/>
  <c r="CI675" i="5"/>
  <c r="CD675" i="5"/>
  <c r="CC675" i="5"/>
  <c r="BZ675" i="5"/>
  <c r="BY675" i="5"/>
  <c r="CA675" i="5"/>
  <c r="BX675" i="5"/>
  <c r="BV675" i="5"/>
  <c r="BW675" i="5"/>
  <c r="BU675" i="5"/>
  <c r="BT675" i="5"/>
  <c r="BS675" i="5"/>
  <c r="BR675" i="5"/>
  <c r="BQ675" i="5"/>
  <c r="BM675" i="5"/>
  <c r="BL675" i="5"/>
  <c r="BI675" i="5"/>
  <c r="BK675" i="5"/>
  <c r="BJ675" i="5"/>
  <c r="BG675" i="5"/>
  <c r="BH675" i="5"/>
  <c r="BF675" i="5"/>
  <c r="BE675" i="5"/>
  <c r="BD675" i="5"/>
  <c r="AY675" i="5"/>
  <c r="BA675" i="5"/>
  <c r="BP675" i="5" s="1"/>
  <c r="AZ675" i="5"/>
  <c r="AU675" i="5"/>
  <c r="BB675" i="5" s="1"/>
  <c r="AV675" i="5"/>
  <c r="BC675" i="5" s="1"/>
  <c r="CJ748" i="5"/>
  <c r="CI748" i="5"/>
  <c r="CF748" i="5"/>
  <c r="CK748" i="5"/>
  <c r="CH748" i="5"/>
  <c r="CG748" i="5"/>
  <c r="CC748" i="5"/>
  <c r="CD748" i="5"/>
  <c r="CE748" i="5"/>
  <c r="CA748" i="5"/>
  <c r="BZ748" i="5"/>
  <c r="BY748" i="5"/>
  <c r="BX748" i="5"/>
  <c r="BW748" i="5"/>
  <c r="BU748" i="5"/>
  <c r="BV748" i="5"/>
  <c r="BT748" i="5"/>
  <c r="BR748" i="5"/>
  <c r="BQ748" i="5"/>
  <c r="BS748" i="5"/>
  <c r="BL748" i="5"/>
  <c r="BM748" i="5"/>
  <c r="BJ748" i="5"/>
  <c r="BK748" i="5"/>
  <c r="BI748" i="5"/>
  <c r="BH748" i="5"/>
  <c r="BF748" i="5"/>
  <c r="BG748" i="5"/>
  <c r="BE748" i="5"/>
  <c r="BD748" i="5"/>
  <c r="AZ748" i="5"/>
  <c r="AY748" i="5"/>
  <c r="BA748" i="5"/>
  <c r="BP748" i="5" s="1"/>
  <c r="AU748" i="5"/>
  <c r="BB748" i="5" s="1"/>
  <c r="AV748" i="5"/>
  <c r="BC748" i="5" s="1"/>
  <c r="CK821" i="5"/>
  <c r="CI821" i="5"/>
  <c r="CD821" i="5"/>
  <c r="CF821" i="5"/>
  <c r="CE821" i="5"/>
  <c r="CC821" i="5"/>
  <c r="BW821" i="5"/>
  <c r="CA821" i="5"/>
  <c r="BY821" i="5"/>
  <c r="BV821" i="5"/>
  <c r="BU821" i="5"/>
  <c r="BR821" i="5"/>
  <c r="BT821" i="5"/>
  <c r="BQ821" i="5"/>
  <c r="BS821" i="5"/>
  <c r="BM821" i="5"/>
  <c r="BK821" i="5"/>
  <c r="BJ821" i="5"/>
  <c r="BI821" i="5"/>
  <c r="BH821" i="5"/>
  <c r="BG821" i="5"/>
  <c r="BE821" i="5"/>
  <c r="BF821" i="5"/>
  <c r="BD821" i="5"/>
  <c r="BA821" i="5"/>
  <c r="BP821" i="5" s="1"/>
  <c r="AZ821" i="5"/>
  <c r="AY821" i="5"/>
  <c r="AU821" i="5"/>
  <c r="BN821" i="5" s="1"/>
  <c r="AV821" i="5"/>
  <c r="BC821" i="5" s="1"/>
  <c r="CK894" i="5"/>
  <c r="CI894" i="5"/>
  <c r="CE894" i="5"/>
  <c r="CC894" i="5"/>
  <c r="CF894" i="5"/>
  <c r="CD894" i="5"/>
  <c r="CA894" i="5"/>
  <c r="BY894" i="5"/>
  <c r="BU894" i="5"/>
  <c r="BW894" i="5"/>
  <c r="BV894" i="5"/>
  <c r="BS894" i="5"/>
  <c r="BR894" i="5"/>
  <c r="BT894" i="5"/>
  <c r="BQ894" i="5"/>
  <c r="BM894" i="5"/>
  <c r="BJ894" i="5"/>
  <c r="BI894" i="5"/>
  <c r="BK894" i="5"/>
  <c r="BH894" i="5"/>
  <c r="BG894" i="5"/>
  <c r="BE894" i="5"/>
  <c r="BF894" i="5"/>
  <c r="BD894" i="5"/>
  <c r="AV894" i="5"/>
  <c r="BC894" i="5" s="1"/>
  <c r="BA894" i="5"/>
  <c r="BP894" i="5" s="1"/>
  <c r="AZ894" i="5"/>
  <c r="AY894" i="5"/>
  <c r="AU894" i="5"/>
  <c r="BN894" i="5" s="1"/>
  <c r="CK967" i="5"/>
  <c r="CE967" i="5"/>
  <c r="CF967" i="5"/>
  <c r="CI967" i="5"/>
  <c r="CD967" i="5"/>
  <c r="CC967" i="5"/>
  <c r="CA967" i="5"/>
  <c r="BY967" i="5"/>
  <c r="BV967" i="5"/>
  <c r="BW967" i="5"/>
  <c r="BT967" i="5"/>
  <c r="BU967" i="5"/>
  <c r="BR967" i="5"/>
  <c r="BS967" i="5"/>
  <c r="BQ967" i="5"/>
  <c r="BM967" i="5"/>
  <c r="BK967" i="5"/>
  <c r="BJ967" i="5"/>
  <c r="BI967" i="5"/>
  <c r="BG967" i="5"/>
  <c r="BE967" i="5"/>
  <c r="BH967" i="5"/>
  <c r="BF967" i="5"/>
  <c r="BD967" i="5"/>
  <c r="AY967" i="5"/>
  <c r="BA967" i="5"/>
  <c r="BP967" i="5" s="1"/>
  <c r="AZ967" i="5"/>
  <c r="AU967" i="5"/>
  <c r="BB967" i="5" s="1"/>
  <c r="AV967" i="5"/>
  <c r="BO967" i="5" s="1"/>
  <c r="CK1040" i="5"/>
  <c r="CI1040" i="5"/>
  <c r="CF1040" i="5"/>
  <c r="CD1040" i="5"/>
  <c r="CE1040" i="5"/>
  <c r="CA1040" i="5"/>
  <c r="CC1040" i="5"/>
  <c r="BY1040" i="5"/>
  <c r="BW1040" i="5"/>
  <c r="BV1040" i="5"/>
  <c r="BU1040" i="5"/>
  <c r="BT1040" i="5"/>
  <c r="BR1040" i="5"/>
  <c r="BQ1040" i="5"/>
  <c r="BS1040" i="5"/>
  <c r="BM1040" i="5"/>
  <c r="BJ1040" i="5"/>
  <c r="BK1040" i="5"/>
  <c r="BH1040" i="5"/>
  <c r="BI1040" i="5"/>
  <c r="BG1040" i="5"/>
  <c r="BF1040" i="5"/>
  <c r="BE1040" i="5"/>
  <c r="BD1040" i="5"/>
  <c r="AZ1040" i="5"/>
  <c r="AV1040" i="5"/>
  <c r="BO1040" i="5" s="1"/>
  <c r="AY1040" i="5"/>
  <c r="BA1040" i="5"/>
  <c r="BP1040" i="5" s="1"/>
  <c r="AU1040" i="5"/>
  <c r="BN1040" i="5" s="1"/>
  <c r="CK1114" i="5"/>
  <c r="CI1114" i="5"/>
  <c r="CC1114" i="5"/>
  <c r="CF1114" i="5"/>
  <c r="CE1114" i="5"/>
  <c r="CD1114" i="5"/>
  <c r="CA1114" i="5"/>
  <c r="BY1114" i="5"/>
  <c r="BV1114" i="5"/>
  <c r="BU1114" i="5"/>
  <c r="BW1114" i="5"/>
  <c r="BS1114" i="5"/>
  <c r="BT1114" i="5"/>
  <c r="BR1114" i="5"/>
  <c r="BQ1114" i="5"/>
  <c r="BM1114" i="5"/>
  <c r="BI1114" i="5"/>
  <c r="BK1114" i="5"/>
  <c r="BJ1114" i="5"/>
  <c r="BH1114" i="5"/>
  <c r="BG1114" i="5"/>
  <c r="BD1114" i="5"/>
  <c r="BF1114" i="5"/>
  <c r="BE1114" i="5"/>
  <c r="BA1114" i="5"/>
  <c r="BP1114" i="5" s="1"/>
  <c r="AZ1114" i="5"/>
  <c r="AY1114" i="5"/>
  <c r="AU1114" i="5"/>
  <c r="BN1114" i="5" s="1"/>
  <c r="AV1114" i="5"/>
  <c r="BO1114" i="5" s="1"/>
  <c r="CK1187" i="5"/>
  <c r="CE1187" i="5"/>
  <c r="CI1187" i="5"/>
  <c r="CF1187" i="5"/>
  <c r="CD1187" i="5"/>
  <c r="BY1187" i="5"/>
  <c r="CC1187" i="5"/>
  <c r="CA1187" i="5"/>
  <c r="BV1187" i="5"/>
  <c r="BW1187" i="5"/>
  <c r="BU1187" i="5"/>
  <c r="BT1187" i="5"/>
  <c r="BS1187" i="5"/>
  <c r="BR1187" i="5"/>
  <c r="BQ1187" i="5"/>
  <c r="BM1187" i="5"/>
  <c r="BK1187" i="5"/>
  <c r="BJ1187" i="5"/>
  <c r="BI1187" i="5"/>
  <c r="BG1187" i="5"/>
  <c r="BH1187" i="5"/>
  <c r="BE1187" i="5"/>
  <c r="BF1187" i="5"/>
  <c r="BD1187" i="5"/>
  <c r="AY1187" i="5"/>
  <c r="BA1187" i="5"/>
  <c r="BP1187" i="5" s="1"/>
  <c r="AZ1187" i="5"/>
  <c r="AU1187" i="5"/>
  <c r="BN1187" i="5" s="1"/>
  <c r="AV1187" i="5"/>
  <c r="BC1187" i="5" s="1"/>
  <c r="CK1260" i="5"/>
  <c r="CI1260" i="5"/>
  <c r="CF1260" i="5"/>
  <c r="CD1260" i="5"/>
  <c r="CE1260" i="5"/>
  <c r="CA1260" i="5"/>
  <c r="CC1260" i="5"/>
  <c r="BY1260" i="5"/>
  <c r="BW1260" i="5"/>
  <c r="BV1260" i="5"/>
  <c r="BU1260" i="5"/>
  <c r="BT1260" i="5"/>
  <c r="BS1260" i="5"/>
  <c r="BR1260" i="5"/>
  <c r="BQ1260" i="5"/>
  <c r="BM1260" i="5"/>
  <c r="BJ1260" i="5"/>
  <c r="BK1260" i="5"/>
  <c r="BI1260" i="5"/>
  <c r="BH1260" i="5"/>
  <c r="BF1260" i="5"/>
  <c r="BG1260" i="5"/>
  <c r="BE1260" i="5"/>
  <c r="BD1260" i="5"/>
  <c r="AZ1260" i="5"/>
  <c r="AY1260" i="5"/>
  <c r="BA1260" i="5"/>
  <c r="BP1260" i="5" s="1"/>
  <c r="AV1260" i="5"/>
  <c r="BO1260" i="5" s="1"/>
  <c r="AU1260" i="5"/>
  <c r="BN1260" i="5" s="1"/>
  <c r="BB1313" i="5"/>
  <c r="BZ1313" i="5" s="1"/>
  <c r="BL1313" i="5"/>
  <c r="BC1329" i="5"/>
  <c r="CK18" i="5"/>
  <c r="CI18" i="5"/>
  <c r="CH18" i="5"/>
  <c r="CD18" i="5"/>
  <c r="CJ18" i="5"/>
  <c r="CF18" i="5"/>
  <c r="CE18" i="5"/>
  <c r="CG18" i="5"/>
  <c r="CC18" i="5"/>
  <c r="BY18" i="5"/>
  <c r="CA18" i="5"/>
  <c r="BZ18" i="5"/>
  <c r="BU18" i="5"/>
  <c r="BV18" i="5"/>
  <c r="BW18" i="5"/>
  <c r="BX18" i="5"/>
  <c r="BT18" i="5"/>
  <c r="BS18" i="5"/>
  <c r="BR18" i="5"/>
  <c r="BQ18" i="5"/>
  <c r="BM18" i="5"/>
  <c r="BK18" i="5"/>
  <c r="BL18" i="5"/>
  <c r="BJ18" i="5"/>
  <c r="BI18" i="5"/>
  <c r="BH18" i="5"/>
  <c r="BF18" i="5"/>
  <c r="BD18" i="5"/>
  <c r="BG18" i="5"/>
  <c r="BE18" i="5"/>
  <c r="BA18" i="5"/>
  <c r="BP18" i="5" s="1"/>
  <c r="AZ18" i="5"/>
  <c r="AY18" i="5"/>
  <c r="AV18" i="5"/>
  <c r="BO18" i="5" s="1"/>
  <c r="AU18" i="5"/>
  <c r="BN18" i="5" s="1"/>
  <c r="CK91" i="5"/>
  <c r="CI91" i="5"/>
  <c r="CE91" i="5"/>
  <c r="CC91" i="5"/>
  <c r="CF91" i="5"/>
  <c r="CD91" i="5"/>
  <c r="CA91" i="5"/>
  <c r="BY91" i="5"/>
  <c r="BW91" i="5"/>
  <c r="BV91" i="5"/>
  <c r="BU91" i="5"/>
  <c r="BS91" i="5"/>
  <c r="BT91" i="5"/>
  <c r="BQ91" i="5"/>
  <c r="BR91" i="5"/>
  <c r="BK91" i="5"/>
  <c r="BM91" i="5"/>
  <c r="BI91" i="5"/>
  <c r="BJ91" i="5"/>
  <c r="BG91" i="5"/>
  <c r="BH91" i="5"/>
  <c r="BF91" i="5"/>
  <c r="BE91" i="5"/>
  <c r="BD91" i="5"/>
  <c r="BA91" i="5"/>
  <c r="BP91" i="5" s="1"/>
  <c r="AY91" i="5"/>
  <c r="AU91" i="5"/>
  <c r="BN91" i="5" s="1"/>
  <c r="AZ91" i="5"/>
  <c r="AV91" i="5"/>
  <c r="BO91" i="5" s="1"/>
  <c r="CK164" i="5"/>
  <c r="CI164" i="5"/>
  <c r="CF164" i="5"/>
  <c r="CE164" i="5"/>
  <c r="CC164" i="5"/>
  <c r="CD164" i="5"/>
  <c r="CA164" i="5"/>
  <c r="BV164" i="5"/>
  <c r="BY164" i="5"/>
  <c r="BW164" i="5"/>
  <c r="BU164" i="5"/>
  <c r="BT164" i="5"/>
  <c r="BS164" i="5"/>
  <c r="BQ164" i="5"/>
  <c r="BR164" i="5"/>
  <c r="BM164" i="5"/>
  <c r="BJ164" i="5"/>
  <c r="BK164" i="5"/>
  <c r="BI164" i="5"/>
  <c r="BH164" i="5"/>
  <c r="BG164" i="5"/>
  <c r="BF164" i="5"/>
  <c r="BE164" i="5"/>
  <c r="BD164" i="5"/>
  <c r="AZ164" i="5"/>
  <c r="BA164" i="5"/>
  <c r="BP164" i="5" s="1"/>
  <c r="AY164" i="5"/>
  <c r="AU164" i="5"/>
  <c r="BB164" i="5" s="1"/>
  <c r="AV164" i="5"/>
  <c r="BO164" i="5" s="1"/>
  <c r="CK237" i="5"/>
  <c r="CJ237" i="5"/>
  <c r="CH237" i="5"/>
  <c r="CG237" i="5"/>
  <c r="CF237" i="5"/>
  <c r="CE237" i="5"/>
  <c r="CD237" i="5"/>
  <c r="CI237" i="5"/>
  <c r="CC237" i="5"/>
  <c r="CA237" i="5"/>
  <c r="BZ237" i="5"/>
  <c r="BY237" i="5"/>
  <c r="BW237" i="5"/>
  <c r="BT237" i="5"/>
  <c r="BV237" i="5"/>
  <c r="BX237" i="5"/>
  <c r="BU237" i="5"/>
  <c r="BR237" i="5"/>
  <c r="BS237" i="5"/>
  <c r="BQ237" i="5"/>
  <c r="BL237" i="5"/>
  <c r="BM237" i="5"/>
  <c r="BK237" i="5"/>
  <c r="BJ237" i="5"/>
  <c r="BI237" i="5"/>
  <c r="BG237" i="5"/>
  <c r="BH237" i="5"/>
  <c r="BF237" i="5"/>
  <c r="BE237" i="5"/>
  <c r="BD237" i="5"/>
  <c r="BA237" i="5"/>
  <c r="BP237" i="5" s="1"/>
  <c r="AZ237" i="5"/>
  <c r="AY237" i="5"/>
  <c r="AU237" i="5"/>
  <c r="BN237" i="5" s="1"/>
  <c r="AV237" i="5"/>
  <c r="BO237" i="5" s="1"/>
  <c r="CK310" i="5"/>
  <c r="CJ310" i="5"/>
  <c r="CI310" i="5"/>
  <c r="CH310" i="5"/>
  <c r="CD310" i="5"/>
  <c r="CG310" i="5"/>
  <c r="CF310" i="5"/>
  <c r="CC310" i="5"/>
  <c r="CE310" i="5"/>
  <c r="BY310" i="5"/>
  <c r="CA310" i="5"/>
  <c r="BZ310" i="5"/>
  <c r="BW310" i="5"/>
  <c r="BV310" i="5"/>
  <c r="BU310" i="5"/>
  <c r="BX310" i="5"/>
  <c r="BS310" i="5"/>
  <c r="BT310" i="5"/>
  <c r="BR310" i="5"/>
  <c r="BQ310" i="5"/>
  <c r="BM310" i="5"/>
  <c r="BL310" i="5"/>
  <c r="BK310" i="5"/>
  <c r="BJ310" i="5"/>
  <c r="BI310" i="5"/>
  <c r="BF310" i="5"/>
  <c r="BH310" i="5"/>
  <c r="BG310" i="5"/>
  <c r="BD310" i="5"/>
  <c r="BE310" i="5"/>
  <c r="BA310" i="5"/>
  <c r="BP310" i="5" s="1"/>
  <c r="AZ310" i="5"/>
  <c r="AY310" i="5"/>
  <c r="AV310" i="5"/>
  <c r="BO310" i="5" s="1"/>
  <c r="AU310" i="5"/>
  <c r="BN310" i="5" s="1"/>
  <c r="CK383" i="5"/>
  <c r="CH383" i="5"/>
  <c r="CJ383" i="5"/>
  <c r="CE383" i="5"/>
  <c r="CI383" i="5"/>
  <c r="CF383" i="5"/>
  <c r="CG383" i="5"/>
  <c r="CD383" i="5"/>
  <c r="CC383" i="5"/>
  <c r="BZ383" i="5"/>
  <c r="CA383" i="5"/>
  <c r="BY383" i="5"/>
  <c r="BX383" i="5"/>
  <c r="BV383" i="5"/>
  <c r="BW383" i="5"/>
  <c r="BT383" i="5"/>
  <c r="BU383" i="5"/>
  <c r="BS383" i="5"/>
  <c r="BQ383" i="5"/>
  <c r="BR383" i="5"/>
  <c r="BK383" i="5"/>
  <c r="BL383" i="5"/>
  <c r="BI383" i="5"/>
  <c r="BM383" i="5"/>
  <c r="BH383" i="5"/>
  <c r="BJ383" i="5"/>
  <c r="BG383" i="5"/>
  <c r="BE383" i="5"/>
  <c r="BF383" i="5"/>
  <c r="BD383" i="5"/>
  <c r="BA383" i="5"/>
  <c r="BP383" i="5" s="1"/>
  <c r="AY383" i="5"/>
  <c r="AZ383" i="5"/>
  <c r="AU383" i="5"/>
  <c r="BB383" i="5" s="1"/>
  <c r="AV383" i="5"/>
  <c r="BO383" i="5" s="1"/>
  <c r="CJ456" i="5"/>
  <c r="CK456" i="5"/>
  <c r="CF456" i="5"/>
  <c r="CI456" i="5"/>
  <c r="CE456" i="5"/>
  <c r="CH456" i="5"/>
  <c r="CC456" i="5"/>
  <c r="CG456" i="5"/>
  <c r="CD456" i="5"/>
  <c r="CA456" i="5"/>
  <c r="BZ456" i="5"/>
  <c r="BY456" i="5"/>
  <c r="BX456" i="5"/>
  <c r="BV456" i="5"/>
  <c r="BW456" i="5"/>
  <c r="BU456" i="5"/>
  <c r="BT456" i="5"/>
  <c r="BS456" i="5"/>
  <c r="BR456" i="5"/>
  <c r="BQ456" i="5"/>
  <c r="BK456" i="5"/>
  <c r="BM456" i="5"/>
  <c r="BL456" i="5"/>
  <c r="BJ456" i="5"/>
  <c r="BH456" i="5"/>
  <c r="BI456" i="5"/>
  <c r="BG456" i="5"/>
  <c r="BF456" i="5"/>
  <c r="BE456" i="5"/>
  <c r="BD456" i="5"/>
  <c r="BA456" i="5"/>
  <c r="BP456" i="5" s="1"/>
  <c r="AZ456" i="5"/>
  <c r="AV456" i="5"/>
  <c r="BO456" i="5" s="1"/>
  <c r="AY456" i="5"/>
  <c r="AU456" i="5"/>
  <c r="BN456" i="5" s="1"/>
  <c r="CK530" i="5"/>
  <c r="CJ530" i="5"/>
  <c r="CI530" i="5"/>
  <c r="CH530" i="5"/>
  <c r="CG530" i="5"/>
  <c r="CF530" i="5"/>
  <c r="CE530" i="5"/>
  <c r="CD530" i="5"/>
  <c r="BY530" i="5"/>
  <c r="CC530" i="5"/>
  <c r="CA530" i="5"/>
  <c r="BZ530" i="5"/>
  <c r="BX530" i="5"/>
  <c r="BU530" i="5"/>
  <c r="BW530" i="5"/>
  <c r="BV530" i="5"/>
  <c r="BS530" i="5"/>
  <c r="BT530" i="5"/>
  <c r="BR530" i="5"/>
  <c r="BQ530" i="5"/>
  <c r="BM530" i="5"/>
  <c r="BL530" i="5"/>
  <c r="BK530" i="5"/>
  <c r="BJ530" i="5"/>
  <c r="BI530" i="5"/>
  <c r="BF530" i="5"/>
  <c r="BH530" i="5"/>
  <c r="BG530" i="5"/>
  <c r="BE530" i="5"/>
  <c r="BD530" i="5"/>
  <c r="BA530" i="5"/>
  <c r="BP530" i="5" s="1"/>
  <c r="AZ530" i="5"/>
  <c r="AY530" i="5"/>
  <c r="AV530" i="5"/>
  <c r="BO530" i="5" s="1"/>
  <c r="AU530" i="5"/>
  <c r="BN530" i="5" s="1"/>
  <c r="CK603" i="5"/>
  <c r="CI603" i="5"/>
  <c r="CE603" i="5"/>
  <c r="CH603" i="5"/>
  <c r="CJ603" i="5"/>
  <c r="CG603" i="5"/>
  <c r="CD603" i="5"/>
  <c r="CC603" i="5"/>
  <c r="CF603" i="5"/>
  <c r="BZ603" i="5"/>
  <c r="BY603" i="5"/>
  <c r="BX603" i="5"/>
  <c r="CA603" i="5"/>
  <c r="BW603" i="5"/>
  <c r="BV603" i="5"/>
  <c r="BU603" i="5"/>
  <c r="BS603" i="5"/>
  <c r="BT603" i="5"/>
  <c r="BQ603" i="5"/>
  <c r="BR603" i="5"/>
  <c r="BM603" i="5"/>
  <c r="BL603" i="5"/>
  <c r="BK603" i="5"/>
  <c r="BI603" i="5"/>
  <c r="BJ603" i="5"/>
  <c r="BG603" i="5"/>
  <c r="BF603" i="5"/>
  <c r="BH603" i="5"/>
  <c r="BE603" i="5"/>
  <c r="BD603" i="5"/>
  <c r="AY603" i="5"/>
  <c r="AU603" i="5"/>
  <c r="BN603" i="5" s="1"/>
  <c r="BA603" i="5"/>
  <c r="BP603" i="5" s="1"/>
  <c r="AZ603" i="5"/>
  <c r="AV603" i="5"/>
  <c r="BO603" i="5" s="1"/>
  <c r="CK676" i="5"/>
  <c r="CH676" i="5"/>
  <c r="CI676" i="5"/>
  <c r="CF676" i="5"/>
  <c r="CJ676" i="5"/>
  <c r="CE676" i="5"/>
  <c r="CC676" i="5"/>
  <c r="CG676" i="5"/>
  <c r="CD676" i="5"/>
  <c r="CA676" i="5"/>
  <c r="BZ676" i="5"/>
  <c r="BY676" i="5"/>
  <c r="BW676" i="5"/>
  <c r="BX676" i="5"/>
  <c r="BU676" i="5"/>
  <c r="BV676" i="5"/>
  <c r="BT676" i="5"/>
  <c r="BS676" i="5"/>
  <c r="BQ676" i="5"/>
  <c r="BR676" i="5"/>
  <c r="BL676" i="5"/>
  <c r="BM676" i="5"/>
  <c r="BJ676" i="5"/>
  <c r="BK676" i="5"/>
  <c r="BI676" i="5"/>
  <c r="BH676" i="5"/>
  <c r="BG676" i="5"/>
  <c r="BF676" i="5"/>
  <c r="BD676" i="5"/>
  <c r="BE676" i="5"/>
  <c r="AZ676" i="5"/>
  <c r="AY676" i="5"/>
  <c r="BA676" i="5"/>
  <c r="BP676" i="5" s="1"/>
  <c r="AU676" i="5"/>
  <c r="BN676" i="5" s="1"/>
  <c r="AV676" i="5"/>
  <c r="BO676" i="5" s="1"/>
  <c r="CK749" i="5"/>
  <c r="CH749" i="5"/>
  <c r="CG749" i="5"/>
  <c r="CF749" i="5"/>
  <c r="CE749" i="5"/>
  <c r="CJ749" i="5"/>
  <c r="CD749" i="5"/>
  <c r="CI749" i="5"/>
  <c r="CC749" i="5"/>
  <c r="CA749" i="5"/>
  <c r="BZ749" i="5"/>
  <c r="BX749" i="5"/>
  <c r="BW749" i="5"/>
  <c r="BY749" i="5"/>
  <c r="BV749" i="5"/>
  <c r="BU749" i="5"/>
  <c r="BR749" i="5"/>
  <c r="BT749" i="5"/>
  <c r="BS749" i="5"/>
  <c r="BQ749" i="5"/>
  <c r="BM749" i="5"/>
  <c r="BL749" i="5"/>
  <c r="BK749" i="5"/>
  <c r="BJ749" i="5"/>
  <c r="BI749" i="5"/>
  <c r="BH749" i="5"/>
  <c r="BG749" i="5"/>
  <c r="BE749" i="5"/>
  <c r="BD749" i="5"/>
  <c r="BF749" i="5"/>
  <c r="BA749" i="5"/>
  <c r="BP749" i="5" s="1"/>
  <c r="AZ749" i="5"/>
  <c r="AY749" i="5"/>
  <c r="AU749" i="5"/>
  <c r="BN749" i="5" s="1"/>
  <c r="AV749" i="5"/>
  <c r="BO749" i="5" s="1"/>
  <c r="CK822" i="5"/>
  <c r="CJ822" i="5"/>
  <c r="CI822" i="5"/>
  <c r="CH822" i="5"/>
  <c r="CC822" i="5"/>
  <c r="CG822" i="5"/>
  <c r="CD822" i="5"/>
  <c r="CE822" i="5"/>
  <c r="CF822" i="5"/>
  <c r="CA822" i="5"/>
  <c r="BZ822" i="5"/>
  <c r="BY822" i="5"/>
  <c r="BW822" i="5"/>
  <c r="BU822" i="5"/>
  <c r="BX822" i="5"/>
  <c r="BV822" i="5"/>
  <c r="BS822" i="5"/>
  <c r="BT822" i="5"/>
  <c r="BR822" i="5"/>
  <c r="BQ822" i="5"/>
  <c r="BM822" i="5"/>
  <c r="BL822" i="5"/>
  <c r="BK822" i="5"/>
  <c r="BJ822" i="5"/>
  <c r="BI822" i="5"/>
  <c r="BH822" i="5"/>
  <c r="BG822" i="5"/>
  <c r="BE822" i="5"/>
  <c r="BF822" i="5"/>
  <c r="BD822" i="5"/>
  <c r="BA822" i="5"/>
  <c r="BP822" i="5" s="1"/>
  <c r="AZ822" i="5"/>
  <c r="AY822" i="5"/>
  <c r="AV822" i="5"/>
  <c r="BO822" i="5" s="1"/>
  <c r="AU822" i="5"/>
  <c r="BN822" i="5" s="1"/>
  <c r="CK895" i="5"/>
  <c r="CE895" i="5"/>
  <c r="CI895" i="5"/>
  <c r="CF895" i="5"/>
  <c r="CD895" i="5"/>
  <c r="CC895" i="5"/>
  <c r="BY895" i="5"/>
  <c r="CA895" i="5"/>
  <c r="BV895" i="5"/>
  <c r="BW895" i="5"/>
  <c r="BT895" i="5"/>
  <c r="BU895" i="5"/>
  <c r="BQ895" i="5"/>
  <c r="BR895" i="5"/>
  <c r="BS895" i="5"/>
  <c r="BI895" i="5"/>
  <c r="BM895" i="5"/>
  <c r="BJ895" i="5"/>
  <c r="BK895" i="5"/>
  <c r="BG895" i="5"/>
  <c r="BE895" i="5"/>
  <c r="BH895" i="5"/>
  <c r="BF895" i="5"/>
  <c r="BD895" i="5"/>
  <c r="AY895" i="5"/>
  <c r="BA895" i="5"/>
  <c r="BP895" i="5" s="1"/>
  <c r="AZ895" i="5"/>
  <c r="AU895" i="5"/>
  <c r="BN895" i="5" s="1"/>
  <c r="AV895" i="5"/>
  <c r="BO895" i="5" s="1"/>
  <c r="CK968" i="5"/>
  <c r="CJ968" i="5"/>
  <c r="CG968" i="5"/>
  <c r="CF968" i="5"/>
  <c r="CI968" i="5"/>
  <c r="CE968" i="5"/>
  <c r="CH968" i="5"/>
  <c r="CC968" i="5"/>
  <c r="CD968" i="5"/>
  <c r="CA968" i="5"/>
  <c r="BZ968" i="5"/>
  <c r="BY968" i="5"/>
  <c r="BX968" i="5"/>
  <c r="BW968" i="5"/>
  <c r="BU968" i="5"/>
  <c r="BV968" i="5"/>
  <c r="BT968" i="5"/>
  <c r="BS968" i="5"/>
  <c r="BR968" i="5"/>
  <c r="BQ968" i="5"/>
  <c r="BL968" i="5"/>
  <c r="BK968" i="5"/>
  <c r="BM968" i="5"/>
  <c r="BJ968" i="5"/>
  <c r="BH968" i="5"/>
  <c r="BI968" i="5"/>
  <c r="BG968" i="5"/>
  <c r="BF968" i="5"/>
  <c r="BE968" i="5"/>
  <c r="BD968" i="5"/>
  <c r="AZ968" i="5"/>
  <c r="AV968" i="5"/>
  <c r="BC968" i="5" s="1"/>
  <c r="AY968" i="5"/>
  <c r="BA968" i="5"/>
  <c r="BP968" i="5" s="1"/>
  <c r="AU968" i="5"/>
  <c r="BN968" i="5" s="1"/>
  <c r="CK1042" i="5"/>
  <c r="CI1042" i="5"/>
  <c r="CF1042" i="5"/>
  <c r="CE1042" i="5"/>
  <c r="CC1042" i="5"/>
  <c r="CD1042" i="5"/>
  <c r="CA1042" i="5"/>
  <c r="BY1042" i="5"/>
  <c r="BU1042" i="5"/>
  <c r="BW1042" i="5"/>
  <c r="BV1042" i="5"/>
  <c r="BS1042" i="5"/>
  <c r="BT1042" i="5"/>
  <c r="BR1042" i="5"/>
  <c r="BQ1042" i="5"/>
  <c r="BM1042" i="5"/>
  <c r="BI1042" i="5"/>
  <c r="BK1042" i="5"/>
  <c r="BJ1042" i="5"/>
  <c r="BH1042" i="5"/>
  <c r="BG1042" i="5"/>
  <c r="BF1042" i="5"/>
  <c r="BE1042" i="5"/>
  <c r="BD1042" i="5"/>
  <c r="BA1042" i="5"/>
  <c r="BP1042" i="5" s="1"/>
  <c r="AZ1042" i="5"/>
  <c r="AY1042" i="5"/>
  <c r="AV1042" i="5"/>
  <c r="BC1042" i="5" s="1"/>
  <c r="AU1042" i="5"/>
  <c r="BN1042" i="5" s="1"/>
  <c r="CK1115" i="5"/>
  <c r="CI1115" i="5"/>
  <c r="CE1115" i="5"/>
  <c r="CD1115" i="5"/>
  <c r="CF1115" i="5"/>
  <c r="BY1115" i="5"/>
  <c r="CC1115" i="5"/>
  <c r="CA1115" i="5"/>
  <c r="BW1115" i="5"/>
  <c r="BV1115" i="5"/>
  <c r="BU1115" i="5"/>
  <c r="BT1115" i="5"/>
  <c r="BS1115" i="5"/>
  <c r="BR1115" i="5"/>
  <c r="BQ1115" i="5"/>
  <c r="BM1115" i="5"/>
  <c r="BI1115" i="5"/>
  <c r="BK1115" i="5"/>
  <c r="BJ1115" i="5"/>
  <c r="BG1115" i="5"/>
  <c r="BH1115" i="5"/>
  <c r="BE1115" i="5"/>
  <c r="BD1115" i="5"/>
  <c r="BF1115" i="5"/>
  <c r="AY1115" i="5"/>
  <c r="AU1115" i="5"/>
  <c r="BN1115" i="5" s="1"/>
  <c r="BA1115" i="5"/>
  <c r="BP1115" i="5" s="1"/>
  <c r="AZ1115" i="5"/>
  <c r="AV1115" i="5"/>
  <c r="BC1115" i="5" s="1"/>
  <c r="CK1188" i="5"/>
  <c r="CI1188" i="5"/>
  <c r="CF1188" i="5"/>
  <c r="CE1188" i="5"/>
  <c r="CD1188" i="5"/>
  <c r="CA1188" i="5"/>
  <c r="CC1188" i="5"/>
  <c r="BY1188" i="5"/>
  <c r="BW1188" i="5"/>
  <c r="BV1188" i="5"/>
  <c r="BU1188" i="5"/>
  <c r="BT1188" i="5"/>
  <c r="BS1188" i="5"/>
  <c r="BR1188" i="5"/>
  <c r="BQ1188" i="5"/>
  <c r="BM1188" i="5"/>
  <c r="BJ1188" i="5"/>
  <c r="BK1188" i="5"/>
  <c r="BI1188" i="5"/>
  <c r="BH1188" i="5"/>
  <c r="BG1188" i="5"/>
  <c r="BF1188" i="5"/>
  <c r="BD1188" i="5"/>
  <c r="BE1188" i="5"/>
  <c r="AZ1188" i="5"/>
  <c r="AY1188" i="5"/>
  <c r="BA1188" i="5"/>
  <c r="BP1188" i="5" s="1"/>
  <c r="AU1188" i="5"/>
  <c r="BB1188" i="5" s="1"/>
  <c r="AV1188" i="5"/>
  <c r="BC1188" i="5" s="1"/>
  <c r="CK1261" i="5"/>
  <c r="CF1261" i="5"/>
  <c r="CE1261" i="5"/>
  <c r="CD1261" i="5"/>
  <c r="CI1261" i="5"/>
  <c r="CC1261" i="5"/>
  <c r="CA1261" i="5"/>
  <c r="BW1261" i="5"/>
  <c r="BY1261" i="5"/>
  <c r="BV1261" i="5"/>
  <c r="BU1261" i="5"/>
  <c r="BT1261" i="5"/>
  <c r="BS1261" i="5"/>
  <c r="BQ1261" i="5"/>
  <c r="BR1261" i="5"/>
  <c r="BM1261" i="5"/>
  <c r="BK1261" i="5"/>
  <c r="BJ1261" i="5"/>
  <c r="BI1261" i="5"/>
  <c r="BH1261" i="5"/>
  <c r="BG1261" i="5"/>
  <c r="BF1261" i="5"/>
  <c r="BE1261" i="5"/>
  <c r="BD1261" i="5"/>
  <c r="BA1261" i="5"/>
  <c r="BP1261" i="5" s="1"/>
  <c r="AU1261" i="5"/>
  <c r="BN1261" i="5" s="1"/>
  <c r="AZ1261" i="5"/>
  <c r="AY1261" i="5"/>
  <c r="AV1261" i="5"/>
  <c r="BC1261" i="5" s="1"/>
  <c r="CI1330" i="5"/>
  <c r="CK1330" i="5"/>
  <c r="CF1330" i="5"/>
  <c r="CE1330" i="5"/>
  <c r="CC1330" i="5"/>
  <c r="CD1330" i="5"/>
  <c r="CA1330" i="5"/>
  <c r="BY1330" i="5"/>
  <c r="BU1330" i="5"/>
  <c r="BW1330" i="5"/>
  <c r="BV1330" i="5"/>
  <c r="BS1330" i="5"/>
  <c r="BT1330" i="5"/>
  <c r="BR1330" i="5"/>
  <c r="BQ1330" i="5"/>
  <c r="BM1330" i="5"/>
  <c r="BI1330" i="5"/>
  <c r="BK1330" i="5"/>
  <c r="BJ1330" i="5"/>
  <c r="BH1330" i="5"/>
  <c r="BG1330" i="5"/>
  <c r="BF1330" i="5"/>
  <c r="BE1330" i="5"/>
  <c r="BD1330" i="5"/>
  <c r="BA1330" i="5"/>
  <c r="BP1330" i="5" s="1"/>
  <c r="AZ1330" i="5"/>
  <c r="AY1330" i="5"/>
  <c r="AU1330" i="5"/>
  <c r="BB1330" i="5" s="1"/>
  <c r="AV1330" i="5"/>
  <c r="BO1330" i="5" s="1"/>
  <c r="BX55" i="5"/>
  <c r="BC119" i="5"/>
  <c r="BO192" i="5"/>
  <c r="BB211" i="5"/>
  <c r="BO247" i="5"/>
  <c r="CK430" i="5"/>
  <c r="CI430" i="5"/>
  <c r="CD430" i="5"/>
  <c r="CF430" i="5"/>
  <c r="CE430" i="5"/>
  <c r="CC430" i="5"/>
  <c r="BY430" i="5"/>
  <c r="CA430" i="5"/>
  <c r="BU430" i="5"/>
  <c r="BV430" i="5"/>
  <c r="BW430" i="5"/>
  <c r="BS430" i="5"/>
  <c r="BT430" i="5"/>
  <c r="BR430" i="5"/>
  <c r="BQ430" i="5"/>
  <c r="BM430" i="5"/>
  <c r="BK430" i="5"/>
  <c r="BJ430" i="5"/>
  <c r="BI430" i="5"/>
  <c r="BG430" i="5"/>
  <c r="BH430" i="5"/>
  <c r="BF430" i="5"/>
  <c r="BD430" i="5"/>
  <c r="BE430" i="5"/>
  <c r="BA430" i="5"/>
  <c r="BP430" i="5" s="1"/>
  <c r="AZ430" i="5"/>
  <c r="AY430" i="5"/>
  <c r="AV430" i="5"/>
  <c r="BO430" i="5" s="1"/>
  <c r="AU430" i="5"/>
  <c r="BN430" i="5" s="1"/>
  <c r="CK503" i="5"/>
  <c r="CE503" i="5"/>
  <c r="CF503" i="5"/>
  <c r="CI503" i="5"/>
  <c r="CD503" i="5"/>
  <c r="CC503" i="5"/>
  <c r="CA503" i="5"/>
  <c r="BY503" i="5"/>
  <c r="BV503" i="5"/>
  <c r="BW503" i="5"/>
  <c r="BU503" i="5"/>
  <c r="BT503" i="5"/>
  <c r="BS503" i="5"/>
  <c r="BQ503" i="5"/>
  <c r="BR503" i="5"/>
  <c r="BM503" i="5"/>
  <c r="BK503" i="5"/>
  <c r="BI503" i="5"/>
  <c r="BJ503" i="5"/>
  <c r="BG503" i="5"/>
  <c r="BH503" i="5"/>
  <c r="BE503" i="5"/>
  <c r="BF503" i="5"/>
  <c r="BD503" i="5"/>
  <c r="BA503" i="5"/>
  <c r="BP503" i="5" s="1"/>
  <c r="AY503" i="5"/>
  <c r="AZ503" i="5"/>
  <c r="AV503" i="5"/>
  <c r="BO503" i="5" s="1"/>
  <c r="AU503" i="5"/>
  <c r="BN503" i="5" s="1"/>
  <c r="CK576" i="5"/>
  <c r="CI576" i="5"/>
  <c r="CF576" i="5"/>
  <c r="CE576" i="5"/>
  <c r="CC576" i="5"/>
  <c r="CD576" i="5"/>
  <c r="CA576" i="5"/>
  <c r="BY576" i="5"/>
  <c r="BW576" i="5"/>
  <c r="BV576" i="5"/>
  <c r="BU576" i="5"/>
  <c r="BT576" i="5"/>
  <c r="BS576" i="5"/>
  <c r="BQ576" i="5"/>
  <c r="BR576" i="5"/>
  <c r="BM576" i="5"/>
  <c r="BK576" i="5"/>
  <c r="BJ576" i="5"/>
  <c r="BH576" i="5"/>
  <c r="BI576" i="5"/>
  <c r="BG576" i="5"/>
  <c r="BF576" i="5"/>
  <c r="BE576" i="5"/>
  <c r="BD576" i="5"/>
  <c r="AZ576" i="5"/>
  <c r="AY576" i="5"/>
  <c r="BA576" i="5"/>
  <c r="BP576" i="5" s="1"/>
  <c r="AV576" i="5"/>
  <c r="BO576" i="5" s="1"/>
  <c r="AU576" i="5"/>
  <c r="BN576" i="5" s="1"/>
  <c r="CJ650" i="5"/>
  <c r="CI650" i="5"/>
  <c r="CK650" i="5"/>
  <c r="CH650" i="5"/>
  <c r="CG650" i="5"/>
  <c r="CF650" i="5"/>
  <c r="CE650" i="5"/>
  <c r="CD650" i="5"/>
  <c r="CC650" i="5"/>
  <c r="CA650" i="5"/>
  <c r="BX650" i="5"/>
  <c r="BZ650" i="5"/>
  <c r="BU650" i="5"/>
  <c r="BY650" i="5"/>
  <c r="BW650" i="5"/>
  <c r="BV650" i="5"/>
  <c r="BS650" i="5"/>
  <c r="BT650" i="5"/>
  <c r="BR650" i="5"/>
  <c r="BQ650" i="5"/>
  <c r="BM650" i="5"/>
  <c r="BL650" i="5"/>
  <c r="BK650" i="5"/>
  <c r="BJ650" i="5"/>
  <c r="BI650" i="5"/>
  <c r="BF650" i="5"/>
  <c r="BH650" i="5"/>
  <c r="BG650" i="5"/>
  <c r="BD650" i="5"/>
  <c r="BE650" i="5"/>
  <c r="BA650" i="5"/>
  <c r="BP650" i="5" s="1"/>
  <c r="AZ650" i="5"/>
  <c r="AY650" i="5"/>
  <c r="AV650" i="5"/>
  <c r="BO650" i="5" s="1"/>
  <c r="AU650" i="5"/>
  <c r="BN650" i="5" s="1"/>
  <c r="CK723" i="5"/>
  <c r="CE723" i="5"/>
  <c r="CH723" i="5"/>
  <c r="CJ723" i="5"/>
  <c r="CG723" i="5"/>
  <c r="CI723" i="5"/>
  <c r="CF723" i="5"/>
  <c r="CC723" i="5"/>
  <c r="CD723" i="5"/>
  <c r="BZ723" i="5"/>
  <c r="BY723" i="5"/>
  <c r="CA723" i="5"/>
  <c r="BX723" i="5"/>
  <c r="BV723" i="5"/>
  <c r="BW723" i="5"/>
  <c r="BU723" i="5"/>
  <c r="BT723" i="5"/>
  <c r="BS723" i="5"/>
  <c r="BR723" i="5"/>
  <c r="BQ723" i="5"/>
  <c r="BL723" i="5"/>
  <c r="BM723" i="5"/>
  <c r="BI723" i="5"/>
  <c r="BK723" i="5"/>
  <c r="BG723" i="5"/>
  <c r="BJ723" i="5"/>
  <c r="BH723" i="5"/>
  <c r="BE723" i="5"/>
  <c r="BD723" i="5"/>
  <c r="BF723" i="5"/>
  <c r="AY723" i="5"/>
  <c r="AU723" i="5"/>
  <c r="BB723" i="5" s="1"/>
  <c r="BA723" i="5"/>
  <c r="BP723" i="5" s="1"/>
  <c r="AZ723" i="5"/>
  <c r="AV723" i="5"/>
  <c r="BO723" i="5" s="1"/>
  <c r="CK796" i="5"/>
  <c r="CF796" i="5"/>
  <c r="CI796" i="5"/>
  <c r="CE796" i="5"/>
  <c r="CD796" i="5"/>
  <c r="CC796" i="5"/>
  <c r="CA796" i="5"/>
  <c r="BY796" i="5"/>
  <c r="BW796" i="5"/>
  <c r="BV796" i="5"/>
  <c r="BU796" i="5"/>
  <c r="BT796" i="5"/>
  <c r="BR796" i="5"/>
  <c r="BS796" i="5"/>
  <c r="BQ796" i="5"/>
  <c r="BJ796" i="5"/>
  <c r="BM796" i="5"/>
  <c r="BK796" i="5"/>
  <c r="BI796" i="5"/>
  <c r="BH796" i="5"/>
  <c r="BG796" i="5"/>
  <c r="BF796" i="5"/>
  <c r="BD796" i="5"/>
  <c r="BE796" i="5"/>
  <c r="AZ796" i="5"/>
  <c r="AY796" i="5"/>
  <c r="BA796" i="5"/>
  <c r="BP796" i="5" s="1"/>
  <c r="AV796" i="5"/>
  <c r="BO796" i="5" s="1"/>
  <c r="AU796" i="5"/>
  <c r="BN796" i="5" s="1"/>
  <c r="CJ869" i="5"/>
  <c r="CI869" i="5"/>
  <c r="CH869" i="5"/>
  <c r="CK869" i="5"/>
  <c r="CG869" i="5"/>
  <c r="CD869" i="5"/>
  <c r="CE869" i="5"/>
  <c r="CF869" i="5"/>
  <c r="CC869" i="5"/>
  <c r="CA869" i="5"/>
  <c r="BX869" i="5"/>
  <c r="BW869" i="5"/>
  <c r="BZ869" i="5"/>
  <c r="BY869" i="5"/>
  <c r="BV869" i="5"/>
  <c r="BU869" i="5"/>
  <c r="BR869" i="5"/>
  <c r="BT869" i="5"/>
  <c r="BQ869" i="5"/>
  <c r="BS869" i="5"/>
  <c r="BM869" i="5"/>
  <c r="BL869" i="5"/>
  <c r="BK869" i="5"/>
  <c r="BJ869" i="5"/>
  <c r="BI869" i="5"/>
  <c r="BH869" i="5"/>
  <c r="BG869" i="5"/>
  <c r="BF869" i="5"/>
  <c r="BD869" i="5"/>
  <c r="BE869" i="5"/>
  <c r="BA869" i="5"/>
  <c r="BP869" i="5" s="1"/>
  <c r="AZ869" i="5"/>
  <c r="AY869" i="5"/>
  <c r="AV869" i="5"/>
  <c r="BC869" i="5" s="1"/>
  <c r="AU869" i="5"/>
  <c r="BB869" i="5" s="1"/>
  <c r="CJ942" i="5"/>
  <c r="CI942" i="5"/>
  <c r="CH942" i="5"/>
  <c r="CK942" i="5"/>
  <c r="CG942" i="5"/>
  <c r="CF942" i="5"/>
  <c r="CC942" i="5"/>
  <c r="CE942" i="5"/>
  <c r="CD942" i="5"/>
  <c r="CA942" i="5"/>
  <c r="BX942" i="5"/>
  <c r="BY942" i="5"/>
  <c r="BZ942" i="5"/>
  <c r="BU942" i="5"/>
  <c r="BW942" i="5"/>
  <c r="BV942" i="5"/>
  <c r="BS942" i="5"/>
  <c r="BT942" i="5"/>
  <c r="BR942" i="5"/>
  <c r="BQ942" i="5"/>
  <c r="BM942" i="5"/>
  <c r="BL942" i="5"/>
  <c r="BJ942" i="5"/>
  <c r="BI942" i="5"/>
  <c r="BK942" i="5"/>
  <c r="BH942" i="5"/>
  <c r="BG942" i="5"/>
  <c r="BF942" i="5"/>
  <c r="BE942" i="5"/>
  <c r="BD942" i="5"/>
  <c r="BA942" i="5"/>
  <c r="BP942" i="5" s="1"/>
  <c r="AZ942" i="5"/>
  <c r="AY942" i="5"/>
  <c r="AV942" i="5"/>
  <c r="BO942" i="5" s="1"/>
  <c r="AU942" i="5"/>
  <c r="BB942" i="5" s="1"/>
  <c r="CK1015" i="5"/>
  <c r="CE1015" i="5"/>
  <c r="CF1015" i="5"/>
  <c r="CI1015" i="5"/>
  <c r="CD1015" i="5"/>
  <c r="CC1015" i="5"/>
  <c r="CA1015" i="5"/>
  <c r="BY1015" i="5"/>
  <c r="BV1015" i="5"/>
  <c r="BW1015" i="5"/>
  <c r="BT1015" i="5"/>
  <c r="BU1015" i="5"/>
  <c r="BS1015" i="5"/>
  <c r="BR1015" i="5"/>
  <c r="BQ1015" i="5"/>
  <c r="BM1015" i="5"/>
  <c r="BJ1015" i="5"/>
  <c r="BK1015" i="5"/>
  <c r="BI1015" i="5"/>
  <c r="BG1015" i="5"/>
  <c r="BH1015" i="5"/>
  <c r="BE1015" i="5"/>
  <c r="BF1015" i="5"/>
  <c r="BD1015" i="5"/>
  <c r="AY1015" i="5"/>
  <c r="BA1015" i="5"/>
  <c r="BP1015" i="5" s="1"/>
  <c r="AZ1015" i="5"/>
  <c r="AV1015" i="5"/>
  <c r="BO1015" i="5" s="1"/>
  <c r="AU1015" i="5"/>
  <c r="BN1015" i="5" s="1"/>
  <c r="CJ1088" i="5"/>
  <c r="CK1088" i="5"/>
  <c r="CI1088" i="5"/>
  <c r="CG1088" i="5"/>
  <c r="CF1088" i="5"/>
  <c r="CE1088" i="5"/>
  <c r="CH1088" i="5"/>
  <c r="CD1088" i="5"/>
  <c r="CC1088" i="5"/>
  <c r="CA1088" i="5"/>
  <c r="BZ1088" i="5"/>
  <c r="BX1088" i="5"/>
  <c r="BY1088" i="5"/>
  <c r="BW1088" i="5"/>
  <c r="BV1088" i="5"/>
  <c r="BU1088" i="5"/>
  <c r="BT1088" i="5"/>
  <c r="BS1088" i="5"/>
  <c r="BR1088" i="5"/>
  <c r="BQ1088" i="5"/>
  <c r="BL1088" i="5"/>
  <c r="BM1088" i="5"/>
  <c r="BJ1088" i="5"/>
  <c r="BH1088" i="5"/>
  <c r="BI1088" i="5"/>
  <c r="BK1088" i="5"/>
  <c r="BG1088" i="5"/>
  <c r="BF1088" i="5"/>
  <c r="BE1088" i="5"/>
  <c r="BD1088" i="5"/>
  <c r="AZ1088" i="5"/>
  <c r="AY1088" i="5"/>
  <c r="BA1088" i="5"/>
  <c r="BP1088" i="5" s="1"/>
  <c r="AV1088" i="5"/>
  <c r="BC1088" i="5" s="1"/>
  <c r="AU1088" i="5"/>
  <c r="BN1088" i="5" s="1"/>
  <c r="CI1162" i="5"/>
  <c r="CK1162" i="5"/>
  <c r="CF1162" i="5"/>
  <c r="CC1162" i="5"/>
  <c r="CE1162" i="5"/>
  <c r="CD1162" i="5"/>
  <c r="CA1162" i="5"/>
  <c r="BY1162" i="5"/>
  <c r="BW1162" i="5"/>
  <c r="BU1162" i="5"/>
  <c r="BV1162" i="5"/>
  <c r="BS1162" i="5"/>
  <c r="BT1162" i="5"/>
  <c r="BR1162" i="5"/>
  <c r="BQ1162" i="5"/>
  <c r="BM1162" i="5"/>
  <c r="BI1162" i="5"/>
  <c r="BK1162" i="5"/>
  <c r="BJ1162" i="5"/>
  <c r="BH1162" i="5"/>
  <c r="BG1162" i="5"/>
  <c r="BF1162" i="5"/>
  <c r="BE1162" i="5"/>
  <c r="BD1162" i="5"/>
  <c r="BA1162" i="5"/>
  <c r="BP1162" i="5" s="1"/>
  <c r="AZ1162" i="5"/>
  <c r="AY1162" i="5"/>
  <c r="AU1162" i="5"/>
  <c r="BN1162" i="5" s="1"/>
  <c r="AV1162" i="5"/>
  <c r="BO1162" i="5" s="1"/>
  <c r="CE1235" i="5"/>
  <c r="CK1235" i="5"/>
  <c r="CI1235" i="5"/>
  <c r="CF1235" i="5"/>
  <c r="CD1235" i="5"/>
  <c r="CC1235" i="5"/>
  <c r="BY1235" i="5"/>
  <c r="CA1235" i="5"/>
  <c r="BV1235" i="5"/>
  <c r="BW1235" i="5"/>
  <c r="BU1235" i="5"/>
  <c r="BT1235" i="5"/>
  <c r="BS1235" i="5"/>
  <c r="BR1235" i="5"/>
  <c r="BQ1235" i="5"/>
  <c r="BM1235" i="5"/>
  <c r="BI1235" i="5"/>
  <c r="BG1235" i="5"/>
  <c r="BK1235" i="5"/>
  <c r="BJ1235" i="5"/>
  <c r="BH1235" i="5"/>
  <c r="BE1235" i="5"/>
  <c r="BF1235" i="5"/>
  <c r="BD1235" i="5"/>
  <c r="AY1235" i="5"/>
  <c r="AU1235" i="5"/>
  <c r="BN1235" i="5" s="1"/>
  <c r="BA1235" i="5"/>
  <c r="BP1235" i="5" s="1"/>
  <c r="AZ1235" i="5"/>
  <c r="AV1235" i="5"/>
  <c r="BC1235" i="5" s="1"/>
  <c r="CK1307" i="5"/>
  <c r="CI1307" i="5"/>
  <c r="CE1307" i="5"/>
  <c r="CD1307" i="5"/>
  <c r="CF1307" i="5"/>
  <c r="CC1307" i="5"/>
  <c r="BY1307" i="5"/>
  <c r="CA1307" i="5"/>
  <c r="BW1307" i="5"/>
  <c r="BV1307" i="5"/>
  <c r="BU1307" i="5"/>
  <c r="BT1307" i="5"/>
  <c r="BS1307" i="5"/>
  <c r="BR1307" i="5"/>
  <c r="BQ1307" i="5"/>
  <c r="BM1307" i="5"/>
  <c r="BI1307" i="5"/>
  <c r="BK1307" i="5"/>
  <c r="BJ1307" i="5"/>
  <c r="BG1307" i="5"/>
  <c r="BH1307" i="5"/>
  <c r="BE1307" i="5"/>
  <c r="BF1307" i="5"/>
  <c r="BD1307" i="5"/>
  <c r="AY1307" i="5"/>
  <c r="AU1307" i="5"/>
  <c r="BN1307" i="5" s="1"/>
  <c r="BA1307" i="5"/>
  <c r="BP1307" i="5" s="1"/>
  <c r="AZ1307" i="5"/>
  <c r="AV1307" i="5"/>
  <c r="BC1307" i="5" s="1"/>
  <c r="CI29" i="5"/>
  <c r="CK29" i="5"/>
  <c r="CG29" i="5"/>
  <c r="CF29" i="5"/>
  <c r="CE29" i="5"/>
  <c r="CD29" i="5"/>
  <c r="CC29" i="5"/>
  <c r="CA29" i="5"/>
  <c r="BY29" i="5"/>
  <c r="BW29" i="5"/>
  <c r="BV29" i="5"/>
  <c r="BT29" i="5"/>
  <c r="BR29" i="5"/>
  <c r="BU29" i="5"/>
  <c r="BS29" i="5"/>
  <c r="BQ29" i="5"/>
  <c r="BK29" i="5"/>
  <c r="BM29" i="5"/>
  <c r="BH29" i="5"/>
  <c r="BJ29" i="5"/>
  <c r="BI29" i="5"/>
  <c r="BG29" i="5"/>
  <c r="BF29" i="5"/>
  <c r="BE29" i="5"/>
  <c r="BD29" i="5"/>
  <c r="BA29" i="5"/>
  <c r="BP29" i="5" s="1"/>
  <c r="AZ29" i="5"/>
  <c r="AY29" i="5"/>
  <c r="AV29" i="5"/>
  <c r="BC29" i="5" s="1"/>
  <c r="AU29" i="5"/>
  <c r="BN29" i="5" s="1"/>
  <c r="CI102" i="5"/>
  <c r="CD102" i="5"/>
  <c r="CF102" i="5"/>
  <c r="CF1347" i="5" s="1"/>
  <c r="CF1348" i="5" s="1"/>
  <c r="CK102" i="5"/>
  <c r="CC102" i="5"/>
  <c r="CE102" i="5"/>
  <c r="BY102" i="5"/>
  <c r="BY1347" i="5" s="1"/>
  <c r="BY1348" i="5" s="1"/>
  <c r="CA102" i="5"/>
  <c r="CA1347" i="5" s="1"/>
  <c r="CA1348" i="5" s="1"/>
  <c r="BW102" i="5"/>
  <c r="BV102" i="5"/>
  <c r="BV1347" i="5" s="1"/>
  <c r="BV1348" i="5" s="1"/>
  <c r="BU102" i="5"/>
  <c r="BS102" i="5"/>
  <c r="BS1347" i="5" s="1"/>
  <c r="BS1348" i="5" s="1"/>
  <c r="BT102" i="5"/>
  <c r="BT1347" i="5" s="1"/>
  <c r="BT1348" i="5" s="1"/>
  <c r="BR102" i="5"/>
  <c r="BQ102" i="5"/>
  <c r="BM102" i="5"/>
  <c r="BK102" i="5"/>
  <c r="BK1347" i="5" s="1"/>
  <c r="BK1348" i="5" s="1"/>
  <c r="BH102" i="5"/>
  <c r="BJ102" i="5"/>
  <c r="BJ1347" i="5" s="1"/>
  <c r="BJ1348" i="5" s="1"/>
  <c r="BI102" i="5"/>
  <c r="BI1347" i="5" s="1"/>
  <c r="BI1348" i="5" s="1"/>
  <c r="BG102" i="5"/>
  <c r="BG1347" i="5" s="1"/>
  <c r="BG1348" i="5" s="1"/>
  <c r="BF102" i="5"/>
  <c r="BD102" i="5"/>
  <c r="BD1347" i="5" s="1"/>
  <c r="BD1348" i="5" s="1"/>
  <c r="BE102" i="5"/>
  <c r="BA102" i="5"/>
  <c r="AV102" i="5"/>
  <c r="AZ102" i="5"/>
  <c r="AY102" i="5"/>
  <c r="AU102" i="5"/>
  <c r="CJ175" i="5"/>
  <c r="CE175" i="5"/>
  <c r="CK175" i="5"/>
  <c r="CI175" i="5"/>
  <c r="CG175" i="5"/>
  <c r="CH175" i="5"/>
  <c r="CD175" i="5"/>
  <c r="CF175" i="5"/>
  <c r="CC175" i="5"/>
  <c r="BZ175" i="5"/>
  <c r="BX175" i="5"/>
  <c r="CA175" i="5"/>
  <c r="BY175" i="5"/>
  <c r="BV175" i="5"/>
  <c r="BW175" i="5"/>
  <c r="BU175" i="5"/>
  <c r="BT175" i="5"/>
  <c r="BS175" i="5"/>
  <c r="BQ175" i="5"/>
  <c r="BR175" i="5"/>
  <c r="BK175" i="5"/>
  <c r="BM175" i="5"/>
  <c r="BI175" i="5"/>
  <c r="BL175" i="5"/>
  <c r="BJ175" i="5"/>
  <c r="BH175" i="5"/>
  <c r="BG175" i="5"/>
  <c r="BE175" i="5"/>
  <c r="BF175" i="5"/>
  <c r="BD175" i="5"/>
  <c r="BA175" i="5"/>
  <c r="BP175" i="5" s="1"/>
  <c r="AY175" i="5"/>
  <c r="AZ175" i="5"/>
  <c r="AU175" i="5"/>
  <c r="BN175" i="5" s="1"/>
  <c r="AV175" i="5"/>
  <c r="BC175" i="5" s="1"/>
  <c r="CF248" i="5"/>
  <c r="CK248" i="5"/>
  <c r="CE248" i="5"/>
  <c r="CD248" i="5"/>
  <c r="CC248" i="5"/>
  <c r="CI248" i="5"/>
  <c r="CA248" i="5"/>
  <c r="BY248" i="5"/>
  <c r="BV248" i="5"/>
  <c r="BW248" i="5"/>
  <c r="BU248" i="5"/>
  <c r="BT248" i="5"/>
  <c r="BS248" i="5"/>
  <c r="BR248" i="5"/>
  <c r="BQ248" i="5"/>
  <c r="BM248" i="5"/>
  <c r="BK248" i="5"/>
  <c r="BJ248" i="5"/>
  <c r="BI248" i="5"/>
  <c r="BH248" i="5"/>
  <c r="BG248" i="5"/>
  <c r="BF248" i="5"/>
  <c r="BE248" i="5"/>
  <c r="BD248" i="5"/>
  <c r="BA248" i="5"/>
  <c r="BP248" i="5" s="1"/>
  <c r="AZ248" i="5"/>
  <c r="AV248" i="5"/>
  <c r="BC248" i="5" s="1"/>
  <c r="AY248" i="5"/>
  <c r="AU248" i="5"/>
  <c r="BN248" i="5" s="1"/>
  <c r="CK322" i="5"/>
  <c r="CI322" i="5"/>
  <c r="CD322" i="5"/>
  <c r="CF322" i="5"/>
  <c r="CE322" i="5"/>
  <c r="CJ322" i="5"/>
  <c r="CH322" i="5"/>
  <c r="CG322" i="5"/>
  <c r="BY322" i="5"/>
  <c r="CC322" i="5"/>
  <c r="CA322" i="5"/>
  <c r="BZ322" i="5"/>
  <c r="BX322" i="5"/>
  <c r="BU322" i="5"/>
  <c r="BW322" i="5"/>
  <c r="BV322" i="5"/>
  <c r="BS322" i="5"/>
  <c r="BT322" i="5"/>
  <c r="BR322" i="5"/>
  <c r="BQ322" i="5"/>
  <c r="BM322" i="5"/>
  <c r="BL322" i="5"/>
  <c r="BK322" i="5"/>
  <c r="BJ322" i="5"/>
  <c r="BI322" i="5"/>
  <c r="BG322" i="5"/>
  <c r="BF322" i="5"/>
  <c r="BD322" i="5"/>
  <c r="BH322" i="5"/>
  <c r="BE322" i="5"/>
  <c r="BA322" i="5"/>
  <c r="BP322" i="5" s="1"/>
  <c r="AZ322" i="5"/>
  <c r="AY322" i="5"/>
  <c r="AV322" i="5"/>
  <c r="BO322" i="5" s="1"/>
  <c r="AU322" i="5"/>
  <c r="BN322" i="5" s="1"/>
  <c r="CK395" i="5"/>
  <c r="CJ395" i="5"/>
  <c r="CH395" i="5"/>
  <c r="CG395" i="5"/>
  <c r="CI395" i="5"/>
  <c r="CE395" i="5"/>
  <c r="CF395" i="5"/>
  <c r="CC395" i="5"/>
  <c r="CD395" i="5"/>
  <c r="BZ395" i="5"/>
  <c r="CA395" i="5"/>
  <c r="BY395" i="5"/>
  <c r="BX395" i="5"/>
  <c r="BW395" i="5"/>
  <c r="BV395" i="5"/>
  <c r="BU395" i="5"/>
  <c r="BT395" i="5"/>
  <c r="BS395" i="5"/>
  <c r="BR395" i="5"/>
  <c r="BQ395" i="5"/>
  <c r="BK395" i="5"/>
  <c r="BM395" i="5"/>
  <c r="BL395" i="5"/>
  <c r="BI395" i="5"/>
  <c r="BG395" i="5"/>
  <c r="BH395" i="5"/>
  <c r="BJ395" i="5"/>
  <c r="BF395" i="5"/>
  <c r="BE395" i="5"/>
  <c r="BD395" i="5"/>
  <c r="BA395" i="5"/>
  <c r="BP395" i="5" s="1"/>
  <c r="AY395" i="5"/>
  <c r="AZ395" i="5"/>
  <c r="AU395" i="5"/>
  <c r="BB395" i="5" s="1"/>
  <c r="AV395" i="5"/>
  <c r="BC395" i="5" s="1"/>
  <c r="CK468" i="5"/>
  <c r="CJ468" i="5"/>
  <c r="CH468" i="5"/>
  <c r="CF468" i="5"/>
  <c r="CI468" i="5"/>
  <c r="CC468" i="5"/>
  <c r="CG468" i="5"/>
  <c r="CE468" i="5"/>
  <c r="CD468" i="5"/>
  <c r="CA468" i="5"/>
  <c r="BZ468" i="5"/>
  <c r="BV468" i="5"/>
  <c r="BY468" i="5"/>
  <c r="BX468" i="5"/>
  <c r="BW468" i="5"/>
  <c r="BT468" i="5"/>
  <c r="BU468" i="5"/>
  <c r="BS468" i="5"/>
  <c r="BQ468" i="5"/>
  <c r="BR468" i="5"/>
  <c r="BJ468" i="5"/>
  <c r="BL468" i="5"/>
  <c r="BK468" i="5"/>
  <c r="BM468" i="5"/>
  <c r="BI468" i="5"/>
  <c r="BH468" i="5"/>
  <c r="BF468" i="5"/>
  <c r="BG468" i="5"/>
  <c r="BE468" i="5"/>
  <c r="BD468" i="5"/>
  <c r="AZ468" i="5"/>
  <c r="BA468" i="5"/>
  <c r="BP468" i="5" s="1"/>
  <c r="AY468" i="5"/>
  <c r="AV468" i="5"/>
  <c r="BO468" i="5" s="1"/>
  <c r="AU468" i="5"/>
  <c r="BB468" i="5" s="1"/>
  <c r="CJ541" i="5"/>
  <c r="CG541" i="5"/>
  <c r="CI541" i="5"/>
  <c r="CK541" i="5"/>
  <c r="CF541" i="5"/>
  <c r="CE541" i="5"/>
  <c r="CH541" i="5"/>
  <c r="CD541" i="5"/>
  <c r="CC541" i="5"/>
  <c r="CA541" i="5"/>
  <c r="BZ541" i="5"/>
  <c r="BY541" i="5"/>
  <c r="BX541" i="5"/>
  <c r="BW541" i="5"/>
  <c r="BT541" i="5"/>
  <c r="BV541" i="5"/>
  <c r="BR541" i="5"/>
  <c r="BU541" i="5"/>
  <c r="BS541" i="5"/>
  <c r="BQ541" i="5"/>
  <c r="BM541" i="5"/>
  <c r="BL541" i="5"/>
  <c r="BK541" i="5"/>
  <c r="BJ541" i="5"/>
  <c r="BI541" i="5"/>
  <c r="BH541" i="5"/>
  <c r="BG541" i="5"/>
  <c r="BF541" i="5"/>
  <c r="BE541" i="5"/>
  <c r="BD541" i="5"/>
  <c r="BA541" i="5"/>
  <c r="BP541" i="5" s="1"/>
  <c r="AZ541" i="5"/>
  <c r="AY541" i="5"/>
  <c r="AV541" i="5"/>
  <c r="BO541" i="5" s="1"/>
  <c r="AU541" i="5"/>
  <c r="BN541" i="5" s="1"/>
  <c r="CI614" i="5"/>
  <c r="CH614" i="5"/>
  <c r="CK614" i="5"/>
  <c r="CJ614" i="5"/>
  <c r="CF614" i="5"/>
  <c r="CD614" i="5"/>
  <c r="CC614" i="5"/>
  <c r="CG614" i="5"/>
  <c r="CE614" i="5"/>
  <c r="CA614" i="5"/>
  <c r="BZ614" i="5"/>
  <c r="BY614" i="5"/>
  <c r="BW614" i="5"/>
  <c r="BU614" i="5"/>
  <c r="BX614" i="5"/>
  <c r="BV614" i="5"/>
  <c r="BS614" i="5"/>
  <c r="BT614" i="5"/>
  <c r="BR614" i="5"/>
  <c r="BQ614" i="5"/>
  <c r="BM614" i="5"/>
  <c r="BL614" i="5"/>
  <c r="BK614" i="5"/>
  <c r="BJ614" i="5"/>
  <c r="BI614" i="5"/>
  <c r="BH614" i="5"/>
  <c r="BG614" i="5"/>
  <c r="BF614" i="5"/>
  <c r="BD614" i="5"/>
  <c r="BE614" i="5"/>
  <c r="AV614" i="5"/>
  <c r="BC614" i="5" s="1"/>
  <c r="BA614" i="5"/>
  <c r="BP614" i="5" s="1"/>
  <c r="AZ614" i="5"/>
  <c r="AY614" i="5"/>
  <c r="AU614" i="5"/>
  <c r="BB614" i="5" s="1"/>
  <c r="CK687" i="5"/>
  <c r="CG687" i="5"/>
  <c r="CE687" i="5"/>
  <c r="CJ687" i="5"/>
  <c r="CI687" i="5"/>
  <c r="CH687" i="5"/>
  <c r="CF687" i="5"/>
  <c r="CD687" i="5"/>
  <c r="CC687" i="5"/>
  <c r="BZ687" i="5"/>
  <c r="BY687" i="5"/>
  <c r="CA687" i="5"/>
  <c r="BV687" i="5"/>
  <c r="BX687" i="5"/>
  <c r="BW687" i="5"/>
  <c r="BT687" i="5"/>
  <c r="BU687" i="5"/>
  <c r="BS687" i="5"/>
  <c r="BQ687" i="5"/>
  <c r="BR687" i="5"/>
  <c r="BM687" i="5"/>
  <c r="BI687" i="5"/>
  <c r="BL687" i="5"/>
  <c r="BJ687" i="5"/>
  <c r="BK687" i="5"/>
  <c r="BG687" i="5"/>
  <c r="BH687" i="5"/>
  <c r="BE687" i="5"/>
  <c r="BF687" i="5"/>
  <c r="BD687" i="5"/>
  <c r="AY687" i="5"/>
  <c r="BA687" i="5"/>
  <c r="BP687" i="5" s="1"/>
  <c r="AZ687" i="5"/>
  <c r="AU687" i="5"/>
  <c r="BN687" i="5" s="1"/>
  <c r="AV687" i="5"/>
  <c r="BO687" i="5" s="1"/>
  <c r="CJ760" i="5"/>
  <c r="CH760" i="5"/>
  <c r="CF760" i="5"/>
  <c r="CE760" i="5"/>
  <c r="CI760" i="5"/>
  <c r="CC760" i="5"/>
  <c r="CK760" i="5"/>
  <c r="CG760" i="5"/>
  <c r="CD760" i="5"/>
  <c r="CA760" i="5"/>
  <c r="BZ760" i="5"/>
  <c r="BY760" i="5"/>
  <c r="BX760" i="5"/>
  <c r="BV760" i="5"/>
  <c r="BW760" i="5"/>
  <c r="BU760" i="5"/>
  <c r="BT760" i="5"/>
  <c r="BS760" i="5"/>
  <c r="BR760" i="5"/>
  <c r="BQ760" i="5"/>
  <c r="BL760" i="5"/>
  <c r="BM760" i="5"/>
  <c r="BK760" i="5"/>
  <c r="BJ760" i="5"/>
  <c r="BI760" i="5"/>
  <c r="BH760" i="5"/>
  <c r="BG760" i="5"/>
  <c r="BF760" i="5"/>
  <c r="BE760" i="5"/>
  <c r="BD760" i="5"/>
  <c r="AZ760" i="5"/>
  <c r="AV760" i="5"/>
  <c r="BO760" i="5" s="1"/>
  <c r="AY760" i="5"/>
  <c r="BA760" i="5"/>
  <c r="BP760" i="5" s="1"/>
  <c r="AU760" i="5"/>
  <c r="BN760" i="5" s="1"/>
  <c r="CK834" i="5"/>
  <c r="CJ834" i="5"/>
  <c r="CI834" i="5"/>
  <c r="CG834" i="5"/>
  <c r="CF834" i="5"/>
  <c r="CE834" i="5"/>
  <c r="CH834" i="5"/>
  <c r="CC834" i="5"/>
  <c r="CD834" i="5"/>
  <c r="CA834" i="5"/>
  <c r="BZ834" i="5"/>
  <c r="BY834" i="5"/>
  <c r="BX834" i="5"/>
  <c r="BU834" i="5"/>
  <c r="BW834" i="5"/>
  <c r="BS834" i="5"/>
  <c r="BV834" i="5"/>
  <c r="BT834" i="5"/>
  <c r="BR834" i="5"/>
  <c r="BQ834" i="5"/>
  <c r="BM834" i="5"/>
  <c r="BL834" i="5"/>
  <c r="BK834" i="5"/>
  <c r="BJ834" i="5"/>
  <c r="BI834" i="5"/>
  <c r="BH834" i="5"/>
  <c r="BG834" i="5"/>
  <c r="BF834" i="5"/>
  <c r="BD834" i="5"/>
  <c r="BE834" i="5"/>
  <c r="BA834" i="5"/>
  <c r="BP834" i="5" s="1"/>
  <c r="AZ834" i="5"/>
  <c r="AY834" i="5"/>
  <c r="AV834" i="5"/>
  <c r="BO834" i="5" s="1"/>
  <c r="AU834" i="5"/>
  <c r="BN834" i="5" s="1"/>
  <c r="CK907" i="5"/>
  <c r="CI907" i="5"/>
  <c r="CE907" i="5"/>
  <c r="CD907" i="5"/>
  <c r="CF907" i="5"/>
  <c r="CC907" i="5"/>
  <c r="BY907" i="5"/>
  <c r="CA907" i="5"/>
  <c r="BW907" i="5"/>
  <c r="BV907" i="5"/>
  <c r="BU907" i="5"/>
  <c r="BT907" i="5"/>
  <c r="BR907" i="5"/>
  <c r="BQ907" i="5"/>
  <c r="BS907" i="5"/>
  <c r="BM907" i="5"/>
  <c r="BI907" i="5"/>
  <c r="BG907" i="5"/>
  <c r="BK907" i="5"/>
  <c r="BJ907" i="5"/>
  <c r="BH907" i="5"/>
  <c r="BE907" i="5"/>
  <c r="BF907" i="5"/>
  <c r="BD907" i="5"/>
  <c r="AY907" i="5"/>
  <c r="BA907" i="5"/>
  <c r="BP907" i="5" s="1"/>
  <c r="AZ907" i="5"/>
  <c r="AU907" i="5"/>
  <c r="BN907" i="5" s="1"/>
  <c r="AV907" i="5"/>
  <c r="BC907" i="5" s="1"/>
  <c r="CK980" i="5"/>
  <c r="CF980" i="5"/>
  <c r="CI980" i="5"/>
  <c r="CE980" i="5"/>
  <c r="CD980" i="5"/>
  <c r="CC980" i="5"/>
  <c r="CA980" i="5"/>
  <c r="BY980" i="5"/>
  <c r="BW980" i="5"/>
  <c r="BU980" i="5"/>
  <c r="BV980" i="5"/>
  <c r="BT980" i="5"/>
  <c r="BQ980" i="5"/>
  <c r="BR980" i="5"/>
  <c r="BS980" i="5"/>
  <c r="BJ980" i="5"/>
  <c r="BK980" i="5"/>
  <c r="BM980" i="5"/>
  <c r="BI980" i="5"/>
  <c r="BH980" i="5"/>
  <c r="BF980" i="5"/>
  <c r="BG980" i="5"/>
  <c r="BE980" i="5"/>
  <c r="BD980" i="5"/>
  <c r="AZ980" i="5"/>
  <c r="BA980" i="5"/>
  <c r="BP980" i="5" s="1"/>
  <c r="AY980" i="5"/>
  <c r="AV980" i="5"/>
  <c r="BO980" i="5" s="1"/>
  <c r="AU980" i="5"/>
  <c r="BB980" i="5" s="1"/>
  <c r="CK1053" i="5"/>
  <c r="CI1053" i="5"/>
  <c r="CF1053" i="5"/>
  <c r="CE1053" i="5"/>
  <c r="CD1053" i="5"/>
  <c r="CC1053" i="5"/>
  <c r="CA1053" i="5"/>
  <c r="BY1053" i="5"/>
  <c r="BW1053" i="5"/>
  <c r="BU1053" i="5"/>
  <c r="BV1053" i="5"/>
  <c r="BT1053" i="5"/>
  <c r="BS1053" i="5"/>
  <c r="BQ1053" i="5"/>
  <c r="BR1053" i="5"/>
  <c r="BM1053" i="5"/>
  <c r="BK1053" i="5"/>
  <c r="BI1053" i="5"/>
  <c r="BJ1053" i="5"/>
  <c r="BH1053" i="5"/>
  <c r="BG1053" i="5"/>
  <c r="BF1053" i="5"/>
  <c r="BE1053" i="5"/>
  <c r="BD1053" i="5"/>
  <c r="BA1053" i="5"/>
  <c r="BP1053" i="5" s="1"/>
  <c r="AZ1053" i="5"/>
  <c r="AY1053" i="5"/>
  <c r="AV1053" i="5"/>
  <c r="BC1053" i="5" s="1"/>
  <c r="AU1053" i="5"/>
  <c r="BN1053" i="5" s="1"/>
  <c r="CK1126" i="5"/>
  <c r="CI1126" i="5"/>
  <c r="CF1126" i="5"/>
  <c r="CD1126" i="5"/>
  <c r="CC1126" i="5"/>
  <c r="CE1126" i="5"/>
  <c r="CA1126" i="5"/>
  <c r="BY1126" i="5"/>
  <c r="BW1126" i="5"/>
  <c r="BU1126" i="5"/>
  <c r="BV1126" i="5"/>
  <c r="BS1126" i="5"/>
  <c r="BT1126" i="5"/>
  <c r="BR1126" i="5"/>
  <c r="BQ1126" i="5"/>
  <c r="BM1126" i="5"/>
  <c r="BK1126" i="5"/>
  <c r="BJ1126" i="5"/>
  <c r="BI1126" i="5"/>
  <c r="BH1126" i="5"/>
  <c r="BG1126" i="5"/>
  <c r="BD1126" i="5"/>
  <c r="BF1126" i="5"/>
  <c r="BE1126" i="5"/>
  <c r="AV1126" i="5"/>
  <c r="BC1126" i="5" s="1"/>
  <c r="BA1126" i="5"/>
  <c r="BP1126" i="5" s="1"/>
  <c r="AZ1126" i="5"/>
  <c r="AY1126" i="5"/>
  <c r="AU1126" i="5"/>
  <c r="BB1126" i="5" s="1"/>
  <c r="CK1199" i="5"/>
  <c r="CE1199" i="5"/>
  <c r="CI1199" i="5"/>
  <c r="CF1199" i="5"/>
  <c r="CD1199" i="5"/>
  <c r="CC1199" i="5"/>
  <c r="BY1199" i="5"/>
  <c r="CA1199" i="5"/>
  <c r="BV1199" i="5"/>
  <c r="BW1199" i="5"/>
  <c r="BT1199" i="5"/>
  <c r="BU1199" i="5"/>
  <c r="BR1199" i="5"/>
  <c r="BQ1199" i="5"/>
  <c r="BS1199" i="5"/>
  <c r="BM1199" i="5"/>
  <c r="BK1199" i="5"/>
  <c r="BJ1199" i="5"/>
  <c r="BI1199" i="5"/>
  <c r="BG1199" i="5"/>
  <c r="BH1199" i="5"/>
  <c r="BE1199" i="5"/>
  <c r="BF1199" i="5"/>
  <c r="BD1199" i="5"/>
  <c r="AY1199" i="5"/>
  <c r="BA1199" i="5"/>
  <c r="BP1199" i="5" s="1"/>
  <c r="AZ1199" i="5"/>
  <c r="AU1199" i="5"/>
  <c r="BB1199" i="5" s="1"/>
  <c r="AV1199" i="5"/>
  <c r="BO1199" i="5" s="1"/>
  <c r="CK1272" i="5"/>
  <c r="CF1272" i="5"/>
  <c r="CE1272" i="5"/>
  <c r="CI1272" i="5"/>
  <c r="CD1272" i="5"/>
  <c r="CA1272" i="5"/>
  <c r="CC1272" i="5"/>
  <c r="BY1272" i="5"/>
  <c r="BW1272" i="5"/>
  <c r="BV1272" i="5"/>
  <c r="BU1272" i="5"/>
  <c r="BT1272" i="5"/>
  <c r="BS1272" i="5"/>
  <c r="BR1272" i="5"/>
  <c r="BQ1272" i="5"/>
  <c r="BM1272" i="5"/>
  <c r="BJ1272" i="5"/>
  <c r="BK1272" i="5"/>
  <c r="BH1272" i="5"/>
  <c r="BI1272" i="5"/>
  <c r="BG1272" i="5"/>
  <c r="BF1272" i="5"/>
  <c r="BE1272" i="5"/>
  <c r="BD1272" i="5"/>
  <c r="AZ1272" i="5"/>
  <c r="AV1272" i="5"/>
  <c r="BC1272" i="5" s="1"/>
  <c r="AY1272" i="5"/>
  <c r="BA1272" i="5"/>
  <c r="BP1272" i="5" s="1"/>
  <c r="AU1272" i="5"/>
  <c r="BN1272" i="5" s="1"/>
  <c r="BX3" i="5"/>
  <c r="BB21" i="5"/>
  <c r="BZ21" i="5" s="1"/>
  <c r="CK112" i="5"/>
  <c r="CJ112" i="5"/>
  <c r="CH112" i="5"/>
  <c r="CI112" i="5"/>
  <c r="CF112" i="5"/>
  <c r="CC112" i="5"/>
  <c r="CG112" i="5"/>
  <c r="CD112" i="5"/>
  <c r="CE112" i="5"/>
  <c r="CA112" i="5"/>
  <c r="BV112" i="5"/>
  <c r="BZ112" i="5"/>
  <c r="BX112" i="5"/>
  <c r="BY112" i="5"/>
  <c r="BW112" i="5"/>
  <c r="BU112" i="5"/>
  <c r="BS112" i="5"/>
  <c r="BT112" i="5"/>
  <c r="BR112" i="5"/>
  <c r="BQ112" i="5"/>
  <c r="BL112" i="5"/>
  <c r="BM112" i="5"/>
  <c r="BK112" i="5"/>
  <c r="BJ112" i="5"/>
  <c r="BI112" i="5"/>
  <c r="BH112" i="5"/>
  <c r="BG112" i="5"/>
  <c r="BF112" i="5"/>
  <c r="BE112" i="5"/>
  <c r="BD112" i="5"/>
  <c r="BA112" i="5"/>
  <c r="BP112" i="5" s="1"/>
  <c r="AZ112" i="5"/>
  <c r="AV112" i="5"/>
  <c r="BO112" i="5" s="1"/>
  <c r="AY112" i="5"/>
  <c r="AU112" i="5"/>
  <c r="BN112" i="5" s="1"/>
  <c r="CJ186" i="5"/>
  <c r="CI186" i="5"/>
  <c r="CH186" i="5"/>
  <c r="CK186" i="5"/>
  <c r="CG186" i="5"/>
  <c r="CD186" i="5"/>
  <c r="CF186" i="5"/>
  <c r="CE186" i="5"/>
  <c r="BY186" i="5"/>
  <c r="CC186" i="5"/>
  <c r="BZ186" i="5"/>
  <c r="CA186" i="5"/>
  <c r="BU186" i="5"/>
  <c r="BX186" i="5"/>
  <c r="BV186" i="5"/>
  <c r="BW186" i="5"/>
  <c r="BS186" i="5"/>
  <c r="BT186" i="5"/>
  <c r="BR186" i="5"/>
  <c r="BQ186" i="5"/>
  <c r="BM186" i="5"/>
  <c r="BL186" i="5"/>
  <c r="BK186" i="5"/>
  <c r="BJ186" i="5"/>
  <c r="BI186" i="5"/>
  <c r="BH186" i="5"/>
  <c r="BF186" i="5"/>
  <c r="BG186" i="5"/>
  <c r="BD186" i="5"/>
  <c r="BE186" i="5"/>
  <c r="BA186" i="5"/>
  <c r="BP186" i="5" s="1"/>
  <c r="AZ186" i="5"/>
  <c r="AY186" i="5"/>
  <c r="AU186" i="5"/>
  <c r="BN186" i="5" s="1"/>
  <c r="AV186" i="5"/>
  <c r="BO186" i="5" s="1"/>
  <c r="CE259" i="5"/>
  <c r="CD259" i="5"/>
  <c r="CI259" i="5"/>
  <c r="CK259" i="5"/>
  <c r="CF259" i="5"/>
  <c r="CC259" i="5"/>
  <c r="BY259" i="5"/>
  <c r="CA259" i="5"/>
  <c r="BV259" i="5"/>
  <c r="BW259" i="5"/>
  <c r="BU259" i="5"/>
  <c r="BT259" i="5"/>
  <c r="BS259" i="5"/>
  <c r="BR259" i="5"/>
  <c r="BQ259" i="5"/>
  <c r="BK259" i="5"/>
  <c r="BM259" i="5"/>
  <c r="BI259" i="5"/>
  <c r="BJ259" i="5"/>
  <c r="BG259" i="5"/>
  <c r="BH259" i="5"/>
  <c r="BF259" i="5"/>
  <c r="BE259" i="5"/>
  <c r="BD259" i="5"/>
  <c r="BA259" i="5"/>
  <c r="BP259" i="5" s="1"/>
  <c r="AY259" i="5"/>
  <c r="AZ259" i="5"/>
  <c r="AU259" i="5"/>
  <c r="BB259" i="5" s="1"/>
  <c r="AV259" i="5"/>
  <c r="BO259" i="5" s="1"/>
  <c r="CK332" i="5"/>
  <c r="CJ332" i="5"/>
  <c r="CF332" i="5"/>
  <c r="CH332" i="5"/>
  <c r="CI332" i="5"/>
  <c r="CC332" i="5"/>
  <c r="CG332" i="5"/>
  <c r="CE332" i="5"/>
  <c r="CD332" i="5"/>
  <c r="CA332" i="5"/>
  <c r="BZ332" i="5"/>
  <c r="BV332" i="5"/>
  <c r="BY332" i="5"/>
  <c r="BX332" i="5"/>
  <c r="BW332" i="5"/>
  <c r="BU332" i="5"/>
  <c r="BT332" i="5"/>
  <c r="BS332" i="5"/>
  <c r="BQ332" i="5"/>
  <c r="BR332" i="5"/>
  <c r="BM332" i="5"/>
  <c r="BK332" i="5"/>
  <c r="BJ332" i="5"/>
  <c r="BL332" i="5"/>
  <c r="BI332" i="5"/>
  <c r="BH332" i="5"/>
  <c r="BF332" i="5"/>
  <c r="BG332" i="5"/>
  <c r="BE332" i="5"/>
  <c r="BD332" i="5"/>
  <c r="AZ332" i="5"/>
  <c r="BA332" i="5"/>
  <c r="BP332" i="5" s="1"/>
  <c r="AY332" i="5"/>
  <c r="AV332" i="5"/>
  <c r="BO332" i="5" s="1"/>
  <c r="AU332" i="5"/>
  <c r="BN332" i="5" s="1"/>
  <c r="CK405" i="5"/>
  <c r="CI405" i="5"/>
  <c r="CE405" i="5"/>
  <c r="CF405" i="5"/>
  <c r="CD405" i="5"/>
  <c r="CC405" i="5"/>
  <c r="BW405" i="5"/>
  <c r="CA405" i="5"/>
  <c r="BY405" i="5"/>
  <c r="BT405" i="5"/>
  <c r="BV405" i="5"/>
  <c r="BU405" i="5"/>
  <c r="BR405" i="5"/>
  <c r="BS405" i="5"/>
  <c r="BQ405" i="5"/>
  <c r="BM405" i="5"/>
  <c r="BK405" i="5"/>
  <c r="BJ405" i="5"/>
  <c r="BI405" i="5"/>
  <c r="BF405" i="5"/>
  <c r="BH405" i="5"/>
  <c r="BG405" i="5"/>
  <c r="BE405" i="5"/>
  <c r="BD405" i="5"/>
  <c r="BA405" i="5"/>
  <c r="BP405" i="5" s="1"/>
  <c r="AZ405" i="5"/>
  <c r="AY405" i="5"/>
  <c r="AV405" i="5"/>
  <c r="BC405" i="5" s="1"/>
  <c r="AU405" i="5"/>
  <c r="BN405" i="5" s="1"/>
  <c r="CJ478" i="5"/>
  <c r="CK478" i="5"/>
  <c r="CI478" i="5"/>
  <c r="CG478" i="5"/>
  <c r="CH478" i="5"/>
  <c r="CD478" i="5"/>
  <c r="CF478" i="5"/>
  <c r="CE478" i="5"/>
  <c r="CC478" i="5"/>
  <c r="BY478" i="5"/>
  <c r="CA478" i="5"/>
  <c r="BZ478" i="5"/>
  <c r="BX478" i="5"/>
  <c r="BU478" i="5"/>
  <c r="BW478" i="5"/>
  <c r="BV478" i="5"/>
  <c r="BS478" i="5"/>
  <c r="BR478" i="5"/>
  <c r="BT478" i="5"/>
  <c r="BQ478" i="5"/>
  <c r="BM478" i="5"/>
  <c r="BL478" i="5"/>
  <c r="BK478" i="5"/>
  <c r="BJ478" i="5"/>
  <c r="BI478" i="5"/>
  <c r="BH478" i="5"/>
  <c r="BG478" i="5"/>
  <c r="BF478" i="5"/>
  <c r="BE478" i="5"/>
  <c r="BD478" i="5"/>
  <c r="BA478" i="5"/>
  <c r="BP478" i="5" s="1"/>
  <c r="AV478" i="5"/>
  <c r="BC478" i="5" s="1"/>
  <c r="AZ478" i="5"/>
  <c r="AY478" i="5"/>
  <c r="AU478" i="5"/>
  <c r="BB478" i="5" s="1"/>
  <c r="CK551" i="5"/>
  <c r="CH551" i="5"/>
  <c r="CE551" i="5"/>
  <c r="CG551" i="5"/>
  <c r="CF551" i="5"/>
  <c r="CJ551" i="5"/>
  <c r="CI551" i="5"/>
  <c r="CD551" i="5"/>
  <c r="CC551" i="5"/>
  <c r="BZ551" i="5"/>
  <c r="CA551" i="5"/>
  <c r="BY551" i="5"/>
  <c r="BX551" i="5"/>
  <c r="BV551" i="5"/>
  <c r="BW551" i="5"/>
  <c r="BU551" i="5"/>
  <c r="BS551" i="5"/>
  <c r="BT551" i="5"/>
  <c r="BR551" i="5"/>
  <c r="BQ551" i="5"/>
  <c r="BL551" i="5"/>
  <c r="BK551" i="5"/>
  <c r="BI551" i="5"/>
  <c r="BM551" i="5"/>
  <c r="BJ551" i="5"/>
  <c r="BG551" i="5"/>
  <c r="BE551" i="5"/>
  <c r="BH551" i="5"/>
  <c r="BF551" i="5"/>
  <c r="BD551" i="5"/>
  <c r="BA551" i="5"/>
  <c r="BP551" i="5" s="1"/>
  <c r="AY551" i="5"/>
  <c r="AZ551" i="5"/>
  <c r="AU551" i="5"/>
  <c r="BN551" i="5" s="1"/>
  <c r="AV551" i="5"/>
  <c r="BO551" i="5" s="1"/>
  <c r="CJ624" i="5"/>
  <c r="CK624" i="5"/>
  <c r="CI624" i="5"/>
  <c r="CG624" i="5"/>
  <c r="CF624" i="5"/>
  <c r="CH624" i="5"/>
  <c r="CC624" i="5"/>
  <c r="CD624" i="5"/>
  <c r="CE624" i="5"/>
  <c r="CA624" i="5"/>
  <c r="BZ624" i="5"/>
  <c r="BX624" i="5"/>
  <c r="BW624" i="5"/>
  <c r="BY624" i="5"/>
  <c r="BV624" i="5"/>
  <c r="BU624" i="5"/>
  <c r="BT624" i="5"/>
  <c r="BS624" i="5"/>
  <c r="BR624" i="5"/>
  <c r="BQ624" i="5"/>
  <c r="BK624" i="5"/>
  <c r="BM624" i="5"/>
  <c r="BL624" i="5"/>
  <c r="BJ624" i="5"/>
  <c r="BI624" i="5"/>
  <c r="BH624" i="5"/>
  <c r="BG624" i="5"/>
  <c r="BF624" i="5"/>
  <c r="BE624" i="5"/>
  <c r="BD624" i="5"/>
  <c r="AZ624" i="5"/>
  <c r="AV624" i="5"/>
  <c r="BC624" i="5" s="1"/>
  <c r="AY624" i="5"/>
  <c r="BA624" i="5"/>
  <c r="BP624" i="5" s="1"/>
  <c r="AU624" i="5"/>
  <c r="BN624" i="5" s="1"/>
  <c r="CK698" i="5"/>
  <c r="CJ698" i="5"/>
  <c r="CI698" i="5"/>
  <c r="CH698" i="5"/>
  <c r="CG698" i="5"/>
  <c r="CF698" i="5"/>
  <c r="CE698" i="5"/>
  <c r="CD698" i="5"/>
  <c r="CC698" i="5"/>
  <c r="CA698" i="5"/>
  <c r="BY698" i="5"/>
  <c r="BU698" i="5"/>
  <c r="BX698" i="5"/>
  <c r="BZ698" i="5"/>
  <c r="BV698" i="5"/>
  <c r="BW698" i="5"/>
  <c r="BS698" i="5"/>
  <c r="BT698" i="5"/>
  <c r="BR698" i="5"/>
  <c r="BQ698" i="5"/>
  <c r="BM698" i="5"/>
  <c r="BL698" i="5"/>
  <c r="BJ698" i="5"/>
  <c r="BI698" i="5"/>
  <c r="BK698" i="5"/>
  <c r="BF698" i="5"/>
  <c r="BH698" i="5"/>
  <c r="BG698" i="5"/>
  <c r="BD698" i="5"/>
  <c r="BE698" i="5"/>
  <c r="BA698" i="5"/>
  <c r="BP698" i="5" s="1"/>
  <c r="AZ698" i="5"/>
  <c r="AY698" i="5"/>
  <c r="AU698" i="5"/>
  <c r="BN698" i="5" s="1"/>
  <c r="AV698" i="5"/>
  <c r="BC698" i="5" s="1"/>
  <c r="CG771" i="5"/>
  <c r="CE771" i="5"/>
  <c r="CJ771" i="5"/>
  <c r="CH771" i="5"/>
  <c r="CK771" i="5"/>
  <c r="CI771" i="5"/>
  <c r="CF771" i="5"/>
  <c r="CC771" i="5"/>
  <c r="CD771" i="5"/>
  <c r="BZ771" i="5"/>
  <c r="BY771" i="5"/>
  <c r="BX771" i="5"/>
  <c r="CA771" i="5"/>
  <c r="BV771" i="5"/>
  <c r="BW771" i="5"/>
  <c r="BU771" i="5"/>
  <c r="BT771" i="5"/>
  <c r="BS771" i="5"/>
  <c r="BR771" i="5"/>
  <c r="BQ771" i="5"/>
  <c r="BM771" i="5"/>
  <c r="BL771" i="5"/>
  <c r="BI771" i="5"/>
  <c r="BK771" i="5"/>
  <c r="BJ771" i="5"/>
  <c r="BG771" i="5"/>
  <c r="BH771" i="5"/>
  <c r="BE771" i="5"/>
  <c r="BD771" i="5"/>
  <c r="BF771" i="5"/>
  <c r="AY771" i="5"/>
  <c r="BA771" i="5"/>
  <c r="AZ771" i="5"/>
  <c r="AU771" i="5"/>
  <c r="AV771" i="5"/>
  <c r="CF844" i="5"/>
  <c r="CK844" i="5"/>
  <c r="CI844" i="5"/>
  <c r="CE844" i="5"/>
  <c r="CA844" i="5"/>
  <c r="CD844" i="5"/>
  <c r="CC844" i="5"/>
  <c r="BY844" i="5"/>
  <c r="BW844" i="5"/>
  <c r="BV844" i="5"/>
  <c r="BU844" i="5"/>
  <c r="BT844" i="5"/>
  <c r="BS844" i="5"/>
  <c r="BQ844" i="5"/>
  <c r="BR844" i="5"/>
  <c r="BM844" i="5"/>
  <c r="BJ844" i="5"/>
  <c r="BK844" i="5"/>
  <c r="BI844" i="5"/>
  <c r="BH844" i="5"/>
  <c r="BF844" i="5"/>
  <c r="BG844" i="5"/>
  <c r="BE844" i="5"/>
  <c r="BD844" i="5"/>
  <c r="AZ844" i="5"/>
  <c r="AY844" i="5"/>
  <c r="BA844" i="5"/>
  <c r="BP844" i="5" s="1"/>
  <c r="AV844" i="5"/>
  <c r="BO844" i="5" s="1"/>
  <c r="AU844" i="5"/>
  <c r="BB844" i="5" s="1"/>
  <c r="CI917" i="5"/>
  <c r="CK917" i="5"/>
  <c r="CE917" i="5"/>
  <c r="CD917" i="5"/>
  <c r="CF917" i="5"/>
  <c r="CC917" i="5"/>
  <c r="BW917" i="5"/>
  <c r="CA917" i="5"/>
  <c r="BY917" i="5"/>
  <c r="BV917" i="5"/>
  <c r="BU917" i="5"/>
  <c r="BR917" i="5"/>
  <c r="BT917" i="5"/>
  <c r="BQ917" i="5"/>
  <c r="BS917" i="5"/>
  <c r="BM917" i="5"/>
  <c r="BK917" i="5"/>
  <c r="BJ917" i="5"/>
  <c r="BI917" i="5"/>
  <c r="BH917" i="5"/>
  <c r="BG917" i="5"/>
  <c r="BF917" i="5"/>
  <c r="BE917" i="5"/>
  <c r="BD917" i="5"/>
  <c r="BA917" i="5"/>
  <c r="BP917" i="5" s="1"/>
  <c r="AZ917" i="5"/>
  <c r="AY917" i="5"/>
  <c r="AV917" i="5"/>
  <c r="BO917" i="5" s="1"/>
  <c r="AU917" i="5"/>
  <c r="BB917" i="5" s="1"/>
  <c r="CI990" i="5"/>
  <c r="CK990" i="5"/>
  <c r="CE990" i="5"/>
  <c r="CC990" i="5"/>
  <c r="CD990" i="5"/>
  <c r="CF990" i="5"/>
  <c r="CA990" i="5"/>
  <c r="BY990" i="5"/>
  <c r="BU990" i="5"/>
  <c r="BW990" i="5"/>
  <c r="BV990" i="5"/>
  <c r="BS990" i="5"/>
  <c r="BT990" i="5"/>
  <c r="BR990" i="5"/>
  <c r="BQ990" i="5"/>
  <c r="BM990" i="5"/>
  <c r="BI990" i="5"/>
  <c r="BJ990" i="5"/>
  <c r="BK990" i="5"/>
  <c r="BH990" i="5"/>
  <c r="BG990" i="5"/>
  <c r="BF990" i="5"/>
  <c r="BE990" i="5"/>
  <c r="BD990" i="5"/>
  <c r="AV990" i="5"/>
  <c r="BC990" i="5" s="1"/>
  <c r="BA990" i="5"/>
  <c r="BP990" i="5" s="1"/>
  <c r="AZ990" i="5"/>
  <c r="AY990" i="5"/>
  <c r="AU990" i="5"/>
  <c r="BN990" i="5" s="1"/>
  <c r="CE1063" i="5"/>
  <c r="CK1063" i="5"/>
  <c r="CF1063" i="5"/>
  <c r="CI1063" i="5"/>
  <c r="CC1063" i="5"/>
  <c r="CD1063" i="5"/>
  <c r="CA1063" i="5"/>
  <c r="BY1063" i="5"/>
  <c r="BV1063" i="5"/>
  <c r="BW1063" i="5"/>
  <c r="BU1063" i="5"/>
  <c r="BT1063" i="5"/>
  <c r="BS1063" i="5"/>
  <c r="BR1063" i="5"/>
  <c r="BQ1063" i="5"/>
  <c r="BM1063" i="5"/>
  <c r="BK1063" i="5"/>
  <c r="BJ1063" i="5"/>
  <c r="BI1063" i="5"/>
  <c r="BG1063" i="5"/>
  <c r="BE1063" i="5"/>
  <c r="BH1063" i="5"/>
  <c r="BF1063" i="5"/>
  <c r="BD1063" i="5"/>
  <c r="AY1063" i="5"/>
  <c r="BA1063" i="5"/>
  <c r="BP1063" i="5" s="1"/>
  <c r="AZ1063" i="5"/>
  <c r="AU1063" i="5"/>
  <c r="BN1063" i="5" s="1"/>
  <c r="AV1063" i="5"/>
  <c r="BO1063" i="5" s="1"/>
  <c r="CI1136" i="5"/>
  <c r="CF1136" i="5"/>
  <c r="CK1136" i="5"/>
  <c r="CD1136" i="5"/>
  <c r="CE1136" i="5"/>
  <c r="CA1136" i="5"/>
  <c r="CC1136" i="5"/>
  <c r="BW1136" i="5"/>
  <c r="BY1136" i="5"/>
  <c r="BV1136" i="5"/>
  <c r="BU1136" i="5"/>
  <c r="BT1136" i="5"/>
  <c r="BS1136" i="5"/>
  <c r="BR1136" i="5"/>
  <c r="BQ1136" i="5"/>
  <c r="BM1136" i="5"/>
  <c r="BJ1136" i="5"/>
  <c r="BK1136" i="5"/>
  <c r="BH1136" i="5"/>
  <c r="BI1136" i="5"/>
  <c r="BG1136" i="5"/>
  <c r="BF1136" i="5"/>
  <c r="BE1136" i="5"/>
  <c r="BD1136" i="5"/>
  <c r="AZ1136" i="5"/>
  <c r="AV1136" i="5"/>
  <c r="BO1136" i="5" s="1"/>
  <c r="AY1136" i="5"/>
  <c r="BA1136" i="5"/>
  <c r="BP1136" i="5" s="1"/>
  <c r="AU1136" i="5"/>
  <c r="BB1136" i="5" s="1"/>
  <c r="CI1210" i="5"/>
  <c r="CK1210" i="5"/>
  <c r="CC1210" i="5"/>
  <c r="CF1210" i="5"/>
  <c r="CE1210" i="5"/>
  <c r="CD1210" i="5"/>
  <c r="CA1210" i="5"/>
  <c r="BY1210" i="5"/>
  <c r="BV1210" i="5"/>
  <c r="BU1210" i="5"/>
  <c r="BW1210" i="5"/>
  <c r="BS1210" i="5"/>
  <c r="BT1210" i="5"/>
  <c r="BR1210" i="5"/>
  <c r="BQ1210" i="5"/>
  <c r="BM1210" i="5"/>
  <c r="BI1210" i="5"/>
  <c r="BK1210" i="5"/>
  <c r="BJ1210" i="5"/>
  <c r="BH1210" i="5"/>
  <c r="BG1210" i="5"/>
  <c r="BF1210" i="5"/>
  <c r="BE1210" i="5"/>
  <c r="BD1210" i="5"/>
  <c r="BA1210" i="5"/>
  <c r="BP1210" i="5" s="1"/>
  <c r="AZ1210" i="5"/>
  <c r="AY1210" i="5"/>
  <c r="AU1210" i="5"/>
  <c r="BN1210" i="5" s="1"/>
  <c r="AV1210" i="5"/>
  <c r="BC1210" i="5" s="1"/>
  <c r="CJ1283" i="5"/>
  <c r="CK1283" i="5"/>
  <c r="CH1283" i="5"/>
  <c r="CE1283" i="5"/>
  <c r="CF1283" i="5"/>
  <c r="CG1283" i="5"/>
  <c r="CI1283" i="5"/>
  <c r="CD1283" i="5"/>
  <c r="BZ1283" i="5"/>
  <c r="BY1283" i="5"/>
  <c r="CC1283" i="5"/>
  <c r="CA1283" i="5"/>
  <c r="BX1283" i="5"/>
  <c r="BV1283" i="5"/>
  <c r="BW1283" i="5"/>
  <c r="BU1283" i="5"/>
  <c r="BT1283" i="5"/>
  <c r="BS1283" i="5"/>
  <c r="BR1283" i="5"/>
  <c r="BQ1283" i="5"/>
  <c r="BM1283" i="5"/>
  <c r="BL1283" i="5"/>
  <c r="BK1283" i="5"/>
  <c r="BJ1283" i="5"/>
  <c r="BI1283" i="5"/>
  <c r="BG1283" i="5"/>
  <c r="BH1283" i="5"/>
  <c r="BE1283" i="5"/>
  <c r="BF1283" i="5"/>
  <c r="BD1283" i="5"/>
  <c r="AY1283" i="5"/>
  <c r="BA1283" i="5"/>
  <c r="BP1283" i="5" s="1"/>
  <c r="AZ1283" i="5"/>
  <c r="AU1283" i="5"/>
  <c r="BN1283" i="5" s="1"/>
  <c r="AV1283" i="5"/>
  <c r="BC1283" i="5" s="1"/>
  <c r="BL13" i="5"/>
  <c r="CK22" i="5"/>
  <c r="CI22" i="5"/>
  <c r="CD22" i="5"/>
  <c r="CF22" i="5"/>
  <c r="CE22" i="5"/>
  <c r="CC22" i="5"/>
  <c r="BY22" i="5"/>
  <c r="CA22" i="5"/>
  <c r="BW22" i="5"/>
  <c r="BV22" i="5"/>
  <c r="BU22" i="5"/>
  <c r="BT22" i="5"/>
  <c r="BS22" i="5"/>
  <c r="BQ22" i="5"/>
  <c r="BR22" i="5"/>
  <c r="BM22" i="5"/>
  <c r="BK22" i="5"/>
  <c r="BH22" i="5"/>
  <c r="BJ22" i="5"/>
  <c r="BI22" i="5"/>
  <c r="BF22" i="5"/>
  <c r="BG22" i="5"/>
  <c r="BD22" i="5"/>
  <c r="BE22" i="5"/>
  <c r="BA22" i="5"/>
  <c r="BP22" i="5" s="1"/>
  <c r="AZ22" i="5"/>
  <c r="AY22" i="5"/>
  <c r="AV22" i="5"/>
  <c r="BC22" i="5" s="1"/>
  <c r="AU22" i="5"/>
  <c r="BN22" i="5" s="1"/>
  <c r="CK95" i="5"/>
  <c r="CE95" i="5"/>
  <c r="CI95" i="5"/>
  <c r="CF95" i="5"/>
  <c r="CD95" i="5"/>
  <c r="CC95" i="5"/>
  <c r="CA95" i="5"/>
  <c r="BY95" i="5"/>
  <c r="BW95" i="5"/>
  <c r="BV95" i="5"/>
  <c r="BU95" i="5"/>
  <c r="BT95" i="5"/>
  <c r="BS95" i="5"/>
  <c r="BR95" i="5"/>
  <c r="BQ95" i="5"/>
  <c r="BK95" i="5"/>
  <c r="BI95" i="5"/>
  <c r="BM95" i="5"/>
  <c r="BH95" i="5"/>
  <c r="BJ95" i="5"/>
  <c r="BG95" i="5"/>
  <c r="BE95" i="5"/>
  <c r="BF95" i="5"/>
  <c r="BD95" i="5"/>
  <c r="BA95" i="5"/>
  <c r="BP95" i="5" s="1"/>
  <c r="AY95" i="5"/>
  <c r="AZ95" i="5"/>
  <c r="AV95" i="5"/>
  <c r="BC95" i="5" s="1"/>
  <c r="AU95" i="5"/>
  <c r="BN95" i="5" s="1"/>
  <c r="CJ168" i="5"/>
  <c r="CK168" i="5"/>
  <c r="CH168" i="5"/>
  <c r="CG168" i="5"/>
  <c r="CF168" i="5"/>
  <c r="CI168" i="5"/>
  <c r="CE168" i="5"/>
  <c r="CD168" i="5"/>
  <c r="CC168" i="5"/>
  <c r="CA168" i="5"/>
  <c r="BZ168" i="5"/>
  <c r="BY168" i="5"/>
  <c r="BV168" i="5"/>
  <c r="BW168" i="5"/>
  <c r="BX168" i="5"/>
  <c r="BT168" i="5"/>
  <c r="BU168" i="5"/>
  <c r="BS168" i="5"/>
  <c r="BR168" i="5"/>
  <c r="BQ168" i="5"/>
  <c r="BL168" i="5"/>
  <c r="BK168" i="5"/>
  <c r="BM168" i="5"/>
  <c r="BJ168" i="5"/>
  <c r="BH168" i="5"/>
  <c r="BI168" i="5"/>
  <c r="BG168" i="5"/>
  <c r="BF168" i="5"/>
  <c r="BE168" i="5"/>
  <c r="BD168" i="5"/>
  <c r="BA168" i="5"/>
  <c r="BP168" i="5" s="1"/>
  <c r="AZ168" i="5"/>
  <c r="AV168" i="5"/>
  <c r="BO168" i="5" s="1"/>
  <c r="AY168" i="5"/>
  <c r="AU168" i="5"/>
  <c r="BN168" i="5" s="1"/>
  <c r="CK242" i="5"/>
  <c r="CI242" i="5"/>
  <c r="CJ242" i="5"/>
  <c r="CD242" i="5"/>
  <c r="CF242" i="5"/>
  <c r="CE242" i="5"/>
  <c r="CH242" i="5"/>
  <c r="CG242" i="5"/>
  <c r="BY242" i="5"/>
  <c r="CC242" i="5"/>
  <c r="CA242" i="5"/>
  <c r="BZ242" i="5"/>
  <c r="BX242" i="5"/>
  <c r="BU242" i="5"/>
  <c r="BV242" i="5"/>
  <c r="BW242" i="5"/>
  <c r="BS242" i="5"/>
  <c r="BT242" i="5"/>
  <c r="BR242" i="5"/>
  <c r="BQ242" i="5"/>
  <c r="BM242" i="5"/>
  <c r="BK242" i="5"/>
  <c r="BL242" i="5"/>
  <c r="BJ242" i="5"/>
  <c r="BI242" i="5"/>
  <c r="BF242" i="5"/>
  <c r="BD242" i="5"/>
  <c r="BG242" i="5"/>
  <c r="BH242" i="5"/>
  <c r="BE242" i="5"/>
  <c r="BA242" i="5"/>
  <c r="BP242" i="5" s="1"/>
  <c r="AZ242" i="5"/>
  <c r="AY242" i="5"/>
  <c r="AU242" i="5"/>
  <c r="BN242" i="5" s="1"/>
  <c r="AV242" i="5"/>
  <c r="BC242" i="5" s="1"/>
  <c r="CK315" i="5"/>
  <c r="CJ315" i="5"/>
  <c r="CI315" i="5"/>
  <c r="CE315" i="5"/>
  <c r="CH315" i="5"/>
  <c r="CF315" i="5"/>
  <c r="CG315" i="5"/>
  <c r="CC315" i="5"/>
  <c r="CD315" i="5"/>
  <c r="BZ315" i="5"/>
  <c r="CA315" i="5"/>
  <c r="BX315" i="5"/>
  <c r="BY315" i="5"/>
  <c r="BW315" i="5"/>
  <c r="BV315" i="5"/>
  <c r="BU315" i="5"/>
  <c r="BT315" i="5"/>
  <c r="BS315" i="5"/>
  <c r="BR315" i="5"/>
  <c r="BQ315" i="5"/>
  <c r="BK315" i="5"/>
  <c r="BL315" i="5"/>
  <c r="BM315" i="5"/>
  <c r="BI315" i="5"/>
  <c r="BJ315" i="5"/>
  <c r="BG315" i="5"/>
  <c r="BH315" i="5"/>
  <c r="BF315" i="5"/>
  <c r="BE315" i="5"/>
  <c r="BD315" i="5"/>
  <c r="BA315" i="5"/>
  <c r="BP315" i="5" s="1"/>
  <c r="AY315" i="5"/>
  <c r="AU315" i="5"/>
  <c r="BN315" i="5" s="1"/>
  <c r="AZ315" i="5"/>
  <c r="AV315" i="5"/>
  <c r="BC315" i="5" s="1"/>
  <c r="CK388" i="5"/>
  <c r="CF388" i="5"/>
  <c r="CI388" i="5"/>
  <c r="CC388" i="5"/>
  <c r="CE388" i="5"/>
  <c r="CD388" i="5"/>
  <c r="CA388" i="5"/>
  <c r="BY388" i="5"/>
  <c r="BV388" i="5"/>
  <c r="BW388" i="5"/>
  <c r="BU388" i="5"/>
  <c r="BT388" i="5"/>
  <c r="BS388" i="5"/>
  <c r="BQ388" i="5"/>
  <c r="BR388" i="5"/>
  <c r="BM388" i="5"/>
  <c r="BJ388" i="5"/>
  <c r="BK388" i="5"/>
  <c r="BI388" i="5"/>
  <c r="BH388" i="5"/>
  <c r="BG388" i="5"/>
  <c r="BF388" i="5"/>
  <c r="BE388" i="5"/>
  <c r="BD388" i="5"/>
  <c r="AZ388" i="5"/>
  <c r="BA388" i="5"/>
  <c r="BP388" i="5" s="1"/>
  <c r="AY388" i="5"/>
  <c r="AU388" i="5"/>
  <c r="BB388" i="5" s="1"/>
  <c r="AV388" i="5"/>
  <c r="BO388" i="5" s="1"/>
  <c r="CK461" i="5"/>
  <c r="CF461" i="5"/>
  <c r="CE461" i="5"/>
  <c r="CI461" i="5"/>
  <c r="CD461" i="5"/>
  <c r="CC461" i="5"/>
  <c r="CA461" i="5"/>
  <c r="BY461" i="5"/>
  <c r="BW461" i="5"/>
  <c r="BT461" i="5"/>
  <c r="BV461" i="5"/>
  <c r="BU461" i="5"/>
  <c r="BR461" i="5"/>
  <c r="BS461" i="5"/>
  <c r="BQ461" i="5"/>
  <c r="BM461" i="5"/>
  <c r="BK461" i="5"/>
  <c r="BJ461" i="5"/>
  <c r="BI461" i="5"/>
  <c r="BG461" i="5"/>
  <c r="BH461" i="5"/>
  <c r="BF461" i="5"/>
  <c r="BE461" i="5"/>
  <c r="BD461" i="5"/>
  <c r="BA461" i="5"/>
  <c r="BP461" i="5" s="1"/>
  <c r="AZ461" i="5"/>
  <c r="AY461" i="5"/>
  <c r="AV461" i="5"/>
  <c r="BC461" i="5" s="1"/>
  <c r="AU461" i="5"/>
  <c r="BB461" i="5" s="1"/>
  <c r="CJ534" i="5"/>
  <c r="CK534" i="5"/>
  <c r="CI534" i="5"/>
  <c r="CH534" i="5"/>
  <c r="CF534" i="5"/>
  <c r="CE534" i="5"/>
  <c r="CG534" i="5"/>
  <c r="CD534" i="5"/>
  <c r="CC534" i="5"/>
  <c r="BY534" i="5"/>
  <c r="CA534" i="5"/>
  <c r="BZ534" i="5"/>
  <c r="BX534" i="5"/>
  <c r="BW534" i="5"/>
  <c r="BU534" i="5"/>
  <c r="BV534" i="5"/>
  <c r="BS534" i="5"/>
  <c r="BT534" i="5"/>
  <c r="BQ534" i="5"/>
  <c r="BR534" i="5"/>
  <c r="BM534" i="5"/>
  <c r="BK534" i="5"/>
  <c r="BL534" i="5"/>
  <c r="BJ534" i="5"/>
  <c r="BI534" i="5"/>
  <c r="BF534" i="5"/>
  <c r="BH534" i="5"/>
  <c r="BG534" i="5"/>
  <c r="BE534" i="5"/>
  <c r="BD534" i="5"/>
  <c r="BA534" i="5"/>
  <c r="BP534" i="5" s="1"/>
  <c r="AZ534" i="5"/>
  <c r="AY534" i="5"/>
  <c r="AV534" i="5"/>
  <c r="BC534" i="5" s="1"/>
  <c r="AU534" i="5"/>
  <c r="BN534" i="5" s="1"/>
  <c r="CK607" i="5"/>
  <c r="CE607" i="5"/>
  <c r="CI607" i="5"/>
  <c r="CF607" i="5"/>
  <c r="CD607" i="5"/>
  <c r="CC607" i="5"/>
  <c r="BY607" i="5"/>
  <c r="CA607" i="5"/>
  <c r="BV607" i="5"/>
  <c r="BW607" i="5"/>
  <c r="BU607" i="5"/>
  <c r="BT607" i="5"/>
  <c r="BS607" i="5"/>
  <c r="BR607" i="5"/>
  <c r="BQ607" i="5"/>
  <c r="BK607" i="5"/>
  <c r="BI607" i="5"/>
  <c r="BM607" i="5"/>
  <c r="BJ607" i="5"/>
  <c r="BG607" i="5"/>
  <c r="BE607" i="5"/>
  <c r="BH607" i="5"/>
  <c r="BF607" i="5"/>
  <c r="BD607" i="5"/>
  <c r="AY607" i="5"/>
  <c r="BA607" i="5"/>
  <c r="BP607" i="5" s="1"/>
  <c r="AZ607" i="5"/>
  <c r="AV607" i="5"/>
  <c r="BC607" i="5" s="1"/>
  <c r="AU607" i="5"/>
  <c r="BN607" i="5" s="1"/>
  <c r="CK680" i="5"/>
  <c r="CH680" i="5"/>
  <c r="CJ680" i="5"/>
  <c r="CG680" i="5"/>
  <c r="CF680" i="5"/>
  <c r="CI680" i="5"/>
  <c r="CE680" i="5"/>
  <c r="CC680" i="5"/>
  <c r="CD680" i="5"/>
  <c r="CA680" i="5"/>
  <c r="BZ680" i="5"/>
  <c r="BY680" i="5"/>
  <c r="BX680" i="5"/>
  <c r="BW680" i="5"/>
  <c r="BV680" i="5"/>
  <c r="BU680" i="5"/>
  <c r="BT680" i="5"/>
  <c r="BS680" i="5"/>
  <c r="BR680" i="5"/>
  <c r="BQ680" i="5"/>
  <c r="BL680" i="5"/>
  <c r="BK680" i="5"/>
  <c r="BM680" i="5"/>
  <c r="BJ680" i="5"/>
  <c r="BH680" i="5"/>
  <c r="BI680" i="5"/>
  <c r="BG680" i="5"/>
  <c r="BF680" i="5"/>
  <c r="BE680" i="5"/>
  <c r="BD680" i="5"/>
  <c r="AZ680" i="5"/>
  <c r="AV680" i="5"/>
  <c r="BO680" i="5" s="1"/>
  <c r="AY680" i="5"/>
  <c r="BA680" i="5"/>
  <c r="BP680" i="5" s="1"/>
  <c r="AU680" i="5"/>
  <c r="BN680" i="5" s="1"/>
  <c r="CJ754" i="5"/>
  <c r="CI754" i="5"/>
  <c r="CH754" i="5"/>
  <c r="CK754" i="5"/>
  <c r="CG754" i="5"/>
  <c r="CF754" i="5"/>
  <c r="CE754" i="5"/>
  <c r="CD754" i="5"/>
  <c r="CC754" i="5"/>
  <c r="CA754" i="5"/>
  <c r="BZ754" i="5"/>
  <c r="BY754" i="5"/>
  <c r="BX754" i="5"/>
  <c r="BU754" i="5"/>
  <c r="BW754" i="5"/>
  <c r="BV754" i="5"/>
  <c r="BS754" i="5"/>
  <c r="BT754" i="5"/>
  <c r="BR754" i="5"/>
  <c r="BQ754" i="5"/>
  <c r="BM754" i="5"/>
  <c r="BL754" i="5"/>
  <c r="BK754" i="5"/>
  <c r="BJ754" i="5"/>
  <c r="BI754" i="5"/>
  <c r="BF754" i="5"/>
  <c r="BH754" i="5"/>
  <c r="BG754" i="5"/>
  <c r="BE754" i="5"/>
  <c r="BD754" i="5"/>
  <c r="BA754" i="5"/>
  <c r="BP754" i="5" s="1"/>
  <c r="AZ754" i="5"/>
  <c r="AY754" i="5"/>
  <c r="AU754" i="5"/>
  <c r="BN754" i="5" s="1"/>
  <c r="AV754" i="5"/>
  <c r="BO754" i="5" s="1"/>
  <c r="CK827" i="5"/>
  <c r="CJ827" i="5"/>
  <c r="CI827" i="5"/>
  <c r="CE827" i="5"/>
  <c r="CG827" i="5"/>
  <c r="CF827" i="5"/>
  <c r="CD827" i="5"/>
  <c r="CH827" i="5"/>
  <c r="BZ827" i="5"/>
  <c r="BY827" i="5"/>
  <c r="CC827" i="5"/>
  <c r="CA827" i="5"/>
  <c r="BX827" i="5"/>
  <c r="BW827" i="5"/>
  <c r="BV827" i="5"/>
  <c r="BU827" i="5"/>
  <c r="BT827" i="5"/>
  <c r="BR827" i="5"/>
  <c r="BQ827" i="5"/>
  <c r="BS827" i="5"/>
  <c r="BM827" i="5"/>
  <c r="BL827" i="5"/>
  <c r="BI827" i="5"/>
  <c r="BJ827" i="5"/>
  <c r="BG827" i="5"/>
  <c r="BK827" i="5"/>
  <c r="BH827" i="5"/>
  <c r="BE827" i="5"/>
  <c r="BF827" i="5"/>
  <c r="BD827" i="5"/>
  <c r="AY827" i="5"/>
  <c r="AU827" i="5"/>
  <c r="BB827" i="5" s="1"/>
  <c r="BA827" i="5"/>
  <c r="BP827" i="5" s="1"/>
  <c r="AZ827" i="5"/>
  <c r="AV827" i="5"/>
  <c r="BO827" i="5" s="1"/>
  <c r="CK900" i="5"/>
  <c r="CF900" i="5"/>
  <c r="CI900" i="5"/>
  <c r="CE900" i="5"/>
  <c r="CD900" i="5"/>
  <c r="CA900" i="5"/>
  <c r="CC900" i="5"/>
  <c r="BY900" i="5"/>
  <c r="BW900" i="5"/>
  <c r="BV900" i="5"/>
  <c r="BU900" i="5"/>
  <c r="BT900" i="5"/>
  <c r="BQ900" i="5"/>
  <c r="BR900" i="5"/>
  <c r="BS900" i="5"/>
  <c r="BM900" i="5"/>
  <c r="BJ900" i="5"/>
  <c r="BK900" i="5"/>
  <c r="BI900" i="5"/>
  <c r="BH900" i="5"/>
  <c r="BG900" i="5"/>
  <c r="BF900" i="5"/>
  <c r="BD900" i="5"/>
  <c r="BE900" i="5"/>
  <c r="AZ900" i="5"/>
  <c r="AY900" i="5"/>
  <c r="BA900" i="5"/>
  <c r="BP900" i="5" s="1"/>
  <c r="AU900" i="5"/>
  <c r="BN900" i="5" s="1"/>
  <c r="AV900" i="5"/>
  <c r="BO900" i="5" s="1"/>
  <c r="CK973" i="5"/>
  <c r="CF973" i="5"/>
  <c r="CE973" i="5"/>
  <c r="CI973" i="5"/>
  <c r="CD973" i="5"/>
  <c r="CC973" i="5"/>
  <c r="CA973" i="5"/>
  <c r="BW973" i="5"/>
  <c r="BY973" i="5"/>
  <c r="BU973" i="5"/>
  <c r="BV973" i="5"/>
  <c r="BR973" i="5"/>
  <c r="BT973" i="5"/>
  <c r="BS973" i="5"/>
  <c r="BQ973" i="5"/>
  <c r="BM973" i="5"/>
  <c r="BK973" i="5"/>
  <c r="BJ973" i="5"/>
  <c r="BI973" i="5"/>
  <c r="BH973" i="5"/>
  <c r="BG973" i="5"/>
  <c r="BF973" i="5"/>
  <c r="BE973" i="5"/>
  <c r="BD973" i="5"/>
  <c r="BA973" i="5"/>
  <c r="BP973" i="5" s="1"/>
  <c r="AZ973" i="5"/>
  <c r="AY973" i="5"/>
  <c r="AV973" i="5"/>
  <c r="BC973" i="5" s="1"/>
  <c r="AU973" i="5"/>
  <c r="BN973" i="5" s="1"/>
  <c r="CK1046" i="5"/>
  <c r="CI1046" i="5"/>
  <c r="CE1046" i="5"/>
  <c r="CC1046" i="5"/>
  <c r="CD1046" i="5"/>
  <c r="CF1046" i="5"/>
  <c r="CA1046" i="5"/>
  <c r="BY1046" i="5"/>
  <c r="BW1046" i="5"/>
  <c r="BU1046" i="5"/>
  <c r="BV1046" i="5"/>
  <c r="BS1046" i="5"/>
  <c r="BR1046" i="5"/>
  <c r="BT1046" i="5"/>
  <c r="BQ1046" i="5"/>
  <c r="BM1046" i="5"/>
  <c r="BI1046" i="5"/>
  <c r="BK1046" i="5"/>
  <c r="BJ1046" i="5"/>
  <c r="BH1046" i="5"/>
  <c r="BG1046" i="5"/>
  <c r="BF1046" i="5"/>
  <c r="BE1046" i="5"/>
  <c r="BD1046" i="5"/>
  <c r="BA1046" i="5"/>
  <c r="BP1046" i="5" s="1"/>
  <c r="AZ1046" i="5"/>
  <c r="AY1046" i="5"/>
  <c r="AV1046" i="5"/>
  <c r="BO1046" i="5" s="1"/>
  <c r="AU1046" i="5"/>
  <c r="BN1046" i="5" s="1"/>
  <c r="CK1119" i="5"/>
  <c r="CE1119" i="5"/>
  <c r="CI1119" i="5"/>
  <c r="CF1119" i="5"/>
  <c r="CD1119" i="5"/>
  <c r="CC1119" i="5"/>
  <c r="BY1119" i="5"/>
  <c r="CA1119" i="5"/>
  <c r="BV1119" i="5"/>
  <c r="BW1119" i="5"/>
  <c r="BU1119" i="5"/>
  <c r="BT1119" i="5"/>
  <c r="BR1119" i="5"/>
  <c r="BQ1119" i="5"/>
  <c r="BS1119" i="5"/>
  <c r="BM1119" i="5"/>
  <c r="BI1119" i="5"/>
  <c r="BK1119" i="5"/>
  <c r="BJ1119" i="5"/>
  <c r="BG1119" i="5"/>
  <c r="BE1119" i="5"/>
  <c r="BH1119" i="5"/>
  <c r="BF1119" i="5"/>
  <c r="BD1119" i="5"/>
  <c r="AY1119" i="5"/>
  <c r="BA1119" i="5"/>
  <c r="BP1119" i="5" s="1"/>
  <c r="AZ1119" i="5"/>
  <c r="AV1119" i="5"/>
  <c r="BO1119" i="5" s="1"/>
  <c r="AU1119" i="5"/>
  <c r="BB1119" i="5" s="1"/>
  <c r="CK1192" i="5"/>
  <c r="CF1192" i="5"/>
  <c r="CI1192" i="5"/>
  <c r="CE1192" i="5"/>
  <c r="CD1192" i="5"/>
  <c r="CA1192" i="5"/>
  <c r="CC1192" i="5"/>
  <c r="BY1192" i="5"/>
  <c r="BW1192" i="5"/>
  <c r="BU1192" i="5"/>
  <c r="BV1192" i="5"/>
  <c r="BT1192" i="5"/>
  <c r="BS1192" i="5"/>
  <c r="BR1192" i="5"/>
  <c r="BQ1192" i="5"/>
  <c r="BM1192" i="5"/>
  <c r="BJ1192" i="5"/>
  <c r="BH1192" i="5"/>
  <c r="BK1192" i="5"/>
  <c r="BI1192" i="5"/>
  <c r="BG1192" i="5"/>
  <c r="BF1192" i="5"/>
  <c r="BE1192" i="5"/>
  <c r="BD1192" i="5"/>
  <c r="AZ1192" i="5"/>
  <c r="AV1192" i="5"/>
  <c r="BC1192" i="5" s="1"/>
  <c r="AY1192" i="5"/>
  <c r="BA1192" i="5"/>
  <c r="BP1192" i="5" s="1"/>
  <c r="AU1192" i="5"/>
  <c r="BN1192" i="5" s="1"/>
  <c r="CK1266" i="5"/>
  <c r="CI1266" i="5"/>
  <c r="CF1266" i="5"/>
  <c r="CE1266" i="5"/>
  <c r="CC1266" i="5"/>
  <c r="CD1266" i="5"/>
  <c r="CA1266" i="5"/>
  <c r="BY1266" i="5"/>
  <c r="BW1266" i="5"/>
  <c r="BU1266" i="5"/>
  <c r="BS1266" i="5"/>
  <c r="BV1266" i="5"/>
  <c r="BT1266" i="5"/>
  <c r="BR1266" i="5"/>
  <c r="BQ1266" i="5"/>
  <c r="BM1266" i="5"/>
  <c r="BI1266" i="5"/>
  <c r="BK1266" i="5"/>
  <c r="BJ1266" i="5"/>
  <c r="BH1266" i="5"/>
  <c r="BG1266" i="5"/>
  <c r="BF1266" i="5"/>
  <c r="BE1266" i="5"/>
  <c r="BD1266" i="5"/>
  <c r="BA1266" i="5"/>
  <c r="BP1266" i="5" s="1"/>
  <c r="AZ1266" i="5"/>
  <c r="AY1266" i="5"/>
  <c r="AU1266" i="5"/>
  <c r="BB1266" i="5" s="1"/>
  <c r="AV1266" i="5"/>
  <c r="BC1266" i="5" s="1"/>
  <c r="CI1334" i="5"/>
  <c r="CJ1334" i="5"/>
  <c r="CH1334" i="5"/>
  <c r="CG1334" i="5"/>
  <c r="CK1334" i="5"/>
  <c r="CC1334" i="5"/>
  <c r="CD1334" i="5"/>
  <c r="CE1334" i="5"/>
  <c r="CF1334" i="5"/>
  <c r="CA1334" i="5"/>
  <c r="BZ1334" i="5"/>
  <c r="BY1334" i="5"/>
  <c r="BW1334" i="5"/>
  <c r="BX1334" i="5"/>
  <c r="BU1334" i="5"/>
  <c r="BV1334" i="5"/>
  <c r="BS1334" i="5"/>
  <c r="BR1334" i="5"/>
  <c r="BT1334" i="5"/>
  <c r="BQ1334" i="5"/>
  <c r="BM1334" i="5"/>
  <c r="BL1334" i="5"/>
  <c r="BI1334" i="5"/>
  <c r="BK1334" i="5"/>
  <c r="BJ1334" i="5"/>
  <c r="BG1334" i="5"/>
  <c r="BH1334" i="5"/>
  <c r="BF1334" i="5"/>
  <c r="BE1334" i="5"/>
  <c r="BD1334" i="5"/>
  <c r="BA1334" i="5"/>
  <c r="BP1334" i="5" s="1"/>
  <c r="AZ1334" i="5"/>
  <c r="AY1334" i="5"/>
  <c r="AV1334" i="5"/>
  <c r="BO1334" i="5" s="1"/>
  <c r="AU1334" i="5"/>
  <c r="BN1334" i="5" s="1"/>
  <c r="CI33" i="5"/>
  <c r="CK33" i="5"/>
  <c r="CC33" i="5"/>
  <c r="CE33" i="5"/>
  <c r="CD33" i="5"/>
  <c r="CF33" i="5"/>
  <c r="CA33" i="5"/>
  <c r="BW33" i="5"/>
  <c r="BY33" i="5"/>
  <c r="BV33" i="5"/>
  <c r="BT33" i="5"/>
  <c r="BU33" i="5"/>
  <c r="BR33" i="5"/>
  <c r="BQ33" i="5"/>
  <c r="BS33" i="5"/>
  <c r="BM33" i="5"/>
  <c r="BK33" i="5"/>
  <c r="BH33" i="5"/>
  <c r="BJ33" i="5"/>
  <c r="BI33" i="5"/>
  <c r="BF33" i="5"/>
  <c r="BG33" i="5"/>
  <c r="BE33" i="5"/>
  <c r="BD33" i="5"/>
  <c r="BA33" i="5"/>
  <c r="BP33" i="5" s="1"/>
  <c r="AZ33" i="5"/>
  <c r="AY33" i="5"/>
  <c r="AU33" i="5"/>
  <c r="BN33" i="5" s="1"/>
  <c r="AV33" i="5"/>
  <c r="BO33" i="5" s="1"/>
  <c r="CI65" i="5"/>
  <c r="CK65" i="5"/>
  <c r="CF65" i="5"/>
  <c r="CC65" i="5"/>
  <c r="CD65" i="5"/>
  <c r="CE65" i="5"/>
  <c r="CA65" i="5"/>
  <c r="BW65" i="5"/>
  <c r="BY65" i="5"/>
  <c r="BV65" i="5"/>
  <c r="BT65" i="5"/>
  <c r="BU65" i="5"/>
  <c r="BR65" i="5"/>
  <c r="BQ65" i="5"/>
  <c r="BS65" i="5"/>
  <c r="BM65" i="5"/>
  <c r="BK65" i="5"/>
  <c r="BH65" i="5"/>
  <c r="BJ65" i="5"/>
  <c r="BI65" i="5"/>
  <c r="BF65" i="5"/>
  <c r="BG65" i="5"/>
  <c r="BE65" i="5"/>
  <c r="BD65" i="5"/>
  <c r="BA65" i="5"/>
  <c r="BP65" i="5" s="1"/>
  <c r="AZ65" i="5"/>
  <c r="AY65" i="5"/>
  <c r="AV65" i="5"/>
  <c r="BO65" i="5" s="1"/>
  <c r="AU65" i="5"/>
  <c r="BN65" i="5" s="1"/>
  <c r="CK97" i="5"/>
  <c r="CI97" i="5"/>
  <c r="CF97" i="5"/>
  <c r="CE97" i="5"/>
  <c r="CC97" i="5"/>
  <c r="CD97" i="5"/>
  <c r="CA97" i="5"/>
  <c r="BW97" i="5"/>
  <c r="BY97" i="5"/>
  <c r="BV97" i="5"/>
  <c r="BT97" i="5"/>
  <c r="BU97" i="5"/>
  <c r="BR97" i="5"/>
  <c r="BQ97" i="5"/>
  <c r="BS97" i="5"/>
  <c r="BM97" i="5"/>
  <c r="BK97" i="5"/>
  <c r="BH97" i="5"/>
  <c r="BJ97" i="5"/>
  <c r="BI97" i="5"/>
  <c r="BF97" i="5"/>
  <c r="BG97" i="5"/>
  <c r="BE97" i="5"/>
  <c r="BD97" i="5"/>
  <c r="BA97" i="5"/>
  <c r="BP97" i="5" s="1"/>
  <c r="AZ97" i="5"/>
  <c r="AY97" i="5"/>
  <c r="AU97" i="5"/>
  <c r="BN97" i="5" s="1"/>
  <c r="AV97" i="5"/>
  <c r="BO97" i="5" s="1"/>
  <c r="CK129" i="5"/>
  <c r="CJ129" i="5"/>
  <c r="CH129" i="5"/>
  <c r="CG129" i="5"/>
  <c r="CI129" i="5"/>
  <c r="CD129" i="5"/>
  <c r="CF129" i="5"/>
  <c r="CC129" i="5"/>
  <c r="CE129" i="5"/>
  <c r="BX129" i="5"/>
  <c r="BZ129" i="5"/>
  <c r="CA129" i="5"/>
  <c r="BW129" i="5"/>
  <c r="BY129" i="5"/>
  <c r="BV129" i="5"/>
  <c r="BT129" i="5"/>
  <c r="BU129" i="5"/>
  <c r="BR129" i="5"/>
  <c r="BQ129" i="5"/>
  <c r="BS129" i="5"/>
  <c r="BM129" i="5"/>
  <c r="BK129" i="5"/>
  <c r="BL129" i="5"/>
  <c r="BH129" i="5"/>
  <c r="BJ129" i="5"/>
  <c r="BI129" i="5"/>
  <c r="BF129" i="5"/>
  <c r="BG129" i="5"/>
  <c r="BE129" i="5"/>
  <c r="BD129" i="5"/>
  <c r="BA129" i="5"/>
  <c r="BP129" i="5" s="1"/>
  <c r="AZ129" i="5"/>
  <c r="AY129" i="5"/>
  <c r="AV129" i="5"/>
  <c r="BO129" i="5" s="1"/>
  <c r="AU129" i="5"/>
  <c r="BN129" i="5" s="1"/>
  <c r="CK161" i="5"/>
  <c r="CH161" i="5"/>
  <c r="CJ161" i="5"/>
  <c r="CG161" i="5"/>
  <c r="CI161" i="5"/>
  <c r="CF161" i="5"/>
  <c r="CC161" i="5"/>
  <c r="CE161" i="5"/>
  <c r="CD161" i="5"/>
  <c r="BX161" i="5"/>
  <c r="BZ161" i="5"/>
  <c r="CA161" i="5"/>
  <c r="BW161" i="5"/>
  <c r="BY161" i="5"/>
  <c r="BV161" i="5"/>
  <c r="BT161" i="5"/>
  <c r="BU161" i="5"/>
  <c r="BR161" i="5"/>
  <c r="BQ161" i="5"/>
  <c r="BS161" i="5"/>
  <c r="BM161" i="5"/>
  <c r="BK161" i="5"/>
  <c r="BL161" i="5"/>
  <c r="BH161" i="5"/>
  <c r="BJ161" i="5"/>
  <c r="BI161" i="5"/>
  <c r="BF161" i="5"/>
  <c r="BG161" i="5"/>
  <c r="BE161" i="5"/>
  <c r="BD161" i="5"/>
  <c r="BA161" i="5"/>
  <c r="BP161" i="5" s="1"/>
  <c r="AZ161" i="5"/>
  <c r="AY161" i="5"/>
  <c r="AU161" i="5"/>
  <c r="BN161" i="5" s="1"/>
  <c r="AV161" i="5"/>
  <c r="BO161" i="5" s="1"/>
  <c r="CK193" i="5"/>
  <c r="CJ193" i="5"/>
  <c r="CG193" i="5"/>
  <c r="CI193" i="5"/>
  <c r="CH193" i="5"/>
  <c r="CF193" i="5"/>
  <c r="CE193" i="5"/>
  <c r="CC193" i="5"/>
  <c r="CD193" i="5"/>
  <c r="BX193" i="5"/>
  <c r="BZ193" i="5"/>
  <c r="CA193" i="5"/>
  <c r="BW193" i="5"/>
  <c r="BY193" i="5"/>
  <c r="BV193" i="5"/>
  <c r="BT193" i="5"/>
  <c r="BU193" i="5"/>
  <c r="BR193" i="5"/>
  <c r="BQ193" i="5"/>
  <c r="BS193" i="5"/>
  <c r="BM193" i="5"/>
  <c r="BL193" i="5"/>
  <c r="BK193" i="5"/>
  <c r="BH193" i="5"/>
  <c r="BJ193" i="5"/>
  <c r="BI193" i="5"/>
  <c r="BF193" i="5"/>
  <c r="BG193" i="5"/>
  <c r="BE193" i="5"/>
  <c r="BD193" i="5"/>
  <c r="BA193" i="5"/>
  <c r="BP193" i="5" s="1"/>
  <c r="AZ193" i="5"/>
  <c r="AY193" i="5"/>
  <c r="AV193" i="5"/>
  <c r="BO193" i="5" s="1"/>
  <c r="AU193" i="5"/>
  <c r="BN193" i="5" s="1"/>
  <c r="CK225" i="5"/>
  <c r="CI225" i="5"/>
  <c r="CJ225" i="5"/>
  <c r="CG225" i="5"/>
  <c r="CH225" i="5"/>
  <c r="CD225" i="5"/>
  <c r="CF225" i="5"/>
  <c r="CC225" i="5"/>
  <c r="CE225" i="5"/>
  <c r="BX225" i="5"/>
  <c r="CA225" i="5"/>
  <c r="BZ225" i="5"/>
  <c r="BW225" i="5"/>
  <c r="BY225" i="5"/>
  <c r="BV225" i="5"/>
  <c r="BT225" i="5"/>
  <c r="BU225" i="5"/>
  <c r="BR225" i="5"/>
  <c r="BQ225" i="5"/>
  <c r="BS225" i="5"/>
  <c r="BM225" i="5"/>
  <c r="BL225" i="5"/>
  <c r="BK225" i="5"/>
  <c r="BH225" i="5"/>
  <c r="BJ225" i="5"/>
  <c r="BI225" i="5"/>
  <c r="BF225" i="5"/>
  <c r="BG225" i="5"/>
  <c r="BE225" i="5"/>
  <c r="BD225" i="5"/>
  <c r="BA225" i="5"/>
  <c r="BP225" i="5" s="1"/>
  <c r="AZ225" i="5"/>
  <c r="AY225" i="5"/>
  <c r="AU225" i="5"/>
  <c r="BN225" i="5" s="1"/>
  <c r="AV225" i="5"/>
  <c r="BO225" i="5" s="1"/>
  <c r="CK257" i="5"/>
  <c r="CJ257" i="5"/>
  <c r="CI257" i="5"/>
  <c r="CG257" i="5"/>
  <c r="CH257" i="5"/>
  <c r="CF257" i="5"/>
  <c r="CC257" i="5"/>
  <c r="CE257" i="5"/>
  <c r="CD257" i="5"/>
  <c r="BX257" i="5"/>
  <c r="BZ257" i="5"/>
  <c r="CA257" i="5"/>
  <c r="BW257" i="5"/>
  <c r="BY257" i="5"/>
  <c r="BV257" i="5"/>
  <c r="BT257" i="5"/>
  <c r="BU257" i="5"/>
  <c r="BR257" i="5"/>
  <c r="BQ257" i="5"/>
  <c r="BS257" i="5"/>
  <c r="BM257" i="5"/>
  <c r="BL257" i="5"/>
  <c r="BK257" i="5"/>
  <c r="BJ257" i="5"/>
  <c r="BI257" i="5"/>
  <c r="BF257" i="5"/>
  <c r="BH257" i="5"/>
  <c r="BG257" i="5"/>
  <c r="BE257" i="5"/>
  <c r="BD257" i="5"/>
  <c r="BA257" i="5"/>
  <c r="BP257" i="5" s="1"/>
  <c r="AZ257" i="5"/>
  <c r="AY257" i="5"/>
  <c r="AV257" i="5"/>
  <c r="BO257" i="5" s="1"/>
  <c r="AU257" i="5"/>
  <c r="BN257" i="5" s="1"/>
  <c r="CK289" i="5"/>
  <c r="CJ289" i="5"/>
  <c r="CH289" i="5"/>
  <c r="CI289" i="5"/>
  <c r="CF289" i="5"/>
  <c r="CG289" i="5"/>
  <c r="CC289" i="5"/>
  <c r="CE289" i="5"/>
  <c r="CD289" i="5"/>
  <c r="BX289" i="5"/>
  <c r="BZ289" i="5"/>
  <c r="CA289" i="5"/>
  <c r="BW289" i="5"/>
  <c r="BY289" i="5"/>
  <c r="BV289" i="5"/>
  <c r="BT289" i="5"/>
  <c r="BU289" i="5"/>
  <c r="BR289" i="5"/>
  <c r="BQ289" i="5"/>
  <c r="BS289" i="5"/>
  <c r="BL289" i="5"/>
  <c r="BM289" i="5"/>
  <c r="BK289" i="5"/>
  <c r="BJ289" i="5"/>
  <c r="BI289" i="5"/>
  <c r="BF289" i="5"/>
  <c r="BH289" i="5"/>
  <c r="BG289" i="5"/>
  <c r="BE289" i="5"/>
  <c r="BD289" i="5"/>
  <c r="BA289" i="5"/>
  <c r="BP289" i="5" s="1"/>
  <c r="AZ289" i="5"/>
  <c r="AY289" i="5"/>
  <c r="AU289" i="5"/>
  <c r="BN289" i="5" s="1"/>
  <c r="AV289" i="5"/>
  <c r="BO289" i="5" s="1"/>
  <c r="CK321" i="5"/>
  <c r="CI321" i="5"/>
  <c r="CF321" i="5"/>
  <c r="CC321" i="5"/>
  <c r="CE321" i="5"/>
  <c r="CD321" i="5"/>
  <c r="CA321" i="5"/>
  <c r="BW321" i="5"/>
  <c r="BY321" i="5"/>
  <c r="BV321" i="5"/>
  <c r="BT321" i="5"/>
  <c r="BU321" i="5"/>
  <c r="BR321" i="5"/>
  <c r="BQ321" i="5"/>
  <c r="BS321" i="5"/>
  <c r="BM321" i="5"/>
  <c r="BK321" i="5"/>
  <c r="BJ321" i="5"/>
  <c r="BI321" i="5"/>
  <c r="BF321" i="5"/>
  <c r="BH321" i="5"/>
  <c r="BG321" i="5"/>
  <c r="BE321" i="5"/>
  <c r="BD321" i="5"/>
  <c r="BA321" i="5"/>
  <c r="BP321" i="5" s="1"/>
  <c r="AZ321" i="5"/>
  <c r="AY321" i="5"/>
  <c r="AV321" i="5"/>
  <c r="BC321" i="5" s="1"/>
  <c r="AU321" i="5"/>
  <c r="BN321" i="5" s="1"/>
  <c r="CK353" i="5"/>
  <c r="CH353" i="5"/>
  <c r="CJ353" i="5"/>
  <c r="CI353" i="5"/>
  <c r="CG353" i="5"/>
  <c r="CF353" i="5"/>
  <c r="CE353" i="5"/>
  <c r="CC353" i="5"/>
  <c r="CD353" i="5"/>
  <c r="BX353" i="5"/>
  <c r="CA353" i="5"/>
  <c r="BZ353" i="5"/>
  <c r="BW353" i="5"/>
  <c r="BY353" i="5"/>
  <c r="BV353" i="5"/>
  <c r="BT353" i="5"/>
  <c r="BU353" i="5"/>
  <c r="BR353" i="5"/>
  <c r="BQ353" i="5"/>
  <c r="BS353" i="5"/>
  <c r="BL353" i="5"/>
  <c r="BM353" i="5"/>
  <c r="BK353" i="5"/>
  <c r="BJ353" i="5"/>
  <c r="BI353" i="5"/>
  <c r="BF353" i="5"/>
  <c r="BH353" i="5"/>
  <c r="BG353" i="5"/>
  <c r="BE353" i="5"/>
  <c r="BD353" i="5"/>
  <c r="BA353" i="5"/>
  <c r="BP353" i="5" s="1"/>
  <c r="AZ353" i="5"/>
  <c r="AY353" i="5"/>
  <c r="AU353" i="5"/>
  <c r="BB353" i="5" s="1"/>
  <c r="AV353" i="5"/>
  <c r="BC353" i="5" s="1"/>
  <c r="CK385" i="5"/>
  <c r="CI385" i="5"/>
  <c r="CD385" i="5"/>
  <c r="CF385" i="5"/>
  <c r="CC385" i="5"/>
  <c r="CE385" i="5"/>
  <c r="CA385" i="5"/>
  <c r="BW385" i="5"/>
  <c r="BY385" i="5"/>
  <c r="BV385" i="5"/>
  <c r="BT385" i="5"/>
  <c r="BU385" i="5"/>
  <c r="BR385" i="5"/>
  <c r="BQ385" i="5"/>
  <c r="BS385" i="5"/>
  <c r="BM385" i="5"/>
  <c r="BK385" i="5"/>
  <c r="BJ385" i="5"/>
  <c r="BI385" i="5"/>
  <c r="BF385" i="5"/>
  <c r="BH385" i="5"/>
  <c r="BG385" i="5"/>
  <c r="BE385" i="5"/>
  <c r="BD385" i="5"/>
  <c r="BA385" i="5"/>
  <c r="BP385" i="5" s="1"/>
  <c r="AZ385" i="5"/>
  <c r="AY385" i="5"/>
  <c r="AV385" i="5"/>
  <c r="BO385" i="5" s="1"/>
  <c r="AU385" i="5"/>
  <c r="BB385" i="5" s="1"/>
  <c r="CH417" i="5"/>
  <c r="CK417" i="5"/>
  <c r="CJ417" i="5"/>
  <c r="CI417" i="5"/>
  <c r="CD417" i="5"/>
  <c r="CG417" i="5"/>
  <c r="CF417" i="5"/>
  <c r="CC417" i="5"/>
  <c r="CE417" i="5"/>
  <c r="BZ417" i="5"/>
  <c r="BX417" i="5"/>
  <c r="CA417" i="5"/>
  <c r="BW417" i="5"/>
  <c r="BY417" i="5"/>
  <c r="BV417" i="5"/>
  <c r="BT417" i="5"/>
  <c r="BU417" i="5"/>
  <c r="BR417" i="5"/>
  <c r="BQ417" i="5"/>
  <c r="BS417" i="5"/>
  <c r="BL417" i="5"/>
  <c r="BM417" i="5"/>
  <c r="BK417" i="5"/>
  <c r="BJ417" i="5"/>
  <c r="BI417" i="5"/>
  <c r="BF417" i="5"/>
  <c r="BH417" i="5"/>
  <c r="BG417" i="5"/>
  <c r="BE417" i="5"/>
  <c r="BD417" i="5"/>
  <c r="BA417" i="5"/>
  <c r="BP417" i="5" s="1"/>
  <c r="AZ417" i="5"/>
  <c r="AY417" i="5"/>
  <c r="AU417" i="5"/>
  <c r="BN417" i="5" s="1"/>
  <c r="AV417" i="5"/>
  <c r="BO417" i="5" s="1"/>
  <c r="CI449" i="5"/>
  <c r="CK449" i="5"/>
  <c r="CD449" i="5"/>
  <c r="CE449" i="5"/>
  <c r="CC449" i="5"/>
  <c r="CF449" i="5"/>
  <c r="CA449" i="5"/>
  <c r="BW449" i="5"/>
  <c r="BY449" i="5"/>
  <c r="BV449" i="5"/>
  <c r="BT449" i="5"/>
  <c r="BU449" i="5"/>
  <c r="BR449" i="5"/>
  <c r="BQ449" i="5"/>
  <c r="BS449" i="5"/>
  <c r="BM449" i="5"/>
  <c r="BK449" i="5"/>
  <c r="BJ449" i="5"/>
  <c r="BI449" i="5"/>
  <c r="BF449" i="5"/>
  <c r="BH449" i="5"/>
  <c r="BG449" i="5"/>
  <c r="BE449" i="5"/>
  <c r="BD449" i="5"/>
  <c r="BA449" i="5"/>
  <c r="BP449" i="5" s="1"/>
  <c r="AZ449" i="5"/>
  <c r="AY449" i="5"/>
  <c r="AV449" i="5"/>
  <c r="BO449" i="5" s="1"/>
  <c r="AU449" i="5"/>
  <c r="BN449" i="5" s="1"/>
  <c r="CK481" i="5"/>
  <c r="CJ481" i="5"/>
  <c r="CH481" i="5"/>
  <c r="CI481" i="5"/>
  <c r="CD481" i="5"/>
  <c r="CG481" i="5"/>
  <c r="CF481" i="5"/>
  <c r="CC481" i="5"/>
  <c r="CE481" i="5"/>
  <c r="BX481" i="5"/>
  <c r="CA481" i="5"/>
  <c r="BZ481" i="5"/>
  <c r="BW481" i="5"/>
  <c r="BY481" i="5"/>
  <c r="BV481" i="5"/>
  <c r="BT481" i="5"/>
  <c r="BU481" i="5"/>
  <c r="BR481" i="5"/>
  <c r="BQ481" i="5"/>
  <c r="BS481" i="5"/>
  <c r="BM481" i="5"/>
  <c r="BL481" i="5"/>
  <c r="BK481" i="5"/>
  <c r="BJ481" i="5"/>
  <c r="BI481" i="5"/>
  <c r="BF481" i="5"/>
  <c r="BH481" i="5"/>
  <c r="BG481" i="5"/>
  <c r="BD481" i="5"/>
  <c r="BE481" i="5"/>
  <c r="BA481" i="5"/>
  <c r="BP481" i="5" s="1"/>
  <c r="AZ481" i="5"/>
  <c r="AY481" i="5"/>
  <c r="AU481" i="5"/>
  <c r="BN481" i="5" s="1"/>
  <c r="AV481" i="5"/>
  <c r="BC481" i="5" s="1"/>
  <c r="CJ513" i="5"/>
  <c r="CH513" i="5"/>
  <c r="CK513" i="5"/>
  <c r="CI513" i="5"/>
  <c r="CG513" i="5"/>
  <c r="CD513" i="5"/>
  <c r="CF513" i="5"/>
  <c r="CC513" i="5"/>
  <c r="CE513" i="5"/>
  <c r="BX513" i="5"/>
  <c r="CA513" i="5"/>
  <c r="BW513" i="5"/>
  <c r="BZ513" i="5"/>
  <c r="BY513" i="5"/>
  <c r="BV513" i="5"/>
  <c r="BT513" i="5"/>
  <c r="BU513" i="5"/>
  <c r="BR513" i="5"/>
  <c r="BQ513" i="5"/>
  <c r="BS513" i="5"/>
  <c r="BM513" i="5"/>
  <c r="BL513" i="5"/>
  <c r="BK513" i="5"/>
  <c r="BJ513" i="5"/>
  <c r="BI513" i="5"/>
  <c r="BF513" i="5"/>
  <c r="BH513" i="5"/>
  <c r="BG513" i="5"/>
  <c r="BD513" i="5"/>
  <c r="BE513" i="5"/>
  <c r="BA513" i="5"/>
  <c r="BP513" i="5" s="1"/>
  <c r="AZ513" i="5"/>
  <c r="AY513" i="5"/>
  <c r="AV513" i="5"/>
  <c r="BO513" i="5" s="1"/>
  <c r="AU513" i="5"/>
  <c r="BB513" i="5" s="1"/>
  <c r="CK545" i="5"/>
  <c r="CI545" i="5"/>
  <c r="CD545" i="5"/>
  <c r="CC545" i="5"/>
  <c r="CF545" i="5"/>
  <c r="CE545" i="5"/>
  <c r="CA545" i="5"/>
  <c r="BW545" i="5"/>
  <c r="BY545" i="5"/>
  <c r="BT545" i="5"/>
  <c r="BV545" i="5"/>
  <c r="BU545" i="5"/>
  <c r="BR545" i="5"/>
  <c r="BQ545" i="5"/>
  <c r="BS545" i="5"/>
  <c r="BM545" i="5"/>
  <c r="BK545" i="5"/>
  <c r="BJ545" i="5"/>
  <c r="BI545" i="5"/>
  <c r="BF545" i="5"/>
  <c r="BH545" i="5"/>
  <c r="BG545" i="5"/>
  <c r="BD545" i="5"/>
  <c r="BE545" i="5"/>
  <c r="BA545" i="5"/>
  <c r="BP545" i="5" s="1"/>
  <c r="AZ545" i="5"/>
  <c r="AY545" i="5"/>
  <c r="AU545" i="5"/>
  <c r="BB545" i="5" s="1"/>
  <c r="AV545" i="5"/>
  <c r="BO545" i="5" s="1"/>
  <c r="CI577" i="5"/>
  <c r="CK577" i="5"/>
  <c r="CD577" i="5"/>
  <c r="CF577" i="5"/>
  <c r="CC577" i="5"/>
  <c r="CE577" i="5"/>
  <c r="CA577" i="5"/>
  <c r="BW577" i="5"/>
  <c r="BY577" i="5"/>
  <c r="BT577" i="5"/>
  <c r="BU577" i="5"/>
  <c r="BV577" i="5"/>
  <c r="BR577" i="5"/>
  <c r="BQ577" i="5"/>
  <c r="BS577" i="5"/>
  <c r="BM577" i="5"/>
  <c r="BK577" i="5"/>
  <c r="BJ577" i="5"/>
  <c r="BI577" i="5"/>
  <c r="BF577" i="5"/>
  <c r="BH577" i="5"/>
  <c r="BG577" i="5"/>
  <c r="BD577" i="5"/>
  <c r="BE577" i="5"/>
  <c r="BA577" i="5"/>
  <c r="BP577" i="5" s="1"/>
  <c r="AZ577" i="5"/>
  <c r="AY577" i="5"/>
  <c r="AV577" i="5"/>
  <c r="BC577" i="5" s="1"/>
  <c r="AU577" i="5"/>
  <c r="BN577" i="5" s="1"/>
  <c r="CK609" i="5"/>
  <c r="CJ609" i="5"/>
  <c r="CH609" i="5"/>
  <c r="CG609" i="5"/>
  <c r="CI609" i="5"/>
  <c r="CD609" i="5"/>
  <c r="CF609" i="5"/>
  <c r="CE609" i="5"/>
  <c r="CC609" i="5"/>
  <c r="CA609" i="5"/>
  <c r="BZ609" i="5"/>
  <c r="BW609" i="5"/>
  <c r="BX609" i="5"/>
  <c r="BY609" i="5"/>
  <c r="BU609" i="5"/>
  <c r="BV609" i="5"/>
  <c r="BR609" i="5"/>
  <c r="BQ609" i="5"/>
  <c r="BT609" i="5"/>
  <c r="BS609" i="5"/>
  <c r="BL609" i="5"/>
  <c r="BM609" i="5"/>
  <c r="BK609" i="5"/>
  <c r="BJ609" i="5"/>
  <c r="BI609" i="5"/>
  <c r="BF609" i="5"/>
  <c r="BH609" i="5"/>
  <c r="BG609" i="5"/>
  <c r="BD609" i="5"/>
  <c r="BE609" i="5"/>
  <c r="BA609" i="5"/>
  <c r="BP609" i="5" s="1"/>
  <c r="AZ609" i="5"/>
  <c r="AY609" i="5"/>
  <c r="AU609" i="5"/>
  <c r="BB609" i="5" s="1"/>
  <c r="AV609" i="5"/>
  <c r="BO609" i="5" s="1"/>
  <c r="CK641" i="5"/>
  <c r="CJ641" i="5"/>
  <c r="CI641" i="5"/>
  <c r="CD641" i="5"/>
  <c r="CG641" i="5"/>
  <c r="CH641" i="5"/>
  <c r="CF641" i="5"/>
  <c r="CC641" i="5"/>
  <c r="CE641" i="5"/>
  <c r="BX641" i="5"/>
  <c r="CA641" i="5"/>
  <c r="BW641" i="5"/>
  <c r="BY641" i="5"/>
  <c r="BZ641" i="5"/>
  <c r="BV641" i="5"/>
  <c r="BU641" i="5"/>
  <c r="BR641" i="5"/>
  <c r="BQ641" i="5"/>
  <c r="BT641" i="5"/>
  <c r="BS641" i="5"/>
  <c r="BM641" i="5"/>
  <c r="BL641" i="5"/>
  <c r="BK641" i="5"/>
  <c r="BJ641" i="5"/>
  <c r="BI641" i="5"/>
  <c r="BF641" i="5"/>
  <c r="BH641" i="5"/>
  <c r="BG641" i="5"/>
  <c r="BD641" i="5"/>
  <c r="BE641" i="5"/>
  <c r="BA641" i="5"/>
  <c r="BP641" i="5" s="1"/>
  <c r="AZ641" i="5"/>
  <c r="AY641" i="5"/>
  <c r="AV641" i="5"/>
  <c r="BO641" i="5" s="1"/>
  <c r="AU641" i="5"/>
  <c r="BB641" i="5" s="1"/>
  <c r="CK673" i="5"/>
  <c r="CJ673" i="5"/>
  <c r="CH673" i="5"/>
  <c r="CG673" i="5"/>
  <c r="CI673" i="5"/>
  <c r="CD673" i="5"/>
  <c r="CF673" i="5"/>
  <c r="CC673" i="5"/>
  <c r="CE673" i="5"/>
  <c r="BX673" i="5"/>
  <c r="BZ673" i="5"/>
  <c r="CA673" i="5"/>
  <c r="BW673" i="5"/>
  <c r="BY673" i="5"/>
  <c r="BV673" i="5"/>
  <c r="BU673" i="5"/>
  <c r="BR673" i="5"/>
  <c r="BQ673" i="5"/>
  <c r="BT673" i="5"/>
  <c r="BS673" i="5"/>
  <c r="BM673" i="5"/>
  <c r="BL673" i="5"/>
  <c r="BK673" i="5"/>
  <c r="BJ673" i="5"/>
  <c r="BI673" i="5"/>
  <c r="BF673" i="5"/>
  <c r="BH673" i="5"/>
  <c r="BG673" i="5"/>
  <c r="BD673" i="5"/>
  <c r="BE673" i="5"/>
  <c r="BA673" i="5"/>
  <c r="BP673" i="5" s="1"/>
  <c r="AZ673" i="5"/>
  <c r="AY673" i="5"/>
  <c r="AU673" i="5"/>
  <c r="BB673" i="5" s="1"/>
  <c r="AV673" i="5"/>
  <c r="BO673" i="5" s="1"/>
  <c r="CK705" i="5"/>
  <c r="CJ705" i="5"/>
  <c r="CI705" i="5"/>
  <c r="CG705" i="5"/>
  <c r="CH705" i="5"/>
  <c r="CD705" i="5"/>
  <c r="CF705" i="5"/>
  <c r="CE705" i="5"/>
  <c r="CC705" i="5"/>
  <c r="BX705" i="5"/>
  <c r="CA705" i="5"/>
  <c r="BW705" i="5"/>
  <c r="BZ705" i="5"/>
  <c r="BY705" i="5"/>
  <c r="BU705" i="5"/>
  <c r="BV705" i="5"/>
  <c r="BR705" i="5"/>
  <c r="BQ705" i="5"/>
  <c r="BT705" i="5"/>
  <c r="BS705" i="5"/>
  <c r="BM705" i="5"/>
  <c r="BL705" i="5"/>
  <c r="BK705" i="5"/>
  <c r="BJ705" i="5"/>
  <c r="BI705" i="5"/>
  <c r="BF705" i="5"/>
  <c r="BH705" i="5"/>
  <c r="BG705" i="5"/>
  <c r="BD705" i="5"/>
  <c r="BE705" i="5"/>
  <c r="BA705" i="5"/>
  <c r="BP705" i="5" s="1"/>
  <c r="AZ705" i="5"/>
  <c r="AY705" i="5"/>
  <c r="AV705" i="5"/>
  <c r="BO705" i="5" s="1"/>
  <c r="AU705" i="5"/>
  <c r="BB705" i="5" s="1"/>
  <c r="CK737" i="5"/>
  <c r="CJ737" i="5"/>
  <c r="CG737" i="5"/>
  <c r="CI737" i="5"/>
  <c r="CD737" i="5"/>
  <c r="CF737" i="5"/>
  <c r="CH737" i="5"/>
  <c r="CC737" i="5"/>
  <c r="CE737" i="5"/>
  <c r="BX737" i="5"/>
  <c r="CA737" i="5"/>
  <c r="BZ737" i="5"/>
  <c r="BW737" i="5"/>
  <c r="BY737" i="5"/>
  <c r="BU737" i="5"/>
  <c r="BV737" i="5"/>
  <c r="BR737" i="5"/>
  <c r="BQ737" i="5"/>
  <c r="BT737" i="5"/>
  <c r="BS737" i="5"/>
  <c r="BM737" i="5"/>
  <c r="BL737" i="5"/>
  <c r="BK737" i="5"/>
  <c r="BJ737" i="5"/>
  <c r="BI737" i="5"/>
  <c r="BH737" i="5"/>
  <c r="BG737" i="5"/>
  <c r="BF737" i="5"/>
  <c r="BD737" i="5"/>
  <c r="BE737" i="5"/>
  <c r="BA737" i="5"/>
  <c r="BP737" i="5" s="1"/>
  <c r="AZ737" i="5"/>
  <c r="AY737" i="5"/>
  <c r="AU737" i="5"/>
  <c r="BB737" i="5" s="1"/>
  <c r="AV737" i="5"/>
  <c r="BO737" i="5" s="1"/>
  <c r="CK769" i="5"/>
  <c r="CI769" i="5"/>
  <c r="CD769" i="5"/>
  <c r="CF769" i="5"/>
  <c r="CC769" i="5"/>
  <c r="CE769" i="5"/>
  <c r="CA769" i="5"/>
  <c r="BW769" i="5"/>
  <c r="BY769" i="5"/>
  <c r="BV769" i="5"/>
  <c r="BU769" i="5"/>
  <c r="BR769" i="5"/>
  <c r="BQ769" i="5"/>
  <c r="BT769" i="5"/>
  <c r="BS769" i="5"/>
  <c r="BM769" i="5"/>
  <c r="BK769" i="5"/>
  <c r="BJ769" i="5"/>
  <c r="BI769" i="5"/>
  <c r="BH769" i="5"/>
  <c r="BG769" i="5"/>
  <c r="BD769" i="5"/>
  <c r="BE769" i="5"/>
  <c r="BF769" i="5"/>
  <c r="BA769" i="5"/>
  <c r="BP769" i="5" s="1"/>
  <c r="AZ769" i="5"/>
  <c r="AY769" i="5"/>
  <c r="AV769" i="5"/>
  <c r="BO769" i="5" s="1"/>
  <c r="AU769" i="5"/>
  <c r="BB769" i="5" s="1"/>
  <c r="CK801" i="5"/>
  <c r="CD801" i="5"/>
  <c r="CI801" i="5"/>
  <c r="CE801" i="5"/>
  <c r="CF801" i="5"/>
  <c r="CC801" i="5"/>
  <c r="CA801" i="5"/>
  <c r="BW801" i="5"/>
  <c r="BY801" i="5"/>
  <c r="BV801" i="5"/>
  <c r="BU801" i="5"/>
  <c r="BR801" i="5"/>
  <c r="BQ801" i="5"/>
  <c r="BT801" i="5"/>
  <c r="BS801" i="5"/>
  <c r="BM801" i="5"/>
  <c r="BK801" i="5"/>
  <c r="BJ801" i="5"/>
  <c r="BI801" i="5"/>
  <c r="BH801" i="5"/>
  <c r="BG801" i="5"/>
  <c r="BF801" i="5"/>
  <c r="BD801" i="5"/>
  <c r="BE801" i="5"/>
  <c r="BA801" i="5"/>
  <c r="BP801" i="5" s="1"/>
  <c r="AZ801" i="5"/>
  <c r="AY801" i="5"/>
  <c r="AU801" i="5"/>
  <c r="BN801" i="5" s="1"/>
  <c r="AV801" i="5"/>
  <c r="BO801" i="5" s="1"/>
  <c r="CK833" i="5"/>
  <c r="CI833" i="5"/>
  <c r="CD833" i="5"/>
  <c r="CF833" i="5"/>
  <c r="CE833" i="5"/>
  <c r="CC833" i="5"/>
  <c r="CA833" i="5"/>
  <c r="BW833" i="5"/>
  <c r="BY833" i="5"/>
  <c r="BU833" i="5"/>
  <c r="BV833" i="5"/>
  <c r="BR833" i="5"/>
  <c r="BQ833" i="5"/>
  <c r="BT833" i="5"/>
  <c r="BS833" i="5"/>
  <c r="BM833" i="5"/>
  <c r="BK833" i="5"/>
  <c r="BJ833" i="5"/>
  <c r="BI833" i="5"/>
  <c r="BH833" i="5"/>
  <c r="BG833" i="5"/>
  <c r="BD833" i="5"/>
  <c r="BE833" i="5"/>
  <c r="BF833" i="5"/>
  <c r="BA833" i="5"/>
  <c r="BP833" i="5" s="1"/>
  <c r="AZ833" i="5"/>
  <c r="AY833" i="5"/>
  <c r="AV833" i="5"/>
  <c r="BO833" i="5" s="1"/>
  <c r="AU833" i="5"/>
  <c r="BN833" i="5" s="1"/>
  <c r="CK865" i="5"/>
  <c r="CI865" i="5"/>
  <c r="CD865" i="5"/>
  <c r="CE865" i="5"/>
  <c r="CF865" i="5"/>
  <c r="CC865" i="5"/>
  <c r="CA865" i="5"/>
  <c r="BW865" i="5"/>
  <c r="BY865" i="5"/>
  <c r="BU865" i="5"/>
  <c r="BV865" i="5"/>
  <c r="BR865" i="5"/>
  <c r="BQ865" i="5"/>
  <c r="BT865" i="5"/>
  <c r="BS865" i="5"/>
  <c r="BM865" i="5"/>
  <c r="BK865" i="5"/>
  <c r="BJ865" i="5"/>
  <c r="BI865" i="5"/>
  <c r="BH865" i="5"/>
  <c r="BG865" i="5"/>
  <c r="BF865" i="5"/>
  <c r="BD865" i="5"/>
  <c r="BE865" i="5"/>
  <c r="BA865" i="5"/>
  <c r="BP865" i="5" s="1"/>
  <c r="AZ865" i="5"/>
  <c r="AY865" i="5"/>
  <c r="AU865" i="5"/>
  <c r="BN865" i="5" s="1"/>
  <c r="AV865" i="5"/>
  <c r="BC865" i="5" s="1"/>
  <c r="CK897" i="5"/>
  <c r="CI897" i="5"/>
  <c r="CD897" i="5"/>
  <c r="CE897" i="5"/>
  <c r="CF897" i="5"/>
  <c r="CC897" i="5"/>
  <c r="CA897" i="5"/>
  <c r="BW897" i="5"/>
  <c r="BY897" i="5"/>
  <c r="BU897" i="5"/>
  <c r="BV897" i="5"/>
  <c r="BR897" i="5"/>
  <c r="BQ897" i="5"/>
  <c r="BT897" i="5"/>
  <c r="BS897" i="5"/>
  <c r="BM897" i="5"/>
  <c r="BK897" i="5"/>
  <c r="BJ897" i="5"/>
  <c r="BI897" i="5"/>
  <c r="BH897" i="5"/>
  <c r="BG897" i="5"/>
  <c r="BD897" i="5"/>
  <c r="BE897" i="5"/>
  <c r="BF897" i="5"/>
  <c r="BA897" i="5"/>
  <c r="BP897" i="5" s="1"/>
  <c r="AZ897" i="5"/>
  <c r="AY897" i="5"/>
  <c r="AV897" i="5"/>
  <c r="BO897" i="5" s="1"/>
  <c r="AU897" i="5"/>
  <c r="BB897" i="5" s="1"/>
  <c r="CK929" i="5"/>
  <c r="CD929" i="5"/>
  <c r="CI929" i="5"/>
  <c r="CF929" i="5"/>
  <c r="CE929" i="5"/>
  <c r="CC929" i="5"/>
  <c r="CA929" i="5"/>
  <c r="BW929" i="5"/>
  <c r="BY929" i="5"/>
  <c r="BV929" i="5"/>
  <c r="BU929" i="5"/>
  <c r="BR929" i="5"/>
  <c r="BQ929" i="5"/>
  <c r="BT929" i="5"/>
  <c r="BS929" i="5"/>
  <c r="BM929" i="5"/>
  <c r="BK929" i="5"/>
  <c r="BJ929" i="5"/>
  <c r="BI929" i="5"/>
  <c r="BH929" i="5"/>
  <c r="BG929" i="5"/>
  <c r="BF929" i="5"/>
  <c r="BD929" i="5"/>
  <c r="BE929" i="5"/>
  <c r="BA929" i="5"/>
  <c r="BP929" i="5" s="1"/>
  <c r="AZ929" i="5"/>
  <c r="AY929" i="5"/>
  <c r="AU929" i="5"/>
  <c r="BN929" i="5" s="1"/>
  <c r="AV929" i="5"/>
  <c r="BC929" i="5" s="1"/>
  <c r="CK961" i="5"/>
  <c r="CI961" i="5"/>
  <c r="CD961" i="5"/>
  <c r="CE961" i="5"/>
  <c r="CF961" i="5"/>
  <c r="CC961" i="5"/>
  <c r="CA961" i="5"/>
  <c r="BW961" i="5"/>
  <c r="BY961" i="5"/>
  <c r="BU961" i="5"/>
  <c r="BV961" i="5"/>
  <c r="BR961" i="5"/>
  <c r="BQ961" i="5"/>
  <c r="BT961" i="5"/>
  <c r="BS961" i="5"/>
  <c r="BM961" i="5"/>
  <c r="BK961" i="5"/>
  <c r="BJ961" i="5"/>
  <c r="BI961" i="5"/>
  <c r="BH961" i="5"/>
  <c r="BG961" i="5"/>
  <c r="BD961" i="5"/>
  <c r="BE961" i="5"/>
  <c r="BF961" i="5"/>
  <c r="BA961" i="5"/>
  <c r="BP961" i="5" s="1"/>
  <c r="AZ961" i="5"/>
  <c r="AY961" i="5"/>
  <c r="AV961" i="5"/>
  <c r="BO961" i="5" s="1"/>
  <c r="AU961" i="5"/>
  <c r="BN961" i="5" s="1"/>
  <c r="CK993" i="5"/>
  <c r="CH993" i="5"/>
  <c r="CJ993" i="5"/>
  <c r="CI993" i="5"/>
  <c r="CG993" i="5"/>
  <c r="CD993" i="5"/>
  <c r="CE993" i="5"/>
  <c r="CF993" i="5"/>
  <c r="CC993" i="5"/>
  <c r="CA993" i="5"/>
  <c r="BW993" i="5"/>
  <c r="BX993" i="5"/>
  <c r="BZ993" i="5"/>
  <c r="BY993" i="5"/>
  <c r="BU993" i="5"/>
  <c r="BV993" i="5"/>
  <c r="BR993" i="5"/>
  <c r="BQ993" i="5"/>
  <c r="BT993" i="5"/>
  <c r="BS993" i="5"/>
  <c r="BM993" i="5"/>
  <c r="BK993" i="5"/>
  <c r="BL993" i="5"/>
  <c r="BJ993" i="5"/>
  <c r="BI993" i="5"/>
  <c r="BH993" i="5"/>
  <c r="BG993" i="5"/>
  <c r="BD993" i="5"/>
  <c r="BF993" i="5"/>
  <c r="BE993" i="5"/>
  <c r="BA993" i="5"/>
  <c r="BP993" i="5" s="1"/>
  <c r="AZ993" i="5"/>
  <c r="AY993" i="5"/>
  <c r="AU993" i="5"/>
  <c r="BB993" i="5" s="1"/>
  <c r="AV993" i="5"/>
  <c r="BC993" i="5" s="1"/>
  <c r="CK1025" i="5"/>
  <c r="CI1025" i="5"/>
  <c r="CD1025" i="5"/>
  <c r="CE1025" i="5"/>
  <c r="CF1025" i="5"/>
  <c r="CC1025" i="5"/>
  <c r="CA1025" i="5"/>
  <c r="BW1025" i="5"/>
  <c r="BY1025" i="5"/>
  <c r="BU1025" i="5"/>
  <c r="BV1025" i="5"/>
  <c r="BQ1025" i="5"/>
  <c r="BT1025" i="5"/>
  <c r="BR1025" i="5"/>
  <c r="BS1025" i="5"/>
  <c r="BM1025" i="5"/>
  <c r="BK1025" i="5"/>
  <c r="BJ1025" i="5"/>
  <c r="BI1025" i="5"/>
  <c r="BH1025" i="5"/>
  <c r="BG1025" i="5"/>
  <c r="BD1025" i="5"/>
  <c r="BF1025" i="5"/>
  <c r="BE1025" i="5"/>
  <c r="BA1025" i="5"/>
  <c r="BP1025" i="5" s="1"/>
  <c r="AZ1025" i="5"/>
  <c r="AY1025" i="5"/>
  <c r="AV1025" i="5"/>
  <c r="BO1025" i="5" s="1"/>
  <c r="AU1025" i="5"/>
  <c r="BN1025" i="5" s="1"/>
  <c r="CK1057" i="5"/>
  <c r="CI1057" i="5"/>
  <c r="CD1057" i="5"/>
  <c r="CF1057" i="5"/>
  <c r="CE1057" i="5"/>
  <c r="CC1057" i="5"/>
  <c r="CA1057" i="5"/>
  <c r="BW1057" i="5"/>
  <c r="BY1057" i="5"/>
  <c r="BV1057" i="5"/>
  <c r="BU1057" i="5"/>
  <c r="BQ1057" i="5"/>
  <c r="BT1057" i="5"/>
  <c r="BS1057" i="5"/>
  <c r="BR1057" i="5"/>
  <c r="BM1057" i="5"/>
  <c r="BK1057" i="5"/>
  <c r="BJ1057" i="5"/>
  <c r="BI1057" i="5"/>
  <c r="BH1057" i="5"/>
  <c r="BG1057" i="5"/>
  <c r="BD1057" i="5"/>
  <c r="BF1057" i="5"/>
  <c r="BE1057" i="5"/>
  <c r="BA1057" i="5"/>
  <c r="BP1057" i="5" s="1"/>
  <c r="AZ1057" i="5"/>
  <c r="AY1057" i="5"/>
  <c r="AU1057" i="5"/>
  <c r="BB1057" i="5" s="1"/>
  <c r="AV1057" i="5"/>
  <c r="BO1057" i="5" s="1"/>
  <c r="CK1089" i="5"/>
  <c r="CI1089" i="5"/>
  <c r="CD1089" i="5"/>
  <c r="CF1089" i="5"/>
  <c r="CE1089" i="5"/>
  <c r="CC1089" i="5"/>
  <c r="CA1089" i="5"/>
  <c r="BW1089" i="5"/>
  <c r="BY1089" i="5"/>
  <c r="BU1089" i="5"/>
  <c r="BV1089" i="5"/>
  <c r="BQ1089" i="5"/>
  <c r="BT1089" i="5"/>
  <c r="BS1089" i="5"/>
  <c r="BR1089" i="5"/>
  <c r="BM1089" i="5"/>
  <c r="BK1089" i="5"/>
  <c r="BJ1089" i="5"/>
  <c r="BI1089" i="5"/>
  <c r="BH1089" i="5"/>
  <c r="BG1089" i="5"/>
  <c r="BD1089" i="5"/>
  <c r="BF1089" i="5"/>
  <c r="BE1089" i="5"/>
  <c r="BA1089" i="5"/>
  <c r="BP1089" i="5" s="1"/>
  <c r="AZ1089" i="5"/>
  <c r="AY1089" i="5"/>
  <c r="AV1089" i="5"/>
  <c r="BO1089" i="5" s="1"/>
  <c r="AU1089" i="5"/>
  <c r="BB1089" i="5" s="1"/>
  <c r="CK1121" i="5"/>
  <c r="CI1121" i="5"/>
  <c r="CD1121" i="5"/>
  <c r="CE1121" i="5"/>
  <c r="CF1121" i="5"/>
  <c r="CC1121" i="5"/>
  <c r="CA1121" i="5"/>
  <c r="BW1121" i="5"/>
  <c r="BY1121" i="5"/>
  <c r="BV1121" i="5"/>
  <c r="BU1121" i="5"/>
  <c r="BQ1121" i="5"/>
  <c r="BT1121" i="5"/>
  <c r="BR1121" i="5"/>
  <c r="BS1121" i="5"/>
  <c r="BM1121" i="5"/>
  <c r="BK1121" i="5"/>
  <c r="BJ1121" i="5"/>
  <c r="BI1121" i="5"/>
  <c r="BH1121" i="5"/>
  <c r="BG1121" i="5"/>
  <c r="BD1121" i="5"/>
  <c r="BF1121" i="5"/>
  <c r="BE1121" i="5"/>
  <c r="BA1121" i="5"/>
  <c r="BP1121" i="5" s="1"/>
  <c r="AZ1121" i="5"/>
  <c r="AY1121" i="5"/>
  <c r="AU1121" i="5"/>
  <c r="BB1121" i="5" s="1"/>
  <c r="AV1121" i="5"/>
  <c r="BO1121" i="5" s="1"/>
  <c r="CK1153" i="5"/>
  <c r="CI1153" i="5"/>
  <c r="CD1153" i="5"/>
  <c r="CF1153" i="5"/>
  <c r="CE1153" i="5"/>
  <c r="CC1153" i="5"/>
  <c r="CA1153" i="5"/>
  <c r="BW1153" i="5"/>
  <c r="BY1153" i="5"/>
  <c r="BU1153" i="5"/>
  <c r="BV1153" i="5"/>
  <c r="BQ1153" i="5"/>
  <c r="BT1153" i="5"/>
  <c r="BR1153" i="5"/>
  <c r="BS1153" i="5"/>
  <c r="BM1153" i="5"/>
  <c r="BK1153" i="5"/>
  <c r="BJ1153" i="5"/>
  <c r="BI1153" i="5"/>
  <c r="BH1153" i="5"/>
  <c r="BG1153" i="5"/>
  <c r="BD1153" i="5"/>
  <c r="BF1153" i="5"/>
  <c r="BE1153" i="5"/>
  <c r="BA1153" i="5"/>
  <c r="BP1153" i="5" s="1"/>
  <c r="AZ1153" i="5"/>
  <c r="AY1153" i="5"/>
  <c r="AU1153" i="5"/>
  <c r="BN1153" i="5" s="1"/>
  <c r="AV1153" i="5"/>
  <c r="BC1153" i="5" s="1"/>
  <c r="CK1185" i="5"/>
  <c r="CI1185" i="5"/>
  <c r="CD1185" i="5"/>
  <c r="CF1185" i="5"/>
  <c r="CE1185" i="5"/>
  <c r="CC1185" i="5"/>
  <c r="CA1185" i="5"/>
  <c r="BW1185" i="5"/>
  <c r="BY1185" i="5"/>
  <c r="BV1185" i="5"/>
  <c r="BU1185" i="5"/>
  <c r="BQ1185" i="5"/>
  <c r="BT1185" i="5"/>
  <c r="BS1185" i="5"/>
  <c r="BR1185" i="5"/>
  <c r="BM1185" i="5"/>
  <c r="BK1185" i="5"/>
  <c r="BJ1185" i="5"/>
  <c r="BI1185" i="5"/>
  <c r="BH1185" i="5"/>
  <c r="BG1185" i="5"/>
  <c r="BD1185" i="5"/>
  <c r="BF1185" i="5"/>
  <c r="BE1185" i="5"/>
  <c r="BA1185" i="5"/>
  <c r="BP1185" i="5" s="1"/>
  <c r="AZ1185" i="5"/>
  <c r="AY1185" i="5"/>
  <c r="AU1185" i="5"/>
  <c r="BN1185" i="5" s="1"/>
  <c r="AV1185" i="5"/>
  <c r="BO1185" i="5" s="1"/>
  <c r="CK1217" i="5"/>
  <c r="CI1217" i="5"/>
  <c r="CD1217" i="5"/>
  <c r="CE1217" i="5"/>
  <c r="CF1217" i="5"/>
  <c r="CC1217" i="5"/>
  <c r="CA1217" i="5"/>
  <c r="BW1217" i="5"/>
  <c r="BY1217" i="5"/>
  <c r="BV1217" i="5"/>
  <c r="BU1217" i="5"/>
  <c r="BQ1217" i="5"/>
  <c r="BT1217" i="5"/>
  <c r="BS1217" i="5"/>
  <c r="BR1217" i="5"/>
  <c r="BM1217" i="5"/>
  <c r="BK1217" i="5"/>
  <c r="BJ1217" i="5"/>
  <c r="BI1217" i="5"/>
  <c r="BH1217" i="5"/>
  <c r="BG1217" i="5"/>
  <c r="BD1217" i="5"/>
  <c r="BF1217" i="5"/>
  <c r="BE1217" i="5"/>
  <c r="BA1217" i="5"/>
  <c r="BP1217" i="5" s="1"/>
  <c r="AZ1217" i="5"/>
  <c r="AY1217" i="5"/>
  <c r="AU1217" i="5"/>
  <c r="BB1217" i="5" s="1"/>
  <c r="AV1217" i="5"/>
  <c r="BC1217" i="5" s="1"/>
  <c r="CK1249" i="5"/>
  <c r="CI1249" i="5"/>
  <c r="CD1249" i="5"/>
  <c r="CF1249" i="5"/>
  <c r="CE1249" i="5"/>
  <c r="CC1249" i="5"/>
  <c r="CA1249" i="5"/>
  <c r="BW1249" i="5"/>
  <c r="BY1249" i="5"/>
  <c r="BV1249" i="5"/>
  <c r="BU1249" i="5"/>
  <c r="BQ1249" i="5"/>
  <c r="BT1249" i="5"/>
  <c r="BR1249" i="5"/>
  <c r="BS1249" i="5"/>
  <c r="BM1249" i="5"/>
  <c r="BK1249" i="5"/>
  <c r="BJ1249" i="5"/>
  <c r="BI1249" i="5"/>
  <c r="BH1249" i="5"/>
  <c r="BG1249" i="5"/>
  <c r="BD1249" i="5"/>
  <c r="BF1249" i="5"/>
  <c r="BE1249" i="5"/>
  <c r="BA1249" i="5"/>
  <c r="BP1249" i="5" s="1"/>
  <c r="AZ1249" i="5"/>
  <c r="AY1249" i="5"/>
  <c r="AU1249" i="5"/>
  <c r="BB1249" i="5" s="1"/>
  <c r="AV1249" i="5"/>
  <c r="BC1249" i="5" s="1"/>
  <c r="CK1281" i="5"/>
  <c r="CI1281" i="5"/>
  <c r="CD1281" i="5"/>
  <c r="CE1281" i="5"/>
  <c r="CF1281" i="5"/>
  <c r="CC1281" i="5"/>
  <c r="CA1281" i="5"/>
  <c r="BW1281" i="5"/>
  <c r="BY1281" i="5"/>
  <c r="BU1281" i="5"/>
  <c r="BV1281" i="5"/>
  <c r="BQ1281" i="5"/>
  <c r="BT1281" i="5"/>
  <c r="BR1281" i="5"/>
  <c r="BS1281" i="5"/>
  <c r="BM1281" i="5"/>
  <c r="BK1281" i="5"/>
  <c r="BJ1281" i="5"/>
  <c r="BI1281" i="5"/>
  <c r="BH1281" i="5"/>
  <c r="BG1281" i="5"/>
  <c r="BD1281" i="5"/>
  <c r="BF1281" i="5"/>
  <c r="BE1281" i="5"/>
  <c r="BA1281" i="5"/>
  <c r="BP1281" i="5" s="1"/>
  <c r="AZ1281" i="5"/>
  <c r="AY1281" i="5"/>
  <c r="AU1281" i="5"/>
  <c r="BB1281" i="5" s="1"/>
  <c r="AV1281" i="5"/>
  <c r="BO1281" i="5" s="1"/>
  <c r="CK14" i="5"/>
  <c r="CD14" i="5"/>
  <c r="CI14" i="5"/>
  <c r="CE14" i="5"/>
  <c r="CF14" i="5"/>
  <c r="CC14" i="5"/>
  <c r="BY14" i="5"/>
  <c r="CA14" i="5"/>
  <c r="BU14" i="5"/>
  <c r="BV14" i="5"/>
  <c r="BW14" i="5"/>
  <c r="BT14" i="5"/>
  <c r="BS14" i="5"/>
  <c r="BR14" i="5"/>
  <c r="BQ14" i="5"/>
  <c r="BM14" i="5"/>
  <c r="BK14" i="5"/>
  <c r="BJ14" i="5"/>
  <c r="BI14" i="5"/>
  <c r="BH14" i="5"/>
  <c r="BG14" i="5"/>
  <c r="BF14" i="5"/>
  <c r="BD14" i="5"/>
  <c r="BE14" i="5"/>
  <c r="BA14" i="5"/>
  <c r="BP14" i="5" s="1"/>
  <c r="AZ14" i="5"/>
  <c r="AY14" i="5"/>
  <c r="AV14" i="5"/>
  <c r="BO14" i="5" s="1"/>
  <c r="AU14" i="5"/>
  <c r="BN14" i="5" s="1"/>
  <c r="BX32" i="5"/>
  <c r="CK188" i="5"/>
  <c r="CF188" i="5"/>
  <c r="CI188" i="5"/>
  <c r="CD188" i="5"/>
  <c r="CC188" i="5"/>
  <c r="CE188" i="5"/>
  <c r="CA188" i="5"/>
  <c r="BY188" i="5"/>
  <c r="BV188" i="5"/>
  <c r="BW188" i="5"/>
  <c r="BU188" i="5"/>
  <c r="BT188" i="5"/>
  <c r="BS188" i="5"/>
  <c r="BR188" i="5"/>
  <c r="BQ188" i="5"/>
  <c r="BJ188" i="5"/>
  <c r="BM188" i="5"/>
  <c r="BK188" i="5"/>
  <c r="BI188" i="5"/>
  <c r="BH188" i="5"/>
  <c r="BG188" i="5"/>
  <c r="BF188" i="5"/>
  <c r="BE188" i="5"/>
  <c r="BD188" i="5"/>
  <c r="AZ188" i="5"/>
  <c r="BA188" i="5"/>
  <c r="BP188" i="5" s="1"/>
  <c r="AY188" i="5"/>
  <c r="AU188" i="5"/>
  <c r="BB188" i="5" s="1"/>
  <c r="AV188" i="5"/>
  <c r="BO188" i="5" s="1"/>
  <c r="CK261" i="5"/>
  <c r="CJ261" i="5"/>
  <c r="CI261" i="5"/>
  <c r="CG261" i="5"/>
  <c r="CH261" i="5"/>
  <c r="CE261" i="5"/>
  <c r="CF261" i="5"/>
  <c r="CD261" i="5"/>
  <c r="CC261" i="5"/>
  <c r="BZ261" i="5"/>
  <c r="BW261" i="5"/>
  <c r="CA261" i="5"/>
  <c r="BX261" i="5"/>
  <c r="BY261" i="5"/>
  <c r="BU261" i="5"/>
  <c r="BT261" i="5"/>
  <c r="BV261" i="5"/>
  <c r="BR261" i="5"/>
  <c r="BS261" i="5"/>
  <c r="BQ261" i="5"/>
  <c r="BL261" i="5"/>
  <c r="BM261" i="5"/>
  <c r="BK261" i="5"/>
  <c r="BJ261" i="5"/>
  <c r="BI261" i="5"/>
  <c r="BG261" i="5"/>
  <c r="BF261" i="5"/>
  <c r="BH261" i="5"/>
  <c r="BE261" i="5"/>
  <c r="BD261" i="5"/>
  <c r="BA261" i="5"/>
  <c r="BP261" i="5" s="1"/>
  <c r="AZ261" i="5"/>
  <c r="AY261" i="5"/>
  <c r="AU261" i="5"/>
  <c r="BN261" i="5" s="1"/>
  <c r="AV261" i="5"/>
  <c r="BO261" i="5" s="1"/>
  <c r="CK334" i="5"/>
  <c r="CI334" i="5"/>
  <c r="CD334" i="5"/>
  <c r="CE334" i="5"/>
  <c r="CF334" i="5"/>
  <c r="CC334" i="5"/>
  <c r="BY334" i="5"/>
  <c r="CA334" i="5"/>
  <c r="BU334" i="5"/>
  <c r="BV334" i="5"/>
  <c r="BW334" i="5"/>
  <c r="BS334" i="5"/>
  <c r="BT334" i="5"/>
  <c r="BR334" i="5"/>
  <c r="BQ334" i="5"/>
  <c r="BM334" i="5"/>
  <c r="BK334" i="5"/>
  <c r="BJ334" i="5"/>
  <c r="BI334" i="5"/>
  <c r="BG334" i="5"/>
  <c r="BH334" i="5"/>
  <c r="BF334" i="5"/>
  <c r="BD334" i="5"/>
  <c r="BE334" i="5"/>
  <c r="BA334" i="5"/>
  <c r="BP334" i="5" s="1"/>
  <c r="AZ334" i="5"/>
  <c r="AY334" i="5"/>
  <c r="AV334" i="5"/>
  <c r="BC334" i="5" s="1"/>
  <c r="AU334" i="5"/>
  <c r="BN334" i="5" s="1"/>
  <c r="CK407" i="5"/>
  <c r="CH407" i="5"/>
  <c r="CI407" i="5"/>
  <c r="CE407" i="5"/>
  <c r="CJ407" i="5"/>
  <c r="CF407" i="5"/>
  <c r="CD407" i="5"/>
  <c r="CG407" i="5"/>
  <c r="CC407" i="5"/>
  <c r="BZ407" i="5"/>
  <c r="BX407" i="5"/>
  <c r="CA407" i="5"/>
  <c r="BY407" i="5"/>
  <c r="BW407" i="5"/>
  <c r="BV407" i="5"/>
  <c r="BU407" i="5"/>
  <c r="BT407" i="5"/>
  <c r="BS407" i="5"/>
  <c r="BR407" i="5"/>
  <c r="BQ407" i="5"/>
  <c r="BK407" i="5"/>
  <c r="BL407" i="5"/>
  <c r="BM407" i="5"/>
  <c r="BI407" i="5"/>
  <c r="BJ407" i="5"/>
  <c r="BH407" i="5"/>
  <c r="BG407" i="5"/>
  <c r="BE407" i="5"/>
  <c r="BF407" i="5"/>
  <c r="BD407" i="5"/>
  <c r="BA407" i="5"/>
  <c r="BP407" i="5" s="1"/>
  <c r="AY407" i="5"/>
  <c r="AZ407" i="5"/>
  <c r="AV407" i="5"/>
  <c r="BO407" i="5" s="1"/>
  <c r="AU407" i="5"/>
  <c r="BN407" i="5" s="1"/>
  <c r="CK480" i="5"/>
  <c r="CI480" i="5"/>
  <c r="CF480" i="5"/>
  <c r="CC480" i="5"/>
  <c r="CD480" i="5"/>
  <c r="CE480" i="5"/>
  <c r="CA480" i="5"/>
  <c r="BY480" i="5"/>
  <c r="BV480" i="5"/>
  <c r="BW480" i="5"/>
  <c r="BU480" i="5"/>
  <c r="BT480" i="5"/>
  <c r="BS480" i="5"/>
  <c r="BR480" i="5"/>
  <c r="BQ480" i="5"/>
  <c r="BM480" i="5"/>
  <c r="BK480" i="5"/>
  <c r="BJ480" i="5"/>
  <c r="BH480" i="5"/>
  <c r="BI480" i="5"/>
  <c r="BG480" i="5"/>
  <c r="BF480" i="5"/>
  <c r="BE480" i="5"/>
  <c r="BD480" i="5"/>
  <c r="BA480" i="5"/>
  <c r="BP480" i="5" s="1"/>
  <c r="AZ480" i="5"/>
  <c r="AY480" i="5"/>
  <c r="AV480" i="5"/>
  <c r="BO480" i="5" s="1"/>
  <c r="AU480" i="5"/>
  <c r="BN480" i="5" s="1"/>
  <c r="CK554" i="5"/>
  <c r="CI554" i="5"/>
  <c r="CE554" i="5"/>
  <c r="CF554" i="5"/>
  <c r="CD554" i="5"/>
  <c r="CC554" i="5"/>
  <c r="BY554" i="5"/>
  <c r="CA554" i="5"/>
  <c r="BU554" i="5"/>
  <c r="BW554" i="5"/>
  <c r="BV554" i="5"/>
  <c r="BT554" i="5"/>
  <c r="BS554" i="5"/>
  <c r="BQ554" i="5"/>
  <c r="BR554" i="5"/>
  <c r="BM554" i="5"/>
  <c r="BK554" i="5"/>
  <c r="BJ554" i="5"/>
  <c r="BI554" i="5"/>
  <c r="BF554" i="5"/>
  <c r="BH554" i="5"/>
  <c r="BG554" i="5"/>
  <c r="BD554" i="5"/>
  <c r="BE554" i="5"/>
  <c r="AZ554" i="5"/>
  <c r="AY554" i="5"/>
  <c r="BA554" i="5"/>
  <c r="BP554" i="5" s="1"/>
  <c r="AU554" i="5"/>
  <c r="BN554" i="5" s="1"/>
  <c r="AV554" i="5"/>
  <c r="BO554" i="5" s="1"/>
  <c r="CK627" i="5"/>
  <c r="CH627" i="5"/>
  <c r="CE627" i="5"/>
  <c r="CI627" i="5"/>
  <c r="CJ627" i="5"/>
  <c r="CF627" i="5"/>
  <c r="CG627" i="5"/>
  <c r="CD627" i="5"/>
  <c r="CC627" i="5"/>
  <c r="BZ627" i="5"/>
  <c r="BY627" i="5"/>
  <c r="CA627" i="5"/>
  <c r="BX627" i="5"/>
  <c r="BV627" i="5"/>
  <c r="BW627" i="5"/>
  <c r="BU627" i="5"/>
  <c r="BT627" i="5"/>
  <c r="BS627" i="5"/>
  <c r="BR627" i="5"/>
  <c r="BQ627" i="5"/>
  <c r="BL627" i="5"/>
  <c r="BK627" i="5"/>
  <c r="BM627" i="5"/>
  <c r="BI627" i="5"/>
  <c r="BG627" i="5"/>
  <c r="BJ627" i="5"/>
  <c r="BF627" i="5"/>
  <c r="BH627" i="5"/>
  <c r="BE627" i="5"/>
  <c r="BD627" i="5"/>
  <c r="AY627" i="5"/>
  <c r="AU627" i="5"/>
  <c r="BB627" i="5" s="1"/>
  <c r="BA627" i="5"/>
  <c r="BP627" i="5" s="1"/>
  <c r="AZ627" i="5"/>
  <c r="AV627" i="5"/>
  <c r="BO627" i="5" s="1"/>
  <c r="CJ700" i="5"/>
  <c r="CK700" i="5"/>
  <c r="CF700" i="5"/>
  <c r="CI700" i="5"/>
  <c r="CG700" i="5"/>
  <c r="CC700" i="5"/>
  <c r="CH700" i="5"/>
  <c r="CE700" i="5"/>
  <c r="CD700" i="5"/>
  <c r="CA700" i="5"/>
  <c r="BZ700" i="5"/>
  <c r="BY700" i="5"/>
  <c r="BX700" i="5"/>
  <c r="BW700" i="5"/>
  <c r="BV700" i="5"/>
  <c r="BU700" i="5"/>
  <c r="BT700" i="5"/>
  <c r="BS700" i="5"/>
  <c r="BR700" i="5"/>
  <c r="BQ700" i="5"/>
  <c r="BL700" i="5"/>
  <c r="BJ700" i="5"/>
  <c r="BM700" i="5"/>
  <c r="BK700" i="5"/>
  <c r="BI700" i="5"/>
  <c r="BH700" i="5"/>
  <c r="BG700" i="5"/>
  <c r="BF700" i="5"/>
  <c r="BD700" i="5"/>
  <c r="BE700" i="5"/>
  <c r="AZ700" i="5"/>
  <c r="AY700" i="5"/>
  <c r="BA700" i="5"/>
  <c r="BP700" i="5" s="1"/>
  <c r="AU700" i="5"/>
  <c r="BN700" i="5" s="1"/>
  <c r="AV700" i="5"/>
  <c r="BO700" i="5" s="1"/>
  <c r="CK773" i="5"/>
  <c r="CJ773" i="5"/>
  <c r="CI773" i="5"/>
  <c r="CD773" i="5"/>
  <c r="CG773" i="5"/>
  <c r="CH773" i="5"/>
  <c r="CF773" i="5"/>
  <c r="CE773" i="5"/>
  <c r="CC773" i="5"/>
  <c r="BZ773" i="5"/>
  <c r="BW773" i="5"/>
  <c r="CA773" i="5"/>
  <c r="BY773" i="5"/>
  <c r="BX773" i="5"/>
  <c r="BV773" i="5"/>
  <c r="BU773" i="5"/>
  <c r="BR773" i="5"/>
  <c r="BT773" i="5"/>
  <c r="BQ773" i="5"/>
  <c r="BS773" i="5"/>
  <c r="BL773" i="5"/>
  <c r="BM773" i="5"/>
  <c r="BK773" i="5"/>
  <c r="BJ773" i="5"/>
  <c r="BI773" i="5"/>
  <c r="BH773" i="5"/>
  <c r="BG773" i="5"/>
  <c r="BD773" i="5"/>
  <c r="BF773" i="5"/>
  <c r="BE773" i="5"/>
  <c r="BA773" i="5"/>
  <c r="BP773" i="5" s="1"/>
  <c r="AZ773" i="5"/>
  <c r="AY773" i="5"/>
  <c r="AU773" i="5"/>
  <c r="BB773" i="5" s="1"/>
  <c r="AV773" i="5"/>
  <c r="BO773" i="5" s="1"/>
  <c r="CK846" i="5"/>
  <c r="CI846" i="5"/>
  <c r="CH846" i="5"/>
  <c r="CJ846" i="5"/>
  <c r="CE846" i="5"/>
  <c r="CG846" i="5"/>
  <c r="CC846" i="5"/>
  <c r="CF846" i="5"/>
  <c r="CD846" i="5"/>
  <c r="BZ846" i="5"/>
  <c r="CA846" i="5"/>
  <c r="BY846" i="5"/>
  <c r="BX846" i="5"/>
  <c r="BU846" i="5"/>
  <c r="BW846" i="5"/>
  <c r="BV846" i="5"/>
  <c r="BS846" i="5"/>
  <c r="BT846" i="5"/>
  <c r="BR846" i="5"/>
  <c r="BQ846" i="5"/>
  <c r="BM846" i="5"/>
  <c r="BL846" i="5"/>
  <c r="BJ846" i="5"/>
  <c r="BI846" i="5"/>
  <c r="BK846" i="5"/>
  <c r="BH846" i="5"/>
  <c r="BG846" i="5"/>
  <c r="BF846" i="5"/>
  <c r="BE846" i="5"/>
  <c r="BD846" i="5"/>
  <c r="BA846" i="5"/>
  <c r="BP846" i="5" s="1"/>
  <c r="AZ846" i="5"/>
  <c r="AY846" i="5"/>
  <c r="AV846" i="5"/>
  <c r="BC846" i="5" s="1"/>
  <c r="AU846" i="5"/>
  <c r="BN846" i="5" s="1"/>
  <c r="CK919" i="5"/>
  <c r="CI919" i="5"/>
  <c r="CE919" i="5"/>
  <c r="CF919" i="5"/>
  <c r="CD919" i="5"/>
  <c r="CC919" i="5"/>
  <c r="CA919" i="5"/>
  <c r="BY919" i="5"/>
  <c r="BV919" i="5"/>
  <c r="BW919" i="5"/>
  <c r="BU919" i="5"/>
  <c r="BT919" i="5"/>
  <c r="BR919" i="5"/>
  <c r="BS919" i="5"/>
  <c r="BQ919" i="5"/>
  <c r="BM919" i="5"/>
  <c r="BI919" i="5"/>
  <c r="BJ919" i="5"/>
  <c r="BK919" i="5"/>
  <c r="BG919" i="5"/>
  <c r="BH919" i="5"/>
  <c r="BE919" i="5"/>
  <c r="BF919" i="5"/>
  <c r="BD919" i="5"/>
  <c r="AY919" i="5"/>
  <c r="BA919" i="5"/>
  <c r="BP919" i="5" s="1"/>
  <c r="AZ919" i="5"/>
  <c r="AV919" i="5"/>
  <c r="BO919" i="5" s="1"/>
  <c r="AU919" i="5"/>
  <c r="BB919" i="5" s="1"/>
  <c r="CK992" i="5"/>
  <c r="CI992" i="5"/>
  <c r="CF992" i="5"/>
  <c r="CD992" i="5"/>
  <c r="CE992" i="5"/>
  <c r="CC992" i="5"/>
  <c r="CA992" i="5"/>
  <c r="BY992" i="5"/>
  <c r="BW992" i="5"/>
  <c r="BV992" i="5"/>
  <c r="BU992" i="5"/>
  <c r="BT992" i="5"/>
  <c r="BQ992" i="5"/>
  <c r="BR992" i="5"/>
  <c r="BS992" i="5"/>
  <c r="BM992" i="5"/>
  <c r="BK992" i="5"/>
  <c r="BJ992" i="5"/>
  <c r="BH992" i="5"/>
  <c r="BI992" i="5"/>
  <c r="BG992" i="5"/>
  <c r="BF992" i="5"/>
  <c r="BE992" i="5"/>
  <c r="BD992" i="5"/>
  <c r="AZ992" i="5"/>
  <c r="AY992" i="5"/>
  <c r="BA992" i="5"/>
  <c r="BP992" i="5" s="1"/>
  <c r="AV992" i="5"/>
  <c r="BO992" i="5" s="1"/>
  <c r="AU992" i="5"/>
  <c r="BN992" i="5" s="1"/>
  <c r="CK1066" i="5"/>
  <c r="CI1066" i="5"/>
  <c r="CE1066" i="5"/>
  <c r="CC1066" i="5"/>
  <c r="CD1066" i="5"/>
  <c r="CF1066" i="5"/>
  <c r="CA1066" i="5"/>
  <c r="BY1066" i="5"/>
  <c r="BU1066" i="5"/>
  <c r="BW1066" i="5"/>
  <c r="BV1066" i="5"/>
  <c r="BS1066" i="5"/>
  <c r="BT1066" i="5"/>
  <c r="BR1066" i="5"/>
  <c r="BQ1066" i="5"/>
  <c r="BM1066" i="5"/>
  <c r="BI1066" i="5"/>
  <c r="BK1066" i="5"/>
  <c r="BJ1066" i="5"/>
  <c r="BH1066" i="5"/>
  <c r="BG1066" i="5"/>
  <c r="BD1066" i="5"/>
  <c r="BF1066" i="5"/>
  <c r="BE1066" i="5"/>
  <c r="BA1066" i="5"/>
  <c r="BP1066" i="5" s="1"/>
  <c r="AZ1066" i="5"/>
  <c r="AY1066" i="5"/>
  <c r="AU1066" i="5"/>
  <c r="BB1066" i="5" s="1"/>
  <c r="AV1066" i="5"/>
  <c r="BO1066" i="5" s="1"/>
  <c r="CK1139" i="5"/>
  <c r="CJ1139" i="5"/>
  <c r="CE1139" i="5"/>
  <c r="CI1139" i="5"/>
  <c r="CG1139" i="5"/>
  <c r="CH1139" i="5"/>
  <c r="CF1139" i="5"/>
  <c r="CD1139" i="5"/>
  <c r="CC1139" i="5"/>
  <c r="BZ1139" i="5"/>
  <c r="BY1139" i="5"/>
  <c r="CA1139" i="5"/>
  <c r="BX1139" i="5"/>
  <c r="BV1139" i="5"/>
  <c r="BW1139" i="5"/>
  <c r="BU1139" i="5"/>
  <c r="BT1139" i="5"/>
  <c r="BS1139" i="5"/>
  <c r="BR1139" i="5"/>
  <c r="BQ1139" i="5"/>
  <c r="BM1139" i="5"/>
  <c r="BL1139" i="5"/>
  <c r="BI1139" i="5"/>
  <c r="BG1139" i="5"/>
  <c r="BK1139" i="5"/>
  <c r="BJ1139" i="5"/>
  <c r="BH1139" i="5"/>
  <c r="BE1139" i="5"/>
  <c r="BF1139" i="5"/>
  <c r="BD1139" i="5"/>
  <c r="AY1139" i="5"/>
  <c r="AU1139" i="5"/>
  <c r="BN1139" i="5" s="1"/>
  <c r="BA1139" i="5"/>
  <c r="BP1139" i="5" s="1"/>
  <c r="AZ1139" i="5"/>
  <c r="AV1139" i="5"/>
  <c r="BO1139" i="5" s="1"/>
  <c r="CK1212" i="5"/>
  <c r="CF1212" i="5"/>
  <c r="CI1212" i="5"/>
  <c r="CE1212" i="5"/>
  <c r="CD1212" i="5"/>
  <c r="CC1212" i="5"/>
  <c r="CA1212" i="5"/>
  <c r="BY1212" i="5"/>
  <c r="BW1212" i="5"/>
  <c r="BV1212" i="5"/>
  <c r="BU1212" i="5"/>
  <c r="BT1212" i="5"/>
  <c r="BR1212" i="5"/>
  <c r="BQ1212" i="5"/>
  <c r="BS1212" i="5"/>
  <c r="BJ1212" i="5"/>
  <c r="BM1212" i="5"/>
  <c r="BI1212" i="5"/>
  <c r="BK1212" i="5"/>
  <c r="BH1212" i="5"/>
  <c r="BG1212" i="5"/>
  <c r="BF1212" i="5"/>
  <c r="BD1212" i="5"/>
  <c r="BE1212" i="5"/>
  <c r="AZ1212" i="5"/>
  <c r="AY1212" i="5"/>
  <c r="BA1212" i="5"/>
  <c r="BP1212" i="5" s="1"/>
  <c r="AV1212" i="5"/>
  <c r="BO1212" i="5" s="1"/>
  <c r="AU1212" i="5"/>
  <c r="BB1212" i="5" s="1"/>
  <c r="CK1285" i="5"/>
  <c r="CI1285" i="5"/>
  <c r="CD1285" i="5"/>
  <c r="CF1285" i="5"/>
  <c r="CE1285" i="5"/>
  <c r="CC1285" i="5"/>
  <c r="BW1285" i="5"/>
  <c r="CA1285" i="5"/>
  <c r="BY1285" i="5"/>
  <c r="BV1285" i="5"/>
  <c r="BU1285" i="5"/>
  <c r="BT1285" i="5"/>
  <c r="BQ1285" i="5"/>
  <c r="BS1285" i="5"/>
  <c r="BR1285" i="5"/>
  <c r="BM1285" i="5"/>
  <c r="BK1285" i="5"/>
  <c r="BJ1285" i="5"/>
  <c r="BI1285" i="5"/>
  <c r="BH1285" i="5"/>
  <c r="BG1285" i="5"/>
  <c r="BD1285" i="5"/>
  <c r="BF1285" i="5"/>
  <c r="BE1285" i="5"/>
  <c r="BA1285" i="5"/>
  <c r="BP1285" i="5" s="1"/>
  <c r="AU1285" i="5"/>
  <c r="BB1285" i="5" s="1"/>
  <c r="AZ1285" i="5"/>
  <c r="AY1285" i="5"/>
  <c r="AV1285" i="5"/>
  <c r="BO1285" i="5" s="1"/>
  <c r="CE99" i="5"/>
  <c r="CD99" i="5"/>
  <c r="CK99" i="5"/>
  <c r="CI99" i="5"/>
  <c r="CF99" i="5"/>
  <c r="CC99" i="5"/>
  <c r="BY99" i="5"/>
  <c r="CA99" i="5"/>
  <c r="BV99" i="5"/>
  <c r="BW99" i="5"/>
  <c r="BU99" i="5"/>
  <c r="BT99" i="5"/>
  <c r="BS99" i="5"/>
  <c r="BR99" i="5"/>
  <c r="BQ99" i="5"/>
  <c r="BK99" i="5"/>
  <c r="BM99" i="5"/>
  <c r="BI99" i="5"/>
  <c r="BJ99" i="5"/>
  <c r="BG99" i="5"/>
  <c r="BH99" i="5"/>
  <c r="BF99" i="5"/>
  <c r="BE99" i="5"/>
  <c r="BD99" i="5"/>
  <c r="BA99" i="5"/>
  <c r="BP99" i="5" s="1"/>
  <c r="AY99" i="5"/>
  <c r="AZ99" i="5"/>
  <c r="AU99" i="5"/>
  <c r="BN99" i="5" s="1"/>
  <c r="AV99" i="5"/>
  <c r="BC99" i="5" s="1"/>
  <c r="CK172" i="5"/>
  <c r="CJ172" i="5"/>
  <c r="CG172" i="5"/>
  <c r="CI172" i="5"/>
  <c r="CF172" i="5"/>
  <c r="CH172" i="5"/>
  <c r="CC172" i="5"/>
  <c r="CD172" i="5"/>
  <c r="CE172" i="5"/>
  <c r="CA172" i="5"/>
  <c r="BZ172" i="5"/>
  <c r="BV172" i="5"/>
  <c r="BX172" i="5"/>
  <c r="BY172" i="5"/>
  <c r="BW172" i="5"/>
  <c r="BU172" i="5"/>
  <c r="BT172" i="5"/>
  <c r="BS172" i="5"/>
  <c r="BQ172" i="5"/>
  <c r="BR172" i="5"/>
  <c r="BM172" i="5"/>
  <c r="BL172" i="5"/>
  <c r="BK172" i="5"/>
  <c r="BJ172" i="5"/>
  <c r="BI172" i="5"/>
  <c r="BH172" i="5"/>
  <c r="BF172" i="5"/>
  <c r="BG172" i="5"/>
  <c r="BE172" i="5"/>
  <c r="BD172" i="5"/>
  <c r="AZ172" i="5"/>
  <c r="BA172" i="5"/>
  <c r="BP172" i="5" s="1"/>
  <c r="AY172" i="5"/>
  <c r="AU172" i="5"/>
  <c r="BN172" i="5" s="1"/>
  <c r="AV172" i="5"/>
  <c r="BC172" i="5" s="1"/>
  <c r="CJ245" i="5"/>
  <c r="CI245" i="5"/>
  <c r="CG245" i="5"/>
  <c r="CK245" i="5"/>
  <c r="CF245" i="5"/>
  <c r="CH245" i="5"/>
  <c r="CD245" i="5"/>
  <c r="CE245" i="5"/>
  <c r="CC245" i="5"/>
  <c r="BX245" i="5"/>
  <c r="BZ245" i="5"/>
  <c r="CA245" i="5"/>
  <c r="BW245" i="5"/>
  <c r="BY245" i="5"/>
  <c r="BV245" i="5"/>
  <c r="BT245" i="5"/>
  <c r="BU245" i="5"/>
  <c r="BR245" i="5"/>
  <c r="BS245" i="5"/>
  <c r="BQ245" i="5"/>
  <c r="BM245" i="5"/>
  <c r="BK245" i="5"/>
  <c r="BL245" i="5"/>
  <c r="BJ245" i="5"/>
  <c r="BI245" i="5"/>
  <c r="BF245" i="5"/>
  <c r="BH245" i="5"/>
  <c r="BG245" i="5"/>
  <c r="BE245" i="5"/>
  <c r="BD245" i="5"/>
  <c r="BA245" i="5"/>
  <c r="BP245" i="5" s="1"/>
  <c r="AZ245" i="5"/>
  <c r="AY245" i="5"/>
  <c r="AU245" i="5"/>
  <c r="BN245" i="5" s="1"/>
  <c r="AV245" i="5"/>
  <c r="BC245" i="5" s="1"/>
  <c r="CI318" i="5"/>
  <c r="CD318" i="5"/>
  <c r="CK318" i="5"/>
  <c r="CE318" i="5"/>
  <c r="CF318" i="5"/>
  <c r="CC318" i="5"/>
  <c r="BY318" i="5"/>
  <c r="CA318" i="5"/>
  <c r="BU318" i="5"/>
  <c r="BV318" i="5"/>
  <c r="BW318" i="5"/>
  <c r="BS318" i="5"/>
  <c r="BT318" i="5"/>
  <c r="BR318" i="5"/>
  <c r="BQ318" i="5"/>
  <c r="BM318" i="5"/>
  <c r="BK318" i="5"/>
  <c r="BJ318" i="5"/>
  <c r="BI318" i="5"/>
  <c r="BH318" i="5"/>
  <c r="BG318" i="5"/>
  <c r="BF318" i="5"/>
  <c r="BD318" i="5"/>
  <c r="BE318" i="5"/>
  <c r="BA318" i="5"/>
  <c r="BP318" i="5" s="1"/>
  <c r="AV318" i="5"/>
  <c r="BO318" i="5" s="1"/>
  <c r="AZ318" i="5"/>
  <c r="AY318" i="5"/>
  <c r="AU318" i="5"/>
  <c r="BN318" i="5" s="1"/>
  <c r="CH391" i="5"/>
  <c r="CE391" i="5"/>
  <c r="CK391" i="5"/>
  <c r="CJ391" i="5"/>
  <c r="CG391" i="5"/>
  <c r="CF391" i="5"/>
  <c r="CD391" i="5"/>
  <c r="CI391" i="5"/>
  <c r="CC391" i="5"/>
  <c r="BZ391" i="5"/>
  <c r="CA391" i="5"/>
  <c r="BX391" i="5"/>
  <c r="BY391" i="5"/>
  <c r="BV391" i="5"/>
  <c r="BW391" i="5"/>
  <c r="BU391" i="5"/>
  <c r="BS391" i="5"/>
  <c r="BT391" i="5"/>
  <c r="BQ391" i="5"/>
  <c r="BR391" i="5"/>
  <c r="BL391" i="5"/>
  <c r="BK391" i="5"/>
  <c r="BI391" i="5"/>
  <c r="BM391" i="5"/>
  <c r="BH391" i="5"/>
  <c r="BJ391" i="5"/>
  <c r="BG391" i="5"/>
  <c r="BE391" i="5"/>
  <c r="BF391" i="5"/>
  <c r="BD391" i="5"/>
  <c r="BA391" i="5"/>
  <c r="BP391" i="5" s="1"/>
  <c r="AY391" i="5"/>
  <c r="AZ391" i="5"/>
  <c r="AU391" i="5"/>
  <c r="BN391" i="5" s="1"/>
  <c r="AV391" i="5"/>
  <c r="BC391" i="5" s="1"/>
  <c r="CK464" i="5"/>
  <c r="CI464" i="5"/>
  <c r="CF464" i="5"/>
  <c r="CC464" i="5"/>
  <c r="CE464" i="5"/>
  <c r="CD464" i="5"/>
  <c r="CA464" i="5"/>
  <c r="BV464" i="5"/>
  <c r="BY464" i="5"/>
  <c r="BW464" i="5"/>
  <c r="BU464" i="5"/>
  <c r="BS464" i="5"/>
  <c r="BT464" i="5"/>
  <c r="BR464" i="5"/>
  <c r="BQ464" i="5"/>
  <c r="BK464" i="5"/>
  <c r="BM464" i="5"/>
  <c r="BJ464" i="5"/>
  <c r="BI464" i="5"/>
  <c r="BH464" i="5"/>
  <c r="BG464" i="5"/>
  <c r="BF464" i="5"/>
  <c r="BE464" i="5"/>
  <c r="BD464" i="5"/>
  <c r="BA464" i="5"/>
  <c r="BP464" i="5" s="1"/>
  <c r="AZ464" i="5"/>
  <c r="AV464" i="5"/>
  <c r="BC464" i="5" s="1"/>
  <c r="AY464" i="5"/>
  <c r="AU464" i="5"/>
  <c r="BN464" i="5" s="1"/>
  <c r="CK538" i="5"/>
  <c r="CH538" i="5"/>
  <c r="CI538" i="5"/>
  <c r="CJ538" i="5"/>
  <c r="CG538" i="5"/>
  <c r="CF538" i="5"/>
  <c r="CE538" i="5"/>
  <c r="CD538" i="5"/>
  <c r="CC538" i="5"/>
  <c r="BY538" i="5"/>
  <c r="CA538" i="5"/>
  <c r="BZ538" i="5"/>
  <c r="BU538" i="5"/>
  <c r="BX538" i="5"/>
  <c r="BW538" i="5"/>
  <c r="BV538" i="5"/>
  <c r="BS538" i="5"/>
  <c r="BT538" i="5"/>
  <c r="BR538" i="5"/>
  <c r="BQ538" i="5"/>
  <c r="BM538" i="5"/>
  <c r="BL538" i="5"/>
  <c r="BK538" i="5"/>
  <c r="BJ538" i="5"/>
  <c r="BI538" i="5"/>
  <c r="BF538" i="5"/>
  <c r="BH538" i="5"/>
  <c r="BG538" i="5"/>
  <c r="BD538" i="5"/>
  <c r="BE538" i="5"/>
  <c r="BA538" i="5"/>
  <c r="BP538" i="5" s="1"/>
  <c r="AZ538" i="5"/>
  <c r="AY538" i="5"/>
  <c r="AU538" i="5"/>
  <c r="BN538" i="5" s="1"/>
  <c r="AV538" i="5"/>
  <c r="BC538" i="5" s="1"/>
  <c r="CJ611" i="5"/>
  <c r="CE611" i="5"/>
  <c r="CK611" i="5"/>
  <c r="CI611" i="5"/>
  <c r="CH611" i="5"/>
  <c r="CF611" i="5"/>
  <c r="CG611" i="5"/>
  <c r="CD611" i="5"/>
  <c r="CC611" i="5"/>
  <c r="BZ611" i="5"/>
  <c r="BY611" i="5"/>
  <c r="CA611" i="5"/>
  <c r="BX611" i="5"/>
  <c r="BV611" i="5"/>
  <c r="BW611" i="5"/>
  <c r="BU611" i="5"/>
  <c r="BT611" i="5"/>
  <c r="BS611" i="5"/>
  <c r="BR611" i="5"/>
  <c r="BQ611" i="5"/>
  <c r="BL611" i="5"/>
  <c r="BM611" i="5"/>
  <c r="BK611" i="5"/>
  <c r="BI611" i="5"/>
  <c r="BJ611" i="5"/>
  <c r="BG611" i="5"/>
  <c r="BH611" i="5"/>
  <c r="BF611" i="5"/>
  <c r="BE611" i="5"/>
  <c r="BD611" i="5"/>
  <c r="AY611" i="5"/>
  <c r="BA611" i="5"/>
  <c r="BP611" i="5" s="1"/>
  <c r="AZ611" i="5"/>
  <c r="AU611" i="5"/>
  <c r="BN611" i="5" s="1"/>
  <c r="AV611" i="5"/>
  <c r="BO611" i="5" s="1"/>
  <c r="CH684" i="5"/>
  <c r="CJ684" i="5"/>
  <c r="CK684" i="5"/>
  <c r="CI684" i="5"/>
  <c r="CF684" i="5"/>
  <c r="CC684" i="5"/>
  <c r="CG684" i="5"/>
  <c r="CD684" i="5"/>
  <c r="CE684" i="5"/>
  <c r="CA684" i="5"/>
  <c r="BY684" i="5"/>
  <c r="BZ684" i="5"/>
  <c r="BX684" i="5"/>
  <c r="BW684" i="5"/>
  <c r="BV684" i="5"/>
  <c r="BU684" i="5"/>
  <c r="BT684" i="5"/>
  <c r="BS684" i="5"/>
  <c r="BQ684" i="5"/>
  <c r="BR684" i="5"/>
  <c r="BL684" i="5"/>
  <c r="BM684" i="5"/>
  <c r="BJ684" i="5"/>
  <c r="BK684" i="5"/>
  <c r="BI684" i="5"/>
  <c r="BH684" i="5"/>
  <c r="BF684" i="5"/>
  <c r="BG684" i="5"/>
  <c r="BE684" i="5"/>
  <c r="BD684" i="5"/>
  <c r="AZ684" i="5"/>
  <c r="AY684" i="5"/>
  <c r="BA684" i="5"/>
  <c r="BP684" i="5" s="1"/>
  <c r="AU684" i="5"/>
  <c r="BN684" i="5" s="1"/>
  <c r="AV684" i="5"/>
  <c r="BO684" i="5" s="1"/>
  <c r="CK757" i="5"/>
  <c r="CI757" i="5"/>
  <c r="CG757" i="5"/>
  <c r="CJ757" i="5"/>
  <c r="CF757" i="5"/>
  <c r="CD757" i="5"/>
  <c r="CH757" i="5"/>
  <c r="CE757" i="5"/>
  <c r="CC757" i="5"/>
  <c r="BX757" i="5"/>
  <c r="CA757" i="5"/>
  <c r="BW757" i="5"/>
  <c r="BZ757" i="5"/>
  <c r="BY757" i="5"/>
  <c r="BV757" i="5"/>
  <c r="BU757" i="5"/>
  <c r="BR757" i="5"/>
  <c r="BT757" i="5"/>
  <c r="BQ757" i="5"/>
  <c r="BS757" i="5"/>
  <c r="BM757" i="5"/>
  <c r="BL757" i="5"/>
  <c r="BK757" i="5"/>
  <c r="BJ757" i="5"/>
  <c r="BI757" i="5"/>
  <c r="BH757" i="5"/>
  <c r="BG757" i="5"/>
  <c r="BE757" i="5"/>
  <c r="BF757" i="5"/>
  <c r="BD757" i="5"/>
  <c r="BA757" i="5"/>
  <c r="BP757" i="5" s="1"/>
  <c r="AZ757" i="5"/>
  <c r="AY757" i="5"/>
  <c r="AU757" i="5"/>
  <c r="BB757" i="5" s="1"/>
  <c r="AV757" i="5"/>
  <c r="BO757" i="5" s="1"/>
  <c r="CK830" i="5"/>
  <c r="CI830" i="5"/>
  <c r="CC830" i="5"/>
  <c r="CE830" i="5"/>
  <c r="CF830" i="5"/>
  <c r="CD830" i="5"/>
  <c r="CA830" i="5"/>
  <c r="BY830" i="5"/>
  <c r="BU830" i="5"/>
  <c r="BW830" i="5"/>
  <c r="BV830" i="5"/>
  <c r="BS830" i="5"/>
  <c r="BR830" i="5"/>
  <c r="BT830" i="5"/>
  <c r="BQ830" i="5"/>
  <c r="BM830" i="5"/>
  <c r="BJ830" i="5"/>
  <c r="BI830" i="5"/>
  <c r="BK830" i="5"/>
  <c r="BH830" i="5"/>
  <c r="BG830" i="5"/>
  <c r="BE830" i="5"/>
  <c r="BF830" i="5"/>
  <c r="BD830" i="5"/>
  <c r="AV830" i="5"/>
  <c r="BC830" i="5" s="1"/>
  <c r="BA830" i="5"/>
  <c r="BP830" i="5" s="1"/>
  <c r="AZ830" i="5"/>
  <c r="AY830" i="5"/>
  <c r="AU830" i="5"/>
  <c r="BN830" i="5" s="1"/>
  <c r="CJ903" i="5"/>
  <c r="CK903" i="5"/>
  <c r="CH903" i="5"/>
  <c r="CE903" i="5"/>
  <c r="CF903" i="5"/>
  <c r="CG903" i="5"/>
  <c r="CI903" i="5"/>
  <c r="CC903" i="5"/>
  <c r="CD903" i="5"/>
  <c r="BZ903" i="5"/>
  <c r="CA903" i="5"/>
  <c r="BY903" i="5"/>
  <c r="BV903" i="5"/>
  <c r="BX903" i="5"/>
  <c r="BW903" i="5"/>
  <c r="BU903" i="5"/>
  <c r="BT903" i="5"/>
  <c r="BS903" i="5"/>
  <c r="BQ903" i="5"/>
  <c r="BR903" i="5"/>
  <c r="BI903" i="5"/>
  <c r="BL903" i="5"/>
  <c r="BM903" i="5"/>
  <c r="BK903" i="5"/>
  <c r="BJ903" i="5"/>
  <c r="BG903" i="5"/>
  <c r="BE903" i="5"/>
  <c r="BH903" i="5"/>
  <c r="BF903" i="5"/>
  <c r="BD903" i="5"/>
  <c r="AY903" i="5"/>
  <c r="BA903" i="5"/>
  <c r="BP903" i="5" s="1"/>
  <c r="AZ903" i="5"/>
  <c r="AU903" i="5"/>
  <c r="BN903" i="5" s="1"/>
  <c r="AV903" i="5"/>
  <c r="BO903" i="5" s="1"/>
  <c r="CK976" i="5"/>
  <c r="CI976" i="5"/>
  <c r="CF976" i="5"/>
  <c r="CD976" i="5"/>
  <c r="CE976" i="5"/>
  <c r="CA976" i="5"/>
  <c r="CC976" i="5"/>
  <c r="BW976" i="5"/>
  <c r="BY976" i="5"/>
  <c r="BV976" i="5"/>
  <c r="BU976" i="5"/>
  <c r="BT976" i="5"/>
  <c r="BR976" i="5"/>
  <c r="BS976" i="5"/>
  <c r="BQ976" i="5"/>
  <c r="BK976" i="5"/>
  <c r="BM976" i="5"/>
  <c r="BJ976" i="5"/>
  <c r="BH976" i="5"/>
  <c r="BI976" i="5"/>
  <c r="BG976" i="5"/>
  <c r="BF976" i="5"/>
  <c r="BE976" i="5"/>
  <c r="BD976" i="5"/>
  <c r="AZ976" i="5"/>
  <c r="AV976" i="5"/>
  <c r="BO976" i="5" s="1"/>
  <c r="AY976" i="5"/>
  <c r="BA976" i="5"/>
  <c r="BP976" i="5" s="1"/>
  <c r="AU976" i="5"/>
  <c r="BN976" i="5" s="1"/>
  <c r="CK1050" i="5"/>
  <c r="CI1050" i="5"/>
  <c r="CC1050" i="5"/>
  <c r="CF1050" i="5"/>
  <c r="CE1050" i="5"/>
  <c r="CD1050" i="5"/>
  <c r="CA1050" i="5"/>
  <c r="BU1050" i="5"/>
  <c r="BY1050" i="5"/>
  <c r="BW1050" i="5"/>
  <c r="BV1050" i="5"/>
  <c r="BS1050" i="5"/>
  <c r="BT1050" i="5"/>
  <c r="BR1050" i="5"/>
  <c r="BQ1050" i="5"/>
  <c r="BM1050" i="5"/>
  <c r="BI1050" i="5"/>
  <c r="BK1050" i="5"/>
  <c r="BJ1050" i="5"/>
  <c r="BH1050" i="5"/>
  <c r="BG1050" i="5"/>
  <c r="BD1050" i="5"/>
  <c r="BF1050" i="5"/>
  <c r="BE1050" i="5"/>
  <c r="BA1050" i="5"/>
  <c r="BP1050" i="5" s="1"/>
  <c r="AZ1050" i="5"/>
  <c r="AY1050" i="5"/>
  <c r="AU1050" i="5"/>
  <c r="BN1050" i="5" s="1"/>
  <c r="AV1050" i="5"/>
  <c r="BO1050" i="5" s="1"/>
  <c r="CK1123" i="5"/>
  <c r="CE1123" i="5"/>
  <c r="CI1123" i="5"/>
  <c r="CF1123" i="5"/>
  <c r="CD1123" i="5"/>
  <c r="CC1123" i="5"/>
  <c r="BY1123" i="5"/>
  <c r="CA1123" i="5"/>
  <c r="BV1123" i="5"/>
  <c r="BW1123" i="5"/>
  <c r="BU1123" i="5"/>
  <c r="BT1123" i="5"/>
  <c r="BS1123" i="5"/>
  <c r="BR1123" i="5"/>
  <c r="BQ1123" i="5"/>
  <c r="BM1123" i="5"/>
  <c r="BK1123" i="5"/>
  <c r="BJ1123" i="5"/>
  <c r="BI1123" i="5"/>
  <c r="BG1123" i="5"/>
  <c r="BH1123" i="5"/>
  <c r="BE1123" i="5"/>
  <c r="BD1123" i="5"/>
  <c r="BF1123" i="5"/>
  <c r="AY1123" i="5"/>
  <c r="BA1123" i="5"/>
  <c r="BP1123" i="5" s="1"/>
  <c r="AZ1123" i="5"/>
  <c r="AU1123" i="5"/>
  <c r="BB1123" i="5" s="1"/>
  <c r="AV1123" i="5"/>
  <c r="BC1123" i="5" s="1"/>
  <c r="CK1196" i="5"/>
  <c r="CI1196" i="5"/>
  <c r="CF1196" i="5"/>
  <c r="CE1196" i="5"/>
  <c r="CC1196" i="5"/>
  <c r="CA1196" i="5"/>
  <c r="CD1196" i="5"/>
  <c r="BY1196" i="5"/>
  <c r="BW1196" i="5"/>
  <c r="BU1196" i="5"/>
  <c r="BV1196" i="5"/>
  <c r="BT1196" i="5"/>
  <c r="BR1196" i="5"/>
  <c r="BQ1196" i="5"/>
  <c r="BS1196" i="5"/>
  <c r="BM1196" i="5"/>
  <c r="BJ1196" i="5"/>
  <c r="BK1196" i="5"/>
  <c r="BI1196" i="5"/>
  <c r="BH1196" i="5"/>
  <c r="BF1196" i="5"/>
  <c r="BG1196" i="5"/>
  <c r="BE1196" i="5"/>
  <c r="BD1196" i="5"/>
  <c r="AZ1196" i="5"/>
  <c r="AY1196" i="5"/>
  <c r="BA1196" i="5"/>
  <c r="BP1196" i="5" s="1"/>
  <c r="AV1196" i="5"/>
  <c r="BO1196" i="5" s="1"/>
  <c r="AU1196" i="5"/>
  <c r="BN1196" i="5" s="1"/>
  <c r="CJ1269" i="5"/>
  <c r="CK1269" i="5"/>
  <c r="CH1269" i="5"/>
  <c r="CI1269" i="5"/>
  <c r="CF1269" i="5"/>
  <c r="CD1269" i="5"/>
  <c r="CG1269" i="5"/>
  <c r="CE1269" i="5"/>
  <c r="CC1269" i="5"/>
  <c r="CA1269" i="5"/>
  <c r="BX1269" i="5"/>
  <c r="BW1269" i="5"/>
  <c r="BZ1269" i="5"/>
  <c r="BY1269" i="5"/>
  <c r="BV1269" i="5"/>
  <c r="BU1269" i="5"/>
  <c r="BT1269" i="5"/>
  <c r="BQ1269" i="5"/>
  <c r="BR1269" i="5"/>
  <c r="BS1269" i="5"/>
  <c r="BM1269" i="5"/>
  <c r="BL1269" i="5"/>
  <c r="BK1269" i="5"/>
  <c r="BI1269" i="5"/>
  <c r="BJ1269" i="5"/>
  <c r="BH1269" i="5"/>
  <c r="BG1269" i="5"/>
  <c r="BF1269" i="5"/>
  <c r="BE1269" i="5"/>
  <c r="BD1269" i="5"/>
  <c r="BA1269" i="5"/>
  <c r="BP1269" i="5" s="1"/>
  <c r="AZ1269" i="5"/>
  <c r="AY1269" i="5"/>
  <c r="AU1269" i="5"/>
  <c r="BN1269" i="5" s="1"/>
  <c r="AV1269" i="5"/>
  <c r="BC1269" i="5" s="1"/>
  <c r="CK27" i="5"/>
  <c r="CI27" i="5"/>
  <c r="CE27" i="5"/>
  <c r="CF27" i="5"/>
  <c r="CC27" i="5"/>
  <c r="CD27" i="5"/>
  <c r="CA27" i="5"/>
  <c r="BW27" i="5"/>
  <c r="BV27" i="5"/>
  <c r="BY27" i="5"/>
  <c r="BU27" i="5"/>
  <c r="BT27" i="5"/>
  <c r="BS27" i="5"/>
  <c r="BR27" i="5"/>
  <c r="BQ27" i="5"/>
  <c r="BK27" i="5"/>
  <c r="BM27" i="5"/>
  <c r="BI27" i="5"/>
  <c r="BJ27" i="5"/>
  <c r="BG27" i="5"/>
  <c r="BH27" i="5"/>
  <c r="BF27" i="5"/>
  <c r="BE27" i="5"/>
  <c r="BD27" i="5"/>
  <c r="BA27" i="5"/>
  <c r="BP27" i="5" s="1"/>
  <c r="AY27" i="5"/>
  <c r="AU27" i="5"/>
  <c r="BN27" i="5" s="1"/>
  <c r="AZ27" i="5"/>
  <c r="AV27" i="5"/>
  <c r="BC27" i="5" s="1"/>
  <c r="CK100" i="5"/>
  <c r="CH100" i="5"/>
  <c r="CI100" i="5"/>
  <c r="CG100" i="5"/>
  <c r="CF100" i="5"/>
  <c r="CJ100" i="5"/>
  <c r="CE100" i="5"/>
  <c r="CC100" i="5"/>
  <c r="CD100" i="5"/>
  <c r="CA100" i="5"/>
  <c r="BZ100" i="5"/>
  <c r="BV100" i="5"/>
  <c r="BX100" i="5"/>
  <c r="BY100" i="5"/>
  <c r="BW100" i="5"/>
  <c r="BU100" i="5"/>
  <c r="BT100" i="5"/>
  <c r="BS100" i="5"/>
  <c r="BR100" i="5"/>
  <c r="BQ100" i="5"/>
  <c r="BL100" i="5"/>
  <c r="BM100" i="5"/>
  <c r="BJ100" i="5"/>
  <c r="BK100" i="5"/>
  <c r="BI100" i="5"/>
  <c r="BH100" i="5"/>
  <c r="BG100" i="5"/>
  <c r="BF100" i="5"/>
  <c r="BE100" i="5"/>
  <c r="BD100" i="5"/>
  <c r="AZ100" i="5"/>
  <c r="BA100" i="5"/>
  <c r="BP100" i="5" s="1"/>
  <c r="AY100" i="5"/>
  <c r="AU100" i="5"/>
  <c r="BN100" i="5" s="1"/>
  <c r="AV100" i="5"/>
  <c r="BC100" i="5" s="1"/>
  <c r="CJ173" i="5"/>
  <c r="CH173" i="5"/>
  <c r="CF173" i="5"/>
  <c r="CE173" i="5"/>
  <c r="CD173" i="5"/>
  <c r="CK173" i="5"/>
  <c r="CI173" i="5"/>
  <c r="CG173" i="5"/>
  <c r="CC173" i="5"/>
  <c r="CA173" i="5"/>
  <c r="BZ173" i="5"/>
  <c r="BY173" i="5"/>
  <c r="BW173" i="5"/>
  <c r="BX173" i="5"/>
  <c r="BV173" i="5"/>
  <c r="BT173" i="5"/>
  <c r="BR173" i="5"/>
  <c r="BU173" i="5"/>
  <c r="BS173" i="5"/>
  <c r="BQ173" i="5"/>
  <c r="BM173" i="5"/>
  <c r="BL173" i="5"/>
  <c r="BK173" i="5"/>
  <c r="BJ173" i="5"/>
  <c r="BI173" i="5"/>
  <c r="BH173" i="5"/>
  <c r="BG173" i="5"/>
  <c r="BF173" i="5"/>
  <c r="BE173" i="5"/>
  <c r="BD173" i="5"/>
  <c r="BA173" i="5"/>
  <c r="BP173" i="5" s="1"/>
  <c r="AZ173" i="5"/>
  <c r="AY173" i="5"/>
  <c r="AU173" i="5"/>
  <c r="BN173" i="5" s="1"/>
  <c r="AV173" i="5"/>
  <c r="BC173" i="5" s="1"/>
  <c r="CI246" i="5"/>
  <c r="CK246" i="5"/>
  <c r="CD246" i="5"/>
  <c r="CF246" i="5"/>
  <c r="CC246" i="5"/>
  <c r="CE246" i="5"/>
  <c r="BY246" i="5"/>
  <c r="CA246" i="5"/>
  <c r="BW246" i="5"/>
  <c r="BV246" i="5"/>
  <c r="BU246" i="5"/>
  <c r="BS246" i="5"/>
  <c r="BT246" i="5"/>
  <c r="BQ246" i="5"/>
  <c r="BR246" i="5"/>
  <c r="BM246" i="5"/>
  <c r="BK246" i="5"/>
  <c r="BJ246" i="5"/>
  <c r="BI246" i="5"/>
  <c r="BF246" i="5"/>
  <c r="BH246" i="5"/>
  <c r="BG246" i="5"/>
  <c r="BD246" i="5"/>
  <c r="BE246" i="5"/>
  <c r="BA246" i="5"/>
  <c r="BP246" i="5" s="1"/>
  <c r="AZ246" i="5"/>
  <c r="AY246" i="5"/>
  <c r="AV246" i="5"/>
  <c r="BO246" i="5" s="1"/>
  <c r="AU246" i="5"/>
  <c r="BN246" i="5" s="1"/>
  <c r="CK319" i="5"/>
  <c r="CE319" i="5"/>
  <c r="CI319" i="5"/>
  <c r="CF319" i="5"/>
  <c r="CD319" i="5"/>
  <c r="CC319" i="5"/>
  <c r="CA319" i="5"/>
  <c r="BY319" i="5"/>
  <c r="BV319" i="5"/>
  <c r="BW319" i="5"/>
  <c r="BU319" i="5"/>
  <c r="BT319" i="5"/>
  <c r="BS319" i="5"/>
  <c r="BQ319" i="5"/>
  <c r="BR319" i="5"/>
  <c r="BK319" i="5"/>
  <c r="BI319" i="5"/>
  <c r="BM319" i="5"/>
  <c r="BH319" i="5"/>
  <c r="BJ319" i="5"/>
  <c r="BG319" i="5"/>
  <c r="BE319" i="5"/>
  <c r="BF319" i="5"/>
  <c r="BD319" i="5"/>
  <c r="BA319" i="5"/>
  <c r="BP319" i="5" s="1"/>
  <c r="AY319" i="5"/>
  <c r="AZ319" i="5"/>
  <c r="AU319" i="5"/>
  <c r="BB319" i="5" s="1"/>
  <c r="AV319" i="5"/>
  <c r="BO319" i="5" s="1"/>
  <c r="CJ392" i="5"/>
  <c r="CI392" i="5"/>
  <c r="CF392" i="5"/>
  <c r="CK392" i="5"/>
  <c r="CE392" i="5"/>
  <c r="CC392" i="5"/>
  <c r="CH392" i="5"/>
  <c r="CG392" i="5"/>
  <c r="CD392" i="5"/>
  <c r="CA392" i="5"/>
  <c r="BZ392" i="5"/>
  <c r="BY392" i="5"/>
  <c r="BX392" i="5"/>
  <c r="BV392" i="5"/>
  <c r="BW392" i="5"/>
  <c r="BU392" i="5"/>
  <c r="BS392" i="5"/>
  <c r="BR392" i="5"/>
  <c r="BT392" i="5"/>
  <c r="BQ392" i="5"/>
  <c r="BK392" i="5"/>
  <c r="BL392" i="5"/>
  <c r="BM392" i="5"/>
  <c r="BJ392" i="5"/>
  <c r="BH392" i="5"/>
  <c r="BI392" i="5"/>
  <c r="BG392" i="5"/>
  <c r="BF392" i="5"/>
  <c r="BE392" i="5"/>
  <c r="BD392" i="5"/>
  <c r="BA392" i="5"/>
  <c r="BP392" i="5" s="1"/>
  <c r="AZ392" i="5"/>
  <c r="AV392" i="5"/>
  <c r="BO392" i="5" s="1"/>
  <c r="AY392" i="5"/>
  <c r="AU392" i="5"/>
  <c r="BN392" i="5" s="1"/>
  <c r="CK466" i="5"/>
  <c r="CJ466" i="5"/>
  <c r="CI466" i="5"/>
  <c r="CG466" i="5"/>
  <c r="CD466" i="5"/>
  <c r="CF466" i="5"/>
  <c r="CE466" i="5"/>
  <c r="CH466" i="5"/>
  <c r="BY466" i="5"/>
  <c r="CC466" i="5"/>
  <c r="CA466" i="5"/>
  <c r="BZ466" i="5"/>
  <c r="BX466" i="5"/>
  <c r="BU466" i="5"/>
  <c r="BW466" i="5"/>
  <c r="BV466" i="5"/>
  <c r="BS466" i="5"/>
  <c r="BT466" i="5"/>
  <c r="BR466" i="5"/>
  <c r="BQ466" i="5"/>
  <c r="BM466" i="5"/>
  <c r="BL466" i="5"/>
  <c r="BK466" i="5"/>
  <c r="BJ466" i="5"/>
  <c r="BI466" i="5"/>
  <c r="BF466" i="5"/>
  <c r="BG466" i="5"/>
  <c r="BH466" i="5"/>
  <c r="BE466" i="5"/>
  <c r="BD466" i="5"/>
  <c r="BA466" i="5"/>
  <c r="BP466" i="5" s="1"/>
  <c r="AZ466" i="5"/>
  <c r="AY466" i="5"/>
  <c r="AV466" i="5"/>
  <c r="BO466" i="5" s="1"/>
  <c r="AU466" i="5"/>
  <c r="BN466" i="5" s="1"/>
  <c r="CK539" i="5"/>
  <c r="CI539" i="5"/>
  <c r="CE539" i="5"/>
  <c r="CF539" i="5"/>
  <c r="CD539" i="5"/>
  <c r="CC539" i="5"/>
  <c r="CA539" i="5"/>
  <c r="BW539" i="5"/>
  <c r="BY539" i="5"/>
  <c r="BV539" i="5"/>
  <c r="BU539" i="5"/>
  <c r="BS539" i="5"/>
  <c r="BT539" i="5"/>
  <c r="BR539" i="5"/>
  <c r="BQ539" i="5"/>
  <c r="BM539" i="5"/>
  <c r="BK539" i="5"/>
  <c r="BI539" i="5"/>
  <c r="BJ539" i="5"/>
  <c r="BG539" i="5"/>
  <c r="BF539" i="5"/>
  <c r="BH539" i="5"/>
  <c r="BE539" i="5"/>
  <c r="BD539" i="5"/>
  <c r="BA539" i="5"/>
  <c r="BP539" i="5" s="1"/>
  <c r="AY539" i="5"/>
  <c r="AU539" i="5"/>
  <c r="BB539" i="5" s="1"/>
  <c r="AZ539" i="5"/>
  <c r="AV539" i="5"/>
  <c r="BO539" i="5" s="1"/>
  <c r="CK612" i="5"/>
  <c r="CI612" i="5"/>
  <c r="CF612" i="5"/>
  <c r="CE612" i="5"/>
  <c r="CC612" i="5"/>
  <c r="CD612" i="5"/>
  <c r="CA612" i="5"/>
  <c r="BY612" i="5"/>
  <c r="BW612" i="5"/>
  <c r="BU612" i="5"/>
  <c r="BV612" i="5"/>
  <c r="BT612" i="5"/>
  <c r="BS612" i="5"/>
  <c r="BR612" i="5"/>
  <c r="BQ612" i="5"/>
  <c r="BM612" i="5"/>
  <c r="BJ612" i="5"/>
  <c r="BK612" i="5"/>
  <c r="BI612" i="5"/>
  <c r="BH612" i="5"/>
  <c r="BG612" i="5"/>
  <c r="BF612" i="5"/>
  <c r="BD612" i="5"/>
  <c r="BE612" i="5"/>
  <c r="AZ612" i="5"/>
  <c r="AY612" i="5"/>
  <c r="BA612" i="5"/>
  <c r="BP612" i="5" s="1"/>
  <c r="AU612" i="5"/>
  <c r="BN612" i="5" s="1"/>
  <c r="AV612" i="5"/>
  <c r="BO612" i="5" s="1"/>
  <c r="CK685" i="5"/>
  <c r="CH685" i="5"/>
  <c r="CG685" i="5"/>
  <c r="CJ685" i="5"/>
  <c r="CF685" i="5"/>
  <c r="CE685" i="5"/>
  <c r="CI685" i="5"/>
  <c r="CD685" i="5"/>
  <c r="CC685" i="5"/>
  <c r="CA685" i="5"/>
  <c r="BZ685" i="5"/>
  <c r="BX685" i="5"/>
  <c r="BW685" i="5"/>
  <c r="BY685" i="5"/>
  <c r="BV685" i="5"/>
  <c r="BR685" i="5"/>
  <c r="BU685" i="5"/>
  <c r="BT685" i="5"/>
  <c r="BS685" i="5"/>
  <c r="BQ685" i="5"/>
  <c r="BM685" i="5"/>
  <c r="BL685" i="5"/>
  <c r="BK685" i="5"/>
  <c r="BJ685" i="5"/>
  <c r="BI685" i="5"/>
  <c r="BH685" i="5"/>
  <c r="BG685" i="5"/>
  <c r="BF685" i="5"/>
  <c r="BE685" i="5"/>
  <c r="BD685" i="5"/>
  <c r="BA685" i="5"/>
  <c r="BP685" i="5" s="1"/>
  <c r="AZ685" i="5"/>
  <c r="AY685" i="5"/>
  <c r="AU685" i="5"/>
  <c r="BN685" i="5" s="1"/>
  <c r="AV685" i="5"/>
  <c r="BC685" i="5" s="1"/>
  <c r="CJ758" i="5"/>
  <c r="CI758" i="5"/>
  <c r="CH758" i="5"/>
  <c r="CK758" i="5"/>
  <c r="CG758" i="5"/>
  <c r="CF758" i="5"/>
  <c r="CD758" i="5"/>
  <c r="CC758" i="5"/>
  <c r="CE758" i="5"/>
  <c r="BZ758" i="5"/>
  <c r="CA758" i="5"/>
  <c r="BX758" i="5"/>
  <c r="BY758" i="5"/>
  <c r="BW758" i="5"/>
  <c r="BU758" i="5"/>
  <c r="BV758" i="5"/>
  <c r="BS758" i="5"/>
  <c r="BT758" i="5"/>
  <c r="BQ758" i="5"/>
  <c r="BR758" i="5"/>
  <c r="BM758" i="5"/>
  <c r="BL758" i="5"/>
  <c r="BK758" i="5"/>
  <c r="BJ758" i="5"/>
  <c r="BI758" i="5"/>
  <c r="BH758" i="5"/>
  <c r="BG758" i="5"/>
  <c r="BE758" i="5"/>
  <c r="BF758" i="5"/>
  <c r="BD758" i="5"/>
  <c r="BA758" i="5"/>
  <c r="BP758" i="5" s="1"/>
  <c r="AZ758" i="5"/>
  <c r="AY758" i="5"/>
  <c r="AV758" i="5"/>
  <c r="BC758" i="5" s="1"/>
  <c r="AU758" i="5"/>
  <c r="CK831" i="5"/>
  <c r="CE831" i="5"/>
  <c r="CI831" i="5"/>
  <c r="CD831" i="5"/>
  <c r="CF831" i="5"/>
  <c r="CC831" i="5"/>
  <c r="BY831" i="5"/>
  <c r="CA831" i="5"/>
  <c r="BV831" i="5"/>
  <c r="BW831" i="5"/>
  <c r="BU831" i="5"/>
  <c r="BT831" i="5"/>
  <c r="BS831" i="5"/>
  <c r="BQ831" i="5"/>
  <c r="BR831" i="5"/>
  <c r="BI831" i="5"/>
  <c r="BM831" i="5"/>
  <c r="BJ831" i="5"/>
  <c r="BK831" i="5"/>
  <c r="BG831" i="5"/>
  <c r="BE831" i="5"/>
  <c r="BH831" i="5"/>
  <c r="BF831" i="5"/>
  <c r="BD831" i="5"/>
  <c r="AY831" i="5"/>
  <c r="BA831" i="5"/>
  <c r="BP831" i="5" s="1"/>
  <c r="AZ831" i="5"/>
  <c r="AU831" i="5"/>
  <c r="BN831" i="5" s="1"/>
  <c r="AV831" i="5"/>
  <c r="BO831" i="5" s="1"/>
  <c r="CK904" i="5"/>
  <c r="CI904" i="5"/>
  <c r="CF904" i="5"/>
  <c r="CE904" i="5"/>
  <c r="CD904" i="5"/>
  <c r="CC904" i="5"/>
  <c r="CA904" i="5"/>
  <c r="BY904" i="5"/>
  <c r="BW904" i="5"/>
  <c r="BU904" i="5"/>
  <c r="BV904" i="5"/>
  <c r="BT904" i="5"/>
  <c r="BS904" i="5"/>
  <c r="BR904" i="5"/>
  <c r="BQ904" i="5"/>
  <c r="BK904" i="5"/>
  <c r="BM904" i="5"/>
  <c r="BJ904" i="5"/>
  <c r="BH904" i="5"/>
  <c r="BI904" i="5"/>
  <c r="BG904" i="5"/>
  <c r="BF904" i="5"/>
  <c r="BE904" i="5"/>
  <c r="BD904" i="5"/>
  <c r="AZ904" i="5"/>
  <c r="AV904" i="5"/>
  <c r="BC904" i="5" s="1"/>
  <c r="AY904" i="5"/>
  <c r="BA904" i="5"/>
  <c r="BP904" i="5" s="1"/>
  <c r="AU904" i="5"/>
  <c r="BN904" i="5" s="1"/>
  <c r="CK978" i="5"/>
  <c r="CI978" i="5"/>
  <c r="CJ978" i="5"/>
  <c r="CF978" i="5"/>
  <c r="CE978" i="5"/>
  <c r="CH978" i="5"/>
  <c r="CG978" i="5"/>
  <c r="CC978" i="5"/>
  <c r="CD978" i="5"/>
  <c r="CA978" i="5"/>
  <c r="BZ978" i="5"/>
  <c r="BY978" i="5"/>
  <c r="BU978" i="5"/>
  <c r="BX978" i="5"/>
  <c r="BW978" i="5"/>
  <c r="BS978" i="5"/>
  <c r="BV978" i="5"/>
  <c r="BT978" i="5"/>
  <c r="BR978" i="5"/>
  <c r="BQ978" i="5"/>
  <c r="BM978" i="5"/>
  <c r="BL978" i="5"/>
  <c r="BK978" i="5"/>
  <c r="BI978" i="5"/>
  <c r="BJ978" i="5"/>
  <c r="BH978" i="5"/>
  <c r="BG978" i="5"/>
  <c r="BF978" i="5"/>
  <c r="BE978" i="5"/>
  <c r="BD978" i="5"/>
  <c r="BA978" i="5"/>
  <c r="BP978" i="5" s="1"/>
  <c r="AZ978" i="5"/>
  <c r="AY978" i="5"/>
  <c r="AV978" i="5"/>
  <c r="BC978" i="5" s="1"/>
  <c r="AU978" i="5"/>
  <c r="CK1051" i="5"/>
  <c r="CI1051" i="5"/>
  <c r="CE1051" i="5"/>
  <c r="CF1051" i="5"/>
  <c r="CD1051" i="5"/>
  <c r="CC1051" i="5"/>
  <c r="BY1051" i="5"/>
  <c r="CA1051" i="5"/>
  <c r="BW1051" i="5"/>
  <c r="BV1051" i="5"/>
  <c r="BU1051" i="5"/>
  <c r="BT1051" i="5"/>
  <c r="BS1051" i="5"/>
  <c r="BR1051" i="5"/>
  <c r="BQ1051" i="5"/>
  <c r="BM1051" i="5"/>
  <c r="BI1051" i="5"/>
  <c r="BK1051" i="5"/>
  <c r="BJ1051" i="5"/>
  <c r="BG1051" i="5"/>
  <c r="BH1051" i="5"/>
  <c r="BE1051" i="5"/>
  <c r="BD1051" i="5"/>
  <c r="BF1051" i="5"/>
  <c r="AY1051" i="5"/>
  <c r="AU1051" i="5"/>
  <c r="BB1051" i="5" s="1"/>
  <c r="BA1051" i="5"/>
  <c r="BP1051" i="5" s="1"/>
  <c r="AZ1051" i="5"/>
  <c r="AV1051" i="5"/>
  <c r="BO1051" i="5" s="1"/>
  <c r="CK1124" i="5"/>
  <c r="CI1124" i="5"/>
  <c r="CF1124" i="5"/>
  <c r="CE1124" i="5"/>
  <c r="CD1124" i="5"/>
  <c r="CC1124" i="5"/>
  <c r="CA1124" i="5"/>
  <c r="BY1124" i="5"/>
  <c r="BW1124" i="5"/>
  <c r="BV1124" i="5"/>
  <c r="BU1124" i="5"/>
  <c r="BT1124" i="5"/>
  <c r="BR1124" i="5"/>
  <c r="BQ1124" i="5"/>
  <c r="BS1124" i="5"/>
  <c r="BM1124" i="5"/>
  <c r="BJ1124" i="5"/>
  <c r="BK1124" i="5"/>
  <c r="BI1124" i="5"/>
  <c r="BH1124" i="5"/>
  <c r="BG1124" i="5"/>
  <c r="BF1124" i="5"/>
  <c r="BD1124" i="5"/>
  <c r="BE1124" i="5"/>
  <c r="AZ1124" i="5"/>
  <c r="AY1124" i="5"/>
  <c r="BA1124" i="5"/>
  <c r="BP1124" i="5" s="1"/>
  <c r="AU1124" i="5"/>
  <c r="BN1124" i="5" s="1"/>
  <c r="AV1124" i="5"/>
  <c r="BO1124" i="5" s="1"/>
  <c r="CK1197" i="5"/>
  <c r="CF1197" i="5"/>
  <c r="CE1197" i="5"/>
  <c r="CI1197" i="5"/>
  <c r="CD1197" i="5"/>
  <c r="CC1197" i="5"/>
  <c r="CA1197" i="5"/>
  <c r="BW1197" i="5"/>
  <c r="BY1197" i="5"/>
  <c r="BV1197" i="5"/>
  <c r="BU1197" i="5"/>
  <c r="BT1197" i="5"/>
  <c r="BS1197" i="5"/>
  <c r="BQ1197" i="5"/>
  <c r="BR1197" i="5"/>
  <c r="BM1197" i="5"/>
  <c r="BK1197" i="5"/>
  <c r="BJ1197" i="5"/>
  <c r="BI1197" i="5"/>
  <c r="BH1197" i="5"/>
  <c r="BG1197" i="5"/>
  <c r="BF1197" i="5"/>
  <c r="BE1197" i="5"/>
  <c r="BD1197" i="5"/>
  <c r="BA1197" i="5"/>
  <c r="BP1197" i="5" s="1"/>
  <c r="AU1197" i="5"/>
  <c r="BN1197" i="5" s="1"/>
  <c r="AZ1197" i="5"/>
  <c r="AY1197" i="5"/>
  <c r="AV1197" i="5"/>
  <c r="CK1270" i="5"/>
  <c r="CI1270" i="5"/>
  <c r="CJ1270" i="5"/>
  <c r="CC1270" i="5"/>
  <c r="CH1270" i="5"/>
  <c r="CG1270" i="5"/>
  <c r="CF1270" i="5"/>
  <c r="CD1270" i="5"/>
  <c r="CE1270" i="5"/>
  <c r="CA1270" i="5"/>
  <c r="BZ1270" i="5"/>
  <c r="BY1270" i="5"/>
  <c r="BW1270" i="5"/>
  <c r="BX1270" i="5"/>
  <c r="BU1270" i="5"/>
  <c r="BV1270" i="5"/>
  <c r="BS1270" i="5"/>
  <c r="BR1270" i="5"/>
  <c r="BT1270" i="5"/>
  <c r="BQ1270" i="5"/>
  <c r="BM1270" i="5"/>
  <c r="BL1270" i="5"/>
  <c r="BI1270" i="5"/>
  <c r="BK1270" i="5"/>
  <c r="BJ1270" i="5"/>
  <c r="BH1270" i="5"/>
  <c r="BG1270" i="5"/>
  <c r="BF1270" i="5"/>
  <c r="BE1270" i="5"/>
  <c r="BD1270" i="5"/>
  <c r="BA1270" i="5"/>
  <c r="BP1270" i="5" s="1"/>
  <c r="AZ1270" i="5"/>
  <c r="AY1270" i="5"/>
  <c r="AV1270" i="5"/>
  <c r="BC1270" i="5" s="1"/>
  <c r="AU1270" i="5"/>
  <c r="BN1270" i="5" s="1"/>
  <c r="BO330" i="5"/>
  <c r="CK339" i="5"/>
  <c r="CG339" i="5"/>
  <c r="CJ339" i="5"/>
  <c r="CE339" i="5"/>
  <c r="CI339" i="5"/>
  <c r="CH339" i="5"/>
  <c r="CD339" i="5"/>
  <c r="CF339" i="5"/>
  <c r="CC339" i="5"/>
  <c r="BZ339" i="5"/>
  <c r="BY339" i="5"/>
  <c r="CA339" i="5"/>
  <c r="BX339" i="5"/>
  <c r="BV339" i="5"/>
  <c r="BW339" i="5"/>
  <c r="BU339" i="5"/>
  <c r="BS339" i="5"/>
  <c r="BR339" i="5"/>
  <c r="BT339" i="5"/>
  <c r="BQ339" i="5"/>
  <c r="BK339" i="5"/>
  <c r="BL339" i="5"/>
  <c r="BM339" i="5"/>
  <c r="BI339" i="5"/>
  <c r="BG339" i="5"/>
  <c r="BJ339" i="5"/>
  <c r="BH339" i="5"/>
  <c r="BF339" i="5"/>
  <c r="BE339" i="5"/>
  <c r="BD339" i="5"/>
  <c r="BA339" i="5"/>
  <c r="BP339" i="5" s="1"/>
  <c r="AY339" i="5"/>
  <c r="AU339" i="5"/>
  <c r="BN339" i="5" s="1"/>
  <c r="AZ339" i="5"/>
  <c r="AV339" i="5"/>
  <c r="BO339" i="5" s="1"/>
  <c r="CK366" i="5"/>
  <c r="CI366" i="5"/>
  <c r="CH366" i="5"/>
  <c r="CJ366" i="5"/>
  <c r="CD366" i="5"/>
  <c r="CG366" i="5"/>
  <c r="CF366" i="5"/>
  <c r="CE366" i="5"/>
  <c r="CC366" i="5"/>
  <c r="BY366" i="5"/>
  <c r="BX366" i="5"/>
  <c r="CA366" i="5"/>
  <c r="BZ366" i="5"/>
  <c r="BU366" i="5"/>
  <c r="BW366" i="5"/>
  <c r="BV366" i="5"/>
  <c r="BS366" i="5"/>
  <c r="BT366" i="5"/>
  <c r="BR366" i="5"/>
  <c r="BQ366" i="5"/>
  <c r="BL366" i="5"/>
  <c r="BM366" i="5"/>
  <c r="BK366" i="5"/>
  <c r="BJ366" i="5"/>
  <c r="BI366" i="5"/>
  <c r="BG366" i="5"/>
  <c r="BH366" i="5"/>
  <c r="BF366" i="5"/>
  <c r="BD366" i="5"/>
  <c r="BE366" i="5"/>
  <c r="BA366" i="5"/>
  <c r="BP366" i="5" s="1"/>
  <c r="AZ366" i="5"/>
  <c r="AY366" i="5"/>
  <c r="AV366" i="5"/>
  <c r="BC366" i="5" s="1"/>
  <c r="AU366" i="5"/>
  <c r="CK439" i="5"/>
  <c r="CH439" i="5"/>
  <c r="CJ439" i="5"/>
  <c r="CE439" i="5"/>
  <c r="CF439" i="5"/>
  <c r="CG439" i="5"/>
  <c r="CI439" i="5"/>
  <c r="CD439" i="5"/>
  <c r="CC439" i="5"/>
  <c r="BZ439" i="5"/>
  <c r="CA439" i="5"/>
  <c r="BX439" i="5"/>
  <c r="BY439" i="5"/>
  <c r="BV439" i="5"/>
  <c r="BW439" i="5"/>
  <c r="BU439" i="5"/>
  <c r="BT439" i="5"/>
  <c r="BS439" i="5"/>
  <c r="BR439" i="5"/>
  <c r="BQ439" i="5"/>
  <c r="BK439" i="5"/>
  <c r="BL439" i="5"/>
  <c r="BM439" i="5"/>
  <c r="BI439" i="5"/>
  <c r="BJ439" i="5"/>
  <c r="BH439" i="5"/>
  <c r="BG439" i="5"/>
  <c r="BE439" i="5"/>
  <c r="BF439" i="5"/>
  <c r="BD439" i="5"/>
  <c r="BA439" i="5"/>
  <c r="BP439" i="5" s="1"/>
  <c r="AY439" i="5"/>
  <c r="AZ439" i="5"/>
  <c r="AV439" i="5"/>
  <c r="BO439" i="5" s="1"/>
  <c r="AU439" i="5"/>
  <c r="BN439" i="5" s="1"/>
  <c r="CK512" i="5"/>
  <c r="CH512" i="5"/>
  <c r="CI512" i="5"/>
  <c r="CF512" i="5"/>
  <c r="CJ512" i="5"/>
  <c r="CC512" i="5"/>
  <c r="CE512" i="5"/>
  <c r="CG512" i="5"/>
  <c r="CD512" i="5"/>
  <c r="CA512" i="5"/>
  <c r="BV512" i="5"/>
  <c r="BZ512" i="5"/>
  <c r="BY512" i="5"/>
  <c r="BX512" i="5"/>
  <c r="BW512" i="5"/>
  <c r="BU512" i="5"/>
  <c r="BS512" i="5"/>
  <c r="BT512" i="5"/>
  <c r="BQ512" i="5"/>
  <c r="BR512" i="5"/>
  <c r="BL512" i="5"/>
  <c r="BM512" i="5"/>
  <c r="BK512" i="5"/>
  <c r="BJ512" i="5"/>
  <c r="BH512" i="5"/>
  <c r="BI512" i="5"/>
  <c r="BG512" i="5"/>
  <c r="BF512" i="5"/>
  <c r="BE512" i="5"/>
  <c r="BD512" i="5"/>
  <c r="BA512" i="5"/>
  <c r="BP512" i="5" s="1"/>
  <c r="AZ512" i="5"/>
  <c r="AY512" i="5"/>
  <c r="AV512" i="5"/>
  <c r="BO512" i="5" s="1"/>
  <c r="AU512" i="5"/>
  <c r="CI586" i="5"/>
  <c r="CK586" i="5"/>
  <c r="CF586" i="5"/>
  <c r="CE586" i="5"/>
  <c r="CD586" i="5"/>
  <c r="BY586" i="5"/>
  <c r="CC586" i="5"/>
  <c r="CA586" i="5"/>
  <c r="BU586" i="5"/>
  <c r="BW586" i="5"/>
  <c r="BV586" i="5"/>
  <c r="BT586" i="5"/>
  <c r="BS586" i="5"/>
  <c r="BQ586" i="5"/>
  <c r="BR586" i="5"/>
  <c r="BM586" i="5"/>
  <c r="BK586" i="5"/>
  <c r="BJ586" i="5"/>
  <c r="BI586" i="5"/>
  <c r="BF586" i="5"/>
  <c r="BH586" i="5"/>
  <c r="BG586" i="5"/>
  <c r="BD586" i="5"/>
  <c r="BE586" i="5"/>
  <c r="BA586" i="5"/>
  <c r="BP586" i="5" s="1"/>
  <c r="AZ586" i="5"/>
  <c r="AY586" i="5"/>
  <c r="AV586" i="5"/>
  <c r="BO586" i="5" s="1"/>
  <c r="AU586" i="5"/>
  <c r="BN586" i="5" s="1"/>
  <c r="CK659" i="5"/>
  <c r="CG659" i="5"/>
  <c r="CH659" i="5"/>
  <c r="CE659" i="5"/>
  <c r="CJ659" i="5"/>
  <c r="CI659" i="5"/>
  <c r="CF659" i="5"/>
  <c r="CD659" i="5"/>
  <c r="CC659" i="5"/>
  <c r="BZ659" i="5"/>
  <c r="BY659" i="5"/>
  <c r="CA659" i="5"/>
  <c r="BX659" i="5"/>
  <c r="BV659" i="5"/>
  <c r="BW659" i="5"/>
  <c r="BU659" i="5"/>
  <c r="BT659" i="5"/>
  <c r="BS659" i="5"/>
  <c r="BR659" i="5"/>
  <c r="BQ659" i="5"/>
  <c r="BL659" i="5"/>
  <c r="BK659" i="5"/>
  <c r="BM659" i="5"/>
  <c r="BI659" i="5"/>
  <c r="BG659" i="5"/>
  <c r="BJ659" i="5"/>
  <c r="BF659" i="5"/>
  <c r="BH659" i="5"/>
  <c r="BE659" i="5"/>
  <c r="BD659" i="5"/>
  <c r="AY659" i="5"/>
  <c r="AU659" i="5"/>
  <c r="BA659" i="5"/>
  <c r="BP659" i="5" s="1"/>
  <c r="AZ659" i="5"/>
  <c r="AV659" i="5"/>
  <c r="BO659" i="5" s="1"/>
  <c r="CJ732" i="5"/>
  <c r="CF732" i="5"/>
  <c r="CK732" i="5"/>
  <c r="CG732" i="5"/>
  <c r="CH732" i="5"/>
  <c r="CE732" i="5"/>
  <c r="CI732" i="5"/>
  <c r="CC732" i="5"/>
  <c r="CD732" i="5"/>
  <c r="CA732" i="5"/>
  <c r="BZ732" i="5"/>
  <c r="BY732" i="5"/>
  <c r="BX732" i="5"/>
  <c r="BW732" i="5"/>
  <c r="BU732" i="5"/>
  <c r="BV732" i="5"/>
  <c r="BT732" i="5"/>
  <c r="BS732" i="5"/>
  <c r="BQ732" i="5"/>
  <c r="BR732" i="5"/>
  <c r="BL732" i="5"/>
  <c r="BJ732" i="5"/>
  <c r="BM732" i="5"/>
  <c r="BK732" i="5"/>
  <c r="BI732" i="5"/>
  <c r="BH732" i="5"/>
  <c r="BG732" i="5"/>
  <c r="BF732" i="5"/>
  <c r="BD732" i="5"/>
  <c r="BE732" i="5"/>
  <c r="AZ732" i="5"/>
  <c r="AY732" i="5"/>
  <c r="BA732" i="5"/>
  <c r="BP732" i="5" s="1"/>
  <c r="AV732" i="5"/>
  <c r="BO732" i="5" s="1"/>
  <c r="AU732" i="5"/>
  <c r="BN732" i="5" s="1"/>
  <c r="CI805" i="5"/>
  <c r="CJ805" i="5"/>
  <c r="CK805" i="5"/>
  <c r="CH805" i="5"/>
  <c r="CD805" i="5"/>
  <c r="CG805" i="5"/>
  <c r="CF805" i="5"/>
  <c r="CE805" i="5"/>
  <c r="CC805" i="5"/>
  <c r="BX805" i="5"/>
  <c r="BW805" i="5"/>
  <c r="CA805" i="5"/>
  <c r="BZ805" i="5"/>
  <c r="BY805" i="5"/>
  <c r="BV805" i="5"/>
  <c r="BU805" i="5"/>
  <c r="BR805" i="5"/>
  <c r="BT805" i="5"/>
  <c r="BQ805" i="5"/>
  <c r="BS805" i="5"/>
  <c r="BL805" i="5"/>
  <c r="BM805" i="5"/>
  <c r="BK805" i="5"/>
  <c r="BJ805" i="5"/>
  <c r="BI805" i="5"/>
  <c r="BH805" i="5"/>
  <c r="BG805" i="5"/>
  <c r="BF805" i="5"/>
  <c r="BD805" i="5"/>
  <c r="BE805" i="5"/>
  <c r="BA805" i="5"/>
  <c r="BP805" i="5" s="1"/>
  <c r="AZ805" i="5"/>
  <c r="AY805" i="5"/>
  <c r="AV805" i="5"/>
  <c r="BO805" i="5" s="1"/>
  <c r="AU805" i="5"/>
  <c r="BN805" i="5" s="1"/>
  <c r="CI878" i="5"/>
  <c r="CH878" i="5"/>
  <c r="CG878" i="5"/>
  <c r="CJ878" i="5"/>
  <c r="CK878" i="5"/>
  <c r="CF878" i="5"/>
  <c r="CC878" i="5"/>
  <c r="CE878" i="5"/>
  <c r="CD878" i="5"/>
  <c r="CA878" i="5"/>
  <c r="BZ878" i="5"/>
  <c r="BY878" i="5"/>
  <c r="BU878" i="5"/>
  <c r="BW878" i="5"/>
  <c r="BX878" i="5"/>
  <c r="BV878" i="5"/>
  <c r="BS878" i="5"/>
  <c r="BT878" i="5"/>
  <c r="BR878" i="5"/>
  <c r="BQ878" i="5"/>
  <c r="BL878" i="5"/>
  <c r="BM878" i="5"/>
  <c r="BJ878" i="5"/>
  <c r="BI878" i="5"/>
  <c r="BK878" i="5"/>
  <c r="BH878" i="5"/>
  <c r="BG878" i="5"/>
  <c r="BF878" i="5"/>
  <c r="BE878" i="5"/>
  <c r="BD878" i="5"/>
  <c r="BA878" i="5"/>
  <c r="BP878" i="5" s="1"/>
  <c r="AZ878" i="5"/>
  <c r="AY878" i="5"/>
  <c r="AV878" i="5"/>
  <c r="BO878" i="5" s="1"/>
  <c r="AU878" i="5"/>
  <c r="BN878" i="5" s="1"/>
  <c r="CE951" i="5"/>
  <c r="CF951" i="5"/>
  <c r="CK951" i="5"/>
  <c r="CJ951" i="5"/>
  <c r="CI951" i="5"/>
  <c r="CG951" i="5"/>
  <c r="CH951" i="5"/>
  <c r="CD951" i="5"/>
  <c r="BZ951" i="5"/>
  <c r="CC951" i="5"/>
  <c r="BX951" i="5"/>
  <c r="CA951" i="5"/>
  <c r="BY951" i="5"/>
  <c r="BV951" i="5"/>
  <c r="BW951" i="5"/>
  <c r="BU951" i="5"/>
  <c r="BT951" i="5"/>
  <c r="BR951" i="5"/>
  <c r="BQ951" i="5"/>
  <c r="BS951" i="5"/>
  <c r="BM951" i="5"/>
  <c r="BI951" i="5"/>
  <c r="BL951" i="5"/>
  <c r="BJ951" i="5"/>
  <c r="BK951" i="5"/>
  <c r="BG951" i="5"/>
  <c r="BH951" i="5"/>
  <c r="BE951" i="5"/>
  <c r="BF951" i="5"/>
  <c r="BD951" i="5"/>
  <c r="AY951" i="5"/>
  <c r="BA951" i="5"/>
  <c r="BP951" i="5" s="1"/>
  <c r="AZ951" i="5"/>
  <c r="AV951" i="5"/>
  <c r="AU951" i="5"/>
  <c r="BN951" i="5" s="1"/>
  <c r="CK1024" i="5"/>
  <c r="CI1024" i="5"/>
  <c r="CF1024" i="5"/>
  <c r="CE1024" i="5"/>
  <c r="CD1024" i="5"/>
  <c r="CC1024" i="5"/>
  <c r="CA1024" i="5"/>
  <c r="BY1024" i="5"/>
  <c r="BW1024" i="5"/>
  <c r="BV1024" i="5"/>
  <c r="BU1024" i="5"/>
  <c r="BT1024" i="5"/>
  <c r="BR1024" i="5"/>
  <c r="BQ1024" i="5"/>
  <c r="BS1024" i="5"/>
  <c r="BM1024" i="5"/>
  <c r="BK1024" i="5"/>
  <c r="BJ1024" i="5"/>
  <c r="BH1024" i="5"/>
  <c r="BI1024" i="5"/>
  <c r="BG1024" i="5"/>
  <c r="BF1024" i="5"/>
  <c r="BE1024" i="5"/>
  <c r="BD1024" i="5"/>
  <c r="AZ1024" i="5"/>
  <c r="AY1024" i="5"/>
  <c r="BA1024" i="5"/>
  <c r="BP1024" i="5" s="1"/>
  <c r="AV1024" i="5"/>
  <c r="BC1024" i="5" s="1"/>
  <c r="AU1024" i="5"/>
  <c r="BN1024" i="5" s="1"/>
  <c r="CI1098" i="5"/>
  <c r="CK1098" i="5"/>
  <c r="CF1098" i="5"/>
  <c r="CC1098" i="5"/>
  <c r="CE1098" i="5"/>
  <c r="CD1098" i="5"/>
  <c r="CA1098" i="5"/>
  <c r="BY1098" i="5"/>
  <c r="BU1098" i="5"/>
  <c r="BW1098" i="5"/>
  <c r="BV1098" i="5"/>
  <c r="BS1098" i="5"/>
  <c r="BT1098" i="5"/>
  <c r="BR1098" i="5"/>
  <c r="BQ1098" i="5"/>
  <c r="BM1098" i="5"/>
  <c r="BI1098" i="5"/>
  <c r="BK1098" i="5"/>
  <c r="BJ1098" i="5"/>
  <c r="BH1098" i="5"/>
  <c r="BG1098" i="5"/>
  <c r="BD1098" i="5"/>
  <c r="BF1098" i="5"/>
  <c r="BE1098" i="5"/>
  <c r="BA1098" i="5"/>
  <c r="BP1098" i="5" s="1"/>
  <c r="AZ1098" i="5"/>
  <c r="AY1098" i="5"/>
  <c r="AV1098" i="5"/>
  <c r="BO1098" i="5" s="1"/>
  <c r="AU1098" i="5"/>
  <c r="BN1098" i="5" s="1"/>
  <c r="CE1171" i="5"/>
  <c r="CK1171" i="5"/>
  <c r="CI1171" i="5"/>
  <c r="CF1171" i="5"/>
  <c r="CD1171" i="5"/>
  <c r="BY1171" i="5"/>
  <c r="CC1171" i="5"/>
  <c r="CA1171" i="5"/>
  <c r="BV1171" i="5"/>
  <c r="BW1171" i="5"/>
  <c r="BU1171" i="5"/>
  <c r="BT1171" i="5"/>
  <c r="BS1171" i="5"/>
  <c r="BR1171" i="5"/>
  <c r="BQ1171" i="5"/>
  <c r="BM1171" i="5"/>
  <c r="BI1171" i="5"/>
  <c r="BG1171" i="5"/>
  <c r="BK1171" i="5"/>
  <c r="BJ1171" i="5"/>
  <c r="BH1171" i="5"/>
  <c r="BE1171" i="5"/>
  <c r="BF1171" i="5"/>
  <c r="BD1171" i="5"/>
  <c r="AY1171" i="5"/>
  <c r="AU1171" i="5"/>
  <c r="BN1171" i="5" s="1"/>
  <c r="BA1171" i="5"/>
  <c r="BP1171" i="5" s="1"/>
  <c r="AZ1171" i="5"/>
  <c r="AV1171" i="5"/>
  <c r="BO1171" i="5" s="1"/>
  <c r="CF1244" i="5"/>
  <c r="CK1244" i="5"/>
  <c r="CI1244" i="5"/>
  <c r="CE1244" i="5"/>
  <c r="CC1244" i="5"/>
  <c r="CA1244" i="5"/>
  <c r="CD1244" i="5"/>
  <c r="BY1244" i="5"/>
  <c r="BW1244" i="5"/>
  <c r="BU1244" i="5"/>
  <c r="BV1244" i="5"/>
  <c r="BT1244" i="5"/>
  <c r="BS1244" i="5"/>
  <c r="BR1244" i="5"/>
  <c r="BQ1244" i="5"/>
  <c r="BJ1244" i="5"/>
  <c r="BM1244" i="5"/>
  <c r="BI1244" i="5"/>
  <c r="BK1244" i="5"/>
  <c r="BH1244" i="5"/>
  <c r="BG1244" i="5"/>
  <c r="BF1244" i="5"/>
  <c r="BD1244" i="5"/>
  <c r="BE1244" i="5"/>
  <c r="AZ1244" i="5"/>
  <c r="AY1244" i="5"/>
  <c r="BA1244" i="5"/>
  <c r="BP1244" i="5" s="1"/>
  <c r="AV1244" i="5"/>
  <c r="BO1244" i="5" s="1"/>
  <c r="AU1244" i="5"/>
  <c r="CE1315" i="5"/>
  <c r="CK1315" i="5"/>
  <c r="CI1315" i="5"/>
  <c r="CF1315" i="5"/>
  <c r="CD1315" i="5"/>
  <c r="CC1315" i="5"/>
  <c r="BY1315" i="5"/>
  <c r="CA1315" i="5"/>
  <c r="BV1315" i="5"/>
  <c r="BW1315" i="5"/>
  <c r="BU1315" i="5"/>
  <c r="BT1315" i="5"/>
  <c r="BS1315" i="5"/>
  <c r="BR1315" i="5"/>
  <c r="BQ1315" i="5"/>
  <c r="BM1315" i="5"/>
  <c r="BK1315" i="5"/>
  <c r="BJ1315" i="5"/>
  <c r="BI1315" i="5"/>
  <c r="BG1315" i="5"/>
  <c r="BH1315" i="5"/>
  <c r="BE1315" i="5"/>
  <c r="BF1315" i="5"/>
  <c r="BD1315" i="5"/>
  <c r="AY1315" i="5"/>
  <c r="BA1315" i="5"/>
  <c r="BP1315" i="5" s="1"/>
  <c r="AZ1315" i="5"/>
  <c r="AU1315" i="5"/>
  <c r="BB1315" i="5" s="1"/>
  <c r="AV1315" i="5"/>
  <c r="BO1315" i="5" s="1"/>
  <c r="CI38" i="5"/>
  <c r="CK38" i="5"/>
  <c r="CD38" i="5"/>
  <c r="CF38" i="5"/>
  <c r="CC38" i="5"/>
  <c r="CE38" i="5"/>
  <c r="BY38" i="5"/>
  <c r="CA38" i="5"/>
  <c r="BW38" i="5"/>
  <c r="BV38" i="5"/>
  <c r="BU38" i="5"/>
  <c r="BT38" i="5"/>
  <c r="BS38" i="5"/>
  <c r="BR38" i="5"/>
  <c r="BQ38" i="5"/>
  <c r="BM38" i="5"/>
  <c r="BK38" i="5"/>
  <c r="BH38" i="5"/>
  <c r="BJ38" i="5"/>
  <c r="BI38" i="5"/>
  <c r="BG38" i="5"/>
  <c r="BF38" i="5"/>
  <c r="BD38" i="5"/>
  <c r="BE38" i="5"/>
  <c r="BA38" i="5"/>
  <c r="BP38" i="5" s="1"/>
  <c r="AV38" i="5"/>
  <c r="BC38" i="5" s="1"/>
  <c r="AZ38" i="5"/>
  <c r="AY38" i="5"/>
  <c r="AU38" i="5"/>
  <c r="BN38" i="5" s="1"/>
  <c r="CK111" i="5"/>
  <c r="CJ111" i="5"/>
  <c r="CE111" i="5"/>
  <c r="CI111" i="5"/>
  <c r="CG111" i="5"/>
  <c r="CH111" i="5"/>
  <c r="CD111" i="5"/>
  <c r="CF111" i="5"/>
  <c r="CC111" i="5"/>
  <c r="BZ111" i="5"/>
  <c r="CA111" i="5"/>
  <c r="BY111" i="5"/>
  <c r="BX111" i="5"/>
  <c r="BV111" i="5"/>
  <c r="BW111" i="5"/>
  <c r="BU111" i="5"/>
  <c r="BT111" i="5"/>
  <c r="BS111" i="5"/>
  <c r="BR111" i="5"/>
  <c r="BQ111" i="5"/>
  <c r="BK111" i="5"/>
  <c r="BM111" i="5"/>
  <c r="BI111" i="5"/>
  <c r="BL111" i="5"/>
  <c r="BJ111" i="5"/>
  <c r="BH111" i="5"/>
  <c r="BG111" i="5"/>
  <c r="BE111" i="5"/>
  <c r="BF111" i="5"/>
  <c r="BD111" i="5"/>
  <c r="BA111" i="5"/>
  <c r="BP111" i="5" s="1"/>
  <c r="AY111" i="5"/>
  <c r="AZ111" i="5"/>
  <c r="AU111" i="5"/>
  <c r="BN111" i="5" s="1"/>
  <c r="AV111" i="5"/>
  <c r="BC111" i="5" s="1"/>
  <c r="CK184" i="5"/>
  <c r="CF184" i="5"/>
  <c r="CI184" i="5"/>
  <c r="CE184" i="5"/>
  <c r="CD184" i="5"/>
  <c r="CC184" i="5"/>
  <c r="CA184" i="5"/>
  <c r="BY184" i="5"/>
  <c r="BV184" i="5"/>
  <c r="BW184" i="5"/>
  <c r="BU184" i="5"/>
  <c r="BT184" i="5"/>
  <c r="BS184" i="5"/>
  <c r="BR184" i="5"/>
  <c r="BQ184" i="5"/>
  <c r="BM184" i="5"/>
  <c r="BK184" i="5"/>
  <c r="BJ184" i="5"/>
  <c r="BI184" i="5"/>
  <c r="BH184" i="5"/>
  <c r="BG184" i="5"/>
  <c r="BF184" i="5"/>
  <c r="BE184" i="5"/>
  <c r="BD184" i="5"/>
  <c r="BA184" i="5"/>
  <c r="BP184" i="5" s="1"/>
  <c r="AZ184" i="5"/>
  <c r="AV184" i="5"/>
  <c r="BC184" i="5" s="1"/>
  <c r="AY184" i="5"/>
  <c r="AU184" i="5"/>
  <c r="CK258" i="5"/>
  <c r="CI258" i="5"/>
  <c r="CD258" i="5"/>
  <c r="CF258" i="5"/>
  <c r="CE258" i="5"/>
  <c r="BY258" i="5"/>
  <c r="CC258" i="5"/>
  <c r="CA258" i="5"/>
  <c r="BU258" i="5"/>
  <c r="BV258" i="5"/>
  <c r="BW258" i="5"/>
  <c r="BS258" i="5"/>
  <c r="BT258" i="5"/>
  <c r="BQ258" i="5"/>
  <c r="BR258" i="5"/>
  <c r="BM258" i="5"/>
  <c r="BK258" i="5"/>
  <c r="BJ258" i="5"/>
  <c r="BI258" i="5"/>
  <c r="BG258" i="5"/>
  <c r="BF258" i="5"/>
  <c r="BD258" i="5"/>
  <c r="BH258" i="5"/>
  <c r="BE258" i="5"/>
  <c r="BA258" i="5"/>
  <c r="BP258" i="5" s="1"/>
  <c r="AZ258" i="5"/>
  <c r="AY258" i="5"/>
  <c r="AV258" i="5"/>
  <c r="BO258" i="5" s="1"/>
  <c r="AU258" i="5"/>
  <c r="BN258" i="5" s="1"/>
  <c r="CK331" i="5"/>
  <c r="CI331" i="5"/>
  <c r="CE331" i="5"/>
  <c r="CD331" i="5"/>
  <c r="CF331" i="5"/>
  <c r="CC331" i="5"/>
  <c r="CA331" i="5"/>
  <c r="BY331" i="5"/>
  <c r="BW331" i="5"/>
  <c r="BV331" i="5"/>
  <c r="BU331" i="5"/>
  <c r="BT331" i="5"/>
  <c r="BS331" i="5"/>
  <c r="BQ331" i="5"/>
  <c r="BR331" i="5"/>
  <c r="BK331" i="5"/>
  <c r="BM331" i="5"/>
  <c r="BI331" i="5"/>
  <c r="BG331" i="5"/>
  <c r="BH331" i="5"/>
  <c r="BJ331" i="5"/>
  <c r="BF331" i="5"/>
  <c r="BE331" i="5"/>
  <c r="BD331" i="5"/>
  <c r="BA331" i="5"/>
  <c r="BP331" i="5" s="1"/>
  <c r="AY331" i="5"/>
  <c r="AZ331" i="5"/>
  <c r="AU331" i="5"/>
  <c r="BN331" i="5" s="1"/>
  <c r="AV331" i="5"/>
  <c r="BC331" i="5" s="1"/>
  <c r="CK404" i="5"/>
  <c r="CG404" i="5"/>
  <c r="CF404" i="5"/>
  <c r="CJ404" i="5"/>
  <c r="CI404" i="5"/>
  <c r="CH404" i="5"/>
  <c r="CC404" i="5"/>
  <c r="CD404" i="5"/>
  <c r="CE404" i="5"/>
  <c r="CA404" i="5"/>
  <c r="BZ404" i="5"/>
  <c r="BV404" i="5"/>
  <c r="BX404" i="5"/>
  <c r="BY404" i="5"/>
  <c r="BW404" i="5"/>
  <c r="BU404" i="5"/>
  <c r="BT404" i="5"/>
  <c r="BS404" i="5"/>
  <c r="BQ404" i="5"/>
  <c r="BR404" i="5"/>
  <c r="BK404" i="5"/>
  <c r="BJ404" i="5"/>
  <c r="BM404" i="5"/>
  <c r="BL404" i="5"/>
  <c r="BI404" i="5"/>
  <c r="BH404" i="5"/>
  <c r="BF404" i="5"/>
  <c r="BG404" i="5"/>
  <c r="BE404" i="5"/>
  <c r="BD404" i="5"/>
  <c r="AZ404" i="5"/>
  <c r="BA404" i="5"/>
  <c r="BP404" i="5" s="1"/>
  <c r="AY404" i="5"/>
  <c r="AV404" i="5"/>
  <c r="AU404" i="5"/>
  <c r="BB404" i="5" s="1"/>
  <c r="CJ477" i="5"/>
  <c r="CI477" i="5"/>
  <c r="CG477" i="5"/>
  <c r="CK477" i="5"/>
  <c r="CF477" i="5"/>
  <c r="CE477" i="5"/>
  <c r="CH477" i="5"/>
  <c r="CD477" i="5"/>
  <c r="CC477" i="5"/>
  <c r="CA477" i="5"/>
  <c r="BZ477" i="5"/>
  <c r="BY477" i="5"/>
  <c r="BW477" i="5"/>
  <c r="BX477" i="5"/>
  <c r="BT477" i="5"/>
  <c r="BV477" i="5"/>
  <c r="BU477" i="5"/>
  <c r="BR477" i="5"/>
  <c r="BS477" i="5"/>
  <c r="BQ477" i="5"/>
  <c r="BM477" i="5"/>
  <c r="BL477" i="5"/>
  <c r="BK477" i="5"/>
  <c r="BJ477" i="5"/>
  <c r="BI477" i="5"/>
  <c r="BH477" i="5"/>
  <c r="BG477" i="5"/>
  <c r="BF477" i="5"/>
  <c r="BE477" i="5"/>
  <c r="BD477" i="5"/>
  <c r="BA477" i="5"/>
  <c r="BP477" i="5" s="1"/>
  <c r="AZ477" i="5"/>
  <c r="AY477" i="5"/>
  <c r="AV477" i="5"/>
  <c r="BC477" i="5" s="1"/>
  <c r="AU477" i="5"/>
  <c r="BB477" i="5" s="1"/>
  <c r="CJ550" i="5"/>
  <c r="CI550" i="5"/>
  <c r="CK550" i="5"/>
  <c r="CH550" i="5"/>
  <c r="CG550" i="5"/>
  <c r="CF550" i="5"/>
  <c r="CD550" i="5"/>
  <c r="CC550" i="5"/>
  <c r="CE550" i="5"/>
  <c r="BY550" i="5"/>
  <c r="CA550" i="5"/>
  <c r="BX550" i="5"/>
  <c r="BW550" i="5"/>
  <c r="BZ550" i="5"/>
  <c r="BU550" i="5"/>
  <c r="BV550" i="5"/>
  <c r="BS550" i="5"/>
  <c r="BT550" i="5"/>
  <c r="BR550" i="5"/>
  <c r="BQ550" i="5"/>
  <c r="BM550" i="5"/>
  <c r="BK550" i="5"/>
  <c r="BL550" i="5"/>
  <c r="BJ550" i="5"/>
  <c r="BI550" i="5"/>
  <c r="BH550" i="5"/>
  <c r="BG550" i="5"/>
  <c r="BF550" i="5"/>
  <c r="BD550" i="5"/>
  <c r="BE550" i="5"/>
  <c r="BA550" i="5"/>
  <c r="BP550" i="5" s="1"/>
  <c r="AV550" i="5"/>
  <c r="BC550" i="5" s="1"/>
  <c r="AZ550" i="5"/>
  <c r="AY550" i="5"/>
  <c r="AU550" i="5"/>
  <c r="BB550" i="5" s="1"/>
  <c r="CE623" i="5"/>
  <c r="CI623" i="5"/>
  <c r="CK623" i="5"/>
  <c r="CF623" i="5"/>
  <c r="CD623" i="5"/>
  <c r="CC623" i="5"/>
  <c r="BY623" i="5"/>
  <c r="CA623" i="5"/>
  <c r="BV623" i="5"/>
  <c r="BW623" i="5"/>
  <c r="BU623" i="5"/>
  <c r="BT623" i="5"/>
  <c r="BS623" i="5"/>
  <c r="BR623" i="5"/>
  <c r="BQ623" i="5"/>
  <c r="BK623" i="5"/>
  <c r="BM623" i="5"/>
  <c r="BI623" i="5"/>
  <c r="BJ623" i="5"/>
  <c r="BG623" i="5"/>
  <c r="BH623" i="5"/>
  <c r="BE623" i="5"/>
  <c r="BF623" i="5"/>
  <c r="BD623" i="5"/>
  <c r="AY623" i="5"/>
  <c r="BA623" i="5"/>
  <c r="BP623" i="5" s="1"/>
  <c r="AZ623" i="5"/>
  <c r="AU623" i="5"/>
  <c r="BN623" i="5" s="1"/>
  <c r="AV623" i="5"/>
  <c r="BO623" i="5" s="1"/>
  <c r="CJ696" i="5"/>
  <c r="CH696" i="5"/>
  <c r="CF696" i="5"/>
  <c r="CG696" i="5"/>
  <c r="CK696" i="5"/>
  <c r="CE696" i="5"/>
  <c r="CC696" i="5"/>
  <c r="CI696" i="5"/>
  <c r="CD696" i="5"/>
  <c r="CA696" i="5"/>
  <c r="BZ696" i="5"/>
  <c r="BY696" i="5"/>
  <c r="BX696" i="5"/>
  <c r="BV696" i="5"/>
  <c r="BW696" i="5"/>
  <c r="BU696" i="5"/>
  <c r="BT696" i="5"/>
  <c r="BS696" i="5"/>
  <c r="BR696" i="5"/>
  <c r="BQ696" i="5"/>
  <c r="BL696" i="5"/>
  <c r="BM696" i="5"/>
  <c r="BK696" i="5"/>
  <c r="BJ696" i="5"/>
  <c r="BI696" i="5"/>
  <c r="BH696" i="5"/>
  <c r="BG696" i="5"/>
  <c r="BF696" i="5"/>
  <c r="BE696" i="5"/>
  <c r="BD696" i="5"/>
  <c r="AZ696" i="5"/>
  <c r="AV696" i="5"/>
  <c r="BO696" i="5" s="1"/>
  <c r="AY696" i="5"/>
  <c r="BA696" i="5"/>
  <c r="BP696" i="5" s="1"/>
  <c r="AU696" i="5"/>
  <c r="BN696" i="5" s="1"/>
  <c r="CI770" i="5"/>
  <c r="CK770" i="5"/>
  <c r="CF770" i="5"/>
  <c r="CE770" i="5"/>
  <c r="CC770" i="5"/>
  <c r="CD770" i="5"/>
  <c r="CA770" i="5"/>
  <c r="BY770" i="5"/>
  <c r="BU770" i="5"/>
  <c r="BV770" i="5"/>
  <c r="BW770" i="5"/>
  <c r="BS770" i="5"/>
  <c r="BT770" i="5"/>
  <c r="BQ770" i="5"/>
  <c r="BR770" i="5"/>
  <c r="BM770" i="5"/>
  <c r="BK770" i="5"/>
  <c r="BJ770" i="5"/>
  <c r="BI770" i="5"/>
  <c r="BH770" i="5"/>
  <c r="BG770" i="5"/>
  <c r="BF770" i="5"/>
  <c r="BD770" i="5"/>
  <c r="BE770" i="5"/>
  <c r="BA770" i="5"/>
  <c r="BP770" i="5" s="1"/>
  <c r="AZ770" i="5"/>
  <c r="AY770" i="5"/>
  <c r="AV770" i="5"/>
  <c r="BO770" i="5" s="1"/>
  <c r="AU770" i="5"/>
  <c r="CJ843" i="5"/>
  <c r="CH843" i="5"/>
  <c r="CI843" i="5"/>
  <c r="CK843" i="5"/>
  <c r="CE843" i="5"/>
  <c r="CF843" i="5"/>
  <c r="CG843" i="5"/>
  <c r="CD843" i="5"/>
  <c r="CC843" i="5"/>
  <c r="BZ843" i="5"/>
  <c r="BY843" i="5"/>
  <c r="CA843" i="5"/>
  <c r="BX843" i="5"/>
  <c r="BW843" i="5"/>
  <c r="BV843" i="5"/>
  <c r="BU843" i="5"/>
  <c r="BT843" i="5"/>
  <c r="BQ843" i="5"/>
  <c r="BR843" i="5"/>
  <c r="BS843" i="5"/>
  <c r="BM843" i="5"/>
  <c r="BL843" i="5"/>
  <c r="BI843" i="5"/>
  <c r="BG843" i="5"/>
  <c r="BK843" i="5"/>
  <c r="BJ843" i="5"/>
  <c r="BH843" i="5"/>
  <c r="BE843" i="5"/>
  <c r="BF843" i="5"/>
  <c r="BD843" i="5"/>
  <c r="AY843" i="5"/>
  <c r="BA843" i="5"/>
  <c r="BP843" i="5" s="1"/>
  <c r="AZ843" i="5"/>
  <c r="AU843" i="5"/>
  <c r="BN843" i="5" s="1"/>
  <c r="AV843" i="5"/>
  <c r="BO843" i="5" s="1"/>
  <c r="CJ916" i="5"/>
  <c r="CK916" i="5"/>
  <c r="CF916" i="5"/>
  <c r="CG916" i="5"/>
  <c r="CI916" i="5"/>
  <c r="CH916" i="5"/>
  <c r="CE916" i="5"/>
  <c r="CA916" i="5"/>
  <c r="CD916" i="5"/>
  <c r="CC916" i="5"/>
  <c r="BX916" i="5"/>
  <c r="BY916" i="5"/>
  <c r="BZ916" i="5"/>
  <c r="BW916" i="5"/>
  <c r="BU916" i="5"/>
  <c r="BV916" i="5"/>
  <c r="BT916" i="5"/>
  <c r="BS916" i="5"/>
  <c r="BQ916" i="5"/>
  <c r="BR916" i="5"/>
  <c r="BJ916" i="5"/>
  <c r="BL916" i="5"/>
  <c r="BK916" i="5"/>
  <c r="BM916" i="5"/>
  <c r="BI916" i="5"/>
  <c r="BH916" i="5"/>
  <c r="BF916" i="5"/>
  <c r="BG916" i="5"/>
  <c r="BE916" i="5"/>
  <c r="BD916" i="5"/>
  <c r="AZ916" i="5"/>
  <c r="BA916" i="5"/>
  <c r="BP916" i="5" s="1"/>
  <c r="AY916" i="5"/>
  <c r="AV916" i="5"/>
  <c r="BO916" i="5" s="1"/>
  <c r="AU916" i="5"/>
  <c r="BB916" i="5" s="1"/>
  <c r="CI989" i="5"/>
  <c r="CK989" i="5"/>
  <c r="CF989" i="5"/>
  <c r="CE989" i="5"/>
  <c r="CD989" i="5"/>
  <c r="CC989" i="5"/>
  <c r="CA989" i="5"/>
  <c r="BY989" i="5"/>
  <c r="BW989" i="5"/>
  <c r="BU989" i="5"/>
  <c r="BV989" i="5"/>
  <c r="BT989" i="5"/>
  <c r="BS989" i="5"/>
  <c r="BR989" i="5"/>
  <c r="BQ989" i="5"/>
  <c r="BM989" i="5"/>
  <c r="BK989" i="5"/>
  <c r="BI989" i="5"/>
  <c r="BJ989" i="5"/>
  <c r="BH989" i="5"/>
  <c r="BG989" i="5"/>
  <c r="BF989" i="5"/>
  <c r="BE989" i="5"/>
  <c r="BD989" i="5"/>
  <c r="BA989" i="5"/>
  <c r="BP989" i="5" s="1"/>
  <c r="AZ989" i="5"/>
  <c r="AY989" i="5"/>
  <c r="AV989" i="5"/>
  <c r="BO989" i="5" s="1"/>
  <c r="AU989" i="5"/>
  <c r="BN989" i="5" s="1"/>
  <c r="CI1062" i="5"/>
  <c r="CK1062" i="5"/>
  <c r="CF1062" i="5"/>
  <c r="CD1062" i="5"/>
  <c r="CC1062" i="5"/>
  <c r="CE1062" i="5"/>
  <c r="CA1062" i="5"/>
  <c r="BW1062" i="5"/>
  <c r="BY1062" i="5"/>
  <c r="BU1062" i="5"/>
  <c r="BV1062" i="5"/>
  <c r="BS1062" i="5"/>
  <c r="BT1062" i="5"/>
  <c r="BR1062" i="5"/>
  <c r="BQ1062" i="5"/>
  <c r="BM1062" i="5"/>
  <c r="BK1062" i="5"/>
  <c r="BJ1062" i="5"/>
  <c r="BI1062" i="5"/>
  <c r="BH1062" i="5"/>
  <c r="BG1062" i="5"/>
  <c r="BD1062" i="5"/>
  <c r="BF1062" i="5"/>
  <c r="BE1062" i="5"/>
  <c r="AV1062" i="5"/>
  <c r="BO1062" i="5" s="1"/>
  <c r="BA1062" i="5"/>
  <c r="BP1062" i="5" s="1"/>
  <c r="AZ1062" i="5"/>
  <c r="AY1062" i="5"/>
  <c r="AU1062" i="5"/>
  <c r="BN1062" i="5" s="1"/>
  <c r="CE1135" i="5"/>
  <c r="CK1135" i="5"/>
  <c r="CI1135" i="5"/>
  <c r="CD1135" i="5"/>
  <c r="CF1135" i="5"/>
  <c r="CC1135" i="5"/>
  <c r="BY1135" i="5"/>
  <c r="CA1135" i="5"/>
  <c r="BV1135" i="5"/>
  <c r="BW1135" i="5"/>
  <c r="BT1135" i="5"/>
  <c r="BU1135" i="5"/>
  <c r="BS1135" i="5"/>
  <c r="BR1135" i="5"/>
  <c r="BQ1135" i="5"/>
  <c r="BM1135" i="5"/>
  <c r="BK1135" i="5"/>
  <c r="BJ1135" i="5"/>
  <c r="BI1135" i="5"/>
  <c r="BG1135" i="5"/>
  <c r="BH1135" i="5"/>
  <c r="BE1135" i="5"/>
  <c r="BF1135" i="5"/>
  <c r="BD1135" i="5"/>
  <c r="AY1135" i="5"/>
  <c r="BA1135" i="5"/>
  <c r="BP1135" i="5" s="1"/>
  <c r="AZ1135" i="5"/>
  <c r="AU1135" i="5"/>
  <c r="AV1135" i="5"/>
  <c r="BO1135" i="5" s="1"/>
  <c r="CK1208" i="5"/>
  <c r="CF1208" i="5"/>
  <c r="CE1208" i="5"/>
  <c r="CI1208" i="5"/>
  <c r="CD1208" i="5"/>
  <c r="CA1208" i="5"/>
  <c r="CC1208" i="5"/>
  <c r="BY1208" i="5"/>
  <c r="BW1208" i="5"/>
  <c r="BV1208" i="5"/>
  <c r="BU1208" i="5"/>
  <c r="BT1208" i="5"/>
  <c r="BS1208" i="5"/>
  <c r="BR1208" i="5"/>
  <c r="BQ1208" i="5"/>
  <c r="BM1208" i="5"/>
  <c r="BJ1208" i="5"/>
  <c r="BK1208" i="5"/>
  <c r="BH1208" i="5"/>
  <c r="BI1208" i="5"/>
  <c r="BG1208" i="5"/>
  <c r="BF1208" i="5"/>
  <c r="BE1208" i="5"/>
  <c r="BD1208" i="5"/>
  <c r="AZ1208" i="5"/>
  <c r="AV1208" i="5"/>
  <c r="BO1208" i="5" s="1"/>
  <c r="AY1208" i="5"/>
  <c r="BA1208" i="5"/>
  <c r="BP1208" i="5" s="1"/>
  <c r="AU1208" i="5"/>
  <c r="BN1208" i="5" s="1"/>
  <c r="CI1282" i="5"/>
  <c r="CF1282" i="5"/>
  <c r="CE1282" i="5"/>
  <c r="CK1282" i="5"/>
  <c r="CC1282" i="5"/>
  <c r="CD1282" i="5"/>
  <c r="CA1282" i="5"/>
  <c r="BY1282" i="5"/>
  <c r="BU1282" i="5"/>
  <c r="BW1282" i="5"/>
  <c r="BV1282" i="5"/>
  <c r="BS1282" i="5"/>
  <c r="BT1282" i="5"/>
  <c r="BR1282" i="5"/>
  <c r="BQ1282" i="5"/>
  <c r="BM1282" i="5"/>
  <c r="BK1282" i="5"/>
  <c r="BJ1282" i="5"/>
  <c r="BI1282" i="5"/>
  <c r="BH1282" i="5"/>
  <c r="BG1282" i="5"/>
  <c r="BF1282" i="5"/>
  <c r="BE1282" i="5"/>
  <c r="BD1282" i="5"/>
  <c r="BA1282" i="5"/>
  <c r="BP1282" i="5" s="1"/>
  <c r="AZ1282" i="5"/>
  <c r="AY1282" i="5"/>
  <c r="AU1282" i="5"/>
  <c r="BN1282" i="5" s="1"/>
  <c r="AV1282" i="5"/>
  <c r="BO1282" i="5" s="1"/>
  <c r="CJ122" i="5"/>
  <c r="CI122" i="5"/>
  <c r="CG122" i="5"/>
  <c r="CD122" i="5"/>
  <c r="CK122" i="5"/>
  <c r="CH122" i="5"/>
  <c r="CF122" i="5"/>
  <c r="CE122" i="5"/>
  <c r="CC122" i="5"/>
  <c r="BY122" i="5"/>
  <c r="BZ122" i="5"/>
  <c r="CA122" i="5"/>
  <c r="BU122" i="5"/>
  <c r="BX122" i="5"/>
  <c r="BW122" i="5"/>
  <c r="BV122" i="5"/>
  <c r="BS122" i="5"/>
  <c r="BT122" i="5"/>
  <c r="BQ122" i="5"/>
  <c r="BR122" i="5"/>
  <c r="BM122" i="5"/>
  <c r="BK122" i="5"/>
  <c r="BL122" i="5"/>
  <c r="BJ122" i="5"/>
  <c r="BI122" i="5"/>
  <c r="BH122" i="5"/>
  <c r="BF122" i="5"/>
  <c r="BG122" i="5"/>
  <c r="BD122" i="5"/>
  <c r="BE122" i="5"/>
  <c r="BA122" i="5"/>
  <c r="BP122" i="5" s="1"/>
  <c r="AZ122" i="5"/>
  <c r="AY122" i="5"/>
  <c r="AU122" i="5"/>
  <c r="BN122" i="5" s="1"/>
  <c r="AV122" i="5"/>
  <c r="BO122" i="5" s="1"/>
  <c r="CK268" i="5"/>
  <c r="CG268" i="5"/>
  <c r="CF268" i="5"/>
  <c r="CH268" i="5"/>
  <c r="CI268" i="5"/>
  <c r="CC268" i="5"/>
  <c r="CJ268" i="5"/>
  <c r="CE268" i="5"/>
  <c r="CD268" i="5"/>
  <c r="CA268" i="5"/>
  <c r="BX268" i="5"/>
  <c r="BZ268" i="5"/>
  <c r="BV268" i="5"/>
  <c r="BY268" i="5"/>
  <c r="BW268" i="5"/>
  <c r="BU268" i="5"/>
  <c r="BT268" i="5"/>
  <c r="BS268" i="5"/>
  <c r="BR268" i="5"/>
  <c r="BQ268" i="5"/>
  <c r="BM268" i="5"/>
  <c r="BK268" i="5"/>
  <c r="BJ268" i="5"/>
  <c r="BL268" i="5"/>
  <c r="BI268" i="5"/>
  <c r="BH268" i="5"/>
  <c r="BF268" i="5"/>
  <c r="BG268" i="5"/>
  <c r="BE268" i="5"/>
  <c r="BD268" i="5"/>
  <c r="AZ268" i="5"/>
  <c r="BA268" i="5"/>
  <c r="BP268" i="5" s="1"/>
  <c r="AY268" i="5"/>
  <c r="AV268" i="5"/>
  <c r="BO268" i="5" s="1"/>
  <c r="AU268" i="5"/>
  <c r="BN268" i="5" s="1"/>
  <c r="CK414" i="5"/>
  <c r="CJ414" i="5"/>
  <c r="CI414" i="5"/>
  <c r="CH414" i="5"/>
  <c r="CD414" i="5"/>
  <c r="CG414" i="5"/>
  <c r="CF414" i="5"/>
  <c r="CE414" i="5"/>
  <c r="CC414" i="5"/>
  <c r="BY414" i="5"/>
  <c r="CA414" i="5"/>
  <c r="BX414" i="5"/>
  <c r="BZ414" i="5"/>
  <c r="BU414" i="5"/>
  <c r="BV414" i="5"/>
  <c r="BW414" i="5"/>
  <c r="BS414" i="5"/>
  <c r="BT414" i="5"/>
  <c r="BR414" i="5"/>
  <c r="BQ414" i="5"/>
  <c r="BM414" i="5"/>
  <c r="BK414" i="5"/>
  <c r="BL414" i="5"/>
  <c r="BJ414" i="5"/>
  <c r="BI414" i="5"/>
  <c r="BH414" i="5"/>
  <c r="BG414" i="5"/>
  <c r="BF414" i="5"/>
  <c r="BD414" i="5"/>
  <c r="BE414" i="5"/>
  <c r="BA414" i="5"/>
  <c r="BP414" i="5" s="1"/>
  <c r="AV414" i="5"/>
  <c r="BO414" i="5" s="1"/>
  <c r="AZ414" i="5"/>
  <c r="AY414" i="5"/>
  <c r="AU414" i="5"/>
  <c r="BN414" i="5" s="1"/>
  <c r="CK560" i="5"/>
  <c r="CI560" i="5"/>
  <c r="CH560" i="5"/>
  <c r="CF560" i="5"/>
  <c r="CJ560" i="5"/>
  <c r="CC560" i="5"/>
  <c r="CG560" i="5"/>
  <c r="CD560" i="5"/>
  <c r="CE560" i="5"/>
  <c r="CA560" i="5"/>
  <c r="BX560" i="5"/>
  <c r="BZ560" i="5"/>
  <c r="BY560" i="5"/>
  <c r="BW560" i="5"/>
  <c r="BV560" i="5"/>
  <c r="BU560" i="5"/>
  <c r="BS560" i="5"/>
  <c r="BT560" i="5"/>
  <c r="BQ560" i="5"/>
  <c r="BR560" i="5"/>
  <c r="BL560" i="5"/>
  <c r="BK560" i="5"/>
  <c r="BM560" i="5"/>
  <c r="BJ560" i="5"/>
  <c r="BI560" i="5"/>
  <c r="BH560" i="5"/>
  <c r="BG560" i="5"/>
  <c r="BF560" i="5"/>
  <c r="BE560" i="5"/>
  <c r="BD560" i="5"/>
  <c r="AZ560" i="5"/>
  <c r="AV560" i="5"/>
  <c r="BO560" i="5" s="1"/>
  <c r="AY560" i="5"/>
  <c r="BA560" i="5"/>
  <c r="BP560" i="5" s="1"/>
  <c r="AU560" i="5"/>
  <c r="BN560" i="5" s="1"/>
  <c r="CK707" i="5"/>
  <c r="CH707" i="5"/>
  <c r="CE707" i="5"/>
  <c r="CJ707" i="5"/>
  <c r="CI707" i="5"/>
  <c r="CF707" i="5"/>
  <c r="CG707" i="5"/>
  <c r="CD707" i="5"/>
  <c r="CC707" i="5"/>
  <c r="BZ707" i="5"/>
  <c r="BY707" i="5"/>
  <c r="CA707" i="5"/>
  <c r="BX707" i="5"/>
  <c r="BV707" i="5"/>
  <c r="BW707" i="5"/>
  <c r="BU707" i="5"/>
  <c r="BT707" i="5"/>
  <c r="BS707" i="5"/>
  <c r="BR707" i="5"/>
  <c r="BQ707" i="5"/>
  <c r="BM707" i="5"/>
  <c r="BL707" i="5"/>
  <c r="BI707" i="5"/>
  <c r="BK707" i="5"/>
  <c r="BJ707" i="5"/>
  <c r="BG707" i="5"/>
  <c r="BH707" i="5"/>
  <c r="BF707" i="5"/>
  <c r="BE707" i="5"/>
  <c r="BD707" i="5"/>
  <c r="AY707" i="5"/>
  <c r="BA707" i="5"/>
  <c r="BP707" i="5" s="1"/>
  <c r="AZ707" i="5"/>
  <c r="AU707" i="5"/>
  <c r="BN707" i="5" s="1"/>
  <c r="AV707" i="5"/>
  <c r="BO707" i="5" s="1"/>
  <c r="CJ853" i="5"/>
  <c r="CI853" i="5"/>
  <c r="CH853" i="5"/>
  <c r="CK853" i="5"/>
  <c r="CD853" i="5"/>
  <c r="CE853" i="5"/>
  <c r="CG853" i="5"/>
  <c r="CF853" i="5"/>
  <c r="CC853" i="5"/>
  <c r="CA853" i="5"/>
  <c r="BW853" i="5"/>
  <c r="BZ853" i="5"/>
  <c r="BY853" i="5"/>
  <c r="BX853" i="5"/>
  <c r="BV853" i="5"/>
  <c r="BU853" i="5"/>
  <c r="BR853" i="5"/>
  <c r="BT853" i="5"/>
  <c r="BQ853" i="5"/>
  <c r="BS853" i="5"/>
  <c r="BM853" i="5"/>
  <c r="BL853" i="5"/>
  <c r="BK853" i="5"/>
  <c r="BJ853" i="5"/>
  <c r="BI853" i="5"/>
  <c r="BH853" i="5"/>
  <c r="BG853" i="5"/>
  <c r="BF853" i="5"/>
  <c r="BE853" i="5"/>
  <c r="BD853" i="5"/>
  <c r="BA853" i="5"/>
  <c r="BP853" i="5" s="1"/>
  <c r="AZ853" i="5"/>
  <c r="AY853" i="5"/>
  <c r="AV853" i="5"/>
  <c r="BO853" i="5" s="1"/>
  <c r="AU853" i="5"/>
  <c r="BN853" i="5" s="1"/>
  <c r="CK999" i="5"/>
  <c r="CE999" i="5"/>
  <c r="CF999" i="5"/>
  <c r="CI999" i="5"/>
  <c r="CC999" i="5"/>
  <c r="CD999" i="5"/>
  <c r="CA999" i="5"/>
  <c r="BY999" i="5"/>
  <c r="BV999" i="5"/>
  <c r="BW999" i="5"/>
  <c r="BT999" i="5"/>
  <c r="BU999" i="5"/>
  <c r="BR999" i="5"/>
  <c r="BQ999" i="5"/>
  <c r="BS999" i="5"/>
  <c r="BM999" i="5"/>
  <c r="BK999" i="5"/>
  <c r="BJ999" i="5"/>
  <c r="BI999" i="5"/>
  <c r="BG999" i="5"/>
  <c r="BE999" i="5"/>
  <c r="BH999" i="5"/>
  <c r="BF999" i="5"/>
  <c r="BD999" i="5"/>
  <c r="AY999" i="5"/>
  <c r="BA999" i="5"/>
  <c r="BP999" i="5" s="1"/>
  <c r="AZ999" i="5"/>
  <c r="AU999" i="5"/>
  <c r="BN999" i="5" s="1"/>
  <c r="AV999" i="5"/>
  <c r="BO999" i="5" s="1"/>
  <c r="CI1146" i="5"/>
  <c r="CJ1146" i="5"/>
  <c r="CK1146" i="5"/>
  <c r="CF1146" i="5"/>
  <c r="CG1146" i="5"/>
  <c r="CH1146" i="5"/>
  <c r="CC1146" i="5"/>
  <c r="CE1146" i="5"/>
  <c r="CD1146" i="5"/>
  <c r="CA1146" i="5"/>
  <c r="BZ1146" i="5"/>
  <c r="BY1146" i="5"/>
  <c r="BW1146" i="5"/>
  <c r="BV1146" i="5"/>
  <c r="BU1146" i="5"/>
  <c r="BX1146" i="5"/>
  <c r="BS1146" i="5"/>
  <c r="BT1146" i="5"/>
  <c r="BR1146" i="5"/>
  <c r="BQ1146" i="5"/>
  <c r="BM1146" i="5"/>
  <c r="BL1146" i="5"/>
  <c r="BI1146" i="5"/>
  <c r="BK1146" i="5"/>
  <c r="BJ1146" i="5"/>
  <c r="BH1146" i="5"/>
  <c r="BG1146" i="5"/>
  <c r="BF1146" i="5"/>
  <c r="BE1146" i="5"/>
  <c r="BD1146" i="5"/>
  <c r="BA1146" i="5"/>
  <c r="BP1146" i="5" s="1"/>
  <c r="AZ1146" i="5"/>
  <c r="AY1146" i="5"/>
  <c r="AU1146" i="5"/>
  <c r="BB1146" i="5" s="1"/>
  <c r="AV1146" i="5"/>
  <c r="BC1146" i="5" s="1"/>
  <c r="BX13" i="5"/>
  <c r="CK104" i="5"/>
  <c r="CH104" i="5"/>
  <c r="CF104" i="5"/>
  <c r="CJ104" i="5"/>
  <c r="CI104" i="5"/>
  <c r="CG104" i="5"/>
  <c r="CE104" i="5"/>
  <c r="CD104" i="5"/>
  <c r="CC104" i="5"/>
  <c r="CA104" i="5"/>
  <c r="BZ104" i="5"/>
  <c r="BY104" i="5"/>
  <c r="BV104" i="5"/>
  <c r="BX104" i="5"/>
  <c r="BW104" i="5"/>
  <c r="BT104" i="5"/>
  <c r="BU104" i="5"/>
  <c r="BS104" i="5"/>
  <c r="BR104" i="5"/>
  <c r="BQ104" i="5"/>
  <c r="BL104" i="5"/>
  <c r="BK104" i="5"/>
  <c r="BM104" i="5"/>
  <c r="BJ104" i="5"/>
  <c r="BH104" i="5"/>
  <c r="BI104" i="5"/>
  <c r="BG104" i="5"/>
  <c r="BF104" i="5"/>
  <c r="BE104" i="5"/>
  <c r="BD104" i="5"/>
  <c r="BA104" i="5"/>
  <c r="AZ104" i="5"/>
  <c r="AV104" i="5"/>
  <c r="AY104" i="5"/>
  <c r="AU104" i="5"/>
  <c r="CK178" i="5"/>
  <c r="CI178" i="5"/>
  <c r="CD178" i="5"/>
  <c r="CF178" i="5"/>
  <c r="CE178" i="5"/>
  <c r="CG178" i="5"/>
  <c r="CC178" i="5"/>
  <c r="BY178" i="5"/>
  <c r="CA178" i="5"/>
  <c r="BU178" i="5"/>
  <c r="BV178" i="5"/>
  <c r="BW178" i="5"/>
  <c r="BS178" i="5"/>
  <c r="BT178" i="5"/>
  <c r="BQ178" i="5"/>
  <c r="BR178" i="5"/>
  <c r="BM178" i="5"/>
  <c r="BK178" i="5"/>
  <c r="BJ178" i="5"/>
  <c r="BI178" i="5"/>
  <c r="BH178" i="5"/>
  <c r="BF178" i="5"/>
  <c r="BD178" i="5"/>
  <c r="BG178" i="5"/>
  <c r="BE178" i="5"/>
  <c r="BA178" i="5"/>
  <c r="BP178" i="5" s="1"/>
  <c r="AZ178" i="5"/>
  <c r="AY178" i="5"/>
  <c r="AU178" i="5"/>
  <c r="BN178" i="5" s="1"/>
  <c r="AV178" i="5"/>
  <c r="BO178" i="5" s="1"/>
  <c r="CK324" i="5"/>
  <c r="CJ324" i="5"/>
  <c r="CH324" i="5"/>
  <c r="CG324" i="5"/>
  <c r="CF324" i="5"/>
  <c r="CD324" i="5"/>
  <c r="CI324" i="5"/>
  <c r="CC324" i="5"/>
  <c r="CE324" i="5"/>
  <c r="CA324" i="5"/>
  <c r="BY324" i="5"/>
  <c r="BV324" i="5"/>
  <c r="BX324" i="5"/>
  <c r="BZ324" i="5"/>
  <c r="BW324" i="5"/>
  <c r="BU324" i="5"/>
  <c r="BT324" i="5"/>
  <c r="BS324" i="5"/>
  <c r="BR324" i="5"/>
  <c r="BQ324" i="5"/>
  <c r="BL324" i="5"/>
  <c r="BM324" i="5"/>
  <c r="BJ324" i="5"/>
  <c r="BK324" i="5"/>
  <c r="BI324" i="5"/>
  <c r="BH324" i="5"/>
  <c r="BG324" i="5"/>
  <c r="BF324" i="5"/>
  <c r="BE324" i="5"/>
  <c r="BD324" i="5"/>
  <c r="AZ324" i="5"/>
  <c r="BA324" i="5"/>
  <c r="BP324" i="5" s="1"/>
  <c r="AY324" i="5"/>
  <c r="AU324" i="5"/>
  <c r="BN324" i="5" s="1"/>
  <c r="AV324" i="5"/>
  <c r="BO324" i="5" s="1"/>
  <c r="CK470" i="5"/>
  <c r="CI470" i="5"/>
  <c r="CD470" i="5"/>
  <c r="CF470" i="5"/>
  <c r="CC470" i="5"/>
  <c r="CE470" i="5"/>
  <c r="BY470" i="5"/>
  <c r="CA470" i="5"/>
  <c r="BW470" i="5"/>
  <c r="BV470" i="5"/>
  <c r="BU470" i="5"/>
  <c r="BS470" i="5"/>
  <c r="BT470" i="5"/>
  <c r="BQ470" i="5"/>
  <c r="BR470" i="5"/>
  <c r="BM470" i="5"/>
  <c r="BK470" i="5"/>
  <c r="BJ470" i="5"/>
  <c r="BI470" i="5"/>
  <c r="BF470" i="5"/>
  <c r="BH470" i="5"/>
  <c r="BG470" i="5"/>
  <c r="BE470" i="5"/>
  <c r="BD470" i="5"/>
  <c r="BA470" i="5"/>
  <c r="BP470" i="5" s="1"/>
  <c r="AZ470" i="5"/>
  <c r="AY470" i="5"/>
  <c r="AV470" i="5"/>
  <c r="BC470" i="5" s="1"/>
  <c r="AU470" i="5"/>
  <c r="BB470" i="5" s="1"/>
  <c r="CK616" i="5"/>
  <c r="CJ616" i="5"/>
  <c r="CF616" i="5"/>
  <c r="CH616" i="5"/>
  <c r="CG616" i="5"/>
  <c r="CE616" i="5"/>
  <c r="CI616" i="5"/>
  <c r="CC616" i="5"/>
  <c r="CD616" i="5"/>
  <c r="CA616" i="5"/>
  <c r="BZ616" i="5"/>
  <c r="BX616" i="5"/>
  <c r="BY616" i="5"/>
  <c r="BV616" i="5"/>
  <c r="BW616" i="5"/>
  <c r="BU616" i="5"/>
  <c r="BT616" i="5"/>
  <c r="BS616" i="5"/>
  <c r="BR616" i="5"/>
  <c r="BQ616" i="5"/>
  <c r="BK616" i="5"/>
  <c r="BL616" i="5"/>
  <c r="BM616" i="5"/>
  <c r="BJ616" i="5"/>
  <c r="BH616" i="5"/>
  <c r="BI616" i="5"/>
  <c r="BG616" i="5"/>
  <c r="BF616" i="5"/>
  <c r="BE616" i="5"/>
  <c r="BD616" i="5"/>
  <c r="AZ616" i="5"/>
  <c r="AV616" i="5"/>
  <c r="BC616" i="5" s="1"/>
  <c r="AY616" i="5"/>
  <c r="BA616" i="5"/>
  <c r="BP616" i="5" s="1"/>
  <c r="AU616" i="5"/>
  <c r="BB616" i="5" s="1"/>
  <c r="CK763" i="5"/>
  <c r="CI763" i="5"/>
  <c r="CE763" i="5"/>
  <c r="CJ763" i="5"/>
  <c r="CH763" i="5"/>
  <c r="CF763" i="5"/>
  <c r="CG763" i="5"/>
  <c r="CD763" i="5"/>
  <c r="CC763" i="5"/>
  <c r="BZ763" i="5"/>
  <c r="BY763" i="5"/>
  <c r="BX763" i="5"/>
  <c r="CA763" i="5"/>
  <c r="BW763" i="5"/>
  <c r="BV763" i="5"/>
  <c r="BU763" i="5"/>
  <c r="BT763" i="5"/>
  <c r="BR763" i="5"/>
  <c r="BQ763" i="5"/>
  <c r="BS763" i="5"/>
  <c r="BM763" i="5"/>
  <c r="BL763" i="5"/>
  <c r="BI763" i="5"/>
  <c r="BJ763" i="5"/>
  <c r="BG763" i="5"/>
  <c r="BK763" i="5"/>
  <c r="BH763" i="5"/>
  <c r="BE763" i="5"/>
  <c r="BF763" i="5"/>
  <c r="BD763" i="5"/>
  <c r="AY763" i="5"/>
  <c r="AU763" i="5"/>
  <c r="BB763" i="5" s="1"/>
  <c r="BA763" i="5"/>
  <c r="BP763" i="5" s="1"/>
  <c r="AZ763" i="5"/>
  <c r="AV763" i="5"/>
  <c r="BC763" i="5" s="1"/>
  <c r="CK909" i="5"/>
  <c r="CJ909" i="5"/>
  <c r="CG909" i="5"/>
  <c r="CF909" i="5"/>
  <c r="CE909" i="5"/>
  <c r="CD909" i="5"/>
  <c r="CI909" i="5"/>
  <c r="CH909" i="5"/>
  <c r="CC909" i="5"/>
  <c r="CA909" i="5"/>
  <c r="BZ909" i="5"/>
  <c r="BX909" i="5"/>
  <c r="BW909" i="5"/>
  <c r="BY909" i="5"/>
  <c r="BR909" i="5"/>
  <c r="BU909" i="5"/>
  <c r="BV909" i="5"/>
  <c r="BT909" i="5"/>
  <c r="BS909" i="5"/>
  <c r="BQ909" i="5"/>
  <c r="BL909" i="5"/>
  <c r="BM909" i="5"/>
  <c r="BK909" i="5"/>
  <c r="BJ909" i="5"/>
  <c r="BI909" i="5"/>
  <c r="BH909" i="5"/>
  <c r="BG909" i="5"/>
  <c r="BF909" i="5"/>
  <c r="BE909" i="5"/>
  <c r="BD909" i="5"/>
  <c r="BA909" i="5"/>
  <c r="BP909" i="5" s="1"/>
  <c r="AZ909" i="5"/>
  <c r="AY909" i="5"/>
  <c r="AV909" i="5"/>
  <c r="BC909" i="5" s="1"/>
  <c r="AU909" i="5"/>
  <c r="CK1055" i="5"/>
  <c r="CE1055" i="5"/>
  <c r="CF1055" i="5"/>
  <c r="CI1055" i="5"/>
  <c r="CD1055" i="5"/>
  <c r="CC1055" i="5"/>
  <c r="BY1055" i="5"/>
  <c r="CA1055" i="5"/>
  <c r="BV1055" i="5"/>
  <c r="BW1055" i="5"/>
  <c r="BT1055" i="5"/>
  <c r="BU1055" i="5"/>
  <c r="BR1055" i="5"/>
  <c r="BQ1055" i="5"/>
  <c r="BS1055" i="5"/>
  <c r="BM1055" i="5"/>
  <c r="BI1055" i="5"/>
  <c r="BK1055" i="5"/>
  <c r="BJ1055" i="5"/>
  <c r="BG1055" i="5"/>
  <c r="BE1055" i="5"/>
  <c r="BH1055" i="5"/>
  <c r="BF1055" i="5"/>
  <c r="BD1055" i="5"/>
  <c r="AY1055" i="5"/>
  <c r="BA1055" i="5"/>
  <c r="BP1055" i="5" s="1"/>
  <c r="AZ1055" i="5"/>
  <c r="AV1055" i="5"/>
  <c r="BO1055" i="5" s="1"/>
  <c r="AU1055" i="5"/>
  <c r="BN1055" i="5" s="1"/>
  <c r="CK1202" i="5"/>
  <c r="CI1202" i="5"/>
  <c r="CF1202" i="5"/>
  <c r="CE1202" i="5"/>
  <c r="CC1202" i="5"/>
  <c r="CD1202" i="5"/>
  <c r="CA1202" i="5"/>
  <c r="BY1202" i="5"/>
  <c r="BU1202" i="5"/>
  <c r="BW1202" i="5"/>
  <c r="BV1202" i="5"/>
  <c r="BS1202" i="5"/>
  <c r="BT1202" i="5"/>
  <c r="BR1202" i="5"/>
  <c r="BQ1202" i="5"/>
  <c r="BM1202" i="5"/>
  <c r="BI1202" i="5"/>
  <c r="BK1202" i="5"/>
  <c r="BJ1202" i="5"/>
  <c r="BH1202" i="5"/>
  <c r="BG1202" i="5"/>
  <c r="BF1202" i="5"/>
  <c r="BE1202" i="5"/>
  <c r="BD1202" i="5"/>
  <c r="BA1202" i="5"/>
  <c r="BP1202" i="5" s="1"/>
  <c r="AZ1202" i="5"/>
  <c r="AY1202" i="5"/>
  <c r="AU1202" i="5"/>
  <c r="BN1202" i="5" s="1"/>
  <c r="AV1202" i="5"/>
  <c r="BO1202" i="5" s="1"/>
  <c r="BL51" i="5"/>
  <c r="BL60" i="5"/>
  <c r="BL69" i="5"/>
  <c r="CK78" i="5"/>
  <c r="CI78" i="5"/>
  <c r="CD78" i="5"/>
  <c r="CE78" i="5"/>
  <c r="CF78" i="5"/>
  <c r="CC78" i="5"/>
  <c r="BY78" i="5"/>
  <c r="CA78" i="5"/>
  <c r="BU78" i="5"/>
  <c r="BV78" i="5"/>
  <c r="BW78" i="5"/>
  <c r="BT78" i="5"/>
  <c r="BS78" i="5"/>
  <c r="BR78" i="5"/>
  <c r="BQ78" i="5"/>
  <c r="BM78" i="5"/>
  <c r="BK78" i="5"/>
  <c r="BJ78" i="5"/>
  <c r="BI78" i="5"/>
  <c r="BH78" i="5"/>
  <c r="BG78" i="5"/>
  <c r="BF78" i="5"/>
  <c r="BD78" i="5"/>
  <c r="BE78" i="5"/>
  <c r="BA78" i="5"/>
  <c r="BP78" i="5" s="1"/>
  <c r="AZ78" i="5"/>
  <c r="AY78" i="5"/>
  <c r="AV78" i="5"/>
  <c r="BO78" i="5" s="1"/>
  <c r="AU78" i="5"/>
  <c r="BN78" i="5" s="1"/>
  <c r="CK206" i="5"/>
  <c r="CI206" i="5"/>
  <c r="CD206" i="5"/>
  <c r="CG206" i="5"/>
  <c r="CE206" i="5"/>
  <c r="CF206" i="5"/>
  <c r="CC206" i="5"/>
  <c r="BY206" i="5"/>
  <c r="CA206" i="5"/>
  <c r="BU206" i="5"/>
  <c r="BV206" i="5"/>
  <c r="BW206" i="5"/>
  <c r="BT206" i="5"/>
  <c r="BS206" i="5"/>
  <c r="BR206" i="5"/>
  <c r="BQ206" i="5"/>
  <c r="BM206" i="5"/>
  <c r="BK206" i="5"/>
  <c r="BJ206" i="5"/>
  <c r="BI206" i="5"/>
  <c r="BH206" i="5"/>
  <c r="BG206" i="5"/>
  <c r="BF206" i="5"/>
  <c r="BD206" i="5"/>
  <c r="BE206" i="5"/>
  <c r="BA206" i="5"/>
  <c r="BP206" i="5" s="1"/>
  <c r="AZ206" i="5"/>
  <c r="AY206" i="5"/>
  <c r="AV206" i="5"/>
  <c r="BO206" i="5" s="1"/>
  <c r="AU206" i="5"/>
  <c r="BB206" i="5" s="1"/>
  <c r="CK279" i="5"/>
  <c r="CJ279" i="5"/>
  <c r="CH279" i="5"/>
  <c r="CG279" i="5"/>
  <c r="CI279" i="5"/>
  <c r="CE279" i="5"/>
  <c r="CF279" i="5"/>
  <c r="CD279" i="5"/>
  <c r="BZ279" i="5"/>
  <c r="CC279" i="5"/>
  <c r="CA279" i="5"/>
  <c r="BY279" i="5"/>
  <c r="BX279" i="5"/>
  <c r="BW279" i="5"/>
  <c r="BV279" i="5"/>
  <c r="BU279" i="5"/>
  <c r="BT279" i="5"/>
  <c r="BS279" i="5"/>
  <c r="BR279" i="5"/>
  <c r="BQ279" i="5"/>
  <c r="BK279" i="5"/>
  <c r="BM279" i="5"/>
  <c r="BI279" i="5"/>
  <c r="BL279" i="5"/>
  <c r="BJ279" i="5"/>
  <c r="BH279" i="5"/>
  <c r="BG279" i="5"/>
  <c r="BE279" i="5"/>
  <c r="BF279" i="5"/>
  <c r="BD279" i="5"/>
  <c r="BA279" i="5"/>
  <c r="BP279" i="5" s="1"/>
  <c r="AY279" i="5"/>
  <c r="AZ279" i="5"/>
  <c r="AV279" i="5"/>
  <c r="BC279" i="5" s="1"/>
  <c r="AU279" i="5"/>
  <c r="BN279" i="5" s="1"/>
  <c r="CK352" i="5"/>
  <c r="CJ352" i="5"/>
  <c r="CH352" i="5"/>
  <c r="CI352" i="5"/>
  <c r="CG352" i="5"/>
  <c r="CF352" i="5"/>
  <c r="CD352" i="5"/>
  <c r="CC352" i="5"/>
  <c r="CE352" i="5"/>
  <c r="CA352" i="5"/>
  <c r="BY352" i="5"/>
  <c r="BV352" i="5"/>
  <c r="BX352" i="5"/>
  <c r="BZ352" i="5"/>
  <c r="BW352" i="5"/>
  <c r="BU352" i="5"/>
  <c r="BT352" i="5"/>
  <c r="BS352" i="5"/>
  <c r="BR352" i="5"/>
  <c r="BQ352" i="5"/>
  <c r="BL352" i="5"/>
  <c r="BM352" i="5"/>
  <c r="BK352" i="5"/>
  <c r="BJ352" i="5"/>
  <c r="BH352" i="5"/>
  <c r="BI352" i="5"/>
  <c r="BG352" i="5"/>
  <c r="BF352" i="5"/>
  <c r="BE352" i="5"/>
  <c r="BD352" i="5"/>
  <c r="BA352" i="5"/>
  <c r="BP352" i="5" s="1"/>
  <c r="AZ352" i="5"/>
  <c r="AY352" i="5"/>
  <c r="AV352" i="5"/>
  <c r="BC352" i="5" s="1"/>
  <c r="AU352" i="5"/>
  <c r="BN352" i="5" s="1"/>
  <c r="CK426" i="5"/>
  <c r="CI426" i="5"/>
  <c r="CD426" i="5"/>
  <c r="CE426" i="5"/>
  <c r="CF426" i="5"/>
  <c r="CC426" i="5"/>
  <c r="BY426" i="5"/>
  <c r="CA426" i="5"/>
  <c r="BU426" i="5"/>
  <c r="BV426" i="5"/>
  <c r="BW426" i="5"/>
  <c r="BT426" i="5"/>
  <c r="BS426" i="5"/>
  <c r="BQ426" i="5"/>
  <c r="BR426" i="5"/>
  <c r="BM426" i="5"/>
  <c r="BK426" i="5"/>
  <c r="BJ426" i="5"/>
  <c r="BI426" i="5"/>
  <c r="BH426" i="5"/>
  <c r="BF426" i="5"/>
  <c r="BD426" i="5"/>
  <c r="BG426" i="5"/>
  <c r="BE426" i="5"/>
  <c r="BA426" i="5"/>
  <c r="BP426" i="5" s="1"/>
  <c r="AZ426" i="5"/>
  <c r="AY426" i="5"/>
  <c r="AU426" i="5"/>
  <c r="BB426" i="5" s="1"/>
  <c r="AV426" i="5"/>
  <c r="BC426" i="5" s="1"/>
  <c r="CK499" i="5"/>
  <c r="CE499" i="5"/>
  <c r="CI499" i="5"/>
  <c r="CF499" i="5"/>
  <c r="CD499" i="5"/>
  <c r="CC499" i="5"/>
  <c r="BY499" i="5"/>
  <c r="CA499" i="5"/>
  <c r="BV499" i="5"/>
  <c r="BW499" i="5"/>
  <c r="BU499" i="5"/>
  <c r="BT499" i="5"/>
  <c r="BS499" i="5"/>
  <c r="BR499" i="5"/>
  <c r="BQ499" i="5"/>
  <c r="BK499" i="5"/>
  <c r="BM499" i="5"/>
  <c r="BI499" i="5"/>
  <c r="BG499" i="5"/>
  <c r="BJ499" i="5"/>
  <c r="BH499" i="5"/>
  <c r="BF499" i="5"/>
  <c r="BE499" i="5"/>
  <c r="BD499" i="5"/>
  <c r="BA499" i="5"/>
  <c r="BP499" i="5" s="1"/>
  <c r="AY499" i="5"/>
  <c r="AU499" i="5"/>
  <c r="BN499" i="5" s="1"/>
  <c r="AZ499" i="5"/>
  <c r="AV499" i="5"/>
  <c r="BC499" i="5" s="1"/>
  <c r="CK572" i="5"/>
  <c r="CF572" i="5"/>
  <c r="CI572" i="5"/>
  <c r="CC572" i="5"/>
  <c r="CE572" i="5"/>
  <c r="CD572" i="5"/>
  <c r="CA572" i="5"/>
  <c r="BY572" i="5"/>
  <c r="BW572" i="5"/>
  <c r="BV572" i="5"/>
  <c r="BU572" i="5"/>
  <c r="BT572" i="5"/>
  <c r="BS572" i="5"/>
  <c r="BR572" i="5"/>
  <c r="BQ572" i="5"/>
  <c r="BJ572" i="5"/>
  <c r="BM572" i="5"/>
  <c r="BK572" i="5"/>
  <c r="BI572" i="5"/>
  <c r="BH572" i="5"/>
  <c r="BG572" i="5"/>
  <c r="BF572" i="5"/>
  <c r="BD572" i="5"/>
  <c r="BE572" i="5"/>
  <c r="AZ572" i="5"/>
  <c r="AY572" i="5"/>
  <c r="BA572" i="5"/>
  <c r="BP572" i="5" s="1"/>
  <c r="AU572" i="5"/>
  <c r="BN572" i="5" s="1"/>
  <c r="AV572" i="5"/>
  <c r="BO572" i="5" s="1"/>
  <c r="CK645" i="5"/>
  <c r="CI645" i="5"/>
  <c r="CJ645" i="5"/>
  <c r="CH645" i="5"/>
  <c r="CD645" i="5"/>
  <c r="CG645" i="5"/>
  <c r="CF645" i="5"/>
  <c r="CE645" i="5"/>
  <c r="CC645" i="5"/>
  <c r="BX645" i="5"/>
  <c r="BZ645" i="5"/>
  <c r="BW645" i="5"/>
  <c r="CA645" i="5"/>
  <c r="BY645" i="5"/>
  <c r="BV645" i="5"/>
  <c r="BU645" i="5"/>
  <c r="BR645" i="5"/>
  <c r="BT645" i="5"/>
  <c r="BS645" i="5"/>
  <c r="BQ645" i="5"/>
  <c r="BM645" i="5"/>
  <c r="BL645" i="5"/>
  <c r="BK645" i="5"/>
  <c r="BJ645" i="5"/>
  <c r="BI645" i="5"/>
  <c r="BH645" i="5"/>
  <c r="BG645" i="5"/>
  <c r="BF645" i="5"/>
  <c r="BD645" i="5"/>
  <c r="BE645" i="5"/>
  <c r="BA645" i="5"/>
  <c r="BP645" i="5" s="1"/>
  <c r="AZ645" i="5"/>
  <c r="AY645" i="5"/>
  <c r="AU645" i="5"/>
  <c r="BN645" i="5" s="1"/>
  <c r="AV645" i="5"/>
  <c r="CJ718" i="5"/>
  <c r="CI718" i="5"/>
  <c r="CK718" i="5"/>
  <c r="CH718" i="5"/>
  <c r="CE718" i="5"/>
  <c r="CG718" i="5"/>
  <c r="CF718" i="5"/>
  <c r="CD718" i="5"/>
  <c r="CC718" i="5"/>
  <c r="BZ718" i="5"/>
  <c r="CA718" i="5"/>
  <c r="BY718" i="5"/>
  <c r="BX718" i="5"/>
  <c r="BU718" i="5"/>
  <c r="BW718" i="5"/>
  <c r="BV718" i="5"/>
  <c r="BS718" i="5"/>
  <c r="BT718" i="5"/>
  <c r="BR718" i="5"/>
  <c r="BQ718" i="5"/>
  <c r="BM718" i="5"/>
  <c r="BL718" i="5"/>
  <c r="BJ718" i="5"/>
  <c r="BI718" i="5"/>
  <c r="BK718" i="5"/>
  <c r="BH718" i="5"/>
  <c r="BG718" i="5"/>
  <c r="BF718" i="5"/>
  <c r="BE718" i="5"/>
  <c r="BD718" i="5"/>
  <c r="BA718" i="5"/>
  <c r="BP718" i="5" s="1"/>
  <c r="AZ718" i="5"/>
  <c r="AY718" i="5"/>
  <c r="AV718" i="5"/>
  <c r="AU718" i="5"/>
  <c r="CK791" i="5"/>
  <c r="CJ791" i="5"/>
  <c r="CI791" i="5"/>
  <c r="CG791" i="5"/>
  <c r="CE791" i="5"/>
  <c r="CF791" i="5"/>
  <c r="CH791" i="5"/>
  <c r="CD791" i="5"/>
  <c r="BZ791" i="5"/>
  <c r="CC791" i="5"/>
  <c r="BX791" i="5"/>
  <c r="CA791" i="5"/>
  <c r="BY791" i="5"/>
  <c r="BV791" i="5"/>
  <c r="BW791" i="5"/>
  <c r="BU791" i="5"/>
  <c r="BT791" i="5"/>
  <c r="BR791" i="5"/>
  <c r="BQ791" i="5"/>
  <c r="BS791" i="5"/>
  <c r="BM791" i="5"/>
  <c r="BI791" i="5"/>
  <c r="BL791" i="5"/>
  <c r="BJ791" i="5"/>
  <c r="BK791" i="5"/>
  <c r="BG791" i="5"/>
  <c r="BH791" i="5"/>
  <c r="BE791" i="5"/>
  <c r="BF791" i="5"/>
  <c r="BD791" i="5"/>
  <c r="AY791" i="5"/>
  <c r="BA791" i="5"/>
  <c r="BP791" i="5" s="1"/>
  <c r="AZ791" i="5"/>
  <c r="AV791" i="5"/>
  <c r="BC791" i="5" s="1"/>
  <c r="AU791" i="5"/>
  <c r="BN791" i="5" s="1"/>
  <c r="CK864" i="5"/>
  <c r="CI864" i="5"/>
  <c r="CF864" i="5"/>
  <c r="CD864" i="5"/>
  <c r="CE864" i="5"/>
  <c r="CC864" i="5"/>
  <c r="CA864" i="5"/>
  <c r="BY864" i="5"/>
  <c r="BW864" i="5"/>
  <c r="BV864" i="5"/>
  <c r="BU864" i="5"/>
  <c r="BT864" i="5"/>
  <c r="BR864" i="5"/>
  <c r="BQ864" i="5"/>
  <c r="BS864" i="5"/>
  <c r="BM864" i="5"/>
  <c r="BK864" i="5"/>
  <c r="BJ864" i="5"/>
  <c r="BH864" i="5"/>
  <c r="BI864" i="5"/>
  <c r="BG864" i="5"/>
  <c r="BF864" i="5"/>
  <c r="BE864" i="5"/>
  <c r="BD864" i="5"/>
  <c r="AZ864" i="5"/>
  <c r="AY864" i="5"/>
  <c r="BA864" i="5"/>
  <c r="BP864" i="5" s="1"/>
  <c r="AV864" i="5"/>
  <c r="BO864" i="5" s="1"/>
  <c r="AU864" i="5"/>
  <c r="BN864" i="5" s="1"/>
  <c r="CK938" i="5"/>
  <c r="CI938" i="5"/>
  <c r="CE938" i="5"/>
  <c r="CF938" i="5"/>
  <c r="CC938" i="5"/>
  <c r="CD938" i="5"/>
  <c r="CA938" i="5"/>
  <c r="BY938" i="5"/>
  <c r="BU938" i="5"/>
  <c r="BW938" i="5"/>
  <c r="BV938" i="5"/>
  <c r="BS938" i="5"/>
  <c r="BT938" i="5"/>
  <c r="BQ938" i="5"/>
  <c r="BR938" i="5"/>
  <c r="BM938" i="5"/>
  <c r="BK938" i="5"/>
  <c r="BJ938" i="5"/>
  <c r="BI938" i="5"/>
  <c r="BF938" i="5"/>
  <c r="BH938" i="5"/>
  <c r="BG938" i="5"/>
  <c r="BD938" i="5"/>
  <c r="BE938" i="5"/>
  <c r="BA938" i="5"/>
  <c r="BP938" i="5" s="1"/>
  <c r="AZ938" i="5"/>
  <c r="AY938" i="5"/>
  <c r="AU938" i="5"/>
  <c r="BB938" i="5" s="1"/>
  <c r="AV938" i="5"/>
  <c r="BC938" i="5" s="1"/>
  <c r="CK1011" i="5"/>
  <c r="CE1011" i="5"/>
  <c r="CI1011" i="5"/>
  <c r="CF1011" i="5"/>
  <c r="CD1011" i="5"/>
  <c r="CC1011" i="5"/>
  <c r="BY1011" i="5"/>
  <c r="CA1011" i="5"/>
  <c r="BV1011" i="5"/>
  <c r="BW1011" i="5"/>
  <c r="BU1011" i="5"/>
  <c r="BT1011" i="5"/>
  <c r="BS1011" i="5"/>
  <c r="BR1011" i="5"/>
  <c r="BQ1011" i="5"/>
  <c r="BM1011" i="5"/>
  <c r="BK1011" i="5"/>
  <c r="BI1011" i="5"/>
  <c r="BG1011" i="5"/>
  <c r="BJ1011" i="5"/>
  <c r="BH1011" i="5"/>
  <c r="BE1011" i="5"/>
  <c r="BF1011" i="5"/>
  <c r="BD1011" i="5"/>
  <c r="AY1011" i="5"/>
  <c r="AU1011" i="5"/>
  <c r="BN1011" i="5" s="1"/>
  <c r="BA1011" i="5"/>
  <c r="BP1011" i="5" s="1"/>
  <c r="AZ1011" i="5"/>
  <c r="AV1011" i="5"/>
  <c r="BO1011" i="5" s="1"/>
  <c r="CK1084" i="5"/>
  <c r="CF1084" i="5"/>
  <c r="CI1084" i="5"/>
  <c r="CE1084" i="5"/>
  <c r="CC1084" i="5"/>
  <c r="CD1084" i="5"/>
  <c r="CA1084" i="5"/>
  <c r="BY1084" i="5"/>
  <c r="BW1084" i="5"/>
  <c r="BV1084" i="5"/>
  <c r="BU1084" i="5"/>
  <c r="BT1084" i="5"/>
  <c r="BR1084" i="5"/>
  <c r="BQ1084" i="5"/>
  <c r="BS1084" i="5"/>
  <c r="BJ1084" i="5"/>
  <c r="BM1084" i="5"/>
  <c r="BI1084" i="5"/>
  <c r="BK1084" i="5"/>
  <c r="BH1084" i="5"/>
  <c r="BG1084" i="5"/>
  <c r="BF1084" i="5"/>
  <c r="BD1084" i="5"/>
  <c r="BE1084" i="5"/>
  <c r="AZ1084" i="5"/>
  <c r="AY1084" i="5"/>
  <c r="BA1084" i="5"/>
  <c r="BP1084" i="5" s="1"/>
  <c r="AU1084" i="5"/>
  <c r="AV1084" i="5"/>
  <c r="BO1084" i="5" s="1"/>
  <c r="CK1157" i="5"/>
  <c r="CI1157" i="5"/>
  <c r="CD1157" i="5"/>
  <c r="CF1157" i="5"/>
  <c r="CE1157" i="5"/>
  <c r="CC1157" i="5"/>
  <c r="BW1157" i="5"/>
  <c r="CA1157" i="5"/>
  <c r="BY1157" i="5"/>
  <c r="BV1157" i="5"/>
  <c r="BU1157" i="5"/>
  <c r="BT1157" i="5"/>
  <c r="BQ1157" i="5"/>
  <c r="BS1157" i="5"/>
  <c r="BR1157" i="5"/>
  <c r="BM1157" i="5"/>
  <c r="BK1157" i="5"/>
  <c r="BJ1157" i="5"/>
  <c r="BI1157" i="5"/>
  <c r="BH1157" i="5"/>
  <c r="BG1157" i="5"/>
  <c r="BD1157" i="5"/>
  <c r="BF1157" i="5"/>
  <c r="BE1157" i="5"/>
  <c r="BA1157" i="5"/>
  <c r="BP1157" i="5" s="1"/>
  <c r="AU1157" i="5"/>
  <c r="BB1157" i="5" s="1"/>
  <c r="AZ1157" i="5"/>
  <c r="AY1157" i="5"/>
  <c r="AV1157" i="5"/>
  <c r="CK1230" i="5"/>
  <c r="CI1230" i="5"/>
  <c r="CH1230" i="5"/>
  <c r="CJ1230" i="5"/>
  <c r="CE1230" i="5"/>
  <c r="CG1230" i="5"/>
  <c r="CC1230" i="5"/>
  <c r="CF1230" i="5"/>
  <c r="CD1230" i="5"/>
  <c r="BZ1230" i="5"/>
  <c r="CA1230" i="5"/>
  <c r="BY1230" i="5"/>
  <c r="BX1230" i="5"/>
  <c r="BW1230" i="5"/>
  <c r="BU1230" i="5"/>
  <c r="BV1230" i="5"/>
  <c r="BS1230" i="5"/>
  <c r="BT1230" i="5"/>
  <c r="BR1230" i="5"/>
  <c r="BQ1230" i="5"/>
  <c r="BM1230" i="5"/>
  <c r="BL1230" i="5"/>
  <c r="BK1230" i="5"/>
  <c r="BJ1230" i="5"/>
  <c r="BI1230" i="5"/>
  <c r="BH1230" i="5"/>
  <c r="BG1230" i="5"/>
  <c r="BF1230" i="5"/>
  <c r="BE1230" i="5"/>
  <c r="BD1230" i="5"/>
  <c r="BA1230" i="5"/>
  <c r="BP1230" i="5" s="1"/>
  <c r="AZ1230" i="5"/>
  <c r="AY1230" i="5"/>
  <c r="AV1230" i="5"/>
  <c r="BC1230" i="5" s="1"/>
  <c r="AU1230" i="5"/>
  <c r="BN1230" i="5" s="1"/>
  <c r="CK1303" i="5"/>
  <c r="CI1303" i="5"/>
  <c r="CE1303" i="5"/>
  <c r="CF1303" i="5"/>
  <c r="CD1303" i="5"/>
  <c r="CC1303" i="5"/>
  <c r="CA1303" i="5"/>
  <c r="BY1303" i="5"/>
  <c r="BV1303" i="5"/>
  <c r="BW1303" i="5"/>
  <c r="BT1303" i="5"/>
  <c r="BU1303" i="5"/>
  <c r="BS1303" i="5"/>
  <c r="BR1303" i="5"/>
  <c r="BQ1303" i="5"/>
  <c r="BM1303" i="5"/>
  <c r="BK1303" i="5"/>
  <c r="BJ1303" i="5"/>
  <c r="BI1303" i="5"/>
  <c r="BG1303" i="5"/>
  <c r="BH1303" i="5"/>
  <c r="BE1303" i="5"/>
  <c r="BF1303" i="5"/>
  <c r="AY1303" i="5"/>
  <c r="BD1303" i="5"/>
  <c r="BA1303" i="5"/>
  <c r="BP1303" i="5" s="1"/>
  <c r="AZ1303" i="5"/>
  <c r="AV1303" i="5"/>
  <c r="AU1303" i="5"/>
  <c r="BN1303" i="5" s="1"/>
  <c r="BX21" i="5"/>
  <c r="CK48" i="5"/>
  <c r="CJ48" i="5"/>
  <c r="CH48" i="5"/>
  <c r="CI48" i="5"/>
  <c r="CF48" i="5"/>
  <c r="CC48" i="5"/>
  <c r="CG48" i="5"/>
  <c r="CE48" i="5"/>
  <c r="CD48" i="5"/>
  <c r="CA48" i="5"/>
  <c r="BZ48" i="5"/>
  <c r="BV48" i="5"/>
  <c r="BY48" i="5"/>
  <c r="BX48" i="5"/>
  <c r="BW48" i="5"/>
  <c r="BU48" i="5"/>
  <c r="BT48" i="5"/>
  <c r="BS48" i="5"/>
  <c r="BQ48" i="5"/>
  <c r="BR48" i="5"/>
  <c r="BL48" i="5"/>
  <c r="BM48" i="5"/>
  <c r="BK48" i="5"/>
  <c r="BJ48" i="5"/>
  <c r="BI48" i="5"/>
  <c r="BH48" i="5"/>
  <c r="BG48" i="5"/>
  <c r="BF48" i="5"/>
  <c r="BE48" i="5"/>
  <c r="BD48" i="5"/>
  <c r="BA48" i="5"/>
  <c r="BP48" i="5" s="1"/>
  <c r="AZ48" i="5"/>
  <c r="AV48" i="5"/>
  <c r="BO48" i="5" s="1"/>
  <c r="AY48" i="5"/>
  <c r="AU48" i="5"/>
  <c r="BN48" i="5" s="1"/>
  <c r="CE195" i="5"/>
  <c r="CK195" i="5"/>
  <c r="CJ195" i="5"/>
  <c r="CD195" i="5"/>
  <c r="CI195" i="5"/>
  <c r="CH195" i="5"/>
  <c r="CG195" i="5"/>
  <c r="CF195" i="5"/>
  <c r="CC195" i="5"/>
  <c r="BZ195" i="5"/>
  <c r="BY195" i="5"/>
  <c r="CA195" i="5"/>
  <c r="BX195" i="5"/>
  <c r="BW195" i="5"/>
  <c r="BV195" i="5"/>
  <c r="BU195" i="5"/>
  <c r="BT195" i="5"/>
  <c r="BS195" i="5"/>
  <c r="BR195" i="5"/>
  <c r="BQ195" i="5"/>
  <c r="BK195" i="5"/>
  <c r="BM195" i="5"/>
  <c r="BL195" i="5"/>
  <c r="BI195" i="5"/>
  <c r="BJ195" i="5"/>
  <c r="BG195" i="5"/>
  <c r="BH195" i="5"/>
  <c r="BF195" i="5"/>
  <c r="BE195" i="5"/>
  <c r="BD195" i="5"/>
  <c r="BA195" i="5"/>
  <c r="BP195" i="5" s="1"/>
  <c r="AY195" i="5"/>
  <c r="AZ195" i="5"/>
  <c r="AU195" i="5"/>
  <c r="BN195" i="5" s="1"/>
  <c r="AV195" i="5"/>
  <c r="BO195" i="5" s="1"/>
  <c r="CK341" i="5"/>
  <c r="CI341" i="5"/>
  <c r="CJ341" i="5"/>
  <c r="CH341" i="5"/>
  <c r="CE341" i="5"/>
  <c r="CG341" i="5"/>
  <c r="CF341" i="5"/>
  <c r="CD341" i="5"/>
  <c r="CC341" i="5"/>
  <c r="BX341" i="5"/>
  <c r="CA341" i="5"/>
  <c r="BW341" i="5"/>
  <c r="BZ341" i="5"/>
  <c r="BY341" i="5"/>
  <c r="BV341" i="5"/>
  <c r="BT341" i="5"/>
  <c r="BU341" i="5"/>
  <c r="BR341" i="5"/>
  <c r="BS341" i="5"/>
  <c r="BQ341" i="5"/>
  <c r="BM341" i="5"/>
  <c r="BL341" i="5"/>
  <c r="BK341" i="5"/>
  <c r="BJ341" i="5"/>
  <c r="BI341" i="5"/>
  <c r="BF341" i="5"/>
  <c r="BH341" i="5"/>
  <c r="BG341" i="5"/>
  <c r="BE341" i="5"/>
  <c r="BD341" i="5"/>
  <c r="BA341" i="5"/>
  <c r="BP341" i="5" s="1"/>
  <c r="AZ341" i="5"/>
  <c r="AY341" i="5"/>
  <c r="AV341" i="5"/>
  <c r="BO341" i="5" s="1"/>
  <c r="AU341" i="5"/>
  <c r="BB341" i="5" s="1"/>
  <c r="CK487" i="5"/>
  <c r="CE487" i="5"/>
  <c r="CF487" i="5"/>
  <c r="CI487" i="5"/>
  <c r="CD487" i="5"/>
  <c r="CC487" i="5"/>
  <c r="CA487" i="5"/>
  <c r="BY487" i="5"/>
  <c r="BV487" i="5"/>
  <c r="BW487" i="5"/>
  <c r="BU487" i="5"/>
  <c r="BT487" i="5"/>
  <c r="BS487" i="5"/>
  <c r="BR487" i="5"/>
  <c r="BQ487" i="5"/>
  <c r="BK487" i="5"/>
  <c r="BI487" i="5"/>
  <c r="BM487" i="5"/>
  <c r="BH487" i="5"/>
  <c r="BJ487" i="5"/>
  <c r="BG487" i="5"/>
  <c r="BE487" i="5"/>
  <c r="BF487" i="5"/>
  <c r="BD487" i="5"/>
  <c r="BA487" i="5"/>
  <c r="BP487" i="5" s="1"/>
  <c r="AY487" i="5"/>
  <c r="AZ487" i="5"/>
  <c r="AU487" i="5"/>
  <c r="BN487" i="5" s="1"/>
  <c r="AV487" i="5"/>
  <c r="BO487" i="5" s="1"/>
  <c r="CJ634" i="5"/>
  <c r="CI634" i="5"/>
  <c r="CK634" i="5"/>
  <c r="CG634" i="5"/>
  <c r="CH634" i="5"/>
  <c r="CF634" i="5"/>
  <c r="CD634" i="5"/>
  <c r="CE634" i="5"/>
  <c r="CC634" i="5"/>
  <c r="CA634" i="5"/>
  <c r="BU634" i="5"/>
  <c r="BZ634" i="5"/>
  <c r="BY634" i="5"/>
  <c r="BX634" i="5"/>
  <c r="BW634" i="5"/>
  <c r="BV634" i="5"/>
  <c r="BS634" i="5"/>
  <c r="BT634" i="5"/>
  <c r="BQ634" i="5"/>
  <c r="BR634" i="5"/>
  <c r="BM634" i="5"/>
  <c r="BK634" i="5"/>
  <c r="BL634" i="5"/>
  <c r="BJ634" i="5"/>
  <c r="BI634" i="5"/>
  <c r="BF634" i="5"/>
  <c r="BH634" i="5"/>
  <c r="BG634" i="5"/>
  <c r="BD634" i="5"/>
  <c r="BE634" i="5"/>
  <c r="BA634" i="5"/>
  <c r="BP634" i="5" s="1"/>
  <c r="AZ634" i="5"/>
  <c r="AY634" i="5"/>
  <c r="AU634" i="5"/>
  <c r="BB634" i="5" s="1"/>
  <c r="AV634" i="5"/>
  <c r="BO634" i="5" s="1"/>
  <c r="CJ780" i="5"/>
  <c r="CH780" i="5"/>
  <c r="CF780" i="5"/>
  <c r="CK780" i="5"/>
  <c r="CI780" i="5"/>
  <c r="CE780" i="5"/>
  <c r="CG780" i="5"/>
  <c r="CC780" i="5"/>
  <c r="CD780" i="5"/>
  <c r="CA780" i="5"/>
  <c r="BX780" i="5"/>
  <c r="BZ780" i="5"/>
  <c r="BY780" i="5"/>
  <c r="BW780" i="5"/>
  <c r="BU780" i="5"/>
  <c r="BV780" i="5"/>
  <c r="BT780" i="5"/>
  <c r="BR780" i="5"/>
  <c r="BQ780" i="5"/>
  <c r="BS780" i="5"/>
  <c r="BM780" i="5"/>
  <c r="BJ780" i="5"/>
  <c r="BL780" i="5"/>
  <c r="BK780" i="5"/>
  <c r="BI780" i="5"/>
  <c r="BH780" i="5"/>
  <c r="BF780" i="5"/>
  <c r="BG780" i="5"/>
  <c r="BE780" i="5"/>
  <c r="BD780" i="5"/>
  <c r="AZ780" i="5"/>
  <c r="AY780" i="5"/>
  <c r="BA780" i="5"/>
  <c r="BP780" i="5" s="1"/>
  <c r="AV780" i="5"/>
  <c r="AU780" i="5"/>
  <c r="BB780" i="5" s="1"/>
  <c r="CI926" i="5"/>
  <c r="CK926" i="5"/>
  <c r="CG926" i="5"/>
  <c r="CJ926" i="5"/>
  <c r="CH926" i="5"/>
  <c r="CC926" i="5"/>
  <c r="CE926" i="5"/>
  <c r="CF926" i="5"/>
  <c r="CD926" i="5"/>
  <c r="CA926" i="5"/>
  <c r="BZ926" i="5"/>
  <c r="BY926" i="5"/>
  <c r="BX926" i="5"/>
  <c r="BU926" i="5"/>
  <c r="BW926" i="5"/>
  <c r="BV926" i="5"/>
  <c r="BS926" i="5"/>
  <c r="BR926" i="5"/>
  <c r="BT926" i="5"/>
  <c r="BQ926" i="5"/>
  <c r="BM926" i="5"/>
  <c r="BL926" i="5"/>
  <c r="BJ926" i="5"/>
  <c r="BI926" i="5"/>
  <c r="BK926" i="5"/>
  <c r="BH926" i="5"/>
  <c r="BG926" i="5"/>
  <c r="BE926" i="5"/>
  <c r="BD926" i="5"/>
  <c r="BF926" i="5"/>
  <c r="AV926" i="5"/>
  <c r="BC926" i="5" s="1"/>
  <c r="BA926" i="5"/>
  <c r="BP926" i="5" s="1"/>
  <c r="AZ926" i="5"/>
  <c r="AY926" i="5"/>
  <c r="AU926" i="5"/>
  <c r="BB926" i="5" s="1"/>
  <c r="CI1072" i="5"/>
  <c r="CK1072" i="5"/>
  <c r="CF1072" i="5"/>
  <c r="CD1072" i="5"/>
  <c r="CE1072" i="5"/>
  <c r="CA1072" i="5"/>
  <c r="CC1072" i="5"/>
  <c r="BY1072" i="5"/>
  <c r="BW1072" i="5"/>
  <c r="BV1072" i="5"/>
  <c r="BU1072" i="5"/>
  <c r="BT1072" i="5"/>
  <c r="BS1072" i="5"/>
  <c r="BR1072" i="5"/>
  <c r="BQ1072" i="5"/>
  <c r="BM1072" i="5"/>
  <c r="BJ1072" i="5"/>
  <c r="BK1072" i="5"/>
  <c r="BH1072" i="5"/>
  <c r="BI1072" i="5"/>
  <c r="BG1072" i="5"/>
  <c r="BF1072" i="5"/>
  <c r="BE1072" i="5"/>
  <c r="BD1072" i="5"/>
  <c r="AZ1072" i="5"/>
  <c r="AV1072" i="5"/>
  <c r="BO1072" i="5" s="1"/>
  <c r="AY1072" i="5"/>
  <c r="BA1072" i="5"/>
  <c r="BP1072" i="5" s="1"/>
  <c r="AU1072" i="5"/>
  <c r="BN1072" i="5" s="1"/>
  <c r="CK1219" i="5"/>
  <c r="CE1219" i="5"/>
  <c r="CI1219" i="5"/>
  <c r="CF1219" i="5"/>
  <c r="CD1219" i="5"/>
  <c r="CC1219" i="5"/>
  <c r="BY1219" i="5"/>
  <c r="CA1219" i="5"/>
  <c r="BV1219" i="5"/>
  <c r="BW1219" i="5"/>
  <c r="BU1219" i="5"/>
  <c r="BT1219" i="5"/>
  <c r="BS1219" i="5"/>
  <c r="BR1219" i="5"/>
  <c r="BQ1219" i="5"/>
  <c r="BM1219" i="5"/>
  <c r="BK1219" i="5"/>
  <c r="BJ1219" i="5"/>
  <c r="BI1219" i="5"/>
  <c r="BG1219" i="5"/>
  <c r="BH1219" i="5"/>
  <c r="BE1219" i="5"/>
  <c r="BF1219" i="5"/>
  <c r="BD1219" i="5"/>
  <c r="AY1219" i="5"/>
  <c r="BA1219" i="5"/>
  <c r="BP1219" i="5" s="1"/>
  <c r="AZ1219" i="5"/>
  <c r="AU1219" i="5"/>
  <c r="AV1219" i="5"/>
  <c r="BO1219" i="5" s="1"/>
  <c r="CK1292" i="5"/>
  <c r="CF1292" i="5"/>
  <c r="CI1292" i="5"/>
  <c r="CE1292" i="5"/>
  <c r="CA1292" i="5"/>
  <c r="CD1292" i="5"/>
  <c r="CC1292" i="5"/>
  <c r="BY1292" i="5"/>
  <c r="BW1292" i="5"/>
  <c r="BV1292" i="5"/>
  <c r="BU1292" i="5"/>
  <c r="BT1292" i="5"/>
  <c r="BR1292" i="5"/>
  <c r="BQ1292" i="5"/>
  <c r="BS1292" i="5"/>
  <c r="BM1292" i="5"/>
  <c r="BJ1292" i="5"/>
  <c r="BK1292" i="5"/>
  <c r="BI1292" i="5"/>
  <c r="BH1292" i="5"/>
  <c r="BF1292" i="5"/>
  <c r="BG1292" i="5"/>
  <c r="BE1292" i="5"/>
  <c r="BD1292" i="5"/>
  <c r="AZ1292" i="5"/>
  <c r="AY1292" i="5"/>
  <c r="BA1292" i="5"/>
  <c r="BP1292" i="5" s="1"/>
  <c r="AV1292" i="5"/>
  <c r="BC1292" i="5" s="1"/>
  <c r="AU1292" i="5"/>
  <c r="BN1292" i="5" s="1"/>
  <c r="CK31" i="5"/>
  <c r="CE31" i="5"/>
  <c r="CI31" i="5"/>
  <c r="CF31" i="5"/>
  <c r="CC31" i="5"/>
  <c r="CD31" i="5"/>
  <c r="CA31" i="5"/>
  <c r="BY31" i="5"/>
  <c r="BV31" i="5"/>
  <c r="BW31" i="5"/>
  <c r="BT31" i="5"/>
  <c r="BU31" i="5"/>
  <c r="BS31" i="5"/>
  <c r="BQ31" i="5"/>
  <c r="BR31" i="5"/>
  <c r="BK31" i="5"/>
  <c r="BI31" i="5"/>
  <c r="BM31" i="5"/>
  <c r="BH31" i="5"/>
  <c r="BJ31" i="5"/>
  <c r="BG31" i="5"/>
  <c r="BE31" i="5"/>
  <c r="BF31" i="5"/>
  <c r="BD31" i="5"/>
  <c r="BA31" i="5"/>
  <c r="BP31" i="5" s="1"/>
  <c r="AY31" i="5"/>
  <c r="AZ31" i="5"/>
  <c r="AV31" i="5"/>
  <c r="BC31" i="5" s="1"/>
  <c r="AU31" i="5"/>
  <c r="BB31" i="5" s="1"/>
  <c r="CK251" i="5"/>
  <c r="CH251" i="5"/>
  <c r="CI251" i="5"/>
  <c r="CE251" i="5"/>
  <c r="CJ251" i="5"/>
  <c r="CF251" i="5"/>
  <c r="CC251" i="5"/>
  <c r="CG251" i="5"/>
  <c r="CD251" i="5"/>
  <c r="BZ251" i="5"/>
  <c r="BX251" i="5"/>
  <c r="CA251" i="5"/>
  <c r="BW251" i="5"/>
  <c r="BV251" i="5"/>
  <c r="BY251" i="5"/>
  <c r="BU251" i="5"/>
  <c r="BS251" i="5"/>
  <c r="BT251" i="5"/>
  <c r="BR251" i="5"/>
  <c r="BQ251" i="5"/>
  <c r="BL251" i="5"/>
  <c r="BK251" i="5"/>
  <c r="BM251" i="5"/>
  <c r="BI251" i="5"/>
  <c r="BJ251" i="5"/>
  <c r="BG251" i="5"/>
  <c r="BH251" i="5"/>
  <c r="BF251" i="5"/>
  <c r="BE251" i="5"/>
  <c r="BD251" i="5"/>
  <c r="BA251" i="5"/>
  <c r="BP251" i="5" s="1"/>
  <c r="AY251" i="5"/>
  <c r="AU251" i="5"/>
  <c r="BN251" i="5" s="1"/>
  <c r="AZ251" i="5"/>
  <c r="AV251" i="5"/>
  <c r="CK397" i="5"/>
  <c r="CF397" i="5"/>
  <c r="CE397" i="5"/>
  <c r="CI397" i="5"/>
  <c r="CD397" i="5"/>
  <c r="CC397" i="5"/>
  <c r="CA397" i="5"/>
  <c r="BY397" i="5"/>
  <c r="BW397" i="5"/>
  <c r="BV397" i="5"/>
  <c r="BT397" i="5"/>
  <c r="BR397" i="5"/>
  <c r="BU397" i="5"/>
  <c r="BS397" i="5"/>
  <c r="BQ397" i="5"/>
  <c r="BM397" i="5"/>
  <c r="BK397" i="5"/>
  <c r="BJ397" i="5"/>
  <c r="BI397" i="5"/>
  <c r="BG397" i="5"/>
  <c r="BH397" i="5"/>
  <c r="BF397" i="5"/>
  <c r="BE397" i="5"/>
  <c r="BD397" i="5"/>
  <c r="BA397" i="5"/>
  <c r="BP397" i="5" s="1"/>
  <c r="AZ397" i="5"/>
  <c r="AY397" i="5"/>
  <c r="AV397" i="5"/>
  <c r="BO397" i="5" s="1"/>
  <c r="AU397" i="5"/>
  <c r="BB397" i="5" s="1"/>
  <c r="CJ543" i="5"/>
  <c r="CK543" i="5"/>
  <c r="CH543" i="5"/>
  <c r="CE543" i="5"/>
  <c r="CF543" i="5"/>
  <c r="CI543" i="5"/>
  <c r="CG543" i="5"/>
  <c r="CD543" i="5"/>
  <c r="BZ543" i="5"/>
  <c r="CC543" i="5"/>
  <c r="CA543" i="5"/>
  <c r="BY543" i="5"/>
  <c r="BV543" i="5"/>
  <c r="BX543" i="5"/>
  <c r="BW543" i="5"/>
  <c r="BT543" i="5"/>
  <c r="BU543" i="5"/>
  <c r="BS543" i="5"/>
  <c r="BQ543" i="5"/>
  <c r="BR543" i="5"/>
  <c r="BL543" i="5"/>
  <c r="BK543" i="5"/>
  <c r="BI543" i="5"/>
  <c r="BM543" i="5"/>
  <c r="BJ543" i="5"/>
  <c r="BG543" i="5"/>
  <c r="BE543" i="5"/>
  <c r="BH543" i="5"/>
  <c r="BF543" i="5"/>
  <c r="BD543" i="5"/>
  <c r="BA543" i="5"/>
  <c r="BP543" i="5" s="1"/>
  <c r="AY543" i="5"/>
  <c r="AZ543" i="5"/>
  <c r="AV543" i="5"/>
  <c r="BO543" i="5" s="1"/>
  <c r="AU543" i="5"/>
  <c r="BN543" i="5" s="1"/>
  <c r="CJ690" i="5"/>
  <c r="CK690" i="5"/>
  <c r="CI690" i="5"/>
  <c r="CH690" i="5"/>
  <c r="CG690" i="5"/>
  <c r="CF690" i="5"/>
  <c r="CE690" i="5"/>
  <c r="CD690" i="5"/>
  <c r="CC690" i="5"/>
  <c r="CA690" i="5"/>
  <c r="BZ690" i="5"/>
  <c r="BY690" i="5"/>
  <c r="BU690" i="5"/>
  <c r="BX690" i="5"/>
  <c r="BV690" i="5"/>
  <c r="BW690" i="5"/>
  <c r="BS690" i="5"/>
  <c r="BT690" i="5"/>
  <c r="BQ690" i="5"/>
  <c r="BR690" i="5"/>
  <c r="BM690" i="5"/>
  <c r="BL690" i="5"/>
  <c r="BK690" i="5"/>
  <c r="BJ690" i="5"/>
  <c r="BI690" i="5"/>
  <c r="BF690" i="5"/>
  <c r="BH690" i="5"/>
  <c r="BG690" i="5"/>
  <c r="BE690" i="5"/>
  <c r="BD690" i="5"/>
  <c r="BA690" i="5"/>
  <c r="BP690" i="5" s="1"/>
  <c r="AZ690" i="5"/>
  <c r="AY690" i="5"/>
  <c r="AU690" i="5"/>
  <c r="BN690" i="5" s="1"/>
  <c r="AV690" i="5"/>
  <c r="BO690" i="5" s="1"/>
  <c r="CK836" i="5"/>
  <c r="CF836" i="5"/>
  <c r="CI836" i="5"/>
  <c r="CE836" i="5"/>
  <c r="CA836" i="5"/>
  <c r="CD836" i="5"/>
  <c r="CC836" i="5"/>
  <c r="BY836" i="5"/>
  <c r="BW836" i="5"/>
  <c r="BU836" i="5"/>
  <c r="BV836" i="5"/>
  <c r="BT836" i="5"/>
  <c r="BR836" i="5"/>
  <c r="BS836" i="5"/>
  <c r="BQ836" i="5"/>
  <c r="BM836" i="5"/>
  <c r="BJ836" i="5"/>
  <c r="BK836" i="5"/>
  <c r="BI836" i="5"/>
  <c r="BH836" i="5"/>
  <c r="BG836" i="5"/>
  <c r="BF836" i="5"/>
  <c r="BD836" i="5"/>
  <c r="BE836" i="5"/>
  <c r="AZ836" i="5"/>
  <c r="AY836" i="5"/>
  <c r="BA836" i="5"/>
  <c r="BP836" i="5" s="1"/>
  <c r="AU836" i="5"/>
  <c r="BB836" i="5" s="1"/>
  <c r="AV836" i="5"/>
  <c r="BC836" i="5" s="1"/>
  <c r="CK982" i="5"/>
  <c r="CI982" i="5"/>
  <c r="CJ982" i="5"/>
  <c r="CG982" i="5"/>
  <c r="CC982" i="5"/>
  <c r="CH982" i="5"/>
  <c r="CD982" i="5"/>
  <c r="CF982" i="5"/>
  <c r="CE982" i="5"/>
  <c r="CA982" i="5"/>
  <c r="BX982" i="5"/>
  <c r="BZ982" i="5"/>
  <c r="BY982" i="5"/>
  <c r="BW982" i="5"/>
  <c r="BU982" i="5"/>
  <c r="BV982" i="5"/>
  <c r="BS982" i="5"/>
  <c r="BT982" i="5"/>
  <c r="BQ982" i="5"/>
  <c r="BR982" i="5"/>
  <c r="BL982" i="5"/>
  <c r="BM982" i="5"/>
  <c r="BK982" i="5"/>
  <c r="BI982" i="5"/>
  <c r="BJ982" i="5"/>
  <c r="BH982" i="5"/>
  <c r="BG982" i="5"/>
  <c r="BF982" i="5"/>
  <c r="BE982" i="5"/>
  <c r="BD982" i="5"/>
  <c r="BA982" i="5"/>
  <c r="BP982" i="5" s="1"/>
  <c r="AZ982" i="5"/>
  <c r="AY982" i="5"/>
  <c r="AV982" i="5"/>
  <c r="AU982" i="5"/>
  <c r="BN982" i="5" s="1"/>
  <c r="CK1128" i="5"/>
  <c r="CF1128" i="5"/>
  <c r="CE1128" i="5"/>
  <c r="CI1128" i="5"/>
  <c r="CD1128" i="5"/>
  <c r="CA1128" i="5"/>
  <c r="CC1128" i="5"/>
  <c r="BY1128" i="5"/>
  <c r="BW1128" i="5"/>
  <c r="BV1128" i="5"/>
  <c r="BU1128" i="5"/>
  <c r="BT1128" i="5"/>
  <c r="BS1128" i="5"/>
  <c r="BR1128" i="5"/>
  <c r="BQ1128" i="5"/>
  <c r="BM1128" i="5"/>
  <c r="BJ1128" i="5"/>
  <c r="BH1128" i="5"/>
  <c r="BK1128" i="5"/>
  <c r="BI1128" i="5"/>
  <c r="BG1128" i="5"/>
  <c r="BF1128" i="5"/>
  <c r="BE1128" i="5"/>
  <c r="BD1128" i="5"/>
  <c r="AZ1128" i="5"/>
  <c r="AV1128" i="5"/>
  <c r="BO1128" i="5" s="1"/>
  <c r="AY1128" i="5"/>
  <c r="BA1128" i="5"/>
  <c r="BP1128" i="5" s="1"/>
  <c r="AU1128" i="5"/>
  <c r="BN1128" i="5" s="1"/>
  <c r="CK1275" i="5"/>
  <c r="CI1275" i="5"/>
  <c r="CE1275" i="5"/>
  <c r="CG1275" i="5"/>
  <c r="CJ1275" i="5"/>
  <c r="CH1275" i="5"/>
  <c r="CF1275" i="5"/>
  <c r="CD1275" i="5"/>
  <c r="BZ1275" i="5"/>
  <c r="CC1275" i="5"/>
  <c r="BY1275" i="5"/>
  <c r="CA1275" i="5"/>
  <c r="BW1275" i="5"/>
  <c r="BV1275" i="5"/>
  <c r="BX1275" i="5"/>
  <c r="BU1275" i="5"/>
  <c r="BT1275" i="5"/>
  <c r="BS1275" i="5"/>
  <c r="BR1275" i="5"/>
  <c r="BQ1275" i="5"/>
  <c r="BL1275" i="5"/>
  <c r="BM1275" i="5"/>
  <c r="BI1275" i="5"/>
  <c r="BK1275" i="5"/>
  <c r="BJ1275" i="5"/>
  <c r="BG1275" i="5"/>
  <c r="BH1275" i="5"/>
  <c r="BE1275" i="5"/>
  <c r="BF1275" i="5"/>
  <c r="BD1275" i="5"/>
  <c r="AY1275" i="5"/>
  <c r="AU1275" i="5"/>
  <c r="BA1275" i="5"/>
  <c r="BP1275" i="5" s="1"/>
  <c r="AZ1275" i="5"/>
  <c r="AV1275" i="5"/>
  <c r="BO1275" i="5" s="1"/>
  <c r="CK215" i="5"/>
  <c r="CI215" i="5"/>
  <c r="CE215" i="5"/>
  <c r="CF215" i="5"/>
  <c r="CD215" i="5"/>
  <c r="CC215" i="5"/>
  <c r="CA215" i="5"/>
  <c r="BY215" i="5"/>
  <c r="BV215" i="5"/>
  <c r="BW215" i="5"/>
  <c r="BU215" i="5"/>
  <c r="BT215" i="5"/>
  <c r="BS215" i="5"/>
  <c r="BQ215" i="5"/>
  <c r="BR215" i="5"/>
  <c r="BK215" i="5"/>
  <c r="BM215" i="5"/>
  <c r="BI215" i="5"/>
  <c r="BJ215" i="5"/>
  <c r="BH215" i="5"/>
  <c r="BG215" i="5"/>
  <c r="BE215" i="5"/>
  <c r="BF215" i="5"/>
  <c r="BD215" i="5"/>
  <c r="BA215" i="5"/>
  <c r="BP215" i="5" s="1"/>
  <c r="AY215" i="5"/>
  <c r="AZ215" i="5"/>
  <c r="AV215" i="5"/>
  <c r="AU215" i="5"/>
  <c r="BB215" i="5" s="1"/>
  <c r="CK288" i="5"/>
  <c r="CJ288" i="5"/>
  <c r="CH288" i="5"/>
  <c r="CI288" i="5"/>
  <c r="CF288" i="5"/>
  <c r="CC288" i="5"/>
  <c r="CD288" i="5"/>
  <c r="CE288" i="5"/>
  <c r="CG288" i="5"/>
  <c r="CA288" i="5"/>
  <c r="BZ288" i="5"/>
  <c r="BV288" i="5"/>
  <c r="BY288" i="5"/>
  <c r="BX288" i="5"/>
  <c r="BW288" i="5"/>
  <c r="BU288" i="5"/>
  <c r="BT288" i="5"/>
  <c r="BS288" i="5"/>
  <c r="BQ288" i="5"/>
  <c r="BR288" i="5"/>
  <c r="BL288" i="5"/>
  <c r="BM288" i="5"/>
  <c r="BK288" i="5"/>
  <c r="BJ288" i="5"/>
  <c r="BH288" i="5"/>
  <c r="BI288" i="5"/>
  <c r="BG288" i="5"/>
  <c r="BF288" i="5"/>
  <c r="BE288" i="5"/>
  <c r="BD288" i="5"/>
  <c r="BA288" i="5"/>
  <c r="BP288" i="5" s="1"/>
  <c r="AZ288" i="5"/>
  <c r="AY288" i="5"/>
  <c r="AV288" i="5"/>
  <c r="BC288" i="5" s="1"/>
  <c r="AU288" i="5"/>
  <c r="BB288" i="5" s="1"/>
  <c r="CI362" i="5"/>
  <c r="CD362" i="5"/>
  <c r="CE362" i="5"/>
  <c r="CK362" i="5"/>
  <c r="CF362" i="5"/>
  <c r="CC362" i="5"/>
  <c r="BY362" i="5"/>
  <c r="CA362" i="5"/>
  <c r="BU362" i="5"/>
  <c r="BV362" i="5"/>
  <c r="BW362" i="5"/>
  <c r="BT362" i="5"/>
  <c r="BS362" i="5"/>
  <c r="BQ362" i="5"/>
  <c r="BR362" i="5"/>
  <c r="BM362" i="5"/>
  <c r="BK362" i="5"/>
  <c r="BJ362" i="5"/>
  <c r="BI362" i="5"/>
  <c r="BH362" i="5"/>
  <c r="BF362" i="5"/>
  <c r="BD362" i="5"/>
  <c r="BG362" i="5"/>
  <c r="BE362" i="5"/>
  <c r="BA362" i="5"/>
  <c r="BP362" i="5" s="1"/>
  <c r="AZ362" i="5"/>
  <c r="AY362" i="5"/>
  <c r="AU362" i="5"/>
  <c r="BN362" i="5" s="1"/>
  <c r="AV362" i="5"/>
  <c r="BO362" i="5" s="1"/>
  <c r="CI435" i="5"/>
  <c r="CE435" i="5"/>
  <c r="CK435" i="5"/>
  <c r="CD435" i="5"/>
  <c r="CF435" i="5"/>
  <c r="CC435" i="5"/>
  <c r="BY435" i="5"/>
  <c r="CA435" i="5"/>
  <c r="BW435" i="5"/>
  <c r="BV435" i="5"/>
  <c r="BU435" i="5"/>
  <c r="BS435" i="5"/>
  <c r="BR435" i="5"/>
  <c r="BT435" i="5"/>
  <c r="BQ435" i="5"/>
  <c r="BK435" i="5"/>
  <c r="BM435" i="5"/>
  <c r="BI435" i="5"/>
  <c r="BG435" i="5"/>
  <c r="BJ435" i="5"/>
  <c r="BH435" i="5"/>
  <c r="BF435" i="5"/>
  <c r="BE435" i="5"/>
  <c r="BD435" i="5"/>
  <c r="BA435" i="5"/>
  <c r="BP435" i="5" s="1"/>
  <c r="AY435" i="5"/>
  <c r="AU435" i="5"/>
  <c r="BB435" i="5" s="1"/>
  <c r="AZ435" i="5"/>
  <c r="AV435" i="5"/>
  <c r="BO435" i="5" s="1"/>
  <c r="CK508" i="5"/>
  <c r="CJ508" i="5"/>
  <c r="CH508" i="5"/>
  <c r="CG508" i="5"/>
  <c r="CF508" i="5"/>
  <c r="CI508" i="5"/>
  <c r="CD508" i="5"/>
  <c r="CC508" i="5"/>
  <c r="CE508" i="5"/>
  <c r="CA508" i="5"/>
  <c r="BY508" i="5"/>
  <c r="BV508" i="5"/>
  <c r="BZ508" i="5"/>
  <c r="BX508" i="5"/>
  <c r="BW508" i="5"/>
  <c r="BU508" i="5"/>
  <c r="BS508" i="5"/>
  <c r="BT508" i="5"/>
  <c r="BR508" i="5"/>
  <c r="BQ508" i="5"/>
  <c r="BL508" i="5"/>
  <c r="BJ508" i="5"/>
  <c r="BM508" i="5"/>
  <c r="BK508" i="5"/>
  <c r="BI508" i="5"/>
  <c r="BH508" i="5"/>
  <c r="BG508" i="5"/>
  <c r="BF508" i="5"/>
  <c r="BD508" i="5"/>
  <c r="BE508" i="5"/>
  <c r="AZ508" i="5"/>
  <c r="BA508" i="5"/>
  <c r="BP508" i="5" s="1"/>
  <c r="AY508" i="5"/>
  <c r="AU508" i="5"/>
  <c r="BB508" i="5" s="1"/>
  <c r="AV508" i="5"/>
  <c r="CK581" i="5"/>
  <c r="CI581" i="5"/>
  <c r="CD581" i="5"/>
  <c r="CF581" i="5"/>
  <c r="CE581" i="5"/>
  <c r="CC581" i="5"/>
  <c r="CA581" i="5"/>
  <c r="BW581" i="5"/>
  <c r="BY581" i="5"/>
  <c r="BV581" i="5"/>
  <c r="BU581" i="5"/>
  <c r="BT581" i="5"/>
  <c r="BR581" i="5"/>
  <c r="BS581" i="5"/>
  <c r="BQ581" i="5"/>
  <c r="BM581" i="5"/>
  <c r="BK581" i="5"/>
  <c r="BJ581" i="5"/>
  <c r="BI581" i="5"/>
  <c r="BH581" i="5"/>
  <c r="BG581" i="5"/>
  <c r="BF581" i="5"/>
  <c r="BD581" i="5"/>
  <c r="BE581" i="5"/>
  <c r="BA581" i="5"/>
  <c r="BP581" i="5" s="1"/>
  <c r="AZ581" i="5"/>
  <c r="AY581" i="5"/>
  <c r="AU581" i="5"/>
  <c r="BB581" i="5" s="1"/>
  <c r="AV581" i="5"/>
  <c r="BC581" i="5" s="1"/>
  <c r="CK654" i="5"/>
  <c r="CJ654" i="5"/>
  <c r="CI654" i="5"/>
  <c r="CH654" i="5"/>
  <c r="CG654" i="5"/>
  <c r="CE654" i="5"/>
  <c r="CF654" i="5"/>
  <c r="CD654" i="5"/>
  <c r="CC654" i="5"/>
  <c r="CA654" i="5"/>
  <c r="BZ654" i="5"/>
  <c r="BY654" i="5"/>
  <c r="BX654" i="5"/>
  <c r="BU654" i="5"/>
  <c r="BW654" i="5"/>
  <c r="BV654" i="5"/>
  <c r="BS654" i="5"/>
  <c r="BT654" i="5"/>
  <c r="BR654" i="5"/>
  <c r="BQ654" i="5"/>
  <c r="BM654" i="5"/>
  <c r="BK654" i="5"/>
  <c r="BL654" i="5"/>
  <c r="BJ654" i="5"/>
  <c r="BI654" i="5"/>
  <c r="BH654" i="5"/>
  <c r="BG654" i="5"/>
  <c r="BF654" i="5"/>
  <c r="BE654" i="5"/>
  <c r="BD654" i="5"/>
  <c r="BA654" i="5"/>
  <c r="BP654" i="5" s="1"/>
  <c r="AZ654" i="5"/>
  <c r="AY654" i="5"/>
  <c r="AV654" i="5"/>
  <c r="BC654" i="5" s="1"/>
  <c r="AU654" i="5"/>
  <c r="BB654" i="5" s="1"/>
  <c r="CK727" i="5"/>
  <c r="CJ727" i="5"/>
  <c r="CI727" i="5"/>
  <c r="CE727" i="5"/>
  <c r="CH727" i="5"/>
  <c r="CF727" i="5"/>
  <c r="CG727" i="5"/>
  <c r="CD727" i="5"/>
  <c r="CC727" i="5"/>
  <c r="BZ727" i="5"/>
  <c r="CA727" i="5"/>
  <c r="BY727" i="5"/>
  <c r="BV727" i="5"/>
  <c r="BX727" i="5"/>
  <c r="BW727" i="5"/>
  <c r="BT727" i="5"/>
  <c r="BU727" i="5"/>
  <c r="BS727" i="5"/>
  <c r="BQ727" i="5"/>
  <c r="BR727" i="5"/>
  <c r="BM727" i="5"/>
  <c r="BL727" i="5"/>
  <c r="BI727" i="5"/>
  <c r="BJ727" i="5"/>
  <c r="BK727" i="5"/>
  <c r="BG727" i="5"/>
  <c r="BH727" i="5"/>
  <c r="BE727" i="5"/>
  <c r="BF727" i="5"/>
  <c r="BD727" i="5"/>
  <c r="AY727" i="5"/>
  <c r="BA727" i="5"/>
  <c r="BP727" i="5" s="1"/>
  <c r="AZ727" i="5"/>
  <c r="AV727" i="5"/>
  <c r="BO727" i="5" s="1"/>
  <c r="AU727" i="5"/>
  <c r="BB727" i="5" s="1"/>
  <c r="CI800" i="5"/>
  <c r="CF800" i="5"/>
  <c r="CK800" i="5"/>
  <c r="CE800" i="5"/>
  <c r="CD800" i="5"/>
  <c r="CC800" i="5"/>
  <c r="CA800" i="5"/>
  <c r="BY800" i="5"/>
  <c r="BW800" i="5"/>
  <c r="BV800" i="5"/>
  <c r="BU800" i="5"/>
  <c r="BT800" i="5"/>
  <c r="BQ800" i="5"/>
  <c r="BR800" i="5"/>
  <c r="BS800" i="5"/>
  <c r="BM800" i="5"/>
  <c r="BK800" i="5"/>
  <c r="BJ800" i="5"/>
  <c r="BH800" i="5"/>
  <c r="BI800" i="5"/>
  <c r="BG800" i="5"/>
  <c r="BF800" i="5"/>
  <c r="BE800" i="5"/>
  <c r="BD800" i="5"/>
  <c r="AZ800" i="5"/>
  <c r="AY800" i="5"/>
  <c r="BA800" i="5"/>
  <c r="BP800" i="5" s="1"/>
  <c r="AV800" i="5"/>
  <c r="BO800" i="5" s="1"/>
  <c r="AU800" i="5"/>
  <c r="BB800" i="5" s="1"/>
  <c r="CJ874" i="5"/>
  <c r="CI874" i="5"/>
  <c r="CK874" i="5"/>
  <c r="CG874" i="5"/>
  <c r="CE874" i="5"/>
  <c r="CH874" i="5"/>
  <c r="CC874" i="5"/>
  <c r="CF874" i="5"/>
  <c r="CD874" i="5"/>
  <c r="BZ874" i="5"/>
  <c r="CA874" i="5"/>
  <c r="BX874" i="5"/>
  <c r="BU874" i="5"/>
  <c r="BY874" i="5"/>
  <c r="BW874" i="5"/>
  <c r="BV874" i="5"/>
  <c r="BS874" i="5"/>
  <c r="BT874" i="5"/>
  <c r="BQ874" i="5"/>
  <c r="BR874" i="5"/>
  <c r="BM874" i="5"/>
  <c r="BL874" i="5"/>
  <c r="BK874" i="5"/>
  <c r="BJ874" i="5"/>
  <c r="BI874" i="5"/>
  <c r="BF874" i="5"/>
  <c r="BH874" i="5"/>
  <c r="BG874" i="5"/>
  <c r="BD874" i="5"/>
  <c r="BE874" i="5"/>
  <c r="BA874" i="5"/>
  <c r="BP874" i="5" s="1"/>
  <c r="AZ874" i="5"/>
  <c r="AY874" i="5"/>
  <c r="AU874" i="5"/>
  <c r="BN874" i="5" s="1"/>
  <c r="AV874" i="5"/>
  <c r="CI947" i="5"/>
  <c r="CE947" i="5"/>
  <c r="CK947" i="5"/>
  <c r="CF947" i="5"/>
  <c r="CD947" i="5"/>
  <c r="CC947" i="5"/>
  <c r="BY947" i="5"/>
  <c r="CA947" i="5"/>
  <c r="BV947" i="5"/>
  <c r="BW947" i="5"/>
  <c r="BU947" i="5"/>
  <c r="BT947" i="5"/>
  <c r="BS947" i="5"/>
  <c r="BR947" i="5"/>
  <c r="BQ947" i="5"/>
  <c r="BM947" i="5"/>
  <c r="BI947" i="5"/>
  <c r="BK947" i="5"/>
  <c r="BG947" i="5"/>
  <c r="BJ947" i="5"/>
  <c r="BH947" i="5"/>
  <c r="BE947" i="5"/>
  <c r="BD947" i="5"/>
  <c r="BF947" i="5"/>
  <c r="AY947" i="5"/>
  <c r="AU947" i="5"/>
  <c r="BN947" i="5" s="1"/>
  <c r="BA947" i="5"/>
  <c r="BP947" i="5" s="1"/>
  <c r="AZ947" i="5"/>
  <c r="AV947" i="5"/>
  <c r="BC947" i="5" s="1"/>
  <c r="CH1020" i="5"/>
  <c r="CG1020" i="5"/>
  <c r="CF1020" i="5"/>
  <c r="CK1020" i="5"/>
  <c r="CJ1020" i="5"/>
  <c r="CI1020" i="5"/>
  <c r="CE1020" i="5"/>
  <c r="CC1020" i="5"/>
  <c r="CA1020" i="5"/>
  <c r="CD1020" i="5"/>
  <c r="BZ1020" i="5"/>
  <c r="BY1020" i="5"/>
  <c r="BW1020" i="5"/>
  <c r="BX1020" i="5"/>
  <c r="BU1020" i="5"/>
  <c r="BV1020" i="5"/>
  <c r="BT1020" i="5"/>
  <c r="BS1020" i="5"/>
  <c r="BR1020" i="5"/>
  <c r="BQ1020" i="5"/>
  <c r="BL1020" i="5"/>
  <c r="BJ1020" i="5"/>
  <c r="BM1020" i="5"/>
  <c r="BK1020" i="5"/>
  <c r="BI1020" i="5"/>
  <c r="BH1020" i="5"/>
  <c r="BG1020" i="5"/>
  <c r="BF1020" i="5"/>
  <c r="BD1020" i="5"/>
  <c r="BE1020" i="5"/>
  <c r="AZ1020" i="5"/>
  <c r="AY1020" i="5"/>
  <c r="BA1020" i="5"/>
  <c r="BP1020" i="5" s="1"/>
  <c r="AU1020" i="5"/>
  <c r="AV1020" i="5"/>
  <c r="BC1020" i="5" s="1"/>
  <c r="CI1093" i="5"/>
  <c r="CK1093" i="5"/>
  <c r="CD1093" i="5"/>
  <c r="CE1093" i="5"/>
  <c r="CF1093" i="5"/>
  <c r="CC1093" i="5"/>
  <c r="CA1093" i="5"/>
  <c r="BW1093" i="5"/>
  <c r="BY1093" i="5"/>
  <c r="BV1093" i="5"/>
  <c r="BU1093" i="5"/>
  <c r="BT1093" i="5"/>
  <c r="BQ1093" i="5"/>
  <c r="BS1093" i="5"/>
  <c r="BR1093" i="5"/>
  <c r="BM1093" i="5"/>
  <c r="BK1093" i="5"/>
  <c r="BJ1093" i="5"/>
  <c r="BI1093" i="5"/>
  <c r="BH1093" i="5"/>
  <c r="BG1093" i="5"/>
  <c r="BD1093" i="5"/>
  <c r="BF1093" i="5"/>
  <c r="BE1093" i="5"/>
  <c r="BA1093" i="5"/>
  <c r="BP1093" i="5" s="1"/>
  <c r="AZ1093" i="5"/>
  <c r="AY1093" i="5"/>
  <c r="AU1093" i="5"/>
  <c r="BN1093" i="5" s="1"/>
  <c r="AV1093" i="5"/>
  <c r="BC1093" i="5" s="1"/>
  <c r="CJ1166" i="5"/>
  <c r="CI1166" i="5"/>
  <c r="CH1166" i="5"/>
  <c r="CK1166" i="5"/>
  <c r="CG1166" i="5"/>
  <c r="CE1166" i="5"/>
  <c r="CF1166" i="5"/>
  <c r="CC1166" i="5"/>
  <c r="CD1166" i="5"/>
  <c r="CA1166" i="5"/>
  <c r="BX1166" i="5"/>
  <c r="BZ1166" i="5"/>
  <c r="BY1166" i="5"/>
  <c r="BW1166" i="5"/>
  <c r="BU1166" i="5"/>
  <c r="BV1166" i="5"/>
  <c r="BS1166" i="5"/>
  <c r="BT1166" i="5"/>
  <c r="BR1166" i="5"/>
  <c r="BQ1166" i="5"/>
  <c r="BM1166" i="5"/>
  <c r="BL1166" i="5"/>
  <c r="BK1166" i="5"/>
  <c r="BJ1166" i="5"/>
  <c r="BI1166" i="5"/>
  <c r="BH1166" i="5"/>
  <c r="BG1166" i="5"/>
  <c r="BF1166" i="5"/>
  <c r="BE1166" i="5"/>
  <c r="BD1166" i="5"/>
  <c r="BA1166" i="5"/>
  <c r="BP1166" i="5" s="1"/>
  <c r="AZ1166" i="5"/>
  <c r="AY1166" i="5"/>
  <c r="AV1166" i="5"/>
  <c r="BO1166" i="5" s="1"/>
  <c r="AU1166" i="5"/>
  <c r="BN1166" i="5" s="1"/>
  <c r="CI1239" i="5"/>
  <c r="CE1239" i="5"/>
  <c r="CK1239" i="5"/>
  <c r="CF1239" i="5"/>
  <c r="CD1239" i="5"/>
  <c r="CC1239" i="5"/>
  <c r="CA1239" i="5"/>
  <c r="BY1239" i="5"/>
  <c r="BV1239" i="5"/>
  <c r="BW1239" i="5"/>
  <c r="BT1239" i="5"/>
  <c r="BU1239" i="5"/>
  <c r="BR1239" i="5"/>
  <c r="BQ1239" i="5"/>
  <c r="BS1239" i="5"/>
  <c r="BM1239" i="5"/>
  <c r="BK1239" i="5"/>
  <c r="BJ1239" i="5"/>
  <c r="BI1239" i="5"/>
  <c r="BG1239" i="5"/>
  <c r="BH1239" i="5"/>
  <c r="BE1239" i="5"/>
  <c r="BF1239" i="5"/>
  <c r="AY1239" i="5"/>
  <c r="BD1239" i="5"/>
  <c r="BA1239" i="5"/>
  <c r="BP1239" i="5" s="1"/>
  <c r="AZ1239" i="5"/>
  <c r="AV1239" i="5"/>
  <c r="BO1239" i="5" s="1"/>
  <c r="AU1239" i="5"/>
  <c r="BN1239" i="5" s="1"/>
  <c r="CK1311" i="5"/>
  <c r="CE1311" i="5"/>
  <c r="CF1311" i="5"/>
  <c r="CI1311" i="5"/>
  <c r="CD1311" i="5"/>
  <c r="CC1311" i="5"/>
  <c r="BY1311" i="5"/>
  <c r="CA1311" i="5"/>
  <c r="BV1311" i="5"/>
  <c r="BW1311" i="5"/>
  <c r="BU1311" i="5"/>
  <c r="BT1311" i="5"/>
  <c r="BR1311" i="5"/>
  <c r="BQ1311" i="5"/>
  <c r="BS1311" i="5"/>
  <c r="BM1311" i="5"/>
  <c r="BI1311" i="5"/>
  <c r="BK1311" i="5"/>
  <c r="BJ1311" i="5"/>
  <c r="BG1311" i="5"/>
  <c r="BE1311" i="5"/>
  <c r="BH1311" i="5"/>
  <c r="BF1311" i="5"/>
  <c r="BD1311" i="5"/>
  <c r="AY1311" i="5"/>
  <c r="BA1311" i="5"/>
  <c r="BP1311" i="5" s="1"/>
  <c r="AZ1311" i="5"/>
  <c r="AV1311" i="5"/>
  <c r="BO1311" i="5" s="1"/>
  <c r="AU1311" i="5"/>
  <c r="BB1311" i="5" s="1"/>
  <c r="CK52" i="5"/>
  <c r="CF52" i="5"/>
  <c r="CI52" i="5"/>
  <c r="CC52" i="5"/>
  <c r="CE52" i="5"/>
  <c r="CD52" i="5"/>
  <c r="CA52" i="5"/>
  <c r="BV52" i="5"/>
  <c r="BY52" i="5"/>
  <c r="BW52" i="5"/>
  <c r="BU52" i="5"/>
  <c r="BT52" i="5"/>
  <c r="BS52" i="5"/>
  <c r="BR52" i="5"/>
  <c r="BQ52" i="5"/>
  <c r="BK52" i="5"/>
  <c r="BJ52" i="5"/>
  <c r="BM52" i="5"/>
  <c r="BI52" i="5"/>
  <c r="BH52" i="5"/>
  <c r="BF52" i="5"/>
  <c r="BG52" i="5"/>
  <c r="BE52" i="5"/>
  <c r="BD52" i="5"/>
  <c r="AZ52" i="5"/>
  <c r="BA52" i="5"/>
  <c r="BP52" i="5" s="1"/>
  <c r="AY52" i="5"/>
  <c r="AU52" i="5"/>
  <c r="BN52" i="5" s="1"/>
  <c r="AV52" i="5"/>
  <c r="BC52" i="5" s="1"/>
  <c r="CK125" i="5"/>
  <c r="CH125" i="5"/>
  <c r="CG125" i="5"/>
  <c r="CF125" i="5"/>
  <c r="CE125" i="5"/>
  <c r="CD125" i="5"/>
  <c r="CI125" i="5"/>
  <c r="CJ125" i="5"/>
  <c r="CC125" i="5"/>
  <c r="CA125" i="5"/>
  <c r="BZ125" i="5"/>
  <c r="BY125" i="5"/>
  <c r="BX125" i="5"/>
  <c r="BW125" i="5"/>
  <c r="BT125" i="5"/>
  <c r="BV125" i="5"/>
  <c r="BU125" i="5"/>
  <c r="BR125" i="5"/>
  <c r="BS125" i="5"/>
  <c r="BQ125" i="5"/>
  <c r="BK125" i="5"/>
  <c r="BL125" i="5"/>
  <c r="BM125" i="5"/>
  <c r="BH125" i="5"/>
  <c r="BJ125" i="5"/>
  <c r="BI125" i="5"/>
  <c r="BG125" i="5"/>
  <c r="BF125" i="5"/>
  <c r="BE125" i="5"/>
  <c r="BD125" i="5"/>
  <c r="BA125" i="5"/>
  <c r="BP125" i="5" s="1"/>
  <c r="AZ125" i="5"/>
  <c r="AY125" i="5"/>
  <c r="AU125" i="5"/>
  <c r="BB125" i="5" s="1"/>
  <c r="AV125" i="5"/>
  <c r="BO125" i="5" s="1"/>
  <c r="CI198" i="5"/>
  <c r="CK198" i="5"/>
  <c r="CD198" i="5"/>
  <c r="CE198" i="5"/>
  <c r="CF198" i="5"/>
  <c r="CC198" i="5"/>
  <c r="BY198" i="5"/>
  <c r="CA198" i="5"/>
  <c r="BW198" i="5"/>
  <c r="BV198" i="5"/>
  <c r="BU198" i="5"/>
  <c r="BS198" i="5"/>
  <c r="BT198" i="5"/>
  <c r="BR198" i="5"/>
  <c r="BQ198" i="5"/>
  <c r="BM198" i="5"/>
  <c r="BK198" i="5"/>
  <c r="BH198" i="5"/>
  <c r="BJ198" i="5"/>
  <c r="BI198" i="5"/>
  <c r="BG198" i="5"/>
  <c r="BF198" i="5"/>
  <c r="BD198" i="5"/>
  <c r="BE198" i="5"/>
  <c r="BA198" i="5"/>
  <c r="AV198" i="5"/>
  <c r="AZ198" i="5"/>
  <c r="AY198" i="5"/>
  <c r="AU198" i="5"/>
  <c r="CJ271" i="5"/>
  <c r="CK271" i="5"/>
  <c r="CI271" i="5"/>
  <c r="CE271" i="5"/>
  <c r="CG271" i="5"/>
  <c r="CH271" i="5"/>
  <c r="CF271" i="5"/>
  <c r="CD271" i="5"/>
  <c r="CC271" i="5"/>
  <c r="BZ271" i="5"/>
  <c r="BX271" i="5"/>
  <c r="CA271" i="5"/>
  <c r="BY271" i="5"/>
  <c r="BV271" i="5"/>
  <c r="BW271" i="5"/>
  <c r="BU271" i="5"/>
  <c r="BT271" i="5"/>
  <c r="BS271" i="5"/>
  <c r="BR271" i="5"/>
  <c r="BQ271" i="5"/>
  <c r="BK271" i="5"/>
  <c r="BM271" i="5"/>
  <c r="BI271" i="5"/>
  <c r="BL271" i="5"/>
  <c r="BJ271" i="5"/>
  <c r="BH271" i="5"/>
  <c r="BG271" i="5"/>
  <c r="BE271" i="5"/>
  <c r="BF271" i="5"/>
  <c r="BD271" i="5"/>
  <c r="BA271" i="5"/>
  <c r="BP271" i="5" s="1"/>
  <c r="AY271" i="5"/>
  <c r="AZ271" i="5"/>
  <c r="AU271" i="5"/>
  <c r="BN271" i="5" s="1"/>
  <c r="AV271" i="5"/>
  <c r="CK344" i="5"/>
  <c r="CF344" i="5"/>
  <c r="CE344" i="5"/>
  <c r="CD344" i="5"/>
  <c r="CI344" i="5"/>
  <c r="CC344" i="5"/>
  <c r="CA344" i="5"/>
  <c r="BY344" i="5"/>
  <c r="BV344" i="5"/>
  <c r="BW344" i="5"/>
  <c r="BU344" i="5"/>
  <c r="BT344" i="5"/>
  <c r="BS344" i="5"/>
  <c r="BR344" i="5"/>
  <c r="BQ344" i="5"/>
  <c r="BM344" i="5"/>
  <c r="BK344" i="5"/>
  <c r="BJ344" i="5"/>
  <c r="BI344" i="5"/>
  <c r="BH344" i="5"/>
  <c r="BG344" i="5"/>
  <c r="BF344" i="5"/>
  <c r="BE344" i="5"/>
  <c r="BD344" i="5"/>
  <c r="BA344" i="5"/>
  <c r="BP344" i="5" s="1"/>
  <c r="AZ344" i="5"/>
  <c r="AV344" i="5"/>
  <c r="BC344" i="5" s="1"/>
  <c r="AY344" i="5"/>
  <c r="AU344" i="5"/>
  <c r="BN344" i="5" s="1"/>
  <c r="CJ418" i="5"/>
  <c r="CK418" i="5"/>
  <c r="CI418" i="5"/>
  <c r="CD418" i="5"/>
  <c r="CF418" i="5"/>
  <c r="CE418" i="5"/>
  <c r="CH418" i="5"/>
  <c r="CG418" i="5"/>
  <c r="CC418" i="5"/>
  <c r="BY418" i="5"/>
  <c r="BX418" i="5"/>
  <c r="CA418" i="5"/>
  <c r="BZ418" i="5"/>
  <c r="BU418" i="5"/>
  <c r="BV418" i="5"/>
  <c r="BW418" i="5"/>
  <c r="BS418" i="5"/>
  <c r="BT418" i="5"/>
  <c r="BQ418" i="5"/>
  <c r="BR418" i="5"/>
  <c r="BM418" i="5"/>
  <c r="BK418" i="5"/>
  <c r="BL418" i="5"/>
  <c r="BJ418" i="5"/>
  <c r="BI418" i="5"/>
  <c r="BG418" i="5"/>
  <c r="BF418" i="5"/>
  <c r="BD418" i="5"/>
  <c r="BH418" i="5"/>
  <c r="BE418" i="5"/>
  <c r="BA418" i="5"/>
  <c r="BP418" i="5" s="1"/>
  <c r="AZ418" i="5"/>
  <c r="AY418" i="5"/>
  <c r="AU418" i="5"/>
  <c r="BN418" i="5" s="1"/>
  <c r="AV418" i="5"/>
  <c r="BC418" i="5" s="1"/>
  <c r="CJ491" i="5"/>
  <c r="CH491" i="5"/>
  <c r="CI491" i="5"/>
  <c r="CK491" i="5"/>
  <c r="CE491" i="5"/>
  <c r="CG491" i="5"/>
  <c r="CD491" i="5"/>
  <c r="CF491" i="5"/>
  <c r="CC491" i="5"/>
  <c r="BZ491" i="5"/>
  <c r="CA491" i="5"/>
  <c r="BY491" i="5"/>
  <c r="BX491" i="5"/>
  <c r="BW491" i="5"/>
  <c r="BV491" i="5"/>
  <c r="BU491" i="5"/>
  <c r="BT491" i="5"/>
  <c r="BS491" i="5"/>
  <c r="BQ491" i="5"/>
  <c r="BR491" i="5"/>
  <c r="BL491" i="5"/>
  <c r="BM491" i="5"/>
  <c r="BK491" i="5"/>
  <c r="BI491" i="5"/>
  <c r="BG491" i="5"/>
  <c r="BH491" i="5"/>
  <c r="BJ491" i="5"/>
  <c r="BF491" i="5"/>
  <c r="BE491" i="5"/>
  <c r="BD491" i="5"/>
  <c r="BA491" i="5"/>
  <c r="BP491" i="5" s="1"/>
  <c r="AY491" i="5"/>
  <c r="AZ491" i="5"/>
  <c r="AU491" i="5"/>
  <c r="AV491" i="5"/>
  <c r="BC491" i="5" s="1"/>
  <c r="CK564" i="5"/>
  <c r="CJ564" i="5"/>
  <c r="CG564" i="5"/>
  <c r="CF564" i="5"/>
  <c r="CI564" i="5"/>
  <c r="CH564" i="5"/>
  <c r="CC564" i="5"/>
  <c r="CE564" i="5"/>
  <c r="CD564" i="5"/>
  <c r="CA564" i="5"/>
  <c r="BX564" i="5"/>
  <c r="BZ564" i="5"/>
  <c r="BY564" i="5"/>
  <c r="BW564" i="5"/>
  <c r="BU564" i="5"/>
  <c r="BT564" i="5"/>
  <c r="BV564" i="5"/>
  <c r="BS564" i="5"/>
  <c r="BR564" i="5"/>
  <c r="BQ564" i="5"/>
  <c r="BL564" i="5"/>
  <c r="BJ564" i="5"/>
  <c r="BK564" i="5"/>
  <c r="BM564" i="5"/>
  <c r="BI564" i="5"/>
  <c r="BH564" i="5"/>
  <c r="BF564" i="5"/>
  <c r="BG564" i="5"/>
  <c r="BE564" i="5"/>
  <c r="BD564" i="5"/>
  <c r="AZ564" i="5"/>
  <c r="BA564" i="5"/>
  <c r="BP564" i="5" s="1"/>
  <c r="AY564" i="5"/>
  <c r="AU564" i="5"/>
  <c r="BN564" i="5" s="1"/>
  <c r="AV564" i="5"/>
  <c r="BO564" i="5" s="1"/>
  <c r="CK637" i="5"/>
  <c r="CG637" i="5"/>
  <c r="CJ637" i="5"/>
  <c r="CH637" i="5"/>
  <c r="CF637" i="5"/>
  <c r="CE637" i="5"/>
  <c r="CI637" i="5"/>
  <c r="CD637" i="5"/>
  <c r="CC637" i="5"/>
  <c r="CA637" i="5"/>
  <c r="BZ637" i="5"/>
  <c r="BX637" i="5"/>
  <c r="BY637" i="5"/>
  <c r="BW637" i="5"/>
  <c r="BV637" i="5"/>
  <c r="BU637" i="5"/>
  <c r="BR637" i="5"/>
  <c r="BT637" i="5"/>
  <c r="BS637" i="5"/>
  <c r="BQ637" i="5"/>
  <c r="BM637" i="5"/>
  <c r="BL637" i="5"/>
  <c r="BK637" i="5"/>
  <c r="BJ637" i="5"/>
  <c r="BI637" i="5"/>
  <c r="BH637" i="5"/>
  <c r="BG637" i="5"/>
  <c r="BF637" i="5"/>
  <c r="BE637" i="5"/>
  <c r="BD637" i="5"/>
  <c r="BA637" i="5"/>
  <c r="BP637" i="5" s="1"/>
  <c r="AZ637" i="5"/>
  <c r="AY637" i="5"/>
  <c r="AU637" i="5"/>
  <c r="BB637" i="5" s="1"/>
  <c r="AV637" i="5"/>
  <c r="BC637" i="5" s="1"/>
  <c r="CK710" i="5"/>
  <c r="CJ710" i="5"/>
  <c r="CI710" i="5"/>
  <c r="CH710" i="5"/>
  <c r="CE710" i="5"/>
  <c r="CG710" i="5"/>
  <c r="CF710" i="5"/>
  <c r="CD710" i="5"/>
  <c r="CC710" i="5"/>
  <c r="CA710" i="5"/>
  <c r="BX710" i="5"/>
  <c r="BZ710" i="5"/>
  <c r="BY710" i="5"/>
  <c r="BW710" i="5"/>
  <c r="BU710" i="5"/>
  <c r="BV710" i="5"/>
  <c r="BS710" i="5"/>
  <c r="BT710" i="5"/>
  <c r="BR710" i="5"/>
  <c r="BQ710" i="5"/>
  <c r="BM710" i="5"/>
  <c r="BL710" i="5"/>
  <c r="BK710" i="5"/>
  <c r="BJ710" i="5"/>
  <c r="BI710" i="5"/>
  <c r="BH710" i="5"/>
  <c r="BG710" i="5"/>
  <c r="BF710" i="5"/>
  <c r="BD710" i="5"/>
  <c r="BE710" i="5"/>
  <c r="AV710" i="5"/>
  <c r="BC710" i="5" s="1"/>
  <c r="BA710" i="5"/>
  <c r="BP710" i="5" s="1"/>
  <c r="AZ710" i="5"/>
  <c r="AY710" i="5"/>
  <c r="AU710" i="5"/>
  <c r="BB710" i="5" s="1"/>
  <c r="CK783" i="5"/>
  <c r="CI783" i="5"/>
  <c r="CG783" i="5"/>
  <c r="CE783" i="5"/>
  <c r="CJ783" i="5"/>
  <c r="CH783" i="5"/>
  <c r="CF783" i="5"/>
  <c r="CD783" i="5"/>
  <c r="CC783" i="5"/>
  <c r="BZ783" i="5"/>
  <c r="BX783" i="5"/>
  <c r="BY783" i="5"/>
  <c r="CA783" i="5"/>
  <c r="BV783" i="5"/>
  <c r="BW783" i="5"/>
  <c r="BT783" i="5"/>
  <c r="BU783" i="5"/>
  <c r="BR783" i="5"/>
  <c r="BQ783" i="5"/>
  <c r="BS783" i="5"/>
  <c r="BL783" i="5"/>
  <c r="BM783" i="5"/>
  <c r="BI783" i="5"/>
  <c r="BJ783" i="5"/>
  <c r="BK783" i="5"/>
  <c r="BG783" i="5"/>
  <c r="BH783" i="5"/>
  <c r="BE783" i="5"/>
  <c r="BF783" i="5"/>
  <c r="BD783" i="5"/>
  <c r="AY783" i="5"/>
  <c r="BA783" i="5"/>
  <c r="BP783" i="5" s="1"/>
  <c r="AZ783" i="5"/>
  <c r="AU783" i="5"/>
  <c r="BB783" i="5" s="1"/>
  <c r="AV783" i="5"/>
  <c r="BO783" i="5" s="1"/>
  <c r="CG856" i="5"/>
  <c r="CF856" i="5"/>
  <c r="CK856" i="5"/>
  <c r="CJ856" i="5"/>
  <c r="CE856" i="5"/>
  <c r="CI856" i="5"/>
  <c r="CH856" i="5"/>
  <c r="CD856" i="5"/>
  <c r="CA856" i="5"/>
  <c r="CC856" i="5"/>
  <c r="BZ856" i="5"/>
  <c r="BY856" i="5"/>
  <c r="BW856" i="5"/>
  <c r="BX856" i="5"/>
  <c r="BV856" i="5"/>
  <c r="BU856" i="5"/>
  <c r="BT856" i="5"/>
  <c r="BS856" i="5"/>
  <c r="BR856" i="5"/>
  <c r="BQ856" i="5"/>
  <c r="BL856" i="5"/>
  <c r="BM856" i="5"/>
  <c r="BK856" i="5"/>
  <c r="BJ856" i="5"/>
  <c r="BI856" i="5"/>
  <c r="BH856" i="5"/>
  <c r="BG856" i="5"/>
  <c r="BF856" i="5"/>
  <c r="BE856" i="5"/>
  <c r="BD856" i="5"/>
  <c r="AZ856" i="5"/>
  <c r="AV856" i="5"/>
  <c r="AY856" i="5"/>
  <c r="BA856" i="5"/>
  <c r="BP856" i="5" s="1"/>
  <c r="AU856" i="5"/>
  <c r="BN856" i="5" s="1"/>
  <c r="CI930" i="5"/>
  <c r="CK930" i="5"/>
  <c r="CF930" i="5"/>
  <c r="CE930" i="5"/>
  <c r="CC930" i="5"/>
  <c r="CD930" i="5"/>
  <c r="CA930" i="5"/>
  <c r="BY930" i="5"/>
  <c r="BU930" i="5"/>
  <c r="BW930" i="5"/>
  <c r="BV930" i="5"/>
  <c r="BS930" i="5"/>
  <c r="BT930" i="5"/>
  <c r="BQ930" i="5"/>
  <c r="BR930" i="5"/>
  <c r="BM930" i="5"/>
  <c r="BK930" i="5"/>
  <c r="BJ930" i="5"/>
  <c r="BI930" i="5"/>
  <c r="BH930" i="5"/>
  <c r="BG930" i="5"/>
  <c r="BF930" i="5"/>
  <c r="BD930" i="5"/>
  <c r="BE930" i="5"/>
  <c r="BA930" i="5"/>
  <c r="BP930" i="5" s="1"/>
  <c r="AZ930" i="5"/>
  <c r="AY930" i="5"/>
  <c r="AU930" i="5"/>
  <c r="BN930" i="5" s="1"/>
  <c r="AV930" i="5"/>
  <c r="BC930" i="5" s="1"/>
  <c r="CK1003" i="5"/>
  <c r="CJ1003" i="5"/>
  <c r="CI1003" i="5"/>
  <c r="CE1003" i="5"/>
  <c r="CH1003" i="5"/>
  <c r="CG1003" i="5"/>
  <c r="CF1003" i="5"/>
  <c r="CD1003" i="5"/>
  <c r="CC1003" i="5"/>
  <c r="BZ1003" i="5"/>
  <c r="BY1003" i="5"/>
  <c r="BX1003" i="5"/>
  <c r="CA1003" i="5"/>
  <c r="BW1003" i="5"/>
  <c r="BV1003" i="5"/>
  <c r="BU1003" i="5"/>
  <c r="BT1003" i="5"/>
  <c r="BS1003" i="5"/>
  <c r="BR1003" i="5"/>
  <c r="BQ1003" i="5"/>
  <c r="BM1003" i="5"/>
  <c r="BL1003" i="5"/>
  <c r="BI1003" i="5"/>
  <c r="BG1003" i="5"/>
  <c r="BK1003" i="5"/>
  <c r="BJ1003" i="5"/>
  <c r="BH1003" i="5"/>
  <c r="BE1003" i="5"/>
  <c r="BD1003" i="5"/>
  <c r="BF1003" i="5"/>
  <c r="AY1003" i="5"/>
  <c r="BA1003" i="5"/>
  <c r="BP1003" i="5" s="1"/>
  <c r="AZ1003" i="5"/>
  <c r="AU1003" i="5"/>
  <c r="BN1003" i="5" s="1"/>
  <c r="AV1003" i="5"/>
  <c r="BO1003" i="5" s="1"/>
  <c r="CH1076" i="5"/>
  <c r="CG1076" i="5"/>
  <c r="CF1076" i="5"/>
  <c r="CK1076" i="5"/>
  <c r="CJ1076" i="5"/>
  <c r="CI1076" i="5"/>
  <c r="CE1076" i="5"/>
  <c r="CD1076" i="5"/>
  <c r="CA1076" i="5"/>
  <c r="CC1076" i="5"/>
  <c r="BY1076" i="5"/>
  <c r="BZ1076" i="5"/>
  <c r="BW1076" i="5"/>
  <c r="BX1076" i="5"/>
  <c r="BU1076" i="5"/>
  <c r="BV1076" i="5"/>
  <c r="BT1076" i="5"/>
  <c r="BR1076" i="5"/>
  <c r="BQ1076" i="5"/>
  <c r="BS1076" i="5"/>
  <c r="BL1076" i="5"/>
  <c r="BJ1076" i="5"/>
  <c r="BM1076" i="5"/>
  <c r="BI1076" i="5"/>
  <c r="BK1076" i="5"/>
  <c r="BH1076" i="5"/>
  <c r="BF1076" i="5"/>
  <c r="BG1076" i="5"/>
  <c r="BE1076" i="5"/>
  <c r="BD1076" i="5"/>
  <c r="AZ1076" i="5"/>
  <c r="BA1076" i="5"/>
  <c r="BP1076" i="5" s="1"/>
  <c r="AY1076" i="5"/>
  <c r="AU1076" i="5"/>
  <c r="AV1076" i="5"/>
  <c r="BO1076" i="5" s="1"/>
  <c r="CJ1149" i="5"/>
  <c r="CH1149" i="5"/>
  <c r="CF1149" i="5"/>
  <c r="CE1149" i="5"/>
  <c r="CI1149" i="5"/>
  <c r="CD1149" i="5"/>
  <c r="CK1149" i="5"/>
  <c r="CG1149" i="5"/>
  <c r="CA1149" i="5"/>
  <c r="BZ1149" i="5"/>
  <c r="CC1149" i="5"/>
  <c r="BY1149" i="5"/>
  <c r="BW1149" i="5"/>
  <c r="BX1149" i="5"/>
  <c r="BU1149" i="5"/>
  <c r="BV1149" i="5"/>
  <c r="BT1149" i="5"/>
  <c r="BS1149" i="5"/>
  <c r="BQ1149" i="5"/>
  <c r="BR1149" i="5"/>
  <c r="BL1149" i="5"/>
  <c r="BM1149" i="5"/>
  <c r="BK1149" i="5"/>
  <c r="BI1149" i="5"/>
  <c r="BJ1149" i="5"/>
  <c r="BH1149" i="5"/>
  <c r="BG1149" i="5"/>
  <c r="BF1149" i="5"/>
  <c r="BE1149" i="5"/>
  <c r="BD1149" i="5"/>
  <c r="BA1149" i="5"/>
  <c r="BP1149" i="5" s="1"/>
  <c r="AU1149" i="5"/>
  <c r="BN1149" i="5" s="1"/>
  <c r="AZ1149" i="5"/>
  <c r="AY1149" i="5"/>
  <c r="AV1149" i="5"/>
  <c r="BC1149" i="5" s="1"/>
  <c r="CI1222" i="5"/>
  <c r="CK1222" i="5"/>
  <c r="CE1222" i="5"/>
  <c r="CF1222" i="5"/>
  <c r="CD1222" i="5"/>
  <c r="CC1222" i="5"/>
  <c r="CA1222" i="5"/>
  <c r="BY1222" i="5"/>
  <c r="BW1222" i="5"/>
  <c r="BU1222" i="5"/>
  <c r="BV1222" i="5"/>
  <c r="BS1222" i="5"/>
  <c r="BT1222" i="5"/>
  <c r="BR1222" i="5"/>
  <c r="BQ1222" i="5"/>
  <c r="BM1222" i="5"/>
  <c r="BK1222" i="5"/>
  <c r="BJ1222" i="5"/>
  <c r="BI1222" i="5"/>
  <c r="BH1222" i="5"/>
  <c r="BG1222" i="5"/>
  <c r="BF1222" i="5"/>
  <c r="BE1222" i="5"/>
  <c r="BD1222" i="5"/>
  <c r="AV1222" i="5"/>
  <c r="BC1222" i="5" s="1"/>
  <c r="BA1222" i="5"/>
  <c r="BP1222" i="5" s="1"/>
  <c r="AZ1222" i="5"/>
  <c r="AY1222" i="5"/>
  <c r="AU1222" i="5"/>
  <c r="BN1222" i="5" s="1"/>
  <c r="CK1295" i="5"/>
  <c r="CI1295" i="5"/>
  <c r="CE1295" i="5"/>
  <c r="CF1295" i="5"/>
  <c r="CD1295" i="5"/>
  <c r="CC1295" i="5"/>
  <c r="BY1295" i="5"/>
  <c r="CA1295" i="5"/>
  <c r="BV1295" i="5"/>
  <c r="BW1295" i="5"/>
  <c r="BT1295" i="5"/>
  <c r="BU1295" i="5"/>
  <c r="BR1295" i="5"/>
  <c r="BQ1295" i="5"/>
  <c r="BS1295" i="5"/>
  <c r="BM1295" i="5"/>
  <c r="BK1295" i="5"/>
  <c r="BJ1295" i="5"/>
  <c r="BI1295" i="5"/>
  <c r="BG1295" i="5"/>
  <c r="BH1295" i="5"/>
  <c r="BE1295" i="5"/>
  <c r="BF1295" i="5"/>
  <c r="BD1295" i="5"/>
  <c r="AY1295" i="5"/>
  <c r="BA1295" i="5"/>
  <c r="BP1295" i="5" s="1"/>
  <c r="AZ1295" i="5"/>
  <c r="AU1295" i="5"/>
  <c r="AV1295" i="5"/>
  <c r="BC1295" i="5" s="1"/>
  <c r="BX7" i="5"/>
  <c r="CB35" i="5"/>
  <c r="CK108" i="5"/>
  <c r="CH108" i="5"/>
  <c r="CJ108" i="5"/>
  <c r="CI108" i="5"/>
  <c r="CG108" i="5"/>
  <c r="CF108" i="5"/>
  <c r="CC108" i="5"/>
  <c r="CE108" i="5"/>
  <c r="CD108" i="5"/>
  <c r="CA108" i="5"/>
  <c r="BZ108" i="5"/>
  <c r="BV108" i="5"/>
  <c r="BY108" i="5"/>
  <c r="BX108" i="5"/>
  <c r="BW108" i="5"/>
  <c r="BU108" i="5"/>
  <c r="BT108" i="5"/>
  <c r="BS108" i="5"/>
  <c r="BR108" i="5"/>
  <c r="BQ108" i="5"/>
  <c r="BL108" i="5"/>
  <c r="BM108" i="5"/>
  <c r="BK108" i="5"/>
  <c r="BJ108" i="5"/>
  <c r="BI108" i="5"/>
  <c r="BH108" i="5"/>
  <c r="BF108" i="5"/>
  <c r="BG108" i="5"/>
  <c r="BE108" i="5"/>
  <c r="BD108" i="5"/>
  <c r="AZ108" i="5"/>
  <c r="BA108" i="5"/>
  <c r="BP108" i="5" s="1"/>
  <c r="AY108" i="5"/>
  <c r="AU108" i="5"/>
  <c r="BN108" i="5" s="1"/>
  <c r="AV108" i="5"/>
  <c r="BO108" i="5" s="1"/>
  <c r="CK181" i="5"/>
  <c r="CI181" i="5"/>
  <c r="CD181" i="5"/>
  <c r="CF181" i="5"/>
  <c r="CE181" i="5"/>
  <c r="CC181" i="5"/>
  <c r="BY181" i="5"/>
  <c r="BW181" i="5"/>
  <c r="CA181" i="5"/>
  <c r="BT181" i="5"/>
  <c r="BV181" i="5"/>
  <c r="BU181" i="5"/>
  <c r="BR181" i="5"/>
  <c r="BS181" i="5"/>
  <c r="BQ181" i="5"/>
  <c r="BM181" i="5"/>
  <c r="BK181" i="5"/>
  <c r="BH181" i="5"/>
  <c r="BJ181" i="5"/>
  <c r="BI181" i="5"/>
  <c r="BF181" i="5"/>
  <c r="BG181" i="5"/>
  <c r="BE181" i="5"/>
  <c r="BD181" i="5"/>
  <c r="BA181" i="5"/>
  <c r="BP181" i="5" s="1"/>
  <c r="AZ181" i="5"/>
  <c r="AY181" i="5"/>
  <c r="AU181" i="5"/>
  <c r="BB181" i="5" s="1"/>
  <c r="AV181" i="5"/>
  <c r="BO181" i="5" s="1"/>
  <c r="CI254" i="5"/>
  <c r="CK254" i="5"/>
  <c r="CD254" i="5"/>
  <c r="CF254" i="5"/>
  <c r="CE254" i="5"/>
  <c r="CC254" i="5"/>
  <c r="BY254" i="5"/>
  <c r="CA254" i="5"/>
  <c r="BU254" i="5"/>
  <c r="BV254" i="5"/>
  <c r="BW254" i="5"/>
  <c r="BS254" i="5"/>
  <c r="BR254" i="5"/>
  <c r="BT254" i="5"/>
  <c r="BQ254" i="5"/>
  <c r="BM254" i="5"/>
  <c r="BK254" i="5"/>
  <c r="BJ254" i="5"/>
  <c r="BI254" i="5"/>
  <c r="BH254" i="5"/>
  <c r="BG254" i="5"/>
  <c r="BF254" i="5"/>
  <c r="BD254" i="5"/>
  <c r="BE254" i="5"/>
  <c r="BA254" i="5"/>
  <c r="BP254" i="5" s="1"/>
  <c r="AV254" i="5"/>
  <c r="BO254" i="5" s="1"/>
  <c r="AZ254" i="5"/>
  <c r="AY254" i="5"/>
  <c r="AU254" i="5"/>
  <c r="BN254" i="5" s="1"/>
  <c r="CK327" i="5"/>
  <c r="CE327" i="5"/>
  <c r="CI327" i="5"/>
  <c r="CF327" i="5"/>
  <c r="CD327" i="5"/>
  <c r="CC327" i="5"/>
  <c r="CA327" i="5"/>
  <c r="BY327" i="5"/>
  <c r="BV327" i="5"/>
  <c r="BW327" i="5"/>
  <c r="BU327" i="5"/>
  <c r="BS327" i="5"/>
  <c r="BT327" i="5"/>
  <c r="BR327" i="5"/>
  <c r="BQ327" i="5"/>
  <c r="BK327" i="5"/>
  <c r="BI327" i="5"/>
  <c r="BM327" i="5"/>
  <c r="BH327" i="5"/>
  <c r="BJ327" i="5"/>
  <c r="BG327" i="5"/>
  <c r="BE327" i="5"/>
  <c r="BF327" i="5"/>
  <c r="BD327" i="5"/>
  <c r="BA327" i="5"/>
  <c r="BP327" i="5" s="1"/>
  <c r="AY327" i="5"/>
  <c r="AZ327" i="5"/>
  <c r="AU327" i="5"/>
  <c r="BB327" i="5" s="1"/>
  <c r="AV327" i="5"/>
  <c r="BO327" i="5" s="1"/>
  <c r="CJ400" i="5"/>
  <c r="CK400" i="5"/>
  <c r="CI400" i="5"/>
  <c r="CH400" i="5"/>
  <c r="CF400" i="5"/>
  <c r="CG400" i="5"/>
  <c r="CC400" i="5"/>
  <c r="CD400" i="5"/>
  <c r="CE400" i="5"/>
  <c r="CA400" i="5"/>
  <c r="BX400" i="5"/>
  <c r="BV400" i="5"/>
  <c r="BZ400" i="5"/>
  <c r="BW400" i="5"/>
  <c r="BY400" i="5"/>
  <c r="BU400" i="5"/>
  <c r="BT400" i="5"/>
  <c r="BS400" i="5"/>
  <c r="BR400" i="5"/>
  <c r="BQ400" i="5"/>
  <c r="BM400" i="5"/>
  <c r="BL400" i="5"/>
  <c r="BK400" i="5"/>
  <c r="BJ400" i="5"/>
  <c r="BI400" i="5"/>
  <c r="BH400" i="5"/>
  <c r="BG400" i="5"/>
  <c r="BF400" i="5"/>
  <c r="BE400" i="5"/>
  <c r="BD400" i="5"/>
  <c r="BA400" i="5"/>
  <c r="BP400" i="5" s="1"/>
  <c r="AZ400" i="5"/>
  <c r="AV400" i="5"/>
  <c r="BO400" i="5" s="1"/>
  <c r="AY400" i="5"/>
  <c r="AU400" i="5"/>
  <c r="BN400" i="5" s="1"/>
  <c r="CK474" i="5"/>
  <c r="CI474" i="5"/>
  <c r="CD474" i="5"/>
  <c r="CF474" i="5"/>
  <c r="CE474" i="5"/>
  <c r="CC474" i="5"/>
  <c r="BY474" i="5"/>
  <c r="CA474" i="5"/>
  <c r="BU474" i="5"/>
  <c r="BV474" i="5"/>
  <c r="BW474" i="5"/>
  <c r="BS474" i="5"/>
  <c r="BT474" i="5"/>
  <c r="BQ474" i="5"/>
  <c r="BR474" i="5"/>
  <c r="BM474" i="5"/>
  <c r="BK474" i="5"/>
  <c r="BJ474" i="5"/>
  <c r="BI474" i="5"/>
  <c r="BH474" i="5"/>
  <c r="BF474" i="5"/>
  <c r="BG474" i="5"/>
  <c r="BD474" i="5"/>
  <c r="BE474" i="5"/>
  <c r="BA474" i="5"/>
  <c r="BP474" i="5" s="1"/>
  <c r="AZ474" i="5"/>
  <c r="AY474" i="5"/>
  <c r="AU474" i="5"/>
  <c r="BN474" i="5" s="1"/>
  <c r="AV474" i="5"/>
  <c r="BC474" i="5" s="1"/>
  <c r="CK547" i="5"/>
  <c r="CJ547" i="5"/>
  <c r="CE547" i="5"/>
  <c r="CI547" i="5"/>
  <c r="CG547" i="5"/>
  <c r="CH547" i="5"/>
  <c r="CF547" i="5"/>
  <c r="CD547" i="5"/>
  <c r="CC547" i="5"/>
  <c r="BZ547" i="5"/>
  <c r="BX547" i="5"/>
  <c r="BY547" i="5"/>
  <c r="CA547" i="5"/>
  <c r="BV547" i="5"/>
  <c r="BW547" i="5"/>
  <c r="BU547" i="5"/>
  <c r="BT547" i="5"/>
  <c r="BS547" i="5"/>
  <c r="BR547" i="5"/>
  <c r="BQ547" i="5"/>
  <c r="BM547" i="5"/>
  <c r="BL547" i="5"/>
  <c r="BK547" i="5"/>
  <c r="BI547" i="5"/>
  <c r="BJ547" i="5"/>
  <c r="BG547" i="5"/>
  <c r="BH547" i="5"/>
  <c r="BF547" i="5"/>
  <c r="BE547" i="5"/>
  <c r="BD547" i="5"/>
  <c r="BA547" i="5"/>
  <c r="BP547" i="5" s="1"/>
  <c r="AY547" i="5"/>
  <c r="AZ547" i="5"/>
  <c r="AU547" i="5"/>
  <c r="BB547" i="5" s="1"/>
  <c r="AV547" i="5"/>
  <c r="BC547" i="5" s="1"/>
  <c r="CK620" i="5"/>
  <c r="CH620" i="5"/>
  <c r="CJ620" i="5"/>
  <c r="CI620" i="5"/>
  <c r="CF620" i="5"/>
  <c r="CC620" i="5"/>
  <c r="CG620" i="5"/>
  <c r="CE620" i="5"/>
  <c r="CD620" i="5"/>
  <c r="CA620" i="5"/>
  <c r="BX620" i="5"/>
  <c r="BZ620" i="5"/>
  <c r="BY620" i="5"/>
  <c r="BW620" i="5"/>
  <c r="BU620" i="5"/>
  <c r="BV620" i="5"/>
  <c r="BT620" i="5"/>
  <c r="BS620" i="5"/>
  <c r="BR620" i="5"/>
  <c r="BQ620" i="5"/>
  <c r="BL620" i="5"/>
  <c r="BM620" i="5"/>
  <c r="BJ620" i="5"/>
  <c r="BK620" i="5"/>
  <c r="BI620" i="5"/>
  <c r="BH620" i="5"/>
  <c r="BF620" i="5"/>
  <c r="BG620" i="5"/>
  <c r="BE620" i="5"/>
  <c r="BD620" i="5"/>
  <c r="AZ620" i="5"/>
  <c r="AY620" i="5"/>
  <c r="BA620" i="5"/>
  <c r="BP620" i="5" s="1"/>
  <c r="AU620" i="5"/>
  <c r="BB620" i="5" s="1"/>
  <c r="AV620" i="5"/>
  <c r="BC620" i="5" s="1"/>
  <c r="CK693" i="5"/>
  <c r="CI693" i="5"/>
  <c r="CJ693" i="5"/>
  <c r="CG693" i="5"/>
  <c r="CH693" i="5"/>
  <c r="CD693" i="5"/>
  <c r="CF693" i="5"/>
  <c r="CE693" i="5"/>
  <c r="CC693" i="5"/>
  <c r="BX693" i="5"/>
  <c r="BW693" i="5"/>
  <c r="CA693" i="5"/>
  <c r="BZ693" i="5"/>
  <c r="BY693" i="5"/>
  <c r="BV693" i="5"/>
  <c r="BU693" i="5"/>
  <c r="BR693" i="5"/>
  <c r="BT693" i="5"/>
  <c r="BS693" i="5"/>
  <c r="BQ693" i="5"/>
  <c r="BM693" i="5"/>
  <c r="BL693" i="5"/>
  <c r="BK693" i="5"/>
  <c r="BJ693" i="5"/>
  <c r="BI693" i="5"/>
  <c r="BF693" i="5"/>
  <c r="BH693" i="5"/>
  <c r="BG693" i="5"/>
  <c r="BE693" i="5"/>
  <c r="BD693" i="5"/>
  <c r="BA693" i="5"/>
  <c r="BP693" i="5" s="1"/>
  <c r="AZ693" i="5"/>
  <c r="AY693" i="5"/>
  <c r="AU693" i="5"/>
  <c r="BB693" i="5" s="1"/>
  <c r="AV693" i="5"/>
  <c r="BO693" i="5" s="1"/>
  <c r="CK766" i="5"/>
  <c r="CI766" i="5"/>
  <c r="CF766" i="5"/>
  <c r="CE766" i="5"/>
  <c r="CC766" i="5"/>
  <c r="CD766" i="5"/>
  <c r="CA766" i="5"/>
  <c r="BY766" i="5"/>
  <c r="BU766" i="5"/>
  <c r="BW766" i="5"/>
  <c r="BV766" i="5"/>
  <c r="BS766" i="5"/>
  <c r="BR766" i="5"/>
  <c r="BT766" i="5"/>
  <c r="BQ766" i="5"/>
  <c r="BM766" i="5"/>
  <c r="BJ766" i="5"/>
  <c r="BI766" i="5"/>
  <c r="BK766" i="5"/>
  <c r="BH766" i="5"/>
  <c r="BG766" i="5"/>
  <c r="BE766" i="5"/>
  <c r="BF766" i="5"/>
  <c r="BD766" i="5"/>
  <c r="AV766" i="5"/>
  <c r="BC766" i="5" s="1"/>
  <c r="BA766" i="5"/>
  <c r="BP766" i="5" s="1"/>
  <c r="AZ766" i="5"/>
  <c r="AY766" i="5"/>
  <c r="AU766" i="5"/>
  <c r="BN766" i="5" s="1"/>
  <c r="CK839" i="5"/>
  <c r="CE839" i="5"/>
  <c r="CF839" i="5"/>
  <c r="CI839" i="5"/>
  <c r="CD839" i="5"/>
  <c r="CC839" i="5"/>
  <c r="CA839" i="5"/>
  <c r="BY839" i="5"/>
  <c r="BV839" i="5"/>
  <c r="BW839" i="5"/>
  <c r="BT839" i="5"/>
  <c r="BU839" i="5"/>
  <c r="BR839" i="5"/>
  <c r="BS839" i="5"/>
  <c r="BQ839" i="5"/>
  <c r="BI839" i="5"/>
  <c r="BM839" i="5"/>
  <c r="BK839" i="5"/>
  <c r="BJ839" i="5"/>
  <c r="BG839" i="5"/>
  <c r="BE839" i="5"/>
  <c r="BH839" i="5"/>
  <c r="BF839" i="5"/>
  <c r="BD839" i="5"/>
  <c r="AY839" i="5"/>
  <c r="BA839" i="5"/>
  <c r="BP839" i="5" s="1"/>
  <c r="AZ839" i="5"/>
  <c r="AU839" i="5"/>
  <c r="BN839" i="5" s="1"/>
  <c r="AV839" i="5"/>
  <c r="BC839" i="5" s="1"/>
  <c r="CK912" i="5"/>
  <c r="CI912" i="5"/>
  <c r="CF912" i="5"/>
  <c r="CD912" i="5"/>
  <c r="CE912" i="5"/>
  <c r="CA912" i="5"/>
  <c r="CC912" i="5"/>
  <c r="BY912" i="5"/>
  <c r="BW912" i="5"/>
  <c r="BV912" i="5"/>
  <c r="BU912" i="5"/>
  <c r="BT912" i="5"/>
  <c r="BR912" i="5"/>
  <c r="BQ912" i="5"/>
  <c r="BS912" i="5"/>
  <c r="BK912" i="5"/>
  <c r="BM912" i="5"/>
  <c r="BJ912" i="5"/>
  <c r="BI912" i="5"/>
  <c r="BH912" i="5"/>
  <c r="BG912" i="5"/>
  <c r="BF912" i="5"/>
  <c r="BE912" i="5"/>
  <c r="BD912" i="5"/>
  <c r="AZ912" i="5"/>
  <c r="AV912" i="5"/>
  <c r="AY912" i="5"/>
  <c r="BA912" i="5"/>
  <c r="BP912" i="5" s="1"/>
  <c r="AU912" i="5"/>
  <c r="BN912" i="5" s="1"/>
  <c r="CK986" i="5"/>
  <c r="CI986" i="5"/>
  <c r="CF986" i="5"/>
  <c r="CC986" i="5"/>
  <c r="CE986" i="5"/>
  <c r="CD986" i="5"/>
  <c r="CA986" i="5"/>
  <c r="BY986" i="5"/>
  <c r="BU986" i="5"/>
  <c r="BV986" i="5"/>
  <c r="BW986" i="5"/>
  <c r="BS986" i="5"/>
  <c r="BT986" i="5"/>
  <c r="BQ986" i="5"/>
  <c r="BR986" i="5"/>
  <c r="BM986" i="5"/>
  <c r="BI986" i="5"/>
  <c r="BJ986" i="5"/>
  <c r="BK986" i="5"/>
  <c r="BH986" i="5"/>
  <c r="BG986" i="5"/>
  <c r="BD986" i="5"/>
  <c r="BF986" i="5"/>
  <c r="BE986" i="5"/>
  <c r="BA986" i="5"/>
  <c r="BP986" i="5" s="1"/>
  <c r="AZ986" i="5"/>
  <c r="AY986" i="5"/>
  <c r="AU986" i="5"/>
  <c r="BN986" i="5" s="1"/>
  <c r="AV986" i="5"/>
  <c r="BO986" i="5" s="1"/>
  <c r="CK1059" i="5"/>
  <c r="CE1059" i="5"/>
  <c r="CI1059" i="5"/>
  <c r="CF1059" i="5"/>
  <c r="CD1059" i="5"/>
  <c r="CC1059" i="5"/>
  <c r="BY1059" i="5"/>
  <c r="CA1059" i="5"/>
  <c r="BV1059" i="5"/>
  <c r="BW1059" i="5"/>
  <c r="BU1059" i="5"/>
  <c r="BT1059" i="5"/>
  <c r="BS1059" i="5"/>
  <c r="BR1059" i="5"/>
  <c r="BQ1059" i="5"/>
  <c r="BM1059" i="5"/>
  <c r="BK1059" i="5"/>
  <c r="BJ1059" i="5"/>
  <c r="BI1059" i="5"/>
  <c r="BG1059" i="5"/>
  <c r="BH1059" i="5"/>
  <c r="BE1059" i="5"/>
  <c r="BD1059" i="5"/>
  <c r="BF1059" i="5"/>
  <c r="AY1059" i="5"/>
  <c r="BA1059" i="5"/>
  <c r="BP1059" i="5" s="1"/>
  <c r="AZ1059" i="5"/>
  <c r="AU1059" i="5"/>
  <c r="AV1059" i="5"/>
  <c r="BO1059" i="5" s="1"/>
  <c r="CK1132" i="5"/>
  <c r="CI1132" i="5"/>
  <c r="CF1132" i="5"/>
  <c r="CE1132" i="5"/>
  <c r="CD1132" i="5"/>
  <c r="CA1132" i="5"/>
  <c r="CC1132" i="5"/>
  <c r="BY1132" i="5"/>
  <c r="BW1132" i="5"/>
  <c r="BV1132" i="5"/>
  <c r="BU1132" i="5"/>
  <c r="BT1132" i="5"/>
  <c r="BS1132" i="5"/>
  <c r="BR1132" i="5"/>
  <c r="BQ1132" i="5"/>
  <c r="BM1132" i="5"/>
  <c r="BJ1132" i="5"/>
  <c r="BK1132" i="5"/>
  <c r="BI1132" i="5"/>
  <c r="BH1132" i="5"/>
  <c r="BF1132" i="5"/>
  <c r="BG1132" i="5"/>
  <c r="BE1132" i="5"/>
  <c r="BD1132" i="5"/>
  <c r="AZ1132" i="5"/>
  <c r="AY1132" i="5"/>
  <c r="BA1132" i="5"/>
  <c r="BP1132" i="5" s="1"/>
  <c r="AV1132" i="5"/>
  <c r="BO1132" i="5" s="1"/>
  <c r="AU1132" i="5"/>
  <c r="BN1132" i="5" s="1"/>
  <c r="CK1205" i="5"/>
  <c r="CI1205" i="5"/>
  <c r="CD1205" i="5"/>
  <c r="CF1205" i="5"/>
  <c r="CE1205" i="5"/>
  <c r="CC1205" i="5"/>
  <c r="BW1205" i="5"/>
  <c r="CA1205" i="5"/>
  <c r="BY1205" i="5"/>
  <c r="BV1205" i="5"/>
  <c r="BU1205" i="5"/>
  <c r="BT1205" i="5"/>
  <c r="BQ1205" i="5"/>
  <c r="BR1205" i="5"/>
  <c r="BS1205" i="5"/>
  <c r="BM1205" i="5"/>
  <c r="BK1205" i="5"/>
  <c r="BI1205" i="5"/>
  <c r="BJ1205" i="5"/>
  <c r="BH1205" i="5"/>
  <c r="BG1205" i="5"/>
  <c r="BF1205" i="5"/>
  <c r="BE1205" i="5"/>
  <c r="BD1205" i="5"/>
  <c r="BA1205" i="5"/>
  <c r="BP1205" i="5" s="1"/>
  <c r="AZ1205" i="5"/>
  <c r="AY1205" i="5"/>
  <c r="AU1205" i="5"/>
  <c r="BB1205" i="5" s="1"/>
  <c r="AV1205" i="5"/>
  <c r="BO1205" i="5" s="1"/>
  <c r="CK1278" i="5"/>
  <c r="CI1278" i="5"/>
  <c r="CC1278" i="5"/>
  <c r="CE1278" i="5"/>
  <c r="CF1278" i="5"/>
  <c r="CD1278" i="5"/>
  <c r="CA1278" i="5"/>
  <c r="BY1278" i="5"/>
  <c r="BW1278" i="5"/>
  <c r="BU1278" i="5"/>
  <c r="BV1278" i="5"/>
  <c r="BS1278" i="5"/>
  <c r="BR1278" i="5"/>
  <c r="BT1278" i="5"/>
  <c r="BQ1278" i="5"/>
  <c r="BM1278" i="5"/>
  <c r="BI1278" i="5"/>
  <c r="BK1278" i="5"/>
  <c r="BJ1278" i="5"/>
  <c r="BH1278" i="5"/>
  <c r="BG1278" i="5"/>
  <c r="BF1278" i="5"/>
  <c r="BE1278" i="5"/>
  <c r="BD1278" i="5"/>
  <c r="AV1278" i="5"/>
  <c r="BC1278" i="5" s="1"/>
  <c r="BA1278" i="5"/>
  <c r="BP1278" i="5" s="1"/>
  <c r="AZ1278" i="5"/>
  <c r="AY1278" i="5"/>
  <c r="AU1278" i="5"/>
  <c r="BN1278" i="5" s="1"/>
  <c r="BX1305" i="5"/>
  <c r="CK36" i="5"/>
  <c r="CJ36" i="5"/>
  <c r="CI36" i="5"/>
  <c r="CG36" i="5"/>
  <c r="CF36" i="5"/>
  <c r="CE36" i="5"/>
  <c r="CH36" i="5"/>
  <c r="CC36" i="5"/>
  <c r="CD36" i="5"/>
  <c r="CA36" i="5"/>
  <c r="BZ36" i="5"/>
  <c r="BV36" i="5"/>
  <c r="BX36" i="5"/>
  <c r="BY36" i="5"/>
  <c r="BW36" i="5"/>
  <c r="BU36" i="5"/>
  <c r="BT36" i="5"/>
  <c r="BS36" i="5"/>
  <c r="BQ36" i="5"/>
  <c r="BR36" i="5"/>
  <c r="BM36" i="5"/>
  <c r="BJ36" i="5"/>
  <c r="BL36" i="5"/>
  <c r="BK36" i="5"/>
  <c r="BI36" i="5"/>
  <c r="BH36" i="5"/>
  <c r="BG36" i="5"/>
  <c r="BF36" i="5"/>
  <c r="BE36" i="5"/>
  <c r="BD36" i="5"/>
  <c r="AZ36" i="5"/>
  <c r="BA36" i="5"/>
  <c r="BP36" i="5" s="1"/>
  <c r="AY36" i="5"/>
  <c r="AU36" i="5"/>
  <c r="BN36" i="5" s="1"/>
  <c r="AV36" i="5"/>
  <c r="BO36" i="5" s="1"/>
  <c r="CK109" i="5"/>
  <c r="CJ109" i="5"/>
  <c r="CI109" i="5"/>
  <c r="CF109" i="5"/>
  <c r="CE109" i="5"/>
  <c r="CD109" i="5"/>
  <c r="CG109" i="5"/>
  <c r="CH109" i="5"/>
  <c r="CC109" i="5"/>
  <c r="CA109" i="5"/>
  <c r="BZ109" i="5"/>
  <c r="BY109" i="5"/>
  <c r="BX109" i="5"/>
  <c r="BW109" i="5"/>
  <c r="BT109" i="5"/>
  <c r="BV109" i="5"/>
  <c r="BU109" i="5"/>
  <c r="BR109" i="5"/>
  <c r="BS109" i="5"/>
  <c r="BQ109" i="5"/>
  <c r="BM109" i="5"/>
  <c r="BK109" i="5"/>
  <c r="BL109" i="5"/>
  <c r="BJ109" i="5"/>
  <c r="BI109" i="5"/>
  <c r="BH109" i="5"/>
  <c r="BG109" i="5"/>
  <c r="BF109" i="5"/>
  <c r="BE109" i="5"/>
  <c r="BD109" i="5"/>
  <c r="BA109" i="5"/>
  <c r="BP109" i="5" s="1"/>
  <c r="AZ109" i="5"/>
  <c r="AY109" i="5"/>
  <c r="AU109" i="5"/>
  <c r="BN109" i="5" s="1"/>
  <c r="AV109" i="5"/>
  <c r="BC109" i="5" s="1"/>
  <c r="CK182" i="5"/>
  <c r="CI182" i="5"/>
  <c r="CD182" i="5"/>
  <c r="CF182" i="5"/>
  <c r="CE182" i="5"/>
  <c r="CC182" i="5"/>
  <c r="BY182" i="5"/>
  <c r="CA182" i="5"/>
  <c r="BW182" i="5"/>
  <c r="BV182" i="5"/>
  <c r="BU182" i="5"/>
  <c r="BS182" i="5"/>
  <c r="BT182" i="5"/>
  <c r="BR182" i="5"/>
  <c r="BQ182" i="5"/>
  <c r="BM182" i="5"/>
  <c r="BK182" i="5"/>
  <c r="BH182" i="5"/>
  <c r="BJ182" i="5"/>
  <c r="BI182" i="5"/>
  <c r="BF182" i="5"/>
  <c r="BG182" i="5"/>
  <c r="BD182" i="5"/>
  <c r="BE182" i="5"/>
  <c r="BA182" i="5"/>
  <c r="BP182" i="5" s="1"/>
  <c r="AZ182" i="5"/>
  <c r="AY182" i="5"/>
  <c r="AV182" i="5"/>
  <c r="BO182" i="5" s="1"/>
  <c r="AU182" i="5"/>
  <c r="BN182" i="5" s="1"/>
  <c r="CK255" i="5"/>
  <c r="CJ255" i="5"/>
  <c r="CH255" i="5"/>
  <c r="CG255" i="5"/>
  <c r="CE255" i="5"/>
  <c r="CI255" i="5"/>
  <c r="CF255" i="5"/>
  <c r="CD255" i="5"/>
  <c r="CC255" i="5"/>
  <c r="BZ255" i="5"/>
  <c r="CA255" i="5"/>
  <c r="BX255" i="5"/>
  <c r="BY255" i="5"/>
  <c r="BV255" i="5"/>
  <c r="BW255" i="5"/>
  <c r="BT255" i="5"/>
  <c r="BU255" i="5"/>
  <c r="BS255" i="5"/>
  <c r="BQ255" i="5"/>
  <c r="BR255" i="5"/>
  <c r="BK255" i="5"/>
  <c r="BL255" i="5"/>
  <c r="BI255" i="5"/>
  <c r="BM255" i="5"/>
  <c r="BH255" i="5"/>
  <c r="BJ255" i="5"/>
  <c r="BG255" i="5"/>
  <c r="BE255" i="5"/>
  <c r="BF255" i="5"/>
  <c r="BD255" i="5"/>
  <c r="BA255" i="5"/>
  <c r="BP255" i="5" s="1"/>
  <c r="AY255" i="5"/>
  <c r="AZ255" i="5"/>
  <c r="AU255" i="5"/>
  <c r="BB255" i="5" s="1"/>
  <c r="AV255" i="5"/>
  <c r="BO255" i="5" s="1"/>
  <c r="CK328" i="5"/>
  <c r="CF328" i="5"/>
  <c r="CI328" i="5"/>
  <c r="CE328" i="5"/>
  <c r="CD328" i="5"/>
  <c r="CC328" i="5"/>
  <c r="CA328" i="5"/>
  <c r="BY328" i="5"/>
  <c r="BV328" i="5"/>
  <c r="BW328" i="5"/>
  <c r="BU328" i="5"/>
  <c r="BT328" i="5"/>
  <c r="BS328" i="5"/>
  <c r="BR328" i="5"/>
  <c r="BQ328" i="5"/>
  <c r="BK328" i="5"/>
  <c r="BM328" i="5"/>
  <c r="BJ328" i="5"/>
  <c r="BH328" i="5"/>
  <c r="BI328" i="5"/>
  <c r="BG328" i="5"/>
  <c r="BF328" i="5"/>
  <c r="BE328" i="5"/>
  <c r="BD328" i="5"/>
  <c r="BA328" i="5"/>
  <c r="BP328" i="5" s="1"/>
  <c r="AZ328" i="5"/>
  <c r="AV328" i="5"/>
  <c r="BC328" i="5" s="1"/>
  <c r="AY328" i="5"/>
  <c r="AU328" i="5"/>
  <c r="BB328" i="5" s="1"/>
  <c r="CK402" i="5"/>
  <c r="CI402" i="5"/>
  <c r="CD402" i="5"/>
  <c r="CF402" i="5"/>
  <c r="CE402" i="5"/>
  <c r="CC402" i="5"/>
  <c r="BY402" i="5"/>
  <c r="CA402" i="5"/>
  <c r="BU402" i="5"/>
  <c r="BV402" i="5"/>
  <c r="BW402" i="5"/>
  <c r="BS402" i="5"/>
  <c r="BT402" i="5"/>
  <c r="BR402" i="5"/>
  <c r="BQ402" i="5"/>
  <c r="BM402" i="5"/>
  <c r="BK402" i="5"/>
  <c r="BJ402" i="5"/>
  <c r="BI402" i="5"/>
  <c r="BF402" i="5"/>
  <c r="BD402" i="5"/>
  <c r="BG402" i="5"/>
  <c r="BH402" i="5"/>
  <c r="BE402" i="5"/>
  <c r="BA402" i="5"/>
  <c r="BP402" i="5" s="1"/>
  <c r="AZ402" i="5"/>
  <c r="AY402" i="5"/>
  <c r="AV402" i="5"/>
  <c r="BC402" i="5" s="1"/>
  <c r="AU402" i="5"/>
  <c r="BN402" i="5" s="1"/>
  <c r="CK475" i="5"/>
  <c r="CJ475" i="5"/>
  <c r="CI475" i="5"/>
  <c r="CH475" i="5"/>
  <c r="CE475" i="5"/>
  <c r="CG475" i="5"/>
  <c r="CF475" i="5"/>
  <c r="CC475" i="5"/>
  <c r="CD475" i="5"/>
  <c r="BZ475" i="5"/>
  <c r="BX475" i="5"/>
  <c r="CA475" i="5"/>
  <c r="BW475" i="5"/>
  <c r="BV475" i="5"/>
  <c r="BY475" i="5"/>
  <c r="BU475" i="5"/>
  <c r="BS475" i="5"/>
  <c r="BT475" i="5"/>
  <c r="BQ475" i="5"/>
  <c r="BR475" i="5"/>
  <c r="BM475" i="5"/>
  <c r="BK475" i="5"/>
  <c r="BL475" i="5"/>
  <c r="BI475" i="5"/>
  <c r="BJ475" i="5"/>
  <c r="BG475" i="5"/>
  <c r="BH475" i="5"/>
  <c r="BF475" i="5"/>
  <c r="BE475" i="5"/>
  <c r="BD475" i="5"/>
  <c r="BA475" i="5"/>
  <c r="BP475" i="5" s="1"/>
  <c r="AY475" i="5"/>
  <c r="AU475" i="5"/>
  <c r="BN475" i="5" s="1"/>
  <c r="AZ475" i="5"/>
  <c r="AV475" i="5"/>
  <c r="BO475" i="5" s="1"/>
  <c r="CK548" i="5"/>
  <c r="CI548" i="5"/>
  <c r="CF548" i="5"/>
  <c r="CE548" i="5"/>
  <c r="CC548" i="5"/>
  <c r="CD548" i="5"/>
  <c r="CA548" i="5"/>
  <c r="BY548" i="5"/>
  <c r="BW548" i="5"/>
  <c r="BU548" i="5"/>
  <c r="BV548" i="5"/>
  <c r="BT548" i="5"/>
  <c r="BS548" i="5"/>
  <c r="BQ548" i="5"/>
  <c r="BR548" i="5"/>
  <c r="BM548" i="5"/>
  <c r="BJ548" i="5"/>
  <c r="BK548" i="5"/>
  <c r="BI548" i="5"/>
  <c r="BH548" i="5"/>
  <c r="BG548" i="5"/>
  <c r="BF548" i="5"/>
  <c r="BD548" i="5"/>
  <c r="BE548" i="5"/>
  <c r="AZ548" i="5"/>
  <c r="BA548" i="5"/>
  <c r="BP548" i="5" s="1"/>
  <c r="AY548" i="5"/>
  <c r="AU548" i="5"/>
  <c r="BB548" i="5" s="1"/>
  <c r="AV548" i="5"/>
  <c r="BC548" i="5" s="1"/>
  <c r="CK621" i="5"/>
  <c r="CJ621" i="5"/>
  <c r="CI621" i="5"/>
  <c r="CF621" i="5"/>
  <c r="CE621" i="5"/>
  <c r="CD621" i="5"/>
  <c r="CH621" i="5"/>
  <c r="CG621" i="5"/>
  <c r="CC621" i="5"/>
  <c r="BX621" i="5"/>
  <c r="CA621" i="5"/>
  <c r="BZ621" i="5"/>
  <c r="BW621" i="5"/>
  <c r="BY621" i="5"/>
  <c r="BV621" i="5"/>
  <c r="BU621" i="5"/>
  <c r="BR621" i="5"/>
  <c r="BT621" i="5"/>
  <c r="BS621" i="5"/>
  <c r="BQ621" i="5"/>
  <c r="BM621" i="5"/>
  <c r="BL621" i="5"/>
  <c r="BK621" i="5"/>
  <c r="BJ621" i="5"/>
  <c r="BI621" i="5"/>
  <c r="BH621" i="5"/>
  <c r="BG621" i="5"/>
  <c r="BF621" i="5"/>
  <c r="BE621" i="5"/>
  <c r="BD621" i="5"/>
  <c r="BA621" i="5"/>
  <c r="BP621" i="5" s="1"/>
  <c r="AZ621" i="5"/>
  <c r="AY621" i="5"/>
  <c r="AU621" i="5"/>
  <c r="AV621" i="5"/>
  <c r="BC621" i="5" s="1"/>
  <c r="CJ694" i="5"/>
  <c r="CI694" i="5"/>
  <c r="CH694" i="5"/>
  <c r="CK694" i="5"/>
  <c r="CG694" i="5"/>
  <c r="CF694" i="5"/>
  <c r="CE694" i="5"/>
  <c r="CD694" i="5"/>
  <c r="CC694" i="5"/>
  <c r="CA694" i="5"/>
  <c r="BZ694" i="5"/>
  <c r="BX694" i="5"/>
  <c r="BY694" i="5"/>
  <c r="BW694" i="5"/>
  <c r="BU694" i="5"/>
  <c r="BV694" i="5"/>
  <c r="BS694" i="5"/>
  <c r="BT694" i="5"/>
  <c r="BR694" i="5"/>
  <c r="BQ694" i="5"/>
  <c r="BM694" i="5"/>
  <c r="BL694" i="5"/>
  <c r="BK694" i="5"/>
  <c r="BJ694" i="5"/>
  <c r="BI694" i="5"/>
  <c r="BF694" i="5"/>
  <c r="BH694" i="5"/>
  <c r="BG694" i="5"/>
  <c r="BE694" i="5"/>
  <c r="BD694" i="5"/>
  <c r="BA694" i="5"/>
  <c r="BP694" i="5" s="1"/>
  <c r="AZ694" i="5"/>
  <c r="AY694" i="5"/>
  <c r="AV694" i="5"/>
  <c r="AU694" i="5"/>
  <c r="BB694" i="5" s="1"/>
  <c r="CK767" i="5"/>
  <c r="CE767" i="5"/>
  <c r="CI767" i="5"/>
  <c r="CF767" i="5"/>
  <c r="CD767" i="5"/>
  <c r="CC767" i="5"/>
  <c r="BY767" i="5"/>
  <c r="CA767" i="5"/>
  <c r="BV767" i="5"/>
  <c r="BW767" i="5"/>
  <c r="BT767" i="5"/>
  <c r="BU767" i="5"/>
  <c r="BS767" i="5"/>
  <c r="BQ767" i="5"/>
  <c r="BR767" i="5"/>
  <c r="BI767" i="5"/>
  <c r="BM767" i="5"/>
  <c r="BJ767" i="5"/>
  <c r="BK767" i="5"/>
  <c r="BG767" i="5"/>
  <c r="BE767" i="5"/>
  <c r="BH767" i="5"/>
  <c r="BF767" i="5"/>
  <c r="BD767" i="5"/>
  <c r="AY767" i="5"/>
  <c r="BA767" i="5"/>
  <c r="BP767" i="5" s="1"/>
  <c r="AZ767" i="5"/>
  <c r="AU767" i="5"/>
  <c r="BN767" i="5" s="1"/>
  <c r="AV767" i="5"/>
  <c r="BO767" i="5" s="1"/>
  <c r="CK840" i="5"/>
  <c r="CF840" i="5"/>
  <c r="CI840" i="5"/>
  <c r="CE840" i="5"/>
  <c r="CD840" i="5"/>
  <c r="CC840" i="5"/>
  <c r="CA840" i="5"/>
  <c r="BY840" i="5"/>
  <c r="BW840" i="5"/>
  <c r="BU840" i="5"/>
  <c r="BV840" i="5"/>
  <c r="BT840" i="5"/>
  <c r="BS840" i="5"/>
  <c r="BR840" i="5"/>
  <c r="BQ840" i="5"/>
  <c r="BK840" i="5"/>
  <c r="BM840" i="5"/>
  <c r="BJ840" i="5"/>
  <c r="BH840" i="5"/>
  <c r="BI840" i="5"/>
  <c r="BG840" i="5"/>
  <c r="BF840" i="5"/>
  <c r="BE840" i="5"/>
  <c r="BD840" i="5"/>
  <c r="AZ840" i="5"/>
  <c r="AV840" i="5"/>
  <c r="BO840" i="5" s="1"/>
  <c r="AY840" i="5"/>
  <c r="BA840" i="5"/>
  <c r="BP840" i="5" s="1"/>
  <c r="AU840" i="5"/>
  <c r="BN840" i="5" s="1"/>
  <c r="CK914" i="5"/>
  <c r="CI914" i="5"/>
  <c r="CF914" i="5"/>
  <c r="CE914" i="5"/>
  <c r="CC914" i="5"/>
  <c r="CD914" i="5"/>
  <c r="CA914" i="5"/>
  <c r="BY914" i="5"/>
  <c r="BU914" i="5"/>
  <c r="BW914" i="5"/>
  <c r="BV914" i="5"/>
  <c r="BS914" i="5"/>
  <c r="BT914" i="5"/>
  <c r="BR914" i="5"/>
  <c r="BQ914" i="5"/>
  <c r="BM914" i="5"/>
  <c r="BK914" i="5"/>
  <c r="BJ914" i="5"/>
  <c r="BI914" i="5"/>
  <c r="BF914" i="5"/>
  <c r="BH914" i="5"/>
  <c r="BG914" i="5"/>
  <c r="BE914" i="5"/>
  <c r="BD914" i="5"/>
  <c r="BA914" i="5"/>
  <c r="BP914" i="5" s="1"/>
  <c r="AZ914" i="5"/>
  <c r="AY914" i="5"/>
  <c r="AV914" i="5"/>
  <c r="AU914" i="5"/>
  <c r="CK987" i="5"/>
  <c r="CI987" i="5"/>
  <c r="CE987" i="5"/>
  <c r="CD987" i="5"/>
  <c r="CF987" i="5"/>
  <c r="CC987" i="5"/>
  <c r="BY987" i="5"/>
  <c r="CA987" i="5"/>
  <c r="BW987" i="5"/>
  <c r="BV987" i="5"/>
  <c r="BU987" i="5"/>
  <c r="BT987" i="5"/>
  <c r="BS987" i="5"/>
  <c r="BQ987" i="5"/>
  <c r="BR987" i="5"/>
  <c r="BM987" i="5"/>
  <c r="BI987" i="5"/>
  <c r="BJ987" i="5"/>
  <c r="BG987" i="5"/>
  <c r="BK987" i="5"/>
  <c r="BH987" i="5"/>
  <c r="BE987" i="5"/>
  <c r="BD987" i="5"/>
  <c r="BF987" i="5"/>
  <c r="AY987" i="5"/>
  <c r="AU987" i="5"/>
  <c r="BN987" i="5" s="1"/>
  <c r="BA987" i="5"/>
  <c r="BP987" i="5" s="1"/>
  <c r="AZ987" i="5"/>
  <c r="AV987" i="5"/>
  <c r="BC987" i="5" s="1"/>
  <c r="CK1060" i="5"/>
  <c r="CI1060" i="5"/>
  <c r="CF1060" i="5"/>
  <c r="CE1060" i="5"/>
  <c r="CD1060" i="5"/>
  <c r="CA1060" i="5"/>
  <c r="CC1060" i="5"/>
  <c r="BY1060" i="5"/>
  <c r="BW1060" i="5"/>
  <c r="BU1060" i="5"/>
  <c r="BV1060" i="5"/>
  <c r="BT1060" i="5"/>
  <c r="BS1060" i="5"/>
  <c r="BR1060" i="5"/>
  <c r="BQ1060" i="5"/>
  <c r="BM1060" i="5"/>
  <c r="BJ1060" i="5"/>
  <c r="BK1060" i="5"/>
  <c r="BI1060" i="5"/>
  <c r="BH1060" i="5"/>
  <c r="BG1060" i="5"/>
  <c r="BF1060" i="5"/>
  <c r="BD1060" i="5"/>
  <c r="BE1060" i="5"/>
  <c r="AZ1060" i="5"/>
  <c r="AY1060" i="5"/>
  <c r="BA1060" i="5"/>
  <c r="BP1060" i="5" s="1"/>
  <c r="AU1060" i="5"/>
  <c r="BN1060" i="5" s="1"/>
  <c r="AV1060" i="5"/>
  <c r="CK1133" i="5"/>
  <c r="CJ1133" i="5"/>
  <c r="CH1133" i="5"/>
  <c r="CF1133" i="5"/>
  <c r="CE1133" i="5"/>
  <c r="CD1133" i="5"/>
  <c r="CI1133" i="5"/>
  <c r="CG1133" i="5"/>
  <c r="CC1133" i="5"/>
  <c r="CA1133" i="5"/>
  <c r="BZ1133" i="5"/>
  <c r="BW1133" i="5"/>
  <c r="BY1133" i="5"/>
  <c r="BX1133" i="5"/>
  <c r="BV1133" i="5"/>
  <c r="BU1133" i="5"/>
  <c r="BT1133" i="5"/>
  <c r="BS1133" i="5"/>
  <c r="BQ1133" i="5"/>
  <c r="BR1133" i="5"/>
  <c r="BM1133" i="5"/>
  <c r="BL1133" i="5"/>
  <c r="BK1133" i="5"/>
  <c r="BJ1133" i="5"/>
  <c r="BI1133" i="5"/>
  <c r="BH1133" i="5"/>
  <c r="BG1133" i="5"/>
  <c r="BF1133" i="5"/>
  <c r="BE1133" i="5"/>
  <c r="BD1133" i="5"/>
  <c r="BA1133" i="5"/>
  <c r="BP1133" i="5" s="1"/>
  <c r="AU1133" i="5"/>
  <c r="BN1133" i="5" s="1"/>
  <c r="AZ1133" i="5"/>
  <c r="AY1133" i="5"/>
  <c r="AV1133" i="5"/>
  <c r="BO1133" i="5" s="1"/>
  <c r="CK1206" i="5"/>
  <c r="CI1206" i="5"/>
  <c r="CJ1206" i="5"/>
  <c r="CH1206" i="5"/>
  <c r="CC1206" i="5"/>
  <c r="CG1206" i="5"/>
  <c r="CE1206" i="5"/>
  <c r="CD1206" i="5"/>
  <c r="CF1206" i="5"/>
  <c r="CA1206" i="5"/>
  <c r="BZ1206" i="5"/>
  <c r="BY1206" i="5"/>
  <c r="BW1206" i="5"/>
  <c r="BX1206" i="5"/>
  <c r="BU1206" i="5"/>
  <c r="BV1206" i="5"/>
  <c r="BS1206" i="5"/>
  <c r="BR1206" i="5"/>
  <c r="BT1206" i="5"/>
  <c r="BQ1206" i="5"/>
  <c r="BM1206" i="5"/>
  <c r="BL1206" i="5"/>
  <c r="BI1206" i="5"/>
  <c r="BK1206" i="5"/>
  <c r="BJ1206" i="5"/>
  <c r="BH1206" i="5"/>
  <c r="BG1206" i="5"/>
  <c r="BF1206" i="5"/>
  <c r="BE1206" i="5"/>
  <c r="BD1206" i="5"/>
  <c r="BA1206" i="5"/>
  <c r="BP1206" i="5" s="1"/>
  <c r="AZ1206" i="5"/>
  <c r="AY1206" i="5"/>
  <c r="AV1206" i="5"/>
  <c r="BO1206" i="5" s="1"/>
  <c r="AU1206" i="5"/>
  <c r="BB1206" i="5" s="1"/>
  <c r="CK1279" i="5"/>
  <c r="CE1279" i="5"/>
  <c r="CI1279" i="5"/>
  <c r="CF1279" i="5"/>
  <c r="CD1279" i="5"/>
  <c r="CC1279" i="5"/>
  <c r="BY1279" i="5"/>
  <c r="CA1279" i="5"/>
  <c r="BV1279" i="5"/>
  <c r="BW1279" i="5"/>
  <c r="BU1279" i="5"/>
  <c r="BT1279" i="5"/>
  <c r="BR1279" i="5"/>
  <c r="BQ1279" i="5"/>
  <c r="BS1279" i="5"/>
  <c r="BM1279" i="5"/>
  <c r="BI1279" i="5"/>
  <c r="BK1279" i="5"/>
  <c r="BJ1279" i="5"/>
  <c r="BG1279" i="5"/>
  <c r="BE1279" i="5"/>
  <c r="BH1279" i="5"/>
  <c r="BF1279" i="5"/>
  <c r="BD1279" i="5"/>
  <c r="AY1279" i="5"/>
  <c r="BA1279" i="5"/>
  <c r="BP1279" i="5" s="1"/>
  <c r="AZ1279" i="5"/>
  <c r="AV1279" i="5"/>
  <c r="AU1279" i="5"/>
  <c r="BB1279" i="5" s="1"/>
  <c r="BL37" i="5"/>
  <c r="CK46" i="5"/>
  <c r="CI46" i="5"/>
  <c r="CD46" i="5"/>
  <c r="CF46" i="5"/>
  <c r="CC46" i="5"/>
  <c r="CE46" i="5"/>
  <c r="BY46" i="5"/>
  <c r="CA46" i="5"/>
  <c r="BU46" i="5"/>
  <c r="BV46" i="5"/>
  <c r="BW46" i="5"/>
  <c r="BT46" i="5"/>
  <c r="BS46" i="5"/>
  <c r="BR46" i="5"/>
  <c r="BQ46" i="5"/>
  <c r="BM46" i="5"/>
  <c r="BK46" i="5"/>
  <c r="BJ46" i="5"/>
  <c r="BI46" i="5"/>
  <c r="BH46" i="5"/>
  <c r="BG46" i="5"/>
  <c r="BF46" i="5"/>
  <c r="BD46" i="5"/>
  <c r="BE46" i="5"/>
  <c r="BA46" i="5"/>
  <c r="BP46" i="5" s="1"/>
  <c r="AZ46" i="5"/>
  <c r="AY46" i="5"/>
  <c r="AV46" i="5"/>
  <c r="BO46" i="5" s="1"/>
  <c r="AU46" i="5"/>
  <c r="BB46" i="5" s="1"/>
  <c r="BX64" i="5"/>
  <c r="BX165" i="5"/>
  <c r="BN229" i="5"/>
  <c r="BL330" i="5"/>
  <c r="CK348" i="5"/>
  <c r="CF348" i="5"/>
  <c r="CI348" i="5"/>
  <c r="CE348" i="5"/>
  <c r="CC348" i="5"/>
  <c r="CD348" i="5"/>
  <c r="CA348" i="5"/>
  <c r="BV348" i="5"/>
  <c r="BY348" i="5"/>
  <c r="BW348" i="5"/>
  <c r="BU348" i="5"/>
  <c r="BS348" i="5"/>
  <c r="BT348" i="5"/>
  <c r="BQ348" i="5"/>
  <c r="BR348" i="5"/>
  <c r="BJ348" i="5"/>
  <c r="BM348" i="5"/>
  <c r="BK348" i="5"/>
  <c r="BI348" i="5"/>
  <c r="BH348" i="5"/>
  <c r="BG348" i="5"/>
  <c r="BF348" i="5"/>
  <c r="BE348" i="5"/>
  <c r="BD348" i="5"/>
  <c r="AZ348" i="5"/>
  <c r="BA348" i="5"/>
  <c r="BP348" i="5" s="1"/>
  <c r="AY348" i="5"/>
  <c r="AV348" i="5"/>
  <c r="BO348" i="5" s="1"/>
  <c r="AU348" i="5"/>
  <c r="BN348" i="5" s="1"/>
  <c r="CK375" i="5"/>
  <c r="CE375" i="5"/>
  <c r="CI375" i="5"/>
  <c r="CF375" i="5"/>
  <c r="CD375" i="5"/>
  <c r="CC375" i="5"/>
  <c r="CA375" i="5"/>
  <c r="BY375" i="5"/>
  <c r="BV375" i="5"/>
  <c r="BW375" i="5"/>
  <c r="BU375" i="5"/>
  <c r="BT375" i="5"/>
  <c r="BS375" i="5"/>
  <c r="BQ375" i="5"/>
  <c r="BR375" i="5"/>
  <c r="BK375" i="5"/>
  <c r="BM375" i="5"/>
  <c r="BI375" i="5"/>
  <c r="BJ375" i="5"/>
  <c r="BH375" i="5"/>
  <c r="BG375" i="5"/>
  <c r="BE375" i="5"/>
  <c r="BF375" i="5"/>
  <c r="BD375" i="5"/>
  <c r="BA375" i="5"/>
  <c r="BP375" i="5" s="1"/>
  <c r="AY375" i="5"/>
  <c r="AZ375" i="5"/>
  <c r="AV375" i="5"/>
  <c r="BC375" i="5" s="1"/>
  <c r="AU375" i="5"/>
  <c r="BB375" i="5" s="1"/>
  <c r="CK448" i="5"/>
  <c r="CI448" i="5"/>
  <c r="CF448" i="5"/>
  <c r="CE448" i="5"/>
  <c r="CC448" i="5"/>
  <c r="CD448" i="5"/>
  <c r="CA448" i="5"/>
  <c r="BV448" i="5"/>
  <c r="BY448" i="5"/>
  <c r="BW448" i="5"/>
  <c r="BU448" i="5"/>
  <c r="BT448" i="5"/>
  <c r="BS448" i="5"/>
  <c r="BQ448" i="5"/>
  <c r="BR448" i="5"/>
  <c r="BM448" i="5"/>
  <c r="BK448" i="5"/>
  <c r="BJ448" i="5"/>
  <c r="BH448" i="5"/>
  <c r="BI448" i="5"/>
  <c r="BG448" i="5"/>
  <c r="BF448" i="5"/>
  <c r="BE448" i="5"/>
  <c r="BD448" i="5"/>
  <c r="BA448" i="5"/>
  <c r="BP448" i="5" s="1"/>
  <c r="AZ448" i="5"/>
  <c r="AY448" i="5"/>
  <c r="AV448" i="5"/>
  <c r="BO448" i="5" s="1"/>
  <c r="AU448" i="5"/>
  <c r="BN448" i="5" s="1"/>
  <c r="CJ522" i="5"/>
  <c r="CI522" i="5"/>
  <c r="CG522" i="5"/>
  <c r="CH522" i="5"/>
  <c r="CK522" i="5"/>
  <c r="CF522" i="5"/>
  <c r="CE522" i="5"/>
  <c r="CD522" i="5"/>
  <c r="BY522" i="5"/>
  <c r="CC522" i="5"/>
  <c r="CA522" i="5"/>
  <c r="BU522" i="5"/>
  <c r="BZ522" i="5"/>
  <c r="BW522" i="5"/>
  <c r="BX522" i="5"/>
  <c r="BV522" i="5"/>
  <c r="BT522" i="5"/>
  <c r="BS522" i="5"/>
  <c r="BR522" i="5"/>
  <c r="BQ522" i="5"/>
  <c r="BM522" i="5"/>
  <c r="BL522" i="5"/>
  <c r="BK522" i="5"/>
  <c r="BJ522" i="5"/>
  <c r="BI522" i="5"/>
  <c r="BF522" i="5"/>
  <c r="BH522" i="5"/>
  <c r="BG522" i="5"/>
  <c r="BD522" i="5"/>
  <c r="BE522" i="5"/>
  <c r="BA522" i="5"/>
  <c r="BP522" i="5" s="1"/>
  <c r="AZ522" i="5"/>
  <c r="AY522" i="5"/>
  <c r="AV522" i="5"/>
  <c r="BO522" i="5" s="1"/>
  <c r="AU522" i="5"/>
  <c r="BB522" i="5" s="1"/>
  <c r="CJ595" i="5"/>
  <c r="CG595" i="5"/>
  <c r="CE595" i="5"/>
  <c r="CH595" i="5"/>
  <c r="CK595" i="5"/>
  <c r="CI595" i="5"/>
  <c r="CF595" i="5"/>
  <c r="CD595" i="5"/>
  <c r="CC595" i="5"/>
  <c r="BZ595" i="5"/>
  <c r="BY595" i="5"/>
  <c r="CA595" i="5"/>
  <c r="BX595" i="5"/>
  <c r="BV595" i="5"/>
  <c r="BW595" i="5"/>
  <c r="BU595" i="5"/>
  <c r="BS595" i="5"/>
  <c r="BR595" i="5"/>
  <c r="BT595" i="5"/>
  <c r="BQ595" i="5"/>
  <c r="BL595" i="5"/>
  <c r="BK595" i="5"/>
  <c r="BM595" i="5"/>
  <c r="BI595" i="5"/>
  <c r="BG595" i="5"/>
  <c r="BJ595" i="5"/>
  <c r="BF595" i="5"/>
  <c r="BH595" i="5"/>
  <c r="BE595" i="5"/>
  <c r="BD595" i="5"/>
  <c r="AY595" i="5"/>
  <c r="AU595" i="5"/>
  <c r="BB595" i="5" s="1"/>
  <c r="BA595" i="5"/>
  <c r="BP595" i="5" s="1"/>
  <c r="AZ595" i="5"/>
  <c r="AV595" i="5"/>
  <c r="BC595" i="5" s="1"/>
  <c r="CK668" i="5"/>
  <c r="CJ668" i="5"/>
  <c r="CH668" i="5"/>
  <c r="CF668" i="5"/>
  <c r="CI668" i="5"/>
  <c r="CE668" i="5"/>
  <c r="CC668" i="5"/>
  <c r="CG668" i="5"/>
  <c r="CD668" i="5"/>
  <c r="CA668" i="5"/>
  <c r="BZ668" i="5"/>
  <c r="BY668" i="5"/>
  <c r="BX668" i="5"/>
  <c r="BW668" i="5"/>
  <c r="BV668" i="5"/>
  <c r="BU668" i="5"/>
  <c r="BT668" i="5"/>
  <c r="BS668" i="5"/>
  <c r="BR668" i="5"/>
  <c r="BQ668" i="5"/>
  <c r="BL668" i="5"/>
  <c r="BJ668" i="5"/>
  <c r="BM668" i="5"/>
  <c r="BK668" i="5"/>
  <c r="BI668" i="5"/>
  <c r="BH668" i="5"/>
  <c r="BG668" i="5"/>
  <c r="BF668" i="5"/>
  <c r="BD668" i="5"/>
  <c r="BE668" i="5"/>
  <c r="AZ668" i="5"/>
  <c r="AY668" i="5"/>
  <c r="BA668" i="5"/>
  <c r="BP668" i="5" s="1"/>
  <c r="AV668" i="5"/>
  <c r="BO668" i="5" s="1"/>
  <c r="AU668" i="5"/>
  <c r="BN668" i="5" s="1"/>
  <c r="CK741" i="5"/>
  <c r="CI741" i="5"/>
  <c r="CG741" i="5"/>
  <c r="CH741" i="5"/>
  <c r="CJ741" i="5"/>
  <c r="CD741" i="5"/>
  <c r="CF741" i="5"/>
  <c r="CE741" i="5"/>
  <c r="CC741" i="5"/>
  <c r="BX741" i="5"/>
  <c r="CA741" i="5"/>
  <c r="BW741" i="5"/>
  <c r="BY741" i="5"/>
  <c r="BZ741" i="5"/>
  <c r="BV741" i="5"/>
  <c r="BU741" i="5"/>
  <c r="BR741" i="5"/>
  <c r="BT741" i="5"/>
  <c r="BQ741" i="5"/>
  <c r="BS741" i="5"/>
  <c r="BM741" i="5"/>
  <c r="BL741" i="5"/>
  <c r="BK741" i="5"/>
  <c r="BJ741" i="5"/>
  <c r="BI741" i="5"/>
  <c r="BH741" i="5"/>
  <c r="BG741" i="5"/>
  <c r="BF741" i="5"/>
  <c r="BD741" i="5"/>
  <c r="BE741" i="5"/>
  <c r="BA741" i="5"/>
  <c r="BP741" i="5" s="1"/>
  <c r="AZ741" i="5"/>
  <c r="AY741" i="5"/>
  <c r="AV741" i="5"/>
  <c r="BC741" i="5" s="1"/>
  <c r="AU741" i="5"/>
  <c r="BN741" i="5" s="1"/>
  <c r="CK814" i="5"/>
  <c r="CI814" i="5"/>
  <c r="CF814" i="5"/>
  <c r="CC814" i="5"/>
  <c r="CD814" i="5"/>
  <c r="CE814" i="5"/>
  <c r="CA814" i="5"/>
  <c r="BY814" i="5"/>
  <c r="BU814" i="5"/>
  <c r="BW814" i="5"/>
  <c r="BV814" i="5"/>
  <c r="BS814" i="5"/>
  <c r="BT814" i="5"/>
  <c r="BR814" i="5"/>
  <c r="BQ814" i="5"/>
  <c r="BM814" i="5"/>
  <c r="BJ814" i="5"/>
  <c r="BI814" i="5"/>
  <c r="BK814" i="5"/>
  <c r="BH814" i="5"/>
  <c r="BG814" i="5"/>
  <c r="BF814" i="5"/>
  <c r="BE814" i="5"/>
  <c r="BD814" i="5"/>
  <c r="BA814" i="5"/>
  <c r="BP814" i="5" s="1"/>
  <c r="AZ814" i="5"/>
  <c r="AY814" i="5"/>
  <c r="AV814" i="5"/>
  <c r="BC814" i="5" s="1"/>
  <c r="AU814" i="5"/>
  <c r="BN814" i="5" s="1"/>
  <c r="CK887" i="5"/>
  <c r="CE887" i="5"/>
  <c r="CF887" i="5"/>
  <c r="CI887" i="5"/>
  <c r="CD887" i="5"/>
  <c r="CC887" i="5"/>
  <c r="CA887" i="5"/>
  <c r="BY887" i="5"/>
  <c r="BV887" i="5"/>
  <c r="BW887" i="5"/>
  <c r="BT887" i="5"/>
  <c r="BU887" i="5"/>
  <c r="BS887" i="5"/>
  <c r="BQ887" i="5"/>
  <c r="BR887" i="5"/>
  <c r="BM887" i="5"/>
  <c r="BI887" i="5"/>
  <c r="BJ887" i="5"/>
  <c r="BK887" i="5"/>
  <c r="BG887" i="5"/>
  <c r="BH887" i="5"/>
  <c r="BE887" i="5"/>
  <c r="BF887" i="5"/>
  <c r="BD887" i="5"/>
  <c r="AY887" i="5"/>
  <c r="BA887" i="5"/>
  <c r="BP887" i="5" s="1"/>
  <c r="AZ887" i="5"/>
  <c r="AV887" i="5"/>
  <c r="BC887" i="5" s="1"/>
  <c r="AU887" i="5"/>
  <c r="BN887" i="5" s="1"/>
  <c r="CK960" i="5"/>
  <c r="CI960" i="5"/>
  <c r="CF960" i="5"/>
  <c r="CJ960" i="5"/>
  <c r="CH960" i="5"/>
  <c r="CG960" i="5"/>
  <c r="CE960" i="5"/>
  <c r="CD960" i="5"/>
  <c r="CC960" i="5"/>
  <c r="CA960" i="5"/>
  <c r="BZ960" i="5"/>
  <c r="BX960" i="5"/>
  <c r="BY960" i="5"/>
  <c r="BW960" i="5"/>
  <c r="BV960" i="5"/>
  <c r="BU960" i="5"/>
  <c r="BT960" i="5"/>
  <c r="BS960" i="5"/>
  <c r="BQ960" i="5"/>
  <c r="BR960" i="5"/>
  <c r="BM960" i="5"/>
  <c r="BK960" i="5"/>
  <c r="BL960" i="5"/>
  <c r="BJ960" i="5"/>
  <c r="BH960" i="5"/>
  <c r="BI960" i="5"/>
  <c r="BG960" i="5"/>
  <c r="BF960" i="5"/>
  <c r="BE960" i="5"/>
  <c r="BD960" i="5"/>
  <c r="AZ960" i="5"/>
  <c r="AY960" i="5"/>
  <c r="BA960" i="5"/>
  <c r="BP960" i="5" s="1"/>
  <c r="AV960" i="5"/>
  <c r="BC960" i="5" s="1"/>
  <c r="AU960" i="5"/>
  <c r="BB960" i="5" s="1"/>
  <c r="CK1034" i="5"/>
  <c r="CI1034" i="5"/>
  <c r="CF1034" i="5"/>
  <c r="CC1034" i="5"/>
  <c r="CE1034" i="5"/>
  <c r="CD1034" i="5"/>
  <c r="CA1034" i="5"/>
  <c r="BU1034" i="5"/>
  <c r="BY1034" i="5"/>
  <c r="BW1034" i="5"/>
  <c r="BV1034" i="5"/>
  <c r="BS1034" i="5"/>
  <c r="BT1034" i="5"/>
  <c r="BR1034" i="5"/>
  <c r="BQ1034" i="5"/>
  <c r="BM1034" i="5"/>
  <c r="BI1034" i="5"/>
  <c r="BK1034" i="5"/>
  <c r="BJ1034" i="5"/>
  <c r="BH1034" i="5"/>
  <c r="BG1034" i="5"/>
  <c r="BD1034" i="5"/>
  <c r="BF1034" i="5"/>
  <c r="BE1034" i="5"/>
  <c r="BA1034" i="5"/>
  <c r="BP1034" i="5" s="1"/>
  <c r="AZ1034" i="5"/>
  <c r="AY1034" i="5"/>
  <c r="AV1034" i="5"/>
  <c r="BO1034" i="5" s="1"/>
  <c r="AU1034" i="5"/>
  <c r="BN1034" i="5" s="1"/>
  <c r="CK1107" i="5"/>
  <c r="CJ1107" i="5"/>
  <c r="CE1107" i="5"/>
  <c r="CI1107" i="5"/>
  <c r="CG1107" i="5"/>
  <c r="CH1107" i="5"/>
  <c r="CF1107" i="5"/>
  <c r="CD1107" i="5"/>
  <c r="BZ1107" i="5"/>
  <c r="CC1107" i="5"/>
  <c r="BY1107" i="5"/>
  <c r="CA1107" i="5"/>
  <c r="BX1107" i="5"/>
  <c r="BV1107" i="5"/>
  <c r="BW1107" i="5"/>
  <c r="BU1107" i="5"/>
  <c r="BT1107" i="5"/>
  <c r="BS1107" i="5"/>
  <c r="BR1107" i="5"/>
  <c r="BQ1107" i="5"/>
  <c r="BL1107" i="5"/>
  <c r="BM1107" i="5"/>
  <c r="BI1107" i="5"/>
  <c r="BG1107" i="5"/>
  <c r="BK1107" i="5"/>
  <c r="BJ1107" i="5"/>
  <c r="BH1107" i="5"/>
  <c r="BE1107" i="5"/>
  <c r="BF1107" i="5"/>
  <c r="BD1107" i="5"/>
  <c r="AY1107" i="5"/>
  <c r="AU1107" i="5"/>
  <c r="BN1107" i="5" s="1"/>
  <c r="BA1107" i="5"/>
  <c r="BP1107" i="5" s="1"/>
  <c r="AZ1107" i="5"/>
  <c r="AV1107" i="5"/>
  <c r="BC1107" i="5" s="1"/>
  <c r="CJ1180" i="5"/>
  <c r="CK1180" i="5"/>
  <c r="CH1180" i="5"/>
  <c r="CF1180" i="5"/>
  <c r="CE1180" i="5"/>
  <c r="CG1180" i="5"/>
  <c r="CI1180" i="5"/>
  <c r="CD1180" i="5"/>
  <c r="CC1180" i="5"/>
  <c r="CA1180" i="5"/>
  <c r="BZ1180" i="5"/>
  <c r="BX1180" i="5"/>
  <c r="BY1180" i="5"/>
  <c r="BW1180" i="5"/>
  <c r="BU1180" i="5"/>
  <c r="BV1180" i="5"/>
  <c r="BT1180" i="5"/>
  <c r="BS1180" i="5"/>
  <c r="BR1180" i="5"/>
  <c r="BQ1180" i="5"/>
  <c r="BJ1180" i="5"/>
  <c r="BM1180" i="5"/>
  <c r="BL1180" i="5"/>
  <c r="BI1180" i="5"/>
  <c r="BK1180" i="5"/>
  <c r="BH1180" i="5"/>
  <c r="BG1180" i="5"/>
  <c r="BF1180" i="5"/>
  <c r="BD1180" i="5"/>
  <c r="BE1180" i="5"/>
  <c r="AZ1180" i="5"/>
  <c r="AY1180" i="5"/>
  <c r="BA1180" i="5"/>
  <c r="BP1180" i="5" s="1"/>
  <c r="AV1180" i="5"/>
  <c r="BO1180" i="5" s="1"/>
  <c r="AU1180" i="5"/>
  <c r="BN1180" i="5" s="1"/>
  <c r="CJ1253" i="5"/>
  <c r="CK1253" i="5"/>
  <c r="CI1253" i="5"/>
  <c r="CH1253" i="5"/>
  <c r="CG1253" i="5"/>
  <c r="CD1253" i="5"/>
  <c r="CF1253" i="5"/>
  <c r="CE1253" i="5"/>
  <c r="CC1253" i="5"/>
  <c r="CA1253" i="5"/>
  <c r="BW1253" i="5"/>
  <c r="BX1253" i="5"/>
  <c r="BY1253" i="5"/>
  <c r="BZ1253" i="5"/>
  <c r="BV1253" i="5"/>
  <c r="BU1253" i="5"/>
  <c r="BT1253" i="5"/>
  <c r="BQ1253" i="5"/>
  <c r="BR1253" i="5"/>
  <c r="BS1253" i="5"/>
  <c r="BL1253" i="5"/>
  <c r="BM1253" i="5"/>
  <c r="BK1253" i="5"/>
  <c r="BJ1253" i="5"/>
  <c r="BI1253" i="5"/>
  <c r="BH1253" i="5"/>
  <c r="BG1253" i="5"/>
  <c r="BD1253" i="5"/>
  <c r="BF1253" i="5"/>
  <c r="BE1253" i="5"/>
  <c r="BA1253" i="5"/>
  <c r="BP1253" i="5" s="1"/>
  <c r="AU1253" i="5"/>
  <c r="BN1253" i="5" s="1"/>
  <c r="AZ1253" i="5"/>
  <c r="AY1253" i="5"/>
  <c r="AV1253" i="5"/>
  <c r="BC1253" i="5" s="1"/>
  <c r="CK1323" i="5"/>
  <c r="CI1323" i="5"/>
  <c r="CE1323" i="5"/>
  <c r="CD1323" i="5"/>
  <c r="CF1323" i="5"/>
  <c r="CC1323" i="5"/>
  <c r="BY1323" i="5"/>
  <c r="CA1323" i="5"/>
  <c r="BW1323" i="5"/>
  <c r="BV1323" i="5"/>
  <c r="BU1323" i="5"/>
  <c r="BT1323" i="5"/>
  <c r="BR1323" i="5"/>
  <c r="BQ1323" i="5"/>
  <c r="BS1323" i="5"/>
  <c r="BM1323" i="5"/>
  <c r="BI1323" i="5"/>
  <c r="BG1323" i="5"/>
  <c r="BK1323" i="5"/>
  <c r="BJ1323" i="5"/>
  <c r="BH1323" i="5"/>
  <c r="BE1323" i="5"/>
  <c r="BF1323" i="5"/>
  <c r="BD1323" i="5"/>
  <c r="AY1323" i="5"/>
  <c r="BA1323" i="5"/>
  <c r="BP1323" i="5" s="1"/>
  <c r="AZ1323" i="5"/>
  <c r="AU1323" i="5"/>
  <c r="BB1323" i="5" s="1"/>
  <c r="AV1323" i="5"/>
  <c r="BO1323" i="5" s="1"/>
  <c r="CK47" i="5"/>
  <c r="CE47" i="5"/>
  <c r="CI47" i="5"/>
  <c r="CD47" i="5"/>
  <c r="CF47" i="5"/>
  <c r="CC47" i="5"/>
  <c r="CA47" i="5"/>
  <c r="BY47" i="5"/>
  <c r="BV47" i="5"/>
  <c r="BW47" i="5"/>
  <c r="BU47" i="5"/>
  <c r="BT47" i="5"/>
  <c r="BS47" i="5"/>
  <c r="BQ47" i="5"/>
  <c r="BR47" i="5"/>
  <c r="BK47" i="5"/>
  <c r="BM47" i="5"/>
  <c r="BI47" i="5"/>
  <c r="BJ47" i="5"/>
  <c r="BH47" i="5"/>
  <c r="BG47" i="5"/>
  <c r="BE47" i="5"/>
  <c r="BF47" i="5"/>
  <c r="BD47" i="5"/>
  <c r="BA47" i="5"/>
  <c r="BP47" i="5" s="1"/>
  <c r="AY47" i="5"/>
  <c r="AZ47" i="5"/>
  <c r="AU47" i="5"/>
  <c r="BB47" i="5" s="1"/>
  <c r="AV47" i="5"/>
  <c r="CK120" i="5"/>
  <c r="CH120" i="5"/>
  <c r="CF120" i="5"/>
  <c r="CE120" i="5"/>
  <c r="CD120" i="5"/>
  <c r="CJ120" i="5"/>
  <c r="CI120" i="5"/>
  <c r="CC120" i="5"/>
  <c r="CG120" i="5"/>
  <c r="CA120" i="5"/>
  <c r="BZ120" i="5"/>
  <c r="BY120" i="5"/>
  <c r="BX120" i="5"/>
  <c r="BV120" i="5"/>
  <c r="BW120" i="5"/>
  <c r="BU120" i="5"/>
  <c r="BT120" i="5"/>
  <c r="BS120" i="5"/>
  <c r="BR120" i="5"/>
  <c r="BQ120" i="5"/>
  <c r="BL120" i="5"/>
  <c r="BM120" i="5"/>
  <c r="BK120" i="5"/>
  <c r="BJ120" i="5"/>
  <c r="BI120" i="5"/>
  <c r="BH120" i="5"/>
  <c r="BG120" i="5"/>
  <c r="BF120" i="5"/>
  <c r="BE120" i="5"/>
  <c r="BD120" i="5"/>
  <c r="BA120" i="5"/>
  <c r="BP120" i="5" s="1"/>
  <c r="AZ120" i="5"/>
  <c r="AV120" i="5"/>
  <c r="BC120" i="5" s="1"/>
  <c r="AY120" i="5"/>
  <c r="AU120" i="5"/>
  <c r="CK194" i="5"/>
  <c r="CJ194" i="5"/>
  <c r="CI194" i="5"/>
  <c r="CH194" i="5"/>
  <c r="CG194" i="5"/>
  <c r="CD194" i="5"/>
  <c r="CF194" i="5"/>
  <c r="CE194" i="5"/>
  <c r="CC194" i="5"/>
  <c r="BY194" i="5"/>
  <c r="CA194" i="5"/>
  <c r="BZ194" i="5"/>
  <c r="BX194" i="5"/>
  <c r="BU194" i="5"/>
  <c r="BW194" i="5"/>
  <c r="BV194" i="5"/>
  <c r="BS194" i="5"/>
  <c r="BT194" i="5"/>
  <c r="BR194" i="5"/>
  <c r="BQ194" i="5"/>
  <c r="BM194" i="5"/>
  <c r="BL194" i="5"/>
  <c r="BK194" i="5"/>
  <c r="BJ194" i="5"/>
  <c r="BI194" i="5"/>
  <c r="BH194" i="5"/>
  <c r="BG194" i="5"/>
  <c r="BF194" i="5"/>
  <c r="BD194" i="5"/>
  <c r="BE194" i="5"/>
  <c r="BA194" i="5"/>
  <c r="BP194" i="5" s="1"/>
  <c r="AZ194" i="5"/>
  <c r="AY194" i="5"/>
  <c r="AV194" i="5"/>
  <c r="BC194" i="5" s="1"/>
  <c r="AU194" i="5"/>
  <c r="CK267" i="5"/>
  <c r="CI267" i="5"/>
  <c r="CE267" i="5"/>
  <c r="CD267" i="5"/>
  <c r="CF267" i="5"/>
  <c r="CC267" i="5"/>
  <c r="CA267" i="5"/>
  <c r="BY267" i="5"/>
  <c r="BW267" i="5"/>
  <c r="BV267" i="5"/>
  <c r="BU267" i="5"/>
  <c r="BT267" i="5"/>
  <c r="BS267" i="5"/>
  <c r="BR267" i="5"/>
  <c r="BQ267" i="5"/>
  <c r="BK267" i="5"/>
  <c r="BM267" i="5"/>
  <c r="BI267" i="5"/>
  <c r="BG267" i="5"/>
  <c r="BH267" i="5"/>
  <c r="BJ267" i="5"/>
  <c r="BF267" i="5"/>
  <c r="BE267" i="5"/>
  <c r="BD267" i="5"/>
  <c r="BA267" i="5"/>
  <c r="BP267" i="5" s="1"/>
  <c r="AY267" i="5"/>
  <c r="AZ267" i="5"/>
  <c r="AU267" i="5"/>
  <c r="BB267" i="5" s="1"/>
  <c r="AV267" i="5"/>
  <c r="BO267" i="5" s="1"/>
  <c r="CK340" i="5"/>
  <c r="CJ340" i="5"/>
  <c r="CH340" i="5"/>
  <c r="CF340" i="5"/>
  <c r="CI340" i="5"/>
  <c r="CC340" i="5"/>
  <c r="CD340" i="5"/>
  <c r="CG340" i="5"/>
  <c r="CE340" i="5"/>
  <c r="CA340" i="5"/>
  <c r="BZ340" i="5"/>
  <c r="BX340" i="5"/>
  <c r="BV340" i="5"/>
  <c r="BY340" i="5"/>
  <c r="BW340" i="5"/>
  <c r="BT340" i="5"/>
  <c r="BU340" i="5"/>
  <c r="BS340" i="5"/>
  <c r="BQ340" i="5"/>
  <c r="BR340" i="5"/>
  <c r="BL340" i="5"/>
  <c r="BK340" i="5"/>
  <c r="BJ340" i="5"/>
  <c r="BM340" i="5"/>
  <c r="BI340" i="5"/>
  <c r="BH340" i="5"/>
  <c r="BF340" i="5"/>
  <c r="BG340" i="5"/>
  <c r="BE340" i="5"/>
  <c r="BD340" i="5"/>
  <c r="AZ340" i="5"/>
  <c r="BA340" i="5"/>
  <c r="BP340" i="5" s="1"/>
  <c r="AY340" i="5"/>
  <c r="AV340" i="5"/>
  <c r="BO340" i="5" s="1"/>
  <c r="AU340" i="5"/>
  <c r="BN340" i="5" s="1"/>
  <c r="CK413" i="5"/>
  <c r="CJ413" i="5"/>
  <c r="CI413" i="5"/>
  <c r="CH413" i="5"/>
  <c r="CG413" i="5"/>
  <c r="CF413" i="5"/>
  <c r="CE413" i="5"/>
  <c r="CD413" i="5"/>
  <c r="CC413" i="5"/>
  <c r="CA413" i="5"/>
  <c r="BZ413" i="5"/>
  <c r="BY413" i="5"/>
  <c r="BX413" i="5"/>
  <c r="BW413" i="5"/>
  <c r="BV413" i="5"/>
  <c r="BT413" i="5"/>
  <c r="BR413" i="5"/>
  <c r="BU413" i="5"/>
  <c r="BS413" i="5"/>
  <c r="BQ413" i="5"/>
  <c r="BK413" i="5"/>
  <c r="BL413" i="5"/>
  <c r="BM413" i="5"/>
  <c r="BJ413" i="5"/>
  <c r="BI413" i="5"/>
  <c r="BH413" i="5"/>
  <c r="BG413" i="5"/>
  <c r="BF413" i="5"/>
  <c r="BE413" i="5"/>
  <c r="BD413" i="5"/>
  <c r="BA413" i="5"/>
  <c r="BP413" i="5" s="1"/>
  <c r="AZ413" i="5"/>
  <c r="AY413" i="5"/>
  <c r="AV413" i="5"/>
  <c r="BO413" i="5" s="1"/>
  <c r="AU413" i="5"/>
  <c r="BB413" i="5" s="1"/>
  <c r="CK486" i="5"/>
  <c r="CI486" i="5"/>
  <c r="CD486" i="5"/>
  <c r="CF486" i="5"/>
  <c r="CC486" i="5"/>
  <c r="CE486" i="5"/>
  <c r="BY486" i="5"/>
  <c r="CA486" i="5"/>
  <c r="BW486" i="5"/>
  <c r="BV486" i="5"/>
  <c r="BU486" i="5"/>
  <c r="BS486" i="5"/>
  <c r="BT486" i="5"/>
  <c r="BR486" i="5"/>
  <c r="BQ486" i="5"/>
  <c r="BM486" i="5"/>
  <c r="BK486" i="5"/>
  <c r="BJ486" i="5"/>
  <c r="BI486" i="5"/>
  <c r="BG486" i="5"/>
  <c r="BF486" i="5"/>
  <c r="BH486" i="5"/>
  <c r="BD486" i="5"/>
  <c r="BE486" i="5"/>
  <c r="BA486" i="5"/>
  <c r="BP486" i="5" s="1"/>
  <c r="AV486" i="5"/>
  <c r="BC486" i="5" s="1"/>
  <c r="AZ486" i="5"/>
  <c r="AY486" i="5"/>
  <c r="AU486" i="5"/>
  <c r="BN486" i="5" s="1"/>
  <c r="CJ559" i="5"/>
  <c r="CK559" i="5"/>
  <c r="CH559" i="5"/>
  <c r="CG559" i="5"/>
  <c r="CE559" i="5"/>
  <c r="CI559" i="5"/>
  <c r="CF559" i="5"/>
  <c r="CD559" i="5"/>
  <c r="BZ559" i="5"/>
  <c r="CC559" i="5"/>
  <c r="CA559" i="5"/>
  <c r="BY559" i="5"/>
  <c r="BV559" i="5"/>
  <c r="BX559" i="5"/>
  <c r="BW559" i="5"/>
  <c r="BU559" i="5"/>
  <c r="BT559" i="5"/>
  <c r="BS559" i="5"/>
  <c r="BQ559" i="5"/>
  <c r="BR559" i="5"/>
  <c r="BL559" i="5"/>
  <c r="BK559" i="5"/>
  <c r="BM559" i="5"/>
  <c r="BI559" i="5"/>
  <c r="BJ559" i="5"/>
  <c r="BG559" i="5"/>
  <c r="BH559" i="5"/>
  <c r="BE559" i="5"/>
  <c r="BF559" i="5"/>
  <c r="BD559" i="5"/>
  <c r="BA559" i="5"/>
  <c r="BP559" i="5" s="1"/>
  <c r="AY559" i="5"/>
  <c r="AZ559" i="5"/>
  <c r="AU559" i="5"/>
  <c r="BB559" i="5" s="1"/>
  <c r="AV559" i="5"/>
  <c r="BC559" i="5" s="1"/>
  <c r="CK632" i="5"/>
  <c r="CH632" i="5"/>
  <c r="CJ632" i="5"/>
  <c r="CF632" i="5"/>
  <c r="CG632" i="5"/>
  <c r="CE632" i="5"/>
  <c r="CI632" i="5"/>
  <c r="CC632" i="5"/>
  <c r="CD632" i="5"/>
  <c r="CA632" i="5"/>
  <c r="BZ632" i="5"/>
  <c r="BY632" i="5"/>
  <c r="BX632" i="5"/>
  <c r="BV632" i="5"/>
  <c r="BW632" i="5"/>
  <c r="BU632" i="5"/>
  <c r="BT632" i="5"/>
  <c r="BS632" i="5"/>
  <c r="BR632" i="5"/>
  <c r="BQ632" i="5"/>
  <c r="BL632" i="5"/>
  <c r="BM632" i="5"/>
  <c r="BK632" i="5"/>
  <c r="BJ632" i="5"/>
  <c r="BI632" i="5"/>
  <c r="BH632" i="5"/>
  <c r="BG632" i="5"/>
  <c r="BF632" i="5"/>
  <c r="BE632" i="5"/>
  <c r="BD632" i="5"/>
  <c r="AZ632" i="5"/>
  <c r="AV632" i="5"/>
  <c r="AY632" i="5"/>
  <c r="BA632" i="5"/>
  <c r="AU632" i="5"/>
  <c r="CJ706" i="5"/>
  <c r="CI706" i="5"/>
  <c r="CH706" i="5"/>
  <c r="CK706" i="5"/>
  <c r="CF706" i="5"/>
  <c r="CE706" i="5"/>
  <c r="CG706" i="5"/>
  <c r="CD706" i="5"/>
  <c r="CC706" i="5"/>
  <c r="CA706" i="5"/>
  <c r="BZ706" i="5"/>
  <c r="BY706" i="5"/>
  <c r="BU706" i="5"/>
  <c r="BW706" i="5"/>
  <c r="BV706" i="5"/>
  <c r="BX706" i="5"/>
  <c r="BS706" i="5"/>
  <c r="BT706" i="5"/>
  <c r="BR706" i="5"/>
  <c r="BQ706" i="5"/>
  <c r="BM706" i="5"/>
  <c r="BL706" i="5"/>
  <c r="BK706" i="5"/>
  <c r="BJ706" i="5"/>
  <c r="BI706" i="5"/>
  <c r="BH706" i="5"/>
  <c r="BG706" i="5"/>
  <c r="BF706" i="5"/>
  <c r="BD706" i="5"/>
  <c r="BE706" i="5"/>
  <c r="BA706" i="5"/>
  <c r="BP706" i="5" s="1"/>
  <c r="AZ706" i="5"/>
  <c r="AY706" i="5"/>
  <c r="AV706" i="5"/>
  <c r="AU706" i="5"/>
  <c r="BB706" i="5" s="1"/>
  <c r="CK779" i="5"/>
  <c r="CJ779" i="5"/>
  <c r="CI779" i="5"/>
  <c r="CG779" i="5"/>
  <c r="CE779" i="5"/>
  <c r="CH779" i="5"/>
  <c r="CF779" i="5"/>
  <c r="CD779" i="5"/>
  <c r="CC779" i="5"/>
  <c r="BZ779" i="5"/>
  <c r="BY779" i="5"/>
  <c r="BX779" i="5"/>
  <c r="CA779" i="5"/>
  <c r="BW779" i="5"/>
  <c r="BV779" i="5"/>
  <c r="BU779" i="5"/>
  <c r="BT779" i="5"/>
  <c r="BR779" i="5"/>
  <c r="BQ779" i="5"/>
  <c r="BS779" i="5"/>
  <c r="BM779" i="5"/>
  <c r="BL779" i="5"/>
  <c r="BI779" i="5"/>
  <c r="BG779" i="5"/>
  <c r="BK779" i="5"/>
  <c r="BJ779" i="5"/>
  <c r="BH779" i="5"/>
  <c r="BE779" i="5"/>
  <c r="BF779" i="5"/>
  <c r="BD779" i="5"/>
  <c r="AY779" i="5"/>
  <c r="BA779" i="5"/>
  <c r="BP779" i="5" s="1"/>
  <c r="AZ779" i="5"/>
  <c r="AU779" i="5"/>
  <c r="BB779" i="5" s="1"/>
  <c r="AV779" i="5"/>
  <c r="BC779" i="5" s="1"/>
  <c r="CK852" i="5"/>
  <c r="CF852" i="5"/>
  <c r="CI852" i="5"/>
  <c r="CE852" i="5"/>
  <c r="CD852" i="5"/>
  <c r="CC852" i="5"/>
  <c r="CA852" i="5"/>
  <c r="BY852" i="5"/>
  <c r="BW852" i="5"/>
  <c r="BU852" i="5"/>
  <c r="BV852" i="5"/>
  <c r="BT852" i="5"/>
  <c r="BQ852" i="5"/>
  <c r="BR852" i="5"/>
  <c r="BS852" i="5"/>
  <c r="BJ852" i="5"/>
  <c r="BK852" i="5"/>
  <c r="BM852" i="5"/>
  <c r="BI852" i="5"/>
  <c r="BH852" i="5"/>
  <c r="BF852" i="5"/>
  <c r="BG852" i="5"/>
  <c r="BE852" i="5"/>
  <c r="BD852" i="5"/>
  <c r="AZ852" i="5"/>
  <c r="BA852" i="5"/>
  <c r="BP852" i="5" s="1"/>
  <c r="AY852" i="5"/>
  <c r="AV852" i="5"/>
  <c r="BC852" i="5" s="1"/>
  <c r="AU852" i="5"/>
  <c r="BN852" i="5" s="1"/>
  <c r="CK925" i="5"/>
  <c r="CI925" i="5"/>
  <c r="CF925" i="5"/>
  <c r="CE925" i="5"/>
  <c r="CD925" i="5"/>
  <c r="CC925" i="5"/>
  <c r="CA925" i="5"/>
  <c r="BY925" i="5"/>
  <c r="BW925" i="5"/>
  <c r="BR925" i="5"/>
  <c r="BU925" i="5"/>
  <c r="BV925" i="5"/>
  <c r="BT925" i="5"/>
  <c r="BS925" i="5"/>
  <c r="BQ925" i="5"/>
  <c r="BM925" i="5"/>
  <c r="BK925" i="5"/>
  <c r="BJ925" i="5"/>
  <c r="BI925" i="5"/>
  <c r="BH925" i="5"/>
  <c r="BG925" i="5"/>
  <c r="BE925" i="5"/>
  <c r="BD925" i="5"/>
  <c r="BF925" i="5"/>
  <c r="BA925" i="5"/>
  <c r="BP925" i="5" s="1"/>
  <c r="AZ925" i="5"/>
  <c r="AY925" i="5"/>
  <c r="AV925" i="5"/>
  <c r="BO925" i="5" s="1"/>
  <c r="AU925" i="5"/>
  <c r="BB925" i="5" s="1"/>
  <c r="CK998" i="5"/>
  <c r="CI998" i="5"/>
  <c r="CF998" i="5"/>
  <c r="CD998" i="5"/>
  <c r="CC998" i="5"/>
  <c r="CE998" i="5"/>
  <c r="CA998" i="5"/>
  <c r="BY998" i="5"/>
  <c r="BW998" i="5"/>
  <c r="BU998" i="5"/>
  <c r="BV998" i="5"/>
  <c r="BS998" i="5"/>
  <c r="BT998" i="5"/>
  <c r="BR998" i="5"/>
  <c r="BQ998" i="5"/>
  <c r="BM998" i="5"/>
  <c r="BK998" i="5"/>
  <c r="BJ998" i="5"/>
  <c r="BI998" i="5"/>
  <c r="BH998" i="5"/>
  <c r="BG998" i="5"/>
  <c r="BD998" i="5"/>
  <c r="BF998" i="5"/>
  <c r="BE998" i="5"/>
  <c r="AV998" i="5"/>
  <c r="BC998" i="5" s="1"/>
  <c r="BA998" i="5"/>
  <c r="BP998" i="5" s="1"/>
  <c r="AZ998" i="5"/>
  <c r="AY998" i="5"/>
  <c r="AU998" i="5"/>
  <c r="BB998" i="5" s="1"/>
  <c r="CK1071" i="5"/>
  <c r="CJ1071" i="5"/>
  <c r="CH1071" i="5"/>
  <c r="CE1071" i="5"/>
  <c r="CG1071" i="5"/>
  <c r="CI1071" i="5"/>
  <c r="CF1071" i="5"/>
  <c r="BZ1071" i="5"/>
  <c r="CD1071" i="5"/>
  <c r="CC1071" i="5"/>
  <c r="BY1071" i="5"/>
  <c r="BX1071" i="5"/>
  <c r="CA1071" i="5"/>
  <c r="BV1071" i="5"/>
  <c r="BW1071" i="5"/>
  <c r="BT1071" i="5"/>
  <c r="BU1071" i="5"/>
  <c r="BR1071" i="5"/>
  <c r="BQ1071" i="5"/>
  <c r="BS1071" i="5"/>
  <c r="BL1071" i="5"/>
  <c r="BM1071" i="5"/>
  <c r="BK1071" i="5"/>
  <c r="BJ1071" i="5"/>
  <c r="BI1071" i="5"/>
  <c r="BG1071" i="5"/>
  <c r="BH1071" i="5"/>
  <c r="BE1071" i="5"/>
  <c r="BF1071" i="5"/>
  <c r="BD1071" i="5"/>
  <c r="AY1071" i="5"/>
  <c r="BA1071" i="5"/>
  <c r="BP1071" i="5" s="1"/>
  <c r="AZ1071" i="5"/>
  <c r="AU1071" i="5"/>
  <c r="BB1071" i="5" s="1"/>
  <c r="AV1071" i="5"/>
  <c r="BC1071" i="5" s="1"/>
  <c r="CK1144" i="5"/>
  <c r="CF1144" i="5"/>
  <c r="CE1144" i="5"/>
  <c r="CI1144" i="5"/>
  <c r="CD1144" i="5"/>
  <c r="CA1144" i="5"/>
  <c r="CC1144" i="5"/>
  <c r="BY1144" i="5"/>
  <c r="BW1144" i="5"/>
  <c r="BV1144" i="5"/>
  <c r="BU1144" i="5"/>
  <c r="BT1144" i="5"/>
  <c r="BS1144" i="5"/>
  <c r="BR1144" i="5"/>
  <c r="BQ1144" i="5"/>
  <c r="BM1144" i="5"/>
  <c r="BJ1144" i="5"/>
  <c r="BK1144" i="5"/>
  <c r="BH1144" i="5"/>
  <c r="BI1144" i="5"/>
  <c r="BG1144" i="5"/>
  <c r="BF1144" i="5"/>
  <c r="BE1144" i="5"/>
  <c r="BD1144" i="5"/>
  <c r="AZ1144" i="5"/>
  <c r="AV1144" i="5"/>
  <c r="BO1144" i="5" s="1"/>
  <c r="AY1144" i="5"/>
  <c r="BA1144" i="5"/>
  <c r="BP1144" i="5" s="1"/>
  <c r="AU1144" i="5"/>
  <c r="BN1144" i="5" s="1"/>
  <c r="CK1218" i="5"/>
  <c r="CI1218" i="5"/>
  <c r="CJ1218" i="5"/>
  <c r="CF1218" i="5"/>
  <c r="CE1218" i="5"/>
  <c r="CH1218" i="5"/>
  <c r="CG1218" i="5"/>
  <c r="CC1218" i="5"/>
  <c r="CD1218" i="5"/>
  <c r="CA1218" i="5"/>
  <c r="BZ1218" i="5"/>
  <c r="BY1218" i="5"/>
  <c r="BX1218" i="5"/>
  <c r="BW1218" i="5"/>
  <c r="BU1218" i="5"/>
  <c r="BS1218" i="5"/>
  <c r="BV1218" i="5"/>
  <c r="BT1218" i="5"/>
  <c r="BR1218" i="5"/>
  <c r="BQ1218" i="5"/>
  <c r="BM1218" i="5"/>
  <c r="BL1218" i="5"/>
  <c r="BK1218" i="5"/>
  <c r="BJ1218" i="5"/>
  <c r="BI1218" i="5"/>
  <c r="BH1218" i="5"/>
  <c r="BG1218" i="5"/>
  <c r="BF1218" i="5"/>
  <c r="BE1218" i="5"/>
  <c r="BD1218" i="5"/>
  <c r="BA1218" i="5"/>
  <c r="BP1218" i="5" s="1"/>
  <c r="AZ1218" i="5"/>
  <c r="AY1218" i="5"/>
  <c r="AU1218" i="5"/>
  <c r="BN1218" i="5" s="1"/>
  <c r="AV1218" i="5"/>
  <c r="BO1218" i="5" s="1"/>
  <c r="CI1291" i="5"/>
  <c r="CE1291" i="5"/>
  <c r="CK1291" i="5"/>
  <c r="CD1291" i="5"/>
  <c r="CF1291" i="5"/>
  <c r="CC1291" i="5"/>
  <c r="BY1291" i="5"/>
  <c r="CA1291" i="5"/>
  <c r="BW1291" i="5"/>
  <c r="BV1291" i="5"/>
  <c r="BU1291" i="5"/>
  <c r="BT1291" i="5"/>
  <c r="BR1291" i="5"/>
  <c r="BQ1291" i="5"/>
  <c r="BS1291" i="5"/>
  <c r="BM1291" i="5"/>
  <c r="BI1291" i="5"/>
  <c r="BG1291" i="5"/>
  <c r="BK1291" i="5"/>
  <c r="BJ1291" i="5"/>
  <c r="BH1291" i="5"/>
  <c r="BE1291" i="5"/>
  <c r="BF1291" i="5"/>
  <c r="BD1291" i="5"/>
  <c r="AY1291" i="5"/>
  <c r="BA1291" i="5"/>
  <c r="BP1291" i="5" s="1"/>
  <c r="AZ1291" i="5"/>
  <c r="AU1291" i="5"/>
  <c r="BN1291" i="5" s="1"/>
  <c r="AV1291" i="5"/>
  <c r="BC1291" i="5" s="1"/>
  <c r="CI58" i="5"/>
  <c r="CD58" i="5"/>
  <c r="CK58" i="5"/>
  <c r="CF58" i="5"/>
  <c r="CE58" i="5"/>
  <c r="CC58" i="5"/>
  <c r="BY58" i="5"/>
  <c r="CA58" i="5"/>
  <c r="BU58" i="5"/>
  <c r="BV58" i="5"/>
  <c r="BW58" i="5"/>
  <c r="BS58" i="5"/>
  <c r="BT58" i="5"/>
  <c r="BR58" i="5"/>
  <c r="BQ58" i="5"/>
  <c r="BM58" i="5"/>
  <c r="BK58" i="5"/>
  <c r="BJ58" i="5"/>
  <c r="BI58" i="5"/>
  <c r="BH58" i="5"/>
  <c r="BF58" i="5"/>
  <c r="BG58" i="5"/>
  <c r="BD58" i="5"/>
  <c r="BE58" i="5"/>
  <c r="BA58" i="5"/>
  <c r="BP58" i="5" s="1"/>
  <c r="AZ58" i="5"/>
  <c r="AY58" i="5"/>
  <c r="AU58" i="5"/>
  <c r="BN58" i="5" s="1"/>
  <c r="AV58" i="5"/>
  <c r="BC58" i="5" s="1"/>
  <c r="CH131" i="5"/>
  <c r="CE131" i="5"/>
  <c r="CK131" i="5"/>
  <c r="CI131" i="5"/>
  <c r="CD131" i="5"/>
  <c r="CJ131" i="5"/>
  <c r="CF131" i="5"/>
  <c r="CG131" i="5"/>
  <c r="CC131" i="5"/>
  <c r="BZ131" i="5"/>
  <c r="BY131" i="5"/>
  <c r="CA131" i="5"/>
  <c r="BX131" i="5"/>
  <c r="BV131" i="5"/>
  <c r="BW131" i="5"/>
  <c r="BU131" i="5"/>
  <c r="BT131" i="5"/>
  <c r="BS131" i="5"/>
  <c r="BR131" i="5"/>
  <c r="BQ131" i="5"/>
  <c r="BK131" i="5"/>
  <c r="BM131" i="5"/>
  <c r="BL131" i="5"/>
  <c r="BI131" i="5"/>
  <c r="BJ131" i="5"/>
  <c r="BG131" i="5"/>
  <c r="BH131" i="5"/>
  <c r="BF131" i="5"/>
  <c r="BE131" i="5"/>
  <c r="BD131" i="5"/>
  <c r="BA131" i="5"/>
  <c r="BP131" i="5" s="1"/>
  <c r="AY131" i="5"/>
  <c r="AZ131" i="5"/>
  <c r="AU131" i="5"/>
  <c r="BB131" i="5" s="1"/>
  <c r="AV131" i="5"/>
  <c r="BC131" i="5" s="1"/>
  <c r="CK204" i="5"/>
  <c r="CG204" i="5"/>
  <c r="CH204" i="5"/>
  <c r="CF204" i="5"/>
  <c r="CI204" i="5"/>
  <c r="CJ204" i="5"/>
  <c r="CC204" i="5"/>
  <c r="CD204" i="5"/>
  <c r="CE204" i="5"/>
  <c r="CA204" i="5"/>
  <c r="BX204" i="5"/>
  <c r="BZ204" i="5"/>
  <c r="BV204" i="5"/>
  <c r="BY204" i="5"/>
  <c r="BW204" i="5"/>
  <c r="BU204" i="5"/>
  <c r="BS204" i="5"/>
  <c r="BT204" i="5"/>
  <c r="BQ204" i="5"/>
  <c r="BR204" i="5"/>
  <c r="BM204" i="5"/>
  <c r="BL204" i="5"/>
  <c r="BK204" i="5"/>
  <c r="BJ204" i="5"/>
  <c r="BI204" i="5"/>
  <c r="BH204" i="5"/>
  <c r="BF204" i="5"/>
  <c r="BG204" i="5"/>
  <c r="BE204" i="5"/>
  <c r="BD204" i="5"/>
  <c r="AZ204" i="5"/>
  <c r="BA204" i="5"/>
  <c r="BP204" i="5" s="1"/>
  <c r="AY204" i="5"/>
  <c r="AV204" i="5"/>
  <c r="BC204" i="5" s="1"/>
  <c r="AU204" i="5"/>
  <c r="BN204" i="5" s="1"/>
  <c r="CI277" i="5"/>
  <c r="CK277" i="5"/>
  <c r="CE277" i="5"/>
  <c r="CF277" i="5"/>
  <c r="CD277" i="5"/>
  <c r="CC277" i="5"/>
  <c r="BW277" i="5"/>
  <c r="CA277" i="5"/>
  <c r="BY277" i="5"/>
  <c r="BT277" i="5"/>
  <c r="BV277" i="5"/>
  <c r="BU277" i="5"/>
  <c r="BR277" i="5"/>
  <c r="BS277" i="5"/>
  <c r="BQ277" i="5"/>
  <c r="BM277" i="5"/>
  <c r="BK277" i="5"/>
  <c r="BJ277" i="5"/>
  <c r="BI277" i="5"/>
  <c r="BF277" i="5"/>
  <c r="BH277" i="5"/>
  <c r="BG277" i="5"/>
  <c r="BE277" i="5"/>
  <c r="BD277" i="5"/>
  <c r="BA277" i="5"/>
  <c r="BP277" i="5" s="1"/>
  <c r="AZ277" i="5"/>
  <c r="AY277" i="5"/>
  <c r="AV277" i="5"/>
  <c r="BO277" i="5" s="1"/>
  <c r="AU277" i="5"/>
  <c r="BN277" i="5" s="1"/>
  <c r="CJ350" i="5"/>
  <c r="CI350" i="5"/>
  <c r="CD350" i="5"/>
  <c r="CK350" i="5"/>
  <c r="CH350" i="5"/>
  <c r="CG350" i="5"/>
  <c r="CF350" i="5"/>
  <c r="CE350" i="5"/>
  <c r="CC350" i="5"/>
  <c r="BY350" i="5"/>
  <c r="BX350" i="5"/>
  <c r="CA350" i="5"/>
  <c r="BZ350" i="5"/>
  <c r="BU350" i="5"/>
  <c r="BW350" i="5"/>
  <c r="BV350" i="5"/>
  <c r="BS350" i="5"/>
  <c r="BR350" i="5"/>
  <c r="BT350" i="5"/>
  <c r="BQ350" i="5"/>
  <c r="BM350" i="5"/>
  <c r="BK350" i="5"/>
  <c r="BL350" i="5"/>
  <c r="BJ350" i="5"/>
  <c r="BI350" i="5"/>
  <c r="BH350" i="5"/>
  <c r="BG350" i="5"/>
  <c r="BF350" i="5"/>
  <c r="BD350" i="5"/>
  <c r="BE350" i="5"/>
  <c r="BA350" i="5"/>
  <c r="BP350" i="5" s="1"/>
  <c r="AV350" i="5"/>
  <c r="BO350" i="5" s="1"/>
  <c r="AZ350" i="5"/>
  <c r="AY350" i="5"/>
  <c r="AU350" i="5"/>
  <c r="BN350" i="5" s="1"/>
  <c r="CE423" i="5"/>
  <c r="CK423" i="5"/>
  <c r="CI423" i="5"/>
  <c r="CF423" i="5"/>
  <c r="CD423" i="5"/>
  <c r="CC423" i="5"/>
  <c r="CA423" i="5"/>
  <c r="BY423" i="5"/>
  <c r="BW423" i="5"/>
  <c r="BV423" i="5"/>
  <c r="BU423" i="5"/>
  <c r="BS423" i="5"/>
  <c r="BT423" i="5"/>
  <c r="BR423" i="5"/>
  <c r="BQ423" i="5"/>
  <c r="BK423" i="5"/>
  <c r="BI423" i="5"/>
  <c r="BM423" i="5"/>
  <c r="BH423" i="5"/>
  <c r="BJ423" i="5"/>
  <c r="BG423" i="5"/>
  <c r="BE423" i="5"/>
  <c r="BF423" i="5"/>
  <c r="BD423" i="5"/>
  <c r="BA423" i="5"/>
  <c r="BP423" i="5" s="1"/>
  <c r="AY423" i="5"/>
  <c r="AZ423" i="5"/>
  <c r="AU423" i="5"/>
  <c r="BB423" i="5" s="1"/>
  <c r="AV423" i="5"/>
  <c r="BO423" i="5" s="1"/>
  <c r="CK496" i="5"/>
  <c r="CI496" i="5"/>
  <c r="CJ496" i="5"/>
  <c r="CF496" i="5"/>
  <c r="CH496" i="5"/>
  <c r="CC496" i="5"/>
  <c r="CE496" i="5"/>
  <c r="CG496" i="5"/>
  <c r="CD496" i="5"/>
  <c r="CA496" i="5"/>
  <c r="BX496" i="5"/>
  <c r="BV496" i="5"/>
  <c r="BZ496" i="5"/>
  <c r="BW496" i="5"/>
  <c r="BY496" i="5"/>
  <c r="BU496" i="5"/>
  <c r="BS496" i="5"/>
  <c r="BT496" i="5"/>
  <c r="BR496" i="5"/>
  <c r="BQ496" i="5"/>
  <c r="BL496" i="5"/>
  <c r="BK496" i="5"/>
  <c r="BM496" i="5"/>
  <c r="BJ496" i="5"/>
  <c r="BI496" i="5"/>
  <c r="BH496" i="5"/>
  <c r="BG496" i="5"/>
  <c r="BF496" i="5"/>
  <c r="BE496" i="5"/>
  <c r="BD496" i="5"/>
  <c r="BA496" i="5"/>
  <c r="BP496" i="5" s="1"/>
  <c r="AZ496" i="5"/>
  <c r="AV496" i="5"/>
  <c r="BO496" i="5" s="1"/>
  <c r="AY496" i="5"/>
  <c r="AU496" i="5"/>
  <c r="BB496" i="5" s="1"/>
  <c r="CK570" i="5"/>
  <c r="CJ570" i="5"/>
  <c r="CI570" i="5"/>
  <c r="CG570" i="5"/>
  <c r="CF570" i="5"/>
  <c r="CH570" i="5"/>
  <c r="CE570" i="5"/>
  <c r="CD570" i="5"/>
  <c r="CC570" i="5"/>
  <c r="BY570" i="5"/>
  <c r="CA570" i="5"/>
  <c r="BZ570" i="5"/>
  <c r="BU570" i="5"/>
  <c r="BV570" i="5"/>
  <c r="BW570" i="5"/>
  <c r="BX570" i="5"/>
  <c r="BS570" i="5"/>
  <c r="BT570" i="5"/>
  <c r="BR570" i="5"/>
  <c r="BQ570" i="5"/>
  <c r="BM570" i="5"/>
  <c r="BK570" i="5"/>
  <c r="BL570" i="5"/>
  <c r="BJ570" i="5"/>
  <c r="BI570" i="5"/>
  <c r="BF570" i="5"/>
  <c r="BH570" i="5"/>
  <c r="BG570" i="5"/>
  <c r="BD570" i="5"/>
  <c r="BE570" i="5"/>
  <c r="BA570" i="5"/>
  <c r="BP570" i="5" s="1"/>
  <c r="AZ570" i="5"/>
  <c r="AY570" i="5"/>
  <c r="AU570" i="5"/>
  <c r="BB570" i="5" s="1"/>
  <c r="AV570" i="5"/>
  <c r="BO570" i="5" s="1"/>
  <c r="CH643" i="5"/>
  <c r="CG643" i="5"/>
  <c r="CK643" i="5"/>
  <c r="CJ643" i="5"/>
  <c r="CE643" i="5"/>
  <c r="CI643" i="5"/>
  <c r="CF643" i="5"/>
  <c r="CD643" i="5"/>
  <c r="CC643" i="5"/>
  <c r="BZ643" i="5"/>
  <c r="BY643" i="5"/>
  <c r="CA643" i="5"/>
  <c r="BX643" i="5"/>
  <c r="BV643" i="5"/>
  <c r="BW643" i="5"/>
  <c r="BU643" i="5"/>
  <c r="BT643" i="5"/>
  <c r="BS643" i="5"/>
  <c r="BR643" i="5"/>
  <c r="BQ643" i="5"/>
  <c r="BM643" i="5"/>
  <c r="BL643" i="5"/>
  <c r="BK643" i="5"/>
  <c r="BI643" i="5"/>
  <c r="BJ643" i="5"/>
  <c r="BG643" i="5"/>
  <c r="BH643" i="5"/>
  <c r="BF643" i="5"/>
  <c r="BE643" i="5"/>
  <c r="BD643" i="5"/>
  <c r="AY643" i="5"/>
  <c r="BA643" i="5"/>
  <c r="BP643" i="5" s="1"/>
  <c r="AZ643" i="5"/>
  <c r="AU643" i="5"/>
  <c r="BN643" i="5" s="1"/>
  <c r="AV643" i="5"/>
  <c r="BO643" i="5" s="1"/>
  <c r="CK716" i="5"/>
  <c r="CJ716" i="5"/>
  <c r="CF716" i="5"/>
  <c r="CG716" i="5"/>
  <c r="CI716" i="5"/>
  <c r="CH716" i="5"/>
  <c r="CC716" i="5"/>
  <c r="CE716" i="5"/>
  <c r="CA716" i="5"/>
  <c r="CD716" i="5"/>
  <c r="BZ716" i="5"/>
  <c r="BY716" i="5"/>
  <c r="BX716" i="5"/>
  <c r="BW716" i="5"/>
  <c r="BV716" i="5"/>
  <c r="BU716" i="5"/>
  <c r="BT716" i="5"/>
  <c r="BS716" i="5"/>
  <c r="BQ716" i="5"/>
  <c r="BR716" i="5"/>
  <c r="BL716" i="5"/>
  <c r="BM716" i="5"/>
  <c r="BJ716" i="5"/>
  <c r="BK716" i="5"/>
  <c r="BI716" i="5"/>
  <c r="BH716" i="5"/>
  <c r="BF716" i="5"/>
  <c r="BG716" i="5"/>
  <c r="BE716" i="5"/>
  <c r="BD716" i="5"/>
  <c r="AZ716" i="5"/>
  <c r="AY716" i="5"/>
  <c r="BA716" i="5"/>
  <c r="BP716" i="5" s="1"/>
  <c r="AV716" i="5"/>
  <c r="BO716" i="5" s="1"/>
  <c r="AU716" i="5"/>
  <c r="BN716" i="5" s="1"/>
  <c r="CK789" i="5"/>
  <c r="CI789" i="5"/>
  <c r="CJ789" i="5"/>
  <c r="CH789" i="5"/>
  <c r="CE789" i="5"/>
  <c r="CD789" i="5"/>
  <c r="CG789" i="5"/>
  <c r="CF789" i="5"/>
  <c r="CC789" i="5"/>
  <c r="BZ789" i="5"/>
  <c r="BW789" i="5"/>
  <c r="CA789" i="5"/>
  <c r="BY789" i="5"/>
  <c r="BX789" i="5"/>
  <c r="BV789" i="5"/>
  <c r="BU789" i="5"/>
  <c r="BR789" i="5"/>
  <c r="BT789" i="5"/>
  <c r="BQ789" i="5"/>
  <c r="BS789" i="5"/>
  <c r="BM789" i="5"/>
  <c r="BL789" i="5"/>
  <c r="BK789" i="5"/>
  <c r="BJ789" i="5"/>
  <c r="BI789" i="5"/>
  <c r="BH789" i="5"/>
  <c r="BG789" i="5"/>
  <c r="BF789" i="5"/>
  <c r="BE789" i="5"/>
  <c r="BD789" i="5"/>
  <c r="BA789" i="5"/>
  <c r="BP789" i="5" s="1"/>
  <c r="AZ789" i="5"/>
  <c r="AY789" i="5"/>
  <c r="AV789" i="5"/>
  <c r="BO789" i="5" s="1"/>
  <c r="AU789" i="5"/>
  <c r="BB789" i="5" s="1"/>
  <c r="CK862" i="5"/>
  <c r="CI862" i="5"/>
  <c r="CF862" i="5"/>
  <c r="CC862" i="5"/>
  <c r="CD862" i="5"/>
  <c r="CE862" i="5"/>
  <c r="CA862" i="5"/>
  <c r="BY862" i="5"/>
  <c r="BU862" i="5"/>
  <c r="BW862" i="5"/>
  <c r="BV862" i="5"/>
  <c r="BS862" i="5"/>
  <c r="BR862" i="5"/>
  <c r="BT862" i="5"/>
  <c r="BQ862" i="5"/>
  <c r="BM862" i="5"/>
  <c r="BJ862" i="5"/>
  <c r="BI862" i="5"/>
  <c r="BK862" i="5"/>
  <c r="BH862" i="5"/>
  <c r="BG862" i="5"/>
  <c r="BE862" i="5"/>
  <c r="BD862" i="5"/>
  <c r="BF862" i="5"/>
  <c r="AV862" i="5"/>
  <c r="BO862" i="5" s="1"/>
  <c r="BA862" i="5"/>
  <c r="BP862" i="5" s="1"/>
  <c r="AZ862" i="5"/>
  <c r="AY862" i="5"/>
  <c r="AU862" i="5"/>
  <c r="BB862" i="5" s="1"/>
  <c r="CK935" i="5"/>
  <c r="CE935" i="5"/>
  <c r="CF935" i="5"/>
  <c r="CI935" i="5"/>
  <c r="CC935" i="5"/>
  <c r="CD935" i="5"/>
  <c r="CA935" i="5"/>
  <c r="BY935" i="5"/>
  <c r="BV935" i="5"/>
  <c r="BW935" i="5"/>
  <c r="BU935" i="5"/>
  <c r="BT935" i="5"/>
  <c r="BR935" i="5"/>
  <c r="BS935" i="5"/>
  <c r="BQ935" i="5"/>
  <c r="BI935" i="5"/>
  <c r="BM935" i="5"/>
  <c r="BK935" i="5"/>
  <c r="BJ935" i="5"/>
  <c r="BG935" i="5"/>
  <c r="BE935" i="5"/>
  <c r="BH935" i="5"/>
  <c r="BF935" i="5"/>
  <c r="BD935" i="5"/>
  <c r="AY935" i="5"/>
  <c r="BA935" i="5"/>
  <c r="BP935" i="5" s="1"/>
  <c r="AZ935" i="5"/>
  <c r="AU935" i="5"/>
  <c r="BN935" i="5" s="1"/>
  <c r="AV935" i="5"/>
  <c r="BO935" i="5" s="1"/>
  <c r="CK1008" i="5"/>
  <c r="CI1008" i="5"/>
  <c r="CF1008" i="5"/>
  <c r="CE1008" i="5"/>
  <c r="CD1008" i="5"/>
  <c r="CC1008" i="5"/>
  <c r="CA1008" i="5"/>
  <c r="BW1008" i="5"/>
  <c r="BY1008" i="5"/>
  <c r="BV1008" i="5"/>
  <c r="BU1008" i="5"/>
  <c r="BT1008" i="5"/>
  <c r="BS1008" i="5"/>
  <c r="BR1008" i="5"/>
  <c r="BQ1008" i="5"/>
  <c r="BK1008" i="5"/>
  <c r="BM1008" i="5"/>
  <c r="BJ1008" i="5"/>
  <c r="BH1008" i="5"/>
  <c r="BI1008" i="5"/>
  <c r="BG1008" i="5"/>
  <c r="BF1008" i="5"/>
  <c r="BE1008" i="5"/>
  <c r="BD1008" i="5"/>
  <c r="AZ1008" i="5"/>
  <c r="AV1008" i="5"/>
  <c r="BO1008" i="5" s="1"/>
  <c r="AY1008" i="5"/>
  <c r="BA1008" i="5"/>
  <c r="BP1008" i="5" s="1"/>
  <c r="AU1008" i="5"/>
  <c r="BB1008" i="5" s="1"/>
  <c r="CK1082" i="5"/>
  <c r="CI1082" i="5"/>
  <c r="CC1082" i="5"/>
  <c r="CF1082" i="5"/>
  <c r="CE1082" i="5"/>
  <c r="CD1082" i="5"/>
  <c r="CA1082" i="5"/>
  <c r="BY1082" i="5"/>
  <c r="BU1082" i="5"/>
  <c r="BV1082" i="5"/>
  <c r="BW1082" i="5"/>
  <c r="BS1082" i="5"/>
  <c r="BT1082" i="5"/>
  <c r="BR1082" i="5"/>
  <c r="BQ1082" i="5"/>
  <c r="BM1082" i="5"/>
  <c r="BI1082" i="5"/>
  <c r="BK1082" i="5"/>
  <c r="BJ1082" i="5"/>
  <c r="BH1082" i="5"/>
  <c r="BG1082" i="5"/>
  <c r="BD1082" i="5"/>
  <c r="BF1082" i="5"/>
  <c r="BE1082" i="5"/>
  <c r="BA1082" i="5"/>
  <c r="BP1082" i="5" s="1"/>
  <c r="AZ1082" i="5"/>
  <c r="AY1082" i="5"/>
  <c r="AU1082" i="5"/>
  <c r="BN1082" i="5" s="1"/>
  <c r="AV1082" i="5"/>
  <c r="BC1082" i="5" s="1"/>
  <c r="CK1155" i="5"/>
  <c r="CE1155" i="5"/>
  <c r="CI1155" i="5"/>
  <c r="CF1155" i="5"/>
  <c r="CD1155" i="5"/>
  <c r="BY1155" i="5"/>
  <c r="CC1155" i="5"/>
  <c r="CA1155" i="5"/>
  <c r="BV1155" i="5"/>
  <c r="BW1155" i="5"/>
  <c r="BU1155" i="5"/>
  <c r="BT1155" i="5"/>
  <c r="BS1155" i="5"/>
  <c r="BR1155" i="5"/>
  <c r="BQ1155" i="5"/>
  <c r="BM1155" i="5"/>
  <c r="BK1155" i="5"/>
  <c r="BJ1155" i="5"/>
  <c r="BI1155" i="5"/>
  <c r="BG1155" i="5"/>
  <c r="BH1155" i="5"/>
  <c r="BE1155" i="5"/>
  <c r="BF1155" i="5"/>
  <c r="BD1155" i="5"/>
  <c r="AY1155" i="5"/>
  <c r="BA1155" i="5"/>
  <c r="BP1155" i="5" s="1"/>
  <c r="AZ1155" i="5"/>
  <c r="AU1155" i="5"/>
  <c r="BB1155" i="5" s="1"/>
  <c r="AV1155" i="5"/>
  <c r="BC1155" i="5" s="1"/>
  <c r="CK1228" i="5"/>
  <c r="CF1228" i="5"/>
  <c r="CI1228" i="5"/>
  <c r="CE1228" i="5"/>
  <c r="CD1228" i="5"/>
  <c r="CA1228" i="5"/>
  <c r="CC1228" i="5"/>
  <c r="BY1228" i="5"/>
  <c r="BW1228" i="5"/>
  <c r="BV1228" i="5"/>
  <c r="BU1228" i="5"/>
  <c r="BT1228" i="5"/>
  <c r="BS1228" i="5"/>
  <c r="BR1228" i="5"/>
  <c r="BQ1228" i="5"/>
  <c r="BM1228" i="5"/>
  <c r="BJ1228" i="5"/>
  <c r="BK1228" i="5"/>
  <c r="BI1228" i="5"/>
  <c r="BH1228" i="5"/>
  <c r="BF1228" i="5"/>
  <c r="BG1228" i="5"/>
  <c r="BE1228" i="5"/>
  <c r="BD1228" i="5"/>
  <c r="AZ1228" i="5"/>
  <c r="AY1228" i="5"/>
  <c r="BA1228" i="5"/>
  <c r="BP1228" i="5" s="1"/>
  <c r="AV1228" i="5"/>
  <c r="BC1228" i="5" s="1"/>
  <c r="AU1228" i="5"/>
  <c r="BB1228" i="5" s="1"/>
  <c r="CK1301" i="5"/>
  <c r="CI1301" i="5"/>
  <c r="CE1301" i="5"/>
  <c r="CD1301" i="5"/>
  <c r="CF1301" i="5"/>
  <c r="CC1301" i="5"/>
  <c r="BW1301" i="5"/>
  <c r="CA1301" i="5"/>
  <c r="BY1301" i="5"/>
  <c r="BV1301" i="5"/>
  <c r="BU1301" i="5"/>
  <c r="BT1301" i="5"/>
  <c r="BQ1301" i="5"/>
  <c r="BS1301" i="5"/>
  <c r="BR1301" i="5"/>
  <c r="BM1301" i="5"/>
  <c r="BK1301" i="5"/>
  <c r="BI1301" i="5"/>
  <c r="BJ1301" i="5"/>
  <c r="BH1301" i="5"/>
  <c r="BG1301" i="5"/>
  <c r="BF1301" i="5"/>
  <c r="BE1301" i="5"/>
  <c r="BD1301" i="5"/>
  <c r="BA1301" i="5"/>
  <c r="BP1301" i="5" s="1"/>
  <c r="AZ1301" i="5"/>
  <c r="AY1301" i="5"/>
  <c r="AU1301" i="5"/>
  <c r="BN1301" i="5" s="1"/>
  <c r="AV1301" i="5"/>
  <c r="BO1301" i="5" s="1"/>
  <c r="CK40" i="5"/>
  <c r="CF40" i="5"/>
  <c r="CE40" i="5"/>
  <c r="CD40" i="5"/>
  <c r="CC40" i="5"/>
  <c r="CI40" i="5"/>
  <c r="CA40" i="5"/>
  <c r="BY40" i="5"/>
  <c r="BV40" i="5"/>
  <c r="BW40" i="5"/>
  <c r="BT40" i="5"/>
  <c r="BU40" i="5"/>
  <c r="BS40" i="5"/>
  <c r="BR40" i="5"/>
  <c r="BQ40" i="5"/>
  <c r="BK40" i="5"/>
  <c r="BM40" i="5"/>
  <c r="BJ40" i="5"/>
  <c r="BH40" i="5"/>
  <c r="BI40" i="5"/>
  <c r="BG40" i="5"/>
  <c r="BF40" i="5"/>
  <c r="BE40" i="5"/>
  <c r="BD40" i="5"/>
  <c r="BA40" i="5"/>
  <c r="BP40" i="5" s="1"/>
  <c r="AZ40" i="5"/>
  <c r="AV40" i="5"/>
  <c r="BC40" i="5" s="1"/>
  <c r="AY40" i="5"/>
  <c r="AU40" i="5"/>
  <c r="BB40" i="5" s="1"/>
  <c r="CK114" i="5"/>
  <c r="CJ114" i="5"/>
  <c r="CI114" i="5"/>
  <c r="CG114" i="5"/>
  <c r="CD114" i="5"/>
  <c r="CF114" i="5"/>
  <c r="CE114" i="5"/>
  <c r="CH114" i="5"/>
  <c r="CC114" i="5"/>
  <c r="BY114" i="5"/>
  <c r="CA114" i="5"/>
  <c r="BZ114" i="5"/>
  <c r="BX114" i="5"/>
  <c r="BU114" i="5"/>
  <c r="BV114" i="5"/>
  <c r="BW114" i="5"/>
  <c r="BS114" i="5"/>
  <c r="BT114" i="5"/>
  <c r="BR114" i="5"/>
  <c r="BQ114" i="5"/>
  <c r="BM114" i="5"/>
  <c r="BK114" i="5"/>
  <c r="BL114" i="5"/>
  <c r="BJ114" i="5"/>
  <c r="BI114" i="5"/>
  <c r="BH114" i="5"/>
  <c r="BF114" i="5"/>
  <c r="BD114" i="5"/>
  <c r="BG114" i="5"/>
  <c r="BE114" i="5"/>
  <c r="BA114" i="5"/>
  <c r="BP114" i="5" s="1"/>
  <c r="AZ114" i="5"/>
  <c r="AY114" i="5"/>
  <c r="AU114" i="5"/>
  <c r="BN114" i="5" s="1"/>
  <c r="AV114" i="5"/>
  <c r="CK187" i="5"/>
  <c r="CI187" i="5"/>
  <c r="CE187" i="5"/>
  <c r="CF187" i="5"/>
  <c r="CD187" i="5"/>
  <c r="CC187" i="5"/>
  <c r="CA187" i="5"/>
  <c r="BY187" i="5"/>
  <c r="BW187" i="5"/>
  <c r="BV187" i="5"/>
  <c r="BU187" i="5"/>
  <c r="BT187" i="5"/>
  <c r="BS187" i="5"/>
  <c r="BR187" i="5"/>
  <c r="BQ187" i="5"/>
  <c r="BK187" i="5"/>
  <c r="BM187" i="5"/>
  <c r="BI187" i="5"/>
  <c r="BJ187" i="5"/>
  <c r="BG187" i="5"/>
  <c r="BH187" i="5"/>
  <c r="BF187" i="5"/>
  <c r="BE187" i="5"/>
  <c r="BD187" i="5"/>
  <c r="BA187" i="5"/>
  <c r="BP187" i="5" s="1"/>
  <c r="AY187" i="5"/>
  <c r="AU187" i="5"/>
  <c r="BN187" i="5" s="1"/>
  <c r="AZ187" i="5"/>
  <c r="AV187" i="5"/>
  <c r="BC187" i="5" s="1"/>
  <c r="CK260" i="5"/>
  <c r="CF260" i="5"/>
  <c r="CI260" i="5"/>
  <c r="CD260" i="5"/>
  <c r="CC260" i="5"/>
  <c r="CE260" i="5"/>
  <c r="CA260" i="5"/>
  <c r="BY260" i="5"/>
  <c r="BV260" i="5"/>
  <c r="BW260" i="5"/>
  <c r="BU260" i="5"/>
  <c r="BT260" i="5"/>
  <c r="BS260" i="5"/>
  <c r="BQ260" i="5"/>
  <c r="BR260" i="5"/>
  <c r="BM260" i="5"/>
  <c r="BJ260" i="5"/>
  <c r="BK260" i="5"/>
  <c r="BI260" i="5"/>
  <c r="BH260" i="5"/>
  <c r="BG260" i="5"/>
  <c r="BF260" i="5"/>
  <c r="BE260" i="5"/>
  <c r="BD260" i="5"/>
  <c r="AZ260" i="5"/>
  <c r="BA260" i="5"/>
  <c r="BP260" i="5" s="1"/>
  <c r="AY260" i="5"/>
  <c r="AU260" i="5"/>
  <c r="BN260" i="5" s="1"/>
  <c r="AV260" i="5"/>
  <c r="BO260" i="5" s="1"/>
  <c r="CK333" i="5"/>
  <c r="CG333" i="5"/>
  <c r="CH333" i="5"/>
  <c r="CF333" i="5"/>
  <c r="CE333" i="5"/>
  <c r="CD333" i="5"/>
  <c r="CI333" i="5"/>
  <c r="CJ333" i="5"/>
  <c r="CC333" i="5"/>
  <c r="CA333" i="5"/>
  <c r="BZ333" i="5"/>
  <c r="BY333" i="5"/>
  <c r="BX333" i="5"/>
  <c r="BW333" i="5"/>
  <c r="BT333" i="5"/>
  <c r="BV333" i="5"/>
  <c r="BU333" i="5"/>
  <c r="BR333" i="5"/>
  <c r="BS333" i="5"/>
  <c r="BQ333" i="5"/>
  <c r="BM333" i="5"/>
  <c r="BK333" i="5"/>
  <c r="BL333" i="5"/>
  <c r="BJ333" i="5"/>
  <c r="BI333" i="5"/>
  <c r="BG333" i="5"/>
  <c r="BH333" i="5"/>
  <c r="BF333" i="5"/>
  <c r="BE333" i="5"/>
  <c r="BD333" i="5"/>
  <c r="BA333" i="5"/>
  <c r="BP333" i="5" s="1"/>
  <c r="AZ333" i="5"/>
  <c r="AY333" i="5"/>
  <c r="AV333" i="5"/>
  <c r="BO333" i="5" s="1"/>
  <c r="AU333" i="5"/>
  <c r="BB333" i="5" s="1"/>
  <c r="CJ406" i="5"/>
  <c r="CI406" i="5"/>
  <c r="CH406" i="5"/>
  <c r="CG406" i="5"/>
  <c r="CD406" i="5"/>
  <c r="CK406" i="5"/>
  <c r="CF406" i="5"/>
  <c r="CC406" i="5"/>
  <c r="CE406" i="5"/>
  <c r="BY406" i="5"/>
  <c r="CA406" i="5"/>
  <c r="BZ406" i="5"/>
  <c r="BX406" i="5"/>
  <c r="BW406" i="5"/>
  <c r="BV406" i="5"/>
  <c r="BU406" i="5"/>
  <c r="BS406" i="5"/>
  <c r="BT406" i="5"/>
  <c r="BQ406" i="5"/>
  <c r="BR406" i="5"/>
  <c r="BL406" i="5"/>
  <c r="BM406" i="5"/>
  <c r="BK406" i="5"/>
  <c r="BJ406" i="5"/>
  <c r="BI406" i="5"/>
  <c r="BF406" i="5"/>
  <c r="BH406" i="5"/>
  <c r="BG406" i="5"/>
  <c r="BD406" i="5"/>
  <c r="BE406" i="5"/>
  <c r="BA406" i="5"/>
  <c r="BP406" i="5" s="1"/>
  <c r="AZ406" i="5"/>
  <c r="AY406" i="5"/>
  <c r="AV406" i="5"/>
  <c r="BC406" i="5" s="1"/>
  <c r="AU406" i="5"/>
  <c r="BN406" i="5" s="1"/>
  <c r="CH479" i="5"/>
  <c r="CE479" i="5"/>
  <c r="CJ479" i="5"/>
  <c r="CI479" i="5"/>
  <c r="CK479" i="5"/>
  <c r="CG479" i="5"/>
  <c r="CF479" i="5"/>
  <c r="CD479" i="5"/>
  <c r="CC479" i="5"/>
  <c r="BZ479" i="5"/>
  <c r="CA479" i="5"/>
  <c r="BY479" i="5"/>
  <c r="BX479" i="5"/>
  <c r="BW479" i="5"/>
  <c r="BV479" i="5"/>
  <c r="BU479" i="5"/>
  <c r="BT479" i="5"/>
  <c r="BS479" i="5"/>
  <c r="BR479" i="5"/>
  <c r="BQ479" i="5"/>
  <c r="BL479" i="5"/>
  <c r="BK479" i="5"/>
  <c r="BI479" i="5"/>
  <c r="BM479" i="5"/>
  <c r="BH479" i="5"/>
  <c r="BJ479" i="5"/>
  <c r="BG479" i="5"/>
  <c r="BE479" i="5"/>
  <c r="BF479" i="5"/>
  <c r="BD479" i="5"/>
  <c r="BA479" i="5"/>
  <c r="BP479" i="5" s="1"/>
  <c r="AY479" i="5"/>
  <c r="AZ479" i="5"/>
  <c r="AV479" i="5"/>
  <c r="BO479" i="5" s="1"/>
  <c r="AU479" i="5"/>
  <c r="BN479" i="5" s="1"/>
  <c r="CF552" i="5"/>
  <c r="CK552" i="5"/>
  <c r="CE552" i="5"/>
  <c r="CC552" i="5"/>
  <c r="CI552" i="5"/>
  <c r="CD552" i="5"/>
  <c r="CA552" i="5"/>
  <c r="BY552" i="5"/>
  <c r="BW552" i="5"/>
  <c r="BV552" i="5"/>
  <c r="BU552" i="5"/>
  <c r="BS552" i="5"/>
  <c r="BR552" i="5"/>
  <c r="BT552" i="5"/>
  <c r="BQ552" i="5"/>
  <c r="BK552" i="5"/>
  <c r="BM552" i="5"/>
  <c r="BJ552" i="5"/>
  <c r="BH552" i="5"/>
  <c r="BI552" i="5"/>
  <c r="BG552" i="5"/>
  <c r="BF552" i="5"/>
  <c r="BE552" i="5"/>
  <c r="BD552" i="5"/>
  <c r="AZ552" i="5"/>
  <c r="AV552" i="5"/>
  <c r="BO552" i="5" s="1"/>
  <c r="BA552" i="5"/>
  <c r="BP552" i="5" s="1"/>
  <c r="AY552" i="5"/>
  <c r="AU552" i="5"/>
  <c r="BB552" i="5" s="1"/>
  <c r="CK626" i="5"/>
  <c r="CI626" i="5"/>
  <c r="CF626" i="5"/>
  <c r="CE626" i="5"/>
  <c r="CD626" i="5"/>
  <c r="CC626" i="5"/>
  <c r="CA626" i="5"/>
  <c r="BY626" i="5"/>
  <c r="BU626" i="5"/>
  <c r="BW626" i="5"/>
  <c r="BV626" i="5"/>
  <c r="BS626" i="5"/>
  <c r="BT626" i="5"/>
  <c r="BR626" i="5"/>
  <c r="BQ626" i="5"/>
  <c r="BM626" i="5"/>
  <c r="BK626" i="5"/>
  <c r="BJ626" i="5"/>
  <c r="BI626" i="5"/>
  <c r="BF626" i="5"/>
  <c r="BH626" i="5"/>
  <c r="BG626" i="5"/>
  <c r="BE626" i="5"/>
  <c r="BD626" i="5"/>
  <c r="BA626" i="5"/>
  <c r="BP626" i="5" s="1"/>
  <c r="AZ626" i="5"/>
  <c r="AY626" i="5"/>
  <c r="AU626" i="5"/>
  <c r="BN626" i="5" s="1"/>
  <c r="AV626" i="5"/>
  <c r="BO626" i="5" s="1"/>
  <c r="CK699" i="5"/>
  <c r="CI699" i="5"/>
  <c r="CG699" i="5"/>
  <c r="CJ699" i="5"/>
  <c r="CE699" i="5"/>
  <c r="CH699" i="5"/>
  <c r="CF699" i="5"/>
  <c r="CD699" i="5"/>
  <c r="CC699" i="5"/>
  <c r="BZ699" i="5"/>
  <c r="BY699" i="5"/>
  <c r="CA699" i="5"/>
  <c r="BX699" i="5"/>
  <c r="BW699" i="5"/>
  <c r="BV699" i="5"/>
  <c r="BU699" i="5"/>
  <c r="BT699" i="5"/>
  <c r="BS699" i="5"/>
  <c r="BR699" i="5"/>
  <c r="BQ699" i="5"/>
  <c r="BM699" i="5"/>
  <c r="BL699" i="5"/>
  <c r="BI699" i="5"/>
  <c r="BJ699" i="5"/>
  <c r="BG699" i="5"/>
  <c r="BK699" i="5"/>
  <c r="BF699" i="5"/>
  <c r="BH699" i="5"/>
  <c r="BE699" i="5"/>
  <c r="BD699" i="5"/>
  <c r="AY699" i="5"/>
  <c r="AU699" i="5"/>
  <c r="BB699" i="5" s="1"/>
  <c r="BA699" i="5"/>
  <c r="BP699" i="5" s="1"/>
  <c r="AZ699" i="5"/>
  <c r="AV699" i="5"/>
  <c r="BC699" i="5" s="1"/>
  <c r="CK772" i="5"/>
  <c r="CJ772" i="5"/>
  <c r="CH772" i="5"/>
  <c r="CF772" i="5"/>
  <c r="CG772" i="5"/>
  <c r="CI772" i="5"/>
  <c r="CC772" i="5"/>
  <c r="CE772" i="5"/>
  <c r="CD772" i="5"/>
  <c r="CA772" i="5"/>
  <c r="BY772" i="5"/>
  <c r="BX772" i="5"/>
  <c r="BZ772" i="5"/>
  <c r="BW772" i="5"/>
  <c r="BV772" i="5"/>
  <c r="BU772" i="5"/>
  <c r="BT772" i="5"/>
  <c r="BS772" i="5"/>
  <c r="BQ772" i="5"/>
  <c r="BR772" i="5"/>
  <c r="BL772" i="5"/>
  <c r="BM772" i="5"/>
  <c r="BJ772" i="5"/>
  <c r="BK772" i="5"/>
  <c r="BI772" i="5"/>
  <c r="BH772" i="5"/>
  <c r="BG772" i="5"/>
  <c r="BF772" i="5"/>
  <c r="BD772" i="5"/>
  <c r="BE772" i="5"/>
  <c r="AZ772" i="5"/>
  <c r="AY772" i="5"/>
  <c r="BA772" i="5"/>
  <c r="BP772" i="5" s="1"/>
  <c r="AU772" i="5"/>
  <c r="BB772" i="5" s="1"/>
  <c r="AV772" i="5"/>
  <c r="BC772" i="5" s="1"/>
  <c r="CK845" i="5"/>
  <c r="CF845" i="5"/>
  <c r="CE845" i="5"/>
  <c r="CI845" i="5"/>
  <c r="CD845" i="5"/>
  <c r="CC845" i="5"/>
  <c r="CA845" i="5"/>
  <c r="BW845" i="5"/>
  <c r="BY845" i="5"/>
  <c r="BU845" i="5"/>
  <c r="BV845" i="5"/>
  <c r="BR845" i="5"/>
  <c r="BT845" i="5"/>
  <c r="BS845" i="5"/>
  <c r="BQ845" i="5"/>
  <c r="BM845" i="5"/>
  <c r="BK845" i="5"/>
  <c r="BJ845" i="5"/>
  <c r="BI845" i="5"/>
  <c r="BH845" i="5"/>
  <c r="BG845" i="5"/>
  <c r="BF845" i="5"/>
  <c r="BE845" i="5"/>
  <c r="BD845" i="5"/>
  <c r="BA845" i="5"/>
  <c r="BP845" i="5" s="1"/>
  <c r="AZ845" i="5"/>
  <c r="AY845" i="5"/>
  <c r="AV845" i="5"/>
  <c r="BO845" i="5" s="1"/>
  <c r="AU845" i="5"/>
  <c r="BN845" i="5" s="1"/>
  <c r="CK918" i="5"/>
  <c r="CI918" i="5"/>
  <c r="CF918" i="5"/>
  <c r="CC918" i="5"/>
  <c r="CD918" i="5"/>
  <c r="CE918" i="5"/>
  <c r="CA918" i="5"/>
  <c r="BY918" i="5"/>
  <c r="BW918" i="5"/>
  <c r="BU918" i="5"/>
  <c r="BV918" i="5"/>
  <c r="BS918" i="5"/>
  <c r="BT918" i="5"/>
  <c r="BQ918" i="5"/>
  <c r="BR918" i="5"/>
  <c r="BM918" i="5"/>
  <c r="BK918" i="5"/>
  <c r="BJ918" i="5"/>
  <c r="BI918" i="5"/>
  <c r="BH918" i="5"/>
  <c r="BG918" i="5"/>
  <c r="BF918" i="5"/>
  <c r="BE918" i="5"/>
  <c r="BD918" i="5"/>
  <c r="BA918" i="5"/>
  <c r="BP918" i="5" s="1"/>
  <c r="AZ918" i="5"/>
  <c r="AY918" i="5"/>
  <c r="AV918" i="5"/>
  <c r="BO918" i="5" s="1"/>
  <c r="AU918" i="5"/>
  <c r="BB918" i="5" s="1"/>
  <c r="CK991" i="5"/>
  <c r="CE991" i="5"/>
  <c r="CI991" i="5"/>
  <c r="CF991" i="5"/>
  <c r="CD991" i="5"/>
  <c r="CC991" i="5"/>
  <c r="BY991" i="5"/>
  <c r="CA991" i="5"/>
  <c r="BV991" i="5"/>
  <c r="BW991" i="5"/>
  <c r="BU991" i="5"/>
  <c r="BT991" i="5"/>
  <c r="BQ991" i="5"/>
  <c r="BR991" i="5"/>
  <c r="BS991" i="5"/>
  <c r="BM991" i="5"/>
  <c r="BI991" i="5"/>
  <c r="BJ991" i="5"/>
  <c r="BK991" i="5"/>
  <c r="BG991" i="5"/>
  <c r="BE991" i="5"/>
  <c r="BH991" i="5"/>
  <c r="BF991" i="5"/>
  <c r="BD991" i="5"/>
  <c r="AY991" i="5"/>
  <c r="BA991" i="5"/>
  <c r="BP991" i="5" s="1"/>
  <c r="AZ991" i="5"/>
  <c r="AV991" i="5"/>
  <c r="BO991" i="5" s="1"/>
  <c r="AU991" i="5"/>
  <c r="BN991" i="5" s="1"/>
  <c r="CK1064" i="5"/>
  <c r="CJ1064" i="5"/>
  <c r="CG1064" i="5"/>
  <c r="CF1064" i="5"/>
  <c r="CE1064" i="5"/>
  <c r="CI1064" i="5"/>
  <c r="CH1064" i="5"/>
  <c r="CD1064" i="5"/>
  <c r="CA1064" i="5"/>
  <c r="CC1064" i="5"/>
  <c r="BZ1064" i="5"/>
  <c r="BY1064" i="5"/>
  <c r="BX1064" i="5"/>
  <c r="BW1064" i="5"/>
  <c r="BU1064" i="5"/>
  <c r="BV1064" i="5"/>
  <c r="BT1064" i="5"/>
  <c r="BS1064" i="5"/>
  <c r="BR1064" i="5"/>
  <c r="BQ1064" i="5"/>
  <c r="BL1064" i="5"/>
  <c r="BM1064" i="5"/>
  <c r="BJ1064" i="5"/>
  <c r="BH1064" i="5"/>
  <c r="BK1064" i="5"/>
  <c r="BI1064" i="5"/>
  <c r="BG1064" i="5"/>
  <c r="BF1064" i="5"/>
  <c r="BE1064" i="5"/>
  <c r="BD1064" i="5"/>
  <c r="AZ1064" i="5"/>
  <c r="AV1064" i="5"/>
  <c r="BO1064" i="5" s="1"/>
  <c r="AY1064" i="5"/>
  <c r="BA1064" i="5"/>
  <c r="BP1064" i="5" s="1"/>
  <c r="AU1064" i="5"/>
  <c r="BN1064" i="5" s="1"/>
  <c r="CK1138" i="5"/>
  <c r="CI1138" i="5"/>
  <c r="CF1138" i="5"/>
  <c r="CE1138" i="5"/>
  <c r="CC1138" i="5"/>
  <c r="CD1138" i="5"/>
  <c r="CA1138" i="5"/>
  <c r="BY1138" i="5"/>
  <c r="BW1138" i="5"/>
  <c r="BU1138" i="5"/>
  <c r="BS1138" i="5"/>
  <c r="BV1138" i="5"/>
  <c r="BT1138" i="5"/>
  <c r="BR1138" i="5"/>
  <c r="BQ1138" i="5"/>
  <c r="BM1138" i="5"/>
  <c r="BI1138" i="5"/>
  <c r="BK1138" i="5"/>
  <c r="BJ1138" i="5"/>
  <c r="BH1138" i="5"/>
  <c r="BG1138" i="5"/>
  <c r="BF1138" i="5"/>
  <c r="BE1138" i="5"/>
  <c r="BD1138" i="5"/>
  <c r="BA1138" i="5"/>
  <c r="BP1138" i="5" s="1"/>
  <c r="AZ1138" i="5"/>
  <c r="AY1138" i="5"/>
  <c r="AU1138" i="5"/>
  <c r="BN1138" i="5" s="1"/>
  <c r="AV1138" i="5"/>
  <c r="BO1138" i="5" s="1"/>
  <c r="CK1211" i="5"/>
  <c r="CI1211" i="5"/>
  <c r="CE1211" i="5"/>
  <c r="CG1211" i="5"/>
  <c r="CJ1211" i="5"/>
  <c r="CH1211" i="5"/>
  <c r="CF1211" i="5"/>
  <c r="CD1211" i="5"/>
  <c r="BZ1211" i="5"/>
  <c r="BY1211" i="5"/>
  <c r="CC1211" i="5"/>
  <c r="CA1211" i="5"/>
  <c r="BW1211" i="5"/>
  <c r="BV1211" i="5"/>
  <c r="BX1211" i="5"/>
  <c r="BU1211" i="5"/>
  <c r="BT1211" i="5"/>
  <c r="BR1211" i="5"/>
  <c r="BQ1211" i="5"/>
  <c r="BS1211" i="5"/>
  <c r="BM1211" i="5"/>
  <c r="BL1211" i="5"/>
  <c r="BI1211" i="5"/>
  <c r="BK1211" i="5"/>
  <c r="BJ1211" i="5"/>
  <c r="BG1211" i="5"/>
  <c r="BH1211" i="5"/>
  <c r="BE1211" i="5"/>
  <c r="BF1211" i="5"/>
  <c r="BD1211" i="5"/>
  <c r="AY1211" i="5"/>
  <c r="AU1211" i="5"/>
  <c r="BB1211" i="5" s="1"/>
  <c r="BA1211" i="5"/>
  <c r="BP1211" i="5" s="1"/>
  <c r="AZ1211" i="5"/>
  <c r="AV1211" i="5"/>
  <c r="BO1211" i="5" s="1"/>
  <c r="CK1284" i="5"/>
  <c r="CG1284" i="5"/>
  <c r="CH1284" i="5"/>
  <c r="CF1284" i="5"/>
  <c r="CJ1284" i="5"/>
  <c r="CI1284" i="5"/>
  <c r="CE1284" i="5"/>
  <c r="CD1284" i="5"/>
  <c r="CA1284" i="5"/>
  <c r="CC1284" i="5"/>
  <c r="BY1284" i="5"/>
  <c r="BZ1284" i="5"/>
  <c r="BX1284" i="5"/>
  <c r="BW1284" i="5"/>
  <c r="BV1284" i="5"/>
  <c r="BU1284" i="5"/>
  <c r="BT1284" i="5"/>
  <c r="BR1284" i="5"/>
  <c r="BQ1284" i="5"/>
  <c r="BS1284" i="5"/>
  <c r="BL1284" i="5"/>
  <c r="BM1284" i="5"/>
  <c r="BJ1284" i="5"/>
  <c r="BK1284" i="5"/>
  <c r="BI1284" i="5"/>
  <c r="BH1284" i="5"/>
  <c r="BG1284" i="5"/>
  <c r="BF1284" i="5"/>
  <c r="BD1284" i="5"/>
  <c r="BE1284" i="5"/>
  <c r="AZ1284" i="5"/>
  <c r="AY1284" i="5"/>
  <c r="BA1284" i="5"/>
  <c r="BP1284" i="5" s="1"/>
  <c r="AU1284" i="5"/>
  <c r="AV1284" i="5"/>
  <c r="BO1284" i="5" s="1"/>
  <c r="CK9" i="5"/>
  <c r="CI9" i="5"/>
  <c r="CF9" i="5"/>
  <c r="CE9" i="5"/>
  <c r="CD9" i="5"/>
  <c r="CC9" i="5"/>
  <c r="CA9" i="5"/>
  <c r="BW9" i="5"/>
  <c r="BY9" i="5"/>
  <c r="BV9" i="5"/>
  <c r="BT9" i="5"/>
  <c r="BU9" i="5"/>
  <c r="BR9" i="5"/>
  <c r="BQ9" i="5"/>
  <c r="BS9" i="5"/>
  <c r="BK9" i="5"/>
  <c r="BM9" i="5"/>
  <c r="BH9" i="5"/>
  <c r="BJ9" i="5"/>
  <c r="BI9" i="5"/>
  <c r="BF9" i="5"/>
  <c r="BG9" i="5"/>
  <c r="BE9" i="5"/>
  <c r="BD9" i="5"/>
  <c r="BA9" i="5"/>
  <c r="AZ9" i="5"/>
  <c r="AY9" i="5"/>
  <c r="AV9" i="5"/>
  <c r="AU9" i="5"/>
  <c r="CK41" i="5"/>
  <c r="CI41" i="5"/>
  <c r="CF41" i="5"/>
  <c r="CE41" i="5"/>
  <c r="CD41" i="5"/>
  <c r="CC41" i="5"/>
  <c r="CA41" i="5"/>
  <c r="BW41" i="5"/>
  <c r="BY41" i="5"/>
  <c r="BV41" i="5"/>
  <c r="BT41" i="5"/>
  <c r="BU41" i="5"/>
  <c r="BR41" i="5"/>
  <c r="BQ41" i="5"/>
  <c r="BS41" i="5"/>
  <c r="BK41" i="5"/>
  <c r="BM41" i="5"/>
  <c r="BH41" i="5"/>
  <c r="BJ41" i="5"/>
  <c r="BI41" i="5"/>
  <c r="BF41" i="5"/>
  <c r="BG41" i="5"/>
  <c r="BE41" i="5"/>
  <c r="BD41" i="5"/>
  <c r="BA41" i="5"/>
  <c r="BP41" i="5" s="1"/>
  <c r="AZ41" i="5"/>
  <c r="AY41" i="5"/>
  <c r="AU41" i="5"/>
  <c r="BB41" i="5" s="1"/>
  <c r="AV41" i="5"/>
  <c r="BO41" i="5" s="1"/>
  <c r="CK73" i="5"/>
  <c r="CI73" i="5"/>
  <c r="CD73" i="5"/>
  <c r="CF73" i="5"/>
  <c r="CE73" i="5"/>
  <c r="CC73" i="5"/>
  <c r="CA73" i="5"/>
  <c r="BW73" i="5"/>
  <c r="BY73" i="5"/>
  <c r="BV73" i="5"/>
  <c r="BT73" i="5"/>
  <c r="BU73" i="5"/>
  <c r="BR73" i="5"/>
  <c r="BQ73" i="5"/>
  <c r="BS73" i="5"/>
  <c r="BK73" i="5"/>
  <c r="BM73" i="5"/>
  <c r="BH73" i="5"/>
  <c r="BJ73" i="5"/>
  <c r="BI73" i="5"/>
  <c r="BF73" i="5"/>
  <c r="BG73" i="5"/>
  <c r="BE73" i="5"/>
  <c r="BD73" i="5"/>
  <c r="BA73" i="5"/>
  <c r="BP73" i="5" s="1"/>
  <c r="AZ73" i="5"/>
  <c r="AY73" i="5"/>
  <c r="AV73" i="5"/>
  <c r="BC73" i="5" s="1"/>
  <c r="AU73" i="5"/>
  <c r="BN73" i="5" s="1"/>
  <c r="CK105" i="5"/>
  <c r="CH105" i="5"/>
  <c r="CI105" i="5"/>
  <c r="CJ105" i="5"/>
  <c r="CF105" i="5"/>
  <c r="CG105" i="5"/>
  <c r="CD105" i="5"/>
  <c r="CE105" i="5"/>
  <c r="CC105" i="5"/>
  <c r="BX105" i="5"/>
  <c r="BZ105" i="5"/>
  <c r="CA105" i="5"/>
  <c r="BW105" i="5"/>
  <c r="BY105" i="5"/>
  <c r="BV105" i="5"/>
  <c r="BT105" i="5"/>
  <c r="BU105" i="5"/>
  <c r="BR105" i="5"/>
  <c r="BQ105" i="5"/>
  <c r="BS105" i="5"/>
  <c r="BK105" i="5"/>
  <c r="BL105" i="5"/>
  <c r="BM105" i="5"/>
  <c r="BH105" i="5"/>
  <c r="BJ105" i="5"/>
  <c r="BI105" i="5"/>
  <c r="BF105" i="5"/>
  <c r="BG105" i="5"/>
  <c r="BE105" i="5"/>
  <c r="BD105" i="5"/>
  <c r="BA105" i="5"/>
  <c r="BP105" i="5" s="1"/>
  <c r="AZ105" i="5"/>
  <c r="AY105" i="5"/>
  <c r="AU105" i="5"/>
  <c r="AV105" i="5"/>
  <c r="BC105" i="5" s="1"/>
  <c r="CK137" i="5"/>
  <c r="CJ137" i="5"/>
  <c r="CI137" i="5"/>
  <c r="CH137" i="5"/>
  <c r="CG137" i="5"/>
  <c r="CF137" i="5"/>
  <c r="CE137" i="5"/>
  <c r="CD137" i="5"/>
  <c r="CC137" i="5"/>
  <c r="BX137" i="5"/>
  <c r="BZ137" i="5"/>
  <c r="CA137" i="5"/>
  <c r="BW137" i="5"/>
  <c r="BY137" i="5"/>
  <c r="BV137" i="5"/>
  <c r="BT137" i="5"/>
  <c r="BU137" i="5"/>
  <c r="BR137" i="5"/>
  <c r="BQ137" i="5"/>
  <c r="BS137" i="5"/>
  <c r="BK137" i="5"/>
  <c r="BL137" i="5"/>
  <c r="BM137" i="5"/>
  <c r="BH137" i="5"/>
  <c r="BJ137" i="5"/>
  <c r="BI137" i="5"/>
  <c r="BF137" i="5"/>
  <c r="BG137" i="5"/>
  <c r="BE137" i="5"/>
  <c r="BD137" i="5"/>
  <c r="BA137" i="5"/>
  <c r="BP137" i="5" s="1"/>
  <c r="AZ137" i="5"/>
  <c r="AY137" i="5"/>
  <c r="AV137" i="5"/>
  <c r="BC137" i="5" s="1"/>
  <c r="AU137" i="5"/>
  <c r="BN137" i="5" s="1"/>
  <c r="CK169" i="5"/>
  <c r="CJ169" i="5"/>
  <c r="CH169" i="5"/>
  <c r="CG169" i="5"/>
  <c r="CI169" i="5"/>
  <c r="CD169" i="5"/>
  <c r="CF169" i="5"/>
  <c r="CE169" i="5"/>
  <c r="CC169" i="5"/>
  <c r="CA169" i="5"/>
  <c r="BZ169" i="5"/>
  <c r="BW169" i="5"/>
  <c r="BX169" i="5"/>
  <c r="BY169" i="5"/>
  <c r="BV169" i="5"/>
  <c r="BT169" i="5"/>
  <c r="BU169" i="5"/>
  <c r="BR169" i="5"/>
  <c r="BQ169" i="5"/>
  <c r="BS169" i="5"/>
  <c r="BL169" i="5"/>
  <c r="BK169" i="5"/>
  <c r="BM169" i="5"/>
  <c r="BH169" i="5"/>
  <c r="BJ169" i="5"/>
  <c r="BI169" i="5"/>
  <c r="BF169" i="5"/>
  <c r="BG169" i="5"/>
  <c r="BE169" i="5"/>
  <c r="BD169" i="5"/>
  <c r="BA169" i="5"/>
  <c r="BP169" i="5" s="1"/>
  <c r="AZ169" i="5"/>
  <c r="AY169" i="5"/>
  <c r="AU169" i="5"/>
  <c r="BB169" i="5" s="1"/>
  <c r="AV169" i="5"/>
  <c r="BC169" i="5" s="1"/>
  <c r="CK201" i="5"/>
  <c r="CI201" i="5"/>
  <c r="CF201" i="5"/>
  <c r="CD201" i="5"/>
  <c r="CE201" i="5"/>
  <c r="CC201" i="5"/>
  <c r="CA201" i="5"/>
  <c r="BW201" i="5"/>
  <c r="BY201" i="5"/>
  <c r="BV201" i="5"/>
  <c r="BT201" i="5"/>
  <c r="BU201" i="5"/>
  <c r="BR201" i="5"/>
  <c r="BQ201" i="5"/>
  <c r="BS201" i="5"/>
  <c r="BK201" i="5"/>
  <c r="BM201" i="5"/>
  <c r="BH201" i="5"/>
  <c r="BJ201" i="5"/>
  <c r="BI201" i="5"/>
  <c r="BF201" i="5"/>
  <c r="BG201" i="5"/>
  <c r="BE201" i="5"/>
  <c r="BD201" i="5"/>
  <c r="BA201" i="5"/>
  <c r="BP201" i="5" s="1"/>
  <c r="AZ201" i="5"/>
  <c r="AY201" i="5"/>
  <c r="AV201" i="5"/>
  <c r="BO201" i="5" s="1"/>
  <c r="AU201" i="5"/>
  <c r="BN201" i="5" s="1"/>
  <c r="CK233" i="5"/>
  <c r="CI233" i="5"/>
  <c r="CF233" i="5"/>
  <c r="CD233" i="5"/>
  <c r="CE233" i="5"/>
  <c r="CC233" i="5"/>
  <c r="CA233" i="5"/>
  <c r="BW233" i="5"/>
  <c r="BY233" i="5"/>
  <c r="BV233" i="5"/>
  <c r="BT233" i="5"/>
  <c r="BU233" i="5"/>
  <c r="BR233" i="5"/>
  <c r="BQ233" i="5"/>
  <c r="BS233" i="5"/>
  <c r="BK233" i="5"/>
  <c r="BM233" i="5"/>
  <c r="BJ233" i="5"/>
  <c r="BI233" i="5"/>
  <c r="BH233" i="5"/>
  <c r="BF233" i="5"/>
  <c r="BG233" i="5"/>
  <c r="BE233" i="5"/>
  <c r="BD233" i="5"/>
  <c r="BA233" i="5"/>
  <c r="BP233" i="5" s="1"/>
  <c r="AZ233" i="5"/>
  <c r="AY233" i="5"/>
  <c r="AU233" i="5"/>
  <c r="AV233" i="5"/>
  <c r="BO233" i="5" s="1"/>
  <c r="CK265" i="5"/>
  <c r="CH265" i="5"/>
  <c r="CJ265" i="5"/>
  <c r="CI265" i="5"/>
  <c r="CG265" i="5"/>
  <c r="CF265" i="5"/>
  <c r="CD265" i="5"/>
  <c r="CE265" i="5"/>
  <c r="CC265" i="5"/>
  <c r="BX265" i="5"/>
  <c r="BZ265" i="5"/>
  <c r="CA265" i="5"/>
  <c r="BW265" i="5"/>
  <c r="BY265" i="5"/>
  <c r="BV265" i="5"/>
  <c r="BT265" i="5"/>
  <c r="BU265" i="5"/>
  <c r="BR265" i="5"/>
  <c r="BQ265" i="5"/>
  <c r="BS265" i="5"/>
  <c r="BK265" i="5"/>
  <c r="BL265" i="5"/>
  <c r="BM265" i="5"/>
  <c r="BJ265" i="5"/>
  <c r="BI265" i="5"/>
  <c r="BH265" i="5"/>
  <c r="BF265" i="5"/>
  <c r="BG265" i="5"/>
  <c r="BE265" i="5"/>
  <c r="BD265" i="5"/>
  <c r="BA265" i="5"/>
  <c r="BP265" i="5" s="1"/>
  <c r="AZ265" i="5"/>
  <c r="AY265" i="5"/>
  <c r="AV265" i="5"/>
  <c r="BO265" i="5" s="1"/>
  <c r="AU265" i="5"/>
  <c r="CK297" i="5"/>
  <c r="CI297" i="5"/>
  <c r="CF297" i="5"/>
  <c r="CE297" i="5"/>
  <c r="CD297" i="5"/>
  <c r="CC297" i="5"/>
  <c r="CA297" i="5"/>
  <c r="BW297" i="5"/>
  <c r="BY297" i="5"/>
  <c r="BV297" i="5"/>
  <c r="BT297" i="5"/>
  <c r="BU297" i="5"/>
  <c r="BR297" i="5"/>
  <c r="BQ297" i="5"/>
  <c r="BS297" i="5"/>
  <c r="BK297" i="5"/>
  <c r="BM297" i="5"/>
  <c r="BJ297" i="5"/>
  <c r="BI297" i="5"/>
  <c r="BH297" i="5"/>
  <c r="BF297" i="5"/>
  <c r="BG297" i="5"/>
  <c r="BE297" i="5"/>
  <c r="BD297" i="5"/>
  <c r="BA297" i="5"/>
  <c r="BP297" i="5" s="1"/>
  <c r="AZ297" i="5"/>
  <c r="AY297" i="5"/>
  <c r="AU297" i="5"/>
  <c r="BB297" i="5" s="1"/>
  <c r="AV297" i="5"/>
  <c r="BO297" i="5" s="1"/>
  <c r="CK329" i="5"/>
  <c r="CI329" i="5"/>
  <c r="CF329" i="5"/>
  <c r="CG329" i="5"/>
  <c r="CD329" i="5"/>
  <c r="CE329" i="5"/>
  <c r="CC329" i="5"/>
  <c r="CA329" i="5"/>
  <c r="BW329" i="5"/>
  <c r="BY329" i="5"/>
  <c r="BV329" i="5"/>
  <c r="BT329" i="5"/>
  <c r="BU329" i="5"/>
  <c r="BR329" i="5"/>
  <c r="BQ329" i="5"/>
  <c r="BS329" i="5"/>
  <c r="BK329" i="5"/>
  <c r="BM329" i="5"/>
  <c r="BJ329" i="5"/>
  <c r="BI329" i="5"/>
  <c r="BH329" i="5"/>
  <c r="BF329" i="5"/>
  <c r="BG329" i="5"/>
  <c r="BE329" i="5"/>
  <c r="BD329" i="5"/>
  <c r="BA329" i="5"/>
  <c r="BP329" i="5" s="1"/>
  <c r="AZ329" i="5"/>
  <c r="AY329" i="5"/>
  <c r="AV329" i="5"/>
  <c r="BO329" i="5" s="1"/>
  <c r="AU329" i="5"/>
  <c r="BB329" i="5" s="1"/>
  <c r="CK361" i="5"/>
  <c r="CI361" i="5"/>
  <c r="CF361" i="5"/>
  <c r="CE361" i="5"/>
  <c r="CD361" i="5"/>
  <c r="CC361" i="5"/>
  <c r="CA361" i="5"/>
  <c r="BW361" i="5"/>
  <c r="BY361" i="5"/>
  <c r="BV361" i="5"/>
  <c r="BT361" i="5"/>
  <c r="BU361" i="5"/>
  <c r="BR361" i="5"/>
  <c r="BQ361" i="5"/>
  <c r="BS361" i="5"/>
  <c r="BK361" i="5"/>
  <c r="BM361" i="5"/>
  <c r="BJ361" i="5"/>
  <c r="BI361" i="5"/>
  <c r="BH361" i="5"/>
  <c r="BF361" i="5"/>
  <c r="BG361" i="5"/>
  <c r="BE361" i="5"/>
  <c r="BD361" i="5"/>
  <c r="BA361" i="5"/>
  <c r="BP361" i="5" s="1"/>
  <c r="AZ361" i="5"/>
  <c r="AY361" i="5"/>
  <c r="AU361" i="5"/>
  <c r="BN361" i="5" s="1"/>
  <c r="AV361" i="5"/>
  <c r="BO361" i="5" s="1"/>
  <c r="CK393" i="5"/>
  <c r="CJ393" i="5"/>
  <c r="CG393" i="5"/>
  <c r="CI393" i="5"/>
  <c r="CH393" i="5"/>
  <c r="CE393" i="5"/>
  <c r="CF393" i="5"/>
  <c r="CD393" i="5"/>
  <c r="CC393" i="5"/>
  <c r="CA393" i="5"/>
  <c r="BW393" i="5"/>
  <c r="BZ393" i="5"/>
  <c r="BY393" i="5"/>
  <c r="BX393" i="5"/>
  <c r="BV393" i="5"/>
  <c r="BT393" i="5"/>
  <c r="BU393" i="5"/>
  <c r="BR393" i="5"/>
  <c r="BQ393" i="5"/>
  <c r="BS393" i="5"/>
  <c r="BK393" i="5"/>
  <c r="BL393" i="5"/>
  <c r="BM393" i="5"/>
  <c r="BJ393" i="5"/>
  <c r="BI393" i="5"/>
  <c r="BH393" i="5"/>
  <c r="BF393" i="5"/>
  <c r="BG393" i="5"/>
  <c r="BE393" i="5"/>
  <c r="BD393" i="5"/>
  <c r="BA393" i="5"/>
  <c r="BP393" i="5" s="1"/>
  <c r="AZ393" i="5"/>
  <c r="AY393" i="5"/>
  <c r="AV393" i="5"/>
  <c r="BC393" i="5" s="1"/>
  <c r="AU393" i="5"/>
  <c r="BN393" i="5" s="1"/>
  <c r="CK425" i="5"/>
  <c r="CJ425" i="5"/>
  <c r="CH425" i="5"/>
  <c r="CG425" i="5"/>
  <c r="CI425" i="5"/>
  <c r="CF425" i="5"/>
  <c r="CE425" i="5"/>
  <c r="CD425" i="5"/>
  <c r="CC425" i="5"/>
  <c r="BX425" i="5"/>
  <c r="CA425" i="5"/>
  <c r="BZ425" i="5"/>
  <c r="BW425" i="5"/>
  <c r="BY425" i="5"/>
  <c r="BV425" i="5"/>
  <c r="BT425" i="5"/>
  <c r="BU425" i="5"/>
  <c r="BR425" i="5"/>
  <c r="BQ425" i="5"/>
  <c r="BS425" i="5"/>
  <c r="BL425" i="5"/>
  <c r="BK425" i="5"/>
  <c r="BM425" i="5"/>
  <c r="BJ425" i="5"/>
  <c r="BI425" i="5"/>
  <c r="BH425" i="5"/>
  <c r="BF425" i="5"/>
  <c r="BG425" i="5"/>
  <c r="BE425" i="5"/>
  <c r="BD425" i="5"/>
  <c r="BA425" i="5"/>
  <c r="BP425" i="5" s="1"/>
  <c r="AZ425" i="5"/>
  <c r="AY425" i="5"/>
  <c r="AU425" i="5"/>
  <c r="BN425" i="5" s="1"/>
  <c r="AV425" i="5"/>
  <c r="CK457" i="5"/>
  <c r="CJ457" i="5"/>
  <c r="CG457" i="5"/>
  <c r="CI457" i="5"/>
  <c r="CH457" i="5"/>
  <c r="CF457" i="5"/>
  <c r="CE457" i="5"/>
  <c r="CD457" i="5"/>
  <c r="CC457" i="5"/>
  <c r="CA457" i="5"/>
  <c r="BW457" i="5"/>
  <c r="BZ457" i="5"/>
  <c r="BY457" i="5"/>
  <c r="BX457" i="5"/>
  <c r="BV457" i="5"/>
  <c r="BT457" i="5"/>
  <c r="BU457" i="5"/>
  <c r="BR457" i="5"/>
  <c r="BQ457" i="5"/>
  <c r="BS457" i="5"/>
  <c r="BK457" i="5"/>
  <c r="BM457" i="5"/>
  <c r="BL457" i="5"/>
  <c r="BJ457" i="5"/>
  <c r="BI457" i="5"/>
  <c r="BH457" i="5"/>
  <c r="BF457" i="5"/>
  <c r="BG457" i="5"/>
  <c r="BE457" i="5"/>
  <c r="BD457" i="5"/>
  <c r="BA457" i="5"/>
  <c r="BP457" i="5" s="1"/>
  <c r="AZ457" i="5"/>
  <c r="AY457" i="5"/>
  <c r="AV457" i="5"/>
  <c r="BC457" i="5" s="1"/>
  <c r="AU457" i="5"/>
  <c r="BN457" i="5" s="1"/>
  <c r="CK489" i="5"/>
  <c r="CG489" i="5"/>
  <c r="CJ489" i="5"/>
  <c r="CI489" i="5"/>
  <c r="CH489" i="5"/>
  <c r="CE489" i="5"/>
  <c r="CF489" i="5"/>
  <c r="CD489" i="5"/>
  <c r="CC489" i="5"/>
  <c r="BZ489" i="5"/>
  <c r="BX489" i="5"/>
  <c r="CA489" i="5"/>
  <c r="BW489" i="5"/>
  <c r="BY489" i="5"/>
  <c r="BV489" i="5"/>
  <c r="BT489" i="5"/>
  <c r="BU489" i="5"/>
  <c r="BR489" i="5"/>
  <c r="BQ489" i="5"/>
  <c r="BS489" i="5"/>
  <c r="BK489" i="5"/>
  <c r="BL489" i="5"/>
  <c r="BM489" i="5"/>
  <c r="BJ489" i="5"/>
  <c r="BI489" i="5"/>
  <c r="BH489" i="5"/>
  <c r="BF489" i="5"/>
  <c r="BG489" i="5"/>
  <c r="BD489" i="5"/>
  <c r="BE489" i="5"/>
  <c r="BA489" i="5"/>
  <c r="BP489" i="5" s="1"/>
  <c r="AZ489" i="5"/>
  <c r="AY489" i="5"/>
  <c r="AU489" i="5"/>
  <c r="BN489" i="5" s="1"/>
  <c r="AV489" i="5"/>
  <c r="BC489" i="5" s="1"/>
  <c r="CK521" i="5"/>
  <c r="CI521" i="5"/>
  <c r="CD521" i="5"/>
  <c r="CF521" i="5"/>
  <c r="CE521" i="5"/>
  <c r="CC521" i="5"/>
  <c r="CA521" i="5"/>
  <c r="BW521" i="5"/>
  <c r="BY521" i="5"/>
  <c r="BV521" i="5"/>
  <c r="BT521" i="5"/>
  <c r="BU521" i="5"/>
  <c r="BR521" i="5"/>
  <c r="BQ521" i="5"/>
  <c r="BS521" i="5"/>
  <c r="BK521" i="5"/>
  <c r="BM521" i="5"/>
  <c r="BJ521" i="5"/>
  <c r="BI521" i="5"/>
  <c r="BF521" i="5"/>
  <c r="BH521" i="5"/>
  <c r="BG521" i="5"/>
  <c r="BD521" i="5"/>
  <c r="BE521" i="5"/>
  <c r="BA521" i="5"/>
  <c r="BP521" i="5" s="1"/>
  <c r="AZ521" i="5"/>
  <c r="AY521" i="5"/>
  <c r="AV521" i="5"/>
  <c r="BO521" i="5" s="1"/>
  <c r="AU521" i="5"/>
  <c r="BN521" i="5" s="1"/>
  <c r="CK553" i="5"/>
  <c r="CJ553" i="5"/>
  <c r="CI553" i="5"/>
  <c r="CH553" i="5"/>
  <c r="CD553" i="5"/>
  <c r="CF553" i="5"/>
  <c r="CE553" i="5"/>
  <c r="CG553" i="5"/>
  <c r="CC553" i="5"/>
  <c r="BX553" i="5"/>
  <c r="CA553" i="5"/>
  <c r="BZ553" i="5"/>
  <c r="BW553" i="5"/>
  <c r="BY553" i="5"/>
  <c r="BT553" i="5"/>
  <c r="BV553" i="5"/>
  <c r="BU553" i="5"/>
  <c r="BR553" i="5"/>
  <c r="BQ553" i="5"/>
  <c r="BS553" i="5"/>
  <c r="BK553" i="5"/>
  <c r="BL553" i="5"/>
  <c r="BM553" i="5"/>
  <c r="BJ553" i="5"/>
  <c r="BI553" i="5"/>
  <c r="BF553" i="5"/>
  <c r="BH553" i="5"/>
  <c r="BG553" i="5"/>
  <c r="BD553" i="5"/>
  <c r="BE553" i="5"/>
  <c r="BA553" i="5"/>
  <c r="BP553" i="5" s="1"/>
  <c r="AZ553" i="5"/>
  <c r="AY553" i="5"/>
  <c r="AU553" i="5"/>
  <c r="BN553" i="5" s="1"/>
  <c r="AV553" i="5"/>
  <c r="BO553" i="5" s="1"/>
  <c r="CK585" i="5"/>
  <c r="CJ585" i="5"/>
  <c r="CH585" i="5"/>
  <c r="CG585" i="5"/>
  <c r="CI585" i="5"/>
  <c r="CD585" i="5"/>
  <c r="CF585" i="5"/>
  <c r="CE585" i="5"/>
  <c r="CC585" i="5"/>
  <c r="CA585" i="5"/>
  <c r="BW585" i="5"/>
  <c r="BY585" i="5"/>
  <c r="BX585" i="5"/>
  <c r="BZ585" i="5"/>
  <c r="BT585" i="5"/>
  <c r="BV585" i="5"/>
  <c r="BU585" i="5"/>
  <c r="BR585" i="5"/>
  <c r="BQ585" i="5"/>
  <c r="BS585" i="5"/>
  <c r="BL585" i="5"/>
  <c r="BK585" i="5"/>
  <c r="BM585" i="5"/>
  <c r="BJ585" i="5"/>
  <c r="BI585" i="5"/>
  <c r="BF585" i="5"/>
  <c r="BH585" i="5"/>
  <c r="BG585" i="5"/>
  <c r="BD585" i="5"/>
  <c r="BE585" i="5"/>
  <c r="BA585" i="5"/>
  <c r="BP585" i="5" s="1"/>
  <c r="AZ585" i="5"/>
  <c r="AY585" i="5"/>
  <c r="AV585" i="5"/>
  <c r="BC585" i="5" s="1"/>
  <c r="AU585" i="5"/>
  <c r="BN585" i="5" s="1"/>
  <c r="CK617" i="5"/>
  <c r="CJ617" i="5"/>
  <c r="CH617" i="5"/>
  <c r="CG617" i="5"/>
  <c r="CI617" i="5"/>
  <c r="CD617" i="5"/>
  <c r="CF617" i="5"/>
  <c r="CE617" i="5"/>
  <c r="CC617" i="5"/>
  <c r="BZ617" i="5"/>
  <c r="CA617" i="5"/>
  <c r="BW617" i="5"/>
  <c r="BX617" i="5"/>
  <c r="BY617" i="5"/>
  <c r="BU617" i="5"/>
  <c r="BV617" i="5"/>
  <c r="BR617" i="5"/>
  <c r="BQ617" i="5"/>
  <c r="BT617" i="5"/>
  <c r="BS617" i="5"/>
  <c r="BK617" i="5"/>
  <c r="BL617" i="5"/>
  <c r="BM617" i="5"/>
  <c r="BJ617" i="5"/>
  <c r="BI617" i="5"/>
  <c r="BF617" i="5"/>
  <c r="BH617" i="5"/>
  <c r="BG617" i="5"/>
  <c r="BD617" i="5"/>
  <c r="BE617" i="5"/>
  <c r="BA617" i="5"/>
  <c r="BP617" i="5" s="1"/>
  <c r="AZ617" i="5"/>
  <c r="AY617" i="5"/>
  <c r="AU617" i="5"/>
  <c r="AV617" i="5"/>
  <c r="BO617" i="5" s="1"/>
  <c r="CK649" i="5"/>
  <c r="CH649" i="5"/>
  <c r="CJ649" i="5"/>
  <c r="CD649" i="5"/>
  <c r="CF649" i="5"/>
  <c r="CE649" i="5"/>
  <c r="CG649" i="5"/>
  <c r="CI649" i="5"/>
  <c r="CC649" i="5"/>
  <c r="BX649" i="5"/>
  <c r="CA649" i="5"/>
  <c r="BW649" i="5"/>
  <c r="BZ649" i="5"/>
  <c r="BY649" i="5"/>
  <c r="BU649" i="5"/>
  <c r="BV649" i="5"/>
  <c r="BR649" i="5"/>
  <c r="BQ649" i="5"/>
  <c r="BT649" i="5"/>
  <c r="BS649" i="5"/>
  <c r="BL649" i="5"/>
  <c r="BK649" i="5"/>
  <c r="BM649" i="5"/>
  <c r="BJ649" i="5"/>
  <c r="BI649" i="5"/>
  <c r="BF649" i="5"/>
  <c r="BH649" i="5"/>
  <c r="BG649" i="5"/>
  <c r="BD649" i="5"/>
  <c r="BE649" i="5"/>
  <c r="BA649" i="5"/>
  <c r="BP649" i="5" s="1"/>
  <c r="AZ649" i="5"/>
  <c r="AY649" i="5"/>
  <c r="AV649" i="5"/>
  <c r="BO649" i="5" s="1"/>
  <c r="AU649" i="5"/>
  <c r="CK681" i="5"/>
  <c r="CJ681" i="5"/>
  <c r="CH681" i="5"/>
  <c r="CI681" i="5"/>
  <c r="CD681" i="5"/>
  <c r="CF681" i="5"/>
  <c r="CG681" i="5"/>
  <c r="CE681" i="5"/>
  <c r="CC681" i="5"/>
  <c r="BX681" i="5"/>
  <c r="CA681" i="5"/>
  <c r="BZ681" i="5"/>
  <c r="BW681" i="5"/>
  <c r="BY681" i="5"/>
  <c r="BV681" i="5"/>
  <c r="BU681" i="5"/>
  <c r="BR681" i="5"/>
  <c r="BQ681" i="5"/>
  <c r="BT681" i="5"/>
  <c r="BS681" i="5"/>
  <c r="BL681" i="5"/>
  <c r="BK681" i="5"/>
  <c r="BM681" i="5"/>
  <c r="BJ681" i="5"/>
  <c r="BI681" i="5"/>
  <c r="BF681" i="5"/>
  <c r="BH681" i="5"/>
  <c r="BG681" i="5"/>
  <c r="BD681" i="5"/>
  <c r="BE681" i="5"/>
  <c r="BA681" i="5"/>
  <c r="BP681" i="5" s="1"/>
  <c r="AZ681" i="5"/>
  <c r="AY681" i="5"/>
  <c r="AU681" i="5"/>
  <c r="BN681" i="5" s="1"/>
  <c r="AV681" i="5"/>
  <c r="BO681" i="5" s="1"/>
  <c r="CK713" i="5"/>
  <c r="CG713" i="5"/>
  <c r="CH713" i="5"/>
  <c r="CJ713" i="5"/>
  <c r="CI713" i="5"/>
  <c r="CD713" i="5"/>
  <c r="CF713" i="5"/>
  <c r="CE713" i="5"/>
  <c r="CC713" i="5"/>
  <c r="BX713" i="5"/>
  <c r="CA713" i="5"/>
  <c r="BW713" i="5"/>
  <c r="BY713" i="5"/>
  <c r="BZ713" i="5"/>
  <c r="BV713" i="5"/>
  <c r="BU713" i="5"/>
  <c r="BR713" i="5"/>
  <c r="BQ713" i="5"/>
  <c r="BT713" i="5"/>
  <c r="BS713" i="5"/>
  <c r="BL713" i="5"/>
  <c r="BK713" i="5"/>
  <c r="BM713" i="5"/>
  <c r="BJ713" i="5"/>
  <c r="BI713" i="5"/>
  <c r="BF713" i="5"/>
  <c r="BH713" i="5"/>
  <c r="BG713" i="5"/>
  <c r="BD713" i="5"/>
  <c r="BE713" i="5"/>
  <c r="BA713" i="5"/>
  <c r="BP713" i="5" s="1"/>
  <c r="AZ713" i="5"/>
  <c r="AY713" i="5"/>
  <c r="AV713" i="5"/>
  <c r="BO713" i="5" s="1"/>
  <c r="AU713" i="5"/>
  <c r="CK745" i="5"/>
  <c r="CJ745" i="5"/>
  <c r="CG745" i="5"/>
  <c r="CI745" i="5"/>
  <c r="CH745" i="5"/>
  <c r="CD745" i="5"/>
  <c r="CF745" i="5"/>
  <c r="CE745" i="5"/>
  <c r="CC745" i="5"/>
  <c r="BX745" i="5"/>
  <c r="BZ745" i="5"/>
  <c r="CA745" i="5"/>
  <c r="BW745" i="5"/>
  <c r="BY745" i="5"/>
  <c r="BU745" i="5"/>
  <c r="BV745" i="5"/>
  <c r="BR745" i="5"/>
  <c r="BQ745" i="5"/>
  <c r="BT745" i="5"/>
  <c r="BS745" i="5"/>
  <c r="BL745" i="5"/>
  <c r="BK745" i="5"/>
  <c r="BM745" i="5"/>
  <c r="BJ745" i="5"/>
  <c r="BI745" i="5"/>
  <c r="BH745" i="5"/>
  <c r="BG745" i="5"/>
  <c r="BD745" i="5"/>
  <c r="BE745" i="5"/>
  <c r="BF745" i="5"/>
  <c r="BA745" i="5"/>
  <c r="BP745" i="5" s="1"/>
  <c r="AZ745" i="5"/>
  <c r="AY745" i="5"/>
  <c r="AU745" i="5"/>
  <c r="BN745" i="5" s="1"/>
  <c r="AV745" i="5"/>
  <c r="BO745" i="5" s="1"/>
  <c r="CK777" i="5"/>
  <c r="CH777" i="5"/>
  <c r="CJ777" i="5"/>
  <c r="CD777" i="5"/>
  <c r="CI777" i="5"/>
  <c r="CG777" i="5"/>
  <c r="CF777" i="5"/>
  <c r="CE777" i="5"/>
  <c r="CC777" i="5"/>
  <c r="CA777" i="5"/>
  <c r="BW777" i="5"/>
  <c r="BZ777" i="5"/>
  <c r="BY777" i="5"/>
  <c r="BX777" i="5"/>
  <c r="BU777" i="5"/>
  <c r="BV777" i="5"/>
  <c r="BR777" i="5"/>
  <c r="BQ777" i="5"/>
  <c r="BT777" i="5"/>
  <c r="BS777" i="5"/>
  <c r="BK777" i="5"/>
  <c r="BL777" i="5"/>
  <c r="BM777" i="5"/>
  <c r="BJ777" i="5"/>
  <c r="BI777" i="5"/>
  <c r="BH777" i="5"/>
  <c r="BG777" i="5"/>
  <c r="BD777" i="5"/>
  <c r="BF777" i="5"/>
  <c r="BE777" i="5"/>
  <c r="BA777" i="5"/>
  <c r="BP777" i="5" s="1"/>
  <c r="AZ777" i="5"/>
  <c r="AY777" i="5"/>
  <c r="AV777" i="5"/>
  <c r="BO777" i="5" s="1"/>
  <c r="AU777" i="5"/>
  <c r="BN777" i="5" s="1"/>
  <c r="CK809" i="5"/>
  <c r="CI809" i="5"/>
  <c r="CD809" i="5"/>
  <c r="CE809" i="5"/>
  <c r="CF809" i="5"/>
  <c r="CC809" i="5"/>
  <c r="CA809" i="5"/>
  <c r="BW809" i="5"/>
  <c r="BY809" i="5"/>
  <c r="BV809" i="5"/>
  <c r="BU809" i="5"/>
  <c r="BR809" i="5"/>
  <c r="BQ809" i="5"/>
  <c r="BT809" i="5"/>
  <c r="BS809" i="5"/>
  <c r="BK809" i="5"/>
  <c r="BM809" i="5"/>
  <c r="BJ809" i="5"/>
  <c r="BI809" i="5"/>
  <c r="BH809" i="5"/>
  <c r="BG809" i="5"/>
  <c r="BD809" i="5"/>
  <c r="BE809" i="5"/>
  <c r="BF809" i="5"/>
  <c r="BA809" i="5"/>
  <c r="BP809" i="5" s="1"/>
  <c r="AZ809" i="5"/>
  <c r="AY809" i="5"/>
  <c r="AU809" i="5"/>
  <c r="BN809" i="5" s="1"/>
  <c r="AV809" i="5"/>
  <c r="BO809" i="5" s="1"/>
  <c r="CK841" i="5"/>
  <c r="CI841" i="5"/>
  <c r="CD841" i="5"/>
  <c r="CF841" i="5"/>
  <c r="CE841" i="5"/>
  <c r="CC841" i="5"/>
  <c r="CA841" i="5"/>
  <c r="BW841" i="5"/>
  <c r="BY841" i="5"/>
  <c r="BV841" i="5"/>
  <c r="BU841" i="5"/>
  <c r="BR841" i="5"/>
  <c r="BQ841" i="5"/>
  <c r="BT841" i="5"/>
  <c r="BS841" i="5"/>
  <c r="BK841" i="5"/>
  <c r="BM841" i="5"/>
  <c r="BJ841" i="5"/>
  <c r="BI841" i="5"/>
  <c r="BH841" i="5"/>
  <c r="BG841" i="5"/>
  <c r="BD841" i="5"/>
  <c r="BF841" i="5"/>
  <c r="BE841" i="5"/>
  <c r="BA841" i="5"/>
  <c r="BP841" i="5" s="1"/>
  <c r="AZ841" i="5"/>
  <c r="AY841" i="5"/>
  <c r="AV841" i="5"/>
  <c r="BO841" i="5" s="1"/>
  <c r="AU841" i="5"/>
  <c r="BN841" i="5" s="1"/>
  <c r="CK873" i="5"/>
  <c r="CI873" i="5"/>
  <c r="CD873" i="5"/>
  <c r="CF873" i="5"/>
  <c r="CE873" i="5"/>
  <c r="CC873" i="5"/>
  <c r="CA873" i="5"/>
  <c r="BW873" i="5"/>
  <c r="BY873" i="5"/>
  <c r="BU873" i="5"/>
  <c r="BV873" i="5"/>
  <c r="BR873" i="5"/>
  <c r="BQ873" i="5"/>
  <c r="BT873" i="5"/>
  <c r="BS873" i="5"/>
  <c r="BK873" i="5"/>
  <c r="BM873" i="5"/>
  <c r="BJ873" i="5"/>
  <c r="BI873" i="5"/>
  <c r="BH873" i="5"/>
  <c r="BG873" i="5"/>
  <c r="BD873" i="5"/>
  <c r="BE873" i="5"/>
  <c r="BF873" i="5"/>
  <c r="BA873" i="5"/>
  <c r="BP873" i="5" s="1"/>
  <c r="AZ873" i="5"/>
  <c r="AY873" i="5"/>
  <c r="AU873" i="5"/>
  <c r="AV873" i="5"/>
  <c r="BO873" i="5" s="1"/>
  <c r="CK905" i="5"/>
  <c r="CI905" i="5"/>
  <c r="CD905" i="5"/>
  <c r="CE905" i="5"/>
  <c r="CF905" i="5"/>
  <c r="CC905" i="5"/>
  <c r="CA905" i="5"/>
  <c r="BW905" i="5"/>
  <c r="BY905" i="5"/>
  <c r="BU905" i="5"/>
  <c r="BV905" i="5"/>
  <c r="BR905" i="5"/>
  <c r="BQ905" i="5"/>
  <c r="BT905" i="5"/>
  <c r="BS905" i="5"/>
  <c r="BK905" i="5"/>
  <c r="BM905" i="5"/>
  <c r="BJ905" i="5"/>
  <c r="BI905" i="5"/>
  <c r="BH905" i="5"/>
  <c r="BG905" i="5"/>
  <c r="BD905" i="5"/>
  <c r="BF905" i="5"/>
  <c r="BE905" i="5"/>
  <c r="BA905" i="5"/>
  <c r="BP905" i="5" s="1"/>
  <c r="AZ905" i="5"/>
  <c r="AY905" i="5"/>
  <c r="AV905" i="5"/>
  <c r="AU905" i="5"/>
  <c r="BB905" i="5" s="1"/>
  <c r="CK937" i="5"/>
  <c r="CI937" i="5"/>
  <c r="CD937" i="5"/>
  <c r="CF937" i="5"/>
  <c r="CE937" i="5"/>
  <c r="CC937" i="5"/>
  <c r="CA937" i="5"/>
  <c r="BW937" i="5"/>
  <c r="BY937" i="5"/>
  <c r="BU937" i="5"/>
  <c r="BV937" i="5"/>
  <c r="BR937" i="5"/>
  <c r="BQ937" i="5"/>
  <c r="BT937" i="5"/>
  <c r="BS937" i="5"/>
  <c r="BK937" i="5"/>
  <c r="BM937" i="5"/>
  <c r="BJ937" i="5"/>
  <c r="BI937" i="5"/>
  <c r="BH937" i="5"/>
  <c r="BG937" i="5"/>
  <c r="BD937" i="5"/>
  <c r="BE937" i="5"/>
  <c r="BF937" i="5"/>
  <c r="BA937" i="5"/>
  <c r="BP937" i="5" s="1"/>
  <c r="AZ937" i="5"/>
  <c r="AY937" i="5"/>
  <c r="AU937" i="5"/>
  <c r="BN937" i="5" s="1"/>
  <c r="AV937" i="5"/>
  <c r="BO937" i="5" s="1"/>
  <c r="CK969" i="5"/>
  <c r="CI969" i="5"/>
  <c r="CD969" i="5"/>
  <c r="CE969" i="5"/>
  <c r="CF969" i="5"/>
  <c r="CC969" i="5"/>
  <c r="CA969" i="5"/>
  <c r="BW969" i="5"/>
  <c r="BY969" i="5"/>
  <c r="BV969" i="5"/>
  <c r="BU969" i="5"/>
  <c r="BR969" i="5"/>
  <c r="BQ969" i="5"/>
  <c r="BT969" i="5"/>
  <c r="BS969" i="5"/>
  <c r="BK969" i="5"/>
  <c r="BM969" i="5"/>
  <c r="BJ969" i="5"/>
  <c r="BI969" i="5"/>
  <c r="BH969" i="5"/>
  <c r="BG969" i="5"/>
  <c r="BD969" i="5"/>
  <c r="BF969" i="5"/>
  <c r="BE969" i="5"/>
  <c r="BA969" i="5"/>
  <c r="BP969" i="5" s="1"/>
  <c r="AZ969" i="5"/>
  <c r="AY969" i="5"/>
  <c r="AV969" i="5"/>
  <c r="BO969" i="5" s="1"/>
  <c r="AU969" i="5"/>
  <c r="BN969" i="5" s="1"/>
  <c r="CK1001" i="5"/>
  <c r="CG1001" i="5"/>
  <c r="CJ1001" i="5"/>
  <c r="CI1001" i="5"/>
  <c r="CD1001" i="5"/>
  <c r="CH1001" i="5"/>
  <c r="CE1001" i="5"/>
  <c r="CF1001" i="5"/>
  <c r="CC1001" i="5"/>
  <c r="CA1001" i="5"/>
  <c r="BW1001" i="5"/>
  <c r="BZ1001" i="5"/>
  <c r="BY1001" i="5"/>
  <c r="BX1001" i="5"/>
  <c r="BU1001" i="5"/>
  <c r="BV1001" i="5"/>
  <c r="BQ1001" i="5"/>
  <c r="BT1001" i="5"/>
  <c r="BS1001" i="5"/>
  <c r="BR1001" i="5"/>
  <c r="BL1001" i="5"/>
  <c r="BK1001" i="5"/>
  <c r="BM1001" i="5"/>
  <c r="BJ1001" i="5"/>
  <c r="BI1001" i="5"/>
  <c r="BH1001" i="5"/>
  <c r="BG1001" i="5"/>
  <c r="BD1001" i="5"/>
  <c r="BF1001" i="5"/>
  <c r="BE1001" i="5"/>
  <c r="BA1001" i="5"/>
  <c r="BP1001" i="5" s="1"/>
  <c r="AZ1001" i="5"/>
  <c r="AY1001" i="5"/>
  <c r="AU1001" i="5"/>
  <c r="BB1001" i="5" s="1"/>
  <c r="AV1001" i="5"/>
  <c r="CK1033" i="5"/>
  <c r="CI1033" i="5"/>
  <c r="CD1033" i="5"/>
  <c r="CF1033" i="5"/>
  <c r="CE1033" i="5"/>
  <c r="CC1033" i="5"/>
  <c r="CA1033" i="5"/>
  <c r="BW1033" i="5"/>
  <c r="BY1033" i="5"/>
  <c r="BU1033" i="5"/>
  <c r="BV1033" i="5"/>
  <c r="BQ1033" i="5"/>
  <c r="BT1033" i="5"/>
  <c r="BR1033" i="5"/>
  <c r="BS1033" i="5"/>
  <c r="BK1033" i="5"/>
  <c r="BM1033" i="5"/>
  <c r="BJ1033" i="5"/>
  <c r="BI1033" i="5"/>
  <c r="BH1033" i="5"/>
  <c r="BG1033" i="5"/>
  <c r="BD1033" i="5"/>
  <c r="BF1033" i="5"/>
  <c r="BE1033" i="5"/>
  <c r="BA1033" i="5"/>
  <c r="BP1033" i="5" s="1"/>
  <c r="AZ1033" i="5"/>
  <c r="AY1033" i="5"/>
  <c r="AV1033" i="5"/>
  <c r="BC1033" i="5" s="1"/>
  <c r="AU1033" i="5"/>
  <c r="BN1033" i="5" s="1"/>
  <c r="CK1065" i="5"/>
  <c r="CI1065" i="5"/>
  <c r="CD1065" i="5"/>
  <c r="CE1065" i="5"/>
  <c r="CF1065" i="5"/>
  <c r="CC1065" i="5"/>
  <c r="CA1065" i="5"/>
  <c r="BW1065" i="5"/>
  <c r="BY1065" i="5"/>
  <c r="BU1065" i="5"/>
  <c r="BV1065" i="5"/>
  <c r="BQ1065" i="5"/>
  <c r="BT1065" i="5"/>
  <c r="BR1065" i="5"/>
  <c r="BS1065" i="5"/>
  <c r="BK1065" i="5"/>
  <c r="BM1065" i="5"/>
  <c r="BJ1065" i="5"/>
  <c r="BI1065" i="5"/>
  <c r="BH1065" i="5"/>
  <c r="BG1065" i="5"/>
  <c r="BD1065" i="5"/>
  <c r="BF1065" i="5"/>
  <c r="BE1065" i="5"/>
  <c r="BA1065" i="5"/>
  <c r="BP1065" i="5" s="1"/>
  <c r="AZ1065" i="5"/>
  <c r="AY1065" i="5"/>
  <c r="AU1065" i="5"/>
  <c r="BN1065" i="5" s="1"/>
  <c r="AV1065" i="5"/>
  <c r="BO1065" i="5" s="1"/>
  <c r="CK1097" i="5"/>
  <c r="CJ1097" i="5"/>
  <c r="CH1097" i="5"/>
  <c r="CI1097" i="5"/>
  <c r="CD1097" i="5"/>
  <c r="CG1097" i="5"/>
  <c r="CE1097" i="5"/>
  <c r="CF1097" i="5"/>
  <c r="CC1097" i="5"/>
  <c r="CA1097" i="5"/>
  <c r="BX1097" i="5"/>
  <c r="BW1097" i="5"/>
  <c r="BZ1097" i="5"/>
  <c r="BY1097" i="5"/>
  <c r="BV1097" i="5"/>
  <c r="BU1097" i="5"/>
  <c r="BQ1097" i="5"/>
  <c r="BT1097" i="5"/>
  <c r="BR1097" i="5"/>
  <c r="BS1097" i="5"/>
  <c r="BL1097" i="5"/>
  <c r="BK1097" i="5"/>
  <c r="BM1097" i="5"/>
  <c r="BJ1097" i="5"/>
  <c r="BI1097" i="5"/>
  <c r="BH1097" i="5"/>
  <c r="BG1097" i="5"/>
  <c r="BD1097" i="5"/>
  <c r="BF1097" i="5"/>
  <c r="BE1097" i="5"/>
  <c r="BA1097" i="5"/>
  <c r="BP1097" i="5" s="1"/>
  <c r="AZ1097" i="5"/>
  <c r="AY1097" i="5"/>
  <c r="AV1097" i="5"/>
  <c r="BO1097" i="5" s="1"/>
  <c r="AU1097" i="5"/>
  <c r="CK1129" i="5"/>
  <c r="CG1129" i="5"/>
  <c r="CH1129" i="5"/>
  <c r="CD1129" i="5"/>
  <c r="CI1129" i="5"/>
  <c r="CF1129" i="5"/>
  <c r="CJ1129" i="5"/>
  <c r="CE1129" i="5"/>
  <c r="CC1129" i="5"/>
  <c r="CA1129" i="5"/>
  <c r="BW1129" i="5"/>
  <c r="BY1129" i="5"/>
  <c r="BZ1129" i="5"/>
  <c r="BX1129" i="5"/>
  <c r="BV1129" i="5"/>
  <c r="BU1129" i="5"/>
  <c r="BQ1129" i="5"/>
  <c r="BT1129" i="5"/>
  <c r="BS1129" i="5"/>
  <c r="BR1129" i="5"/>
  <c r="BL1129" i="5"/>
  <c r="BK1129" i="5"/>
  <c r="BM1129" i="5"/>
  <c r="BJ1129" i="5"/>
  <c r="BI1129" i="5"/>
  <c r="BH1129" i="5"/>
  <c r="BG1129" i="5"/>
  <c r="BD1129" i="5"/>
  <c r="BF1129" i="5"/>
  <c r="BE1129" i="5"/>
  <c r="BA1129" i="5"/>
  <c r="BP1129" i="5" s="1"/>
  <c r="AZ1129" i="5"/>
  <c r="AY1129" i="5"/>
  <c r="AU1129" i="5"/>
  <c r="BN1129" i="5" s="1"/>
  <c r="AV1129" i="5"/>
  <c r="BO1129" i="5" s="1"/>
  <c r="CK1161" i="5"/>
  <c r="CI1161" i="5"/>
  <c r="CD1161" i="5"/>
  <c r="CE1161" i="5"/>
  <c r="CF1161" i="5"/>
  <c r="CC1161" i="5"/>
  <c r="CA1161" i="5"/>
  <c r="BW1161" i="5"/>
  <c r="BY1161" i="5"/>
  <c r="BU1161" i="5"/>
  <c r="BV1161" i="5"/>
  <c r="BQ1161" i="5"/>
  <c r="BT1161" i="5"/>
  <c r="BR1161" i="5"/>
  <c r="BS1161" i="5"/>
  <c r="BK1161" i="5"/>
  <c r="BM1161" i="5"/>
  <c r="BJ1161" i="5"/>
  <c r="BI1161" i="5"/>
  <c r="BH1161" i="5"/>
  <c r="BG1161" i="5"/>
  <c r="BD1161" i="5"/>
  <c r="BF1161" i="5"/>
  <c r="BE1161" i="5"/>
  <c r="BA1161" i="5"/>
  <c r="BP1161" i="5" s="1"/>
  <c r="AZ1161" i="5"/>
  <c r="AY1161" i="5"/>
  <c r="AU1161" i="5"/>
  <c r="BB1161" i="5" s="1"/>
  <c r="AV1161" i="5"/>
  <c r="CK1193" i="5"/>
  <c r="CI1193" i="5"/>
  <c r="CD1193" i="5"/>
  <c r="CE1193" i="5"/>
  <c r="CF1193" i="5"/>
  <c r="CC1193" i="5"/>
  <c r="CA1193" i="5"/>
  <c r="BW1193" i="5"/>
  <c r="BY1193" i="5"/>
  <c r="BU1193" i="5"/>
  <c r="BV1193" i="5"/>
  <c r="BQ1193" i="5"/>
  <c r="BT1193" i="5"/>
  <c r="BR1193" i="5"/>
  <c r="BS1193" i="5"/>
  <c r="BK1193" i="5"/>
  <c r="BM1193" i="5"/>
  <c r="BJ1193" i="5"/>
  <c r="BI1193" i="5"/>
  <c r="BH1193" i="5"/>
  <c r="BG1193" i="5"/>
  <c r="BD1193" i="5"/>
  <c r="BF1193" i="5"/>
  <c r="BE1193" i="5"/>
  <c r="BA1193" i="5"/>
  <c r="BP1193" i="5" s="1"/>
  <c r="AZ1193" i="5"/>
  <c r="AY1193" i="5"/>
  <c r="AU1193" i="5"/>
  <c r="AV1193" i="5"/>
  <c r="CK1225" i="5"/>
  <c r="CJ1225" i="5"/>
  <c r="CH1225" i="5"/>
  <c r="CI1225" i="5"/>
  <c r="CD1225" i="5"/>
  <c r="CG1225" i="5"/>
  <c r="CF1225" i="5"/>
  <c r="CE1225" i="5"/>
  <c r="CC1225" i="5"/>
  <c r="CA1225" i="5"/>
  <c r="BX1225" i="5"/>
  <c r="BW1225" i="5"/>
  <c r="BY1225" i="5"/>
  <c r="BZ1225" i="5"/>
  <c r="BV1225" i="5"/>
  <c r="BU1225" i="5"/>
  <c r="BQ1225" i="5"/>
  <c r="BT1225" i="5"/>
  <c r="BR1225" i="5"/>
  <c r="BS1225" i="5"/>
  <c r="BL1225" i="5"/>
  <c r="BK1225" i="5"/>
  <c r="BM1225" i="5"/>
  <c r="BJ1225" i="5"/>
  <c r="BI1225" i="5"/>
  <c r="BH1225" i="5"/>
  <c r="BG1225" i="5"/>
  <c r="BD1225" i="5"/>
  <c r="BF1225" i="5"/>
  <c r="BE1225" i="5"/>
  <c r="BA1225" i="5"/>
  <c r="BP1225" i="5" s="1"/>
  <c r="AZ1225" i="5"/>
  <c r="AY1225" i="5"/>
  <c r="AU1225" i="5"/>
  <c r="BB1225" i="5" s="1"/>
  <c r="AV1225" i="5"/>
  <c r="CK1257" i="5"/>
  <c r="CI1257" i="5"/>
  <c r="CD1257" i="5"/>
  <c r="CE1257" i="5"/>
  <c r="CF1257" i="5"/>
  <c r="CC1257" i="5"/>
  <c r="CA1257" i="5"/>
  <c r="BW1257" i="5"/>
  <c r="BY1257" i="5"/>
  <c r="BV1257" i="5"/>
  <c r="BU1257" i="5"/>
  <c r="BQ1257" i="5"/>
  <c r="BT1257" i="5"/>
  <c r="BS1257" i="5"/>
  <c r="BR1257" i="5"/>
  <c r="BK1257" i="5"/>
  <c r="BM1257" i="5"/>
  <c r="BJ1257" i="5"/>
  <c r="BI1257" i="5"/>
  <c r="BH1257" i="5"/>
  <c r="BG1257" i="5"/>
  <c r="BD1257" i="5"/>
  <c r="BF1257" i="5"/>
  <c r="BE1257" i="5"/>
  <c r="BA1257" i="5"/>
  <c r="BP1257" i="5" s="1"/>
  <c r="AZ1257" i="5"/>
  <c r="AY1257" i="5"/>
  <c r="AU1257" i="5"/>
  <c r="BN1257" i="5" s="1"/>
  <c r="AV1257" i="5"/>
  <c r="BO1257" i="5" s="1"/>
  <c r="CK1289" i="5"/>
  <c r="CI1289" i="5"/>
  <c r="CD1289" i="5"/>
  <c r="CF1289" i="5"/>
  <c r="CE1289" i="5"/>
  <c r="CC1289" i="5"/>
  <c r="CA1289" i="5"/>
  <c r="BW1289" i="5"/>
  <c r="BY1289" i="5"/>
  <c r="BU1289" i="5"/>
  <c r="BV1289" i="5"/>
  <c r="BQ1289" i="5"/>
  <c r="BT1289" i="5"/>
  <c r="BR1289" i="5"/>
  <c r="BS1289" i="5"/>
  <c r="BK1289" i="5"/>
  <c r="BM1289" i="5"/>
  <c r="BJ1289" i="5"/>
  <c r="BI1289" i="5"/>
  <c r="BH1289" i="5"/>
  <c r="BG1289" i="5"/>
  <c r="BD1289" i="5"/>
  <c r="BF1289" i="5"/>
  <c r="BE1289" i="5"/>
  <c r="BA1289" i="5"/>
  <c r="BP1289" i="5" s="1"/>
  <c r="AZ1289" i="5"/>
  <c r="AY1289" i="5"/>
  <c r="AU1289" i="5"/>
  <c r="BN1289" i="5" s="1"/>
  <c r="AV1289" i="5"/>
  <c r="BC1289" i="5" s="1"/>
  <c r="CK24" i="5"/>
  <c r="CF24" i="5"/>
  <c r="CI24" i="5"/>
  <c r="CE24" i="5"/>
  <c r="CD24" i="5"/>
  <c r="CC24" i="5"/>
  <c r="CG24" i="5"/>
  <c r="CA24" i="5"/>
  <c r="BY24" i="5"/>
  <c r="BV24" i="5"/>
  <c r="BW24" i="5"/>
  <c r="BU24" i="5"/>
  <c r="BT24" i="5"/>
  <c r="BS24" i="5"/>
  <c r="BR24" i="5"/>
  <c r="BQ24" i="5"/>
  <c r="BM24" i="5"/>
  <c r="BK24" i="5"/>
  <c r="BJ24" i="5"/>
  <c r="BI24" i="5"/>
  <c r="BH24" i="5"/>
  <c r="BG24" i="5"/>
  <c r="BF24" i="5"/>
  <c r="BE24" i="5"/>
  <c r="BD24" i="5"/>
  <c r="BA24" i="5"/>
  <c r="BP24" i="5" s="1"/>
  <c r="AZ24" i="5"/>
  <c r="AV24" i="5"/>
  <c r="BO24" i="5" s="1"/>
  <c r="AY24" i="5"/>
  <c r="AU24" i="5"/>
  <c r="BN24" i="5" s="1"/>
  <c r="CI98" i="5"/>
  <c r="CK98" i="5"/>
  <c r="CD98" i="5"/>
  <c r="CF98" i="5"/>
  <c r="CE98" i="5"/>
  <c r="CC98" i="5"/>
  <c r="BY98" i="5"/>
  <c r="CA98" i="5"/>
  <c r="BU98" i="5"/>
  <c r="BV98" i="5"/>
  <c r="BW98" i="5"/>
  <c r="BS98" i="5"/>
  <c r="BT98" i="5"/>
  <c r="BR98" i="5"/>
  <c r="BQ98" i="5"/>
  <c r="BM98" i="5"/>
  <c r="BK98" i="5"/>
  <c r="BJ98" i="5"/>
  <c r="BI98" i="5"/>
  <c r="BH98" i="5"/>
  <c r="BG98" i="5"/>
  <c r="BF98" i="5"/>
  <c r="BD98" i="5"/>
  <c r="BE98" i="5"/>
  <c r="BA98" i="5"/>
  <c r="BP98" i="5" s="1"/>
  <c r="AZ98" i="5"/>
  <c r="AY98" i="5"/>
  <c r="AU98" i="5"/>
  <c r="BN98" i="5" s="1"/>
  <c r="AV98" i="5"/>
  <c r="CK171" i="5"/>
  <c r="CI171" i="5"/>
  <c r="CE171" i="5"/>
  <c r="CJ171" i="5"/>
  <c r="CH171" i="5"/>
  <c r="CF171" i="5"/>
  <c r="CG171" i="5"/>
  <c r="CC171" i="5"/>
  <c r="CD171" i="5"/>
  <c r="BZ171" i="5"/>
  <c r="BX171" i="5"/>
  <c r="CA171" i="5"/>
  <c r="BY171" i="5"/>
  <c r="BW171" i="5"/>
  <c r="BV171" i="5"/>
  <c r="BU171" i="5"/>
  <c r="BT171" i="5"/>
  <c r="BS171" i="5"/>
  <c r="BQ171" i="5"/>
  <c r="BR171" i="5"/>
  <c r="BK171" i="5"/>
  <c r="BM171" i="5"/>
  <c r="BL171" i="5"/>
  <c r="BI171" i="5"/>
  <c r="BG171" i="5"/>
  <c r="BH171" i="5"/>
  <c r="BJ171" i="5"/>
  <c r="BF171" i="5"/>
  <c r="BE171" i="5"/>
  <c r="BD171" i="5"/>
  <c r="BA171" i="5"/>
  <c r="BP171" i="5" s="1"/>
  <c r="AY171" i="5"/>
  <c r="AZ171" i="5"/>
  <c r="AU171" i="5"/>
  <c r="AV171" i="5"/>
  <c r="BO171" i="5" s="1"/>
  <c r="CK244" i="5"/>
  <c r="CF244" i="5"/>
  <c r="CI244" i="5"/>
  <c r="CC244" i="5"/>
  <c r="CD244" i="5"/>
  <c r="CE244" i="5"/>
  <c r="CA244" i="5"/>
  <c r="BV244" i="5"/>
  <c r="BY244" i="5"/>
  <c r="BW244" i="5"/>
  <c r="BT244" i="5"/>
  <c r="BU244" i="5"/>
  <c r="BS244" i="5"/>
  <c r="BQ244" i="5"/>
  <c r="BR244" i="5"/>
  <c r="BK244" i="5"/>
  <c r="BJ244" i="5"/>
  <c r="BM244" i="5"/>
  <c r="BI244" i="5"/>
  <c r="BH244" i="5"/>
  <c r="BF244" i="5"/>
  <c r="BG244" i="5"/>
  <c r="BE244" i="5"/>
  <c r="BD244" i="5"/>
  <c r="AZ244" i="5"/>
  <c r="BA244" i="5"/>
  <c r="BP244" i="5" s="1"/>
  <c r="AY244" i="5"/>
  <c r="AU244" i="5"/>
  <c r="BB244" i="5" s="1"/>
  <c r="AV244" i="5"/>
  <c r="CK317" i="5"/>
  <c r="CI317" i="5"/>
  <c r="CG317" i="5"/>
  <c r="CF317" i="5"/>
  <c r="CE317" i="5"/>
  <c r="CD317" i="5"/>
  <c r="CC317" i="5"/>
  <c r="CA317" i="5"/>
  <c r="BY317" i="5"/>
  <c r="BW317" i="5"/>
  <c r="BV317" i="5"/>
  <c r="BT317" i="5"/>
  <c r="BR317" i="5"/>
  <c r="BU317" i="5"/>
  <c r="BS317" i="5"/>
  <c r="BQ317" i="5"/>
  <c r="BK317" i="5"/>
  <c r="BM317" i="5"/>
  <c r="BJ317" i="5"/>
  <c r="BI317" i="5"/>
  <c r="BH317" i="5"/>
  <c r="BG317" i="5"/>
  <c r="BF317" i="5"/>
  <c r="BE317" i="5"/>
  <c r="BD317" i="5"/>
  <c r="BA317" i="5"/>
  <c r="BP317" i="5" s="1"/>
  <c r="AZ317" i="5"/>
  <c r="AY317" i="5"/>
  <c r="AU317" i="5"/>
  <c r="BN317" i="5" s="1"/>
  <c r="AV317" i="5"/>
  <c r="CK390" i="5"/>
  <c r="CI390" i="5"/>
  <c r="CD390" i="5"/>
  <c r="CE390" i="5"/>
  <c r="CC390" i="5"/>
  <c r="CF390" i="5"/>
  <c r="BY390" i="5"/>
  <c r="CA390" i="5"/>
  <c r="BW390" i="5"/>
  <c r="BV390" i="5"/>
  <c r="BU390" i="5"/>
  <c r="BS390" i="5"/>
  <c r="BT390" i="5"/>
  <c r="BQ390" i="5"/>
  <c r="BR390" i="5"/>
  <c r="BM390" i="5"/>
  <c r="BK390" i="5"/>
  <c r="BJ390" i="5"/>
  <c r="BI390" i="5"/>
  <c r="BG390" i="5"/>
  <c r="BF390" i="5"/>
  <c r="BH390" i="5"/>
  <c r="BD390" i="5"/>
  <c r="BE390" i="5"/>
  <c r="BA390" i="5"/>
  <c r="BP390" i="5" s="1"/>
  <c r="AV390" i="5"/>
  <c r="BO390" i="5" s="1"/>
  <c r="AZ390" i="5"/>
  <c r="AY390" i="5"/>
  <c r="AU390" i="5"/>
  <c r="BB390" i="5" s="1"/>
  <c r="CK463" i="5"/>
  <c r="CG463" i="5"/>
  <c r="CJ463" i="5"/>
  <c r="CI463" i="5"/>
  <c r="CE463" i="5"/>
  <c r="CH463" i="5"/>
  <c r="CF463" i="5"/>
  <c r="CD463" i="5"/>
  <c r="CC463" i="5"/>
  <c r="BZ463" i="5"/>
  <c r="CA463" i="5"/>
  <c r="BX463" i="5"/>
  <c r="BY463" i="5"/>
  <c r="BW463" i="5"/>
  <c r="BV463" i="5"/>
  <c r="BU463" i="5"/>
  <c r="BT463" i="5"/>
  <c r="BS463" i="5"/>
  <c r="BQ463" i="5"/>
  <c r="BR463" i="5"/>
  <c r="BK463" i="5"/>
  <c r="BL463" i="5"/>
  <c r="BM463" i="5"/>
  <c r="BI463" i="5"/>
  <c r="BJ463" i="5"/>
  <c r="BH463" i="5"/>
  <c r="BG463" i="5"/>
  <c r="BE463" i="5"/>
  <c r="BF463" i="5"/>
  <c r="BD463" i="5"/>
  <c r="BA463" i="5"/>
  <c r="BP463" i="5" s="1"/>
  <c r="AY463" i="5"/>
  <c r="AZ463" i="5"/>
  <c r="AU463" i="5"/>
  <c r="BN463" i="5" s="1"/>
  <c r="AV463" i="5"/>
  <c r="BO463" i="5" s="1"/>
  <c r="CK536" i="5"/>
  <c r="CF536" i="5"/>
  <c r="CE536" i="5"/>
  <c r="CI536" i="5"/>
  <c r="CC536" i="5"/>
  <c r="CD536" i="5"/>
  <c r="CA536" i="5"/>
  <c r="BY536" i="5"/>
  <c r="BW536" i="5"/>
  <c r="BV536" i="5"/>
  <c r="BU536" i="5"/>
  <c r="BT536" i="5"/>
  <c r="BS536" i="5"/>
  <c r="BR536" i="5"/>
  <c r="BQ536" i="5"/>
  <c r="BM536" i="5"/>
  <c r="BK536" i="5"/>
  <c r="BJ536" i="5"/>
  <c r="BI536" i="5"/>
  <c r="BH536" i="5"/>
  <c r="BG536" i="5"/>
  <c r="BF536" i="5"/>
  <c r="BE536" i="5"/>
  <c r="BD536" i="5"/>
  <c r="BA536" i="5"/>
  <c r="BP536" i="5" s="1"/>
  <c r="AZ536" i="5"/>
  <c r="AV536" i="5"/>
  <c r="BO536" i="5" s="1"/>
  <c r="AY536" i="5"/>
  <c r="AU536" i="5"/>
  <c r="BN536" i="5" s="1"/>
  <c r="CI610" i="5"/>
  <c r="CH610" i="5"/>
  <c r="CK610" i="5"/>
  <c r="CF610" i="5"/>
  <c r="CE610" i="5"/>
  <c r="CJ610" i="5"/>
  <c r="CG610" i="5"/>
  <c r="CD610" i="5"/>
  <c r="CC610" i="5"/>
  <c r="BX610" i="5"/>
  <c r="CA610" i="5"/>
  <c r="BZ610" i="5"/>
  <c r="BY610" i="5"/>
  <c r="BU610" i="5"/>
  <c r="BV610" i="5"/>
  <c r="BW610" i="5"/>
  <c r="BS610" i="5"/>
  <c r="BT610" i="5"/>
  <c r="BR610" i="5"/>
  <c r="BQ610" i="5"/>
  <c r="BM610" i="5"/>
  <c r="BL610" i="5"/>
  <c r="BK610" i="5"/>
  <c r="BJ610" i="5"/>
  <c r="BI610" i="5"/>
  <c r="BH610" i="5"/>
  <c r="BG610" i="5"/>
  <c r="BF610" i="5"/>
  <c r="BD610" i="5"/>
  <c r="BE610" i="5"/>
  <c r="BA610" i="5"/>
  <c r="BP610" i="5" s="1"/>
  <c r="AZ610" i="5"/>
  <c r="AY610" i="5"/>
  <c r="AU610" i="5"/>
  <c r="BN610" i="5" s="1"/>
  <c r="AV610" i="5"/>
  <c r="BC610" i="5" s="1"/>
  <c r="CG683" i="5"/>
  <c r="CI683" i="5"/>
  <c r="CE683" i="5"/>
  <c r="CJ683" i="5"/>
  <c r="CH683" i="5"/>
  <c r="CK683" i="5"/>
  <c r="CF683" i="5"/>
  <c r="CD683" i="5"/>
  <c r="CC683" i="5"/>
  <c r="BZ683" i="5"/>
  <c r="BY683" i="5"/>
  <c r="CA683" i="5"/>
  <c r="BX683" i="5"/>
  <c r="BW683" i="5"/>
  <c r="BV683" i="5"/>
  <c r="BU683" i="5"/>
  <c r="BT683" i="5"/>
  <c r="BS683" i="5"/>
  <c r="BQ683" i="5"/>
  <c r="BR683" i="5"/>
  <c r="BM683" i="5"/>
  <c r="BL683" i="5"/>
  <c r="BI683" i="5"/>
  <c r="BG683" i="5"/>
  <c r="BK683" i="5"/>
  <c r="BJ683" i="5"/>
  <c r="BF683" i="5"/>
  <c r="BH683" i="5"/>
  <c r="BE683" i="5"/>
  <c r="BD683" i="5"/>
  <c r="AY683" i="5"/>
  <c r="BA683" i="5"/>
  <c r="BP683" i="5" s="1"/>
  <c r="AZ683" i="5"/>
  <c r="AU683" i="5"/>
  <c r="BN683" i="5" s="1"/>
  <c r="AV683" i="5"/>
  <c r="CK756" i="5"/>
  <c r="CJ756" i="5"/>
  <c r="CF756" i="5"/>
  <c r="CI756" i="5"/>
  <c r="CH756" i="5"/>
  <c r="CC756" i="5"/>
  <c r="CG756" i="5"/>
  <c r="CD756" i="5"/>
  <c r="CE756" i="5"/>
  <c r="CA756" i="5"/>
  <c r="BY756" i="5"/>
  <c r="BX756" i="5"/>
  <c r="BZ756" i="5"/>
  <c r="BW756" i="5"/>
  <c r="BV756" i="5"/>
  <c r="BU756" i="5"/>
  <c r="BT756" i="5"/>
  <c r="BS756" i="5"/>
  <c r="BQ756" i="5"/>
  <c r="BR756" i="5"/>
  <c r="BL756" i="5"/>
  <c r="BJ756" i="5"/>
  <c r="BK756" i="5"/>
  <c r="BM756" i="5"/>
  <c r="BI756" i="5"/>
  <c r="BH756" i="5"/>
  <c r="BF756" i="5"/>
  <c r="BG756" i="5"/>
  <c r="BE756" i="5"/>
  <c r="BD756" i="5"/>
  <c r="AZ756" i="5"/>
  <c r="BA756" i="5"/>
  <c r="BP756" i="5" s="1"/>
  <c r="AY756" i="5"/>
  <c r="AU756" i="5"/>
  <c r="BB756" i="5" s="1"/>
  <c r="AV756" i="5"/>
  <c r="BO756" i="5" s="1"/>
  <c r="CK829" i="5"/>
  <c r="CF829" i="5"/>
  <c r="CE829" i="5"/>
  <c r="CD829" i="5"/>
  <c r="CI829" i="5"/>
  <c r="CC829" i="5"/>
  <c r="CA829" i="5"/>
  <c r="BY829" i="5"/>
  <c r="BW829" i="5"/>
  <c r="BV829" i="5"/>
  <c r="BR829" i="5"/>
  <c r="BU829" i="5"/>
  <c r="BT829" i="5"/>
  <c r="BS829" i="5"/>
  <c r="BQ829" i="5"/>
  <c r="BM829" i="5"/>
  <c r="BK829" i="5"/>
  <c r="BJ829" i="5"/>
  <c r="BI829" i="5"/>
  <c r="BH829" i="5"/>
  <c r="BG829" i="5"/>
  <c r="BE829" i="5"/>
  <c r="BF829" i="5"/>
  <c r="BD829" i="5"/>
  <c r="BA829" i="5"/>
  <c r="BP829" i="5" s="1"/>
  <c r="AZ829" i="5"/>
  <c r="AY829" i="5"/>
  <c r="AU829" i="5"/>
  <c r="AV829" i="5"/>
  <c r="BC829" i="5" s="1"/>
  <c r="CI902" i="5"/>
  <c r="CJ902" i="5"/>
  <c r="CH902" i="5"/>
  <c r="CK902" i="5"/>
  <c r="CE902" i="5"/>
  <c r="CD902" i="5"/>
  <c r="CC902" i="5"/>
  <c r="CG902" i="5"/>
  <c r="CF902" i="5"/>
  <c r="BX902" i="5"/>
  <c r="BZ902" i="5"/>
  <c r="CA902" i="5"/>
  <c r="BW902" i="5"/>
  <c r="BY902" i="5"/>
  <c r="BU902" i="5"/>
  <c r="BV902" i="5"/>
  <c r="BS902" i="5"/>
  <c r="BT902" i="5"/>
  <c r="BQ902" i="5"/>
  <c r="BR902" i="5"/>
  <c r="BM902" i="5"/>
  <c r="BL902" i="5"/>
  <c r="BK902" i="5"/>
  <c r="BJ902" i="5"/>
  <c r="BI902" i="5"/>
  <c r="BH902" i="5"/>
  <c r="BG902" i="5"/>
  <c r="BD902" i="5"/>
  <c r="BF902" i="5"/>
  <c r="BE902" i="5"/>
  <c r="AV902" i="5"/>
  <c r="BO902" i="5" s="1"/>
  <c r="BA902" i="5"/>
  <c r="BP902" i="5" s="1"/>
  <c r="AZ902" i="5"/>
  <c r="AY902" i="5"/>
  <c r="AU902" i="5"/>
  <c r="BN902" i="5" s="1"/>
  <c r="CI975" i="5"/>
  <c r="CE975" i="5"/>
  <c r="CK975" i="5"/>
  <c r="CF975" i="5"/>
  <c r="CD975" i="5"/>
  <c r="CC975" i="5"/>
  <c r="BY975" i="5"/>
  <c r="CA975" i="5"/>
  <c r="BV975" i="5"/>
  <c r="BW975" i="5"/>
  <c r="BU975" i="5"/>
  <c r="BT975" i="5"/>
  <c r="BS975" i="5"/>
  <c r="BQ975" i="5"/>
  <c r="BR975" i="5"/>
  <c r="BM975" i="5"/>
  <c r="BJ975" i="5"/>
  <c r="BI975" i="5"/>
  <c r="BK975" i="5"/>
  <c r="BG975" i="5"/>
  <c r="BH975" i="5"/>
  <c r="BE975" i="5"/>
  <c r="BF975" i="5"/>
  <c r="BD975" i="5"/>
  <c r="AY975" i="5"/>
  <c r="BA975" i="5"/>
  <c r="BP975" i="5" s="1"/>
  <c r="AZ975" i="5"/>
  <c r="AU975" i="5"/>
  <c r="BB975" i="5" s="1"/>
  <c r="AV975" i="5"/>
  <c r="BC975" i="5" s="1"/>
  <c r="CF1048" i="5"/>
  <c r="CG1048" i="5"/>
  <c r="CK1048" i="5"/>
  <c r="CE1048" i="5"/>
  <c r="CJ1048" i="5"/>
  <c r="CH1048" i="5"/>
  <c r="CI1048" i="5"/>
  <c r="CD1048" i="5"/>
  <c r="CA1048" i="5"/>
  <c r="CC1048" i="5"/>
  <c r="BZ1048" i="5"/>
  <c r="BY1048" i="5"/>
  <c r="BX1048" i="5"/>
  <c r="BW1048" i="5"/>
  <c r="BU1048" i="5"/>
  <c r="BV1048" i="5"/>
  <c r="BT1048" i="5"/>
  <c r="BS1048" i="5"/>
  <c r="BR1048" i="5"/>
  <c r="BQ1048" i="5"/>
  <c r="BL1048" i="5"/>
  <c r="BM1048" i="5"/>
  <c r="BJ1048" i="5"/>
  <c r="BK1048" i="5"/>
  <c r="BH1048" i="5"/>
  <c r="BI1048" i="5"/>
  <c r="BG1048" i="5"/>
  <c r="BF1048" i="5"/>
  <c r="BE1048" i="5"/>
  <c r="BD1048" i="5"/>
  <c r="AZ1048" i="5"/>
  <c r="AV1048" i="5"/>
  <c r="BO1048" i="5" s="1"/>
  <c r="AY1048" i="5"/>
  <c r="BA1048" i="5"/>
  <c r="BP1048" i="5" s="1"/>
  <c r="AU1048" i="5"/>
  <c r="BN1048" i="5" s="1"/>
  <c r="CI1122" i="5"/>
  <c r="CK1122" i="5"/>
  <c r="CF1122" i="5"/>
  <c r="CE1122" i="5"/>
  <c r="CC1122" i="5"/>
  <c r="CD1122" i="5"/>
  <c r="CA1122" i="5"/>
  <c r="BY1122" i="5"/>
  <c r="BW1122" i="5"/>
  <c r="BU1122" i="5"/>
  <c r="BS1122" i="5"/>
  <c r="BV1122" i="5"/>
  <c r="BT1122" i="5"/>
  <c r="BR1122" i="5"/>
  <c r="BQ1122" i="5"/>
  <c r="BM1122" i="5"/>
  <c r="BK1122" i="5"/>
  <c r="BJ1122" i="5"/>
  <c r="BI1122" i="5"/>
  <c r="BH1122" i="5"/>
  <c r="BG1122" i="5"/>
  <c r="BD1122" i="5"/>
  <c r="BF1122" i="5"/>
  <c r="BE1122" i="5"/>
  <c r="BA1122" i="5"/>
  <c r="BP1122" i="5" s="1"/>
  <c r="AZ1122" i="5"/>
  <c r="AY1122" i="5"/>
  <c r="AU1122" i="5"/>
  <c r="BN1122" i="5" s="1"/>
  <c r="AV1122" i="5"/>
  <c r="BO1122" i="5" s="1"/>
  <c r="CI1195" i="5"/>
  <c r="CE1195" i="5"/>
  <c r="CK1195" i="5"/>
  <c r="CD1195" i="5"/>
  <c r="CF1195" i="5"/>
  <c r="CC1195" i="5"/>
  <c r="BY1195" i="5"/>
  <c r="CA1195" i="5"/>
  <c r="BW1195" i="5"/>
  <c r="BV1195" i="5"/>
  <c r="BU1195" i="5"/>
  <c r="BT1195" i="5"/>
  <c r="BR1195" i="5"/>
  <c r="BQ1195" i="5"/>
  <c r="BS1195" i="5"/>
  <c r="BM1195" i="5"/>
  <c r="BI1195" i="5"/>
  <c r="BG1195" i="5"/>
  <c r="BK1195" i="5"/>
  <c r="BJ1195" i="5"/>
  <c r="BH1195" i="5"/>
  <c r="BE1195" i="5"/>
  <c r="BF1195" i="5"/>
  <c r="BD1195" i="5"/>
  <c r="AY1195" i="5"/>
  <c r="BA1195" i="5"/>
  <c r="BP1195" i="5" s="1"/>
  <c r="AZ1195" i="5"/>
  <c r="AU1195" i="5"/>
  <c r="AV1195" i="5"/>
  <c r="BO1195" i="5" s="1"/>
  <c r="CF1268" i="5"/>
  <c r="CI1268" i="5"/>
  <c r="CK1268" i="5"/>
  <c r="CE1268" i="5"/>
  <c r="CD1268" i="5"/>
  <c r="CA1268" i="5"/>
  <c r="CC1268" i="5"/>
  <c r="BY1268" i="5"/>
  <c r="BW1268" i="5"/>
  <c r="BV1268" i="5"/>
  <c r="BU1268" i="5"/>
  <c r="BT1268" i="5"/>
  <c r="BR1268" i="5"/>
  <c r="BQ1268" i="5"/>
  <c r="BS1268" i="5"/>
  <c r="BJ1268" i="5"/>
  <c r="BM1268" i="5"/>
  <c r="BI1268" i="5"/>
  <c r="BK1268" i="5"/>
  <c r="BH1268" i="5"/>
  <c r="BF1268" i="5"/>
  <c r="BG1268" i="5"/>
  <c r="BE1268" i="5"/>
  <c r="BD1268" i="5"/>
  <c r="AZ1268" i="5"/>
  <c r="BA1268" i="5"/>
  <c r="BP1268" i="5" s="1"/>
  <c r="AY1268" i="5"/>
  <c r="AV1268" i="5"/>
  <c r="BO1268" i="5" s="1"/>
  <c r="AU1268" i="5"/>
  <c r="BL23" i="5"/>
  <c r="BL32" i="5"/>
  <c r="BX51" i="5"/>
  <c r="BX60" i="5"/>
  <c r="CB87" i="5"/>
  <c r="CK96" i="5"/>
  <c r="CI96" i="5"/>
  <c r="CF96" i="5"/>
  <c r="CD96" i="5"/>
  <c r="CC96" i="5"/>
  <c r="CE96" i="5"/>
  <c r="CA96" i="5"/>
  <c r="BY96" i="5"/>
  <c r="BV96" i="5"/>
  <c r="BW96" i="5"/>
  <c r="BU96" i="5"/>
  <c r="BS96" i="5"/>
  <c r="BT96" i="5"/>
  <c r="BR96" i="5"/>
  <c r="BQ96" i="5"/>
  <c r="BM96" i="5"/>
  <c r="BK96" i="5"/>
  <c r="BJ96" i="5"/>
  <c r="BH96" i="5"/>
  <c r="BI96" i="5"/>
  <c r="BG96" i="5"/>
  <c r="BF96" i="5"/>
  <c r="BE96" i="5"/>
  <c r="BD96" i="5"/>
  <c r="BA96" i="5"/>
  <c r="BP96" i="5" s="1"/>
  <c r="AZ96" i="5"/>
  <c r="AY96" i="5"/>
  <c r="AV96" i="5"/>
  <c r="BO96" i="5" s="1"/>
  <c r="AU96" i="5"/>
  <c r="BN96" i="5" s="1"/>
  <c r="CK224" i="5"/>
  <c r="CJ224" i="5"/>
  <c r="CH224" i="5"/>
  <c r="CG224" i="5"/>
  <c r="CI224" i="5"/>
  <c r="CF224" i="5"/>
  <c r="CD224" i="5"/>
  <c r="CC224" i="5"/>
  <c r="CE224" i="5"/>
  <c r="CA224" i="5"/>
  <c r="BY224" i="5"/>
  <c r="BV224" i="5"/>
  <c r="BZ224" i="5"/>
  <c r="BX224" i="5"/>
  <c r="BW224" i="5"/>
  <c r="BU224" i="5"/>
  <c r="BS224" i="5"/>
  <c r="BT224" i="5"/>
  <c r="BR224" i="5"/>
  <c r="BQ224" i="5"/>
  <c r="BL224" i="5"/>
  <c r="BM224" i="5"/>
  <c r="BK224" i="5"/>
  <c r="BJ224" i="5"/>
  <c r="BH224" i="5"/>
  <c r="BI224" i="5"/>
  <c r="BG224" i="5"/>
  <c r="BF224" i="5"/>
  <c r="BE224" i="5"/>
  <c r="BD224" i="5"/>
  <c r="BA224" i="5"/>
  <c r="BP224" i="5" s="1"/>
  <c r="AZ224" i="5"/>
  <c r="AY224" i="5"/>
  <c r="AV224" i="5"/>
  <c r="BO224" i="5" s="1"/>
  <c r="AU224" i="5"/>
  <c r="BN224" i="5" s="1"/>
  <c r="CK298" i="5"/>
  <c r="CJ298" i="5"/>
  <c r="CI298" i="5"/>
  <c r="CH298" i="5"/>
  <c r="CD298" i="5"/>
  <c r="CG298" i="5"/>
  <c r="CE298" i="5"/>
  <c r="CF298" i="5"/>
  <c r="BY298" i="5"/>
  <c r="CC298" i="5"/>
  <c r="BX298" i="5"/>
  <c r="CA298" i="5"/>
  <c r="BZ298" i="5"/>
  <c r="BU298" i="5"/>
  <c r="BV298" i="5"/>
  <c r="BW298" i="5"/>
  <c r="BT298" i="5"/>
  <c r="BS298" i="5"/>
  <c r="BQ298" i="5"/>
  <c r="BR298" i="5"/>
  <c r="BM298" i="5"/>
  <c r="BK298" i="5"/>
  <c r="BL298" i="5"/>
  <c r="BJ298" i="5"/>
  <c r="BI298" i="5"/>
  <c r="BH298" i="5"/>
  <c r="BF298" i="5"/>
  <c r="BD298" i="5"/>
  <c r="BG298" i="5"/>
  <c r="BE298" i="5"/>
  <c r="BA298" i="5"/>
  <c r="BP298" i="5" s="1"/>
  <c r="AZ298" i="5"/>
  <c r="AY298" i="5"/>
  <c r="AU298" i="5"/>
  <c r="BN298" i="5" s="1"/>
  <c r="AV298" i="5"/>
  <c r="BC298" i="5" s="1"/>
  <c r="CK371" i="5"/>
  <c r="CE371" i="5"/>
  <c r="CI371" i="5"/>
  <c r="CD371" i="5"/>
  <c r="CF371" i="5"/>
  <c r="CC371" i="5"/>
  <c r="BY371" i="5"/>
  <c r="CA371" i="5"/>
  <c r="BV371" i="5"/>
  <c r="BW371" i="5"/>
  <c r="BU371" i="5"/>
  <c r="BT371" i="5"/>
  <c r="BS371" i="5"/>
  <c r="BR371" i="5"/>
  <c r="BQ371" i="5"/>
  <c r="BK371" i="5"/>
  <c r="BM371" i="5"/>
  <c r="BI371" i="5"/>
  <c r="BG371" i="5"/>
  <c r="BJ371" i="5"/>
  <c r="BH371" i="5"/>
  <c r="BF371" i="5"/>
  <c r="BE371" i="5"/>
  <c r="BD371" i="5"/>
  <c r="BA371" i="5"/>
  <c r="BP371" i="5" s="1"/>
  <c r="AY371" i="5"/>
  <c r="AU371" i="5"/>
  <c r="BN371" i="5" s="1"/>
  <c r="AZ371" i="5"/>
  <c r="AV371" i="5"/>
  <c r="BC371" i="5" s="1"/>
  <c r="CK444" i="5"/>
  <c r="CJ444" i="5"/>
  <c r="CH444" i="5"/>
  <c r="CF444" i="5"/>
  <c r="CI444" i="5"/>
  <c r="CD444" i="5"/>
  <c r="CG444" i="5"/>
  <c r="CC444" i="5"/>
  <c r="CE444" i="5"/>
  <c r="CA444" i="5"/>
  <c r="BY444" i="5"/>
  <c r="BX444" i="5"/>
  <c r="BV444" i="5"/>
  <c r="BZ444" i="5"/>
  <c r="BW444" i="5"/>
  <c r="BU444" i="5"/>
  <c r="BT444" i="5"/>
  <c r="BS444" i="5"/>
  <c r="BR444" i="5"/>
  <c r="BQ444" i="5"/>
  <c r="BL444" i="5"/>
  <c r="BJ444" i="5"/>
  <c r="BM444" i="5"/>
  <c r="BK444" i="5"/>
  <c r="BI444" i="5"/>
  <c r="BH444" i="5"/>
  <c r="BG444" i="5"/>
  <c r="BF444" i="5"/>
  <c r="BE444" i="5"/>
  <c r="BD444" i="5"/>
  <c r="AZ444" i="5"/>
  <c r="BA444" i="5"/>
  <c r="BP444" i="5" s="1"/>
  <c r="AY444" i="5"/>
  <c r="AU444" i="5"/>
  <c r="BN444" i="5" s="1"/>
  <c r="AV444" i="5"/>
  <c r="BC444" i="5" s="1"/>
  <c r="CK517" i="5"/>
  <c r="CH517" i="5"/>
  <c r="CI517" i="5"/>
  <c r="CJ517" i="5"/>
  <c r="CG517" i="5"/>
  <c r="CD517" i="5"/>
  <c r="CF517" i="5"/>
  <c r="CE517" i="5"/>
  <c r="CC517" i="5"/>
  <c r="BZ517" i="5"/>
  <c r="BX517" i="5"/>
  <c r="BW517" i="5"/>
  <c r="CA517" i="5"/>
  <c r="BY517" i="5"/>
  <c r="BU517" i="5"/>
  <c r="BT517" i="5"/>
  <c r="BV517" i="5"/>
  <c r="BR517" i="5"/>
  <c r="BS517" i="5"/>
  <c r="BQ517" i="5"/>
  <c r="BL517" i="5"/>
  <c r="BM517" i="5"/>
  <c r="BK517" i="5"/>
  <c r="BJ517" i="5"/>
  <c r="BI517" i="5"/>
  <c r="BH517" i="5"/>
  <c r="BG517" i="5"/>
  <c r="BF517" i="5"/>
  <c r="BD517" i="5"/>
  <c r="BE517" i="5"/>
  <c r="BA517" i="5"/>
  <c r="BP517" i="5" s="1"/>
  <c r="AZ517" i="5"/>
  <c r="AY517" i="5"/>
  <c r="AU517" i="5"/>
  <c r="BN517" i="5" s="1"/>
  <c r="AV517" i="5"/>
  <c r="BO517" i="5" s="1"/>
  <c r="CK590" i="5"/>
  <c r="CI590" i="5"/>
  <c r="CE590" i="5"/>
  <c r="CF590" i="5"/>
  <c r="CC590" i="5"/>
  <c r="CD590" i="5"/>
  <c r="BY590" i="5"/>
  <c r="CA590" i="5"/>
  <c r="BU590" i="5"/>
  <c r="BW590" i="5"/>
  <c r="BV590" i="5"/>
  <c r="BS590" i="5"/>
  <c r="BT590" i="5"/>
  <c r="BR590" i="5"/>
  <c r="BQ590" i="5"/>
  <c r="BM590" i="5"/>
  <c r="BK590" i="5"/>
  <c r="BJ590" i="5"/>
  <c r="BI590" i="5"/>
  <c r="BH590" i="5"/>
  <c r="BG590" i="5"/>
  <c r="BF590" i="5"/>
  <c r="BE590" i="5"/>
  <c r="BD590" i="5"/>
  <c r="BA590" i="5"/>
  <c r="BP590" i="5" s="1"/>
  <c r="AZ590" i="5"/>
  <c r="AY590" i="5"/>
  <c r="AV590" i="5"/>
  <c r="BC590" i="5" s="1"/>
  <c r="AU590" i="5"/>
  <c r="CK663" i="5"/>
  <c r="CJ663" i="5"/>
  <c r="CG663" i="5"/>
  <c r="CI663" i="5"/>
  <c r="CH663" i="5"/>
  <c r="CE663" i="5"/>
  <c r="CF663" i="5"/>
  <c r="CD663" i="5"/>
  <c r="BZ663" i="5"/>
  <c r="CC663" i="5"/>
  <c r="CA663" i="5"/>
  <c r="BY663" i="5"/>
  <c r="BV663" i="5"/>
  <c r="BW663" i="5"/>
  <c r="BX663" i="5"/>
  <c r="BU663" i="5"/>
  <c r="BT663" i="5"/>
  <c r="BS663" i="5"/>
  <c r="BR663" i="5"/>
  <c r="BQ663" i="5"/>
  <c r="BM663" i="5"/>
  <c r="BL663" i="5"/>
  <c r="BI663" i="5"/>
  <c r="BJ663" i="5"/>
  <c r="BK663" i="5"/>
  <c r="BG663" i="5"/>
  <c r="BH663" i="5"/>
  <c r="BE663" i="5"/>
  <c r="BF663" i="5"/>
  <c r="BD663" i="5"/>
  <c r="AY663" i="5"/>
  <c r="BA663" i="5"/>
  <c r="BP663" i="5" s="1"/>
  <c r="AZ663" i="5"/>
  <c r="AV663" i="5"/>
  <c r="BO663" i="5" s="1"/>
  <c r="AU663" i="5"/>
  <c r="BB663" i="5" s="1"/>
  <c r="CK736" i="5"/>
  <c r="CI736" i="5"/>
  <c r="CJ736" i="5"/>
  <c r="CF736" i="5"/>
  <c r="CG736" i="5"/>
  <c r="CC736" i="5"/>
  <c r="CH736" i="5"/>
  <c r="CD736" i="5"/>
  <c r="CE736" i="5"/>
  <c r="CA736" i="5"/>
  <c r="BX736" i="5"/>
  <c r="BZ736" i="5"/>
  <c r="BY736" i="5"/>
  <c r="BW736" i="5"/>
  <c r="BV736" i="5"/>
  <c r="BU736" i="5"/>
  <c r="BT736" i="5"/>
  <c r="BS736" i="5"/>
  <c r="BR736" i="5"/>
  <c r="BQ736" i="5"/>
  <c r="BL736" i="5"/>
  <c r="BM736" i="5"/>
  <c r="BK736" i="5"/>
  <c r="BJ736" i="5"/>
  <c r="BH736" i="5"/>
  <c r="BI736" i="5"/>
  <c r="BG736" i="5"/>
  <c r="BF736" i="5"/>
  <c r="BE736" i="5"/>
  <c r="BD736" i="5"/>
  <c r="AZ736" i="5"/>
  <c r="AY736" i="5"/>
  <c r="BA736" i="5"/>
  <c r="BP736" i="5" s="1"/>
  <c r="AV736" i="5"/>
  <c r="BC736" i="5" s="1"/>
  <c r="AU736" i="5"/>
  <c r="BN736" i="5" s="1"/>
  <c r="CK810" i="5"/>
  <c r="CJ810" i="5"/>
  <c r="CI810" i="5"/>
  <c r="CH810" i="5"/>
  <c r="CG810" i="5"/>
  <c r="CE810" i="5"/>
  <c r="CC810" i="5"/>
  <c r="CF810" i="5"/>
  <c r="CD810" i="5"/>
  <c r="CA810" i="5"/>
  <c r="BZ810" i="5"/>
  <c r="BX810" i="5"/>
  <c r="BY810" i="5"/>
  <c r="BU810" i="5"/>
  <c r="BW810" i="5"/>
  <c r="BV810" i="5"/>
  <c r="BS810" i="5"/>
  <c r="BT810" i="5"/>
  <c r="BQ810" i="5"/>
  <c r="BR810" i="5"/>
  <c r="BM810" i="5"/>
  <c r="BL810" i="5"/>
  <c r="BK810" i="5"/>
  <c r="BJ810" i="5"/>
  <c r="BI810" i="5"/>
  <c r="BF810" i="5"/>
  <c r="BH810" i="5"/>
  <c r="BG810" i="5"/>
  <c r="BD810" i="5"/>
  <c r="BE810" i="5"/>
  <c r="BA810" i="5"/>
  <c r="BP810" i="5" s="1"/>
  <c r="AZ810" i="5"/>
  <c r="AY810" i="5"/>
  <c r="AU810" i="5"/>
  <c r="BB810" i="5" s="1"/>
  <c r="AV810" i="5"/>
  <c r="BO810" i="5" s="1"/>
  <c r="CJ883" i="5"/>
  <c r="CK883" i="5"/>
  <c r="CH883" i="5"/>
  <c r="CE883" i="5"/>
  <c r="CI883" i="5"/>
  <c r="CG883" i="5"/>
  <c r="CF883" i="5"/>
  <c r="CD883" i="5"/>
  <c r="CC883" i="5"/>
  <c r="BZ883" i="5"/>
  <c r="BY883" i="5"/>
  <c r="CA883" i="5"/>
  <c r="BX883" i="5"/>
  <c r="BV883" i="5"/>
  <c r="BW883" i="5"/>
  <c r="BU883" i="5"/>
  <c r="BT883" i="5"/>
  <c r="BS883" i="5"/>
  <c r="BR883" i="5"/>
  <c r="BQ883" i="5"/>
  <c r="BL883" i="5"/>
  <c r="BM883" i="5"/>
  <c r="BI883" i="5"/>
  <c r="BK883" i="5"/>
  <c r="BG883" i="5"/>
  <c r="BJ883" i="5"/>
  <c r="BH883" i="5"/>
  <c r="BE883" i="5"/>
  <c r="BD883" i="5"/>
  <c r="BF883" i="5"/>
  <c r="AY883" i="5"/>
  <c r="AU883" i="5"/>
  <c r="BN883" i="5" s="1"/>
  <c r="BA883" i="5"/>
  <c r="BP883" i="5" s="1"/>
  <c r="AZ883" i="5"/>
  <c r="AV883" i="5"/>
  <c r="BC883" i="5" s="1"/>
  <c r="CK956" i="5"/>
  <c r="CF956" i="5"/>
  <c r="CI956" i="5"/>
  <c r="CC956" i="5"/>
  <c r="CE956" i="5"/>
  <c r="CD956" i="5"/>
  <c r="CA956" i="5"/>
  <c r="BY956" i="5"/>
  <c r="BW956" i="5"/>
  <c r="BV956" i="5"/>
  <c r="BU956" i="5"/>
  <c r="BT956" i="5"/>
  <c r="BR956" i="5"/>
  <c r="BQ956" i="5"/>
  <c r="BS956" i="5"/>
  <c r="BJ956" i="5"/>
  <c r="BM956" i="5"/>
  <c r="BK956" i="5"/>
  <c r="BI956" i="5"/>
  <c r="BH956" i="5"/>
  <c r="BG956" i="5"/>
  <c r="BF956" i="5"/>
  <c r="BD956" i="5"/>
  <c r="BE956" i="5"/>
  <c r="AZ956" i="5"/>
  <c r="AY956" i="5"/>
  <c r="BA956" i="5"/>
  <c r="BP956" i="5" s="1"/>
  <c r="AU956" i="5"/>
  <c r="BN956" i="5" s="1"/>
  <c r="AV956" i="5"/>
  <c r="BO956" i="5" s="1"/>
  <c r="CK1029" i="5"/>
  <c r="CI1029" i="5"/>
  <c r="CD1029" i="5"/>
  <c r="CE1029" i="5"/>
  <c r="CF1029" i="5"/>
  <c r="CC1029" i="5"/>
  <c r="BW1029" i="5"/>
  <c r="CA1029" i="5"/>
  <c r="BY1029" i="5"/>
  <c r="BV1029" i="5"/>
  <c r="BU1029" i="5"/>
  <c r="BT1029" i="5"/>
  <c r="BQ1029" i="5"/>
  <c r="BS1029" i="5"/>
  <c r="BR1029" i="5"/>
  <c r="BM1029" i="5"/>
  <c r="BK1029" i="5"/>
  <c r="BJ1029" i="5"/>
  <c r="BI1029" i="5"/>
  <c r="BH1029" i="5"/>
  <c r="BG1029" i="5"/>
  <c r="BD1029" i="5"/>
  <c r="BF1029" i="5"/>
  <c r="BE1029" i="5"/>
  <c r="BA1029" i="5"/>
  <c r="BP1029" i="5" s="1"/>
  <c r="AZ1029" i="5"/>
  <c r="AY1029" i="5"/>
  <c r="AU1029" i="5"/>
  <c r="BB1029" i="5" s="1"/>
  <c r="AV1029" i="5"/>
  <c r="BC1029" i="5" s="1"/>
  <c r="CK1102" i="5"/>
  <c r="CI1102" i="5"/>
  <c r="CJ1102" i="5"/>
  <c r="CH1102" i="5"/>
  <c r="CG1102" i="5"/>
  <c r="CE1102" i="5"/>
  <c r="CC1102" i="5"/>
  <c r="CF1102" i="5"/>
  <c r="CD1102" i="5"/>
  <c r="BZ1102" i="5"/>
  <c r="CA1102" i="5"/>
  <c r="BY1102" i="5"/>
  <c r="BX1102" i="5"/>
  <c r="BU1102" i="5"/>
  <c r="BW1102" i="5"/>
  <c r="BV1102" i="5"/>
  <c r="BS1102" i="5"/>
  <c r="BT1102" i="5"/>
  <c r="BR1102" i="5"/>
  <c r="BQ1102" i="5"/>
  <c r="BM1102" i="5"/>
  <c r="BL1102" i="5"/>
  <c r="BK1102" i="5"/>
  <c r="BJ1102" i="5"/>
  <c r="BI1102" i="5"/>
  <c r="BH1102" i="5"/>
  <c r="BG1102" i="5"/>
  <c r="BF1102" i="5"/>
  <c r="BE1102" i="5"/>
  <c r="BD1102" i="5"/>
  <c r="BA1102" i="5"/>
  <c r="BP1102" i="5" s="1"/>
  <c r="AZ1102" i="5"/>
  <c r="AY1102" i="5"/>
  <c r="AV1102" i="5"/>
  <c r="BC1102" i="5" s="1"/>
  <c r="AU1102" i="5"/>
  <c r="BN1102" i="5" s="1"/>
  <c r="CK1175" i="5"/>
  <c r="CI1175" i="5"/>
  <c r="CE1175" i="5"/>
  <c r="CF1175" i="5"/>
  <c r="CD1175" i="5"/>
  <c r="CC1175" i="5"/>
  <c r="CA1175" i="5"/>
  <c r="BY1175" i="5"/>
  <c r="BV1175" i="5"/>
  <c r="BW1175" i="5"/>
  <c r="BT1175" i="5"/>
  <c r="BU1175" i="5"/>
  <c r="BS1175" i="5"/>
  <c r="BR1175" i="5"/>
  <c r="BQ1175" i="5"/>
  <c r="BM1175" i="5"/>
  <c r="BK1175" i="5"/>
  <c r="BJ1175" i="5"/>
  <c r="BI1175" i="5"/>
  <c r="BG1175" i="5"/>
  <c r="BH1175" i="5"/>
  <c r="BE1175" i="5"/>
  <c r="BF1175" i="5"/>
  <c r="AY1175" i="5"/>
  <c r="BD1175" i="5"/>
  <c r="BA1175" i="5"/>
  <c r="BP1175" i="5" s="1"/>
  <c r="AZ1175" i="5"/>
  <c r="AV1175" i="5"/>
  <c r="AU1175" i="5"/>
  <c r="BN1175" i="5" s="1"/>
  <c r="CK1248" i="5"/>
  <c r="CI1248" i="5"/>
  <c r="CF1248" i="5"/>
  <c r="CD1248" i="5"/>
  <c r="CE1248" i="5"/>
  <c r="CC1248" i="5"/>
  <c r="CA1248" i="5"/>
  <c r="BY1248" i="5"/>
  <c r="BW1248" i="5"/>
  <c r="BV1248" i="5"/>
  <c r="BU1248" i="5"/>
  <c r="BT1248" i="5"/>
  <c r="BR1248" i="5"/>
  <c r="BQ1248" i="5"/>
  <c r="BS1248" i="5"/>
  <c r="BM1248" i="5"/>
  <c r="BJ1248" i="5"/>
  <c r="BH1248" i="5"/>
  <c r="BI1248" i="5"/>
  <c r="BK1248" i="5"/>
  <c r="BG1248" i="5"/>
  <c r="BF1248" i="5"/>
  <c r="BE1248" i="5"/>
  <c r="BD1248" i="5"/>
  <c r="AZ1248" i="5"/>
  <c r="AY1248" i="5"/>
  <c r="BA1248" i="5"/>
  <c r="BP1248" i="5" s="1"/>
  <c r="AV1248" i="5"/>
  <c r="BO1248" i="5" s="1"/>
  <c r="AU1248" i="5"/>
  <c r="BN1248" i="5" s="1"/>
  <c r="CE1319" i="5"/>
  <c r="CK1319" i="5"/>
  <c r="CF1319" i="5"/>
  <c r="CI1319" i="5"/>
  <c r="CC1319" i="5"/>
  <c r="CD1319" i="5"/>
  <c r="CA1319" i="5"/>
  <c r="BY1319" i="5"/>
  <c r="BV1319" i="5"/>
  <c r="BW1319" i="5"/>
  <c r="BU1319" i="5"/>
  <c r="BT1319" i="5"/>
  <c r="BS1319" i="5"/>
  <c r="BR1319" i="5"/>
  <c r="BQ1319" i="5"/>
  <c r="BM1319" i="5"/>
  <c r="BK1319" i="5"/>
  <c r="BJ1319" i="5"/>
  <c r="BI1319" i="5"/>
  <c r="BG1319" i="5"/>
  <c r="BE1319" i="5"/>
  <c r="BH1319" i="5"/>
  <c r="BF1319" i="5"/>
  <c r="AY1319" i="5"/>
  <c r="BD1319" i="5"/>
  <c r="BA1319" i="5"/>
  <c r="BP1319" i="5" s="1"/>
  <c r="AZ1319" i="5"/>
  <c r="AV1319" i="5"/>
  <c r="BC1319" i="5" s="1"/>
  <c r="AU1319" i="5"/>
  <c r="BB1319" i="5" s="1"/>
  <c r="CK44" i="5"/>
  <c r="CJ44" i="5"/>
  <c r="CI44" i="5"/>
  <c r="CF44" i="5"/>
  <c r="CH44" i="5"/>
  <c r="CG44" i="5"/>
  <c r="CC44" i="5"/>
  <c r="CD44" i="5"/>
  <c r="CE44" i="5"/>
  <c r="CA44" i="5"/>
  <c r="BZ44" i="5"/>
  <c r="BX44" i="5"/>
  <c r="BV44" i="5"/>
  <c r="BY44" i="5"/>
  <c r="BW44" i="5"/>
  <c r="BU44" i="5"/>
  <c r="BT44" i="5"/>
  <c r="BS44" i="5"/>
  <c r="BQ44" i="5"/>
  <c r="BR44" i="5"/>
  <c r="BM44" i="5"/>
  <c r="BK44" i="5"/>
  <c r="BJ44" i="5"/>
  <c r="BL44" i="5"/>
  <c r="BI44" i="5"/>
  <c r="BH44" i="5"/>
  <c r="BF44" i="5"/>
  <c r="BG44" i="5"/>
  <c r="BE44" i="5"/>
  <c r="BD44" i="5"/>
  <c r="AZ44" i="5"/>
  <c r="BA44" i="5"/>
  <c r="BP44" i="5" s="1"/>
  <c r="AY44" i="5"/>
  <c r="AU44" i="5"/>
  <c r="BN44" i="5" s="1"/>
  <c r="AV44" i="5"/>
  <c r="BO44" i="5" s="1"/>
  <c r="CJ117" i="5"/>
  <c r="CK117" i="5"/>
  <c r="CI117" i="5"/>
  <c r="CH117" i="5"/>
  <c r="CG117" i="5"/>
  <c r="CF117" i="5"/>
  <c r="CD117" i="5"/>
  <c r="CE117" i="5"/>
  <c r="CC117" i="5"/>
  <c r="BX117" i="5"/>
  <c r="BZ117" i="5"/>
  <c r="CA117" i="5"/>
  <c r="BW117" i="5"/>
  <c r="BY117" i="5"/>
  <c r="BV117" i="5"/>
  <c r="BT117" i="5"/>
  <c r="BU117" i="5"/>
  <c r="BR117" i="5"/>
  <c r="BS117" i="5"/>
  <c r="BQ117" i="5"/>
  <c r="BM117" i="5"/>
  <c r="BK117" i="5"/>
  <c r="BL117" i="5"/>
  <c r="BH117" i="5"/>
  <c r="BJ117" i="5"/>
  <c r="BI117" i="5"/>
  <c r="BF117" i="5"/>
  <c r="BG117" i="5"/>
  <c r="BE117" i="5"/>
  <c r="BD117" i="5"/>
  <c r="BA117" i="5"/>
  <c r="BP117" i="5" s="1"/>
  <c r="AZ117" i="5"/>
  <c r="AY117" i="5"/>
  <c r="AU117" i="5"/>
  <c r="BN117" i="5" s="1"/>
  <c r="AV117" i="5"/>
  <c r="BO117" i="5" s="1"/>
  <c r="CJ190" i="5"/>
  <c r="CI190" i="5"/>
  <c r="CD190" i="5"/>
  <c r="CK190" i="5"/>
  <c r="CH190" i="5"/>
  <c r="CG190" i="5"/>
  <c r="CF190" i="5"/>
  <c r="CE190" i="5"/>
  <c r="CC190" i="5"/>
  <c r="BY190" i="5"/>
  <c r="BZ190" i="5"/>
  <c r="CA190" i="5"/>
  <c r="BX190" i="5"/>
  <c r="BU190" i="5"/>
  <c r="BV190" i="5"/>
  <c r="BW190" i="5"/>
  <c r="BT190" i="5"/>
  <c r="BS190" i="5"/>
  <c r="BR190" i="5"/>
  <c r="BQ190" i="5"/>
  <c r="BM190" i="5"/>
  <c r="BL190" i="5"/>
  <c r="BK190" i="5"/>
  <c r="BH190" i="5"/>
  <c r="BJ190" i="5"/>
  <c r="BI190" i="5"/>
  <c r="BG190" i="5"/>
  <c r="BF190" i="5"/>
  <c r="BD190" i="5"/>
  <c r="BE190" i="5"/>
  <c r="BA190" i="5"/>
  <c r="BP190" i="5" s="1"/>
  <c r="AV190" i="5"/>
  <c r="BO190" i="5" s="1"/>
  <c r="AZ190" i="5"/>
  <c r="AY190" i="5"/>
  <c r="AU190" i="5"/>
  <c r="CJ263" i="5"/>
  <c r="CH263" i="5"/>
  <c r="CK263" i="5"/>
  <c r="CE263" i="5"/>
  <c r="CI263" i="5"/>
  <c r="CF263" i="5"/>
  <c r="CD263" i="5"/>
  <c r="CG263" i="5"/>
  <c r="CC263" i="5"/>
  <c r="BZ263" i="5"/>
  <c r="CA263" i="5"/>
  <c r="BX263" i="5"/>
  <c r="BY263" i="5"/>
  <c r="BV263" i="5"/>
  <c r="BW263" i="5"/>
  <c r="BU263" i="5"/>
  <c r="BS263" i="5"/>
  <c r="BT263" i="5"/>
  <c r="BQ263" i="5"/>
  <c r="BR263" i="5"/>
  <c r="BL263" i="5"/>
  <c r="BK263" i="5"/>
  <c r="BI263" i="5"/>
  <c r="BM263" i="5"/>
  <c r="BH263" i="5"/>
  <c r="BJ263" i="5"/>
  <c r="BG263" i="5"/>
  <c r="BE263" i="5"/>
  <c r="BF263" i="5"/>
  <c r="BD263" i="5"/>
  <c r="BA263" i="5"/>
  <c r="BP263" i="5" s="1"/>
  <c r="AY263" i="5"/>
  <c r="AZ263" i="5"/>
  <c r="AU263" i="5"/>
  <c r="BB263" i="5" s="1"/>
  <c r="AV263" i="5"/>
  <c r="BO263" i="5" s="1"/>
  <c r="CJ336" i="5"/>
  <c r="CI336" i="5"/>
  <c r="CG336" i="5"/>
  <c r="CF336" i="5"/>
  <c r="CK336" i="5"/>
  <c r="CH336" i="5"/>
  <c r="CC336" i="5"/>
  <c r="CE336" i="5"/>
  <c r="CD336" i="5"/>
  <c r="CA336" i="5"/>
  <c r="BX336" i="5"/>
  <c r="BV336" i="5"/>
  <c r="BZ336" i="5"/>
  <c r="BY336" i="5"/>
  <c r="BW336" i="5"/>
  <c r="BU336" i="5"/>
  <c r="BS336" i="5"/>
  <c r="BT336" i="5"/>
  <c r="BR336" i="5"/>
  <c r="BQ336" i="5"/>
  <c r="BM336" i="5"/>
  <c r="BK336" i="5"/>
  <c r="BL336" i="5"/>
  <c r="BJ336" i="5"/>
  <c r="BI336" i="5"/>
  <c r="BH336" i="5"/>
  <c r="BG336" i="5"/>
  <c r="BF336" i="5"/>
  <c r="BE336" i="5"/>
  <c r="BD336" i="5"/>
  <c r="BA336" i="5"/>
  <c r="BP336" i="5" s="1"/>
  <c r="AZ336" i="5"/>
  <c r="AV336" i="5"/>
  <c r="BC336" i="5" s="1"/>
  <c r="AY336" i="5"/>
  <c r="AU336" i="5"/>
  <c r="BN336" i="5" s="1"/>
  <c r="CJ410" i="5"/>
  <c r="CI410" i="5"/>
  <c r="CD410" i="5"/>
  <c r="CH410" i="5"/>
  <c r="CG410" i="5"/>
  <c r="CF410" i="5"/>
  <c r="CK410" i="5"/>
  <c r="CE410" i="5"/>
  <c r="CC410" i="5"/>
  <c r="BY410" i="5"/>
  <c r="CA410" i="5"/>
  <c r="BZ410" i="5"/>
  <c r="BU410" i="5"/>
  <c r="BX410" i="5"/>
  <c r="BV410" i="5"/>
  <c r="BW410" i="5"/>
  <c r="BS410" i="5"/>
  <c r="BT410" i="5"/>
  <c r="BR410" i="5"/>
  <c r="BQ410" i="5"/>
  <c r="BM410" i="5"/>
  <c r="BL410" i="5"/>
  <c r="BK410" i="5"/>
  <c r="BJ410" i="5"/>
  <c r="BI410" i="5"/>
  <c r="BH410" i="5"/>
  <c r="BF410" i="5"/>
  <c r="BG410" i="5"/>
  <c r="BD410" i="5"/>
  <c r="BE410" i="5"/>
  <c r="BA410" i="5"/>
  <c r="BP410" i="5" s="1"/>
  <c r="AZ410" i="5"/>
  <c r="AY410" i="5"/>
  <c r="AU410" i="5"/>
  <c r="BB410" i="5" s="1"/>
  <c r="AV410" i="5"/>
  <c r="BC410" i="5" s="1"/>
  <c r="CK483" i="5"/>
  <c r="CG483" i="5"/>
  <c r="CE483" i="5"/>
  <c r="CJ483" i="5"/>
  <c r="CH483" i="5"/>
  <c r="CI483" i="5"/>
  <c r="CF483" i="5"/>
  <c r="CD483" i="5"/>
  <c r="CC483" i="5"/>
  <c r="BZ483" i="5"/>
  <c r="BY483" i="5"/>
  <c r="CA483" i="5"/>
  <c r="BX483" i="5"/>
  <c r="BV483" i="5"/>
  <c r="BW483" i="5"/>
  <c r="BU483" i="5"/>
  <c r="BT483" i="5"/>
  <c r="BS483" i="5"/>
  <c r="BR483" i="5"/>
  <c r="BQ483" i="5"/>
  <c r="BM483" i="5"/>
  <c r="BL483" i="5"/>
  <c r="BK483" i="5"/>
  <c r="BI483" i="5"/>
  <c r="BJ483" i="5"/>
  <c r="BG483" i="5"/>
  <c r="BH483" i="5"/>
  <c r="BF483" i="5"/>
  <c r="BE483" i="5"/>
  <c r="BD483" i="5"/>
  <c r="BA483" i="5"/>
  <c r="BP483" i="5" s="1"/>
  <c r="AY483" i="5"/>
  <c r="AZ483" i="5"/>
  <c r="AU483" i="5"/>
  <c r="BN483" i="5" s="1"/>
  <c r="AV483" i="5"/>
  <c r="BO483" i="5" s="1"/>
  <c r="CK556" i="5"/>
  <c r="CJ556" i="5"/>
  <c r="CI556" i="5"/>
  <c r="CF556" i="5"/>
  <c r="CH556" i="5"/>
  <c r="CC556" i="5"/>
  <c r="CG556" i="5"/>
  <c r="CE556" i="5"/>
  <c r="CD556" i="5"/>
  <c r="CA556" i="5"/>
  <c r="BX556" i="5"/>
  <c r="BZ556" i="5"/>
  <c r="BY556" i="5"/>
  <c r="BW556" i="5"/>
  <c r="BV556" i="5"/>
  <c r="BU556" i="5"/>
  <c r="BT556" i="5"/>
  <c r="BS556" i="5"/>
  <c r="BQ556" i="5"/>
  <c r="BR556" i="5"/>
  <c r="BM556" i="5"/>
  <c r="BJ556" i="5"/>
  <c r="BL556" i="5"/>
  <c r="BK556" i="5"/>
  <c r="BI556" i="5"/>
  <c r="BH556" i="5"/>
  <c r="BF556" i="5"/>
  <c r="BG556" i="5"/>
  <c r="BE556" i="5"/>
  <c r="BD556" i="5"/>
  <c r="AZ556" i="5"/>
  <c r="AY556" i="5"/>
  <c r="BA556" i="5"/>
  <c r="BP556" i="5" s="1"/>
  <c r="AU556" i="5"/>
  <c r="BN556" i="5" s="1"/>
  <c r="AV556" i="5"/>
  <c r="BO556" i="5" s="1"/>
  <c r="CI629" i="5"/>
  <c r="CH629" i="5"/>
  <c r="CK629" i="5"/>
  <c r="CJ629" i="5"/>
  <c r="CG629" i="5"/>
  <c r="CF629" i="5"/>
  <c r="CD629" i="5"/>
  <c r="CE629" i="5"/>
  <c r="CC629" i="5"/>
  <c r="BX629" i="5"/>
  <c r="CA629" i="5"/>
  <c r="BW629" i="5"/>
  <c r="BY629" i="5"/>
  <c r="BZ629" i="5"/>
  <c r="BV629" i="5"/>
  <c r="BU629" i="5"/>
  <c r="BR629" i="5"/>
  <c r="BT629" i="5"/>
  <c r="BS629" i="5"/>
  <c r="BQ629" i="5"/>
  <c r="BM629" i="5"/>
  <c r="BL629" i="5"/>
  <c r="BK629" i="5"/>
  <c r="BJ629" i="5"/>
  <c r="BI629" i="5"/>
  <c r="BF629" i="5"/>
  <c r="BH629" i="5"/>
  <c r="BG629" i="5"/>
  <c r="BE629" i="5"/>
  <c r="BD629" i="5"/>
  <c r="BA629" i="5"/>
  <c r="BP629" i="5" s="1"/>
  <c r="AZ629" i="5"/>
  <c r="AY629" i="5"/>
  <c r="AU629" i="5"/>
  <c r="BN629" i="5" s="1"/>
  <c r="AV629" i="5"/>
  <c r="CK702" i="5"/>
  <c r="CJ702" i="5"/>
  <c r="CI702" i="5"/>
  <c r="CH702" i="5"/>
  <c r="CG702" i="5"/>
  <c r="CF702" i="5"/>
  <c r="CE702" i="5"/>
  <c r="CC702" i="5"/>
  <c r="CD702" i="5"/>
  <c r="BZ702" i="5"/>
  <c r="CA702" i="5"/>
  <c r="BY702" i="5"/>
  <c r="BX702" i="5"/>
  <c r="BU702" i="5"/>
  <c r="BW702" i="5"/>
  <c r="BV702" i="5"/>
  <c r="BS702" i="5"/>
  <c r="BR702" i="5"/>
  <c r="BT702" i="5"/>
  <c r="BQ702" i="5"/>
  <c r="BM702" i="5"/>
  <c r="BL702" i="5"/>
  <c r="BJ702" i="5"/>
  <c r="BI702" i="5"/>
  <c r="BK702" i="5"/>
  <c r="BH702" i="5"/>
  <c r="BG702" i="5"/>
  <c r="BF702" i="5"/>
  <c r="BE702" i="5"/>
  <c r="BD702" i="5"/>
  <c r="AV702" i="5"/>
  <c r="BC702" i="5" s="1"/>
  <c r="BA702" i="5"/>
  <c r="BP702" i="5" s="1"/>
  <c r="AZ702" i="5"/>
  <c r="AY702" i="5"/>
  <c r="AU702" i="5"/>
  <c r="BN702" i="5" s="1"/>
  <c r="CJ775" i="5"/>
  <c r="CK775" i="5"/>
  <c r="CG775" i="5"/>
  <c r="CE775" i="5"/>
  <c r="CI775" i="5"/>
  <c r="CH775" i="5"/>
  <c r="CF775" i="5"/>
  <c r="CD775" i="5"/>
  <c r="CC775" i="5"/>
  <c r="BZ775" i="5"/>
  <c r="CA775" i="5"/>
  <c r="BX775" i="5"/>
  <c r="BY775" i="5"/>
  <c r="BV775" i="5"/>
  <c r="BW775" i="5"/>
  <c r="BU775" i="5"/>
  <c r="BT775" i="5"/>
  <c r="BS775" i="5"/>
  <c r="BQ775" i="5"/>
  <c r="BR775" i="5"/>
  <c r="BL775" i="5"/>
  <c r="BI775" i="5"/>
  <c r="BM775" i="5"/>
  <c r="BK775" i="5"/>
  <c r="BJ775" i="5"/>
  <c r="BG775" i="5"/>
  <c r="BE775" i="5"/>
  <c r="BH775" i="5"/>
  <c r="BF775" i="5"/>
  <c r="BD775" i="5"/>
  <c r="AY775" i="5"/>
  <c r="BA775" i="5"/>
  <c r="BP775" i="5" s="1"/>
  <c r="AZ775" i="5"/>
  <c r="AU775" i="5"/>
  <c r="BN775" i="5" s="1"/>
  <c r="AV775" i="5"/>
  <c r="BO775" i="5" s="1"/>
  <c r="CI848" i="5"/>
  <c r="CF848" i="5"/>
  <c r="CK848" i="5"/>
  <c r="CD848" i="5"/>
  <c r="CE848" i="5"/>
  <c r="CA848" i="5"/>
  <c r="CC848" i="5"/>
  <c r="BW848" i="5"/>
  <c r="BY848" i="5"/>
  <c r="BV848" i="5"/>
  <c r="BU848" i="5"/>
  <c r="BT848" i="5"/>
  <c r="BR848" i="5"/>
  <c r="BS848" i="5"/>
  <c r="BQ848" i="5"/>
  <c r="BK848" i="5"/>
  <c r="BM848" i="5"/>
  <c r="BJ848" i="5"/>
  <c r="BI848" i="5"/>
  <c r="BH848" i="5"/>
  <c r="BG848" i="5"/>
  <c r="BF848" i="5"/>
  <c r="BE848" i="5"/>
  <c r="BD848" i="5"/>
  <c r="AZ848" i="5"/>
  <c r="AV848" i="5"/>
  <c r="AY848" i="5"/>
  <c r="BA848" i="5"/>
  <c r="BP848" i="5" s="1"/>
  <c r="AU848" i="5"/>
  <c r="BN848" i="5" s="1"/>
  <c r="CI922" i="5"/>
  <c r="CK922" i="5"/>
  <c r="CE922" i="5"/>
  <c r="CC922" i="5"/>
  <c r="CF922" i="5"/>
  <c r="CD922" i="5"/>
  <c r="CA922" i="5"/>
  <c r="BU922" i="5"/>
  <c r="BY922" i="5"/>
  <c r="BW922" i="5"/>
  <c r="BV922" i="5"/>
  <c r="BS922" i="5"/>
  <c r="BT922" i="5"/>
  <c r="BR922" i="5"/>
  <c r="BQ922" i="5"/>
  <c r="BM922" i="5"/>
  <c r="BJ922" i="5"/>
  <c r="BI922" i="5"/>
  <c r="BK922" i="5"/>
  <c r="BF922" i="5"/>
  <c r="BH922" i="5"/>
  <c r="BG922" i="5"/>
  <c r="BD922" i="5"/>
  <c r="BE922" i="5"/>
  <c r="BA922" i="5"/>
  <c r="BP922" i="5" s="1"/>
  <c r="AZ922" i="5"/>
  <c r="AY922" i="5"/>
  <c r="AU922" i="5"/>
  <c r="BN922" i="5" s="1"/>
  <c r="AV922" i="5"/>
  <c r="BO922" i="5" s="1"/>
  <c r="CE995" i="5"/>
  <c r="CK995" i="5"/>
  <c r="CI995" i="5"/>
  <c r="CF995" i="5"/>
  <c r="CD995" i="5"/>
  <c r="CC995" i="5"/>
  <c r="BY995" i="5"/>
  <c r="CA995" i="5"/>
  <c r="BV995" i="5"/>
  <c r="BW995" i="5"/>
  <c r="BU995" i="5"/>
  <c r="BT995" i="5"/>
  <c r="BS995" i="5"/>
  <c r="BR995" i="5"/>
  <c r="BQ995" i="5"/>
  <c r="BM995" i="5"/>
  <c r="BK995" i="5"/>
  <c r="BJ995" i="5"/>
  <c r="BI995" i="5"/>
  <c r="BG995" i="5"/>
  <c r="BH995" i="5"/>
  <c r="BE995" i="5"/>
  <c r="BD995" i="5"/>
  <c r="BF995" i="5"/>
  <c r="AY995" i="5"/>
  <c r="BA995" i="5"/>
  <c r="BP995" i="5" s="1"/>
  <c r="AZ995" i="5"/>
  <c r="AU995" i="5"/>
  <c r="BB995" i="5" s="1"/>
  <c r="AV995" i="5"/>
  <c r="BC995" i="5" s="1"/>
  <c r="CK1068" i="5"/>
  <c r="CI1068" i="5"/>
  <c r="CF1068" i="5"/>
  <c r="CE1068" i="5"/>
  <c r="CD1068" i="5"/>
  <c r="CC1068" i="5"/>
  <c r="CA1068" i="5"/>
  <c r="BY1068" i="5"/>
  <c r="BW1068" i="5"/>
  <c r="BU1068" i="5"/>
  <c r="BV1068" i="5"/>
  <c r="BT1068" i="5"/>
  <c r="BR1068" i="5"/>
  <c r="BQ1068" i="5"/>
  <c r="BS1068" i="5"/>
  <c r="BM1068" i="5"/>
  <c r="BJ1068" i="5"/>
  <c r="BK1068" i="5"/>
  <c r="BI1068" i="5"/>
  <c r="BH1068" i="5"/>
  <c r="BF1068" i="5"/>
  <c r="BG1068" i="5"/>
  <c r="BE1068" i="5"/>
  <c r="BD1068" i="5"/>
  <c r="AZ1068" i="5"/>
  <c r="AY1068" i="5"/>
  <c r="BA1068" i="5"/>
  <c r="BP1068" i="5" s="1"/>
  <c r="AU1068" i="5"/>
  <c r="BB1068" i="5" s="1"/>
  <c r="AV1068" i="5"/>
  <c r="BO1068" i="5" s="1"/>
  <c r="CI1141" i="5"/>
  <c r="CK1141" i="5"/>
  <c r="CF1141" i="5"/>
  <c r="CD1141" i="5"/>
  <c r="CE1141" i="5"/>
  <c r="CC1141" i="5"/>
  <c r="CA1141" i="5"/>
  <c r="BW1141" i="5"/>
  <c r="BY1141" i="5"/>
  <c r="BV1141" i="5"/>
  <c r="BU1141" i="5"/>
  <c r="BT1141" i="5"/>
  <c r="BQ1141" i="5"/>
  <c r="BR1141" i="5"/>
  <c r="BS1141" i="5"/>
  <c r="BM1141" i="5"/>
  <c r="BK1141" i="5"/>
  <c r="BI1141" i="5"/>
  <c r="BJ1141" i="5"/>
  <c r="BH1141" i="5"/>
  <c r="BG1141" i="5"/>
  <c r="BF1141" i="5"/>
  <c r="BE1141" i="5"/>
  <c r="BD1141" i="5"/>
  <c r="BA1141" i="5"/>
  <c r="BP1141" i="5" s="1"/>
  <c r="AZ1141" i="5"/>
  <c r="AY1141" i="5"/>
  <c r="AU1141" i="5"/>
  <c r="BN1141" i="5" s="1"/>
  <c r="AV1141" i="5"/>
  <c r="BC1141" i="5" s="1"/>
  <c r="CI1214" i="5"/>
  <c r="CK1214" i="5"/>
  <c r="CC1214" i="5"/>
  <c r="CF1214" i="5"/>
  <c r="CE1214" i="5"/>
  <c r="CD1214" i="5"/>
  <c r="CA1214" i="5"/>
  <c r="BY1214" i="5"/>
  <c r="BW1214" i="5"/>
  <c r="BU1214" i="5"/>
  <c r="BV1214" i="5"/>
  <c r="BS1214" i="5"/>
  <c r="BR1214" i="5"/>
  <c r="BT1214" i="5"/>
  <c r="BQ1214" i="5"/>
  <c r="BM1214" i="5"/>
  <c r="BI1214" i="5"/>
  <c r="BK1214" i="5"/>
  <c r="BJ1214" i="5"/>
  <c r="BH1214" i="5"/>
  <c r="BG1214" i="5"/>
  <c r="BF1214" i="5"/>
  <c r="BE1214" i="5"/>
  <c r="BD1214" i="5"/>
  <c r="AV1214" i="5"/>
  <c r="BC1214" i="5" s="1"/>
  <c r="BA1214" i="5"/>
  <c r="BP1214" i="5" s="1"/>
  <c r="AZ1214" i="5"/>
  <c r="AY1214" i="5"/>
  <c r="AU1214" i="5"/>
  <c r="BN1214" i="5" s="1"/>
  <c r="CE1287" i="5"/>
  <c r="CK1287" i="5"/>
  <c r="CI1287" i="5"/>
  <c r="CF1287" i="5"/>
  <c r="CD1287" i="5"/>
  <c r="CC1287" i="5"/>
  <c r="CA1287" i="5"/>
  <c r="BY1287" i="5"/>
  <c r="BV1287" i="5"/>
  <c r="BW1287" i="5"/>
  <c r="BU1287" i="5"/>
  <c r="BT1287" i="5"/>
  <c r="BS1287" i="5"/>
  <c r="BR1287" i="5"/>
  <c r="BQ1287" i="5"/>
  <c r="BM1287" i="5"/>
  <c r="BK1287" i="5"/>
  <c r="BJ1287" i="5"/>
  <c r="BI1287" i="5"/>
  <c r="BG1287" i="5"/>
  <c r="BE1287" i="5"/>
  <c r="BH1287" i="5"/>
  <c r="BF1287" i="5"/>
  <c r="AY1287" i="5"/>
  <c r="BD1287" i="5"/>
  <c r="BA1287" i="5"/>
  <c r="BP1287" i="5" s="1"/>
  <c r="AZ1287" i="5"/>
  <c r="AV1287" i="5"/>
  <c r="BO1287" i="5" s="1"/>
  <c r="AU1287" i="5"/>
  <c r="BN1287" i="5" s="1"/>
  <c r="BX1313" i="5"/>
  <c r="CF45" i="5"/>
  <c r="CE45" i="5"/>
  <c r="CD45" i="5"/>
  <c r="CK45" i="5"/>
  <c r="CI45" i="5"/>
  <c r="CC45" i="5"/>
  <c r="CA45" i="5"/>
  <c r="BY45" i="5"/>
  <c r="BW45" i="5"/>
  <c r="BV45" i="5"/>
  <c r="BT45" i="5"/>
  <c r="BR45" i="5"/>
  <c r="BU45" i="5"/>
  <c r="BS45" i="5"/>
  <c r="BQ45" i="5"/>
  <c r="BM45" i="5"/>
  <c r="BK45" i="5"/>
  <c r="BJ45" i="5"/>
  <c r="BI45" i="5"/>
  <c r="BH45" i="5"/>
  <c r="BG45" i="5"/>
  <c r="BF45" i="5"/>
  <c r="BE45" i="5"/>
  <c r="BD45" i="5"/>
  <c r="BA45" i="5"/>
  <c r="BP45" i="5" s="1"/>
  <c r="AZ45" i="5"/>
  <c r="AY45" i="5"/>
  <c r="AU45" i="5"/>
  <c r="BB45" i="5" s="1"/>
  <c r="AV45" i="5"/>
  <c r="CK191" i="5"/>
  <c r="CJ191" i="5"/>
  <c r="CE191" i="5"/>
  <c r="CH191" i="5"/>
  <c r="CI191" i="5"/>
  <c r="CF191" i="5"/>
  <c r="CG191" i="5"/>
  <c r="CC191" i="5"/>
  <c r="CD191" i="5"/>
  <c r="BZ191" i="5"/>
  <c r="CA191" i="5"/>
  <c r="BX191" i="5"/>
  <c r="BY191" i="5"/>
  <c r="BV191" i="5"/>
  <c r="BW191" i="5"/>
  <c r="BU191" i="5"/>
  <c r="BT191" i="5"/>
  <c r="BS191" i="5"/>
  <c r="BQ191" i="5"/>
  <c r="BR191" i="5"/>
  <c r="BK191" i="5"/>
  <c r="BL191" i="5"/>
  <c r="BI191" i="5"/>
  <c r="BM191" i="5"/>
  <c r="BH191" i="5"/>
  <c r="BJ191" i="5"/>
  <c r="BG191" i="5"/>
  <c r="BE191" i="5"/>
  <c r="BF191" i="5"/>
  <c r="BD191" i="5"/>
  <c r="BA191" i="5"/>
  <c r="BP191" i="5" s="1"/>
  <c r="AY191" i="5"/>
  <c r="AZ191" i="5"/>
  <c r="AU191" i="5"/>
  <c r="BB191" i="5" s="1"/>
  <c r="AV191" i="5"/>
  <c r="BC191" i="5" s="1"/>
  <c r="CK338" i="5"/>
  <c r="CI338" i="5"/>
  <c r="CD338" i="5"/>
  <c r="CF338" i="5"/>
  <c r="CE338" i="5"/>
  <c r="BY338" i="5"/>
  <c r="CC338" i="5"/>
  <c r="CA338" i="5"/>
  <c r="BU338" i="5"/>
  <c r="BW338" i="5"/>
  <c r="BV338" i="5"/>
  <c r="BS338" i="5"/>
  <c r="BT338" i="5"/>
  <c r="BR338" i="5"/>
  <c r="BQ338" i="5"/>
  <c r="BM338" i="5"/>
  <c r="BK338" i="5"/>
  <c r="BJ338" i="5"/>
  <c r="BI338" i="5"/>
  <c r="BF338" i="5"/>
  <c r="BD338" i="5"/>
  <c r="BG338" i="5"/>
  <c r="BH338" i="5"/>
  <c r="BE338" i="5"/>
  <c r="BA338" i="5"/>
  <c r="BP338" i="5" s="1"/>
  <c r="AZ338" i="5"/>
  <c r="AY338" i="5"/>
  <c r="AV338" i="5"/>
  <c r="BO338" i="5" s="1"/>
  <c r="AU338" i="5"/>
  <c r="BN338" i="5" s="1"/>
  <c r="CK484" i="5"/>
  <c r="CJ484" i="5"/>
  <c r="CH484" i="5"/>
  <c r="CI484" i="5"/>
  <c r="CG484" i="5"/>
  <c r="CF484" i="5"/>
  <c r="CE484" i="5"/>
  <c r="CC484" i="5"/>
  <c r="CD484" i="5"/>
  <c r="CA484" i="5"/>
  <c r="BZ484" i="5"/>
  <c r="BV484" i="5"/>
  <c r="BY484" i="5"/>
  <c r="BX484" i="5"/>
  <c r="BW484" i="5"/>
  <c r="BU484" i="5"/>
  <c r="BT484" i="5"/>
  <c r="BS484" i="5"/>
  <c r="BR484" i="5"/>
  <c r="BQ484" i="5"/>
  <c r="BL484" i="5"/>
  <c r="BM484" i="5"/>
  <c r="BJ484" i="5"/>
  <c r="BK484" i="5"/>
  <c r="BI484" i="5"/>
  <c r="BH484" i="5"/>
  <c r="BG484" i="5"/>
  <c r="BF484" i="5"/>
  <c r="BD484" i="5"/>
  <c r="BE484" i="5"/>
  <c r="AZ484" i="5"/>
  <c r="BA484" i="5"/>
  <c r="BP484" i="5" s="1"/>
  <c r="AY484" i="5"/>
  <c r="AU484" i="5"/>
  <c r="BN484" i="5" s="1"/>
  <c r="AV484" i="5"/>
  <c r="BO484" i="5" s="1"/>
  <c r="CJ630" i="5"/>
  <c r="CI630" i="5"/>
  <c r="CK630" i="5"/>
  <c r="CF630" i="5"/>
  <c r="CH630" i="5"/>
  <c r="CG630" i="5"/>
  <c r="CD630" i="5"/>
  <c r="CC630" i="5"/>
  <c r="CE630" i="5"/>
  <c r="BZ630" i="5"/>
  <c r="CA630" i="5"/>
  <c r="BX630" i="5"/>
  <c r="BY630" i="5"/>
  <c r="BW630" i="5"/>
  <c r="BU630" i="5"/>
  <c r="BV630" i="5"/>
  <c r="BS630" i="5"/>
  <c r="BT630" i="5"/>
  <c r="BQ630" i="5"/>
  <c r="BR630" i="5"/>
  <c r="BM630" i="5"/>
  <c r="BK630" i="5"/>
  <c r="BL630" i="5"/>
  <c r="BJ630" i="5"/>
  <c r="BI630" i="5"/>
  <c r="BF630" i="5"/>
  <c r="BH630" i="5"/>
  <c r="BG630" i="5"/>
  <c r="BE630" i="5"/>
  <c r="BD630" i="5"/>
  <c r="BA630" i="5"/>
  <c r="BP630" i="5" s="1"/>
  <c r="AZ630" i="5"/>
  <c r="AY630" i="5"/>
  <c r="AV630" i="5"/>
  <c r="AU630" i="5"/>
  <c r="BN630" i="5" s="1"/>
  <c r="CK776" i="5"/>
  <c r="CJ776" i="5"/>
  <c r="CH776" i="5"/>
  <c r="CI776" i="5"/>
  <c r="CF776" i="5"/>
  <c r="CG776" i="5"/>
  <c r="CE776" i="5"/>
  <c r="CD776" i="5"/>
  <c r="CC776" i="5"/>
  <c r="CA776" i="5"/>
  <c r="BZ776" i="5"/>
  <c r="BY776" i="5"/>
  <c r="BX776" i="5"/>
  <c r="BW776" i="5"/>
  <c r="BV776" i="5"/>
  <c r="BU776" i="5"/>
  <c r="BT776" i="5"/>
  <c r="BS776" i="5"/>
  <c r="BR776" i="5"/>
  <c r="BQ776" i="5"/>
  <c r="BK776" i="5"/>
  <c r="BL776" i="5"/>
  <c r="BM776" i="5"/>
  <c r="BJ776" i="5"/>
  <c r="BH776" i="5"/>
  <c r="BI776" i="5"/>
  <c r="BG776" i="5"/>
  <c r="BF776" i="5"/>
  <c r="BE776" i="5"/>
  <c r="BD776" i="5"/>
  <c r="AZ776" i="5"/>
  <c r="AV776" i="5"/>
  <c r="AY776" i="5"/>
  <c r="BA776" i="5"/>
  <c r="BP776" i="5" s="1"/>
  <c r="AU776" i="5"/>
  <c r="BB776" i="5" s="1"/>
  <c r="CK923" i="5"/>
  <c r="CI923" i="5"/>
  <c r="CE923" i="5"/>
  <c r="CD923" i="5"/>
  <c r="CF923" i="5"/>
  <c r="CC923" i="5"/>
  <c r="BY923" i="5"/>
  <c r="CA923" i="5"/>
  <c r="BW923" i="5"/>
  <c r="BV923" i="5"/>
  <c r="BU923" i="5"/>
  <c r="BT923" i="5"/>
  <c r="BR923" i="5"/>
  <c r="BS923" i="5"/>
  <c r="BQ923" i="5"/>
  <c r="BM923" i="5"/>
  <c r="BI923" i="5"/>
  <c r="BJ923" i="5"/>
  <c r="BG923" i="5"/>
  <c r="BK923" i="5"/>
  <c r="BH923" i="5"/>
  <c r="BE923" i="5"/>
  <c r="BD923" i="5"/>
  <c r="BF923" i="5"/>
  <c r="AY923" i="5"/>
  <c r="AU923" i="5"/>
  <c r="BB923" i="5" s="1"/>
  <c r="BA923" i="5"/>
  <c r="BP923" i="5" s="1"/>
  <c r="AZ923" i="5"/>
  <c r="AV923" i="5"/>
  <c r="BO923" i="5" s="1"/>
  <c r="CK996" i="5"/>
  <c r="CI996" i="5"/>
  <c r="CF996" i="5"/>
  <c r="CE996" i="5"/>
  <c r="CC996" i="5"/>
  <c r="CA996" i="5"/>
  <c r="CD996" i="5"/>
  <c r="BY996" i="5"/>
  <c r="BW996" i="5"/>
  <c r="BU996" i="5"/>
  <c r="BV996" i="5"/>
  <c r="BT996" i="5"/>
  <c r="BR996" i="5"/>
  <c r="BQ996" i="5"/>
  <c r="BS996" i="5"/>
  <c r="BM996" i="5"/>
  <c r="BJ996" i="5"/>
  <c r="BK996" i="5"/>
  <c r="BI996" i="5"/>
  <c r="BH996" i="5"/>
  <c r="BG996" i="5"/>
  <c r="BF996" i="5"/>
  <c r="BD996" i="5"/>
  <c r="BE996" i="5"/>
  <c r="AZ996" i="5"/>
  <c r="AY996" i="5"/>
  <c r="BA996" i="5"/>
  <c r="BP996" i="5" s="1"/>
  <c r="AU996" i="5"/>
  <c r="BN996" i="5" s="1"/>
  <c r="AV996" i="5"/>
  <c r="BC996" i="5" s="1"/>
  <c r="CK1142" i="5"/>
  <c r="CI1142" i="5"/>
  <c r="CH1142" i="5"/>
  <c r="CG1142" i="5"/>
  <c r="CJ1142" i="5"/>
  <c r="CC1142" i="5"/>
  <c r="CD1142" i="5"/>
  <c r="CE1142" i="5"/>
  <c r="CF1142" i="5"/>
  <c r="CA1142" i="5"/>
  <c r="BY1142" i="5"/>
  <c r="BZ1142" i="5"/>
  <c r="BW1142" i="5"/>
  <c r="BX1142" i="5"/>
  <c r="BU1142" i="5"/>
  <c r="BV1142" i="5"/>
  <c r="BS1142" i="5"/>
  <c r="BR1142" i="5"/>
  <c r="BT1142" i="5"/>
  <c r="BQ1142" i="5"/>
  <c r="BL1142" i="5"/>
  <c r="BM1142" i="5"/>
  <c r="BI1142" i="5"/>
  <c r="BK1142" i="5"/>
  <c r="BJ1142" i="5"/>
  <c r="BH1142" i="5"/>
  <c r="BG1142" i="5"/>
  <c r="BF1142" i="5"/>
  <c r="BE1142" i="5"/>
  <c r="BD1142" i="5"/>
  <c r="BA1142" i="5"/>
  <c r="BP1142" i="5" s="1"/>
  <c r="AZ1142" i="5"/>
  <c r="AY1142" i="5"/>
  <c r="AV1142" i="5"/>
  <c r="BO1142" i="5" s="1"/>
  <c r="AU1142" i="5"/>
  <c r="BN1142" i="5" s="1"/>
  <c r="CK1288" i="5"/>
  <c r="CJ1288" i="5"/>
  <c r="CI1288" i="5"/>
  <c r="CF1288" i="5"/>
  <c r="CE1288" i="5"/>
  <c r="CH1288" i="5"/>
  <c r="CG1288" i="5"/>
  <c r="CD1288" i="5"/>
  <c r="CC1288" i="5"/>
  <c r="CA1288" i="5"/>
  <c r="BZ1288" i="5"/>
  <c r="BY1288" i="5"/>
  <c r="BW1288" i="5"/>
  <c r="BX1288" i="5"/>
  <c r="BU1288" i="5"/>
  <c r="BV1288" i="5"/>
  <c r="BT1288" i="5"/>
  <c r="BS1288" i="5"/>
  <c r="BR1288" i="5"/>
  <c r="BQ1288" i="5"/>
  <c r="BL1288" i="5"/>
  <c r="BM1288" i="5"/>
  <c r="BJ1288" i="5"/>
  <c r="BH1288" i="5"/>
  <c r="BK1288" i="5"/>
  <c r="BI1288" i="5"/>
  <c r="BG1288" i="5"/>
  <c r="BF1288" i="5"/>
  <c r="BE1288" i="5"/>
  <c r="BD1288" i="5"/>
  <c r="AZ1288" i="5"/>
  <c r="AV1288" i="5"/>
  <c r="BC1288" i="5" s="1"/>
  <c r="AY1288" i="5"/>
  <c r="BA1288" i="5"/>
  <c r="BP1288" i="5" s="1"/>
  <c r="AU1288" i="5"/>
  <c r="BN1288" i="5" s="1"/>
  <c r="BL92" i="5"/>
  <c r="CK110" i="5"/>
  <c r="CJ110" i="5"/>
  <c r="CI110" i="5"/>
  <c r="CG110" i="5"/>
  <c r="CD110" i="5"/>
  <c r="CH110" i="5"/>
  <c r="CF110" i="5"/>
  <c r="CE110" i="5"/>
  <c r="CC110" i="5"/>
  <c r="BY110" i="5"/>
  <c r="BX110" i="5"/>
  <c r="BZ110" i="5"/>
  <c r="CA110" i="5"/>
  <c r="BU110" i="5"/>
  <c r="BW110" i="5"/>
  <c r="BV110" i="5"/>
  <c r="BT110" i="5"/>
  <c r="BS110" i="5"/>
  <c r="BR110" i="5"/>
  <c r="BQ110" i="5"/>
  <c r="BM110" i="5"/>
  <c r="BK110" i="5"/>
  <c r="BL110" i="5"/>
  <c r="BJ110" i="5"/>
  <c r="BI110" i="5"/>
  <c r="BH110" i="5"/>
  <c r="BG110" i="5"/>
  <c r="BF110" i="5"/>
  <c r="BD110" i="5"/>
  <c r="BE110" i="5"/>
  <c r="BA110" i="5"/>
  <c r="BP110" i="5" s="1"/>
  <c r="AZ110" i="5"/>
  <c r="AY110" i="5"/>
  <c r="AV110" i="5"/>
  <c r="BC110" i="5" s="1"/>
  <c r="AU110" i="5"/>
  <c r="BN110" i="5" s="1"/>
  <c r="BX183" i="5"/>
  <c r="CB192" i="5"/>
  <c r="CK50" i="5"/>
  <c r="CI50" i="5"/>
  <c r="CD50" i="5"/>
  <c r="CF50" i="5"/>
  <c r="CE50" i="5"/>
  <c r="CC50" i="5"/>
  <c r="BY50" i="5"/>
  <c r="CA50" i="5"/>
  <c r="BU50" i="5"/>
  <c r="BV50" i="5"/>
  <c r="BW50" i="5"/>
  <c r="BT50" i="5"/>
  <c r="BS50" i="5"/>
  <c r="BQ50" i="5"/>
  <c r="BR50" i="5"/>
  <c r="BM50" i="5"/>
  <c r="BK50" i="5"/>
  <c r="BJ50" i="5"/>
  <c r="BI50" i="5"/>
  <c r="BH50" i="5"/>
  <c r="BF50" i="5"/>
  <c r="BD50" i="5"/>
  <c r="BG50" i="5"/>
  <c r="BE50" i="5"/>
  <c r="BA50" i="5"/>
  <c r="BP50" i="5" s="1"/>
  <c r="AZ50" i="5"/>
  <c r="AY50" i="5"/>
  <c r="AU50" i="5"/>
  <c r="BN50" i="5" s="1"/>
  <c r="AV50" i="5"/>
  <c r="BO50" i="5" s="1"/>
  <c r="CK123" i="5"/>
  <c r="CJ123" i="5"/>
  <c r="CI123" i="5"/>
  <c r="CH123" i="5"/>
  <c r="CE123" i="5"/>
  <c r="CF123" i="5"/>
  <c r="CG123" i="5"/>
  <c r="CC123" i="5"/>
  <c r="CD123" i="5"/>
  <c r="BZ123" i="5"/>
  <c r="CA123" i="5"/>
  <c r="BY123" i="5"/>
  <c r="BW123" i="5"/>
  <c r="BV123" i="5"/>
  <c r="BX123" i="5"/>
  <c r="BU123" i="5"/>
  <c r="BT123" i="5"/>
  <c r="BS123" i="5"/>
  <c r="BR123" i="5"/>
  <c r="BQ123" i="5"/>
  <c r="BK123" i="5"/>
  <c r="BL123" i="5"/>
  <c r="BM123" i="5"/>
  <c r="BI123" i="5"/>
  <c r="BJ123" i="5"/>
  <c r="BG123" i="5"/>
  <c r="BH123" i="5"/>
  <c r="BF123" i="5"/>
  <c r="BE123" i="5"/>
  <c r="BD123" i="5"/>
  <c r="BA123" i="5"/>
  <c r="BP123" i="5" s="1"/>
  <c r="AY123" i="5"/>
  <c r="AU123" i="5"/>
  <c r="BB123" i="5" s="1"/>
  <c r="AZ123" i="5"/>
  <c r="AV123" i="5"/>
  <c r="BC123" i="5" s="1"/>
  <c r="CK196" i="5"/>
  <c r="CH196" i="5"/>
  <c r="CJ196" i="5"/>
  <c r="CF196" i="5"/>
  <c r="CI196" i="5"/>
  <c r="CD196" i="5"/>
  <c r="CC196" i="5"/>
  <c r="CG196" i="5"/>
  <c r="CE196" i="5"/>
  <c r="CA196" i="5"/>
  <c r="BY196" i="5"/>
  <c r="BX196" i="5"/>
  <c r="BZ196" i="5"/>
  <c r="BV196" i="5"/>
  <c r="BW196" i="5"/>
  <c r="BU196" i="5"/>
  <c r="BT196" i="5"/>
  <c r="BS196" i="5"/>
  <c r="BR196" i="5"/>
  <c r="BQ196" i="5"/>
  <c r="BL196" i="5"/>
  <c r="BM196" i="5"/>
  <c r="BJ196" i="5"/>
  <c r="BK196" i="5"/>
  <c r="BI196" i="5"/>
  <c r="BH196" i="5"/>
  <c r="BG196" i="5"/>
  <c r="BF196" i="5"/>
  <c r="BE196" i="5"/>
  <c r="BD196" i="5"/>
  <c r="AZ196" i="5"/>
  <c r="BA196" i="5"/>
  <c r="BP196" i="5" s="1"/>
  <c r="AY196" i="5"/>
  <c r="AU196" i="5"/>
  <c r="BN196" i="5" s="1"/>
  <c r="AV196" i="5"/>
  <c r="BC196" i="5" s="1"/>
  <c r="CJ269" i="5"/>
  <c r="CH269" i="5"/>
  <c r="CK269" i="5"/>
  <c r="CG269" i="5"/>
  <c r="CF269" i="5"/>
  <c r="CE269" i="5"/>
  <c r="CD269" i="5"/>
  <c r="CI269" i="5"/>
  <c r="CC269" i="5"/>
  <c r="CA269" i="5"/>
  <c r="BZ269" i="5"/>
  <c r="BY269" i="5"/>
  <c r="BW269" i="5"/>
  <c r="BX269" i="5"/>
  <c r="BV269" i="5"/>
  <c r="BT269" i="5"/>
  <c r="BR269" i="5"/>
  <c r="BU269" i="5"/>
  <c r="BS269" i="5"/>
  <c r="BQ269" i="5"/>
  <c r="BL269" i="5"/>
  <c r="BM269" i="5"/>
  <c r="BK269" i="5"/>
  <c r="BJ269" i="5"/>
  <c r="BI269" i="5"/>
  <c r="BG269" i="5"/>
  <c r="BH269" i="5"/>
  <c r="BF269" i="5"/>
  <c r="BE269" i="5"/>
  <c r="BD269" i="5"/>
  <c r="BA269" i="5"/>
  <c r="BP269" i="5" s="1"/>
  <c r="AZ269" i="5"/>
  <c r="AY269" i="5"/>
  <c r="AV269" i="5"/>
  <c r="BO269" i="5" s="1"/>
  <c r="AU269" i="5"/>
  <c r="BB269" i="5" s="1"/>
  <c r="CJ342" i="5"/>
  <c r="CI342" i="5"/>
  <c r="CK342" i="5"/>
  <c r="CD342" i="5"/>
  <c r="CH342" i="5"/>
  <c r="CG342" i="5"/>
  <c r="CF342" i="5"/>
  <c r="CC342" i="5"/>
  <c r="CE342" i="5"/>
  <c r="BY342" i="5"/>
  <c r="CA342" i="5"/>
  <c r="BZ342" i="5"/>
  <c r="BW342" i="5"/>
  <c r="BV342" i="5"/>
  <c r="BU342" i="5"/>
  <c r="BX342" i="5"/>
  <c r="BS342" i="5"/>
  <c r="BT342" i="5"/>
  <c r="BQ342" i="5"/>
  <c r="BR342" i="5"/>
  <c r="BM342" i="5"/>
  <c r="BL342" i="5"/>
  <c r="BK342" i="5"/>
  <c r="BJ342" i="5"/>
  <c r="BI342" i="5"/>
  <c r="BF342" i="5"/>
  <c r="BH342" i="5"/>
  <c r="BG342" i="5"/>
  <c r="BD342" i="5"/>
  <c r="BE342" i="5"/>
  <c r="BA342" i="5"/>
  <c r="BP342" i="5" s="1"/>
  <c r="AZ342" i="5"/>
  <c r="AY342" i="5"/>
  <c r="AV342" i="5"/>
  <c r="BC342" i="5" s="1"/>
  <c r="AU342" i="5"/>
  <c r="BB342" i="5" s="1"/>
  <c r="CK415" i="5"/>
  <c r="CG415" i="5"/>
  <c r="CE415" i="5"/>
  <c r="CI415" i="5"/>
  <c r="CH415" i="5"/>
  <c r="CJ415" i="5"/>
  <c r="CF415" i="5"/>
  <c r="CD415" i="5"/>
  <c r="BZ415" i="5"/>
  <c r="CC415" i="5"/>
  <c r="CA415" i="5"/>
  <c r="BX415" i="5"/>
  <c r="BY415" i="5"/>
  <c r="BV415" i="5"/>
  <c r="BW415" i="5"/>
  <c r="BT415" i="5"/>
  <c r="BU415" i="5"/>
  <c r="BS415" i="5"/>
  <c r="BQ415" i="5"/>
  <c r="BR415" i="5"/>
  <c r="BK415" i="5"/>
  <c r="BI415" i="5"/>
  <c r="BL415" i="5"/>
  <c r="BM415" i="5"/>
  <c r="BH415" i="5"/>
  <c r="BJ415" i="5"/>
  <c r="BG415" i="5"/>
  <c r="BE415" i="5"/>
  <c r="BF415" i="5"/>
  <c r="BD415" i="5"/>
  <c r="BA415" i="5"/>
  <c r="BP415" i="5" s="1"/>
  <c r="AY415" i="5"/>
  <c r="AZ415" i="5"/>
  <c r="AV415" i="5"/>
  <c r="BO415" i="5" s="1"/>
  <c r="AU415" i="5"/>
  <c r="BB415" i="5" s="1"/>
  <c r="CJ488" i="5"/>
  <c r="CK488" i="5"/>
  <c r="CF488" i="5"/>
  <c r="CI488" i="5"/>
  <c r="CE488" i="5"/>
  <c r="CH488" i="5"/>
  <c r="CC488" i="5"/>
  <c r="CG488" i="5"/>
  <c r="CD488" i="5"/>
  <c r="CA488" i="5"/>
  <c r="BZ488" i="5"/>
  <c r="BY488" i="5"/>
  <c r="BV488" i="5"/>
  <c r="BX488" i="5"/>
  <c r="BW488" i="5"/>
  <c r="BU488" i="5"/>
  <c r="BT488" i="5"/>
  <c r="BS488" i="5"/>
  <c r="BR488" i="5"/>
  <c r="BQ488" i="5"/>
  <c r="BK488" i="5"/>
  <c r="BL488" i="5"/>
  <c r="BM488" i="5"/>
  <c r="BJ488" i="5"/>
  <c r="BH488" i="5"/>
  <c r="BI488" i="5"/>
  <c r="BG488" i="5"/>
  <c r="BF488" i="5"/>
  <c r="BE488" i="5"/>
  <c r="BD488" i="5"/>
  <c r="BA488" i="5"/>
  <c r="BP488" i="5" s="1"/>
  <c r="AZ488" i="5"/>
  <c r="AV488" i="5"/>
  <c r="BC488" i="5" s="1"/>
  <c r="AY488" i="5"/>
  <c r="AU488" i="5"/>
  <c r="BN488" i="5" s="1"/>
  <c r="CK562" i="5"/>
  <c r="CI562" i="5"/>
  <c r="CF562" i="5"/>
  <c r="CE562" i="5"/>
  <c r="CD562" i="5"/>
  <c r="CC562" i="5"/>
  <c r="BY562" i="5"/>
  <c r="CA562" i="5"/>
  <c r="BU562" i="5"/>
  <c r="BV562" i="5"/>
  <c r="BW562" i="5"/>
  <c r="BS562" i="5"/>
  <c r="BT562" i="5"/>
  <c r="BQ562" i="5"/>
  <c r="BR562" i="5"/>
  <c r="BM562" i="5"/>
  <c r="BK562" i="5"/>
  <c r="BJ562" i="5"/>
  <c r="BI562" i="5"/>
  <c r="BF562" i="5"/>
  <c r="BH562" i="5"/>
  <c r="BG562" i="5"/>
  <c r="BE562" i="5"/>
  <c r="BD562" i="5"/>
  <c r="BA562" i="5"/>
  <c r="BP562" i="5" s="1"/>
  <c r="AZ562" i="5"/>
  <c r="AY562" i="5"/>
  <c r="AU562" i="5"/>
  <c r="BN562" i="5" s="1"/>
  <c r="AV562" i="5"/>
  <c r="BO562" i="5" s="1"/>
  <c r="CK635" i="5"/>
  <c r="CI635" i="5"/>
  <c r="CG635" i="5"/>
  <c r="CE635" i="5"/>
  <c r="CH635" i="5"/>
  <c r="CJ635" i="5"/>
  <c r="CF635" i="5"/>
  <c r="CD635" i="5"/>
  <c r="CC635" i="5"/>
  <c r="BZ635" i="5"/>
  <c r="BY635" i="5"/>
  <c r="BX635" i="5"/>
  <c r="CA635" i="5"/>
  <c r="BW635" i="5"/>
  <c r="BV635" i="5"/>
  <c r="BU635" i="5"/>
  <c r="BT635" i="5"/>
  <c r="BS635" i="5"/>
  <c r="BR635" i="5"/>
  <c r="BQ635" i="5"/>
  <c r="BM635" i="5"/>
  <c r="BK635" i="5"/>
  <c r="BL635" i="5"/>
  <c r="BI635" i="5"/>
  <c r="BJ635" i="5"/>
  <c r="BG635" i="5"/>
  <c r="BF635" i="5"/>
  <c r="BH635" i="5"/>
  <c r="BE635" i="5"/>
  <c r="BD635" i="5"/>
  <c r="AY635" i="5"/>
  <c r="AU635" i="5"/>
  <c r="BA635" i="5"/>
  <c r="BP635" i="5" s="1"/>
  <c r="AZ635" i="5"/>
  <c r="AV635" i="5"/>
  <c r="BO635" i="5" s="1"/>
  <c r="CK708" i="5"/>
  <c r="CJ708" i="5"/>
  <c r="CF708" i="5"/>
  <c r="CI708" i="5"/>
  <c r="CH708" i="5"/>
  <c r="CG708" i="5"/>
  <c r="CC708" i="5"/>
  <c r="CE708" i="5"/>
  <c r="CD708" i="5"/>
  <c r="CA708" i="5"/>
  <c r="BZ708" i="5"/>
  <c r="BX708" i="5"/>
  <c r="BY708" i="5"/>
  <c r="BW708" i="5"/>
  <c r="BV708" i="5"/>
  <c r="BU708" i="5"/>
  <c r="BT708" i="5"/>
  <c r="BS708" i="5"/>
  <c r="BR708" i="5"/>
  <c r="BQ708" i="5"/>
  <c r="BL708" i="5"/>
  <c r="BM708" i="5"/>
  <c r="BJ708" i="5"/>
  <c r="BK708" i="5"/>
  <c r="BI708" i="5"/>
  <c r="BH708" i="5"/>
  <c r="BG708" i="5"/>
  <c r="BF708" i="5"/>
  <c r="BD708" i="5"/>
  <c r="BE708" i="5"/>
  <c r="AZ708" i="5"/>
  <c r="AY708" i="5"/>
  <c r="BA708" i="5"/>
  <c r="BP708" i="5" s="1"/>
  <c r="AU708" i="5"/>
  <c r="BN708" i="5" s="1"/>
  <c r="AV708" i="5"/>
  <c r="BO708" i="5" s="1"/>
  <c r="CK781" i="5"/>
  <c r="CJ781" i="5"/>
  <c r="CG781" i="5"/>
  <c r="CF781" i="5"/>
  <c r="CE781" i="5"/>
  <c r="CD781" i="5"/>
  <c r="CI781" i="5"/>
  <c r="CH781" i="5"/>
  <c r="CC781" i="5"/>
  <c r="CA781" i="5"/>
  <c r="BZ781" i="5"/>
  <c r="BW781" i="5"/>
  <c r="BY781" i="5"/>
  <c r="BX781" i="5"/>
  <c r="BV781" i="5"/>
  <c r="BR781" i="5"/>
  <c r="BU781" i="5"/>
  <c r="BT781" i="5"/>
  <c r="BS781" i="5"/>
  <c r="BQ781" i="5"/>
  <c r="BM781" i="5"/>
  <c r="BL781" i="5"/>
  <c r="BK781" i="5"/>
  <c r="BJ781" i="5"/>
  <c r="BI781" i="5"/>
  <c r="BH781" i="5"/>
  <c r="BG781" i="5"/>
  <c r="BF781" i="5"/>
  <c r="BE781" i="5"/>
  <c r="BD781" i="5"/>
  <c r="BA781" i="5"/>
  <c r="BP781" i="5" s="1"/>
  <c r="AZ781" i="5"/>
  <c r="AY781" i="5"/>
  <c r="AV781" i="5"/>
  <c r="BC781" i="5" s="1"/>
  <c r="AU781" i="5"/>
  <c r="BN781" i="5" s="1"/>
  <c r="CK854" i="5"/>
  <c r="CI854" i="5"/>
  <c r="CJ854" i="5"/>
  <c r="CH854" i="5"/>
  <c r="CG854" i="5"/>
  <c r="CC854" i="5"/>
  <c r="CD854" i="5"/>
  <c r="CF854" i="5"/>
  <c r="CE854" i="5"/>
  <c r="CA854" i="5"/>
  <c r="BY854" i="5"/>
  <c r="BZ854" i="5"/>
  <c r="BX854" i="5"/>
  <c r="BW854" i="5"/>
  <c r="BU854" i="5"/>
  <c r="BV854" i="5"/>
  <c r="BS854" i="5"/>
  <c r="BT854" i="5"/>
  <c r="BQ854" i="5"/>
  <c r="BR854" i="5"/>
  <c r="BM854" i="5"/>
  <c r="BL854" i="5"/>
  <c r="BK854" i="5"/>
  <c r="BJ854" i="5"/>
  <c r="BI854" i="5"/>
  <c r="BH854" i="5"/>
  <c r="BG854" i="5"/>
  <c r="BF854" i="5"/>
  <c r="BE854" i="5"/>
  <c r="BD854" i="5"/>
  <c r="BA854" i="5"/>
  <c r="BP854" i="5" s="1"/>
  <c r="AZ854" i="5"/>
  <c r="AY854" i="5"/>
  <c r="AV854" i="5"/>
  <c r="BC854" i="5" s="1"/>
  <c r="AU854" i="5"/>
  <c r="BB854" i="5" s="1"/>
  <c r="CK927" i="5"/>
  <c r="CE927" i="5"/>
  <c r="CI927" i="5"/>
  <c r="CF927" i="5"/>
  <c r="CD927" i="5"/>
  <c r="CC927" i="5"/>
  <c r="BY927" i="5"/>
  <c r="CA927" i="5"/>
  <c r="BV927" i="5"/>
  <c r="BW927" i="5"/>
  <c r="BT927" i="5"/>
  <c r="BU927" i="5"/>
  <c r="BQ927" i="5"/>
  <c r="BR927" i="5"/>
  <c r="BS927" i="5"/>
  <c r="BI927" i="5"/>
  <c r="BM927" i="5"/>
  <c r="BJ927" i="5"/>
  <c r="BK927" i="5"/>
  <c r="BG927" i="5"/>
  <c r="BE927" i="5"/>
  <c r="BH927" i="5"/>
  <c r="BD927" i="5"/>
  <c r="BF927" i="5"/>
  <c r="AY927" i="5"/>
  <c r="BA927" i="5"/>
  <c r="BP927" i="5" s="1"/>
  <c r="AZ927" i="5"/>
  <c r="AV927" i="5"/>
  <c r="BO927" i="5" s="1"/>
  <c r="AU927" i="5"/>
  <c r="BN927" i="5" s="1"/>
  <c r="CK1000" i="5"/>
  <c r="CF1000" i="5"/>
  <c r="CE1000" i="5"/>
  <c r="CI1000" i="5"/>
  <c r="CD1000" i="5"/>
  <c r="CA1000" i="5"/>
  <c r="CC1000" i="5"/>
  <c r="BY1000" i="5"/>
  <c r="BW1000" i="5"/>
  <c r="BV1000" i="5"/>
  <c r="BU1000" i="5"/>
  <c r="BT1000" i="5"/>
  <c r="BS1000" i="5"/>
  <c r="BR1000" i="5"/>
  <c r="BQ1000" i="5"/>
  <c r="BK1000" i="5"/>
  <c r="BM1000" i="5"/>
  <c r="BJ1000" i="5"/>
  <c r="BH1000" i="5"/>
  <c r="BI1000" i="5"/>
  <c r="BG1000" i="5"/>
  <c r="BF1000" i="5"/>
  <c r="BE1000" i="5"/>
  <c r="BD1000" i="5"/>
  <c r="AZ1000" i="5"/>
  <c r="AV1000" i="5"/>
  <c r="BC1000" i="5" s="1"/>
  <c r="AY1000" i="5"/>
  <c r="BA1000" i="5"/>
  <c r="BP1000" i="5" s="1"/>
  <c r="AU1000" i="5"/>
  <c r="BN1000" i="5" s="1"/>
  <c r="CK1074" i="5"/>
  <c r="CI1074" i="5"/>
  <c r="CF1074" i="5"/>
  <c r="CE1074" i="5"/>
  <c r="CC1074" i="5"/>
  <c r="CD1074" i="5"/>
  <c r="CA1074" i="5"/>
  <c r="BY1074" i="5"/>
  <c r="BU1074" i="5"/>
  <c r="BW1074" i="5"/>
  <c r="BV1074" i="5"/>
  <c r="BS1074" i="5"/>
  <c r="BT1074" i="5"/>
  <c r="BR1074" i="5"/>
  <c r="BQ1074" i="5"/>
  <c r="BM1074" i="5"/>
  <c r="BI1074" i="5"/>
  <c r="BK1074" i="5"/>
  <c r="BJ1074" i="5"/>
  <c r="BH1074" i="5"/>
  <c r="BG1074" i="5"/>
  <c r="BF1074" i="5"/>
  <c r="BE1074" i="5"/>
  <c r="BD1074" i="5"/>
  <c r="BA1074" i="5"/>
  <c r="BP1074" i="5" s="1"/>
  <c r="AZ1074" i="5"/>
  <c r="AY1074" i="5"/>
  <c r="AU1074" i="5"/>
  <c r="BB1074" i="5" s="1"/>
  <c r="AV1074" i="5"/>
  <c r="BC1074" i="5" s="1"/>
  <c r="CK1147" i="5"/>
  <c r="CI1147" i="5"/>
  <c r="CE1147" i="5"/>
  <c r="CF1147" i="5"/>
  <c r="CD1147" i="5"/>
  <c r="BY1147" i="5"/>
  <c r="CC1147" i="5"/>
  <c r="CA1147" i="5"/>
  <c r="BW1147" i="5"/>
  <c r="BV1147" i="5"/>
  <c r="BU1147" i="5"/>
  <c r="BT1147" i="5"/>
  <c r="BS1147" i="5"/>
  <c r="BR1147" i="5"/>
  <c r="BQ1147" i="5"/>
  <c r="BM1147" i="5"/>
  <c r="BI1147" i="5"/>
  <c r="BK1147" i="5"/>
  <c r="BJ1147" i="5"/>
  <c r="BG1147" i="5"/>
  <c r="BH1147" i="5"/>
  <c r="BE1147" i="5"/>
  <c r="BF1147" i="5"/>
  <c r="BD1147" i="5"/>
  <c r="AY1147" i="5"/>
  <c r="AU1147" i="5"/>
  <c r="BN1147" i="5" s="1"/>
  <c r="BA1147" i="5"/>
  <c r="BP1147" i="5" s="1"/>
  <c r="AZ1147" i="5"/>
  <c r="AV1147" i="5"/>
  <c r="BC1147" i="5" s="1"/>
  <c r="CK1220" i="5"/>
  <c r="CG1220" i="5"/>
  <c r="CF1220" i="5"/>
  <c r="CJ1220" i="5"/>
  <c r="CI1220" i="5"/>
  <c r="CH1220" i="5"/>
  <c r="CE1220" i="5"/>
  <c r="CA1220" i="5"/>
  <c r="CD1220" i="5"/>
  <c r="CC1220" i="5"/>
  <c r="BZ1220" i="5"/>
  <c r="BY1220" i="5"/>
  <c r="BX1220" i="5"/>
  <c r="BW1220" i="5"/>
  <c r="BV1220" i="5"/>
  <c r="BU1220" i="5"/>
  <c r="BT1220" i="5"/>
  <c r="BS1220" i="5"/>
  <c r="BR1220" i="5"/>
  <c r="BQ1220" i="5"/>
  <c r="BL1220" i="5"/>
  <c r="BM1220" i="5"/>
  <c r="BJ1220" i="5"/>
  <c r="BK1220" i="5"/>
  <c r="BI1220" i="5"/>
  <c r="BH1220" i="5"/>
  <c r="BG1220" i="5"/>
  <c r="BF1220" i="5"/>
  <c r="BD1220" i="5"/>
  <c r="BE1220" i="5"/>
  <c r="AZ1220" i="5"/>
  <c r="AY1220" i="5"/>
  <c r="BA1220" i="5"/>
  <c r="BP1220" i="5" s="1"/>
  <c r="AU1220" i="5"/>
  <c r="BN1220" i="5" s="1"/>
  <c r="AV1220" i="5"/>
  <c r="BC1220" i="5" s="1"/>
  <c r="CK1293" i="5"/>
  <c r="CF1293" i="5"/>
  <c r="CE1293" i="5"/>
  <c r="CG1293" i="5"/>
  <c r="CI1293" i="5"/>
  <c r="CD1293" i="5"/>
  <c r="CC1293" i="5"/>
  <c r="CA1293" i="5"/>
  <c r="BW1293" i="5"/>
  <c r="BY1293" i="5"/>
  <c r="BV1293" i="5"/>
  <c r="BU1293" i="5"/>
  <c r="BT1293" i="5"/>
  <c r="BS1293" i="5"/>
  <c r="BQ1293" i="5"/>
  <c r="BR1293" i="5"/>
  <c r="BM1293" i="5"/>
  <c r="BK1293" i="5"/>
  <c r="BJ1293" i="5"/>
  <c r="BI1293" i="5"/>
  <c r="BH1293" i="5"/>
  <c r="BG1293" i="5"/>
  <c r="BF1293" i="5"/>
  <c r="BE1293" i="5"/>
  <c r="BD1293" i="5"/>
  <c r="BA1293" i="5"/>
  <c r="BP1293" i="5" s="1"/>
  <c r="AU1293" i="5"/>
  <c r="BN1293" i="5" s="1"/>
  <c r="AZ1293" i="5"/>
  <c r="AY1293" i="5"/>
  <c r="AV1293" i="5"/>
  <c r="BC1293" i="5" s="1"/>
  <c r="CI43" i="5"/>
  <c r="CE43" i="5"/>
  <c r="CK43" i="5"/>
  <c r="CF43" i="5"/>
  <c r="CC43" i="5"/>
  <c r="CD43" i="5"/>
  <c r="CA43" i="5"/>
  <c r="BY43" i="5"/>
  <c r="BW43" i="5"/>
  <c r="BV43" i="5"/>
  <c r="BU43" i="5"/>
  <c r="BT43" i="5"/>
  <c r="BS43" i="5"/>
  <c r="BQ43" i="5"/>
  <c r="BR43" i="5"/>
  <c r="BK43" i="5"/>
  <c r="BM43" i="5"/>
  <c r="BI43" i="5"/>
  <c r="BG43" i="5"/>
  <c r="BH43" i="5"/>
  <c r="BJ43" i="5"/>
  <c r="BF43" i="5"/>
  <c r="BE43" i="5"/>
  <c r="BD43" i="5"/>
  <c r="BA43" i="5"/>
  <c r="BP43" i="5" s="1"/>
  <c r="AY43" i="5"/>
  <c r="AZ43" i="5"/>
  <c r="AU43" i="5"/>
  <c r="BN43" i="5" s="1"/>
  <c r="AV43" i="5"/>
  <c r="BO43" i="5" s="1"/>
  <c r="CK116" i="5"/>
  <c r="CH116" i="5"/>
  <c r="CF116" i="5"/>
  <c r="CJ116" i="5"/>
  <c r="CG116" i="5"/>
  <c r="CG1351" i="5" s="1"/>
  <c r="CG1352" i="5" s="1"/>
  <c r="CC116" i="5"/>
  <c r="CI116" i="5"/>
  <c r="CD116" i="5"/>
  <c r="CE116" i="5"/>
  <c r="CA116" i="5"/>
  <c r="BZ116" i="5"/>
  <c r="BZ1351" i="5" s="1"/>
  <c r="BZ1352" i="5" s="1"/>
  <c r="BV116" i="5"/>
  <c r="BX116" i="5"/>
  <c r="BY116" i="5"/>
  <c r="BY1351" i="5" s="1"/>
  <c r="BY1352" i="5" s="1"/>
  <c r="BW116" i="5"/>
  <c r="BT116" i="5"/>
  <c r="BT1351" i="5" s="1"/>
  <c r="BT1352" i="5" s="1"/>
  <c r="BU116" i="5"/>
  <c r="BU1351" i="5" s="1"/>
  <c r="BU1352" i="5" s="1"/>
  <c r="BS116" i="5"/>
  <c r="BQ116" i="5"/>
  <c r="BR116" i="5"/>
  <c r="BL116" i="5"/>
  <c r="BK116" i="5"/>
  <c r="BK1351" i="5" s="1"/>
  <c r="BK1352" i="5" s="1"/>
  <c r="BJ116" i="5"/>
  <c r="BM116" i="5"/>
  <c r="BI116" i="5"/>
  <c r="BH116" i="5"/>
  <c r="BF116" i="5"/>
  <c r="BF1351" i="5" s="1"/>
  <c r="BF1352" i="5" s="1"/>
  <c r="BG116" i="5"/>
  <c r="BG1351" i="5" s="1"/>
  <c r="BG1352" i="5" s="1"/>
  <c r="BE116" i="5"/>
  <c r="BE1351" i="5" s="1"/>
  <c r="BE1352" i="5" s="1"/>
  <c r="BD116" i="5"/>
  <c r="BD1351" i="5" s="1"/>
  <c r="BD1352" i="5" s="1"/>
  <c r="AZ116" i="5"/>
  <c r="BA116" i="5"/>
  <c r="AY116" i="5"/>
  <c r="AY1351" i="5" s="1"/>
  <c r="AY1352" i="5" s="1"/>
  <c r="AU116" i="5"/>
  <c r="AV116" i="5"/>
  <c r="CK189" i="5"/>
  <c r="CG189" i="5"/>
  <c r="CH189" i="5"/>
  <c r="CF189" i="5"/>
  <c r="CE189" i="5"/>
  <c r="CD189" i="5"/>
  <c r="CI189" i="5"/>
  <c r="CJ189" i="5"/>
  <c r="CC189" i="5"/>
  <c r="CA189" i="5"/>
  <c r="BZ189" i="5"/>
  <c r="BY189" i="5"/>
  <c r="BX189" i="5"/>
  <c r="BW189" i="5"/>
  <c r="BV189" i="5"/>
  <c r="BT189" i="5"/>
  <c r="BR189" i="5"/>
  <c r="BU189" i="5"/>
  <c r="BS189" i="5"/>
  <c r="BQ189" i="5"/>
  <c r="BL189" i="5"/>
  <c r="BK189" i="5"/>
  <c r="BM189" i="5"/>
  <c r="BH189" i="5"/>
  <c r="BJ189" i="5"/>
  <c r="BI189" i="5"/>
  <c r="BG189" i="5"/>
  <c r="BF189" i="5"/>
  <c r="BE189" i="5"/>
  <c r="BD189" i="5"/>
  <c r="BA189" i="5"/>
  <c r="BP189" i="5" s="1"/>
  <c r="AZ189" i="5"/>
  <c r="AY189" i="5"/>
  <c r="AU189" i="5"/>
  <c r="BN189" i="5" s="1"/>
  <c r="AV189" i="5"/>
  <c r="BO189" i="5" s="1"/>
  <c r="CK262" i="5"/>
  <c r="CI262" i="5"/>
  <c r="CG262" i="5"/>
  <c r="CJ262" i="5"/>
  <c r="CD262" i="5"/>
  <c r="CH262" i="5"/>
  <c r="CE262" i="5"/>
  <c r="CC262" i="5"/>
  <c r="CF262" i="5"/>
  <c r="BY262" i="5"/>
  <c r="BZ262" i="5"/>
  <c r="CA262" i="5"/>
  <c r="BW262" i="5"/>
  <c r="BV262" i="5"/>
  <c r="BU262" i="5"/>
  <c r="BX262" i="5"/>
  <c r="BS262" i="5"/>
  <c r="BT262" i="5"/>
  <c r="BQ262" i="5"/>
  <c r="BR262" i="5"/>
  <c r="BM262" i="5"/>
  <c r="BL262" i="5"/>
  <c r="BK262" i="5"/>
  <c r="BJ262" i="5"/>
  <c r="BI262" i="5"/>
  <c r="BG262" i="5"/>
  <c r="BF262" i="5"/>
  <c r="BH262" i="5"/>
  <c r="BD262" i="5"/>
  <c r="BE262" i="5"/>
  <c r="BA262" i="5"/>
  <c r="BP262" i="5" s="1"/>
  <c r="AV262" i="5"/>
  <c r="BO262" i="5" s="1"/>
  <c r="AZ262" i="5"/>
  <c r="AY262" i="5"/>
  <c r="AU262" i="5"/>
  <c r="BB262" i="5" s="1"/>
  <c r="CK335" i="5"/>
  <c r="CH335" i="5"/>
  <c r="CJ335" i="5"/>
  <c r="CI335" i="5"/>
  <c r="CE335" i="5"/>
  <c r="CG335" i="5"/>
  <c r="CD335" i="5"/>
  <c r="CF335" i="5"/>
  <c r="BZ335" i="5"/>
  <c r="CC335" i="5"/>
  <c r="CA335" i="5"/>
  <c r="BY335" i="5"/>
  <c r="BX335" i="5"/>
  <c r="BW335" i="5"/>
  <c r="BV335" i="5"/>
  <c r="BU335" i="5"/>
  <c r="BT335" i="5"/>
  <c r="BS335" i="5"/>
  <c r="BQ335" i="5"/>
  <c r="BR335" i="5"/>
  <c r="BK335" i="5"/>
  <c r="BL335" i="5"/>
  <c r="BM335" i="5"/>
  <c r="BI335" i="5"/>
  <c r="BJ335" i="5"/>
  <c r="BH335" i="5"/>
  <c r="BG335" i="5"/>
  <c r="BE335" i="5"/>
  <c r="BF335" i="5"/>
  <c r="BD335" i="5"/>
  <c r="BA335" i="5"/>
  <c r="BP335" i="5" s="1"/>
  <c r="AY335" i="5"/>
  <c r="AZ335" i="5"/>
  <c r="AU335" i="5"/>
  <c r="BB335" i="5" s="1"/>
  <c r="AV335" i="5"/>
  <c r="BO335" i="5" s="1"/>
  <c r="CK408" i="5"/>
  <c r="CF408" i="5"/>
  <c r="CE408" i="5"/>
  <c r="CC408" i="5"/>
  <c r="CI408" i="5"/>
  <c r="CD408" i="5"/>
  <c r="CA408" i="5"/>
  <c r="BY408" i="5"/>
  <c r="BV408" i="5"/>
  <c r="BW408" i="5"/>
  <c r="BU408" i="5"/>
  <c r="BT408" i="5"/>
  <c r="BS408" i="5"/>
  <c r="BR408" i="5"/>
  <c r="BQ408" i="5"/>
  <c r="BM408" i="5"/>
  <c r="BK408" i="5"/>
  <c r="BJ408" i="5"/>
  <c r="BI408" i="5"/>
  <c r="BH408" i="5"/>
  <c r="BG408" i="5"/>
  <c r="BF408" i="5"/>
  <c r="BE408" i="5"/>
  <c r="BD408" i="5"/>
  <c r="BA408" i="5"/>
  <c r="BP408" i="5" s="1"/>
  <c r="AZ408" i="5"/>
  <c r="AV408" i="5"/>
  <c r="BC408" i="5" s="1"/>
  <c r="AY408" i="5"/>
  <c r="AU408" i="5"/>
  <c r="BN408" i="5" s="1"/>
  <c r="CJ482" i="5"/>
  <c r="CI482" i="5"/>
  <c r="CD482" i="5"/>
  <c r="CK482" i="5"/>
  <c r="CF482" i="5"/>
  <c r="CE482" i="5"/>
  <c r="CH482" i="5"/>
  <c r="CG482" i="5"/>
  <c r="CC482" i="5"/>
  <c r="BY482" i="5"/>
  <c r="CA482" i="5"/>
  <c r="BZ482" i="5"/>
  <c r="BX482" i="5"/>
  <c r="BU482" i="5"/>
  <c r="BV482" i="5"/>
  <c r="BW482" i="5"/>
  <c r="BS482" i="5"/>
  <c r="BT482" i="5"/>
  <c r="BR482" i="5"/>
  <c r="BQ482" i="5"/>
  <c r="BM482" i="5"/>
  <c r="BL482" i="5"/>
  <c r="BK482" i="5"/>
  <c r="BJ482" i="5"/>
  <c r="BI482" i="5"/>
  <c r="BG482" i="5"/>
  <c r="BF482" i="5"/>
  <c r="BH482" i="5"/>
  <c r="BD482" i="5"/>
  <c r="BE482" i="5"/>
  <c r="BA482" i="5"/>
  <c r="BP482" i="5" s="1"/>
  <c r="AZ482" i="5"/>
  <c r="AY482" i="5"/>
  <c r="AU482" i="5"/>
  <c r="BB482" i="5" s="1"/>
  <c r="AV482" i="5"/>
  <c r="BO482" i="5" s="1"/>
  <c r="CI555" i="5"/>
  <c r="CE555" i="5"/>
  <c r="CK555" i="5"/>
  <c r="CF555" i="5"/>
  <c r="CD555" i="5"/>
  <c r="CC555" i="5"/>
  <c r="CA555" i="5"/>
  <c r="BY555" i="5"/>
  <c r="BW555" i="5"/>
  <c r="BV555" i="5"/>
  <c r="BU555" i="5"/>
  <c r="BS555" i="5"/>
  <c r="BT555" i="5"/>
  <c r="BQ555" i="5"/>
  <c r="BR555" i="5"/>
  <c r="BM555" i="5"/>
  <c r="BK555" i="5"/>
  <c r="BI555" i="5"/>
  <c r="BG555" i="5"/>
  <c r="BJ555" i="5"/>
  <c r="BF555" i="5"/>
  <c r="BH555" i="5"/>
  <c r="BE555" i="5"/>
  <c r="BD555" i="5"/>
  <c r="BA555" i="5"/>
  <c r="BP555" i="5" s="1"/>
  <c r="AY555" i="5"/>
  <c r="AZ555" i="5"/>
  <c r="AU555" i="5"/>
  <c r="BB555" i="5" s="1"/>
  <c r="AV555" i="5"/>
  <c r="BO555" i="5" s="1"/>
  <c r="CK628" i="5"/>
  <c r="CF628" i="5"/>
  <c r="CI628" i="5"/>
  <c r="CC628" i="5"/>
  <c r="CE628" i="5"/>
  <c r="CD628" i="5"/>
  <c r="CA628" i="5"/>
  <c r="BY628" i="5"/>
  <c r="BW628" i="5"/>
  <c r="BV628" i="5"/>
  <c r="BU628" i="5"/>
  <c r="BT628" i="5"/>
  <c r="BS628" i="5"/>
  <c r="BQ628" i="5"/>
  <c r="BR628" i="5"/>
  <c r="BJ628" i="5"/>
  <c r="BK628" i="5"/>
  <c r="BM628" i="5"/>
  <c r="BI628" i="5"/>
  <c r="BH628" i="5"/>
  <c r="BF628" i="5"/>
  <c r="BG628" i="5"/>
  <c r="BE628" i="5"/>
  <c r="BD628" i="5"/>
  <c r="AZ628" i="5"/>
  <c r="BA628" i="5"/>
  <c r="BP628" i="5" s="1"/>
  <c r="AY628" i="5"/>
  <c r="AU628" i="5"/>
  <c r="BB628" i="5" s="1"/>
  <c r="AV628" i="5"/>
  <c r="BO628" i="5" s="1"/>
  <c r="CK701" i="5"/>
  <c r="CG701" i="5"/>
  <c r="CH701" i="5"/>
  <c r="CJ701" i="5"/>
  <c r="CF701" i="5"/>
  <c r="CE701" i="5"/>
  <c r="CD701" i="5"/>
  <c r="CI701" i="5"/>
  <c r="CC701" i="5"/>
  <c r="CA701" i="5"/>
  <c r="BZ701" i="5"/>
  <c r="BX701" i="5"/>
  <c r="BY701" i="5"/>
  <c r="BW701" i="5"/>
  <c r="BV701" i="5"/>
  <c r="BR701" i="5"/>
  <c r="BU701" i="5"/>
  <c r="BT701" i="5"/>
  <c r="BS701" i="5"/>
  <c r="BQ701" i="5"/>
  <c r="BM701" i="5"/>
  <c r="BL701" i="5"/>
  <c r="BK701" i="5"/>
  <c r="BJ701" i="5"/>
  <c r="BI701" i="5"/>
  <c r="BH701" i="5"/>
  <c r="BG701" i="5"/>
  <c r="BF701" i="5"/>
  <c r="BE701" i="5"/>
  <c r="BD701" i="5"/>
  <c r="BA701" i="5"/>
  <c r="BP701" i="5" s="1"/>
  <c r="AZ701" i="5"/>
  <c r="AY701" i="5"/>
  <c r="AU701" i="5"/>
  <c r="BB701" i="5" s="1"/>
  <c r="AV701" i="5"/>
  <c r="BO701" i="5" s="1"/>
  <c r="CI774" i="5"/>
  <c r="CK774" i="5"/>
  <c r="CH774" i="5"/>
  <c r="CE774" i="5"/>
  <c r="CG774" i="5"/>
  <c r="CD774" i="5"/>
  <c r="CC774" i="5"/>
  <c r="CJ774" i="5"/>
  <c r="CF774" i="5"/>
  <c r="BZ774" i="5"/>
  <c r="CA774" i="5"/>
  <c r="BX774" i="5"/>
  <c r="BW774" i="5"/>
  <c r="BY774" i="5"/>
  <c r="BU774" i="5"/>
  <c r="BV774" i="5"/>
  <c r="BS774" i="5"/>
  <c r="BT774" i="5"/>
  <c r="BQ774" i="5"/>
  <c r="BR774" i="5"/>
  <c r="BL774" i="5"/>
  <c r="BM774" i="5"/>
  <c r="BK774" i="5"/>
  <c r="BJ774" i="5"/>
  <c r="BI774" i="5"/>
  <c r="BH774" i="5"/>
  <c r="BG774" i="5"/>
  <c r="BD774" i="5"/>
  <c r="BF774" i="5"/>
  <c r="BE774" i="5"/>
  <c r="AV774" i="5"/>
  <c r="BC774" i="5" s="1"/>
  <c r="BA774" i="5"/>
  <c r="BP774" i="5" s="1"/>
  <c r="AZ774" i="5"/>
  <c r="AY774" i="5"/>
  <c r="AU774" i="5"/>
  <c r="BN774" i="5" s="1"/>
  <c r="CK847" i="5"/>
  <c r="CI847" i="5"/>
  <c r="CE847" i="5"/>
  <c r="CD847" i="5"/>
  <c r="CF847" i="5"/>
  <c r="CC847" i="5"/>
  <c r="BY847" i="5"/>
  <c r="CA847" i="5"/>
  <c r="BV847" i="5"/>
  <c r="BW847" i="5"/>
  <c r="BU847" i="5"/>
  <c r="BT847" i="5"/>
  <c r="BS847" i="5"/>
  <c r="BQ847" i="5"/>
  <c r="BR847" i="5"/>
  <c r="BM847" i="5"/>
  <c r="BI847" i="5"/>
  <c r="BJ847" i="5"/>
  <c r="BK847" i="5"/>
  <c r="BG847" i="5"/>
  <c r="BH847" i="5"/>
  <c r="BE847" i="5"/>
  <c r="BF847" i="5"/>
  <c r="BD847" i="5"/>
  <c r="AY847" i="5"/>
  <c r="BA847" i="5"/>
  <c r="BP847" i="5" s="1"/>
  <c r="AZ847" i="5"/>
  <c r="AU847" i="5"/>
  <c r="BB847" i="5" s="1"/>
  <c r="AV847" i="5"/>
  <c r="BC847" i="5" s="1"/>
  <c r="CJ920" i="5"/>
  <c r="CK920" i="5"/>
  <c r="CH920" i="5"/>
  <c r="CF920" i="5"/>
  <c r="CE920" i="5"/>
  <c r="CI920" i="5"/>
  <c r="CG920" i="5"/>
  <c r="CD920" i="5"/>
  <c r="CA920" i="5"/>
  <c r="CC920" i="5"/>
  <c r="BZ920" i="5"/>
  <c r="BY920" i="5"/>
  <c r="BX920" i="5"/>
  <c r="BW920" i="5"/>
  <c r="BU920" i="5"/>
  <c r="BV920" i="5"/>
  <c r="BT920" i="5"/>
  <c r="BS920" i="5"/>
  <c r="BR920" i="5"/>
  <c r="BQ920" i="5"/>
  <c r="BM920" i="5"/>
  <c r="BK920" i="5"/>
  <c r="BL920" i="5"/>
  <c r="BJ920" i="5"/>
  <c r="BI920" i="5"/>
  <c r="BH920" i="5"/>
  <c r="BG920" i="5"/>
  <c r="BF920" i="5"/>
  <c r="BE920" i="5"/>
  <c r="BD920" i="5"/>
  <c r="AZ920" i="5"/>
  <c r="AV920" i="5"/>
  <c r="BO920" i="5" s="1"/>
  <c r="AY920" i="5"/>
  <c r="BA920" i="5"/>
  <c r="BP920" i="5" s="1"/>
  <c r="AU920" i="5"/>
  <c r="BB920" i="5" s="1"/>
  <c r="CK994" i="5"/>
  <c r="CI994" i="5"/>
  <c r="CF994" i="5"/>
  <c r="CE994" i="5"/>
  <c r="CC994" i="5"/>
  <c r="CD994" i="5"/>
  <c r="CA994" i="5"/>
  <c r="BY994" i="5"/>
  <c r="BU994" i="5"/>
  <c r="BW994" i="5"/>
  <c r="BS994" i="5"/>
  <c r="BV994" i="5"/>
  <c r="BT994" i="5"/>
  <c r="BR994" i="5"/>
  <c r="BQ994" i="5"/>
  <c r="BM994" i="5"/>
  <c r="BK994" i="5"/>
  <c r="BJ994" i="5"/>
  <c r="BI994" i="5"/>
  <c r="BH994" i="5"/>
  <c r="BG994" i="5"/>
  <c r="BD994" i="5"/>
  <c r="BF994" i="5"/>
  <c r="BE994" i="5"/>
  <c r="BA994" i="5"/>
  <c r="BP994" i="5" s="1"/>
  <c r="AZ994" i="5"/>
  <c r="AY994" i="5"/>
  <c r="AU994" i="5"/>
  <c r="BN994" i="5" s="1"/>
  <c r="AV994" i="5"/>
  <c r="BO994" i="5" s="1"/>
  <c r="CK1067" i="5"/>
  <c r="CI1067" i="5"/>
  <c r="CE1067" i="5"/>
  <c r="CD1067" i="5"/>
  <c r="CF1067" i="5"/>
  <c r="CC1067" i="5"/>
  <c r="BY1067" i="5"/>
  <c r="CA1067" i="5"/>
  <c r="BW1067" i="5"/>
  <c r="BV1067" i="5"/>
  <c r="BU1067" i="5"/>
  <c r="BT1067" i="5"/>
  <c r="BR1067" i="5"/>
  <c r="BQ1067" i="5"/>
  <c r="BS1067" i="5"/>
  <c r="BM1067" i="5"/>
  <c r="BI1067" i="5"/>
  <c r="BG1067" i="5"/>
  <c r="BK1067" i="5"/>
  <c r="BJ1067" i="5"/>
  <c r="BH1067" i="5"/>
  <c r="BE1067" i="5"/>
  <c r="BD1067" i="5"/>
  <c r="BF1067" i="5"/>
  <c r="AY1067" i="5"/>
  <c r="BA1067" i="5"/>
  <c r="BP1067" i="5" s="1"/>
  <c r="AZ1067" i="5"/>
  <c r="AU1067" i="5"/>
  <c r="BN1067" i="5" s="1"/>
  <c r="AV1067" i="5"/>
  <c r="BC1067" i="5" s="1"/>
  <c r="CK1140" i="5"/>
  <c r="CF1140" i="5"/>
  <c r="CI1140" i="5"/>
  <c r="CE1140" i="5"/>
  <c r="CA1140" i="5"/>
  <c r="CD1140" i="5"/>
  <c r="CC1140" i="5"/>
  <c r="BY1140" i="5"/>
  <c r="BW1140" i="5"/>
  <c r="BV1140" i="5"/>
  <c r="BU1140" i="5"/>
  <c r="BT1140" i="5"/>
  <c r="BR1140" i="5"/>
  <c r="BQ1140" i="5"/>
  <c r="BS1140" i="5"/>
  <c r="BJ1140" i="5"/>
  <c r="BM1140" i="5"/>
  <c r="BI1140" i="5"/>
  <c r="BK1140" i="5"/>
  <c r="BH1140" i="5"/>
  <c r="BF1140" i="5"/>
  <c r="BG1140" i="5"/>
  <c r="BE1140" i="5"/>
  <c r="BD1140" i="5"/>
  <c r="AZ1140" i="5"/>
  <c r="BA1140" i="5"/>
  <c r="BP1140" i="5" s="1"/>
  <c r="AY1140" i="5"/>
  <c r="AV1140" i="5"/>
  <c r="BO1140" i="5" s="1"/>
  <c r="AU1140" i="5"/>
  <c r="BN1140" i="5" s="1"/>
  <c r="CJ1213" i="5"/>
  <c r="CK1213" i="5"/>
  <c r="CG1213" i="5"/>
  <c r="CF1213" i="5"/>
  <c r="CE1213" i="5"/>
  <c r="CD1213" i="5"/>
  <c r="CI1213" i="5"/>
  <c r="CH1213" i="5"/>
  <c r="CC1213" i="5"/>
  <c r="CA1213" i="5"/>
  <c r="BZ1213" i="5"/>
  <c r="BY1213" i="5"/>
  <c r="BW1213" i="5"/>
  <c r="BX1213" i="5"/>
  <c r="BV1213" i="5"/>
  <c r="BU1213" i="5"/>
  <c r="BT1213" i="5"/>
  <c r="BS1213" i="5"/>
  <c r="BQ1213" i="5"/>
  <c r="BR1213" i="5"/>
  <c r="BL1213" i="5"/>
  <c r="BM1213" i="5"/>
  <c r="BK1213" i="5"/>
  <c r="BI1213" i="5"/>
  <c r="BJ1213" i="5"/>
  <c r="BH1213" i="5"/>
  <c r="BG1213" i="5"/>
  <c r="BF1213" i="5"/>
  <c r="BE1213" i="5"/>
  <c r="BD1213" i="5"/>
  <c r="BA1213" i="5"/>
  <c r="BP1213" i="5" s="1"/>
  <c r="AU1213" i="5"/>
  <c r="BN1213" i="5" s="1"/>
  <c r="AZ1213" i="5"/>
  <c r="AY1213" i="5"/>
  <c r="AV1213" i="5"/>
  <c r="BO1213" i="5" s="1"/>
  <c r="CK1286" i="5"/>
  <c r="CI1286" i="5"/>
  <c r="CE1286" i="5"/>
  <c r="CD1286" i="5"/>
  <c r="CC1286" i="5"/>
  <c r="CF1286" i="5"/>
  <c r="CA1286" i="5"/>
  <c r="BW1286" i="5"/>
  <c r="BY1286" i="5"/>
  <c r="BU1286" i="5"/>
  <c r="BV1286" i="5"/>
  <c r="BS1286" i="5"/>
  <c r="BT1286" i="5"/>
  <c r="BR1286" i="5"/>
  <c r="BQ1286" i="5"/>
  <c r="BM1286" i="5"/>
  <c r="BK1286" i="5"/>
  <c r="BJ1286" i="5"/>
  <c r="BI1286" i="5"/>
  <c r="BH1286" i="5"/>
  <c r="BG1286" i="5"/>
  <c r="BF1286" i="5"/>
  <c r="BE1286" i="5"/>
  <c r="BD1286" i="5"/>
  <c r="AV1286" i="5"/>
  <c r="BC1286" i="5" s="1"/>
  <c r="BA1286" i="5"/>
  <c r="BP1286" i="5" s="1"/>
  <c r="AZ1286" i="5"/>
  <c r="AY1286" i="5"/>
  <c r="AU1286" i="5"/>
  <c r="BN1286" i="5" s="1"/>
  <c r="CK61" i="5"/>
  <c r="CI61" i="5"/>
  <c r="CF61" i="5"/>
  <c r="CE61" i="5"/>
  <c r="CD61" i="5"/>
  <c r="CC61" i="5"/>
  <c r="CA61" i="5"/>
  <c r="BY61" i="5"/>
  <c r="BW61" i="5"/>
  <c r="BV61" i="5"/>
  <c r="BT61" i="5"/>
  <c r="BR61" i="5"/>
  <c r="BU61" i="5"/>
  <c r="BS61" i="5"/>
  <c r="BQ61" i="5"/>
  <c r="BK61" i="5"/>
  <c r="BM61" i="5"/>
  <c r="BH61" i="5"/>
  <c r="BJ61" i="5"/>
  <c r="BI61" i="5"/>
  <c r="BG61" i="5"/>
  <c r="BF61" i="5"/>
  <c r="BE61" i="5"/>
  <c r="BD61" i="5"/>
  <c r="BA61" i="5"/>
  <c r="BP61" i="5" s="1"/>
  <c r="AZ61" i="5"/>
  <c r="AY61" i="5"/>
  <c r="AU61" i="5"/>
  <c r="BN61" i="5" s="1"/>
  <c r="AV61" i="5"/>
  <c r="BC61" i="5" s="1"/>
  <c r="CK134" i="5"/>
  <c r="CJ134" i="5"/>
  <c r="CI134" i="5"/>
  <c r="CH134" i="5"/>
  <c r="CG134" i="5"/>
  <c r="CD134" i="5"/>
  <c r="CE134" i="5"/>
  <c r="CF134" i="5"/>
  <c r="CC134" i="5"/>
  <c r="BY134" i="5"/>
  <c r="BZ134" i="5"/>
  <c r="CA134" i="5"/>
  <c r="BW134" i="5"/>
  <c r="BV134" i="5"/>
  <c r="BX134" i="5"/>
  <c r="BU134" i="5"/>
  <c r="BS134" i="5"/>
  <c r="BT134" i="5"/>
  <c r="BQ134" i="5"/>
  <c r="BR134" i="5"/>
  <c r="BM134" i="5"/>
  <c r="BL134" i="5"/>
  <c r="BK134" i="5"/>
  <c r="BH134" i="5"/>
  <c r="BJ134" i="5"/>
  <c r="BI134" i="5"/>
  <c r="BG134" i="5"/>
  <c r="BF134" i="5"/>
  <c r="BD134" i="5"/>
  <c r="BE134" i="5"/>
  <c r="BA134" i="5"/>
  <c r="BP134" i="5" s="1"/>
  <c r="AV134" i="5"/>
  <c r="BC134" i="5" s="1"/>
  <c r="AZ134" i="5"/>
  <c r="AY134" i="5"/>
  <c r="AU134" i="5"/>
  <c r="BB134" i="5" s="1"/>
  <c r="CK207" i="5"/>
  <c r="CI207" i="5"/>
  <c r="CE207" i="5"/>
  <c r="CD207" i="5"/>
  <c r="CF207" i="5"/>
  <c r="CC207" i="5"/>
  <c r="CA207" i="5"/>
  <c r="BY207" i="5"/>
  <c r="BW207" i="5"/>
  <c r="BV207" i="5"/>
  <c r="BU207" i="5"/>
  <c r="BT207" i="5"/>
  <c r="BS207" i="5"/>
  <c r="BQ207" i="5"/>
  <c r="BR207" i="5"/>
  <c r="BK207" i="5"/>
  <c r="BM207" i="5"/>
  <c r="BI207" i="5"/>
  <c r="BJ207" i="5"/>
  <c r="BH207" i="5"/>
  <c r="BG207" i="5"/>
  <c r="BE207" i="5"/>
  <c r="BF207" i="5"/>
  <c r="BD207" i="5"/>
  <c r="BA207" i="5"/>
  <c r="BP207" i="5" s="1"/>
  <c r="AY207" i="5"/>
  <c r="AZ207" i="5"/>
  <c r="AU207" i="5"/>
  <c r="BB207" i="5" s="1"/>
  <c r="AV207" i="5"/>
  <c r="BO207" i="5" s="1"/>
  <c r="CK280" i="5"/>
  <c r="CF280" i="5"/>
  <c r="CI280" i="5"/>
  <c r="CE280" i="5"/>
  <c r="CD280" i="5"/>
  <c r="CC280" i="5"/>
  <c r="CA280" i="5"/>
  <c r="BY280" i="5"/>
  <c r="BV280" i="5"/>
  <c r="BW280" i="5"/>
  <c r="BU280" i="5"/>
  <c r="BT280" i="5"/>
  <c r="BS280" i="5"/>
  <c r="BR280" i="5"/>
  <c r="BQ280" i="5"/>
  <c r="BM280" i="5"/>
  <c r="BK280" i="5"/>
  <c r="BJ280" i="5"/>
  <c r="BI280" i="5"/>
  <c r="BH280" i="5"/>
  <c r="BG280" i="5"/>
  <c r="BF280" i="5"/>
  <c r="BE280" i="5"/>
  <c r="BD280" i="5"/>
  <c r="BA280" i="5"/>
  <c r="BP280" i="5" s="1"/>
  <c r="AZ280" i="5"/>
  <c r="AV280" i="5"/>
  <c r="BC280" i="5" s="1"/>
  <c r="AY280" i="5"/>
  <c r="AU280" i="5"/>
  <c r="BN280" i="5" s="1"/>
  <c r="CJ354" i="5"/>
  <c r="CK354" i="5"/>
  <c r="CI354" i="5"/>
  <c r="CH354" i="5"/>
  <c r="CD354" i="5"/>
  <c r="CG354" i="5"/>
  <c r="CF354" i="5"/>
  <c r="CE354" i="5"/>
  <c r="CC354" i="5"/>
  <c r="BY354" i="5"/>
  <c r="CA354" i="5"/>
  <c r="BZ354" i="5"/>
  <c r="BU354" i="5"/>
  <c r="BX354" i="5"/>
  <c r="BV354" i="5"/>
  <c r="BW354" i="5"/>
  <c r="BS354" i="5"/>
  <c r="BT354" i="5"/>
  <c r="BR354" i="5"/>
  <c r="BQ354" i="5"/>
  <c r="BM354" i="5"/>
  <c r="BL354" i="5"/>
  <c r="BK354" i="5"/>
  <c r="BJ354" i="5"/>
  <c r="BI354" i="5"/>
  <c r="BG354" i="5"/>
  <c r="BF354" i="5"/>
  <c r="BD354" i="5"/>
  <c r="BH354" i="5"/>
  <c r="BE354" i="5"/>
  <c r="BA354" i="5"/>
  <c r="BP354" i="5" s="1"/>
  <c r="AZ354" i="5"/>
  <c r="AY354" i="5"/>
  <c r="AU354" i="5"/>
  <c r="BN354" i="5" s="1"/>
  <c r="AV354" i="5"/>
  <c r="BC354" i="5" s="1"/>
  <c r="CK427" i="5"/>
  <c r="CI427" i="5"/>
  <c r="CE427" i="5"/>
  <c r="CF427" i="5"/>
  <c r="CD427" i="5"/>
  <c r="CC427" i="5"/>
  <c r="CA427" i="5"/>
  <c r="BY427" i="5"/>
  <c r="BW427" i="5"/>
  <c r="BV427" i="5"/>
  <c r="BU427" i="5"/>
  <c r="BS427" i="5"/>
  <c r="BT427" i="5"/>
  <c r="BQ427" i="5"/>
  <c r="BR427" i="5"/>
  <c r="BK427" i="5"/>
  <c r="BM427" i="5"/>
  <c r="BI427" i="5"/>
  <c r="BG427" i="5"/>
  <c r="BH427" i="5"/>
  <c r="BJ427" i="5"/>
  <c r="BF427" i="5"/>
  <c r="BE427" i="5"/>
  <c r="BD427" i="5"/>
  <c r="BA427" i="5"/>
  <c r="BP427" i="5" s="1"/>
  <c r="AY427" i="5"/>
  <c r="AZ427" i="5"/>
  <c r="AU427" i="5"/>
  <c r="BB427" i="5" s="1"/>
  <c r="AV427" i="5"/>
  <c r="BO427" i="5" s="1"/>
  <c r="CK500" i="5"/>
  <c r="CF500" i="5"/>
  <c r="CI500" i="5"/>
  <c r="CC500" i="5"/>
  <c r="CE500" i="5"/>
  <c r="CD500" i="5"/>
  <c r="CA500" i="5"/>
  <c r="BV500" i="5"/>
  <c r="BY500" i="5"/>
  <c r="BW500" i="5"/>
  <c r="BT500" i="5"/>
  <c r="BU500" i="5"/>
  <c r="BS500" i="5"/>
  <c r="BQ500" i="5"/>
  <c r="BR500" i="5"/>
  <c r="BJ500" i="5"/>
  <c r="BK500" i="5"/>
  <c r="BM500" i="5"/>
  <c r="BI500" i="5"/>
  <c r="BH500" i="5"/>
  <c r="BF500" i="5"/>
  <c r="BG500" i="5"/>
  <c r="BE500" i="5"/>
  <c r="BD500" i="5"/>
  <c r="AZ500" i="5"/>
  <c r="BA500" i="5"/>
  <c r="BP500" i="5" s="1"/>
  <c r="AY500" i="5"/>
  <c r="AU500" i="5"/>
  <c r="BN500" i="5" s="1"/>
  <c r="AV500" i="5"/>
  <c r="BC500" i="5" s="1"/>
  <c r="CK573" i="5"/>
  <c r="CH573" i="5"/>
  <c r="CI573" i="5"/>
  <c r="CG573" i="5"/>
  <c r="CF573" i="5"/>
  <c r="CE573" i="5"/>
  <c r="CJ573" i="5"/>
  <c r="CD573" i="5"/>
  <c r="CC573" i="5"/>
  <c r="CA573" i="5"/>
  <c r="BZ573" i="5"/>
  <c r="BY573" i="5"/>
  <c r="BX573" i="5"/>
  <c r="BW573" i="5"/>
  <c r="BT573" i="5"/>
  <c r="BV573" i="5"/>
  <c r="BR573" i="5"/>
  <c r="BU573" i="5"/>
  <c r="BS573" i="5"/>
  <c r="BQ573" i="5"/>
  <c r="BM573" i="5"/>
  <c r="BL573" i="5"/>
  <c r="BK573" i="5"/>
  <c r="BJ573" i="5"/>
  <c r="BI573" i="5"/>
  <c r="BH573" i="5"/>
  <c r="BG573" i="5"/>
  <c r="BF573" i="5"/>
  <c r="BE573" i="5"/>
  <c r="BD573" i="5"/>
  <c r="BA573" i="5"/>
  <c r="BP573" i="5" s="1"/>
  <c r="AZ573" i="5"/>
  <c r="AY573" i="5"/>
  <c r="AU573" i="5"/>
  <c r="BN573" i="5" s="1"/>
  <c r="AV573" i="5"/>
  <c r="BC573" i="5" s="1"/>
  <c r="CK646" i="5"/>
  <c r="CJ646" i="5"/>
  <c r="CI646" i="5"/>
  <c r="CH646" i="5"/>
  <c r="CE646" i="5"/>
  <c r="CF646" i="5"/>
  <c r="CD646" i="5"/>
  <c r="CC646" i="5"/>
  <c r="CG646" i="5"/>
  <c r="BZ646" i="5"/>
  <c r="BX646" i="5"/>
  <c r="CA646" i="5"/>
  <c r="BW646" i="5"/>
  <c r="BY646" i="5"/>
  <c r="BU646" i="5"/>
  <c r="BV646" i="5"/>
  <c r="BS646" i="5"/>
  <c r="BT646" i="5"/>
  <c r="BQ646" i="5"/>
  <c r="BR646" i="5"/>
  <c r="BM646" i="5"/>
  <c r="BK646" i="5"/>
  <c r="BL646" i="5"/>
  <c r="BJ646" i="5"/>
  <c r="BI646" i="5"/>
  <c r="BH646" i="5"/>
  <c r="BG646" i="5"/>
  <c r="BF646" i="5"/>
  <c r="BD646" i="5"/>
  <c r="BE646" i="5"/>
  <c r="AV646" i="5"/>
  <c r="BO646" i="5" s="1"/>
  <c r="BA646" i="5"/>
  <c r="BP646" i="5" s="1"/>
  <c r="AZ646" i="5"/>
  <c r="AY646" i="5"/>
  <c r="AU646" i="5"/>
  <c r="BN646" i="5" s="1"/>
  <c r="CK719" i="5"/>
  <c r="CJ719" i="5"/>
  <c r="CI719" i="5"/>
  <c r="CE719" i="5"/>
  <c r="CH719" i="5"/>
  <c r="CG719" i="5"/>
  <c r="CF719" i="5"/>
  <c r="CD719" i="5"/>
  <c r="BZ719" i="5"/>
  <c r="CC719" i="5"/>
  <c r="BY719" i="5"/>
  <c r="CA719" i="5"/>
  <c r="BV719" i="5"/>
  <c r="BW719" i="5"/>
  <c r="BX719" i="5"/>
  <c r="BU719" i="5"/>
  <c r="BT719" i="5"/>
  <c r="BS719" i="5"/>
  <c r="BQ719" i="5"/>
  <c r="BR719" i="5"/>
  <c r="BM719" i="5"/>
  <c r="BI719" i="5"/>
  <c r="BL719" i="5"/>
  <c r="BJ719" i="5"/>
  <c r="BK719" i="5"/>
  <c r="BG719" i="5"/>
  <c r="BH719" i="5"/>
  <c r="BE719" i="5"/>
  <c r="BF719" i="5"/>
  <c r="BD719" i="5"/>
  <c r="AY719" i="5"/>
  <c r="BA719" i="5"/>
  <c r="BP719" i="5" s="1"/>
  <c r="AZ719" i="5"/>
  <c r="AU719" i="5"/>
  <c r="BN719" i="5" s="1"/>
  <c r="AV719" i="5"/>
  <c r="BO719" i="5" s="1"/>
  <c r="CJ792" i="5"/>
  <c r="CH792" i="5"/>
  <c r="CF792" i="5"/>
  <c r="CK792" i="5"/>
  <c r="CG792" i="5"/>
  <c r="CE792" i="5"/>
  <c r="CI792" i="5"/>
  <c r="CC792" i="5"/>
  <c r="CD792" i="5"/>
  <c r="CA792" i="5"/>
  <c r="BZ792" i="5"/>
  <c r="BY792" i="5"/>
  <c r="BX792" i="5"/>
  <c r="BW792" i="5"/>
  <c r="BV792" i="5"/>
  <c r="BU792" i="5"/>
  <c r="BT792" i="5"/>
  <c r="BS792" i="5"/>
  <c r="BR792" i="5"/>
  <c r="BQ792" i="5"/>
  <c r="BM792" i="5"/>
  <c r="BK792" i="5"/>
  <c r="BL792" i="5"/>
  <c r="BJ792" i="5"/>
  <c r="BI792" i="5"/>
  <c r="BH792" i="5"/>
  <c r="BG792" i="5"/>
  <c r="BF792" i="5"/>
  <c r="BE792" i="5"/>
  <c r="BD792" i="5"/>
  <c r="AZ792" i="5"/>
  <c r="AV792" i="5"/>
  <c r="BO792" i="5" s="1"/>
  <c r="AY792" i="5"/>
  <c r="BA792" i="5"/>
  <c r="BP792" i="5" s="1"/>
  <c r="AU792" i="5"/>
  <c r="BB792" i="5" s="1"/>
  <c r="CI866" i="5"/>
  <c r="CK866" i="5"/>
  <c r="CF866" i="5"/>
  <c r="CE866" i="5"/>
  <c r="CC866" i="5"/>
  <c r="CD866" i="5"/>
  <c r="CA866" i="5"/>
  <c r="BY866" i="5"/>
  <c r="BU866" i="5"/>
  <c r="BW866" i="5"/>
  <c r="BS866" i="5"/>
  <c r="BV866" i="5"/>
  <c r="BT866" i="5"/>
  <c r="BR866" i="5"/>
  <c r="BQ866" i="5"/>
  <c r="BM866" i="5"/>
  <c r="BK866" i="5"/>
  <c r="BJ866" i="5"/>
  <c r="BI866" i="5"/>
  <c r="BH866" i="5"/>
  <c r="BG866" i="5"/>
  <c r="BF866" i="5"/>
  <c r="BD866" i="5"/>
  <c r="BE866" i="5"/>
  <c r="BA866" i="5"/>
  <c r="BP866" i="5" s="1"/>
  <c r="AZ866" i="5"/>
  <c r="AY866" i="5"/>
  <c r="AU866" i="5"/>
  <c r="BN866" i="5" s="1"/>
  <c r="AV866" i="5"/>
  <c r="BC866" i="5" s="1"/>
  <c r="CK939" i="5"/>
  <c r="CI939" i="5"/>
  <c r="CE939" i="5"/>
  <c r="CD939" i="5"/>
  <c r="CF939" i="5"/>
  <c r="CC939" i="5"/>
  <c r="BY939" i="5"/>
  <c r="CA939" i="5"/>
  <c r="BW939" i="5"/>
  <c r="BV939" i="5"/>
  <c r="BU939" i="5"/>
  <c r="BT939" i="5"/>
  <c r="BQ939" i="5"/>
  <c r="BR939" i="5"/>
  <c r="BS939" i="5"/>
  <c r="BM939" i="5"/>
  <c r="BI939" i="5"/>
  <c r="BG939" i="5"/>
  <c r="BK939" i="5"/>
  <c r="BJ939" i="5"/>
  <c r="BH939" i="5"/>
  <c r="BE939" i="5"/>
  <c r="BD939" i="5"/>
  <c r="BF939" i="5"/>
  <c r="AY939" i="5"/>
  <c r="BA939" i="5"/>
  <c r="BP939" i="5" s="1"/>
  <c r="AZ939" i="5"/>
  <c r="AU939" i="5"/>
  <c r="BN939" i="5" s="1"/>
  <c r="AV939" i="5"/>
  <c r="BC939" i="5" s="1"/>
  <c r="CF1012" i="5"/>
  <c r="CK1012" i="5"/>
  <c r="CI1012" i="5"/>
  <c r="CE1012" i="5"/>
  <c r="CD1012" i="5"/>
  <c r="CA1012" i="5"/>
  <c r="CC1012" i="5"/>
  <c r="BY1012" i="5"/>
  <c r="BW1012" i="5"/>
  <c r="BV1012" i="5"/>
  <c r="BU1012" i="5"/>
  <c r="BT1012" i="5"/>
  <c r="BR1012" i="5"/>
  <c r="BQ1012" i="5"/>
  <c r="BS1012" i="5"/>
  <c r="BJ1012" i="5"/>
  <c r="BK1012" i="5"/>
  <c r="BM1012" i="5"/>
  <c r="BI1012" i="5"/>
  <c r="BH1012" i="5"/>
  <c r="BF1012" i="5"/>
  <c r="BG1012" i="5"/>
  <c r="BE1012" i="5"/>
  <c r="BD1012" i="5"/>
  <c r="AZ1012" i="5"/>
  <c r="BA1012" i="5"/>
  <c r="BP1012" i="5" s="1"/>
  <c r="AY1012" i="5"/>
  <c r="AU1012" i="5"/>
  <c r="BN1012" i="5" s="1"/>
  <c r="AV1012" i="5"/>
  <c r="BC1012" i="5" s="1"/>
  <c r="CK1085" i="5"/>
  <c r="CF1085" i="5"/>
  <c r="CE1085" i="5"/>
  <c r="CD1085" i="5"/>
  <c r="CI1085" i="5"/>
  <c r="CC1085" i="5"/>
  <c r="CA1085" i="5"/>
  <c r="BY1085" i="5"/>
  <c r="BW1085" i="5"/>
  <c r="BV1085" i="5"/>
  <c r="BU1085" i="5"/>
  <c r="BT1085" i="5"/>
  <c r="BS1085" i="5"/>
  <c r="BQ1085" i="5"/>
  <c r="BR1085" i="5"/>
  <c r="BM1085" i="5"/>
  <c r="BK1085" i="5"/>
  <c r="BI1085" i="5"/>
  <c r="BJ1085" i="5"/>
  <c r="BH1085" i="5"/>
  <c r="BG1085" i="5"/>
  <c r="BF1085" i="5"/>
  <c r="BE1085" i="5"/>
  <c r="BD1085" i="5"/>
  <c r="BA1085" i="5"/>
  <c r="BP1085" i="5" s="1"/>
  <c r="AZ1085" i="5"/>
  <c r="AY1085" i="5"/>
  <c r="AU1085" i="5"/>
  <c r="BB1085" i="5" s="1"/>
  <c r="AV1085" i="5"/>
  <c r="BO1085" i="5" s="1"/>
  <c r="CI1158" i="5"/>
  <c r="CK1158" i="5"/>
  <c r="CE1158" i="5"/>
  <c r="CD1158" i="5"/>
  <c r="CC1158" i="5"/>
  <c r="CF1158" i="5"/>
  <c r="CA1158" i="5"/>
  <c r="BW1158" i="5"/>
  <c r="BY1158" i="5"/>
  <c r="BU1158" i="5"/>
  <c r="BV1158" i="5"/>
  <c r="BS1158" i="5"/>
  <c r="BT1158" i="5"/>
  <c r="BR1158" i="5"/>
  <c r="BQ1158" i="5"/>
  <c r="BM1158" i="5"/>
  <c r="BK1158" i="5"/>
  <c r="BJ1158" i="5"/>
  <c r="BI1158" i="5"/>
  <c r="BH1158" i="5"/>
  <c r="BG1158" i="5"/>
  <c r="BF1158" i="5"/>
  <c r="BE1158" i="5"/>
  <c r="BD1158" i="5"/>
  <c r="AV1158" i="5"/>
  <c r="BO1158" i="5" s="1"/>
  <c r="BA1158" i="5"/>
  <c r="BP1158" i="5" s="1"/>
  <c r="AZ1158" i="5"/>
  <c r="AY1158" i="5"/>
  <c r="AU1158" i="5"/>
  <c r="BN1158" i="5" s="1"/>
  <c r="CK1231" i="5"/>
  <c r="CI1231" i="5"/>
  <c r="CE1231" i="5"/>
  <c r="CF1231" i="5"/>
  <c r="CD1231" i="5"/>
  <c r="CC1231" i="5"/>
  <c r="BY1231" i="5"/>
  <c r="CA1231" i="5"/>
  <c r="BV1231" i="5"/>
  <c r="BW1231" i="5"/>
  <c r="BT1231" i="5"/>
  <c r="BU1231" i="5"/>
  <c r="BS1231" i="5"/>
  <c r="BR1231" i="5"/>
  <c r="BQ1231" i="5"/>
  <c r="BM1231" i="5"/>
  <c r="BK1231" i="5"/>
  <c r="BJ1231" i="5"/>
  <c r="BI1231" i="5"/>
  <c r="BG1231" i="5"/>
  <c r="BH1231" i="5"/>
  <c r="BE1231" i="5"/>
  <c r="BF1231" i="5"/>
  <c r="BD1231" i="5"/>
  <c r="AY1231" i="5"/>
  <c r="BA1231" i="5"/>
  <c r="BP1231" i="5" s="1"/>
  <c r="AZ1231" i="5"/>
  <c r="AU1231" i="5"/>
  <c r="BB1231" i="5" s="1"/>
  <c r="AV1231" i="5"/>
  <c r="BC1231" i="5" s="1"/>
  <c r="CK1304" i="5"/>
  <c r="CJ1304" i="5"/>
  <c r="CF1304" i="5"/>
  <c r="CE1304" i="5"/>
  <c r="CH1304" i="5"/>
  <c r="CG1304" i="5"/>
  <c r="CI1304" i="5"/>
  <c r="CD1304" i="5"/>
  <c r="CA1304" i="5"/>
  <c r="CC1304" i="5"/>
  <c r="BZ1304" i="5"/>
  <c r="BY1304" i="5"/>
  <c r="BX1304" i="5"/>
  <c r="BW1304" i="5"/>
  <c r="BV1304" i="5"/>
  <c r="BU1304" i="5"/>
  <c r="BT1304" i="5"/>
  <c r="BS1304" i="5"/>
  <c r="BR1304" i="5"/>
  <c r="BQ1304" i="5"/>
  <c r="BM1304" i="5"/>
  <c r="BL1304" i="5"/>
  <c r="BJ1304" i="5"/>
  <c r="BK1304" i="5"/>
  <c r="BH1304" i="5"/>
  <c r="BI1304" i="5"/>
  <c r="BG1304" i="5"/>
  <c r="BF1304" i="5"/>
  <c r="BE1304" i="5"/>
  <c r="BD1304" i="5"/>
  <c r="AZ1304" i="5"/>
  <c r="AV1304" i="5"/>
  <c r="BO1304" i="5" s="1"/>
  <c r="AY1304" i="5"/>
  <c r="BA1304" i="5"/>
  <c r="BP1304" i="5" s="1"/>
  <c r="AU1304" i="5"/>
  <c r="BB1304" i="5" s="1"/>
  <c r="CJ118" i="5"/>
  <c r="CI118" i="5"/>
  <c r="CH118" i="5"/>
  <c r="CG118" i="5"/>
  <c r="CD118" i="5"/>
  <c r="CK118" i="5"/>
  <c r="CF118" i="5"/>
  <c r="CC118" i="5"/>
  <c r="CE118" i="5"/>
  <c r="BY118" i="5"/>
  <c r="BZ118" i="5"/>
  <c r="CA118" i="5"/>
  <c r="BX118" i="5"/>
  <c r="BW118" i="5"/>
  <c r="BV118" i="5"/>
  <c r="BU118" i="5"/>
  <c r="BS118" i="5"/>
  <c r="BT118" i="5"/>
  <c r="BQ118" i="5"/>
  <c r="BR118" i="5"/>
  <c r="BM118" i="5"/>
  <c r="BK118" i="5"/>
  <c r="BL118" i="5"/>
  <c r="BH118" i="5"/>
  <c r="BJ118" i="5"/>
  <c r="BI118" i="5"/>
  <c r="BF118" i="5"/>
  <c r="BG118" i="5"/>
  <c r="BD118" i="5"/>
  <c r="BE118" i="5"/>
  <c r="BA118" i="5"/>
  <c r="AZ118" i="5"/>
  <c r="AY118" i="5"/>
  <c r="AV118" i="5"/>
  <c r="AU118" i="5"/>
  <c r="CI264" i="5"/>
  <c r="CF264" i="5"/>
  <c r="CK264" i="5"/>
  <c r="CE264" i="5"/>
  <c r="CD264" i="5"/>
  <c r="CC264" i="5"/>
  <c r="CA264" i="5"/>
  <c r="BY264" i="5"/>
  <c r="BV264" i="5"/>
  <c r="BW264" i="5"/>
  <c r="BU264" i="5"/>
  <c r="BS264" i="5"/>
  <c r="BR264" i="5"/>
  <c r="BT264" i="5"/>
  <c r="BQ264" i="5"/>
  <c r="BK264" i="5"/>
  <c r="BM264" i="5"/>
  <c r="BJ264" i="5"/>
  <c r="BH264" i="5"/>
  <c r="BI264" i="5"/>
  <c r="BG264" i="5"/>
  <c r="BF264" i="5"/>
  <c r="BE264" i="5"/>
  <c r="BD264" i="5"/>
  <c r="BA264" i="5"/>
  <c r="BP264" i="5" s="1"/>
  <c r="AZ264" i="5"/>
  <c r="AV264" i="5"/>
  <c r="BC264" i="5" s="1"/>
  <c r="AY264" i="5"/>
  <c r="AU264" i="5"/>
  <c r="BN264" i="5" s="1"/>
  <c r="CK411" i="5"/>
  <c r="CJ411" i="5"/>
  <c r="CI411" i="5"/>
  <c r="CG411" i="5"/>
  <c r="CE411" i="5"/>
  <c r="CH411" i="5"/>
  <c r="CC411" i="5"/>
  <c r="CF411" i="5"/>
  <c r="CD411" i="5"/>
  <c r="BZ411" i="5"/>
  <c r="CA411" i="5"/>
  <c r="BX411" i="5"/>
  <c r="BY411" i="5"/>
  <c r="BW411" i="5"/>
  <c r="BV411" i="5"/>
  <c r="BU411" i="5"/>
  <c r="BS411" i="5"/>
  <c r="BT411" i="5"/>
  <c r="BR411" i="5"/>
  <c r="BQ411" i="5"/>
  <c r="BK411" i="5"/>
  <c r="BL411" i="5"/>
  <c r="BM411" i="5"/>
  <c r="BI411" i="5"/>
  <c r="BJ411" i="5"/>
  <c r="BG411" i="5"/>
  <c r="BH411" i="5"/>
  <c r="BF411" i="5"/>
  <c r="BE411" i="5"/>
  <c r="BD411" i="5"/>
  <c r="BA411" i="5"/>
  <c r="BP411" i="5" s="1"/>
  <c r="AY411" i="5"/>
  <c r="AU411" i="5"/>
  <c r="BB411" i="5" s="1"/>
  <c r="AZ411" i="5"/>
  <c r="AV411" i="5"/>
  <c r="BO411" i="5" s="1"/>
  <c r="CJ557" i="5"/>
  <c r="CK557" i="5"/>
  <c r="CG557" i="5"/>
  <c r="CF557" i="5"/>
  <c r="CE557" i="5"/>
  <c r="CI557" i="5"/>
  <c r="CD557" i="5"/>
  <c r="CH557" i="5"/>
  <c r="CC557" i="5"/>
  <c r="CA557" i="5"/>
  <c r="BZ557" i="5"/>
  <c r="BY557" i="5"/>
  <c r="BW557" i="5"/>
  <c r="BX557" i="5"/>
  <c r="BV557" i="5"/>
  <c r="BT557" i="5"/>
  <c r="BR557" i="5"/>
  <c r="BU557" i="5"/>
  <c r="BS557" i="5"/>
  <c r="BQ557" i="5"/>
  <c r="BM557" i="5"/>
  <c r="BL557" i="5"/>
  <c r="BK557" i="5"/>
  <c r="BJ557" i="5"/>
  <c r="BI557" i="5"/>
  <c r="BH557" i="5"/>
  <c r="BG557" i="5"/>
  <c r="BF557" i="5"/>
  <c r="BE557" i="5"/>
  <c r="BD557" i="5"/>
  <c r="BA557" i="5"/>
  <c r="BP557" i="5" s="1"/>
  <c r="AZ557" i="5"/>
  <c r="AY557" i="5"/>
  <c r="AU557" i="5"/>
  <c r="BN557" i="5" s="1"/>
  <c r="AV557" i="5"/>
  <c r="BO557" i="5" s="1"/>
  <c r="CK703" i="5"/>
  <c r="CJ703" i="5"/>
  <c r="CE703" i="5"/>
  <c r="CI703" i="5"/>
  <c r="CH703" i="5"/>
  <c r="CF703" i="5"/>
  <c r="CG703" i="5"/>
  <c r="CC703" i="5"/>
  <c r="CD703" i="5"/>
  <c r="BZ703" i="5"/>
  <c r="BY703" i="5"/>
  <c r="CA703" i="5"/>
  <c r="BV703" i="5"/>
  <c r="BX703" i="5"/>
  <c r="BW703" i="5"/>
  <c r="BU703" i="5"/>
  <c r="BT703" i="5"/>
  <c r="BS703" i="5"/>
  <c r="BQ703" i="5"/>
  <c r="BR703" i="5"/>
  <c r="BL703" i="5"/>
  <c r="BI703" i="5"/>
  <c r="BM703" i="5"/>
  <c r="BJ703" i="5"/>
  <c r="BK703" i="5"/>
  <c r="BG703" i="5"/>
  <c r="BE703" i="5"/>
  <c r="BH703" i="5"/>
  <c r="BF703" i="5"/>
  <c r="BD703" i="5"/>
  <c r="AY703" i="5"/>
  <c r="BA703" i="5"/>
  <c r="BP703" i="5" s="1"/>
  <c r="AZ703" i="5"/>
  <c r="AU703" i="5"/>
  <c r="BN703" i="5" s="1"/>
  <c r="AV703" i="5"/>
  <c r="BC703" i="5" s="1"/>
  <c r="CK850" i="5"/>
  <c r="CJ850" i="5"/>
  <c r="CI850" i="5"/>
  <c r="CG850" i="5"/>
  <c r="CF850" i="5"/>
  <c r="CE850" i="5"/>
  <c r="CH850" i="5"/>
  <c r="CC850" i="5"/>
  <c r="CD850" i="5"/>
  <c r="CA850" i="5"/>
  <c r="BZ850" i="5"/>
  <c r="BX850" i="5"/>
  <c r="BY850" i="5"/>
  <c r="BU850" i="5"/>
  <c r="BW850" i="5"/>
  <c r="BS850" i="5"/>
  <c r="BV850" i="5"/>
  <c r="BT850" i="5"/>
  <c r="BR850" i="5"/>
  <c r="BQ850" i="5"/>
  <c r="BM850" i="5"/>
  <c r="BL850" i="5"/>
  <c r="BK850" i="5"/>
  <c r="BJ850" i="5"/>
  <c r="BI850" i="5"/>
  <c r="BF850" i="5"/>
  <c r="BH850" i="5"/>
  <c r="BG850" i="5"/>
  <c r="BE850" i="5"/>
  <c r="BD850" i="5"/>
  <c r="BA850" i="5"/>
  <c r="BP850" i="5" s="1"/>
  <c r="AZ850" i="5"/>
  <c r="AY850" i="5"/>
  <c r="AV850" i="5"/>
  <c r="BC850" i="5" s="1"/>
  <c r="AU850" i="5"/>
  <c r="BN850" i="5" s="1"/>
  <c r="CK1069" i="5"/>
  <c r="CJ1069" i="5"/>
  <c r="CF1069" i="5"/>
  <c r="CE1069" i="5"/>
  <c r="CI1069" i="5"/>
  <c r="CD1069" i="5"/>
  <c r="CH1069" i="5"/>
  <c r="CG1069" i="5"/>
  <c r="CC1069" i="5"/>
  <c r="CA1069" i="5"/>
  <c r="BZ1069" i="5"/>
  <c r="BW1069" i="5"/>
  <c r="BY1069" i="5"/>
  <c r="BX1069" i="5"/>
  <c r="BV1069" i="5"/>
  <c r="BU1069" i="5"/>
  <c r="BT1069" i="5"/>
  <c r="BS1069" i="5"/>
  <c r="BQ1069" i="5"/>
  <c r="BR1069" i="5"/>
  <c r="BL1069" i="5"/>
  <c r="BM1069" i="5"/>
  <c r="BK1069" i="5"/>
  <c r="BJ1069" i="5"/>
  <c r="BI1069" i="5"/>
  <c r="BH1069" i="5"/>
  <c r="BG1069" i="5"/>
  <c r="BF1069" i="5"/>
  <c r="BE1069" i="5"/>
  <c r="BD1069" i="5"/>
  <c r="BA1069" i="5"/>
  <c r="BP1069" i="5" s="1"/>
  <c r="AZ1069" i="5"/>
  <c r="AY1069" i="5"/>
  <c r="AU1069" i="5"/>
  <c r="BN1069" i="5" s="1"/>
  <c r="AV1069" i="5"/>
  <c r="BC1069" i="5" s="1"/>
  <c r="CK1215" i="5"/>
  <c r="CH1215" i="5"/>
  <c r="CE1215" i="5"/>
  <c r="CI1215" i="5"/>
  <c r="CG1215" i="5"/>
  <c r="CJ1215" i="5"/>
  <c r="CF1215" i="5"/>
  <c r="BZ1215" i="5"/>
  <c r="CD1215" i="5"/>
  <c r="CC1215" i="5"/>
  <c r="BY1215" i="5"/>
  <c r="CA1215" i="5"/>
  <c r="BV1215" i="5"/>
  <c r="BX1215" i="5"/>
  <c r="BW1215" i="5"/>
  <c r="BU1215" i="5"/>
  <c r="BT1215" i="5"/>
  <c r="BS1215" i="5"/>
  <c r="BR1215" i="5"/>
  <c r="BQ1215" i="5"/>
  <c r="BM1215" i="5"/>
  <c r="BL1215" i="5"/>
  <c r="BI1215" i="5"/>
  <c r="BK1215" i="5"/>
  <c r="BJ1215" i="5"/>
  <c r="BG1215" i="5"/>
  <c r="BE1215" i="5"/>
  <c r="BH1215" i="5"/>
  <c r="BF1215" i="5"/>
  <c r="BD1215" i="5"/>
  <c r="AY1215" i="5"/>
  <c r="BA1215" i="5"/>
  <c r="BP1215" i="5" s="1"/>
  <c r="AZ1215" i="5"/>
  <c r="AV1215" i="5"/>
  <c r="BC1215" i="5" s="1"/>
  <c r="AU1215" i="5"/>
  <c r="BB1215" i="5" s="1"/>
  <c r="BL83" i="5"/>
  <c r="BL101" i="5"/>
  <c r="CB165" i="5"/>
  <c r="BL247" i="5"/>
  <c r="BX311" i="5"/>
  <c r="CK384" i="5"/>
  <c r="CJ384" i="5"/>
  <c r="CI384" i="5"/>
  <c r="CG384" i="5"/>
  <c r="CF384" i="5"/>
  <c r="CC384" i="5"/>
  <c r="CE384" i="5"/>
  <c r="CH384" i="5"/>
  <c r="CD384" i="5"/>
  <c r="CA384" i="5"/>
  <c r="BX384" i="5"/>
  <c r="BV384" i="5"/>
  <c r="BZ384" i="5"/>
  <c r="BY384" i="5"/>
  <c r="BW384" i="5"/>
  <c r="BU384" i="5"/>
  <c r="BS384" i="5"/>
  <c r="BT384" i="5"/>
  <c r="BQ384" i="5"/>
  <c r="BR384" i="5"/>
  <c r="BM384" i="5"/>
  <c r="BK384" i="5"/>
  <c r="BL384" i="5"/>
  <c r="BJ384" i="5"/>
  <c r="BH384" i="5"/>
  <c r="BI384" i="5"/>
  <c r="BG384" i="5"/>
  <c r="BF384" i="5"/>
  <c r="BE384" i="5"/>
  <c r="BD384" i="5"/>
  <c r="BA384" i="5"/>
  <c r="BP384" i="5" s="1"/>
  <c r="AZ384" i="5"/>
  <c r="AY384" i="5"/>
  <c r="AV384" i="5"/>
  <c r="BC384" i="5" s="1"/>
  <c r="AU384" i="5"/>
  <c r="BN384" i="5" s="1"/>
  <c r="CJ458" i="5"/>
  <c r="CI458" i="5"/>
  <c r="CH458" i="5"/>
  <c r="CK458" i="5"/>
  <c r="CG458" i="5"/>
  <c r="CD458" i="5"/>
  <c r="CF458" i="5"/>
  <c r="CE458" i="5"/>
  <c r="CC458" i="5"/>
  <c r="BY458" i="5"/>
  <c r="CA458" i="5"/>
  <c r="BU458" i="5"/>
  <c r="BZ458" i="5"/>
  <c r="BX458" i="5"/>
  <c r="BV458" i="5"/>
  <c r="BW458" i="5"/>
  <c r="BT458" i="5"/>
  <c r="BS458" i="5"/>
  <c r="BQ458" i="5"/>
  <c r="BR458" i="5"/>
  <c r="BM458" i="5"/>
  <c r="BL458" i="5"/>
  <c r="BK458" i="5"/>
  <c r="BJ458" i="5"/>
  <c r="BI458" i="5"/>
  <c r="BH458" i="5"/>
  <c r="BF458" i="5"/>
  <c r="BD458" i="5"/>
  <c r="BG458" i="5"/>
  <c r="BE458" i="5"/>
  <c r="BA458" i="5"/>
  <c r="BP458" i="5" s="1"/>
  <c r="AZ458" i="5"/>
  <c r="AY458" i="5"/>
  <c r="AV458" i="5"/>
  <c r="BO458" i="5" s="1"/>
  <c r="AU458" i="5"/>
  <c r="BN458" i="5" s="1"/>
  <c r="CK531" i="5"/>
  <c r="CE531" i="5"/>
  <c r="CI531" i="5"/>
  <c r="CF531" i="5"/>
  <c r="CD531" i="5"/>
  <c r="CC531" i="5"/>
  <c r="BY531" i="5"/>
  <c r="CA531" i="5"/>
  <c r="BV531" i="5"/>
  <c r="BW531" i="5"/>
  <c r="BU531" i="5"/>
  <c r="BT531" i="5"/>
  <c r="BS531" i="5"/>
  <c r="BR531" i="5"/>
  <c r="BQ531" i="5"/>
  <c r="BK531" i="5"/>
  <c r="BM531" i="5"/>
  <c r="BI531" i="5"/>
  <c r="BG531" i="5"/>
  <c r="BJ531" i="5"/>
  <c r="BF531" i="5"/>
  <c r="BH531" i="5"/>
  <c r="BE531" i="5"/>
  <c r="BD531" i="5"/>
  <c r="BA531" i="5"/>
  <c r="BP531" i="5" s="1"/>
  <c r="AY531" i="5"/>
  <c r="AU531" i="5"/>
  <c r="BN531" i="5" s="1"/>
  <c r="AZ531" i="5"/>
  <c r="AV531" i="5"/>
  <c r="BO531" i="5" s="1"/>
  <c r="CK604" i="5"/>
  <c r="CF604" i="5"/>
  <c r="CI604" i="5"/>
  <c r="CE604" i="5"/>
  <c r="CC604" i="5"/>
  <c r="CD604" i="5"/>
  <c r="CA604" i="5"/>
  <c r="BY604" i="5"/>
  <c r="BW604" i="5"/>
  <c r="BU604" i="5"/>
  <c r="BV604" i="5"/>
  <c r="BS604" i="5"/>
  <c r="BT604" i="5"/>
  <c r="BQ604" i="5"/>
  <c r="BR604" i="5"/>
  <c r="BJ604" i="5"/>
  <c r="BM604" i="5"/>
  <c r="BK604" i="5"/>
  <c r="BI604" i="5"/>
  <c r="BH604" i="5"/>
  <c r="BG604" i="5"/>
  <c r="BF604" i="5"/>
  <c r="BD604" i="5"/>
  <c r="BE604" i="5"/>
  <c r="AZ604" i="5"/>
  <c r="AY604" i="5"/>
  <c r="BA604" i="5"/>
  <c r="BP604" i="5" s="1"/>
  <c r="AV604" i="5"/>
  <c r="BO604" i="5" s="1"/>
  <c r="AU604" i="5"/>
  <c r="BN604" i="5" s="1"/>
  <c r="CK677" i="5"/>
  <c r="CI677" i="5"/>
  <c r="CD677" i="5"/>
  <c r="CH677" i="5"/>
  <c r="CJ677" i="5"/>
  <c r="CG677" i="5"/>
  <c r="CE677" i="5"/>
  <c r="CF677" i="5"/>
  <c r="CC677" i="5"/>
  <c r="BX677" i="5"/>
  <c r="BW677" i="5"/>
  <c r="CA677" i="5"/>
  <c r="BZ677" i="5"/>
  <c r="BY677" i="5"/>
  <c r="BV677" i="5"/>
  <c r="BU677" i="5"/>
  <c r="BR677" i="5"/>
  <c r="BT677" i="5"/>
  <c r="BS677" i="5"/>
  <c r="BQ677" i="5"/>
  <c r="BM677" i="5"/>
  <c r="BL677" i="5"/>
  <c r="BK677" i="5"/>
  <c r="BJ677" i="5"/>
  <c r="BI677" i="5"/>
  <c r="BH677" i="5"/>
  <c r="BG677" i="5"/>
  <c r="BF677" i="5"/>
  <c r="BD677" i="5"/>
  <c r="BE677" i="5"/>
  <c r="BA677" i="5"/>
  <c r="BP677" i="5" s="1"/>
  <c r="AZ677" i="5"/>
  <c r="AY677" i="5"/>
  <c r="AV677" i="5"/>
  <c r="BO677" i="5" s="1"/>
  <c r="AU677" i="5"/>
  <c r="BB677" i="5" s="1"/>
  <c r="CJ750" i="5"/>
  <c r="CI750" i="5"/>
  <c r="CH750" i="5"/>
  <c r="CK750" i="5"/>
  <c r="CF750" i="5"/>
  <c r="CG750" i="5"/>
  <c r="CE750" i="5"/>
  <c r="CD750" i="5"/>
  <c r="CC750" i="5"/>
  <c r="CA750" i="5"/>
  <c r="BX750" i="5"/>
  <c r="BZ750" i="5"/>
  <c r="BY750" i="5"/>
  <c r="BU750" i="5"/>
  <c r="BW750" i="5"/>
  <c r="BV750" i="5"/>
  <c r="BS750" i="5"/>
  <c r="BT750" i="5"/>
  <c r="BR750" i="5"/>
  <c r="BQ750" i="5"/>
  <c r="BM750" i="5"/>
  <c r="BL750" i="5"/>
  <c r="BJ750" i="5"/>
  <c r="BI750" i="5"/>
  <c r="BK750" i="5"/>
  <c r="BH750" i="5"/>
  <c r="BG750" i="5"/>
  <c r="BF750" i="5"/>
  <c r="BE750" i="5"/>
  <c r="BD750" i="5"/>
  <c r="BA750" i="5"/>
  <c r="BP750" i="5" s="1"/>
  <c r="AZ750" i="5"/>
  <c r="AY750" i="5"/>
  <c r="AV750" i="5"/>
  <c r="BO750" i="5" s="1"/>
  <c r="AU750" i="5"/>
  <c r="BB750" i="5" s="1"/>
  <c r="CK823" i="5"/>
  <c r="CE823" i="5"/>
  <c r="CF823" i="5"/>
  <c r="CI823" i="5"/>
  <c r="CD823" i="5"/>
  <c r="CC823" i="5"/>
  <c r="CA823" i="5"/>
  <c r="BY823" i="5"/>
  <c r="BV823" i="5"/>
  <c r="BW823" i="5"/>
  <c r="BU823" i="5"/>
  <c r="BT823" i="5"/>
  <c r="BR823" i="5"/>
  <c r="BQ823" i="5"/>
  <c r="BS823" i="5"/>
  <c r="BM823" i="5"/>
  <c r="BI823" i="5"/>
  <c r="BJ823" i="5"/>
  <c r="BK823" i="5"/>
  <c r="BG823" i="5"/>
  <c r="BH823" i="5"/>
  <c r="BE823" i="5"/>
  <c r="BF823" i="5"/>
  <c r="BD823" i="5"/>
  <c r="AY823" i="5"/>
  <c r="BA823" i="5"/>
  <c r="BP823" i="5" s="1"/>
  <c r="AZ823" i="5"/>
  <c r="AV823" i="5"/>
  <c r="BO823" i="5" s="1"/>
  <c r="AU823" i="5"/>
  <c r="BB823" i="5" s="1"/>
  <c r="CK896" i="5"/>
  <c r="CI896" i="5"/>
  <c r="CF896" i="5"/>
  <c r="CE896" i="5"/>
  <c r="CD896" i="5"/>
  <c r="CC896" i="5"/>
  <c r="CA896" i="5"/>
  <c r="BY896" i="5"/>
  <c r="BW896" i="5"/>
  <c r="BV896" i="5"/>
  <c r="BU896" i="5"/>
  <c r="BT896" i="5"/>
  <c r="BQ896" i="5"/>
  <c r="BR896" i="5"/>
  <c r="BS896" i="5"/>
  <c r="BM896" i="5"/>
  <c r="BK896" i="5"/>
  <c r="BJ896" i="5"/>
  <c r="BH896" i="5"/>
  <c r="BI896" i="5"/>
  <c r="BG896" i="5"/>
  <c r="BF896" i="5"/>
  <c r="BE896" i="5"/>
  <c r="BD896" i="5"/>
  <c r="AZ896" i="5"/>
  <c r="AY896" i="5"/>
  <c r="BA896" i="5"/>
  <c r="BP896" i="5" s="1"/>
  <c r="AV896" i="5"/>
  <c r="BO896" i="5" s="1"/>
  <c r="AU896" i="5"/>
  <c r="BN896" i="5" s="1"/>
  <c r="CK970" i="5"/>
  <c r="CI970" i="5"/>
  <c r="CF970" i="5"/>
  <c r="CE970" i="5"/>
  <c r="CC970" i="5"/>
  <c r="CD970" i="5"/>
  <c r="CA970" i="5"/>
  <c r="BY970" i="5"/>
  <c r="BU970" i="5"/>
  <c r="BW970" i="5"/>
  <c r="BV970" i="5"/>
  <c r="BS970" i="5"/>
  <c r="BT970" i="5"/>
  <c r="BQ970" i="5"/>
  <c r="BR970" i="5"/>
  <c r="BM970" i="5"/>
  <c r="BI970" i="5"/>
  <c r="BK970" i="5"/>
  <c r="BJ970" i="5"/>
  <c r="BH970" i="5"/>
  <c r="BG970" i="5"/>
  <c r="BD970" i="5"/>
  <c r="BF970" i="5"/>
  <c r="BE970" i="5"/>
  <c r="BA970" i="5"/>
  <c r="BP970" i="5" s="1"/>
  <c r="AZ970" i="5"/>
  <c r="AY970" i="5"/>
  <c r="AV970" i="5"/>
  <c r="BO970" i="5" s="1"/>
  <c r="AU970" i="5"/>
  <c r="BN970" i="5" s="1"/>
  <c r="CK1043" i="5"/>
  <c r="CE1043" i="5"/>
  <c r="CJ1043" i="5"/>
  <c r="CI1043" i="5"/>
  <c r="CH1043" i="5"/>
  <c r="CG1043" i="5"/>
  <c r="CF1043" i="5"/>
  <c r="CD1043" i="5"/>
  <c r="BZ1043" i="5"/>
  <c r="BY1043" i="5"/>
  <c r="CC1043" i="5"/>
  <c r="CA1043" i="5"/>
  <c r="BX1043" i="5"/>
  <c r="BV1043" i="5"/>
  <c r="BW1043" i="5"/>
  <c r="BU1043" i="5"/>
  <c r="BT1043" i="5"/>
  <c r="BS1043" i="5"/>
  <c r="BR1043" i="5"/>
  <c r="BQ1043" i="5"/>
  <c r="BL1043" i="5"/>
  <c r="BM1043" i="5"/>
  <c r="BI1043" i="5"/>
  <c r="BG1043" i="5"/>
  <c r="BK1043" i="5"/>
  <c r="BJ1043" i="5"/>
  <c r="BH1043" i="5"/>
  <c r="BE1043" i="5"/>
  <c r="BF1043" i="5"/>
  <c r="BD1043" i="5"/>
  <c r="AY1043" i="5"/>
  <c r="AU1043" i="5"/>
  <c r="BB1043" i="5" s="1"/>
  <c r="BA1043" i="5"/>
  <c r="BP1043" i="5" s="1"/>
  <c r="AZ1043" i="5"/>
  <c r="AV1043" i="5"/>
  <c r="BO1043" i="5" s="1"/>
  <c r="CK1116" i="5"/>
  <c r="CF1116" i="5"/>
  <c r="CI1116" i="5"/>
  <c r="CE1116" i="5"/>
  <c r="CD1116" i="5"/>
  <c r="CC1116" i="5"/>
  <c r="CA1116" i="5"/>
  <c r="BY1116" i="5"/>
  <c r="BW1116" i="5"/>
  <c r="BU1116" i="5"/>
  <c r="BV1116" i="5"/>
  <c r="BT1116" i="5"/>
  <c r="BS1116" i="5"/>
  <c r="BR1116" i="5"/>
  <c r="BQ1116" i="5"/>
  <c r="BJ1116" i="5"/>
  <c r="BM1116" i="5"/>
  <c r="BI1116" i="5"/>
  <c r="BK1116" i="5"/>
  <c r="BH1116" i="5"/>
  <c r="BG1116" i="5"/>
  <c r="BF1116" i="5"/>
  <c r="BD1116" i="5"/>
  <c r="BE1116" i="5"/>
  <c r="AZ1116" i="5"/>
  <c r="AY1116" i="5"/>
  <c r="BA1116" i="5"/>
  <c r="BP1116" i="5" s="1"/>
  <c r="AV1116" i="5"/>
  <c r="BC1116" i="5" s="1"/>
  <c r="AU1116" i="5"/>
  <c r="BB1116" i="5" s="1"/>
  <c r="CK1189" i="5"/>
  <c r="CI1189" i="5"/>
  <c r="CG1189" i="5"/>
  <c r="CJ1189" i="5"/>
  <c r="CH1189" i="5"/>
  <c r="CD1189" i="5"/>
  <c r="CE1189" i="5"/>
  <c r="CF1189" i="5"/>
  <c r="CC1189" i="5"/>
  <c r="BW1189" i="5"/>
  <c r="CA1189" i="5"/>
  <c r="BY1189" i="5"/>
  <c r="BZ1189" i="5"/>
  <c r="BX1189" i="5"/>
  <c r="BV1189" i="5"/>
  <c r="BU1189" i="5"/>
  <c r="BT1189" i="5"/>
  <c r="BQ1189" i="5"/>
  <c r="BS1189" i="5"/>
  <c r="BR1189" i="5"/>
  <c r="BL1189" i="5"/>
  <c r="BM1189" i="5"/>
  <c r="BK1189" i="5"/>
  <c r="BJ1189" i="5"/>
  <c r="BI1189" i="5"/>
  <c r="BH1189" i="5"/>
  <c r="BG1189" i="5"/>
  <c r="BD1189" i="5"/>
  <c r="BF1189" i="5"/>
  <c r="BE1189" i="5"/>
  <c r="BA1189" i="5"/>
  <c r="BP1189" i="5" s="1"/>
  <c r="AU1189" i="5"/>
  <c r="BB1189" i="5" s="1"/>
  <c r="AZ1189" i="5"/>
  <c r="AY1189" i="5"/>
  <c r="AV1189" i="5"/>
  <c r="BO1189" i="5" s="1"/>
  <c r="CI1262" i="5"/>
  <c r="CK1262" i="5"/>
  <c r="CJ1262" i="5"/>
  <c r="CG1262" i="5"/>
  <c r="CF1262" i="5"/>
  <c r="CC1262" i="5"/>
  <c r="CH1262" i="5"/>
  <c r="CE1262" i="5"/>
  <c r="CD1262" i="5"/>
  <c r="CA1262" i="5"/>
  <c r="BZ1262" i="5"/>
  <c r="BY1262" i="5"/>
  <c r="BX1262" i="5"/>
  <c r="BW1262" i="5"/>
  <c r="BU1262" i="5"/>
  <c r="BV1262" i="5"/>
  <c r="BS1262" i="5"/>
  <c r="BT1262" i="5"/>
  <c r="BR1262" i="5"/>
  <c r="BQ1262" i="5"/>
  <c r="BM1262" i="5"/>
  <c r="BL1262" i="5"/>
  <c r="BK1262" i="5"/>
  <c r="BJ1262" i="5"/>
  <c r="BI1262" i="5"/>
  <c r="BH1262" i="5"/>
  <c r="BG1262" i="5"/>
  <c r="BF1262" i="5"/>
  <c r="BE1262" i="5"/>
  <c r="BD1262" i="5"/>
  <c r="BA1262" i="5"/>
  <c r="BP1262" i="5" s="1"/>
  <c r="AZ1262" i="5"/>
  <c r="AY1262" i="5"/>
  <c r="AV1262" i="5"/>
  <c r="BC1262" i="5" s="1"/>
  <c r="AU1262" i="5"/>
  <c r="BN1262" i="5" s="1"/>
  <c r="CK1331" i="5"/>
  <c r="CI1331" i="5"/>
  <c r="CE1331" i="5"/>
  <c r="CD1331" i="5"/>
  <c r="CF1331" i="5"/>
  <c r="CC1331" i="5"/>
  <c r="BY1331" i="5"/>
  <c r="CA1331" i="5"/>
  <c r="BV1331" i="5"/>
  <c r="BW1331" i="5"/>
  <c r="BU1331" i="5"/>
  <c r="BT1331" i="5"/>
  <c r="BS1331" i="5"/>
  <c r="BR1331" i="5"/>
  <c r="BQ1331" i="5"/>
  <c r="BM1331" i="5"/>
  <c r="BI1331" i="5"/>
  <c r="BK1331" i="5"/>
  <c r="BJ1331" i="5"/>
  <c r="BH1331" i="5"/>
  <c r="BG1331" i="5"/>
  <c r="BE1331" i="5"/>
  <c r="BF1331" i="5"/>
  <c r="BD1331" i="5"/>
  <c r="AY1331" i="5"/>
  <c r="AU1331" i="5"/>
  <c r="BN1331" i="5" s="1"/>
  <c r="BA1331" i="5"/>
  <c r="BP1331" i="5" s="1"/>
  <c r="AZ1331" i="5"/>
  <c r="AV1331" i="5"/>
  <c r="BO1331" i="5" s="1"/>
  <c r="CK56" i="5"/>
  <c r="CF56" i="5"/>
  <c r="CE56" i="5"/>
  <c r="CD56" i="5"/>
  <c r="CI56" i="5"/>
  <c r="CC56" i="5"/>
  <c r="CA56" i="5"/>
  <c r="BY56" i="5"/>
  <c r="BV56" i="5"/>
  <c r="BW56" i="5"/>
  <c r="BU56" i="5"/>
  <c r="BT56" i="5"/>
  <c r="BS56" i="5"/>
  <c r="BR56" i="5"/>
  <c r="BQ56" i="5"/>
  <c r="BM56" i="5"/>
  <c r="BK56" i="5"/>
  <c r="BJ56" i="5"/>
  <c r="BI56" i="5"/>
  <c r="BH56" i="5"/>
  <c r="BG56" i="5"/>
  <c r="BF56" i="5"/>
  <c r="BE56" i="5"/>
  <c r="BD56" i="5"/>
  <c r="BA56" i="5"/>
  <c r="BP56" i="5" s="1"/>
  <c r="AZ56" i="5"/>
  <c r="AV56" i="5"/>
  <c r="BO56" i="5" s="1"/>
  <c r="AY56" i="5"/>
  <c r="AU56" i="5"/>
  <c r="BN56" i="5" s="1"/>
  <c r="CJ130" i="5"/>
  <c r="CI130" i="5"/>
  <c r="CG130" i="5"/>
  <c r="CK130" i="5"/>
  <c r="CD130" i="5"/>
  <c r="CF130" i="5"/>
  <c r="CE130" i="5"/>
  <c r="CH130" i="5"/>
  <c r="CC130" i="5"/>
  <c r="BY130" i="5"/>
  <c r="CA130" i="5"/>
  <c r="BZ130" i="5"/>
  <c r="BU130" i="5"/>
  <c r="BX130" i="5"/>
  <c r="BV130" i="5"/>
  <c r="BW130" i="5"/>
  <c r="BS130" i="5"/>
  <c r="BT130" i="5"/>
  <c r="BQ130" i="5"/>
  <c r="BR130" i="5"/>
  <c r="BM130" i="5"/>
  <c r="BK130" i="5"/>
  <c r="BL130" i="5"/>
  <c r="BJ130" i="5"/>
  <c r="BI130" i="5"/>
  <c r="BH130" i="5"/>
  <c r="BG130" i="5"/>
  <c r="BF130" i="5"/>
  <c r="BD130" i="5"/>
  <c r="BE130" i="5"/>
  <c r="BA130" i="5"/>
  <c r="BP130" i="5" s="1"/>
  <c r="AZ130" i="5"/>
  <c r="AY130" i="5"/>
  <c r="AV130" i="5"/>
  <c r="BC130" i="5" s="1"/>
  <c r="AU130" i="5"/>
  <c r="BB130" i="5" s="1"/>
  <c r="CK203" i="5"/>
  <c r="CI203" i="5"/>
  <c r="CE203" i="5"/>
  <c r="CD203" i="5"/>
  <c r="CC203" i="5"/>
  <c r="CF203" i="5"/>
  <c r="CA203" i="5"/>
  <c r="BY203" i="5"/>
  <c r="BW203" i="5"/>
  <c r="BV203" i="5"/>
  <c r="BU203" i="5"/>
  <c r="BS203" i="5"/>
  <c r="BT203" i="5"/>
  <c r="BQ203" i="5"/>
  <c r="BR203" i="5"/>
  <c r="BK203" i="5"/>
  <c r="BM203" i="5"/>
  <c r="BI203" i="5"/>
  <c r="BG203" i="5"/>
  <c r="BH203" i="5"/>
  <c r="BJ203" i="5"/>
  <c r="BF203" i="5"/>
  <c r="BE203" i="5"/>
  <c r="BD203" i="5"/>
  <c r="BA203" i="5"/>
  <c r="BP203" i="5" s="1"/>
  <c r="AY203" i="5"/>
  <c r="AZ203" i="5"/>
  <c r="AU203" i="5"/>
  <c r="BB203" i="5" s="1"/>
  <c r="AV203" i="5"/>
  <c r="BO203" i="5" s="1"/>
  <c r="CK276" i="5"/>
  <c r="CG276" i="5"/>
  <c r="CF276" i="5"/>
  <c r="CJ276" i="5"/>
  <c r="CH276" i="5"/>
  <c r="CI276" i="5"/>
  <c r="CC276" i="5"/>
  <c r="CD276" i="5"/>
  <c r="CE276" i="5"/>
  <c r="CA276" i="5"/>
  <c r="BX276" i="5"/>
  <c r="BZ276" i="5"/>
  <c r="BV276" i="5"/>
  <c r="BY276" i="5"/>
  <c r="BW276" i="5"/>
  <c r="BU276" i="5"/>
  <c r="BT276" i="5"/>
  <c r="BS276" i="5"/>
  <c r="BQ276" i="5"/>
  <c r="BR276" i="5"/>
  <c r="BK276" i="5"/>
  <c r="BL276" i="5"/>
  <c r="BJ276" i="5"/>
  <c r="BM276" i="5"/>
  <c r="BI276" i="5"/>
  <c r="BH276" i="5"/>
  <c r="BF276" i="5"/>
  <c r="BG276" i="5"/>
  <c r="BE276" i="5"/>
  <c r="BD276" i="5"/>
  <c r="AZ276" i="5"/>
  <c r="BA276" i="5"/>
  <c r="BP276" i="5" s="1"/>
  <c r="AY276" i="5"/>
  <c r="AV276" i="5"/>
  <c r="BC276" i="5" s="1"/>
  <c r="AU276" i="5"/>
  <c r="BB276" i="5" s="1"/>
  <c r="CK349" i="5"/>
  <c r="CJ349" i="5"/>
  <c r="CI349" i="5"/>
  <c r="CF349" i="5"/>
  <c r="CE349" i="5"/>
  <c r="CD349" i="5"/>
  <c r="CH349" i="5"/>
  <c r="CG349" i="5"/>
  <c r="CC349" i="5"/>
  <c r="CA349" i="5"/>
  <c r="BZ349" i="5"/>
  <c r="BY349" i="5"/>
  <c r="BX349" i="5"/>
  <c r="BW349" i="5"/>
  <c r="BT349" i="5"/>
  <c r="BV349" i="5"/>
  <c r="BU349" i="5"/>
  <c r="BR349" i="5"/>
  <c r="BS349" i="5"/>
  <c r="BQ349" i="5"/>
  <c r="BK349" i="5"/>
  <c r="BL349" i="5"/>
  <c r="BM349" i="5"/>
  <c r="BJ349" i="5"/>
  <c r="BI349" i="5"/>
  <c r="BH349" i="5"/>
  <c r="BG349" i="5"/>
  <c r="BF349" i="5"/>
  <c r="BE349" i="5"/>
  <c r="BD349" i="5"/>
  <c r="BA349" i="5"/>
  <c r="BP349" i="5" s="1"/>
  <c r="AZ349" i="5"/>
  <c r="AY349" i="5"/>
  <c r="AV349" i="5"/>
  <c r="BO349" i="5" s="1"/>
  <c r="AU349" i="5"/>
  <c r="BB349" i="5" s="1"/>
  <c r="CK422" i="5"/>
  <c r="CI422" i="5"/>
  <c r="CD422" i="5"/>
  <c r="CF422" i="5"/>
  <c r="CC422" i="5"/>
  <c r="CE422" i="5"/>
  <c r="BY422" i="5"/>
  <c r="CA422" i="5"/>
  <c r="BW422" i="5"/>
  <c r="BV422" i="5"/>
  <c r="BU422" i="5"/>
  <c r="BS422" i="5"/>
  <c r="BT422" i="5"/>
  <c r="BR422" i="5"/>
  <c r="BQ422" i="5"/>
  <c r="BM422" i="5"/>
  <c r="BK422" i="5"/>
  <c r="BJ422" i="5"/>
  <c r="BI422" i="5"/>
  <c r="BG422" i="5"/>
  <c r="BF422" i="5"/>
  <c r="BH422" i="5"/>
  <c r="BD422" i="5"/>
  <c r="BE422" i="5"/>
  <c r="BA422" i="5"/>
  <c r="BP422" i="5" s="1"/>
  <c r="AV422" i="5"/>
  <c r="BO422" i="5" s="1"/>
  <c r="AZ422" i="5"/>
  <c r="AY422" i="5"/>
  <c r="AU422" i="5"/>
  <c r="BB422" i="5" s="1"/>
  <c r="CK495" i="5"/>
  <c r="CH495" i="5"/>
  <c r="CE495" i="5"/>
  <c r="CG495" i="5"/>
  <c r="CI495" i="5"/>
  <c r="CF495" i="5"/>
  <c r="CJ495" i="5"/>
  <c r="CD495" i="5"/>
  <c r="CC495" i="5"/>
  <c r="BZ495" i="5"/>
  <c r="CA495" i="5"/>
  <c r="BY495" i="5"/>
  <c r="BX495" i="5"/>
  <c r="BV495" i="5"/>
  <c r="BW495" i="5"/>
  <c r="BU495" i="5"/>
  <c r="BT495" i="5"/>
  <c r="BS495" i="5"/>
  <c r="BR495" i="5"/>
  <c r="BQ495" i="5"/>
  <c r="BL495" i="5"/>
  <c r="BK495" i="5"/>
  <c r="BM495" i="5"/>
  <c r="BI495" i="5"/>
  <c r="BJ495" i="5"/>
  <c r="BH495" i="5"/>
  <c r="BG495" i="5"/>
  <c r="BE495" i="5"/>
  <c r="BF495" i="5"/>
  <c r="BD495" i="5"/>
  <c r="BA495" i="5"/>
  <c r="BP495" i="5" s="1"/>
  <c r="AY495" i="5"/>
  <c r="AZ495" i="5"/>
  <c r="AU495" i="5"/>
  <c r="BN495" i="5" s="1"/>
  <c r="AV495" i="5"/>
  <c r="BO495" i="5" s="1"/>
  <c r="CJ568" i="5"/>
  <c r="CK568" i="5"/>
  <c r="CH568" i="5"/>
  <c r="CF568" i="5"/>
  <c r="CE568" i="5"/>
  <c r="CI568" i="5"/>
  <c r="CC568" i="5"/>
  <c r="CG568" i="5"/>
  <c r="CD568" i="5"/>
  <c r="CA568" i="5"/>
  <c r="BZ568" i="5"/>
  <c r="BY568" i="5"/>
  <c r="BX568" i="5"/>
  <c r="BV568" i="5"/>
  <c r="BW568" i="5"/>
  <c r="BU568" i="5"/>
  <c r="BT568" i="5"/>
  <c r="BS568" i="5"/>
  <c r="BR568" i="5"/>
  <c r="BQ568" i="5"/>
  <c r="BM568" i="5"/>
  <c r="BK568" i="5"/>
  <c r="BL568" i="5"/>
  <c r="BJ568" i="5"/>
  <c r="BI568" i="5"/>
  <c r="BH568" i="5"/>
  <c r="BG568" i="5"/>
  <c r="BF568" i="5"/>
  <c r="BE568" i="5"/>
  <c r="BD568" i="5"/>
  <c r="AZ568" i="5"/>
  <c r="AV568" i="5"/>
  <c r="BO568" i="5" s="1"/>
  <c r="AY568" i="5"/>
  <c r="BA568" i="5"/>
  <c r="BP568" i="5" s="1"/>
  <c r="AU568" i="5"/>
  <c r="BN568" i="5" s="1"/>
  <c r="CJ642" i="5"/>
  <c r="CI642" i="5"/>
  <c r="CH642" i="5"/>
  <c r="CG642" i="5"/>
  <c r="CK642" i="5"/>
  <c r="CF642" i="5"/>
  <c r="CE642" i="5"/>
  <c r="CD642" i="5"/>
  <c r="CC642" i="5"/>
  <c r="CA642" i="5"/>
  <c r="BZ642" i="5"/>
  <c r="BY642" i="5"/>
  <c r="BU642" i="5"/>
  <c r="BX642" i="5"/>
  <c r="BV642" i="5"/>
  <c r="BW642" i="5"/>
  <c r="BS642" i="5"/>
  <c r="BT642" i="5"/>
  <c r="BQ642" i="5"/>
  <c r="BR642" i="5"/>
  <c r="BM642" i="5"/>
  <c r="BL642" i="5"/>
  <c r="BK642" i="5"/>
  <c r="BJ642" i="5"/>
  <c r="BI642" i="5"/>
  <c r="BH642" i="5"/>
  <c r="BG642" i="5"/>
  <c r="BF642" i="5"/>
  <c r="BD642" i="5"/>
  <c r="BE642" i="5"/>
  <c r="BA642" i="5"/>
  <c r="BP642" i="5" s="1"/>
  <c r="AZ642" i="5"/>
  <c r="AY642" i="5"/>
  <c r="AV642" i="5"/>
  <c r="BC642" i="5" s="1"/>
  <c r="AU642" i="5"/>
  <c r="BN642" i="5" s="1"/>
  <c r="CI715" i="5"/>
  <c r="CE715" i="5"/>
  <c r="CJ715" i="5"/>
  <c r="CK715" i="5"/>
  <c r="CH715" i="5"/>
  <c r="CG715" i="5"/>
  <c r="CD715" i="5"/>
  <c r="CC715" i="5"/>
  <c r="CF715" i="5"/>
  <c r="BZ715" i="5"/>
  <c r="BY715" i="5"/>
  <c r="CA715" i="5"/>
  <c r="BX715" i="5"/>
  <c r="BW715" i="5"/>
  <c r="BV715" i="5"/>
  <c r="BU715" i="5"/>
  <c r="BT715" i="5"/>
  <c r="BS715" i="5"/>
  <c r="BQ715" i="5"/>
  <c r="BR715" i="5"/>
  <c r="BM715" i="5"/>
  <c r="BL715" i="5"/>
  <c r="BI715" i="5"/>
  <c r="BG715" i="5"/>
  <c r="BK715" i="5"/>
  <c r="BJ715" i="5"/>
  <c r="BF715" i="5"/>
  <c r="BH715" i="5"/>
  <c r="BE715" i="5"/>
  <c r="BD715" i="5"/>
  <c r="AY715" i="5"/>
  <c r="BA715" i="5"/>
  <c r="BP715" i="5" s="1"/>
  <c r="AZ715" i="5"/>
  <c r="AU715" i="5"/>
  <c r="BN715" i="5" s="1"/>
  <c r="AV715" i="5"/>
  <c r="BO715" i="5" s="1"/>
  <c r="CJ788" i="5"/>
  <c r="CH788" i="5"/>
  <c r="CF788" i="5"/>
  <c r="CK788" i="5"/>
  <c r="CI788" i="5"/>
  <c r="CG788" i="5"/>
  <c r="CE788" i="5"/>
  <c r="CA788" i="5"/>
  <c r="CD788" i="5"/>
  <c r="CC788" i="5"/>
  <c r="BZ788" i="5"/>
  <c r="BY788" i="5"/>
  <c r="BX788" i="5"/>
  <c r="BW788" i="5"/>
  <c r="BU788" i="5"/>
  <c r="BV788" i="5"/>
  <c r="BT788" i="5"/>
  <c r="BS788" i="5"/>
  <c r="BQ788" i="5"/>
  <c r="BR788" i="5"/>
  <c r="BJ788" i="5"/>
  <c r="BL788" i="5"/>
  <c r="BK788" i="5"/>
  <c r="BM788" i="5"/>
  <c r="BI788" i="5"/>
  <c r="BH788" i="5"/>
  <c r="BF788" i="5"/>
  <c r="BG788" i="5"/>
  <c r="BE788" i="5"/>
  <c r="BD788" i="5"/>
  <c r="AZ788" i="5"/>
  <c r="BA788" i="5"/>
  <c r="BP788" i="5" s="1"/>
  <c r="AY788" i="5"/>
  <c r="AV788" i="5"/>
  <c r="BO788" i="5" s="1"/>
  <c r="AU788" i="5"/>
  <c r="BB788" i="5" s="1"/>
  <c r="CK861" i="5"/>
  <c r="CI861" i="5"/>
  <c r="CF861" i="5"/>
  <c r="CE861" i="5"/>
  <c r="CD861" i="5"/>
  <c r="CC861" i="5"/>
  <c r="CA861" i="5"/>
  <c r="BY861" i="5"/>
  <c r="BW861" i="5"/>
  <c r="BU861" i="5"/>
  <c r="BV861" i="5"/>
  <c r="BR861" i="5"/>
  <c r="BT861" i="5"/>
  <c r="BS861" i="5"/>
  <c r="BQ861" i="5"/>
  <c r="BM861" i="5"/>
  <c r="BK861" i="5"/>
  <c r="BJ861" i="5"/>
  <c r="BI861" i="5"/>
  <c r="BH861" i="5"/>
  <c r="BG861" i="5"/>
  <c r="BE861" i="5"/>
  <c r="BD861" i="5"/>
  <c r="BF861" i="5"/>
  <c r="BA861" i="5"/>
  <c r="BP861" i="5" s="1"/>
  <c r="AZ861" i="5"/>
  <c r="AY861" i="5"/>
  <c r="AV861" i="5"/>
  <c r="BO861" i="5" s="1"/>
  <c r="AU861" i="5"/>
  <c r="BB861" i="5" s="1"/>
  <c r="CI934" i="5"/>
  <c r="CJ934" i="5"/>
  <c r="CK934" i="5"/>
  <c r="CH934" i="5"/>
  <c r="CG934" i="5"/>
  <c r="CF934" i="5"/>
  <c r="CD934" i="5"/>
  <c r="CC934" i="5"/>
  <c r="CE934" i="5"/>
  <c r="BX934" i="5"/>
  <c r="CA934" i="5"/>
  <c r="BW934" i="5"/>
  <c r="BZ934" i="5"/>
  <c r="BY934" i="5"/>
  <c r="BU934" i="5"/>
  <c r="BV934" i="5"/>
  <c r="BS934" i="5"/>
  <c r="BT934" i="5"/>
  <c r="BR934" i="5"/>
  <c r="BQ934" i="5"/>
  <c r="BM934" i="5"/>
  <c r="BL934" i="5"/>
  <c r="BK934" i="5"/>
  <c r="BJ934" i="5"/>
  <c r="BI934" i="5"/>
  <c r="BH934" i="5"/>
  <c r="BG934" i="5"/>
  <c r="BF934" i="5"/>
  <c r="BD934" i="5"/>
  <c r="BE934" i="5"/>
  <c r="AV934" i="5"/>
  <c r="BC934" i="5" s="1"/>
  <c r="BA934" i="5"/>
  <c r="BP934" i="5" s="1"/>
  <c r="AZ934" i="5"/>
  <c r="AY934" i="5"/>
  <c r="AU934" i="5"/>
  <c r="BB934" i="5" s="1"/>
  <c r="CE1007" i="5"/>
  <c r="CK1007" i="5"/>
  <c r="CI1007" i="5"/>
  <c r="CF1007" i="5"/>
  <c r="CD1007" i="5"/>
  <c r="CC1007" i="5"/>
  <c r="BY1007" i="5"/>
  <c r="CA1007" i="5"/>
  <c r="BV1007" i="5"/>
  <c r="BW1007" i="5"/>
  <c r="BU1007" i="5"/>
  <c r="BT1007" i="5"/>
  <c r="BS1007" i="5"/>
  <c r="BR1007" i="5"/>
  <c r="BQ1007" i="5"/>
  <c r="BM1007" i="5"/>
  <c r="BJ1007" i="5"/>
  <c r="BI1007" i="5"/>
  <c r="BK1007" i="5"/>
  <c r="BG1007" i="5"/>
  <c r="BH1007" i="5"/>
  <c r="BE1007" i="5"/>
  <c r="BF1007" i="5"/>
  <c r="BD1007" i="5"/>
  <c r="AY1007" i="5"/>
  <c r="BA1007" i="5"/>
  <c r="BP1007" i="5" s="1"/>
  <c r="AZ1007" i="5"/>
  <c r="AU1007" i="5"/>
  <c r="BN1007" i="5" s="1"/>
  <c r="AV1007" i="5"/>
  <c r="BC1007" i="5" s="1"/>
  <c r="CF1080" i="5"/>
  <c r="CE1080" i="5"/>
  <c r="CK1080" i="5"/>
  <c r="CI1080" i="5"/>
  <c r="CD1080" i="5"/>
  <c r="CA1080" i="5"/>
  <c r="CC1080" i="5"/>
  <c r="BY1080" i="5"/>
  <c r="BW1080" i="5"/>
  <c r="BU1080" i="5"/>
  <c r="BV1080" i="5"/>
  <c r="BT1080" i="5"/>
  <c r="BS1080" i="5"/>
  <c r="BR1080" i="5"/>
  <c r="BQ1080" i="5"/>
  <c r="BM1080" i="5"/>
  <c r="BJ1080" i="5"/>
  <c r="BK1080" i="5"/>
  <c r="BH1080" i="5"/>
  <c r="BI1080" i="5"/>
  <c r="BG1080" i="5"/>
  <c r="BF1080" i="5"/>
  <c r="BE1080" i="5"/>
  <c r="BD1080" i="5"/>
  <c r="AZ1080" i="5"/>
  <c r="AV1080" i="5"/>
  <c r="BC1080" i="5" s="1"/>
  <c r="AY1080" i="5"/>
  <c r="BA1080" i="5"/>
  <c r="BP1080" i="5" s="1"/>
  <c r="AU1080" i="5"/>
  <c r="BN1080" i="5" s="1"/>
  <c r="CJ1154" i="5"/>
  <c r="CI1154" i="5"/>
  <c r="CK1154" i="5"/>
  <c r="CG1154" i="5"/>
  <c r="CF1154" i="5"/>
  <c r="CE1154" i="5"/>
  <c r="CH1154" i="5"/>
  <c r="CC1154" i="5"/>
  <c r="CD1154" i="5"/>
  <c r="CA1154" i="5"/>
  <c r="BZ1154" i="5"/>
  <c r="BY1154" i="5"/>
  <c r="BX1154" i="5"/>
  <c r="BU1154" i="5"/>
  <c r="BW1154" i="5"/>
  <c r="BV1154" i="5"/>
  <c r="BS1154" i="5"/>
  <c r="BT1154" i="5"/>
  <c r="BR1154" i="5"/>
  <c r="BQ1154" i="5"/>
  <c r="BM1154" i="5"/>
  <c r="BL1154" i="5"/>
  <c r="BK1154" i="5"/>
  <c r="BJ1154" i="5"/>
  <c r="BI1154" i="5"/>
  <c r="BH1154" i="5"/>
  <c r="BG1154" i="5"/>
  <c r="BF1154" i="5"/>
  <c r="BE1154" i="5"/>
  <c r="BD1154" i="5"/>
  <c r="BA1154" i="5"/>
  <c r="BP1154" i="5" s="1"/>
  <c r="AZ1154" i="5"/>
  <c r="AY1154" i="5"/>
  <c r="AU1154" i="5"/>
  <c r="BN1154" i="5" s="1"/>
  <c r="AV1154" i="5"/>
  <c r="BO1154" i="5" s="1"/>
  <c r="CI1227" i="5"/>
  <c r="CE1227" i="5"/>
  <c r="CK1227" i="5"/>
  <c r="CD1227" i="5"/>
  <c r="CF1227" i="5"/>
  <c r="CC1227" i="5"/>
  <c r="BY1227" i="5"/>
  <c r="CA1227" i="5"/>
  <c r="BW1227" i="5"/>
  <c r="BV1227" i="5"/>
  <c r="BU1227" i="5"/>
  <c r="BT1227" i="5"/>
  <c r="BR1227" i="5"/>
  <c r="BQ1227" i="5"/>
  <c r="BS1227" i="5"/>
  <c r="BM1227" i="5"/>
  <c r="BI1227" i="5"/>
  <c r="BG1227" i="5"/>
  <c r="BK1227" i="5"/>
  <c r="BJ1227" i="5"/>
  <c r="BH1227" i="5"/>
  <c r="BE1227" i="5"/>
  <c r="BF1227" i="5"/>
  <c r="BD1227" i="5"/>
  <c r="AY1227" i="5"/>
  <c r="BA1227" i="5"/>
  <c r="BP1227" i="5" s="1"/>
  <c r="AZ1227" i="5"/>
  <c r="AU1227" i="5"/>
  <c r="BB1227" i="5" s="1"/>
  <c r="AV1227" i="5"/>
  <c r="BO1227" i="5" s="1"/>
  <c r="CK1300" i="5"/>
  <c r="CJ1300" i="5"/>
  <c r="CH1300" i="5"/>
  <c r="CG1300" i="5"/>
  <c r="CF1300" i="5"/>
  <c r="CI1300" i="5"/>
  <c r="CE1300" i="5"/>
  <c r="CA1300" i="5"/>
  <c r="CD1300" i="5"/>
  <c r="CC1300" i="5"/>
  <c r="BX1300" i="5"/>
  <c r="BY1300" i="5"/>
  <c r="BZ1300" i="5"/>
  <c r="BW1300" i="5"/>
  <c r="BV1300" i="5"/>
  <c r="BU1300" i="5"/>
  <c r="BT1300" i="5"/>
  <c r="BS1300" i="5"/>
  <c r="BR1300" i="5"/>
  <c r="BQ1300" i="5"/>
  <c r="BL1300" i="5"/>
  <c r="BJ1300" i="5"/>
  <c r="BM1300" i="5"/>
  <c r="BI1300" i="5"/>
  <c r="BK1300" i="5"/>
  <c r="BH1300" i="5"/>
  <c r="BF1300" i="5"/>
  <c r="BG1300" i="5"/>
  <c r="BE1300" i="5"/>
  <c r="BD1300" i="5"/>
  <c r="AZ1300" i="5"/>
  <c r="BA1300" i="5"/>
  <c r="BP1300" i="5" s="1"/>
  <c r="AY1300" i="5"/>
  <c r="AV1300" i="5"/>
  <c r="BC1300" i="5" s="1"/>
  <c r="AU1300" i="5"/>
  <c r="BB1300" i="5" s="1"/>
  <c r="CK67" i="5"/>
  <c r="CE67" i="5"/>
  <c r="CI67" i="5"/>
  <c r="CD67" i="5"/>
  <c r="CF67" i="5"/>
  <c r="CC67" i="5"/>
  <c r="BY67" i="5"/>
  <c r="CA67" i="5"/>
  <c r="BW67" i="5"/>
  <c r="BV67" i="5"/>
  <c r="BU67" i="5"/>
  <c r="BT67" i="5"/>
  <c r="BS67" i="5"/>
  <c r="BR67" i="5"/>
  <c r="BQ67" i="5"/>
  <c r="BK67" i="5"/>
  <c r="BM67" i="5"/>
  <c r="BI67" i="5"/>
  <c r="BJ67" i="5"/>
  <c r="BG67" i="5"/>
  <c r="BH67" i="5"/>
  <c r="BF67" i="5"/>
  <c r="BE67" i="5"/>
  <c r="BD67" i="5"/>
  <c r="BA67" i="5"/>
  <c r="BP67" i="5" s="1"/>
  <c r="AY67" i="5"/>
  <c r="AZ67" i="5"/>
  <c r="AU67" i="5"/>
  <c r="BB67" i="5" s="1"/>
  <c r="AV67" i="5"/>
  <c r="BO67" i="5" s="1"/>
  <c r="CK140" i="5"/>
  <c r="CH140" i="5"/>
  <c r="CG140" i="5"/>
  <c r="CF140" i="5"/>
  <c r="CJ140" i="5"/>
  <c r="CI140" i="5"/>
  <c r="CC140" i="5"/>
  <c r="CD140" i="5"/>
  <c r="CE140" i="5"/>
  <c r="CA140" i="5"/>
  <c r="BZ140" i="5"/>
  <c r="BV140" i="5"/>
  <c r="BX140" i="5"/>
  <c r="BY140" i="5"/>
  <c r="BW140" i="5"/>
  <c r="BU140" i="5"/>
  <c r="BS140" i="5"/>
  <c r="BT140" i="5"/>
  <c r="BR140" i="5"/>
  <c r="BQ140" i="5"/>
  <c r="BL140" i="5"/>
  <c r="BM140" i="5"/>
  <c r="BK140" i="5"/>
  <c r="BJ140" i="5"/>
  <c r="BI140" i="5"/>
  <c r="BH140" i="5"/>
  <c r="BF140" i="5"/>
  <c r="BG140" i="5"/>
  <c r="BE140" i="5"/>
  <c r="BD140" i="5"/>
  <c r="AZ140" i="5"/>
  <c r="BA140" i="5"/>
  <c r="BP140" i="5" s="1"/>
  <c r="AY140" i="5"/>
  <c r="AV140" i="5"/>
  <c r="BC140" i="5" s="1"/>
  <c r="AU140" i="5"/>
  <c r="BN140" i="5" s="1"/>
  <c r="CK213" i="5"/>
  <c r="CI213" i="5"/>
  <c r="CE213" i="5"/>
  <c r="CF213" i="5"/>
  <c r="CD213" i="5"/>
  <c r="CC213" i="5"/>
  <c r="CA213" i="5"/>
  <c r="BW213" i="5"/>
  <c r="BY213" i="5"/>
  <c r="BV213" i="5"/>
  <c r="BT213" i="5"/>
  <c r="BU213" i="5"/>
  <c r="BR213" i="5"/>
  <c r="BS213" i="5"/>
  <c r="BQ213" i="5"/>
  <c r="BM213" i="5"/>
  <c r="BK213" i="5"/>
  <c r="BH213" i="5"/>
  <c r="BJ213" i="5"/>
  <c r="BI213" i="5"/>
  <c r="BF213" i="5"/>
  <c r="BG213" i="5"/>
  <c r="BE213" i="5"/>
  <c r="BD213" i="5"/>
  <c r="BA213" i="5"/>
  <c r="BP213" i="5" s="1"/>
  <c r="AZ213" i="5"/>
  <c r="AY213" i="5"/>
  <c r="AV213" i="5"/>
  <c r="BO213" i="5" s="1"/>
  <c r="AU213" i="5"/>
  <c r="BN213" i="5" s="1"/>
  <c r="CK286" i="5"/>
  <c r="CI286" i="5"/>
  <c r="CG286" i="5"/>
  <c r="CD286" i="5"/>
  <c r="CJ286" i="5"/>
  <c r="CH286" i="5"/>
  <c r="CF286" i="5"/>
  <c r="CE286" i="5"/>
  <c r="CC286" i="5"/>
  <c r="BY286" i="5"/>
  <c r="BZ286" i="5"/>
  <c r="CA286" i="5"/>
  <c r="BX286" i="5"/>
  <c r="BU286" i="5"/>
  <c r="BV286" i="5"/>
  <c r="BW286" i="5"/>
  <c r="BS286" i="5"/>
  <c r="BT286" i="5"/>
  <c r="BR286" i="5"/>
  <c r="BQ286" i="5"/>
  <c r="BM286" i="5"/>
  <c r="BK286" i="5"/>
  <c r="BL286" i="5"/>
  <c r="BJ286" i="5"/>
  <c r="BI286" i="5"/>
  <c r="BH286" i="5"/>
  <c r="BG286" i="5"/>
  <c r="BF286" i="5"/>
  <c r="BD286" i="5"/>
  <c r="BE286" i="5"/>
  <c r="BA286" i="5"/>
  <c r="BP286" i="5" s="1"/>
  <c r="AV286" i="5"/>
  <c r="BC286" i="5" s="1"/>
  <c r="AZ286" i="5"/>
  <c r="AY286" i="5"/>
  <c r="AU286" i="5"/>
  <c r="BB286" i="5" s="1"/>
  <c r="CK359" i="5"/>
  <c r="CE359" i="5"/>
  <c r="CI359" i="5"/>
  <c r="CF359" i="5"/>
  <c r="CD359" i="5"/>
  <c r="CC359" i="5"/>
  <c r="CA359" i="5"/>
  <c r="BY359" i="5"/>
  <c r="BV359" i="5"/>
  <c r="BW359" i="5"/>
  <c r="BU359" i="5"/>
  <c r="BT359" i="5"/>
  <c r="BS359" i="5"/>
  <c r="BR359" i="5"/>
  <c r="BQ359" i="5"/>
  <c r="BK359" i="5"/>
  <c r="BI359" i="5"/>
  <c r="BM359" i="5"/>
  <c r="BH359" i="5"/>
  <c r="BJ359" i="5"/>
  <c r="BG359" i="5"/>
  <c r="BE359" i="5"/>
  <c r="BF359" i="5"/>
  <c r="BD359" i="5"/>
  <c r="BA359" i="5"/>
  <c r="BP359" i="5" s="1"/>
  <c r="AY359" i="5"/>
  <c r="AZ359" i="5"/>
  <c r="AU359" i="5"/>
  <c r="BB359" i="5" s="1"/>
  <c r="AV359" i="5"/>
  <c r="BC359" i="5" s="1"/>
  <c r="CK432" i="5"/>
  <c r="CJ432" i="5"/>
  <c r="CI432" i="5"/>
  <c r="CH432" i="5"/>
  <c r="CF432" i="5"/>
  <c r="CC432" i="5"/>
  <c r="CG432" i="5"/>
  <c r="CE432" i="5"/>
  <c r="CD432" i="5"/>
  <c r="CA432" i="5"/>
  <c r="BX432" i="5"/>
  <c r="BZ432" i="5"/>
  <c r="BV432" i="5"/>
  <c r="BY432" i="5"/>
  <c r="BW432" i="5"/>
  <c r="BU432" i="5"/>
  <c r="BS432" i="5"/>
  <c r="BT432" i="5"/>
  <c r="BQ432" i="5"/>
  <c r="BR432" i="5"/>
  <c r="BM432" i="5"/>
  <c r="BL432" i="5"/>
  <c r="BK432" i="5"/>
  <c r="BJ432" i="5"/>
  <c r="BI432" i="5"/>
  <c r="BH432" i="5"/>
  <c r="BG432" i="5"/>
  <c r="BF432" i="5"/>
  <c r="BE432" i="5"/>
  <c r="BD432" i="5"/>
  <c r="BA432" i="5"/>
  <c r="BP432" i="5" s="1"/>
  <c r="AZ432" i="5"/>
  <c r="AV432" i="5"/>
  <c r="BC432" i="5" s="1"/>
  <c r="AY432" i="5"/>
  <c r="AU432" i="5"/>
  <c r="BB432" i="5" s="1"/>
  <c r="CK506" i="5"/>
  <c r="CI506" i="5"/>
  <c r="CD506" i="5"/>
  <c r="CE506" i="5"/>
  <c r="CF506" i="5"/>
  <c r="BY506" i="5"/>
  <c r="CC506" i="5"/>
  <c r="CA506" i="5"/>
  <c r="BU506" i="5"/>
  <c r="BW506" i="5"/>
  <c r="BV506" i="5"/>
  <c r="BS506" i="5"/>
  <c r="BT506" i="5"/>
  <c r="BQ506" i="5"/>
  <c r="BR506" i="5"/>
  <c r="BM506" i="5"/>
  <c r="BK506" i="5"/>
  <c r="BJ506" i="5"/>
  <c r="BI506" i="5"/>
  <c r="BF506" i="5"/>
  <c r="BH506" i="5"/>
  <c r="BG506" i="5"/>
  <c r="BD506" i="5"/>
  <c r="BE506" i="5"/>
  <c r="BA506" i="5"/>
  <c r="BP506" i="5" s="1"/>
  <c r="AZ506" i="5"/>
  <c r="AY506" i="5"/>
  <c r="AU506" i="5"/>
  <c r="BN506" i="5" s="1"/>
  <c r="AV506" i="5"/>
  <c r="BO506" i="5" s="1"/>
  <c r="CJ579" i="5"/>
  <c r="CE579" i="5"/>
  <c r="CK579" i="5"/>
  <c r="CI579" i="5"/>
  <c r="CH579" i="5"/>
  <c r="CG579" i="5"/>
  <c r="CF579" i="5"/>
  <c r="CD579" i="5"/>
  <c r="CC579" i="5"/>
  <c r="BZ579" i="5"/>
  <c r="BY579" i="5"/>
  <c r="BX579" i="5"/>
  <c r="CA579" i="5"/>
  <c r="BV579" i="5"/>
  <c r="BW579" i="5"/>
  <c r="BU579" i="5"/>
  <c r="BT579" i="5"/>
  <c r="BS579" i="5"/>
  <c r="BR579" i="5"/>
  <c r="BQ579" i="5"/>
  <c r="BL579" i="5"/>
  <c r="BM579" i="5"/>
  <c r="BK579" i="5"/>
  <c r="BI579" i="5"/>
  <c r="BJ579" i="5"/>
  <c r="BG579" i="5"/>
  <c r="BH579" i="5"/>
  <c r="BF579" i="5"/>
  <c r="BE579" i="5"/>
  <c r="BD579" i="5"/>
  <c r="AY579" i="5"/>
  <c r="BA579" i="5"/>
  <c r="BP579" i="5" s="1"/>
  <c r="AZ579" i="5"/>
  <c r="AU579" i="5"/>
  <c r="BN579" i="5" s="1"/>
  <c r="AV579" i="5"/>
  <c r="BO579" i="5" s="1"/>
  <c r="CK652" i="5"/>
  <c r="CH652" i="5"/>
  <c r="CJ652" i="5"/>
  <c r="CF652" i="5"/>
  <c r="CI652" i="5"/>
  <c r="CC652" i="5"/>
  <c r="CG652" i="5"/>
  <c r="CD652" i="5"/>
  <c r="CE652" i="5"/>
  <c r="CA652" i="5"/>
  <c r="BZ652" i="5"/>
  <c r="BX652" i="5"/>
  <c r="BY652" i="5"/>
  <c r="BW652" i="5"/>
  <c r="BU652" i="5"/>
  <c r="BV652" i="5"/>
  <c r="BT652" i="5"/>
  <c r="BS652" i="5"/>
  <c r="BR652" i="5"/>
  <c r="BQ652" i="5"/>
  <c r="BL652" i="5"/>
  <c r="BM652" i="5"/>
  <c r="BJ652" i="5"/>
  <c r="BK652" i="5"/>
  <c r="BI652" i="5"/>
  <c r="BH652" i="5"/>
  <c r="BF652" i="5"/>
  <c r="BG652" i="5"/>
  <c r="BE652" i="5"/>
  <c r="BD652" i="5"/>
  <c r="AZ652" i="5"/>
  <c r="AY652" i="5"/>
  <c r="BA652" i="5"/>
  <c r="BP652" i="5" s="1"/>
  <c r="AV652" i="5"/>
  <c r="BO652" i="5" s="1"/>
  <c r="AU652" i="5"/>
  <c r="BN652" i="5" s="1"/>
  <c r="CK725" i="5"/>
  <c r="CI725" i="5"/>
  <c r="CG725" i="5"/>
  <c r="CJ725" i="5"/>
  <c r="CH725" i="5"/>
  <c r="CD725" i="5"/>
  <c r="CE725" i="5"/>
  <c r="CF725" i="5"/>
  <c r="CC725" i="5"/>
  <c r="BX725" i="5"/>
  <c r="CA725" i="5"/>
  <c r="BW725" i="5"/>
  <c r="BZ725" i="5"/>
  <c r="BY725" i="5"/>
  <c r="BV725" i="5"/>
  <c r="BU725" i="5"/>
  <c r="BR725" i="5"/>
  <c r="BT725" i="5"/>
  <c r="BQ725" i="5"/>
  <c r="BS725" i="5"/>
  <c r="BM725" i="5"/>
  <c r="BL725" i="5"/>
  <c r="BK725" i="5"/>
  <c r="BJ725" i="5"/>
  <c r="BI725" i="5"/>
  <c r="BH725" i="5"/>
  <c r="BG725" i="5"/>
  <c r="BF725" i="5"/>
  <c r="BE725" i="5"/>
  <c r="BD725" i="5"/>
  <c r="BA725" i="5"/>
  <c r="BP725" i="5" s="1"/>
  <c r="AZ725" i="5"/>
  <c r="AY725" i="5"/>
  <c r="AV725" i="5"/>
  <c r="BO725" i="5" s="1"/>
  <c r="AU725" i="5"/>
  <c r="BN725" i="5" s="1"/>
  <c r="CK798" i="5"/>
  <c r="CI798" i="5"/>
  <c r="CF798" i="5"/>
  <c r="CC798" i="5"/>
  <c r="CE798" i="5"/>
  <c r="CD798" i="5"/>
  <c r="CA798" i="5"/>
  <c r="BY798" i="5"/>
  <c r="BU798" i="5"/>
  <c r="BW798" i="5"/>
  <c r="BV798" i="5"/>
  <c r="BS798" i="5"/>
  <c r="BR798" i="5"/>
  <c r="BT798" i="5"/>
  <c r="BQ798" i="5"/>
  <c r="BM798" i="5"/>
  <c r="BJ798" i="5"/>
  <c r="BI798" i="5"/>
  <c r="BK798" i="5"/>
  <c r="BH798" i="5"/>
  <c r="BG798" i="5"/>
  <c r="BE798" i="5"/>
  <c r="BD798" i="5"/>
  <c r="BF798" i="5"/>
  <c r="AV798" i="5"/>
  <c r="BC798" i="5" s="1"/>
  <c r="BA798" i="5"/>
  <c r="BP798" i="5" s="1"/>
  <c r="AZ798" i="5"/>
  <c r="AY798" i="5"/>
  <c r="AU798" i="5"/>
  <c r="BB798" i="5" s="1"/>
  <c r="CK871" i="5"/>
  <c r="CE871" i="5"/>
  <c r="CI871" i="5"/>
  <c r="CF871" i="5"/>
  <c r="CD871" i="5"/>
  <c r="CC871" i="5"/>
  <c r="CA871" i="5"/>
  <c r="BY871" i="5"/>
  <c r="BV871" i="5"/>
  <c r="BW871" i="5"/>
  <c r="BT871" i="5"/>
  <c r="BU871" i="5"/>
  <c r="BR871" i="5"/>
  <c r="BQ871" i="5"/>
  <c r="BS871" i="5"/>
  <c r="BI871" i="5"/>
  <c r="BM871" i="5"/>
  <c r="BK871" i="5"/>
  <c r="BJ871" i="5"/>
  <c r="BG871" i="5"/>
  <c r="BE871" i="5"/>
  <c r="BH871" i="5"/>
  <c r="BF871" i="5"/>
  <c r="BD871" i="5"/>
  <c r="AY871" i="5"/>
  <c r="BA871" i="5"/>
  <c r="BP871" i="5" s="1"/>
  <c r="AZ871" i="5"/>
  <c r="AU871" i="5"/>
  <c r="BN871" i="5" s="1"/>
  <c r="AV871" i="5"/>
  <c r="BO871" i="5" s="1"/>
  <c r="CK944" i="5"/>
  <c r="CI944" i="5"/>
  <c r="CF944" i="5"/>
  <c r="CD944" i="5"/>
  <c r="CE944" i="5"/>
  <c r="CC944" i="5"/>
  <c r="CA944" i="5"/>
  <c r="BY944" i="5"/>
  <c r="BW944" i="5"/>
  <c r="BV944" i="5"/>
  <c r="BU944" i="5"/>
  <c r="BT944" i="5"/>
  <c r="BS944" i="5"/>
  <c r="BQ944" i="5"/>
  <c r="BR944" i="5"/>
  <c r="BK944" i="5"/>
  <c r="BM944" i="5"/>
  <c r="BJ944" i="5"/>
  <c r="BI944" i="5"/>
  <c r="BH944" i="5"/>
  <c r="BG944" i="5"/>
  <c r="BF944" i="5"/>
  <c r="BE944" i="5"/>
  <c r="BD944" i="5"/>
  <c r="AZ944" i="5"/>
  <c r="AV944" i="5"/>
  <c r="BO944" i="5" s="1"/>
  <c r="AY944" i="5"/>
  <c r="BA944" i="5"/>
  <c r="BP944" i="5" s="1"/>
  <c r="AU944" i="5"/>
  <c r="BN944" i="5" s="1"/>
  <c r="CJ1018" i="5"/>
  <c r="CK1018" i="5"/>
  <c r="CI1018" i="5"/>
  <c r="CH1018" i="5"/>
  <c r="CG1018" i="5"/>
  <c r="CE1018" i="5"/>
  <c r="CC1018" i="5"/>
  <c r="CD1018" i="5"/>
  <c r="CF1018" i="5"/>
  <c r="CA1018" i="5"/>
  <c r="BX1018" i="5"/>
  <c r="BU1018" i="5"/>
  <c r="BY1018" i="5"/>
  <c r="BZ1018" i="5"/>
  <c r="BW1018" i="5"/>
  <c r="BV1018" i="5"/>
  <c r="BS1018" i="5"/>
  <c r="BT1018" i="5"/>
  <c r="BR1018" i="5"/>
  <c r="BQ1018" i="5"/>
  <c r="BM1018" i="5"/>
  <c r="BL1018" i="5"/>
  <c r="BI1018" i="5"/>
  <c r="BJ1018" i="5"/>
  <c r="BK1018" i="5"/>
  <c r="BH1018" i="5"/>
  <c r="BG1018" i="5"/>
  <c r="BD1018" i="5"/>
  <c r="BF1018" i="5"/>
  <c r="BE1018" i="5"/>
  <c r="BA1018" i="5"/>
  <c r="BP1018" i="5" s="1"/>
  <c r="AZ1018" i="5"/>
  <c r="AY1018" i="5"/>
  <c r="AU1018" i="5"/>
  <c r="BN1018" i="5" s="1"/>
  <c r="AV1018" i="5"/>
  <c r="BC1018" i="5" s="1"/>
  <c r="CK1091" i="5"/>
  <c r="CE1091" i="5"/>
  <c r="CI1091" i="5"/>
  <c r="CF1091" i="5"/>
  <c r="CD1091" i="5"/>
  <c r="BY1091" i="5"/>
  <c r="CC1091" i="5"/>
  <c r="CA1091" i="5"/>
  <c r="BV1091" i="5"/>
  <c r="BW1091" i="5"/>
  <c r="BU1091" i="5"/>
  <c r="BT1091" i="5"/>
  <c r="BS1091" i="5"/>
  <c r="BR1091" i="5"/>
  <c r="BQ1091" i="5"/>
  <c r="BM1091" i="5"/>
  <c r="BK1091" i="5"/>
  <c r="BJ1091" i="5"/>
  <c r="BI1091" i="5"/>
  <c r="BG1091" i="5"/>
  <c r="BH1091" i="5"/>
  <c r="BE1091" i="5"/>
  <c r="BD1091" i="5"/>
  <c r="BF1091" i="5"/>
  <c r="AY1091" i="5"/>
  <c r="BA1091" i="5"/>
  <c r="BP1091" i="5" s="1"/>
  <c r="AZ1091" i="5"/>
  <c r="AU1091" i="5"/>
  <c r="BN1091" i="5" s="1"/>
  <c r="AV1091" i="5"/>
  <c r="BO1091" i="5" s="1"/>
  <c r="CK1164" i="5"/>
  <c r="CF1164" i="5"/>
  <c r="CI1164" i="5"/>
  <c r="CE1164" i="5"/>
  <c r="CD1164" i="5"/>
  <c r="CA1164" i="5"/>
  <c r="CC1164" i="5"/>
  <c r="BY1164" i="5"/>
  <c r="BW1164" i="5"/>
  <c r="BV1164" i="5"/>
  <c r="BU1164" i="5"/>
  <c r="BT1164" i="5"/>
  <c r="BR1164" i="5"/>
  <c r="BQ1164" i="5"/>
  <c r="BS1164" i="5"/>
  <c r="BM1164" i="5"/>
  <c r="BJ1164" i="5"/>
  <c r="BK1164" i="5"/>
  <c r="BI1164" i="5"/>
  <c r="BH1164" i="5"/>
  <c r="BF1164" i="5"/>
  <c r="BG1164" i="5"/>
  <c r="BE1164" i="5"/>
  <c r="BD1164" i="5"/>
  <c r="AZ1164" i="5"/>
  <c r="AY1164" i="5"/>
  <c r="BA1164" i="5"/>
  <c r="BP1164" i="5" s="1"/>
  <c r="AV1164" i="5"/>
  <c r="BO1164" i="5" s="1"/>
  <c r="AU1164" i="5"/>
  <c r="BN1164" i="5" s="1"/>
  <c r="CJ1237" i="5"/>
  <c r="CK1237" i="5"/>
  <c r="CH1237" i="5"/>
  <c r="CI1237" i="5"/>
  <c r="CG1237" i="5"/>
  <c r="CD1237" i="5"/>
  <c r="CE1237" i="5"/>
  <c r="CF1237" i="5"/>
  <c r="CC1237" i="5"/>
  <c r="CA1237" i="5"/>
  <c r="BX1237" i="5"/>
  <c r="BW1237" i="5"/>
  <c r="BZ1237" i="5"/>
  <c r="BY1237" i="5"/>
  <c r="BV1237" i="5"/>
  <c r="BU1237" i="5"/>
  <c r="BT1237" i="5"/>
  <c r="BQ1237" i="5"/>
  <c r="BR1237" i="5"/>
  <c r="BS1237" i="5"/>
  <c r="BM1237" i="5"/>
  <c r="BL1237" i="5"/>
  <c r="BK1237" i="5"/>
  <c r="BI1237" i="5"/>
  <c r="BJ1237" i="5"/>
  <c r="BH1237" i="5"/>
  <c r="BG1237" i="5"/>
  <c r="BF1237" i="5"/>
  <c r="BE1237" i="5"/>
  <c r="BD1237" i="5"/>
  <c r="BA1237" i="5"/>
  <c r="BP1237" i="5" s="1"/>
  <c r="AZ1237" i="5"/>
  <c r="AY1237" i="5"/>
  <c r="AU1237" i="5"/>
  <c r="BN1237" i="5" s="1"/>
  <c r="AV1237" i="5"/>
  <c r="BO1237" i="5" s="1"/>
  <c r="CH1309" i="5"/>
  <c r="CI1309" i="5"/>
  <c r="CK1309" i="5"/>
  <c r="CF1309" i="5"/>
  <c r="CE1309" i="5"/>
  <c r="CJ1309" i="5"/>
  <c r="CD1309" i="5"/>
  <c r="CG1309" i="5"/>
  <c r="CC1309" i="5"/>
  <c r="CA1309" i="5"/>
  <c r="BZ1309" i="5"/>
  <c r="BY1309" i="5"/>
  <c r="BW1309" i="5"/>
  <c r="BX1309" i="5"/>
  <c r="BU1309" i="5"/>
  <c r="BV1309" i="5"/>
  <c r="BT1309" i="5"/>
  <c r="BS1309" i="5"/>
  <c r="BQ1309" i="5"/>
  <c r="BR1309" i="5"/>
  <c r="BL1309" i="5"/>
  <c r="BM1309" i="5"/>
  <c r="BK1309" i="5"/>
  <c r="BI1309" i="5"/>
  <c r="BJ1309" i="5"/>
  <c r="BH1309" i="5"/>
  <c r="BG1309" i="5"/>
  <c r="BF1309" i="5"/>
  <c r="BE1309" i="5"/>
  <c r="BD1309" i="5"/>
  <c r="BA1309" i="5"/>
  <c r="BP1309" i="5" s="1"/>
  <c r="AU1309" i="5"/>
  <c r="BB1309" i="5" s="1"/>
  <c r="AZ1309" i="5"/>
  <c r="AY1309" i="5"/>
  <c r="AV1309" i="5"/>
  <c r="BO1309" i="5" s="1"/>
  <c r="BX5" i="5"/>
  <c r="CK42" i="5"/>
  <c r="CI42" i="5"/>
  <c r="CD42" i="5"/>
  <c r="CE42" i="5"/>
  <c r="CF42" i="5"/>
  <c r="BY42" i="5"/>
  <c r="CC42" i="5"/>
  <c r="CA42" i="5"/>
  <c r="BU42" i="5"/>
  <c r="BV42" i="5"/>
  <c r="BW42" i="5"/>
  <c r="BT42" i="5"/>
  <c r="BS42" i="5"/>
  <c r="BQ42" i="5"/>
  <c r="BR42" i="5"/>
  <c r="BM42" i="5"/>
  <c r="BK42" i="5"/>
  <c r="BH42" i="5"/>
  <c r="BJ42" i="5"/>
  <c r="BI42" i="5"/>
  <c r="BF42" i="5"/>
  <c r="BD42" i="5"/>
  <c r="BG42" i="5"/>
  <c r="BE42" i="5"/>
  <c r="BA42" i="5"/>
  <c r="BP42" i="5" s="1"/>
  <c r="AZ42" i="5"/>
  <c r="AY42" i="5"/>
  <c r="AU42" i="5"/>
  <c r="BN42" i="5" s="1"/>
  <c r="AV42" i="5"/>
  <c r="BC42" i="5" s="1"/>
  <c r="CJ106" i="5"/>
  <c r="CK106" i="5"/>
  <c r="CI106" i="5"/>
  <c r="CG106" i="5"/>
  <c r="CD106" i="5"/>
  <c r="CH106" i="5"/>
  <c r="CE106" i="5"/>
  <c r="CF106" i="5"/>
  <c r="CC106" i="5"/>
  <c r="BY106" i="5"/>
  <c r="BZ106" i="5"/>
  <c r="CA106" i="5"/>
  <c r="BU106" i="5"/>
  <c r="BX106" i="5"/>
  <c r="BV106" i="5"/>
  <c r="BW106" i="5"/>
  <c r="BT106" i="5"/>
  <c r="BS106" i="5"/>
  <c r="BQ106" i="5"/>
  <c r="BR106" i="5"/>
  <c r="BM106" i="5"/>
  <c r="BK106" i="5"/>
  <c r="BL106" i="5"/>
  <c r="BH106" i="5"/>
  <c r="BJ106" i="5"/>
  <c r="BI106" i="5"/>
  <c r="BF106" i="5"/>
  <c r="BD106" i="5"/>
  <c r="BG106" i="5"/>
  <c r="BE106" i="5"/>
  <c r="BA106" i="5"/>
  <c r="BP106" i="5" s="1"/>
  <c r="AZ106" i="5"/>
  <c r="AY106" i="5"/>
  <c r="AU106" i="5"/>
  <c r="BN106" i="5" s="1"/>
  <c r="AV106" i="5"/>
  <c r="BO106" i="5" s="1"/>
  <c r="CK160" i="5"/>
  <c r="CJ160" i="5"/>
  <c r="CH160" i="5"/>
  <c r="CI160" i="5"/>
  <c r="CF160" i="5"/>
  <c r="CG160" i="5"/>
  <c r="CC160" i="5"/>
  <c r="CD160" i="5"/>
  <c r="CE160" i="5"/>
  <c r="CA160" i="5"/>
  <c r="BZ160" i="5"/>
  <c r="BV160" i="5"/>
  <c r="BY160" i="5"/>
  <c r="BX160" i="5"/>
  <c r="BW160" i="5"/>
  <c r="BU160" i="5"/>
  <c r="BS160" i="5"/>
  <c r="BT160" i="5"/>
  <c r="BQ160" i="5"/>
  <c r="BR160" i="5"/>
  <c r="BL160" i="5"/>
  <c r="BM160" i="5"/>
  <c r="BK160" i="5"/>
  <c r="BJ160" i="5"/>
  <c r="BH160" i="5"/>
  <c r="BI160" i="5"/>
  <c r="BG160" i="5"/>
  <c r="BF160" i="5"/>
  <c r="BE160" i="5"/>
  <c r="BD160" i="5"/>
  <c r="BA160" i="5"/>
  <c r="BP160" i="5" s="1"/>
  <c r="AZ160" i="5"/>
  <c r="AY160" i="5"/>
  <c r="AV160" i="5"/>
  <c r="BO160" i="5" s="1"/>
  <c r="AU160" i="5"/>
  <c r="BN160" i="5" s="1"/>
  <c r="CJ234" i="5"/>
  <c r="CK234" i="5"/>
  <c r="CI234" i="5"/>
  <c r="CD234" i="5"/>
  <c r="CH234" i="5"/>
  <c r="CE234" i="5"/>
  <c r="CG234" i="5"/>
  <c r="CF234" i="5"/>
  <c r="CC234" i="5"/>
  <c r="BY234" i="5"/>
  <c r="BZ234" i="5"/>
  <c r="BX234" i="5"/>
  <c r="CA234" i="5"/>
  <c r="BU234" i="5"/>
  <c r="BV234" i="5"/>
  <c r="BW234" i="5"/>
  <c r="BT234" i="5"/>
  <c r="BS234" i="5"/>
  <c r="BQ234" i="5"/>
  <c r="BR234" i="5"/>
  <c r="BM234" i="5"/>
  <c r="BK234" i="5"/>
  <c r="BL234" i="5"/>
  <c r="BJ234" i="5"/>
  <c r="BI234" i="5"/>
  <c r="BH234" i="5"/>
  <c r="BF234" i="5"/>
  <c r="BD234" i="5"/>
  <c r="BG234" i="5"/>
  <c r="BE234" i="5"/>
  <c r="BA234" i="5"/>
  <c r="BP234" i="5" s="1"/>
  <c r="AZ234" i="5"/>
  <c r="AY234" i="5"/>
  <c r="AU234" i="5"/>
  <c r="BB234" i="5" s="1"/>
  <c r="AV234" i="5"/>
  <c r="BO234" i="5" s="1"/>
  <c r="CK307" i="5"/>
  <c r="CI307" i="5"/>
  <c r="CE307" i="5"/>
  <c r="CD307" i="5"/>
  <c r="CF307" i="5"/>
  <c r="CC307" i="5"/>
  <c r="BY307" i="5"/>
  <c r="CA307" i="5"/>
  <c r="BW307" i="5"/>
  <c r="BV307" i="5"/>
  <c r="BU307" i="5"/>
  <c r="BS307" i="5"/>
  <c r="BR307" i="5"/>
  <c r="BT307" i="5"/>
  <c r="BQ307" i="5"/>
  <c r="BK307" i="5"/>
  <c r="BM307" i="5"/>
  <c r="BI307" i="5"/>
  <c r="BG307" i="5"/>
  <c r="BJ307" i="5"/>
  <c r="BH307" i="5"/>
  <c r="BF307" i="5"/>
  <c r="BE307" i="5"/>
  <c r="BD307" i="5"/>
  <c r="BA307" i="5"/>
  <c r="BP307" i="5" s="1"/>
  <c r="AY307" i="5"/>
  <c r="AU307" i="5"/>
  <c r="BB307" i="5" s="1"/>
  <c r="AZ307" i="5"/>
  <c r="AV307" i="5"/>
  <c r="BC307" i="5" s="1"/>
  <c r="CK380" i="5"/>
  <c r="CJ380" i="5"/>
  <c r="CF380" i="5"/>
  <c r="CI380" i="5"/>
  <c r="CD380" i="5"/>
  <c r="CH380" i="5"/>
  <c r="CG380" i="5"/>
  <c r="CC380" i="5"/>
  <c r="CE380" i="5"/>
  <c r="CA380" i="5"/>
  <c r="BY380" i="5"/>
  <c r="BV380" i="5"/>
  <c r="BZ380" i="5"/>
  <c r="BX380" i="5"/>
  <c r="BW380" i="5"/>
  <c r="BU380" i="5"/>
  <c r="BS380" i="5"/>
  <c r="BT380" i="5"/>
  <c r="BR380" i="5"/>
  <c r="BQ380" i="5"/>
  <c r="BJ380" i="5"/>
  <c r="BM380" i="5"/>
  <c r="BL380" i="5"/>
  <c r="BK380" i="5"/>
  <c r="BI380" i="5"/>
  <c r="BH380" i="5"/>
  <c r="BG380" i="5"/>
  <c r="BF380" i="5"/>
  <c r="BE380" i="5"/>
  <c r="BD380" i="5"/>
  <c r="AZ380" i="5"/>
  <c r="BA380" i="5"/>
  <c r="BP380" i="5" s="1"/>
  <c r="AY380" i="5"/>
  <c r="AU380" i="5"/>
  <c r="BN380" i="5" s="1"/>
  <c r="AV380" i="5"/>
  <c r="BC380" i="5" s="1"/>
  <c r="CK453" i="5"/>
  <c r="CI453" i="5"/>
  <c r="CF453" i="5"/>
  <c r="CD453" i="5"/>
  <c r="CE453" i="5"/>
  <c r="CC453" i="5"/>
  <c r="CA453" i="5"/>
  <c r="BW453" i="5"/>
  <c r="BY453" i="5"/>
  <c r="BV453" i="5"/>
  <c r="BU453" i="5"/>
  <c r="BT453" i="5"/>
  <c r="BR453" i="5"/>
  <c r="BS453" i="5"/>
  <c r="BQ453" i="5"/>
  <c r="BM453" i="5"/>
  <c r="BK453" i="5"/>
  <c r="BJ453" i="5"/>
  <c r="BI453" i="5"/>
  <c r="BG453" i="5"/>
  <c r="BF453" i="5"/>
  <c r="BH453" i="5"/>
  <c r="BE453" i="5"/>
  <c r="BD453" i="5"/>
  <c r="BA453" i="5"/>
  <c r="BP453" i="5" s="1"/>
  <c r="AZ453" i="5"/>
  <c r="AY453" i="5"/>
  <c r="AU453" i="5"/>
  <c r="BB453" i="5" s="1"/>
  <c r="AV453" i="5"/>
  <c r="BO453" i="5" s="1"/>
  <c r="CK526" i="5"/>
  <c r="CJ526" i="5"/>
  <c r="CI526" i="5"/>
  <c r="CE526" i="5"/>
  <c r="CH526" i="5"/>
  <c r="CG526" i="5"/>
  <c r="CD526" i="5"/>
  <c r="CF526" i="5"/>
  <c r="CC526" i="5"/>
  <c r="BY526" i="5"/>
  <c r="CA526" i="5"/>
  <c r="BZ526" i="5"/>
  <c r="BX526" i="5"/>
  <c r="BU526" i="5"/>
  <c r="BW526" i="5"/>
  <c r="BV526" i="5"/>
  <c r="BS526" i="5"/>
  <c r="BT526" i="5"/>
  <c r="BR526" i="5"/>
  <c r="BQ526" i="5"/>
  <c r="BM526" i="5"/>
  <c r="BK526" i="5"/>
  <c r="BL526" i="5"/>
  <c r="BJ526" i="5"/>
  <c r="BI526" i="5"/>
  <c r="BH526" i="5"/>
  <c r="BG526" i="5"/>
  <c r="BF526" i="5"/>
  <c r="BE526" i="5"/>
  <c r="BD526" i="5"/>
  <c r="BA526" i="5"/>
  <c r="BP526" i="5" s="1"/>
  <c r="AZ526" i="5"/>
  <c r="AY526" i="5"/>
  <c r="AV526" i="5"/>
  <c r="BC526" i="5" s="1"/>
  <c r="AU526" i="5"/>
  <c r="BB526" i="5" s="1"/>
  <c r="CK599" i="5"/>
  <c r="CJ599" i="5"/>
  <c r="CI599" i="5"/>
  <c r="CG599" i="5"/>
  <c r="CE599" i="5"/>
  <c r="CF599" i="5"/>
  <c r="CH599" i="5"/>
  <c r="CD599" i="5"/>
  <c r="BZ599" i="5"/>
  <c r="CC599" i="5"/>
  <c r="CA599" i="5"/>
  <c r="BY599" i="5"/>
  <c r="BX599" i="5"/>
  <c r="BV599" i="5"/>
  <c r="BW599" i="5"/>
  <c r="BU599" i="5"/>
  <c r="BT599" i="5"/>
  <c r="BS599" i="5"/>
  <c r="BQ599" i="5"/>
  <c r="BR599" i="5"/>
  <c r="BM599" i="5"/>
  <c r="BK599" i="5"/>
  <c r="BL599" i="5"/>
  <c r="BI599" i="5"/>
  <c r="BJ599" i="5"/>
  <c r="BG599" i="5"/>
  <c r="BH599" i="5"/>
  <c r="BE599" i="5"/>
  <c r="BF599" i="5"/>
  <c r="BD599" i="5"/>
  <c r="AY599" i="5"/>
  <c r="BA599" i="5"/>
  <c r="BP599" i="5" s="1"/>
  <c r="AZ599" i="5"/>
  <c r="AV599" i="5"/>
  <c r="BC599" i="5" s="1"/>
  <c r="AU599" i="5"/>
  <c r="BN599" i="5" s="1"/>
  <c r="CK672" i="5"/>
  <c r="CH672" i="5"/>
  <c r="CI672" i="5"/>
  <c r="CF672" i="5"/>
  <c r="CG672" i="5"/>
  <c r="CJ672" i="5"/>
  <c r="CC672" i="5"/>
  <c r="CD672" i="5"/>
  <c r="CE672" i="5"/>
  <c r="CA672" i="5"/>
  <c r="BX672" i="5"/>
  <c r="BZ672" i="5"/>
  <c r="BY672" i="5"/>
  <c r="BW672" i="5"/>
  <c r="BV672" i="5"/>
  <c r="BU672" i="5"/>
  <c r="BT672" i="5"/>
  <c r="BS672" i="5"/>
  <c r="BQ672" i="5"/>
  <c r="BR672" i="5"/>
  <c r="BL672" i="5"/>
  <c r="BM672" i="5"/>
  <c r="BK672" i="5"/>
  <c r="BJ672" i="5"/>
  <c r="BH672" i="5"/>
  <c r="BI672" i="5"/>
  <c r="BG672" i="5"/>
  <c r="BF672" i="5"/>
  <c r="BE672" i="5"/>
  <c r="BD672" i="5"/>
  <c r="AZ672" i="5"/>
  <c r="AY672" i="5"/>
  <c r="BA672" i="5"/>
  <c r="BP672" i="5" s="1"/>
  <c r="AV672" i="5"/>
  <c r="BO672" i="5" s="1"/>
  <c r="AU672" i="5"/>
  <c r="BN672" i="5" s="1"/>
  <c r="CK746" i="5"/>
  <c r="CJ746" i="5"/>
  <c r="CI746" i="5"/>
  <c r="CH746" i="5"/>
  <c r="CE746" i="5"/>
  <c r="CG746" i="5"/>
  <c r="CF746" i="5"/>
  <c r="CC746" i="5"/>
  <c r="CD746" i="5"/>
  <c r="BZ746" i="5"/>
  <c r="CA746" i="5"/>
  <c r="BU746" i="5"/>
  <c r="BY746" i="5"/>
  <c r="BX746" i="5"/>
  <c r="BW746" i="5"/>
  <c r="BV746" i="5"/>
  <c r="BS746" i="5"/>
  <c r="BT746" i="5"/>
  <c r="BQ746" i="5"/>
  <c r="BR746" i="5"/>
  <c r="BM746" i="5"/>
  <c r="BL746" i="5"/>
  <c r="BK746" i="5"/>
  <c r="BJ746" i="5"/>
  <c r="BI746" i="5"/>
  <c r="BF746" i="5"/>
  <c r="BH746" i="5"/>
  <c r="BG746" i="5"/>
  <c r="BD746" i="5"/>
  <c r="BE746" i="5"/>
  <c r="BA746" i="5"/>
  <c r="BP746" i="5" s="1"/>
  <c r="AZ746" i="5"/>
  <c r="AY746" i="5"/>
  <c r="AU746" i="5"/>
  <c r="BN746" i="5" s="1"/>
  <c r="AV746" i="5"/>
  <c r="BC746" i="5" s="1"/>
  <c r="CK819" i="5"/>
  <c r="CI819" i="5"/>
  <c r="CE819" i="5"/>
  <c r="CD819" i="5"/>
  <c r="CF819" i="5"/>
  <c r="CC819" i="5"/>
  <c r="BY819" i="5"/>
  <c r="CA819" i="5"/>
  <c r="BV819" i="5"/>
  <c r="BW819" i="5"/>
  <c r="BU819" i="5"/>
  <c r="BT819" i="5"/>
  <c r="BS819" i="5"/>
  <c r="BR819" i="5"/>
  <c r="BQ819" i="5"/>
  <c r="BM819" i="5"/>
  <c r="BI819" i="5"/>
  <c r="BK819" i="5"/>
  <c r="BG819" i="5"/>
  <c r="BJ819" i="5"/>
  <c r="BH819" i="5"/>
  <c r="BE819" i="5"/>
  <c r="BD819" i="5"/>
  <c r="BF819" i="5"/>
  <c r="AY819" i="5"/>
  <c r="AU819" i="5"/>
  <c r="BN819" i="5" s="1"/>
  <c r="BA819" i="5"/>
  <c r="BP819" i="5" s="1"/>
  <c r="AZ819" i="5"/>
  <c r="AV819" i="5"/>
  <c r="BO819" i="5" s="1"/>
  <c r="CF892" i="5"/>
  <c r="CK892" i="5"/>
  <c r="CI892" i="5"/>
  <c r="CE892" i="5"/>
  <c r="CC892" i="5"/>
  <c r="CA892" i="5"/>
  <c r="CD892" i="5"/>
  <c r="BY892" i="5"/>
  <c r="BW892" i="5"/>
  <c r="BU892" i="5"/>
  <c r="BV892" i="5"/>
  <c r="BT892" i="5"/>
  <c r="BR892" i="5"/>
  <c r="BS892" i="5"/>
  <c r="BQ892" i="5"/>
  <c r="BJ892" i="5"/>
  <c r="BM892" i="5"/>
  <c r="BK892" i="5"/>
  <c r="BI892" i="5"/>
  <c r="BH892" i="5"/>
  <c r="BG892" i="5"/>
  <c r="BF892" i="5"/>
  <c r="BD892" i="5"/>
  <c r="BE892" i="5"/>
  <c r="AZ892" i="5"/>
  <c r="AY892" i="5"/>
  <c r="BA892" i="5"/>
  <c r="BP892" i="5" s="1"/>
  <c r="AU892" i="5"/>
  <c r="BN892" i="5" s="1"/>
  <c r="AV892" i="5"/>
  <c r="BO892" i="5" s="1"/>
  <c r="CI965" i="5"/>
  <c r="CK965" i="5"/>
  <c r="CD965" i="5"/>
  <c r="CE965" i="5"/>
  <c r="CF965" i="5"/>
  <c r="CC965" i="5"/>
  <c r="CA965" i="5"/>
  <c r="BW965" i="5"/>
  <c r="BY965" i="5"/>
  <c r="BV965" i="5"/>
  <c r="BU965" i="5"/>
  <c r="BR965" i="5"/>
  <c r="BT965" i="5"/>
  <c r="BQ965" i="5"/>
  <c r="BS965" i="5"/>
  <c r="BM965" i="5"/>
  <c r="BK965" i="5"/>
  <c r="BJ965" i="5"/>
  <c r="BI965" i="5"/>
  <c r="BH965" i="5"/>
  <c r="BG965" i="5"/>
  <c r="BD965" i="5"/>
  <c r="BF965" i="5"/>
  <c r="BE965" i="5"/>
  <c r="BA965" i="5"/>
  <c r="BP965" i="5" s="1"/>
  <c r="AZ965" i="5"/>
  <c r="AY965" i="5"/>
  <c r="AU965" i="5"/>
  <c r="BN965" i="5" s="1"/>
  <c r="AV965" i="5"/>
  <c r="BO965" i="5" s="1"/>
  <c r="CI1038" i="5"/>
  <c r="CK1038" i="5"/>
  <c r="CE1038" i="5"/>
  <c r="CC1038" i="5"/>
  <c r="CF1038" i="5"/>
  <c r="CD1038" i="5"/>
  <c r="CA1038" i="5"/>
  <c r="BY1038" i="5"/>
  <c r="BU1038" i="5"/>
  <c r="BW1038" i="5"/>
  <c r="BV1038" i="5"/>
  <c r="BS1038" i="5"/>
  <c r="BT1038" i="5"/>
  <c r="BR1038" i="5"/>
  <c r="BQ1038" i="5"/>
  <c r="BM1038" i="5"/>
  <c r="BK1038" i="5"/>
  <c r="BJ1038" i="5"/>
  <c r="BI1038" i="5"/>
  <c r="BH1038" i="5"/>
  <c r="BG1038" i="5"/>
  <c r="BF1038" i="5"/>
  <c r="BE1038" i="5"/>
  <c r="BD1038" i="5"/>
  <c r="BA1038" i="5"/>
  <c r="BP1038" i="5" s="1"/>
  <c r="AZ1038" i="5"/>
  <c r="AY1038" i="5"/>
  <c r="AV1038" i="5"/>
  <c r="BO1038" i="5" s="1"/>
  <c r="AU1038" i="5"/>
  <c r="BN1038" i="5" s="1"/>
  <c r="CK1111" i="5"/>
  <c r="CI1111" i="5"/>
  <c r="CE1111" i="5"/>
  <c r="CF1111" i="5"/>
  <c r="CD1111" i="5"/>
  <c r="CC1111" i="5"/>
  <c r="CA1111" i="5"/>
  <c r="BY1111" i="5"/>
  <c r="BV1111" i="5"/>
  <c r="BW1111" i="5"/>
  <c r="BT1111" i="5"/>
  <c r="BU1111" i="5"/>
  <c r="BR1111" i="5"/>
  <c r="BQ1111" i="5"/>
  <c r="BS1111" i="5"/>
  <c r="BM1111" i="5"/>
  <c r="BK1111" i="5"/>
  <c r="BJ1111" i="5"/>
  <c r="BI1111" i="5"/>
  <c r="BG1111" i="5"/>
  <c r="BH1111" i="5"/>
  <c r="BE1111" i="5"/>
  <c r="BF1111" i="5"/>
  <c r="BD1111" i="5"/>
  <c r="AY1111" i="5"/>
  <c r="BA1111" i="5"/>
  <c r="BP1111" i="5" s="1"/>
  <c r="AZ1111" i="5"/>
  <c r="AV1111" i="5"/>
  <c r="BO1111" i="5" s="1"/>
  <c r="AU1111" i="5"/>
  <c r="BN1111" i="5" s="1"/>
  <c r="CI1184" i="5"/>
  <c r="CF1184" i="5"/>
  <c r="CH1184" i="5"/>
  <c r="CJ1184" i="5"/>
  <c r="CK1184" i="5"/>
  <c r="CG1184" i="5"/>
  <c r="CD1184" i="5"/>
  <c r="CE1184" i="5"/>
  <c r="CC1184" i="5"/>
  <c r="CA1184" i="5"/>
  <c r="BY1184" i="5"/>
  <c r="BZ1184" i="5"/>
  <c r="BW1184" i="5"/>
  <c r="BX1184" i="5"/>
  <c r="BV1184" i="5"/>
  <c r="BU1184" i="5"/>
  <c r="BT1184" i="5"/>
  <c r="BR1184" i="5"/>
  <c r="BQ1184" i="5"/>
  <c r="BS1184" i="5"/>
  <c r="BM1184" i="5"/>
  <c r="BL1184" i="5"/>
  <c r="BJ1184" i="5"/>
  <c r="BH1184" i="5"/>
  <c r="BI1184" i="5"/>
  <c r="BK1184" i="5"/>
  <c r="BG1184" i="5"/>
  <c r="BF1184" i="5"/>
  <c r="BE1184" i="5"/>
  <c r="BD1184" i="5"/>
  <c r="AZ1184" i="5"/>
  <c r="AY1184" i="5"/>
  <c r="BA1184" i="5"/>
  <c r="BP1184" i="5" s="1"/>
  <c r="AV1184" i="5"/>
  <c r="BO1184" i="5" s="1"/>
  <c r="AU1184" i="5"/>
  <c r="BB1184" i="5" s="1"/>
  <c r="CI1258" i="5"/>
  <c r="CJ1258" i="5"/>
  <c r="CK1258" i="5"/>
  <c r="CG1258" i="5"/>
  <c r="CE1258" i="5"/>
  <c r="CH1258" i="5"/>
  <c r="CC1258" i="5"/>
  <c r="CF1258" i="5"/>
  <c r="CD1258" i="5"/>
  <c r="BZ1258" i="5"/>
  <c r="CA1258" i="5"/>
  <c r="BY1258" i="5"/>
  <c r="BU1258" i="5"/>
  <c r="BX1258" i="5"/>
  <c r="BW1258" i="5"/>
  <c r="BV1258" i="5"/>
  <c r="BS1258" i="5"/>
  <c r="BT1258" i="5"/>
  <c r="BR1258" i="5"/>
  <c r="BQ1258" i="5"/>
  <c r="BM1258" i="5"/>
  <c r="BL1258" i="5"/>
  <c r="BI1258" i="5"/>
  <c r="BK1258" i="5"/>
  <c r="BJ1258" i="5"/>
  <c r="BH1258" i="5"/>
  <c r="BG1258" i="5"/>
  <c r="BF1258" i="5"/>
  <c r="BE1258" i="5"/>
  <c r="BD1258" i="5"/>
  <c r="BA1258" i="5"/>
  <c r="BP1258" i="5" s="1"/>
  <c r="AZ1258" i="5"/>
  <c r="AY1258" i="5"/>
  <c r="AU1258" i="5"/>
  <c r="BN1258" i="5" s="1"/>
  <c r="AV1258" i="5"/>
  <c r="BC1258" i="5" s="1"/>
  <c r="CK1327" i="5"/>
  <c r="CK1379" i="5" s="1"/>
  <c r="CK1380" i="5" s="1"/>
  <c r="CJ1327" i="5"/>
  <c r="CH1327" i="5"/>
  <c r="CE1327" i="5"/>
  <c r="CG1327" i="5"/>
  <c r="CI1327" i="5"/>
  <c r="CF1327" i="5"/>
  <c r="BZ1327" i="5"/>
  <c r="CD1327" i="5"/>
  <c r="CD1379" i="5" s="1"/>
  <c r="CD1380" i="5" s="1"/>
  <c r="CC1327" i="5"/>
  <c r="BY1327" i="5"/>
  <c r="BY1379" i="5" s="1"/>
  <c r="BY1380" i="5" s="1"/>
  <c r="BX1327" i="5"/>
  <c r="CA1327" i="5"/>
  <c r="BV1327" i="5"/>
  <c r="BW1327" i="5"/>
  <c r="BT1327" i="5"/>
  <c r="BU1327" i="5"/>
  <c r="BU1379" i="5" s="1"/>
  <c r="BU1380" i="5" s="1"/>
  <c r="BR1327" i="5"/>
  <c r="BQ1327" i="5"/>
  <c r="BQ1379" i="5" s="1"/>
  <c r="BQ1380" i="5" s="1"/>
  <c r="BS1327" i="5"/>
  <c r="BL1327" i="5"/>
  <c r="BM1327" i="5"/>
  <c r="BM1379" i="5" s="1"/>
  <c r="BM1380" i="5" s="1"/>
  <c r="BK1327" i="5"/>
  <c r="BJ1327" i="5"/>
  <c r="BI1327" i="5"/>
  <c r="BI1379" i="5" s="1"/>
  <c r="BI1380" i="5" s="1"/>
  <c r="BG1327" i="5"/>
  <c r="BH1327" i="5"/>
  <c r="BE1327" i="5"/>
  <c r="BF1327" i="5"/>
  <c r="BF1379" i="5" s="1"/>
  <c r="BF1380" i="5" s="1"/>
  <c r="BD1327" i="5"/>
  <c r="BD1379" i="5" s="1"/>
  <c r="BD1380" i="5" s="1"/>
  <c r="AY1327" i="5"/>
  <c r="BA1327" i="5"/>
  <c r="AZ1327" i="5"/>
  <c r="AZ1379" i="5" s="1"/>
  <c r="AZ1380" i="5" s="1"/>
  <c r="AV1327" i="5"/>
  <c r="AU1327" i="5"/>
  <c r="CJ70" i="5"/>
  <c r="CI70" i="5"/>
  <c r="CK70" i="5"/>
  <c r="CD70" i="5"/>
  <c r="CH70" i="5"/>
  <c r="CE70" i="5"/>
  <c r="CC70" i="5"/>
  <c r="CG70" i="5"/>
  <c r="CF70" i="5"/>
  <c r="BY70" i="5"/>
  <c r="BX70" i="5"/>
  <c r="CA70" i="5"/>
  <c r="BZ70" i="5"/>
  <c r="BW70" i="5"/>
  <c r="BV70" i="5"/>
  <c r="BU70" i="5"/>
  <c r="BS70" i="5"/>
  <c r="BT70" i="5"/>
  <c r="BR70" i="5"/>
  <c r="BQ70" i="5"/>
  <c r="BM70" i="5"/>
  <c r="BL70" i="5"/>
  <c r="BK70" i="5"/>
  <c r="BH70" i="5"/>
  <c r="BJ70" i="5"/>
  <c r="BI70" i="5"/>
  <c r="BG70" i="5"/>
  <c r="BF70" i="5"/>
  <c r="BD70" i="5"/>
  <c r="BE70" i="5"/>
  <c r="BA70" i="5"/>
  <c r="BP70" i="5" s="1"/>
  <c r="AV70" i="5"/>
  <c r="BO70" i="5" s="1"/>
  <c r="AZ70" i="5"/>
  <c r="AY70" i="5"/>
  <c r="AU70" i="5"/>
  <c r="BB70" i="5" s="1"/>
  <c r="CJ143" i="5"/>
  <c r="CI143" i="5"/>
  <c r="CE143" i="5"/>
  <c r="CK143" i="5"/>
  <c r="CH143" i="5"/>
  <c r="CF143" i="5"/>
  <c r="CG143" i="5"/>
  <c r="CD143" i="5"/>
  <c r="CC143" i="5"/>
  <c r="BZ143" i="5"/>
  <c r="CA143" i="5"/>
  <c r="BY143" i="5"/>
  <c r="BX143" i="5"/>
  <c r="BV143" i="5"/>
  <c r="BW143" i="5"/>
  <c r="BU143" i="5"/>
  <c r="BT143" i="5"/>
  <c r="BS143" i="5"/>
  <c r="BR143" i="5"/>
  <c r="BQ143" i="5"/>
  <c r="BK143" i="5"/>
  <c r="BM143" i="5"/>
  <c r="BI143" i="5"/>
  <c r="BL143" i="5"/>
  <c r="BJ143" i="5"/>
  <c r="BH143" i="5"/>
  <c r="BG143" i="5"/>
  <c r="BE143" i="5"/>
  <c r="BF143" i="5"/>
  <c r="BD143" i="5"/>
  <c r="BA143" i="5"/>
  <c r="BP143" i="5" s="1"/>
  <c r="AY143" i="5"/>
  <c r="AZ143" i="5"/>
  <c r="AU143" i="5"/>
  <c r="BN143" i="5" s="1"/>
  <c r="AV143" i="5"/>
  <c r="BC143" i="5" s="1"/>
  <c r="CJ216" i="5"/>
  <c r="CF216" i="5"/>
  <c r="CH216" i="5"/>
  <c r="CE216" i="5"/>
  <c r="CD216" i="5"/>
  <c r="CK216" i="5"/>
  <c r="CI216" i="5"/>
  <c r="CC216" i="5"/>
  <c r="CG216" i="5"/>
  <c r="CA216" i="5"/>
  <c r="BZ216" i="5"/>
  <c r="BY216" i="5"/>
  <c r="BX216" i="5"/>
  <c r="BV216" i="5"/>
  <c r="BW216" i="5"/>
  <c r="BU216" i="5"/>
  <c r="BT216" i="5"/>
  <c r="BS216" i="5"/>
  <c r="BR216" i="5"/>
  <c r="BQ216" i="5"/>
  <c r="BM216" i="5"/>
  <c r="BK216" i="5"/>
  <c r="BL216" i="5"/>
  <c r="BJ216" i="5"/>
  <c r="BI216" i="5"/>
  <c r="BH216" i="5"/>
  <c r="BG216" i="5"/>
  <c r="BF216" i="5"/>
  <c r="BE216" i="5"/>
  <c r="BD216" i="5"/>
  <c r="BA216" i="5"/>
  <c r="BP216" i="5" s="1"/>
  <c r="AZ216" i="5"/>
  <c r="AV216" i="5"/>
  <c r="BO216" i="5" s="1"/>
  <c r="AY216" i="5"/>
  <c r="AU216" i="5"/>
  <c r="BN216" i="5" s="1"/>
  <c r="CJ290" i="5"/>
  <c r="CK290" i="5"/>
  <c r="CI290" i="5"/>
  <c r="CD290" i="5"/>
  <c r="CF290" i="5"/>
  <c r="CE290" i="5"/>
  <c r="CG290" i="5"/>
  <c r="CH290" i="5"/>
  <c r="CC290" i="5"/>
  <c r="BY290" i="5"/>
  <c r="CA290" i="5"/>
  <c r="BZ290" i="5"/>
  <c r="BX290" i="5"/>
  <c r="BU290" i="5"/>
  <c r="BV290" i="5"/>
  <c r="BW290" i="5"/>
  <c r="BS290" i="5"/>
  <c r="BT290" i="5"/>
  <c r="BQ290" i="5"/>
  <c r="BR290" i="5"/>
  <c r="BM290" i="5"/>
  <c r="BL290" i="5"/>
  <c r="BK290" i="5"/>
  <c r="BJ290" i="5"/>
  <c r="BI290" i="5"/>
  <c r="BG290" i="5"/>
  <c r="BF290" i="5"/>
  <c r="BD290" i="5"/>
  <c r="BH290" i="5"/>
  <c r="BE290" i="5"/>
  <c r="BA290" i="5"/>
  <c r="BP290" i="5" s="1"/>
  <c r="AZ290" i="5"/>
  <c r="AY290" i="5"/>
  <c r="AU290" i="5"/>
  <c r="BN290" i="5" s="1"/>
  <c r="AV290" i="5"/>
  <c r="BO290" i="5" s="1"/>
  <c r="CJ363" i="5"/>
  <c r="CK363" i="5"/>
  <c r="CH363" i="5"/>
  <c r="CI363" i="5"/>
  <c r="CE363" i="5"/>
  <c r="CF363" i="5"/>
  <c r="CG363" i="5"/>
  <c r="CC363" i="5"/>
  <c r="CD363" i="5"/>
  <c r="BZ363" i="5"/>
  <c r="CA363" i="5"/>
  <c r="BY363" i="5"/>
  <c r="BX363" i="5"/>
  <c r="BW363" i="5"/>
  <c r="BV363" i="5"/>
  <c r="BU363" i="5"/>
  <c r="BT363" i="5"/>
  <c r="BS363" i="5"/>
  <c r="BQ363" i="5"/>
  <c r="BR363" i="5"/>
  <c r="BK363" i="5"/>
  <c r="BM363" i="5"/>
  <c r="BL363" i="5"/>
  <c r="BI363" i="5"/>
  <c r="BG363" i="5"/>
  <c r="BH363" i="5"/>
  <c r="BJ363" i="5"/>
  <c r="BF363" i="5"/>
  <c r="BE363" i="5"/>
  <c r="BD363" i="5"/>
  <c r="BA363" i="5"/>
  <c r="BP363" i="5" s="1"/>
  <c r="AY363" i="5"/>
  <c r="AZ363" i="5"/>
  <c r="AU363" i="5"/>
  <c r="BN363" i="5" s="1"/>
  <c r="AV363" i="5"/>
  <c r="BC363" i="5" s="1"/>
  <c r="CK436" i="5"/>
  <c r="CG436" i="5"/>
  <c r="CH436" i="5"/>
  <c r="CF436" i="5"/>
  <c r="CJ436" i="5"/>
  <c r="CC436" i="5"/>
  <c r="CI436" i="5"/>
  <c r="CD436" i="5"/>
  <c r="CE436" i="5"/>
  <c r="CA436" i="5"/>
  <c r="BX436" i="5"/>
  <c r="BV436" i="5"/>
  <c r="BY436" i="5"/>
  <c r="BZ436" i="5"/>
  <c r="BW436" i="5"/>
  <c r="BU436" i="5"/>
  <c r="BT436" i="5"/>
  <c r="BS436" i="5"/>
  <c r="BR436" i="5"/>
  <c r="BQ436" i="5"/>
  <c r="BK436" i="5"/>
  <c r="BJ436" i="5"/>
  <c r="BL436" i="5"/>
  <c r="BM436" i="5"/>
  <c r="BI436" i="5"/>
  <c r="BH436" i="5"/>
  <c r="BF436" i="5"/>
  <c r="BG436" i="5"/>
  <c r="BE436" i="5"/>
  <c r="BD436" i="5"/>
  <c r="AZ436" i="5"/>
  <c r="BA436" i="5"/>
  <c r="BP436" i="5" s="1"/>
  <c r="AY436" i="5"/>
  <c r="AU436" i="5"/>
  <c r="BN436" i="5" s="1"/>
  <c r="AV436" i="5"/>
  <c r="BO436" i="5" s="1"/>
  <c r="CH509" i="5"/>
  <c r="CI509" i="5"/>
  <c r="CK509" i="5"/>
  <c r="CJ509" i="5"/>
  <c r="CF509" i="5"/>
  <c r="CE509" i="5"/>
  <c r="CG509" i="5"/>
  <c r="CD509" i="5"/>
  <c r="CC509" i="5"/>
  <c r="CA509" i="5"/>
  <c r="BZ509" i="5"/>
  <c r="BY509" i="5"/>
  <c r="BX509" i="5"/>
  <c r="BW509" i="5"/>
  <c r="BT509" i="5"/>
  <c r="BV509" i="5"/>
  <c r="BU509" i="5"/>
  <c r="BR509" i="5"/>
  <c r="BS509" i="5"/>
  <c r="BQ509" i="5"/>
  <c r="BL509" i="5"/>
  <c r="BM509" i="5"/>
  <c r="BK509" i="5"/>
  <c r="BJ509" i="5"/>
  <c r="BI509" i="5"/>
  <c r="BH509" i="5"/>
  <c r="BG509" i="5"/>
  <c r="BF509" i="5"/>
  <c r="BE509" i="5"/>
  <c r="BD509" i="5"/>
  <c r="BA509" i="5"/>
  <c r="BP509" i="5" s="1"/>
  <c r="AZ509" i="5"/>
  <c r="AY509" i="5"/>
  <c r="AU509" i="5"/>
  <c r="BN509" i="5" s="1"/>
  <c r="AV509" i="5"/>
  <c r="BC509" i="5" s="1"/>
  <c r="CJ582" i="5"/>
  <c r="CK582" i="5"/>
  <c r="CI582" i="5"/>
  <c r="CH582" i="5"/>
  <c r="CE582" i="5"/>
  <c r="CD582" i="5"/>
  <c r="CC582" i="5"/>
  <c r="CG582" i="5"/>
  <c r="CF582" i="5"/>
  <c r="BY582" i="5"/>
  <c r="CA582" i="5"/>
  <c r="BZ582" i="5"/>
  <c r="BX582" i="5"/>
  <c r="BW582" i="5"/>
  <c r="BU582" i="5"/>
  <c r="BV582" i="5"/>
  <c r="BS582" i="5"/>
  <c r="BT582" i="5"/>
  <c r="BR582" i="5"/>
  <c r="BQ582" i="5"/>
  <c r="BM582" i="5"/>
  <c r="BK582" i="5"/>
  <c r="BL582" i="5"/>
  <c r="BJ582" i="5"/>
  <c r="BI582" i="5"/>
  <c r="BH582" i="5"/>
  <c r="BG582" i="5"/>
  <c r="BF582" i="5"/>
  <c r="BD582" i="5"/>
  <c r="BE582" i="5"/>
  <c r="AV582" i="5"/>
  <c r="BO582" i="5" s="1"/>
  <c r="BA582" i="5"/>
  <c r="BP582" i="5" s="1"/>
  <c r="AZ582" i="5"/>
  <c r="AY582" i="5"/>
  <c r="AU582" i="5"/>
  <c r="BB582" i="5" s="1"/>
  <c r="CG655" i="5"/>
  <c r="CI655" i="5"/>
  <c r="CE655" i="5"/>
  <c r="CK655" i="5"/>
  <c r="CH655" i="5"/>
  <c r="CJ655" i="5"/>
  <c r="CF655" i="5"/>
  <c r="CD655" i="5"/>
  <c r="BZ655" i="5"/>
  <c r="CC655" i="5"/>
  <c r="BY655" i="5"/>
  <c r="CA655" i="5"/>
  <c r="BV655" i="5"/>
  <c r="BX655" i="5"/>
  <c r="BW655" i="5"/>
  <c r="BT655" i="5"/>
  <c r="BU655" i="5"/>
  <c r="BS655" i="5"/>
  <c r="BR655" i="5"/>
  <c r="BQ655" i="5"/>
  <c r="BK655" i="5"/>
  <c r="BM655" i="5"/>
  <c r="BI655" i="5"/>
  <c r="BL655" i="5"/>
  <c r="BJ655" i="5"/>
  <c r="BG655" i="5"/>
  <c r="BH655" i="5"/>
  <c r="BE655" i="5"/>
  <c r="BF655" i="5"/>
  <c r="BD655" i="5"/>
  <c r="AY655" i="5"/>
  <c r="BA655" i="5"/>
  <c r="BP655" i="5" s="1"/>
  <c r="AZ655" i="5"/>
  <c r="AU655" i="5"/>
  <c r="BN655" i="5" s="1"/>
  <c r="AV655" i="5"/>
  <c r="BC655" i="5" s="1"/>
  <c r="CH728" i="5"/>
  <c r="CF728" i="5"/>
  <c r="CJ728" i="5"/>
  <c r="CE728" i="5"/>
  <c r="CK728" i="5"/>
  <c r="CI728" i="5"/>
  <c r="CC728" i="5"/>
  <c r="CG728" i="5"/>
  <c r="CD728" i="5"/>
  <c r="CA728" i="5"/>
  <c r="BZ728" i="5"/>
  <c r="BY728" i="5"/>
  <c r="BX728" i="5"/>
  <c r="BV728" i="5"/>
  <c r="BW728" i="5"/>
  <c r="BU728" i="5"/>
  <c r="BT728" i="5"/>
  <c r="BS728" i="5"/>
  <c r="BR728" i="5"/>
  <c r="BQ728" i="5"/>
  <c r="BL728" i="5"/>
  <c r="BM728" i="5"/>
  <c r="BK728" i="5"/>
  <c r="BJ728" i="5"/>
  <c r="BI728" i="5"/>
  <c r="BH728" i="5"/>
  <c r="BG728" i="5"/>
  <c r="BF728" i="5"/>
  <c r="BE728" i="5"/>
  <c r="BD728" i="5"/>
  <c r="AZ728" i="5"/>
  <c r="AV728" i="5"/>
  <c r="BO728" i="5" s="1"/>
  <c r="AY728" i="5"/>
  <c r="BA728" i="5"/>
  <c r="BP728" i="5" s="1"/>
  <c r="AU728" i="5"/>
  <c r="BN728" i="5" s="1"/>
  <c r="CI802" i="5"/>
  <c r="CF802" i="5"/>
  <c r="CE802" i="5"/>
  <c r="CK802" i="5"/>
  <c r="CC802" i="5"/>
  <c r="CD802" i="5"/>
  <c r="CA802" i="5"/>
  <c r="BY802" i="5"/>
  <c r="BU802" i="5"/>
  <c r="BV802" i="5"/>
  <c r="BW802" i="5"/>
  <c r="BS802" i="5"/>
  <c r="BT802" i="5"/>
  <c r="BQ802" i="5"/>
  <c r="BR802" i="5"/>
  <c r="BM802" i="5"/>
  <c r="BK802" i="5"/>
  <c r="BJ802" i="5"/>
  <c r="BI802" i="5"/>
  <c r="BH802" i="5"/>
  <c r="BG802" i="5"/>
  <c r="BF802" i="5"/>
  <c r="BD802" i="5"/>
  <c r="BE802" i="5"/>
  <c r="BA802" i="5"/>
  <c r="BP802" i="5" s="1"/>
  <c r="AZ802" i="5"/>
  <c r="AY802" i="5"/>
  <c r="AU802" i="5"/>
  <c r="BN802" i="5" s="1"/>
  <c r="AV802" i="5"/>
  <c r="BC802" i="5" s="1"/>
  <c r="CI875" i="5"/>
  <c r="CE875" i="5"/>
  <c r="CK875" i="5"/>
  <c r="CD875" i="5"/>
  <c r="CF875" i="5"/>
  <c r="CC875" i="5"/>
  <c r="BY875" i="5"/>
  <c r="CA875" i="5"/>
  <c r="BW875" i="5"/>
  <c r="BV875" i="5"/>
  <c r="BU875" i="5"/>
  <c r="BT875" i="5"/>
  <c r="BS875" i="5"/>
  <c r="BQ875" i="5"/>
  <c r="BR875" i="5"/>
  <c r="BM875" i="5"/>
  <c r="BI875" i="5"/>
  <c r="BG875" i="5"/>
  <c r="BK875" i="5"/>
  <c r="BJ875" i="5"/>
  <c r="BH875" i="5"/>
  <c r="BE875" i="5"/>
  <c r="BD875" i="5"/>
  <c r="BF875" i="5"/>
  <c r="AY875" i="5"/>
  <c r="BA875" i="5"/>
  <c r="BP875" i="5" s="1"/>
  <c r="AZ875" i="5"/>
  <c r="AU875" i="5"/>
  <c r="BN875" i="5" s="1"/>
  <c r="AV875" i="5"/>
  <c r="BC875" i="5" s="1"/>
  <c r="CJ948" i="5"/>
  <c r="CK948" i="5"/>
  <c r="CH948" i="5"/>
  <c r="CG948" i="5"/>
  <c r="CF948" i="5"/>
  <c r="CI948" i="5"/>
  <c r="CE948" i="5"/>
  <c r="CA948" i="5"/>
  <c r="CD948" i="5"/>
  <c r="CC948" i="5"/>
  <c r="BZ948" i="5"/>
  <c r="BX948" i="5"/>
  <c r="BY948" i="5"/>
  <c r="BW948" i="5"/>
  <c r="BU948" i="5"/>
  <c r="BV948" i="5"/>
  <c r="BT948" i="5"/>
  <c r="BR948" i="5"/>
  <c r="BQ948" i="5"/>
  <c r="BS948" i="5"/>
  <c r="BL948" i="5"/>
  <c r="BJ948" i="5"/>
  <c r="BK948" i="5"/>
  <c r="BM948" i="5"/>
  <c r="BI948" i="5"/>
  <c r="BH948" i="5"/>
  <c r="BF948" i="5"/>
  <c r="BG948" i="5"/>
  <c r="BE948" i="5"/>
  <c r="BD948" i="5"/>
  <c r="AZ948" i="5"/>
  <c r="BA948" i="5"/>
  <c r="BP948" i="5" s="1"/>
  <c r="AY948" i="5"/>
  <c r="AU948" i="5"/>
  <c r="BB948" i="5" s="1"/>
  <c r="AV948" i="5"/>
  <c r="BC948" i="5" s="1"/>
  <c r="CJ1021" i="5"/>
  <c r="CK1021" i="5"/>
  <c r="CI1021" i="5"/>
  <c r="CH1021" i="5"/>
  <c r="CF1021" i="5"/>
  <c r="CE1021" i="5"/>
  <c r="CD1021" i="5"/>
  <c r="CG1021" i="5"/>
  <c r="CA1021" i="5"/>
  <c r="BZ1021" i="5"/>
  <c r="CC1021" i="5"/>
  <c r="BY1021" i="5"/>
  <c r="BW1021" i="5"/>
  <c r="BX1021" i="5"/>
  <c r="BU1021" i="5"/>
  <c r="BV1021" i="5"/>
  <c r="BT1021" i="5"/>
  <c r="BS1021" i="5"/>
  <c r="BQ1021" i="5"/>
  <c r="BR1021" i="5"/>
  <c r="BL1021" i="5"/>
  <c r="BM1021" i="5"/>
  <c r="BK1021" i="5"/>
  <c r="BI1021" i="5"/>
  <c r="BJ1021" i="5"/>
  <c r="BH1021" i="5"/>
  <c r="BG1021" i="5"/>
  <c r="BF1021" i="5"/>
  <c r="BE1021" i="5"/>
  <c r="BD1021" i="5"/>
  <c r="BA1021" i="5"/>
  <c r="BP1021" i="5" s="1"/>
  <c r="AZ1021" i="5"/>
  <c r="AY1021" i="5"/>
  <c r="AU1021" i="5"/>
  <c r="BN1021" i="5" s="1"/>
  <c r="AV1021" i="5"/>
  <c r="BC1021" i="5" s="1"/>
  <c r="CI1094" i="5"/>
  <c r="CK1094" i="5"/>
  <c r="CE1094" i="5"/>
  <c r="CD1094" i="5"/>
  <c r="CC1094" i="5"/>
  <c r="CF1094" i="5"/>
  <c r="CA1094" i="5"/>
  <c r="BY1094" i="5"/>
  <c r="BW1094" i="5"/>
  <c r="BU1094" i="5"/>
  <c r="BV1094" i="5"/>
  <c r="BS1094" i="5"/>
  <c r="BT1094" i="5"/>
  <c r="BR1094" i="5"/>
  <c r="BQ1094" i="5"/>
  <c r="BM1094" i="5"/>
  <c r="BK1094" i="5"/>
  <c r="BJ1094" i="5"/>
  <c r="BI1094" i="5"/>
  <c r="BH1094" i="5"/>
  <c r="BG1094" i="5"/>
  <c r="BD1094" i="5"/>
  <c r="BF1094" i="5"/>
  <c r="BE1094" i="5"/>
  <c r="AV1094" i="5"/>
  <c r="BC1094" i="5" s="1"/>
  <c r="BA1094" i="5"/>
  <c r="BP1094" i="5" s="1"/>
  <c r="AZ1094" i="5"/>
  <c r="AY1094" i="5"/>
  <c r="AU1094" i="5"/>
  <c r="BN1094" i="5" s="1"/>
  <c r="CJ1167" i="5"/>
  <c r="CI1167" i="5"/>
  <c r="CE1167" i="5"/>
  <c r="CK1167" i="5"/>
  <c r="CH1167" i="5"/>
  <c r="CG1167" i="5"/>
  <c r="CF1167" i="5"/>
  <c r="CC1167" i="5"/>
  <c r="BZ1167" i="5"/>
  <c r="CD1167" i="5"/>
  <c r="BY1167" i="5"/>
  <c r="CA1167" i="5"/>
  <c r="BV1167" i="5"/>
  <c r="BW1167" i="5"/>
  <c r="BX1167" i="5"/>
  <c r="BT1167" i="5"/>
  <c r="BU1167" i="5"/>
  <c r="BR1167" i="5"/>
  <c r="BQ1167" i="5"/>
  <c r="BS1167" i="5"/>
  <c r="BM1167" i="5"/>
  <c r="BL1167" i="5"/>
  <c r="BK1167" i="5"/>
  <c r="BJ1167" i="5"/>
  <c r="BI1167" i="5"/>
  <c r="BG1167" i="5"/>
  <c r="BH1167" i="5"/>
  <c r="BE1167" i="5"/>
  <c r="BF1167" i="5"/>
  <c r="BD1167" i="5"/>
  <c r="AY1167" i="5"/>
  <c r="BA1167" i="5"/>
  <c r="BP1167" i="5" s="1"/>
  <c r="AZ1167" i="5"/>
  <c r="AU1167" i="5"/>
  <c r="BN1167" i="5" s="1"/>
  <c r="AV1167" i="5"/>
  <c r="BC1167" i="5" s="1"/>
  <c r="CK1240" i="5"/>
  <c r="CF1240" i="5"/>
  <c r="CE1240" i="5"/>
  <c r="CI1240" i="5"/>
  <c r="CD1240" i="5"/>
  <c r="CA1240" i="5"/>
  <c r="CC1240" i="5"/>
  <c r="BY1240" i="5"/>
  <c r="BW1240" i="5"/>
  <c r="BV1240" i="5"/>
  <c r="BU1240" i="5"/>
  <c r="BT1240" i="5"/>
  <c r="BS1240" i="5"/>
  <c r="BR1240" i="5"/>
  <c r="BQ1240" i="5"/>
  <c r="BM1240" i="5"/>
  <c r="BJ1240" i="5"/>
  <c r="BK1240" i="5"/>
  <c r="BH1240" i="5"/>
  <c r="BI1240" i="5"/>
  <c r="BG1240" i="5"/>
  <c r="BF1240" i="5"/>
  <c r="BE1240" i="5"/>
  <c r="BD1240" i="5"/>
  <c r="AZ1240" i="5"/>
  <c r="AV1240" i="5"/>
  <c r="BC1240" i="5" s="1"/>
  <c r="AY1240" i="5"/>
  <c r="BA1240" i="5"/>
  <c r="BP1240" i="5" s="1"/>
  <c r="AU1240" i="5"/>
  <c r="BN1240" i="5" s="1"/>
  <c r="CK1312" i="5"/>
  <c r="CI1312" i="5"/>
  <c r="CF1312" i="5"/>
  <c r="CE1312" i="5"/>
  <c r="CD1312" i="5"/>
  <c r="CC1312" i="5"/>
  <c r="CA1312" i="5"/>
  <c r="BY1312" i="5"/>
  <c r="BW1312" i="5"/>
  <c r="BV1312" i="5"/>
  <c r="BU1312" i="5"/>
  <c r="BT1312" i="5"/>
  <c r="BR1312" i="5"/>
  <c r="BQ1312" i="5"/>
  <c r="BS1312" i="5"/>
  <c r="BM1312" i="5"/>
  <c r="BJ1312" i="5"/>
  <c r="BH1312" i="5"/>
  <c r="BI1312" i="5"/>
  <c r="BK1312" i="5"/>
  <c r="BG1312" i="5"/>
  <c r="BF1312" i="5"/>
  <c r="BE1312" i="5"/>
  <c r="BD1312" i="5"/>
  <c r="AZ1312" i="5"/>
  <c r="AY1312" i="5"/>
  <c r="BA1312" i="5"/>
  <c r="BP1312" i="5" s="1"/>
  <c r="AV1312" i="5"/>
  <c r="BO1312" i="5" s="1"/>
  <c r="AU1312" i="5"/>
  <c r="BN1312" i="5" s="1"/>
  <c r="BX16" i="5"/>
  <c r="CJ126" i="5"/>
  <c r="CK126" i="5"/>
  <c r="CI126" i="5"/>
  <c r="CG126" i="5"/>
  <c r="CD126" i="5"/>
  <c r="CH126" i="5"/>
  <c r="CF126" i="5"/>
  <c r="CE126" i="5"/>
  <c r="CC126" i="5"/>
  <c r="BY126" i="5"/>
  <c r="CA126" i="5"/>
  <c r="BZ126" i="5"/>
  <c r="BX126" i="5"/>
  <c r="BU126" i="5"/>
  <c r="BV126" i="5"/>
  <c r="BW126" i="5"/>
  <c r="BT126" i="5"/>
  <c r="BS126" i="5"/>
  <c r="BR126" i="5"/>
  <c r="BQ126" i="5"/>
  <c r="BM126" i="5"/>
  <c r="BK126" i="5"/>
  <c r="BL126" i="5"/>
  <c r="BH126" i="5"/>
  <c r="BJ126" i="5"/>
  <c r="BI126" i="5"/>
  <c r="BG126" i="5"/>
  <c r="BF126" i="5"/>
  <c r="BD126" i="5"/>
  <c r="BE126" i="5"/>
  <c r="BA126" i="5"/>
  <c r="BP126" i="5" s="1"/>
  <c r="AV126" i="5"/>
  <c r="BO126" i="5" s="1"/>
  <c r="AZ126" i="5"/>
  <c r="AY126" i="5"/>
  <c r="AU126" i="5"/>
  <c r="BB126" i="5" s="1"/>
  <c r="CJ199" i="5"/>
  <c r="CE199" i="5"/>
  <c r="CK199" i="5"/>
  <c r="CH199" i="5"/>
  <c r="CF199" i="5"/>
  <c r="CI199" i="5"/>
  <c r="CG199" i="5"/>
  <c r="CD199" i="5"/>
  <c r="CC199" i="5"/>
  <c r="BZ199" i="5"/>
  <c r="CA199" i="5"/>
  <c r="BY199" i="5"/>
  <c r="BX199" i="5"/>
  <c r="BV199" i="5"/>
  <c r="BW199" i="5"/>
  <c r="BU199" i="5"/>
  <c r="BS199" i="5"/>
  <c r="BT199" i="5"/>
  <c r="BR199" i="5"/>
  <c r="BQ199" i="5"/>
  <c r="BK199" i="5"/>
  <c r="BI199" i="5"/>
  <c r="BM199" i="5"/>
  <c r="BL199" i="5"/>
  <c r="BH199" i="5"/>
  <c r="BJ199" i="5"/>
  <c r="BG199" i="5"/>
  <c r="BE199" i="5"/>
  <c r="BF199" i="5"/>
  <c r="BD199" i="5"/>
  <c r="BA199" i="5"/>
  <c r="BP199" i="5" s="1"/>
  <c r="AY199" i="5"/>
  <c r="AZ199" i="5"/>
  <c r="AU199" i="5"/>
  <c r="BB199" i="5" s="1"/>
  <c r="AV199" i="5"/>
  <c r="BO199" i="5" s="1"/>
  <c r="CJ272" i="5"/>
  <c r="CI272" i="5"/>
  <c r="CH272" i="5"/>
  <c r="CF272" i="5"/>
  <c r="CK272" i="5"/>
  <c r="CC272" i="5"/>
  <c r="CG272" i="5"/>
  <c r="CD272" i="5"/>
  <c r="CE272" i="5"/>
  <c r="CA272" i="5"/>
  <c r="BZ272" i="5"/>
  <c r="BV272" i="5"/>
  <c r="BW272" i="5"/>
  <c r="BX272" i="5"/>
  <c r="BY272" i="5"/>
  <c r="BU272" i="5"/>
  <c r="BT272" i="5"/>
  <c r="BS272" i="5"/>
  <c r="BR272" i="5"/>
  <c r="BQ272" i="5"/>
  <c r="BL272" i="5"/>
  <c r="BM272" i="5"/>
  <c r="BK272" i="5"/>
  <c r="BJ272" i="5"/>
  <c r="BI272" i="5"/>
  <c r="BH272" i="5"/>
  <c r="BG272" i="5"/>
  <c r="BF272" i="5"/>
  <c r="BE272" i="5"/>
  <c r="BD272" i="5"/>
  <c r="BA272" i="5"/>
  <c r="BP272" i="5" s="1"/>
  <c r="AZ272" i="5"/>
  <c r="AV272" i="5"/>
  <c r="BO272" i="5" s="1"/>
  <c r="AY272" i="5"/>
  <c r="AU272" i="5"/>
  <c r="BN272" i="5" s="1"/>
  <c r="CK346" i="5"/>
  <c r="CH346" i="5"/>
  <c r="CI346" i="5"/>
  <c r="CD346" i="5"/>
  <c r="CJ346" i="5"/>
  <c r="CG346" i="5"/>
  <c r="CF346" i="5"/>
  <c r="CE346" i="5"/>
  <c r="CC346" i="5"/>
  <c r="BY346" i="5"/>
  <c r="BZ346" i="5"/>
  <c r="CA346" i="5"/>
  <c r="BX346" i="5"/>
  <c r="BU346" i="5"/>
  <c r="BV346" i="5"/>
  <c r="BW346" i="5"/>
  <c r="BS346" i="5"/>
  <c r="BT346" i="5"/>
  <c r="BQ346" i="5"/>
  <c r="BR346" i="5"/>
  <c r="BM346" i="5"/>
  <c r="BL346" i="5"/>
  <c r="BK346" i="5"/>
  <c r="BJ346" i="5"/>
  <c r="BI346" i="5"/>
  <c r="BH346" i="5"/>
  <c r="BF346" i="5"/>
  <c r="BG346" i="5"/>
  <c r="BD346" i="5"/>
  <c r="BE346" i="5"/>
  <c r="BA346" i="5"/>
  <c r="BP346" i="5" s="1"/>
  <c r="AZ346" i="5"/>
  <c r="AY346" i="5"/>
  <c r="AU346" i="5"/>
  <c r="BN346" i="5" s="1"/>
  <c r="AV346" i="5"/>
  <c r="BC346" i="5" s="1"/>
  <c r="CK419" i="5"/>
  <c r="CE419" i="5"/>
  <c r="CI419" i="5"/>
  <c r="CF419" i="5"/>
  <c r="CC419" i="5"/>
  <c r="CD419" i="5"/>
  <c r="BY419" i="5"/>
  <c r="CA419" i="5"/>
  <c r="BV419" i="5"/>
  <c r="BW419" i="5"/>
  <c r="BU419" i="5"/>
  <c r="BT419" i="5"/>
  <c r="BS419" i="5"/>
  <c r="BR419" i="5"/>
  <c r="BQ419" i="5"/>
  <c r="BK419" i="5"/>
  <c r="BM419" i="5"/>
  <c r="BI419" i="5"/>
  <c r="BJ419" i="5"/>
  <c r="BG419" i="5"/>
  <c r="BH419" i="5"/>
  <c r="BF419" i="5"/>
  <c r="BE419" i="5"/>
  <c r="BD419" i="5"/>
  <c r="BA419" i="5"/>
  <c r="BP419" i="5" s="1"/>
  <c r="AY419" i="5"/>
  <c r="AZ419" i="5"/>
  <c r="AU419" i="5"/>
  <c r="BN419" i="5" s="1"/>
  <c r="AV419" i="5"/>
  <c r="BC419" i="5" s="1"/>
  <c r="CK492" i="5"/>
  <c r="CJ492" i="5"/>
  <c r="CI492" i="5"/>
  <c r="CG492" i="5"/>
  <c r="CF492" i="5"/>
  <c r="CH492" i="5"/>
  <c r="CD492" i="5"/>
  <c r="CC492" i="5"/>
  <c r="CE492" i="5"/>
  <c r="CA492" i="5"/>
  <c r="BX492" i="5"/>
  <c r="BV492" i="5"/>
  <c r="BY492" i="5"/>
  <c r="BZ492" i="5"/>
  <c r="BW492" i="5"/>
  <c r="BU492" i="5"/>
  <c r="BT492" i="5"/>
  <c r="BS492" i="5"/>
  <c r="BR492" i="5"/>
  <c r="BQ492" i="5"/>
  <c r="BM492" i="5"/>
  <c r="BJ492" i="5"/>
  <c r="BK492" i="5"/>
  <c r="BL492" i="5"/>
  <c r="BI492" i="5"/>
  <c r="BH492" i="5"/>
  <c r="BF492" i="5"/>
  <c r="BG492" i="5"/>
  <c r="BE492" i="5"/>
  <c r="BD492" i="5"/>
  <c r="AZ492" i="5"/>
  <c r="BA492" i="5"/>
  <c r="BP492" i="5" s="1"/>
  <c r="AY492" i="5"/>
  <c r="AU492" i="5"/>
  <c r="BN492" i="5" s="1"/>
  <c r="AV492" i="5"/>
  <c r="BC492" i="5" s="1"/>
  <c r="CI565" i="5"/>
  <c r="CK565" i="5"/>
  <c r="CD565" i="5"/>
  <c r="CF565" i="5"/>
  <c r="CE565" i="5"/>
  <c r="CC565" i="5"/>
  <c r="BY565" i="5"/>
  <c r="BW565" i="5"/>
  <c r="CA565" i="5"/>
  <c r="BT565" i="5"/>
  <c r="BV565" i="5"/>
  <c r="BU565" i="5"/>
  <c r="BR565" i="5"/>
  <c r="BS565" i="5"/>
  <c r="BQ565" i="5"/>
  <c r="BM565" i="5"/>
  <c r="BK565" i="5"/>
  <c r="BJ565" i="5"/>
  <c r="BI565" i="5"/>
  <c r="BF565" i="5"/>
  <c r="BH565" i="5"/>
  <c r="BG565" i="5"/>
  <c r="BE565" i="5"/>
  <c r="BD565" i="5"/>
  <c r="BA565" i="5"/>
  <c r="BP565" i="5" s="1"/>
  <c r="AZ565" i="5"/>
  <c r="AY565" i="5"/>
  <c r="AU565" i="5"/>
  <c r="BB565" i="5" s="1"/>
  <c r="AV565" i="5"/>
  <c r="BO565" i="5" s="1"/>
  <c r="CJ638" i="5"/>
  <c r="CI638" i="5"/>
  <c r="CH638" i="5"/>
  <c r="CK638" i="5"/>
  <c r="CG638" i="5"/>
  <c r="CF638" i="5"/>
  <c r="CE638" i="5"/>
  <c r="CD638" i="5"/>
  <c r="CC638" i="5"/>
  <c r="CA638" i="5"/>
  <c r="BZ638" i="5"/>
  <c r="BX638" i="5"/>
  <c r="BY638" i="5"/>
  <c r="BU638" i="5"/>
  <c r="BW638" i="5"/>
  <c r="BV638" i="5"/>
  <c r="BS638" i="5"/>
  <c r="BR638" i="5"/>
  <c r="BT638" i="5"/>
  <c r="BQ638" i="5"/>
  <c r="BM638" i="5"/>
  <c r="BL638" i="5"/>
  <c r="BK638" i="5"/>
  <c r="BJ638" i="5"/>
  <c r="BI638" i="5"/>
  <c r="BH638" i="5"/>
  <c r="BG638" i="5"/>
  <c r="BF638" i="5"/>
  <c r="BE638" i="5"/>
  <c r="BD638" i="5"/>
  <c r="AV638" i="5"/>
  <c r="BO638" i="5" s="1"/>
  <c r="BA638" i="5"/>
  <c r="BP638" i="5" s="1"/>
  <c r="AZ638" i="5"/>
  <c r="AY638" i="5"/>
  <c r="AU638" i="5"/>
  <c r="BB638" i="5" s="1"/>
  <c r="CJ711" i="5"/>
  <c r="CE711" i="5"/>
  <c r="CG711" i="5"/>
  <c r="CK711" i="5"/>
  <c r="CF711" i="5"/>
  <c r="CI711" i="5"/>
  <c r="CH711" i="5"/>
  <c r="CD711" i="5"/>
  <c r="CC711" i="5"/>
  <c r="BZ711" i="5"/>
  <c r="CA711" i="5"/>
  <c r="BY711" i="5"/>
  <c r="BX711" i="5"/>
  <c r="BV711" i="5"/>
  <c r="BW711" i="5"/>
  <c r="BT711" i="5"/>
  <c r="BU711" i="5"/>
  <c r="BS711" i="5"/>
  <c r="BR711" i="5"/>
  <c r="BQ711" i="5"/>
  <c r="BI711" i="5"/>
  <c r="BM711" i="5"/>
  <c r="BL711" i="5"/>
  <c r="BK711" i="5"/>
  <c r="BJ711" i="5"/>
  <c r="BG711" i="5"/>
  <c r="BE711" i="5"/>
  <c r="BH711" i="5"/>
  <c r="BF711" i="5"/>
  <c r="BD711" i="5"/>
  <c r="AY711" i="5"/>
  <c r="BA711" i="5"/>
  <c r="BP711" i="5" s="1"/>
  <c r="AZ711" i="5"/>
  <c r="AU711" i="5"/>
  <c r="BN711" i="5" s="1"/>
  <c r="AV711" i="5"/>
  <c r="BO711" i="5" s="1"/>
  <c r="CJ784" i="5"/>
  <c r="CK784" i="5"/>
  <c r="CI784" i="5"/>
  <c r="CH784" i="5"/>
  <c r="CF784" i="5"/>
  <c r="CD784" i="5"/>
  <c r="CG784" i="5"/>
  <c r="CE784" i="5"/>
  <c r="CC784" i="5"/>
  <c r="CA784" i="5"/>
  <c r="BY784" i="5"/>
  <c r="BX784" i="5"/>
  <c r="BW784" i="5"/>
  <c r="BZ784" i="5"/>
  <c r="BV784" i="5"/>
  <c r="BU784" i="5"/>
  <c r="BT784" i="5"/>
  <c r="BS784" i="5"/>
  <c r="BR784" i="5"/>
  <c r="BQ784" i="5"/>
  <c r="BL784" i="5"/>
  <c r="BK784" i="5"/>
  <c r="BM784" i="5"/>
  <c r="BJ784" i="5"/>
  <c r="BI784" i="5"/>
  <c r="BH784" i="5"/>
  <c r="BG784" i="5"/>
  <c r="BF784" i="5"/>
  <c r="BE784" i="5"/>
  <c r="BD784" i="5"/>
  <c r="AZ784" i="5"/>
  <c r="AV784" i="5"/>
  <c r="BC784" i="5" s="1"/>
  <c r="AY784" i="5"/>
  <c r="BA784" i="5"/>
  <c r="BP784" i="5" s="1"/>
  <c r="AU784" i="5"/>
  <c r="BB784" i="5" s="1"/>
  <c r="CK858" i="5"/>
  <c r="CI858" i="5"/>
  <c r="CC858" i="5"/>
  <c r="CE858" i="5"/>
  <c r="CF858" i="5"/>
  <c r="CD858" i="5"/>
  <c r="CA858" i="5"/>
  <c r="BY858" i="5"/>
  <c r="BU858" i="5"/>
  <c r="BV858" i="5"/>
  <c r="BW858" i="5"/>
  <c r="BS858" i="5"/>
  <c r="BT858" i="5"/>
  <c r="BQ858" i="5"/>
  <c r="BR858" i="5"/>
  <c r="BM858" i="5"/>
  <c r="BJ858" i="5"/>
  <c r="BI858" i="5"/>
  <c r="BK858" i="5"/>
  <c r="BF858" i="5"/>
  <c r="BH858" i="5"/>
  <c r="BG858" i="5"/>
  <c r="BD858" i="5"/>
  <c r="BE858" i="5"/>
  <c r="BA858" i="5"/>
  <c r="BP858" i="5" s="1"/>
  <c r="AZ858" i="5"/>
  <c r="AY858" i="5"/>
  <c r="AU858" i="5"/>
  <c r="BN858" i="5" s="1"/>
  <c r="AV858" i="5"/>
  <c r="BC858" i="5" s="1"/>
  <c r="CK931" i="5"/>
  <c r="CE931" i="5"/>
  <c r="CI931" i="5"/>
  <c r="CF931" i="5"/>
  <c r="CD931" i="5"/>
  <c r="CC931" i="5"/>
  <c r="BY931" i="5"/>
  <c r="CA931" i="5"/>
  <c r="BV931" i="5"/>
  <c r="BW931" i="5"/>
  <c r="BU931" i="5"/>
  <c r="BT931" i="5"/>
  <c r="BS931" i="5"/>
  <c r="BR931" i="5"/>
  <c r="BQ931" i="5"/>
  <c r="BM931" i="5"/>
  <c r="BI931" i="5"/>
  <c r="BK931" i="5"/>
  <c r="BJ931" i="5"/>
  <c r="BG931" i="5"/>
  <c r="BH931" i="5"/>
  <c r="BE931" i="5"/>
  <c r="BF931" i="5"/>
  <c r="BD931" i="5"/>
  <c r="AY931" i="5"/>
  <c r="BA931" i="5"/>
  <c r="BP931" i="5" s="1"/>
  <c r="AZ931" i="5"/>
  <c r="AU931" i="5"/>
  <c r="BN931" i="5" s="1"/>
  <c r="AV931" i="5"/>
  <c r="BO931" i="5" s="1"/>
  <c r="CK1004" i="5"/>
  <c r="CI1004" i="5"/>
  <c r="CF1004" i="5"/>
  <c r="CD1004" i="5"/>
  <c r="CE1004" i="5"/>
  <c r="CA1004" i="5"/>
  <c r="CC1004" i="5"/>
  <c r="BY1004" i="5"/>
  <c r="BW1004" i="5"/>
  <c r="BU1004" i="5"/>
  <c r="BV1004" i="5"/>
  <c r="BT1004" i="5"/>
  <c r="BS1004" i="5"/>
  <c r="BR1004" i="5"/>
  <c r="BQ1004" i="5"/>
  <c r="BM1004" i="5"/>
  <c r="BJ1004" i="5"/>
  <c r="BK1004" i="5"/>
  <c r="BI1004" i="5"/>
  <c r="BH1004" i="5"/>
  <c r="BF1004" i="5"/>
  <c r="BG1004" i="5"/>
  <c r="BE1004" i="5"/>
  <c r="BD1004" i="5"/>
  <c r="AZ1004" i="5"/>
  <c r="AY1004" i="5"/>
  <c r="BA1004" i="5"/>
  <c r="BP1004" i="5" s="1"/>
  <c r="AU1004" i="5"/>
  <c r="BN1004" i="5" s="1"/>
  <c r="AV1004" i="5"/>
  <c r="BO1004" i="5" s="1"/>
  <c r="CK1077" i="5"/>
  <c r="CI1077" i="5"/>
  <c r="CJ1077" i="5"/>
  <c r="CD1077" i="5"/>
  <c r="CH1077" i="5"/>
  <c r="CG1077" i="5"/>
  <c r="CF1077" i="5"/>
  <c r="CE1077" i="5"/>
  <c r="CC1077" i="5"/>
  <c r="BW1077" i="5"/>
  <c r="CA1077" i="5"/>
  <c r="BZ1077" i="5"/>
  <c r="BX1077" i="5"/>
  <c r="BY1077" i="5"/>
  <c r="BV1077" i="5"/>
  <c r="BU1077" i="5"/>
  <c r="BT1077" i="5"/>
  <c r="BQ1077" i="5"/>
  <c r="BR1077" i="5"/>
  <c r="BS1077" i="5"/>
  <c r="BM1077" i="5"/>
  <c r="BL1077" i="5"/>
  <c r="BK1077" i="5"/>
  <c r="BI1077" i="5"/>
  <c r="BJ1077" i="5"/>
  <c r="BH1077" i="5"/>
  <c r="BG1077" i="5"/>
  <c r="BF1077" i="5"/>
  <c r="BE1077" i="5"/>
  <c r="BD1077" i="5"/>
  <c r="BA1077" i="5"/>
  <c r="BP1077" i="5" s="1"/>
  <c r="AZ1077" i="5"/>
  <c r="AY1077" i="5"/>
  <c r="AU1077" i="5"/>
  <c r="BN1077" i="5" s="1"/>
  <c r="AV1077" i="5"/>
  <c r="BO1077" i="5" s="1"/>
  <c r="CK1150" i="5"/>
  <c r="CI1150" i="5"/>
  <c r="CJ1150" i="5"/>
  <c r="CG1150" i="5"/>
  <c r="CH1150" i="5"/>
  <c r="CC1150" i="5"/>
  <c r="CE1150" i="5"/>
  <c r="CF1150" i="5"/>
  <c r="CD1150" i="5"/>
  <c r="CA1150" i="5"/>
  <c r="BZ1150" i="5"/>
  <c r="BY1150" i="5"/>
  <c r="BW1150" i="5"/>
  <c r="BX1150" i="5"/>
  <c r="BU1150" i="5"/>
  <c r="BV1150" i="5"/>
  <c r="BS1150" i="5"/>
  <c r="BR1150" i="5"/>
  <c r="BT1150" i="5"/>
  <c r="BQ1150" i="5"/>
  <c r="BM1150" i="5"/>
  <c r="BL1150" i="5"/>
  <c r="BI1150" i="5"/>
  <c r="BK1150" i="5"/>
  <c r="BJ1150" i="5"/>
  <c r="BH1150" i="5"/>
  <c r="BG1150" i="5"/>
  <c r="BF1150" i="5"/>
  <c r="BE1150" i="5"/>
  <c r="BD1150" i="5"/>
  <c r="AV1150" i="5"/>
  <c r="BC1150" i="5" s="1"/>
  <c r="BA1150" i="5"/>
  <c r="BP1150" i="5" s="1"/>
  <c r="AZ1150" i="5"/>
  <c r="AY1150" i="5"/>
  <c r="AU1150" i="5"/>
  <c r="BN1150" i="5" s="1"/>
  <c r="CK1223" i="5"/>
  <c r="CE1223" i="5"/>
  <c r="CF1223" i="5"/>
  <c r="CI1223" i="5"/>
  <c r="CD1223" i="5"/>
  <c r="CC1223" i="5"/>
  <c r="CA1223" i="5"/>
  <c r="BY1223" i="5"/>
  <c r="BV1223" i="5"/>
  <c r="BW1223" i="5"/>
  <c r="BU1223" i="5"/>
  <c r="BT1223" i="5"/>
  <c r="BS1223" i="5"/>
  <c r="BR1223" i="5"/>
  <c r="BQ1223" i="5"/>
  <c r="BM1223" i="5"/>
  <c r="BK1223" i="5"/>
  <c r="BJ1223" i="5"/>
  <c r="BI1223" i="5"/>
  <c r="BG1223" i="5"/>
  <c r="BE1223" i="5"/>
  <c r="BH1223" i="5"/>
  <c r="BF1223" i="5"/>
  <c r="AY1223" i="5"/>
  <c r="BD1223" i="5"/>
  <c r="BA1223" i="5"/>
  <c r="BP1223" i="5" s="1"/>
  <c r="AZ1223" i="5"/>
  <c r="AV1223" i="5"/>
  <c r="BO1223" i="5" s="1"/>
  <c r="AU1223" i="5"/>
  <c r="BN1223" i="5" s="1"/>
  <c r="CK1296" i="5"/>
  <c r="CI1296" i="5"/>
  <c r="CF1296" i="5"/>
  <c r="CD1296" i="5"/>
  <c r="CE1296" i="5"/>
  <c r="CA1296" i="5"/>
  <c r="CC1296" i="5"/>
  <c r="BY1296" i="5"/>
  <c r="BW1296" i="5"/>
  <c r="BV1296" i="5"/>
  <c r="BU1296" i="5"/>
  <c r="BT1296" i="5"/>
  <c r="BR1296" i="5"/>
  <c r="BQ1296" i="5"/>
  <c r="BS1296" i="5"/>
  <c r="BM1296" i="5"/>
  <c r="BJ1296" i="5"/>
  <c r="BK1296" i="5"/>
  <c r="BH1296" i="5"/>
  <c r="BI1296" i="5"/>
  <c r="BG1296" i="5"/>
  <c r="BF1296" i="5"/>
  <c r="BE1296" i="5"/>
  <c r="BD1296" i="5"/>
  <c r="AZ1296" i="5"/>
  <c r="AV1296" i="5"/>
  <c r="BO1296" i="5" s="1"/>
  <c r="AY1296" i="5"/>
  <c r="BA1296" i="5"/>
  <c r="BP1296" i="5" s="1"/>
  <c r="AU1296" i="5"/>
  <c r="BN1296" i="5" s="1"/>
  <c r="CK54" i="5"/>
  <c r="CI54" i="5"/>
  <c r="CD54" i="5"/>
  <c r="CF54" i="5"/>
  <c r="CC54" i="5"/>
  <c r="CE54" i="5"/>
  <c r="BY54" i="5"/>
  <c r="CA54" i="5"/>
  <c r="BW54" i="5"/>
  <c r="BV54" i="5"/>
  <c r="BU54" i="5"/>
  <c r="BT54" i="5"/>
  <c r="BS54" i="5"/>
  <c r="BR54" i="5"/>
  <c r="BQ54" i="5"/>
  <c r="BM54" i="5"/>
  <c r="BK54" i="5"/>
  <c r="BH54" i="5"/>
  <c r="BJ54" i="5"/>
  <c r="BI54" i="5"/>
  <c r="BF54" i="5"/>
  <c r="BG54" i="5"/>
  <c r="BD54" i="5"/>
  <c r="BE54" i="5"/>
  <c r="BA54" i="5"/>
  <c r="BP54" i="5" s="1"/>
  <c r="AZ54" i="5"/>
  <c r="AY54" i="5"/>
  <c r="AV54" i="5"/>
  <c r="BO54" i="5" s="1"/>
  <c r="AU54" i="5"/>
  <c r="BN54" i="5" s="1"/>
  <c r="CK127" i="5"/>
  <c r="CJ127" i="5"/>
  <c r="CE127" i="5"/>
  <c r="CI127" i="5"/>
  <c r="CH127" i="5"/>
  <c r="CG127" i="5"/>
  <c r="CD127" i="5"/>
  <c r="CF127" i="5"/>
  <c r="CC127" i="5"/>
  <c r="BZ127" i="5"/>
  <c r="CA127" i="5"/>
  <c r="BY127" i="5"/>
  <c r="BX127" i="5"/>
  <c r="BV127" i="5"/>
  <c r="BW127" i="5"/>
  <c r="BT127" i="5"/>
  <c r="BU127" i="5"/>
  <c r="BS127" i="5"/>
  <c r="BQ127" i="5"/>
  <c r="BR127" i="5"/>
  <c r="BK127" i="5"/>
  <c r="BL127" i="5"/>
  <c r="BI127" i="5"/>
  <c r="BM127" i="5"/>
  <c r="BH127" i="5"/>
  <c r="BJ127" i="5"/>
  <c r="BG127" i="5"/>
  <c r="BE127" i="5"/>
  <c r="BF127" i="5"/>
  <c r="BD127" i="5"/>
  <c r="BA127" i="5"/>
  <c r="BP127" i="5" s="1"/>
  <c r="AY127" i="5"/>
  <c r="AZ127" i="5"/>
  <c r="AU127" i="5"/>
  <c r="BB127" i="5" s="1"/>
  <c r="AV127" i="5"/>
  <c r="BC127" i="5" s="1"/>
  <c r="CK200" i="5"/>
  <c r="CJ200" i="5"/>
  <c r="CH200" i="5"/>
  <c r="CF200" i="5"/>
  <c r="CI200" i="5"/>
  <c r="CG200" i="5"/>
  <c r="CE200" i="5"/>
  <c r="CD200" i="5"/>
  <c r="CC200" i="5"/>
  <c r="CA200" i="5"/>
  <c r="BZ200" i="5"/>
  <c r="BY200" i="5"/>
  <c r="BV200" i="5"/>
  <c r="BX200" i="5"/>
  <c r="BW200" i="5"/>
  <c r="BT200" i="5"/>
  <c r="BU200" i="5"/>
  <c r="BS200" i="5"/>
  <c r="BR200" i="5"/>
  <c r="BQ200" i="5"/>
  <c r="BL200" i="5"/>
  <c r="BK200" i="5"/>
  <c r="BM200" i="5"/>
  <c r="BJ200" i="5"/>
  <c r="BH200" i="5"/>
  <c r="BI200" i="5"/>
  <c r="BG200" i="5"/>
  <c r="BF200" i="5"/>
  <c r="BE200" i="5"/>
  <c r="BD200" i="5"/>
  <c r="BA200" i="5"/>
  <c r="BP200" i="5" s="1"/>
  <c r="AZ200" i="5"/>
  <c r="AV200" i="5"/>
  <c r="BO200" i="5" s="1"/>
  <c r="AY200" i="5"/>
  <c r="AU200" i="5"/>
  <c r="BB200" i="5" s="1"/>
  <c r="CK274" i="5"/>
  <c r="CI274" i="5"/>
  <c r="CG274" i="5"/>
  <c r="CH274" i="5"/>
  <c r="CD274" i="5"/>
  <c r="CJ274" i="5"/>
  <c r="CF274" i="5"/>
  <c r="CE274" i="5"/>
  <c r="CC274" i="5"/>
  <c r="BY274" i="5"/>
  <c r="CA274" i="5"/>
  <c r="BZ274" i="5"/>
  <c r="BU274" i="5"/>
  <c r="BX274" i="5"/>
  <c r="BV274" i="5"/>
  <c r="BW274" i="5"/>
  <c r="BS274" i="5"/>
  <c r="BT274" i="5"/>
  <c r="BR274" i="5"/>
  <c r="BQ274" i="5"/>
  <c r="BM274" i="5"/>
  <c r="BK274" i="5"/>
  <c r="BL274" i="5"/>
  <c r="BJ274" i="5"/>
  <c r="BI274" i="5"/>
  <c r="BF274" i="5"/>
  <c r="BD274" i="5"/>
  <c r="BG274" i="5"/>
  <c r="BH274" i="5"/>
  <c r="BE274" i="5"/>
  <c r="BA274" i="5"/>
  <c r="BP274" i="5" s="1"/>
  <c r="AZ274" i="5"/>
  <c r="AY274" i="5"/>
  <c r="AV274" i="5"/>
  <c r="BO274" i="5" s="1"/>
  <c r="AU274" i="5"/>
  <c r="BB274" i="5" s="1"/>
  <c r="CK347" i="5"/>
  <c r="CI347" i="5"/>
  <c r="CE347" i="5"/>
  <c r="CF347" i="5"/>
  <c r="CC347" i="5"/>
  <c r="CD347" i="5"/>
  <c r="CA347" i="5"/>
  <c r="BW347" i="5"/>
  <c r="BV347" i="5"/>
  <c r="BY347" i="5"/>
  <c r="BU347" i="5"/>
  <c r="BS347" i="5"/>
  <c r="BT347" i="5"/>
  <c r="BQ347" i="5"/>
  <c r="BR347" i="5"/>
  <c r="BK347" i="5"/>
  <c r="BM347" i="5"/>
  <c r="BI347" i="5"/>
  <c r="BJ347" i="5"/>
  <c r="BG347" i="5"/>
  <c r="BH347" i="5"/>
  <c r="BF347" i="5"/>
  <c r="BE347" i="5"/>
  <c r="BD347" i="5"/>
  <c r="BA347" i="5"/>
  <c r="BP347" i="5" s="1"/>
  <c r="AY347" i="5"/>
  <c r="AU347" i="5"/>
  <c r="BN347" i="5" s="1"/>
  <c r="AZ347" i="5"/>
  <c r="AV347" i="5"/>
  <c r="BC347" i="5" s="1"/>
  <c r="CK420" i="5"/>
  <c r="CJ420" i="5"/>
  <c r="CI420" i="5"/>
  <c r="CG420" i="5"/>
  <c r="CF420" i="5"/>
  <c r="CE420" i="5"/>
  <c r="CH420" i="5"/>
  <c r="CC420" i="5"/>
  <c r="CD420" i="5"/>
  <c r="CA420" i="5"/>
  <c r="BZ420" i="5"/>
  <c r="BV420" i="5"/>
  <c r="BX420" i="5"/>
  <c r="BY420" i="5"/>
  <c r="BW420" i="5"/>
  <c r="BU420" i="5"/>
  <c r="BT420" i="5"/>
  <c r="BS420" i="5"/>
  <c r="BQ420" i="5"/>
  <c r="BR420" i="5"/>
  <c r="BM420" i="5"/>
  <c r="BJ420" i="5"/>
  <c r="BK420" i="5"/>
  <c r="BL420" i="5"/>
  <c r="BI420" i="5"/>
  <c r="BH420" i="5"/>
  <c r="BG420" i="5"/>
  <c r="BF420" i="5"/>
  <c r="BE420" i="5"/>
  <c r="BD420" i="5"/>
  <c r="AZ420" i="5"/>
  <c r="BA420" i="5"/>
  <c r="BP420" i="5" s="1"/>
  <c r="AY420" i="5"/>
  <c r="AU420" i="5"/>
  <c r="BN420" i="5" s="1"/>
  <c r="AV420" i="5"/>
  <c r="BC420" i="5" s="1"/>
  <c r="CJ493" i="5"/>
  <c r="CK493" i="5"/>
  <c r="CH493" i="5"/>
  <c r="CF493" i="5"/>
  <c r="CE493" i="5"/>
  <c r="CI493" i="5"/>
  <c r="CG493" i="5"/>
  <c r="CD493" i="5"/>
  <c r="CC493" i="5"/>
  <c r="CA493" i="5"/>
  <c r="BZ493" i="5"/>
  <c r="BY493" i="5"/>
  <c r="BW493" i="5"/>
  <c r="BX493" i="5"/>
  <c r="BT493" i="5"/>
  <c r="BV493" i="5"/>
  <c r="BU493" i="5"/>
  <c r="BR493" i="5"/>
  <c r="BS493" i="5"/>
  <c r="BQ493" i="5"/>
  <c r="BL493" i="5"/>
  <c r="BM493" i="5"/>
  <c r="BK493" i="5"/>
  <c r="BJ493" i="5"/>
  <c r="BI493" i="5"/>
  <c r="BG493" i="5"/>
  <c r="BH493" i="5"/>
  <c r="BF493" i="5"/>
  <c r="BE493" i="5"/>
  <c r="BD493" i="5"/>
  <c r="BA493" i="5"/>
  <c r="BP493" i="5" s="1"/>
  <c r="AZ493" i="5"/>
  <c r="AY493" i="5"/>
  <c r="AU493" i="5"/>
  <c r="BB493" i="5" s="1"/>
  <c r="AV493" i="5"/>
  <c r="BC493" i="5" s="1"/>
  <c r="CK566" i="5"/>
  <c r="CI566" i="5"/>
  <c r="CH566" i="5"/>
  <c r="CJ566" i="5"/>
  <c r="CG566" i="5"/>
  <c r="CF566" i="5"/>
  <c r="CD566" i="5"/>
  <c r="CC566" i="5"/>
  <c r="CE566" i="5"/>
  <c r="BY566" i="5"/>
  <c r="CA566" i="5"/>
  <c r="BZ566" i="5"/>
  <c r="BX566" i="5"/>
  <c r="BW566" i="5"/>
  <c r="BU566" i="5"/>
  <c r="BV566" i="5"/>
  <c r="BS566" i="5"/>
  <c r="BT566" i="5"/>
  <c r="BR566" i="5"/>
  <c r="BQ566" i="5"/>
  <c r="BM566" i="5"/>
  <c r="BL566" i="5"/>
  <c r="BK566" i="5"/>
  <c r="BJ566" i="5"/>
  <c r="BI566" i="5"/>
  <c r="BF566" i="5"/>
  <c r="BH566" i="5"/>
  <c r="BG566" i="5"/>
  <c r="BE566" i="5"/>
  <c r="BD566" i="5"/>
  <c r="AZ566" i="5"/>
  <c r="AY566" i="5"/>
  <c r="BA566" i="5"/>
  <c r="BP566" i="5" s="1"/>
  <c r="AV566" i="5"/>
  <c r="BO566" i="5" s="1"/>
  <c r="AU566" i="5"/>
  <c r="BB566" i="5" s="1"/>
  <c r="CK639" i="5"/>
  <c r="CJ639" i="5"/>
  <c r="CG639" i="5"/>
  <c r="CE639" i="5"/>
  <c r="CH639" i="5"/>
  <c r="CI639" i="5"/>
  <c r="CD639" i="5"/>
  <c r="CF639" i="5"/>
  <c r="BZ639" i="5"/>
  <c r="CC639" i="5"/>
  <c r="BY639" i="5"/>
  <c r="CA639" i="5"/>
  <c r="BX639" i="5"/>
  <c r="BV639" i="5"/>
  <c r="BW639" i="5"/>
  <c r="BT639" i="5"/>
  <c r="BU639" i="5"/>
  <c r="BS639" i="5"/>
  <c r="BQ639" i="5"/>
  <c r="BR639" i="5"/>
  <c r="BL639" i="5"/>
  <c r="BK639" i="5"/>
  <c r="BI639" i="5"/>
  <c r="BM639" i="5"/>
  <c r="BJ639" i="5"/>
  <c r="BG639" i="5"/>
  <c r="BE639" i="5"/>
  <c r="BH639" i="5"/>
  <c r="BF639" i="5"/>
  <c r="BD639" i="5"/>
  <c r="AY639" i="5"/>
  <c r="BA639" i="5"/>
  <c r="BP639" i="5" s="1"/>
  <c r="AZ639" i="5"/>
  <c r="AU639" i="5"/>
  <c r="BN639" i="5" s="1"/>
  <c r="AV639" i="5"/>
  <c r="BO639" i="5" s="1"/>
  <c r="CK712" i="5"/>
  <c r="CF712" i="5"/>
  <c r="CI712" i="5"/>
  <c r="CH712" i="5"/>
  <c r="CJ712" i="5"/>
  <c r="CE712" i="5"/>
  <c r="CC712" i="5"/>
  <c r="CG712" i="5"/>
  <c r="CD712" i="5"/>
  <c r="CA712" i="5"/>
  <c r="BZ712" i="5"/>
  <c r="BY712" i="5"/>
  <c r="BX712" i="5"/>
  <c r="BW712" i="5"/>
  <c r="BV712" i="5"/>
  <c r="BU712" i="5"/>
  <c r="BT712" i="5"/>
  <c r="BS712" i="5"/>
  <c r="BR712" i="5"/>
  <c r="BQ712" i="5"/>
  <c r="BL712" i="5"/>
  <c r="BK712" i="5"/>
  <c r="BM712" i="5"/>
  <c r="BJ712" i="5"/>
  <c r="BH712" i="5"/>
  <c r="BI712" i="5"/>
  <c r="BG712" i="5"/>
  <c r="BF712" i="5"/>
  <c r="BE712" i="5"/>
  <c r="BD712" i="5"/>
  <c r="AZ712" i="5"/>
  <c r="AV712" i="5"/>
  <c r="BO712" i="5" s="1"/>
  <c r="AY712" i="5"/>
  <c r="BA712" i="5"/>
  <c r="BP712" i="5" s="1"/>
  <c r="AU712" i="5"/>
  <c r="BB712" i="5" s="1"/>
  <c r="CK786" i="5"/>
  <c r="CJ786" i="5"/>
  <c r="CI786" i="5"/>
  <c r="CG786" i="5"/>
  <c r="CF786" i="5"/>
  <c r="CE786" i="5"/>
  <c r="CH786" i="5"/>
  <c r="CC786" i="5"/>
  <c r="CD786" i="5"/>
  <c r="CA786" i="5"/>
  <c r="BZ786" i="5"/>
  <c r="BY786" i="5"/>
  <c r="BU786" i="5"/>
  <c r="BX786" i="5"/>
  <c r="BW786" i="5"/>
  <c r="BV786" i="5"/>
  <c r="BS786" i="5"/>
  <c r="BT786" i="5"/>
  <c r="BR786" i="5"/>
  <c r="BQ786" i="5"/>
  <c r="BM786" i="5"/>
  <c r="BL786" i="5"/>
  <c r="BK786" i="5"/>
  <c r="BJ786" i="5"/>
  <c r="BI786" i="5"/>
  <c r="BF786" i="5"/>
  <c r="BH786" i="5"/>
  <c r="BG786" i="5"/>
  <c r="BE786" i="5"/>
  <c r="BD786" i="5"/>
  <c r="BA786" i="5"/>
  <c r="BP786" i="5" s="1"/>
  <c r="AZ786" i="5"/>
  <c r="AY786" i="5"/>
  <c r="AV786" i="5"/>
  <c r="BC786" i="5" s="1"/>
  <c r="AU786" i="5"/>
  <c r="BB786" i="5" s="1"/>
  <c r="CK859" i="5"/>
  <c r="CI859" i="5"/>
  <c r="CE859" i="5"/>
  <c r="CD859" i="5"/>
  <c r="CF859" i="5"/>
  <c r="CC859" i="5"/>
  <c r="BY859" i="5"/>
  <c r="CA859" i="5"/>
  <c r="BW859" i="5"/>
  <c r="BV859" i="5"/>
  <c r="BU859" i="5"/>
  <c r="BT859" i="5"/>
  <c r="BS859" i="5"/>
  <c r="BQ859" i="5"/>
  <c r="BR859" i="5"/>
  <c r="BM859" i="5"/>
  <c r="BI859" i="5"/>
  <c r="BJ859" i="5"/>
  <c r="BG859" i="5"/>
  <c r="BK859" i="5"/>
  <c r="BH859" i="5"/>
  <c r="BE859" i="5"/>
  <c r="BD859" i="5"/>
  <c r="BF859" i="5"/>
  <c r="AY859" i="5"/>
  <c r="AU859" i="5"/>
  <c r="BN859" i="5" s="1"/>
  <c r="BA859" i="5"/>
  <c r="BP859" i="5" s="1"/>
  <c r="AZ859" i="5"/>
  <c r="AV859" i="5"/>
  <c r="BC859" i="5" s="1"/>
  <c r="CK932" i="5"/>
  <c r="CI932" i="5"/>
  <c r="CF932" i="5"/>
  <c r="CE932" i="5"/>
  <c r="CD932" i="5"/>
  <c r="CA932" i="5"/>
  <c r="CC932" i="5"/>
  <c r="BY932" i="5"/>
  <c r="BW932" i="5"/>
  <c r="BU932" i="5"/>
  <c r="BV932" i="5"/>
  <c r="BT932" i="5"/>
  <c r="BS932" i="5"/>
  <c r="BQ932" i="5"/>
  <c r="BR932" i="5"/>
  <c r="BM932" i="5"/>
  <c r="BJ932" i="5"/>
  <c r="BK932" i="5"/>
  <c r="BI932" i="5"/>
  <c r="BH932" i="5"/>
  <c r="BG932" i="5"/>
  <c r="BF932" i="5"/>
  <c r="BD932" i="5"/>
  <c r="BE932" i="5"/>
  <c r="AZ932" i="5"/>
  <c r="AY932" i="5"/>
  <c r="BA932" i="5"/>
  <c r="BP932" i="5" s="1"/>
  <c r="AU932" i="5"/>
  <c r="BB932" i="5" s="1"/>
  <c r="AV932" i="5"/>
  <c r="BO932" i="5" s="1"/>
  <c r="CK1005" i="5"/>
  <c r="CF1005" i="5"/>
  <c r="CE1005" i="5"/>
  <c r="CD1005" i="5"/>
  <c r="CI1005" i="5"/>
  <c r="CC1005" i="5"/>
  <c r="CA1005" i="5"/>
  <c r="BW1005" i="5"/>
  <c r="BY1005" i="5"/>
  <c r="BU1005" i="5"/>
  <c r="BV1005" i="5"/>
  <c r="BT1005" i="5"/>
  <c r="BS1005" i="5"/>
  <c r="BQ1005" i="5"/>
  <c r="BR1005" i="5"/>
  <c r="BM1005" i="5"/>
  <c r="BK1005" i="5"/>
  <c r="BJ1005" i="5"/>
  <c r="BI1005" i="5"/>
  <c r="BH1005" i="5"/>
  <c r="BG1005" i="5"/>
  <c r="BF1005" i="5"/>
  <c r="BE1005" i="5"/>
  <c r="BD1005" i="5"/>
  <c r="BA1005" i="5"/>
  <c r="BP1005" i="5" s="1"/>
  <c r="AZ1005" i="5"/>
  <c r="AY1005" i="5"/>
  <c r="AU1005" i="5"/>
  <c r="BN1005" i="5" s="1"/>
  <c r="AV1005" i="5"/>
  <c r="BO1005" i="5" s="1"/>
  <c r="CK1078" i="5"/>
  <c r="CI1078" i="5"/>
  <c r="CC1078" i="5"/>
  <c r="CD1078" i="5"/>
  <c r="CE1078" i="5"/>
  <c r="CF1078" i="5"/>
  <c r="CA1078" i="5"/>
  <c r="BY1078" i="5"/>
  <c r="BW1078" i="5"/>
  <c r="BU1078" i="5"/>
  <c r="BV1078" i="5"/>
  <c r="BS1078" i="5"/>
  <c r="BR1078" i="5"/>
  <c r="BT1078" i="5"/>
  <c r="BQ1078" i="5"/>
  <c r="BM1078" i="5"/>
  <c r="BI1078" i="5"/>
  <c r="BK1078" i="5"/>
  <c r="BJ1078" i="5"/>
  <c r="BH1078" i="5"/>
  <c r="BG1078" i="5"/>
  <c r="BF1078" i="5"/>
  <c r="BE1078" i="5"/>
  <c r="BD1078" i="5"/>
  <c r="BA1078" i="5"/>
  <c r="BP1078" i="5" s="1"/>
  <c r="AZ1078" i="5"/>
  <c r="AY1078" i="5"/>
  <c r="AV1078" i="5"/>
  <c r="BO1078" i="5" s="1"/>
  <c r="AU1078" i="5"/>
  <c r="BN1078" i="5" s="1"/>
  <c r="CK1151" i="5"/>
  <c r="CE1151" i="5"/>
  <c r="CI1151" i="5"/>
  <c r="CD1151" i="5"/>
  <c r="CF1151" i="5"/>
  <c r="CC1151" i="5"/>
  <c r="BY1151" i="5"/>
  <c r="CA1151" i="5"/>
  <c r="BV1151" i="5"/>
  <c r="BW1151" i="5"/>
  <c r="BU1151" i="5"/>
  <c r="BT1151" i="5"/>
  <c r="BR1151" i="5"/>
  <c r="BQ1151" i="5"/>
  <c r="BS1151" i="5"/>
  <c r="BM1151" i="5"/>
  <c r="BI1151" i="5"/>
  <c r="BK1151" i="5"/>
  <c r="BJ1151" i="5"/>
  <c r="BG1151" i="5"/>
  <c r="BE1151" i="5"/>
  <c r="BH1151" i="5"/>
  <c r="BF1151" i="5"/>
  <c r="BD1151" i="5"/>
  <c r="AY1151" i="5"/>
  <c r="BA1151" i="5"/>
  <c r="BP1151" i="5" s="1"/>
  <c r="AZ1151" i="5"/>
  <c r="AV1151" i="5"/>
  <c r="BO1151" i="5" s="1"/>
  <c r="AU1151" i="5"/>
  <c r="BN1151" i="5" s="1"/>
  <c r="CK1224" i="5"/>
  <c r="CJ1224" i="5"/>
  <c r="CF1224" i="5"/>
  <c r="CI1224" i="5"/>
  <c r="CH1224" i="5"/>
  <c r="CG1224" i="5"/>
  <c r="CE1224" i="5"/>
  <c r="CC1224" i="5"/>
  <c r="CD1224" i="5"/>
  <c r="CA1224" i="5"/>
  <c r="BZ1224" i="5"/>
  <c r="BY1224" i="5"/>
  <c r="BX1224" i="5"/>
  <c r="BW1224" i="5"/>
  <c r="BU1224" i="5"/>
  <c r="BV1224" i="5"/>
  <c r="BT1224" i="5"/>
  <c r="BS1224" i="5"/>
  <c r="BR1224" i="5"/>
  <c r="BQ1224" i="5"/>
  <c r="BL1224" i="5"/>
  <c r="BM1224" i="5"/>
  <c r="BJ1224" i="5"/>
  <c r="BH1224" i="5"/>
  <c r="BK1224" i="5"/>
  <c r="BI1224" i="5"/>
  <c r="BG1224" i="5"/>
  <c r="BF1224" i="5"/>
  <c r="BE1224" i="5"/>
  <c r="BD1224" i="5"/>
  <c r="AZ1224" i="5"/>
  <c r="AV1224" i="5"/>
  <c r="BO1224" i="5" s="1"/>
  <c r="AY1224" i="5"/>
  <c r="BA1224" i="5"/>
  <c r="BP1224" i="5" s="1"/>
  <c r="AU1224" i="5"/>
  <c r="BN1224" i="5" s="1"/>
  <c r="CI1298" i="5"/>
  <c r="CF1298" i="5"/>
  <c r="CE1298" i="5"/>
  <c r="CK1298" i="5"/>
  <c r="CC1298" i="5"/>
  <c r="CD1298" i="5"/>
  <c r="CA1298" i="5"/>
  <c r="BY1298" i="5"/>
  <c r="BU1298" i="5"/>
  <c r="BW1298" i="5"/>
  <c r="BV1298" i="5"/>
  <c r="BS1298" i="5"/>
  <c r="BT1298" i="5"/>
  <c r="BR1298" i="5"/>
  <c r="BQ1298" i="5"/>
  <c r="BM1298" i="5"/>
  <c r="BI1298" i="5"/>
  <c r="BK1298" i="5"/>
  <c r="BJ1298" i="5"/>
  <c r="BH1298" i="5"/>
  <c r="BG1298" i="5"/>
  <c r="BF1298" i="5"/>
  <c r="BE1298" i="5"/>
  <c r="BD1298" i="5"/>
  <c r="BA1298" i="5"/>
  <c r="BP1298" i="5" s="1"/>
  <c r="AZ1298" i="5"/>
  <c r="AY1298" i="5"/>
  <c r="AU1298" i="5"/>
  <c r="BN1298" i="5" s="1"/>
  <c r="AV1298" i="5"/>
  <c r="BO1298" i="5" s="1"/>
  <c r="BX83" i="5"/>
  <c r="CI394" i="5"/>
  <c r="CK394" i="5"/>
  <c r="CD394" i="5"/>
  <c r="CF394" i="5"/>
  <c r="CE394" i="5"/>
  <c r="BY394" i="5"/>
  <c r="CC394" i="5"/>
  <c r="CA394" i="5"/>
  <c r="BU394" i="5"/>
  <c r="BW394" i="5"/>
  <c r="BV394" i="5"/>
  <c r="BT394" i="5"/>
  <c r="BS394" i="5"/>
  <c r="BR394" i="5"/>
  <c r="BQ394" i="5"/>
  <c r="BM394" i="5"/>
  <c r="BK394" i="5"/>
  <c r="BJ394" i="5"/>
  <c r="BI394" i="5"/>
  <c r="BH394" i="5"/>
  <c r="BF394" i="5"/>
  <c r="BD394" i="5"/>
  <c r="BG394" i="5"/>
  <c r="BE394" i="5"/>
  <c r="BA394" i="5"/>
  <c r="BP394" i="5" s="1"/>
  <c r="AZ394" i="5"/>
  <c r="AY394" i="5"/>
  <c r="AV394" i="5"/>
  <c r="BO394" i="5" s="1"/>
  <c r="AU394" i="5"/>
  <c r="BN394" i="5" s="1"/>
  <c r="CE467" i="5"/>
  <c r="CK467" i="5"/>
  <c r="CI467" i="5"/>
  <c r="CF467" i="5"/>
  <c r="CD467" i="5"/>
  <c r="CC467" i="5"/>
  <c r="BY467" i="5"/>
  <c r="CA467" i="5"/>
  <c r="BV467" i="5"/>
  <c r="BW467" i="5"/>
  <c r="BU467" i="5"/>
  <c r="BS467" i="5"/>
  <c r="BR467" i="5"/>
  <c r="BT467" i="5"/>
  <c r="BQ467" i="5"/>
  <c r="BK467" i="5"/>
  <c r="BM467" i="5"/>
  <c r="BI467" i="5"/>
  <c r="BG467" i="5"/>
  <c r="BJ467" i="5"/>
  <c r="BH467" i="5"/>
  <c r="BF467" i="5"/>
  <c r="BE467" i="5"/>
  <c r="BD467" i="5"/>
  <c r="BA467" i="5"/>
  <c r="BP467" i="5" s="1"/>
  <c r="AY467" i="5"/>
  <c r="AU467" i="5"/>
  <c r="BN467" i="5" s="1"/>
  <c r="AZ467" i="5"/>
  <c r="AV467" i="5"/>
  <c r="BC467" i="5" s="1"/>
  <c r="CK540" i="5"/>
  <c r="CF540" i="5"/>
  <c r="CI540" i="5"/>
  <c r="CE540" i="5"/>
  <c r="CC540" i="5"/>
  <c r="CD540" i="5"/>
  <c r="CA540" i="5"/>
  <c r="BY540" i="5"/>
  <c r="BW540" i="5"/>
  <c r="BV540" i="5"/>
  <c r="BU540" i="5"/>
  <c r="BS540" i="5"/>
  <c r="BT540" i="5"/>
  <c r="BR540" i="5"/>
  <c r="BQ540" i="5"/>
  <c r="BJ540" i="5"/>
  <c r="BM540" i="5"/>
  <c r="BK540" i="5"/>
  <c r="BI540" i="5"/>
  <c r="BH540" i="5"/>
  <c r="BG540" i="5"/>
  <c r="BF540" i="5"/>
  <c r="BD540" i="5"/>
  <c r="BE540" i="5"/>
  <c r="AZ540" i="5"/>
  <c r="AY540" i="5"/>
  <c r="BA540" i="5"/>
  <c r="BP540" i="5" s="1"/>
  <c r="AV540" i="5"/>
  <c r="BO540" i="5" s="1"/>
  <c r="AU540" i="5"/>
  <c r="BN540" i="5" s="1"/>
  <c r="CK613" i="5"/>
  <c r="CJ613" i="5"/>
  <c r="CI613" i="5"/>
  <c r="CG613" i="5"/>
  <c r="CH613" i="5"/>
  <c r="CD613" i="5"/>
  <c r="CF613" i="5"/>
  <c r="CE613" i="5"/>
  <c r="CC613" i="5"/>
  <c r="CA613" i="5"/>
  <c r="BW613" i="5"/>
  <c r="BX613" i="5"/>
  <c r="BY613" i="5"/>
  <c r="BZ613" i="5"/>
  <c r="BV613" i="5"/>
  <c r="BU613" i="5"/>
  <c r="BR613" i="5"/>
  <c r="BT613" i="5"/>
  <c r="BS613" i="5"/>
  <c r="BQ613" i="5"/>
  <c r="BL613" i="5"/>
  <c r="BM613" i="5"/>
  <c r="BK613" i="5"/>
  <c r="BJ613" i="5"/>
  <c r="BI613" i="5"/>
  <c r="BH613" i="5"/>
  <c r="BG613" i="5"/>
  <c r="BF613" i="5"/>
  <c r="BD613" i="5"/>
  <c r="BE613" i="5"/>
  <c r="BA613" i="5"/>
  <c r="BP613" i="5" s="1"/>
  <c r="AZ613" i="5"/>
  <c r="AY613" i="5"/>
  <c r="AV613" i="5"/>
  <c r="BO613" i="5" s="1"/>
  <c r="AU613" i="5"/>
  <c r="BB613" i="5" s="1"/>
  <c r="CJ686" i="5"/>
  <c r="CI686" i="5"/>
  <c r="CK686" i="5"/>
  <c r="CH686" i="5"/>
  <c r="CG686" i="5"/>
  <c r="CF686" i="5"/>
  <c r="CE686" i="5"/>
  <c r="CD686" i="5"/>
  <c r="CC686" i="5"/>
  <c r="CA686" i="5"/>
  <c r="BY686" i="5"/>
  <c r="BZ686" i="5"/>
  <c r="BX686" i="5"/>
  <c r="BU686" i="5"/>
  <c r="BW686" i="5"/>
  <c r="BV686" i="5"/>
  <c r="BS686" i="5"/>
  <c r="BT686" i="5"/>
  <c r="BR686" i="5"/>
  <c r="BQ686" i="5"/>
  <c r="BM686" i="5"/>
  <c r="BL686" i="5"/>
  <c r="BJ686" i="5"/>
  <c r="BI686" i="5"/>
  <c r="BK686" i="5"/>
  <c r="BH686" i="5"/>
  <c r="BG686" i="5"/>
  <c r="BF686" i="5"/>
  <c r="BE686" i="5"/>
  <c r="BD686" i="5"/>
  <c r="BA686" i="5"/>
  <c r="BP686" i="5" s="1"/>
  <c r="AZ686" i="5"/>
  <c r="AY686" i="5"/>
  <c r="AV686" i="5"/>
  <c r="BC686" i="5" s="1"/>
  <c r="AU686" i="5"/>
  <c r="BN686" i="5" s="1"/>
  <c r="CK759" i="5"/>
  <c r="CJ759" i="5"/>
  <c r="CE759" i="5"/>
  <c r="CF759" i="5"/>
  <c r="CG759" i="5"/>
  <c r="CH759" i="5"/>
  <c r="CI759" i="5"/>
  <c r="CC759" i="5"/>
  <c r="CD759" i="5"/>
  <c r="BZ759" i="5"/>
  <c r="CA759" i="5"/>
  <c r="BY759" i="5"/>
  <c r="BV759" i="5"/>
  <c r="BX759" i="5"/>
  <c r="BW759" i="5"/>
  <c r="BT759" i="5"/>
  <c r="BU759" i="5"/>
  <c r="BQ759" i="5"/>
  <c r="BS759" i="5"/>
  <c r="BR759" i="5"/>
  <c r="BM759" i="5"/>
  <c r="BL759" i="5"/>
  <c r="BI759" i="5"/>
  <c r="BJ759" i="5"/>
  <c r="BK759" i="5"/>
  <c r="BG759" i="5"/>
  <c r="BH759" i="5"/>
  <c r="BE759" i="5"/>
  <c r="BF759" i="5"/>
  <c r="BD759" i="5"/>
  <c r="AY759" i="5"/>
  <c r="BA759" i="5"/>
  <c r="BP759" i="5" s="1"/>
  <c r="AZ759" i="5"/>
  <c r="AV759" i="5"/>
  <c r="BC759" i="5" s="1"/>
  <c r="AU759" i="5"/>
  <c r="BN759" i="5" s="1"/>
  <c r="CI832" i="5"/>
  <c r="CF832" i="5"/>
  <c r="CK832" i="5"/>
  <c r="CE832" i="5"/>
  <c r="CD832" i="5"/>
  <c r="CC832" i="5"/>
  <c r="CA832" i="5"/>
  <c r="BY832" i="5"/>
  <c r="BW832" i="5"/>
  <c r="BV832" i="5"/>
  <c r="BU832" i="5"/>
  <c r="BT832" i="5"/>
  <c r="BS832" i="5"/>
  <c r="BQ832" i="5"/>
  <c r="BR832" i="5"/>
  <c r="BM832" i="5"/>
  <c r="BK832" i="5"/>
  <c r="BJ832" i="5"/>
  <c r="BH832" i="5"/>
  <c r="BI832" i="5"/>
  <c r="BG832" i="5"/>
  <c r="BF832" i="5"/>
  <c r="BE832" i="5"/>
  <c r="BD832" i="5"/>
  <c r="AZ832" i="5"/>
  <c r="AY832" i="5"/>
  <c r="BA832" i="5"/>
  <c r="BP832" i="5" s="1"/>
  <c r="AV832" i="5"/>
  <c r="BO832" i="5" s="1"/>
  <c r="AU832" i="5"/>
  <c r="BN832" i="5" s="1"/>
  <c r="CI906" i="5"/>
  <c r="CK906" i="5"/>
  <c r="CF906" i="5"/>
  <c r="CC906" i="5"/>
  <c r="CE906" i="5"/>
  <c r="CD906" i="5"/>
  <c r="CA906" i="5"/>
  <c r="BU906" i="5"/>
  <c r="BY906" i="5"/>
  <c r="BW906" i="5"/>
  <c r="BV906" i="5"/>
  <c r="BS906" i="5"/>
  <c r="BT906" i="5"/>
  <c r="BR906" i="5"/>
  <c r="BQ906" i="5"/>
  <c r="BM906" i="5"/>
  <c r="BK906" i="5"/>
  <c r="BJ906" i="5"/>
  <c r="BI906" i="5"/>
  <c r="BF906" i="5"/>
  <c r="BH906" i="5"/>
  <c r="BG906" i="5"/>
  <c r="BD906" i="5"/>
  <c r="BE906" i="5"/>
  <c r="BA906" i="5"/>
  <c r="BP906" i="5" s="1"/>
  <c r="AZ906" i="5"/>
  <c r="AY906" i="5"/>
  <c r="AV906" i="5"/>
  <c r="BC906" i="5" s="1"/>
  <c r="AU906" i="5"/>
  <c r="BN906" i="5" s="1"/>
  <c r="CE979" i="5"/>
  <c r="CK979" i="5"/>
  <c r="CI979" i="5"/>
  <c r="CF979" i="5"/>
  <c r="CD979" i="5"/>
  <c r="CC979" i="5"/>
  <c r="BY979" i="5"/>
  <c r="CA979" i="5"/>
  <c r="BV979" i="5"/>
  <c r="BW979" i="5"/>
  <c r="BU979" i="5"/>
  <c r="BT979" i="5"/>
  <c r="BS979" i="5"/>
  <c r="BR979" i="5"/>
  <c r="BQ979" i="5"/>
  <c r="BM979" i="5"/>
  <c r="BK979" i="5"/>
  <c r="BI979" i="5"/>
  <c r="BG979" i="5"/>
  <c r="BJ979" i="5"/>
  <c r="BH979" i="5"/>
  <c r="BE979" i="5"/>
  <c r="BF979" i="5"/>
  <c r="BD979" i="5"/>
  <c r="AY979" i="5"/>
  <c r="AU979" i="5"/>
  <c r="BN979" i="5" s="1"/>
  <c r="BA979" i="5"/>
  <c r="BP979" i="5" s="1"/>
  <c r="AZ979" i="5"/>
  <c r="AV979" i="5"/>
  <c r="BC979" i="5" s="1"/>
  <c r="CJ1052" i="5"/>
  <c r="CF1052" i="5"/>
  <c r="CK1052" i="5"/>
  <c r="CG1052" i="5"/>
  <c r="CI1052" i="5"/>
  <c r="CH1052" i="5"/>
  <c r="CE1052" i="5"/>
  <c r="CD1052" i="5"/>
  <c r="CC1052" i="5"/>
  <c r="CA1052" i="5"/>
  <c r="BZ1052" i="5"/>
  <c r="BY1052" i="5"/>
  <c r="BX1052" i="5"/>
  <c r="BW1052" i="5"/>
  <c r="BU1052" i="5"/>
  <c r="BV1052" i="5"/>
  <c r="BT1052" i="5"/>
  <c r="BS1052" i="5"/>
  <c r="BR1052" i="5"/>
  <c r="BQ1052" i="5"/>
  <c r="BJ1052" i="5"/>
  <c r="BM1052" i="5"/>
  <c r="BL1052" i="5"/>
  <c r="BI1052" i="5"/>
  <c r="BK1052" i="5"/>
  <c r="BH1052" i="5"/>
  <c r="BG1052" i="5"/>
  <c r="BF1052" i="5"/>
  <c r="BD1052" i="5"/>
  <c r="BE1052" i="5"/>
  <c r="AZ1052" i="5"/>
  <c r="AY1052" i="5"/>
  <c r="BA1052" i="5"/>
  <c r="BP1052" i="5" s="1"/>
  <c r="AV1052" i="5"/>
  <c r="BO1052" i="5" s="1"/>
  <c r="AU1052" i="5"/>
  <c r="BB1052" i="5" s="1"/>
  <c r="CI1125" i="5"/>
  <c r="CK1125" i="5"/>
  <c r="CD1125" i="5"/>
  <c r="CF1125" i="5"/>
  <c r="CE1125" i="5"/>
  <c r="CC1125" i="5"/>
  <c r="CA1125" i="5"/>
  <c r="BW1125" i="5"/>
  <c r="BY1125" i="5"/>
  <c r="BV1125" i="5"/>
  <c r="BU1125" i="5"/>
  <c r="BT1125" i="5"/>
  <c r="BQ1125" i="5"/>
  <c r="BR1125" i="5"/>
  <c r="BS1125" i="5"/>
  <c r="BM1125" i="5"/>
  <c r="BK1125" i="5"/>
  <c r="BJ1125" i="5"/>
  <c r="BI1125" i="5"/>
  <c r="BH1125" i="5"/>
  <c r="BG1125" i="5"/>
  <c r="BD1125" i="5"/>
  <c r="BF1125" i="5"/>
  <c r="BE1125" i="5"/>
  <c r="BA1125" i="5"/>
  <c r="BP1125" i="5" s="1"/>
  <c r="AU1125" i="5"/>
  <c r="BN1125" i="5" s="1"/>
  <c r="AZ1125" i="5"/>
  <c r="AY1125" i="5"/>
  <c r="AV1125" i="5"/>
  <c r="BC1125" i="5" s="1"/>
  <c r="CI1198" i="5"/>
  <c r="CJ1198" i="5"/>
  <c r="CK1198" i="5"/>
  <c r="CF1198" i="5"/>
  <c r="CH1198" i="5"/>
  <c r="CE1198" i="5"/>
  <c r="CC1198" i="5"/>
  <c r="CG1198" i="5"/>
  <c r="CD1198" i="5"/>
  <c r="CA1198" i="5"/>
  <c r="BY1198" i="5"/>
  <c r="BZ1198" i="5"/>
  <c r="BX1198" i="5"/>
  <c r="BW1198" i="5"/>
  <c r="BU1198" i="5"/>
  <c r="BV1198" i="5"/>
  <c r="BS1198" i="5"/>
  <c r="BT1198" i="5"/>
  <c r="BR1198" i="5"/>
  <c r="BQ1198" i="5"/>
  <c r="BM1198" i="5"/>
  <c r="BL1198" i="5"/>
  <c r="BK1198" i="5"/>
  <c r="BJ1198" i="5"/>
  <c r="BI1198" i="5"/>
  <c r="BH1198" i="5"/>
  <c r="BG1198" i="5"/>
  <c r="BF1198" i="5"/>
  <c r="BE1198" i="5"/>
  <c r="BD1198" i="5"/>
  <c r="BA1198" i="5"/>
  <c r="BP1198" i="5" s="1"/>
  <c r="AZ1198" i="5"/>
  <c r="AY1198" i="5"/>
  <c r="AV1198" i="5"/>
  <c r="BC1198" i="5" s="1"/>
  <c r="AU1198" i="5"/>
  <c r="BB1198" i="5" s="1"/>
  <c r="CE1271" i="5"/>
  <c r="CF1271" i="5"/>
  <c r="CK1271" i="5"/>
  <c r="CI1271" i="5"/>
  <c r="CD1271" i="5"/>
  <c r="CC1271" i="5"/>
  <c r="CA1271" i="5"/>
  <c r="BY1271" i="5"/>
  <c r="BV1271" i="5"/>
  <c r="BW1271" i="5"/>
  <c r="BT1271" i="5"/>
  <c r="BU1271" i="5"/>
  <c r="BS1271" i="5"/>
  <c r="BR1271" i="5"/>
  <c r="BQ1271" i="5"/>
  <c r="BM1271" i="5"/>
  <c r="BK1271" i="5"/>
  <c r="BJ1271" i="5"/>
  <c r="BI1271" i="5"/>
  <c r="BG1271" i="5"/>
  <c r="BH1271" i="5"/>
  <c r="BE1271" i="5"/>
  <c r="BF1271" i="5"/>
  <c r="AY1271" i="5"/>
  <c r="BD1271" i="5"/>
  <c r="BA1271" i="5"/>
  <c r="BP1271" i="5" s="1"/>
  <c r="AZ1271" i="5"/>
  <c r="AV1271" i="5"/>
  <c r="BO1271" i="5" s="1"/>
  <c r="AU1271" i="5"/>
  <c r="BN1271" i="5" s="1"/>
  <c r="CK66" i="5"/>
  <c r="CI66" i="5"/>
  <c r="CD66" i="5"/>
  <c r="CF66" i="5"/>
  <c r="CE66" i="5"/>
  <c r="BY66" i="5"/>
  <c r="CC66" i="5"/>
  <c r="CA66" i="5"/>
  <c r="BU66" i="5"/>
  <c r="BW66" i="5"/>
  <c r="BV66" i="5"/>
  <c r="BS66" i="5"/>
  <c r="BT66" i="5"/>
  <c r="BR66" i="5"/>
  <c r="BQ66" i="5"/>
  <c r="BM66" i="5"/>
  <c r="BK66" i="5"/>
  <c r="BJ66" i="5"/>
  <c r="BI66" i="5"/>
  <c r="BH66" i="5"/>
  <c r="BG66" i="5"/>
  <c r="BF66" i="5"/>
  <c r="BD66" i="5"/>
  <c r="BE66" i="5"/>
  <c r="BA66" i="5"/>
  <c r="BP66" i="5" s="1"/>
  <c r="AZ66" i="5"/>
  <c r="AY66" i="5"/>
  <c r="AV66" i="5"/>
  <c r="BO66" i="5" s="1"/>
  <c r="AU66" i="5"/>
  <c r="BN66" i="5" s="1"/>
  <c r="CK139" i="5"/>
  <c r="CJ139" i="5"/>
  <c r="CH139" i="5"/>
  <c r="CI139" i="5"/>
  <c r="CE139" i="5"/>
  <c r="CG139" i="5"/>
  <c r="CD139" i="5"/>
  <c r="CF139" i="5"/>
  <c r="CC139" i="5"/>
  <c r="BZ139" i="5"/>
  <c r="CA139" i="5"/>
  <c r="BY139" i="5"/>
  <c r="BX139" i="5"/>
  <c r="BW139" i="5"/>
  <c r="BV139" i="5"/>
  <c r="BU139" i="5"/>
  <c r="BS139" i="5"/>
  <c r="BT139" i="5"/>
  <c r="BR139" i="5"/>
  <c r="BQ139" i="5"/>
  <c r="BK139" i="5"/>
  <c r="BM139" i="5"/>
  <c r="BL139" i="5"/>
  <c r="BI139" i="5"/>
  <c r="BG139" i="5"/>
  <c r="BH139" i="5"/>
  <c r="BJ139" i="5"/>
  <c r="BF139" i="5"/>
  <c r="BE139" i="5"/>
  <c r="BD139" i="5"/>
  <c r="BA139" i="5"/>
  <c r="BP139" i="5" s="1"/>
  <c r="AY139" i="5"/>
  <c r="AZ139" i="5"/>
  <c r="AU139" i="5"/>
  <c r="BN139" i="5" s="1"/>
  <c r="AV139" i="5"/>
  <c r="BO139" i="5" s="1"/>
  <c r="CK212" i="5"/>
  <c r="CF212" i="5"/>
  <c r="CI212" i="5"/>
  <c r="CC212" i="5"/>
  <c r="CE212" i="5"/>
  <c r="CD212" i="5"/>
  <c r="CA212" i="5"/>
  <c r="BV212" i="5"/>
  <c r="BY212" i="5"/>
  <c r="BW212" i="5"/>
  <c r="BT212" i="5"/>
  <c r="BU212" i="5"/>
  <c r="BS212" i="5"/>
  <c r="BQ212" i="5"/>
  <c r="BR212" i="5"/>
  <c r="BK212" i="5"/>
  <c r="BJ212" i="5"/>
  <c r="BM212" i="5"/>
  <c r="BI212" i="5"/>
  <c r="BH212" i="5"/>
  <c r="BF212" i="5"/>
  <c r="BG212" i="5"/>
  <c r="BE212" i="5"/>
  <c r="BD212" i="5"/>
  <c r="AZ212" i="5"/>
  <c r="BA212" i="5"/>
  <c r="BP212" i="5" s="1"/>
  <c r="AY212" i="5"/>
  <c r="AV212" i="5"/>
  <c r="BC212" i="5" s="1"/>
  <c r="AU212" i="5"/>
  <c r="BN212" i="5" s="1"/>
  <c r="CJ285" i="5"/>
  <c r="CK285" i="5"/>
  <c r="CI285" i="5"/>
  <c r="CH285" i="5"/>
  <c r="CG285" i="5"/>
  <c r="CF285" i="5"/>
  <c r="CE285" i="5"/>
  <c r="CD285" i="5"/>
  <c r="CC285" i="5"/>
  <c r="CA285" i="5"/>
  <c r="BZ285" i="5"/>
  <c r="BY285" i="5"/>
  <c r="BX285" i="5"/>
  <c r="BW285" i="5"/>
  <c r="BV285" i="5"/>
  <c r="BT285" i="5"/>
  <c r="BR285" i="5"/>
  <c r="BU285" i="5"/>
  <c r="BS285" i="5"/>
  <c r="BQ285" i="5"/>
  <c r="BK285" i="5"/>
  <c r="BM285" i="5"/>
  <c r="BL285" i="5"/>
  <c r="BJ285" i="5"/>
  <c r="BI285" i="5"/>
  <c r="BH285" i="5"/>
  <c r="BG285" i="5"/>
  <c r="BF285" i="5"/>
  <c r="BE285" i="5"/>
  <c r="BD285" i="5"/>
  <c r="BA285" i="5"/>
  <c r="BP285" i="5" s="1"/>
  <c r="AZ285" i="5"/>
  <c r="AY285" i="5"/>
  <c r="AV285" i="5"/>
  <c r="BC285" i="5" s="1"/>
  <c r="AU285" i="5"/>
  <c r="BN285" i="5" s="1"/>
  <c r="CI358" i="5"/>
  <c r="CK358" i="5"/>
  <c r="CD358" i="5"/>
  <c r="CF358" i="5"/>
  <c r="CC358" i="5"/>
  <c r="CE358" i="5"/>
  <c r="BY358" i="5"/>
  <c r="CA358" i="5"/>
  <c r="BW358" i="5"/>
  <c r="BV358" i="5"/>
  <c r="BU358" i="5"/>
  <c r="BS358" i="5"/>
  <c r="BT358" i="5"/>
  <c r="BR358" i="5"/>
  <c r="BQ358" i="5"/>
  <c r="BM358" i="5"/>
  <c r="BK358" i="5"/>
  <c r="BJ358" i="5"/>
  <c r="BI358" i="5"/>
  <c r="BG358" i="5"/>
  <c r="BF358" i="5"/>
  <c r="BH358" i="5"/>
  <c r="BD358" i="5"/>
  <c r="BE358" i="5"/>
  <c r="BA358" i="5"/>
  <c r="BP358" i="5" s="1"/>
  <c r="AV358" i="5"/>
  <c r="BC358" i="5" s="1"/>
  <c r="AZ358" i="5"/>
  <c r="AY358" i="5"/>
  <c r="AU358" i="5"/>
  <c r="BN358" i="5" s="1"/>
  <c r="CJ431" i="5"/>
  <c r="CK431" i="5"/>
  <c r="CH431" i="5"/>
  <c r="CG431" i="5"/>
  <c r="CE431" i="5"/>
  <c r="CI431" i="5"/>
  <c r="CD431" i="5"/>
  <c r="CF431" i="5"/>
  <c r="BZ431" i="5"/>
  <c r="CC431" i="5"/>
  <c r="CA431" i="5"/>
  <c r="BY431" i="5"/>
  <c r="BX431" i="5"/>
  <c r="BV431" i="5"/>
  <c r="BW431" i="5"/>
  <c r="BU431" i="5"/>
  <c r="BT431" i="5"/>
  <c r="BS431" i="5"/>
  <c r="BQ431" i="5"/>
  <c r="BR431" i="5"/>
  <c r="BL431" i="5"/>
  <c r="BK431" i="5"/>
  <c r="BM431" i="5"/>
  <c r="BI431" i="5"/>
  <c r="BJ431" i="5"/>
  <c r="BH431" i="5"/>
  <c r="BG431" i="5"/>
  <c r="BE431" i="5"/>
  <c r="BF431" i="5"/>
  <c r="BD431" i="5"/>
  <c r="BA431" i="5"/>
  <c r="BP431" i="5" s="1"/>
  <c r="AY431" i="5"/>
  <c r="AZ431" i="5"/>
  <c r="AU431" i="5"/>
  <c r="BN431" i="5" s="1"/>
  <c r="AV431" i="5"/>
  <c r="BO431" i="5" s="1"/>
  <c r="CJ504" i="5"/>
  <c r="CF504" i="5"/>
  <c r="CK504" i="5"/>
  <c r="CE504" i="5"/>
  <c r="CC504" i="5"/>
  <c r="CI504" i="5"/>
  <c r="CH504" i="5"/>
  <c r="CG504" i="5"/>
  <c r="CD504" i="5"/>
  <c r="CA504" i="5"/>
  <c r="BZ504" i="5"/>
  <c r="BY504" i="5"/>
  <c r="BX504" i="5"/>
  <c r="BV504" i="5"/>
  <c r="BW504" i="5"/>
  <c r="BU504" i="5"/>
  <c r="BT504" i="5"/>
  <c r="BS504" i="5"/>
  <c r="BR504" i="5"/>
  <c r="BQ504" i="5"/>
  <c r="BM504" i="5"/>
  <c r="BK504" i="5"/>
  <c r="BL504" i="5"/>
  <c r="BJ504" i="5"/>
  <c r="BI504" i="5"/>
  <c r="BH504" i="5"/>
  <c r="BG504" i="5"/>
  <c r="BF504" i="5"/>
  <c r="BE504" i="5"/>
  <c r="BD504" i="5"/>
  <c r="BA504" i="5"/>
  <c r="BP504" i="5" s="1"/>
  <c r="AZ504" i="5"/>
  <c r="AV504" i="5"/>
  <c r="BO504" i="5" s="1"/>
  <c r="AY504" i="5"/>
  <c r="AU504" i="5"/>
  <c r="BN504" i="5" s="1"/>
  <c r="CK578" i="5"/>
  <c r="CH578" i="5"/>
  <c r="CI578" i="5"/>
  <c r="CJ578" i="5"/>
  <c r="CF578" i="5"/>
  <c r="CE578" i="5"/>
  <c r="CG578" i="5"/>
  <c r="CD578" i="5"/>
  <c r="CC578" i="5"/>
  <c r="BY578" i="5"/>
  <c r="CA578" i="5"/>
  <c r="BZ578" i="5"/>
  <c r="BX578" i="5"/>
  <c r="BU578" i="5"/>
  <c r="BW578" i="5"/>
  <c r="BV578" i="5"/>
  <c r="BS578" i="5"/>
  <c r="BT578" i="5"/>
  <c r="BR578" i="5"/>
  <c r="BQ578" i="5"/>
  <c r="BM578" i="5"/>
  <c r="BL578" i="5"/>
  <c r="BK578" i="5"/>
  <c r="BJ578" i="5"/>
  <c r="BI578" i="5"/>
  <c r="BH578" i="5"/>
  <c r="BG578" i="5"/>
  <c r="BF578" i="5"/>
  <c r="BD578" i="5"/>
  <c r="BE578" i="5"/>
  <c r="BA578" i="5"/>
  <c r="BP578" i="5" s="1"/>
  <c r="AZ578" i="5"/>
  <c r="AY578" i="5"/>
  <c r="AV578" i="5"/>
  <c r="BC578" i="5" s="1"/>
  <c r="AU578" i="5"/>
  <c r="BN578" i="5" s="1"/>
  <c r="CK651" i="5"/>
  <c r="CG651" i="5"/>
  <c r="CI651" i="5"/>
  <c r="CE651" i="5"/>
  <c r="CJ651" i="5"/>
  <c r="CH651" i="5"/>
  <c r="CF651" i="5"/>
  <c r="CD651" i="5"/>
  <c r="CC651" i="5"/>
  <c r="BZ651" i="5"/>
  <c r="BY651" i="5"/>
  <c r="CA651" i="5"/>
  <c r="BX651" i="5"/>
  <c r="BW651" i="5"/>
  <c r="BV651" i="5"/>
  <c r="BU651" i="5"/>
  <c r="BT651" i="5"/>
  <c r="BS651" i="5"/>
  <c r="BR651" i="5"/>
  <c r="BQ651" i="5"/>
  <c r="BM651" i="5"/>
  <c r="BL651" i="5"/>
  <c r="BK651" i="5"/>
  <c r="BI651" i="5"/>
  <c r="BG651" i="5"/>
  <c r="BJ651" i="5"/>
  <c r="BF651" i="5"/>
  <c r="BH651" i="5"/>
  <c r="BE651" i="5"/>
  <c r="BD651" i="5"/>
  <c r="AY651" i="5"/>
  <c r="BA651" i="5"/>
  <c r="BP651" i="5" s="1"/>
  <c r="AZ651" i="5"/>
  <c r="AU651" i="5"/>
  <c r="BN651" i="5" s="1"/>
  <c r="AV651" i="5"/>
  <c r="BO651" i="5" s="1"/>
  <c r="CK724" i="5"/>
  <c r="CJ724" i="5"/>
  <c r="CF724" i="5"/>
  <c r="CH724" i="5"/>
  <c r="CC724" i="5"/>
  <c r="CI724" i="5"/>
  <c r="CE724" i="5"/>
  <c r="CG724" i="5"/>
  <c r="CD724" i="5"/>
  <c r="CA724" i="5"/>
  <c r="BZ724" i="5"/>
  <c r="BX724" i="5"/>
  <c r="BY724" i="5"/>
  <c r="BW724" i="5"/>
  <c r="BV724" i="5"/>
  <c r="BU724" i="5"/>
  <c r="BT724" i="5"/>
  <c r="BS724" i="5"/>
  <c r="BQ724" i="5"/>
  <c r="BR724" i="5"/>
  <c r="BL724" i="5"/>
  <c r="BJ724" i="5"/>
  <c r="BK724" i="5"/>
  <c r="BM724" i="5"/>
  <c r="BI724" i="5"/>
  <c r="BH724" i="5"/>
  <c r="BF724" i="5"/>
  <c r="BG724" i="5"/>
  <c r="BE724" i="5"/>
  <c r="BD724" i="5"/>
  <c r="AZ724" i="5"/>
  <c r="BA724" i="5"/>
  <c r="BP724" i="5" s="1"/>
  <c r="AY724" i="5"/>
  <c r="AV724" i="5"/>
  <c r="BC724" i="5" s="1"/>
  <c r="AU724" i="5"/>
  <c r="BN724" i="5" s="1"/>
  <c r="CK797" i="5"/>
  <c r="CI797" i="5"/>
  <c r="CF797" i="5"/>
  <c r="CE797" i="5"/>
  <c r="CD797" i="5"/>
  <c r="CC797" i="5"/>
  <c r="CA797" i="5"/>
  <c r="BY797" i="5"/>
  <c r="BW797" i="5"/>
  <c r="BV797" i="5"/>
  <c r="BR797" i="5"/>
  <c r="BU797" i="5"/>
  <c r="BT797" i="5"/>
  <c r="BS797" i="5"/>
  <c r="BQ797" i="5"/>
  <c r="BM797" i="5"/>
  <c r="BK797" i="5"/>
  <c r="BJ797" i="5"/>
  <c r="BI797" i="5"/>
  <c r="BH797" i="5"/>
  <c r="BG797" i="5"/>
  <c r="BE797" i="5"/>
  <c r="BD797" i="5"/>
  <c r="BF797" i="5"/>
  <c r="BA797" i="5"/>
  <c r="BP797" i="5" s="1"/>
  <c r="AZ797" i="5"/>
  <c r="AY797" i="5"/>
  <c r="AV797" i="5"/>
  <c r="BO797" i="5" s="1"/>
  <c r="AU797" i="5"/>
  <c r="BN797" i="5" s="1"/>
  <c r="CK870" i="5"/>
  <c r="CI870" i="5"/>
  <c r="CF870" i="5"/>
  <c r="CD870" i="5"/>
  <c r="CC870" i="5"/>
  <c r="CE870" i="5"/>
  <c r="CA870" i="5"/>
  <c r="BY870" i="5"/>
  <c r="BW870" i="5"/>
  <c r="BU870" i="5"/>
  <c r="BV870" i="5"/>
  <c r="BS870" i="5"/>
  <c r="BT870" i="5"/>
  <c r="BR870" i="5"/>
  <c r="BQ870" i="5"/>
  <c r="BM870" i="5"/>
  <c r="BK870" i="5"/>
  <c r="BJ870" i="5"/>
  <c r="BI870" i="5"/>
  <c r="BH870" i="5"/>
  <c r="BG870" i="5"/>
  <c r="BF870" i="5"/>
  <c r="BD870" i="5"/>
  <c r="BE870" i="5"/>
  <c r="AV870" i="5"/>
  <c r="BC870" i="5" s="1"/>
  <c r="BA870" i="5"/>
  <c r="BP870" i="5" s="1"/>
  <c r="AZ870" i="5"/>
  <c r="AY870" i="5"/>
  <c r="AU870" i="5"/>
  <c r="BN870" i="5" s="1"/>
  <c r="CK943" i="5"/>
  <c r="CJ943" i="5"/>
  <c r="CE943" i="5"/>
  <c r="CI943" i="5"/>
  <c r="CG943" i="5"/>
  <c r="CH943" i="5"/>
  <c r="CF943" i="5"/>
  <c r="BZ943" i="5"/>
  <c r="CD943" i="5"/>
  <c r="CC943" i="5"/>
  <c r="BY943" i="5"/>
  <c r="CA943" i="5"/>
  <c r="BV943" i="5"/>
  <c r="BX943" i="5"/>
  <c r="BW943" i="5"/>
  <c r="BT943" i="5"/>
  <c r="BU943" i="5"/>
  <c r="BQ943" i="5"/>
  <c r="BR943" i="5"/>
  <c r="BS943" i="5"/>
  <c r="BM943" i="5"/>
  <c r="BL943" i="5"/>
  <c r="BI943" i="5"/>
  <c r="BJ943" i="5"/>
  <c r="BK943" i="5"/>
  <c r="BG943" i="5"/>
  <c r="BH943" i="5"/>
  <c r="BE943" i="5"/>
  <c r="BF943" i="5"/>
  <c r="BD943" i="5"/>
  <c r="AY943" i="5"/>
  <c r="BA943" i="5"/>
  <c r="BP943" i="5" s="1"/>
  <c r="AZ943" i="5"/>
  <c r="AU943" i="5"/>
  <c r="BN943" i="5" s="1"/>
  <c r="AV943" i="5"/>
  <c r="BC943" i="5" s="1"/>
  <c r="CK1016" i="5"/>
  <c r="CF1016" i="5"/>
  <c r="CE1016" i="5"/>
  <c r="CI1016" i="5"/>
  <c r="CD1016" i="5"/>
  <c r="CC1016" i="5"/>
  <c r="CA1016" i="5"/>
  <c r="BY1016" i="5"/>
  <c r="BW1016" i="5"/>
  <c r="BU1016" i="5"/>
  <c r="BV1016" i="5"/>
  <c r="BT1016" i="5"/>
  <c r="BS1016" i="5"/>
  <c r="BR1016" i="5"/>
  <c r="BQ1016" i="5"/>
  <c r="BM1016" i="5"/>
  <c r="BK1016" i="5"/>
  <c r="BJ1016" i="5"/>
  <c r="BH1016" i="5"/>
  <c r="BI1016" i="5"/>
  <c r="BG1016" i="5"/>
  <c r="BF1016" i="5"/>
  <c r="BE1016" i="5"/>
  <c r="BD1016" i="5"/>
  <c r="AZ1016" i="5"/>
  <c r="AV1016" i="5"/>
  <c r="BO1016" i="5" s="1"/>
  <c r="AY1016" i="5"/>
  <c r="BA1016" i="5"/>
  <c r="BP1016" i="5" s="1"/>
  <c r="AU1016" i="5"/>
  <c r="BN1016" i="5" s="1"/>
  <c r="CK1090" i="5"/>
  <c r="CI1090" i="5"/>
  <c r="CF1090" i="5"/>
  <c r="CE1090" i="5"/>
  <c r="CC1090" i="5"/>
  <c r="CD1090" i="5"/>
  <c r="CA1090" i="5"/>
  <c r="BY1090" i="5"/>
  <c r="BU1090" i="5"/>
  <c r="BW1090" i="5"/>
  <c r="BS1090" i="5"/>
  <c r="BV1090" i="5"/>
  <c r="BT1090" i="5"/>
  <c r="BR1090" i="5"/>
  <c r="BQ1090" i="5"/>
  <c r="BM1090" i="5"/>
  <c r="BK1090" i="5"/>
  <c r="BJ1090" i="5"/>
  <c r="BI1090" i="5"/>
  <c r="BH1090" i="5"/>
  <c r="BG1090" i="5"/>
  <c r="BD1090" i="5"/>
  <c r="BF1090" i="5"/>
  <c r="BE1090" i="5"/>
  <c r="BA1090" i="5"/>
  <c r="BP1090" i="5" s="1"/>
  <c r="AZ1090" i="5"/>
  <c r="AY1090" i="5"/>
  <c r="AV1090" i="5"/>
  <c r="BC1090" i="5" s="1"/>
  <c r="AU1090" i="5"/>
  <c r="BB1090" i="5" s="1"/>
  <c r="CK1163" i="5"/>
  <c r="CI1163" i="5"/>
  <c r="CE1163" i="5"/>
  <c r="CD1163" i="5"/>
  <c r="CF1163" i="5"/>
  <c r="CC1163" i="5"/>
  <c r="BY1163" i="5"/>
  <c r="CA1163" i="5"/>
  <c r="BW1163" i="5"/>
  <c r="BV1163" i="5"/>
  <c r="BU1163" i="5"/>
  <c r="BT1163" i="5"/>
  <c r="BR1163" i="5"/>
  <c r="BQ1163" i="5"/>
  <c r="BS1163" i="5"/>
  <c r="BM1163" i="5"/>
  <c r="BI1163" i="5"/>
  <c r="BG1163" i="5"/>
  <c r="BK1163" i="5"/>
  <c r="BJ1163" i="5"/>
  <c r="BH1163" i="5"/>
  <c r="BE1163" i="5"/>
  <c r="BF1163" i="5"/>
  <c r="BD1163" i="5"/>
  <c r="AY1163" i="5"/>
  <c r="BA1163" i="5"/>
  <c r="BP1163" i="5" s="1"/>
  <c r="AZ1163" i="5"/>
  <c r="AU1163" i="5"/>
  <c r="BN1163" i="5" s="1"/>
  <c r="AV1163" i="5"/>
  <c r="BO1163" i="5" s="1"/>
  <c r="CK1236" i="5"/>
  <c r="CF1236" i="5"/>
  <c r="CI1236" i="5"/>
  <c r="CE1236" i="5"/>
  <c r="CD1236" i="5"/>
  <c r="CA1236" i="5"/>
  <c r="CC1236" i="5"/>
  <c r="BY1236" i="5"/>
  <c r="BW1236" i="5"/>
  <c r="BU1236" i="5"/>
  <c r="BV1236" i="5"/>
  <c r="BT1236" i="5"/>
  <c r="BR1236" i="5"/>
  <c r="BQ1236" i="5"/>
  <c r="BS1236" i="5"/>
  <c r="BJ1236" i="5"/>
  <c r="BM1236" i="5"/>
  <c r="BI1236" i="5"/>
  <c r="BK1236" i="5"/>
  <c r="BH1236" i="5"/>
  <c r="BF1236" i="5"/>
  <c r="BG1236" i="5"/>
  <c r="BE1236" i="5"/>
  <c r="BD1236" i="5"/>
  <c r="AZ1236" i="5"/>
  <c r="BA1236" i="5"/>
  <c r="BP1236" i="5" s="1"/>
  <c r="AY1236" i="5"/>
  <c r="AV1236" i="5"/>
  <c r="BO1236" i="5" s="1"/>
  <c r="AU1236" i="5"/>
  <c r="BN1236" i="5" s="1"/>
  <c r="CK1308" i="5"/>
  <c r="CF1308" i="5"/>
  <c r="CE1308" i="5"/>
  <c r="CI1308" i="5"/>
  <c r="CD1308" i="5"/>
  <c r="CC1308" i="5"/>
  <c r="CA1308" i="5"/>
  <c r="BY1308" i="5"/>
  <c r="BW1308" i="5"/>
  <c r="BU1308" i="5"/>
  <c r="BV1308" i="5"/>
  <c r="BT1308" i="5"/>
  <c r="BS1308" i="5"/>
  <c r="BR1308" i="5"/>
  <c r="BQ1308" i="5"/>
  <c r="BJ1308" i="5"/>
  <c r="BM1308" i="5"/>
  <c r="BI1308" i="5"/>
  <c r="BK1308" i="5"/>
  <c r="BH1308" i="5"/>
  <c r="BG1308" i="5"/>
  <c r="BF1308" i="5"/>
  <c r="BD1308" i="5"/>
  <c r="BE1308" i="5"/>
  <c r="AZ1308" i="5"/>
  <c r="AY1308" i="5"/>
  <c r="BA1308" i="5"/>
  <c r="BP1308" i="5" s="1"/>
  <c r="AV1308" i="5"/>
  <c r="BC1308" i="5" s="1"/>
  <c r="AU1308" i="5"/>
  <c r="BN1308" i="5" s="1"/>
  <c r="CK12" i="5"/>
  <c r="CF12" i="5"/>
  <c r="CI12" i="5"/>
  <c r="CC12" i="5"/>
  <c r="CE12" i="5"/>
  <c r="CD12" i="5"/>
  <c r="CA12" i="5"/>
  <c r="BV12" i="5"/>
  <c r="BY12" i="5"/>
  <c r="BW12" i="5"/>
  <c r="BU12" i="5"/>
  <c r="BT12" i="5"/>
  <c r="BS12" i="5"/>
  <c r="BR12" i="5"/>
  <c r="BQ12" i="5"/>
  <c r="BM12" i="5"/>
  <c r="BK12" i="5"/>
  <c r="BJ12" i="5"/>
  <c r="BI12" i="5"/>
  <c r="BH12" i="5"/>
  <c r="BF12" i="5"/>
  <c r="BG12" i="5"/>
  <c r="BE12" i="5"/>
  <c r="BD12" i="5"/>
  <c r="AZ12" i="5"/>
  <c r="BA12" i="5"/>
  <c r="BP12" i="5" s="1"/>
  <c r="AY12" i="5"/>
  <c r="AV12" i="5"/>
  <c r="BO12" i="5" s="1"/>
  <c r="AU12" i="5"/>
  <c r="BN12" i="5" s="1"/>
  <c r="BL39" i="5"/>
  <c r="BX39" i="5"/>
  <c r="CK76" i="5"/>
  <c r="CF76" i="5"/>
  <c r="CI76" i="5"/>
  <c r="CC76" i="5"/>
  <c r="CD76" i="5"/>
  <c r="CE76" i="5"/>
  <c r="CA76" i="5"/>
  <c r="BV76" i="5"/>
  <c r="BY76" i="5"/>
  <c r="BW76" i="5"/>
  <c r="BT76" i="5"/>
  <c r="BU76" i="5"/>
  <c r="BS76" i="5"/>
  <c r="BQ76" i="5"/>
  <c r="BR76" i="5"/>
  <c r="BM76" i="5"/>
  <c r="BK76" i="5"/>
  <c r="BJ76" i="5"/>
  <c r="BI76" i="5"/>
  <c r="BH76" i="5"/>
  <c r="BF76" i="5"/>
  <c r="BG76" i="5"/>
  <c r="BE76" i="5"/>
  <c r="BD76" i="5"/>
  <c r="AZ76" i="5"/>
  <c r="BA76" i="5"/>
  <c r="BP76" i="5" s="1"/>
  <c r="AY76" i="5"/>
  <c r="AV76" i="5"/>
  <c r="BO76" i="5" s="1"/>
  <c r="AU76" i="5"/>
  <c r="BN76" i="5" s="1"/>
  <c r="CJ149" i="5"/>
  <c r="CK149" i="5"/>
  <c r="CI149" i="5"/>
  <c r="CH149" i="5"/>
  <c r="CE149" i="5"/>
  <c r="CG149" i="5"/>
  <c r="CD149" i="5"/>
  <c r="CF149" i="5"/>
  <c r="CC149" i="5"/>
  <c r="BX149" i="5"/>
  <c r="BZ149" i="5"/>
  <c r="BW149" i="5"/>
  <c r="CA149" i="5"/>
  <c r="BY149" i="5"/>
  <c r="BT149" i="5"/>
  <c r="BV149" i="5"/>
  <c r="BU149" i="5"/>
  <c r="BR149" i="5"/>
  <c r="BS149" i="5"/>
  <c r="BQ149" i="5"/>
  <c r="BM149" i="5"/>
  <c r="BK149" i="5"/>
  <c r="BL149" i="5"/>
  <c r="BH149" i="5"/>
  <c r="BJ149" i="5"/>
  <c r="BI149" i="5"/>
  <c r="BF149" i="5"/>
  <c r="BG149" i="5"/>
  <c r="BE149" i="5"/>
  <c r="BD149" i="5"/>
  <c r="BA149" i="5"/>
  <c r="BP149" i="5" s="1"/>
  <c r="AZ149" i="5"/>
  <c r="AY149" i="5"/>
  <c r="AV149" i="5"/>
  <c r="BC149" i="5" s="1"/>
  <c r="AU149" i="5"/>
  <c r="BN149" i="5" s="1"/>
  <c r="CI222" i="5"/>
  <c r="CK222" i="5"/>
  <c r="CD222" i="5"/>
  <c r="CE222" i="5"/>
  <c r="CF222" i="5"/>
  <c r="CC222" i="5"/>
  <c r="BY222" i="5"/>
  <c r="CA222" i="5"/>
  <c r="BU222" i="5"/>
  <c r="BW222" i="5"/>
  <c r="BV222" i="5"/>
  <c r="BT222" i="5"/>
  <c r="BS222" i="5"/>
  <c r="BR222" i="5"/>
  <c r="BQ222" i="5"/>
  <c r="BM222" i="5"/>
  <c r="BK222" i="5"/>
  <c r="BH222" i="5"/>
  <c r="BJ222" i="5"/>
  <c r="BI222" i="5"/>
  <c r="BG222" i="5"/>
  <c r="BF222" i="5"/>
  <c r="BD222" i="5"/>
  <c r="BE222" i="5"/>
  <c r="BA222" i="5"/>
  <c r="BP222" i="5" s="1"/>
  <c r="AV222" i="5"/>
  <c r="BC222" i="5" s="1"/>
  <c r="AZ222" i="5"/>
  <c r="AY222" i="5"/>
  <c r="AU222" i="5"/>
  <c r="BN222" i="5" s="1"/>
  <c r="CE295" i="5"/>
  <c r="CK295" i="5"/>
  <c r="CF295" i="5"/>
  <c r="CD295" i="5"/>
  <c r="CI295" i="5"/>
  <c r="CC295" i="5"/>
  <c r="CA295" i="5"/>
  <c r="BY295" i="5"/>
  <c r="BW295" i="5"/>
  <c r="BV295" i="5"/>
  <c r="BU295" i="5"/>
  <c r="BS295" i="5"/>
  <c r="BT295" i="5"/>
  <c r="BR295" i="5"/>
  <c r="BQ295" i="5"/>
  <c r="BK295" i="5"/>
  <c r="BI295" i="5"/>
  <c r="BM295" i="5"/>
  <c r="BH295" i="5"/>
  <c r="BJ295" i="5"/>
  <c r="BG295" i="5"/>
  <c r="BE295" i="5"/>
  <c r="BF295" i="5"/>
  <c r="BD295" i="5"/>
  <c r="BA295" i="5"/>
  <c r="BP295" i="5" s="1"/>
  <c r="AY295" i="5"/>
  <c r="AZ295" i="5"/>
  <c r="AU295" i="5"/>
  <c r="BN295" i="5" s="1"/>
  <c r="AV295" i="5"/>
  <c r="BO295" i="5" s="1"/>
  <c r="CJ368" i="5"/>
  <c r="CI368" i="5"/>
  <c r="CG368" i="5"/>
  <c r="CF368" i="5"/>
  <c r="CK368" i="5"/>
  <c r="CH368" i="5"/>
  <c r="CC368" i="5"/>
  <c r="CD368" i="5"/>
  <c r="CE368" i="5"/>
  <c r="CA368" i="5"/>
  <c r="BV368" i="5"/>
  <c r="BZ368" i="5"/>
  <c r="BX368" i="5"/>
  <c r="BW368" i="5"/>
  <c r="BY368" i="5"/>
  <c r="BU368" i="5"/>
  <c r="BS368" i="5"/>
  <c r="BT368" i="5"/>
  <c r="BR368" i="5"/>
  <c r="BQ368" i="5"/>
  <c r="BM368" i="5"/>
  <c r="BK368" i="5"/>
  <c r="BL368" i="5"/>
  <c r="BJ368" i="5"/>
  <c r="BI368" i="5"/>
  <c r="BH368" i="5"/>
  <c r="BG368" i="5"/>
  <c r="BF368" i="5"/>
  <c r="BE368" i="5"/>
  <c r="BD368" i="5"/>
  <c r="BA368" i="5"/>
  <c r="BP368" i="5" s="1"/>
  <c r="AZ368" i="5"/>
  <c r="AV368" i="5"/>
  <c r="BO368" i="5" s="1"/>
  <c r="AY368" i="5"/>
  <c r="AU368" i="5"/>
  <c r="BN368" i="5" s="1"/>
  <c r="CJ442" i="5"/>
  <c r="CI442" i="5"/>
  <c r="CK442" i="5"/>
  <c r="CH442" i="5"/>
  <c r="CD442" i="5"/>
  <c r="CG442" i="5"/>
  <c r="CF442" i="5"/>
  <c r="CE442" i="5"/>
  <c r="CC442" i="5"/>
  <c r="BY442" i="5"/>
  <c r="CA442" i="5"/>
  <c r="BX442" i="5"/>
  <c r="BU442" i="5"/>
  <c r="BZ442" i="5"/>
  <c r="BV442" i="5"/>
  <c r="BW442" i="5"/>
  <c r="BS442" i="5"/>
  <c r="BT442" i="5"/>
  <c r="BR442" i="5"/>
  <c r="BQ442" i="5"/>
  <c r="BM442" i="5"/>
  <c r="BL442" i="5"/>
  <c r="BK442" i="5"/>
  <c r="BJ442" i="5"/>
  <c r="BI442" i="5"/>
  <c r="BH442" i="5"/>
  <c r="BF442" i="5"/>
  <c r="BG442" i="5"/>
  <c r="BD442" i="5"/>
  <c r="BE442" i="5"/>
  <c r="BA442" i="5"/>
  <c r="BP442" i="5" s="1"/>
  <c r="AZ442" i="5"/>
  <c r="AY442" i="5"/>
  <c r="AU442" i="5"/>
  <c r="BN442" i="5" s="1"/>
  <c r="AV442" i="5"/>
  <c r="BC442" i="5" s="1"/>
  <c r="CK515" i="5"/>
  <c r="CE515" i="5"/>
  <c r="CF515" i="5"/>
  <c r="CI515" i="5"/>
  <c r="CD515" i="5"/>
  <c r="CC515" i="5"/>
  <c r="BY515" i="5"/>
  <c r="CA515" i="5"/>
  <c r="BV515" i="5"/>
  <c r="BW515" i="5"/>
  <c r="BU515" i="5"/>
  <c r="BT515" i="5"/>
  <c r="BS515" i="5"/>
  <c r="BR515" i="5"/>
  <c r="BQ515" i="5"/>
  <c r="BM515" i="5"/>
  <c r="BK515" i="5"/>
  <c r="BI515" i="5"/>
  <c r="BJ515" i="5"/>
  <c r="BG515" i="5"/>
  <c r="BH515" i="5"/>
  <c r="BF515" i="5"/>
  <c r="BE515" i="5"/>
  <c r="BD515" i="5"/>
  <c r="BA515" i="5"/>
  <c r="BP515" i="5" s="1"/>
  <c r="AY515" i="5"/>
  <c r="AZ515" i="5"/>
  <c r="AU515" i="5"/>
  <c r="BB515" i="5" s="1"/>
  <c r="AV515" i="5"/>
  <c r="BC515" i="5" s="1"/>
  <c r="CK588" i="5"/>
  <c r="CJ588" i="5"/>
  <c r="CF588" i="5"/>
  <c r="CH588" i="5"/>
  <c r="CC588" i="5"/>
  <c r="CI588" i="5"/>
  <c r="CG588" i="5"/>
  <c r="CE588" i="5"/>
  <c r="CD588" i="5"/>
  <c r="CA588" i="5"/>
  <c r="BZ588" i="5"/>
  <c r="BY588" i="5"/>
  <c r="BX588" i="5"/>
  <c r="BW588" i="5"/>
  <c r="BV588" i="5"/>
  <c r="BU588" i="5"/>
  <c r="BT588" i="5"/>
  <c r="BS588" i="5"/>
  <c r="BQ588" i="5"/>
  <c r="BR588" i="5"/>
  <c r="BM588" i="5"/>
  <c r="BJ588" i="5"/>
  <c r="BL588" i="5"/>
  <c r="BK588" i="5"/>
  <c r="BI588" i="5"/>
  <c r="BH588" i="5"/>
  <c r="BF588" i="5"/>
  <c r="BG588" i="5"/>
  <c r="BE588" i="5"/>
  <c r="BD588" i="5"/>
  <c r="AZ588" i="5"/>
  <c r="AY588" i="5"/>
  <c r="BA588" i="5"/>
  <c r="BP588" i="5" s="1"/>
  <c r="AV588" i="5"/>
  <c r="BO588" i="5" s="1"/>
  <c r="AU588" i="5"/>
  <c r="BB588" i="5" s="1"/>
  <c r="CK661" i="5"/>
  <c r="CI661" i="5"/>
  <c r="CJ661" i="5"/>
  <c r="CE661" i="5"/>
  <c r="CD661" i="5"/>
  <c r="CH661" i="5"/>
  <c r="CG661" i="5"/>
  <c r="CF661" i="5"/>
  <c r="CC661" i="5"/>
  <c r="BX661" i="5"/>
  <c r="BZ661" i="5"/>
  <c r="BW661" i="5"/>
  <c r="CA661" i="5"/>
  <c r="BY661" i="5"/>
  <c r="BV661" i="5"/>
  <c r="BU661" i="5"/>
  <c r="BR661" i="5"/>
  <c r="BT661" i="5"/>
  <c r="BS661" i="5"/>
  <c r="BQ661" i="5"/>
  <c r="BM661" i="5"/>
  <c r="BL661" i="5"/>
  <c r="BK661" i="5"/>
  <c r="BJ661" i="5"/>
  <c r="BI661" i="5"/>
  <c r="BF661" i="5"/>
  <c r="BH661" i="5"/>
  <c r="BG661" i="5"/>
  <c r="BE661" i="5"/>
  <c r="BD661" i="5"/>
  <c r="BA661" i="5"/>
  <c r="BP661" i="5" s="1"/>
  <c r="AZ661" i="5"/>
  <c r="AY661" i="5"/>
  <c r="AV661" i="5"/>
  <c r="BO661" i="5" s="1"/>
  <c r="AU661" i="5"/>
  <c r="BB661" i="5" s="1"/>
  <c r="CJ734" i="5"/>
  <c r="CI734" i="5"/>
  <c r="CH734" i="5"/>
  <c r="CK734" i="5"/>
  <c r="CG734" i="5"/>
  <c r="CE734" i="5"/>
  <c r="CD734" i="5"/>
  <c r="CF734" i="5"/>
  <c r="CC734" i="5"/>
  <c r="CA734" i="5"/>
  <c r="BZ734" i="5"/>
  <c r="BY734" i="5"/>
  <c r="BU734" i="5"/>
  <c r="BW734" i="5"/>
  <c r="BX734" i="5"/>
  <c r="BV734" i="5"/>
  <c r="BS734" i="5"/>
  <c r="BR734" i="5"/>
  <c r="BT734" i="5"/>
  <c r="BQ734" i="5"/>
  <c r="BM734" i="5"/>
  <c r="BL734" i="5"/>
  <c r="BJ734" i="5"/>
  <c r="BI734" i="5"/>
  <c r="BK734" i="5"/>
  <c r="BH734" i="5"/>
  <c r="BG734" i="5"/>
  <c r="BE734" i="5"/>
  <c r="BD734" i="5"/>
  <c r="BF734" i="5"/>
  <c r="AV734" i="5"/>
  <c r="BC734" i="5" s="1"/>
  <c r="BA734" i="5"/>
  <c r="BP734" i="5" s="1"/>
  <c r="AZ734" i="5"/>
  <c r="AY734" i="5"/>
  <c r="AU734" i="5"/>
  <c r="BB734" i="5" s="1"/>
  <c r="CK807" i="5"/>
  <c r="CE807" i="5"/>
  <c r="CF807" i="5"/>
  <c r="CI807" i="5"/>
  <c r="CC807" i="5"/>
  <c r="CD807" i="5"/>
  <c r="CA807" i="5"/>
  <c r="BY807" i="5"/>
  <c r="BV807" i="5"/>
  <c r="BW807" i="5"/>
  <c r="BU807" i="5"/>
  <c r="BT807" i="5"/>
  <c r="BR807" i="5"/>
  <c r="BS807" i="5"/>
  <c r="BQ807" i="5"/>
  <c r="BI807" i="5"/>
  <c r="BM807" i="5"/>
  <c r="BK807" i="5"/>
  <c r="BJ807" i="5"/>
  <c r="BG807" i="5"/>
  <c r="BE807" i="5"/>
  <c r="BH807" i="5"/>
  <c r="BF807" i="5"/>
  <c r="BD807" i="5"/>
  <c r="AY807" i="5"/>
  <c r="BA807" i="5"/>
  <c r="BP807" i="5" s="1"/>
  <c r="AZ807" i="5"/>
  <c r="AU807" i="5"/>
  <c r="BN807" i="5" s="1"/>
  <c r="AV807" i="5"/>
  <c r="BO807" i="5" s="1"/>
  <c r="CI880" i="5"/>
  <c r="CF880" i="5"/>
  <c r="CK880" i="5"/>
  <c r="CD880" i="5"/>
  <c r="CE880" i="5"/>
  <c r="CC880" i="5"/>
  <c r="CA880" i="5"/>
  <c r="BW880" i="5"/>
  <c r="BY880" i="5"/>
  <c r="BV880" i="5"/>
  <c r="BU880" i="5"/>
  <c r="BT880" i="5"/>
  <c r="BR880" i="5"/>
  <c r="BS880" i="5"/>
  <c r="BQ880" i="5"/>
  <c r="BK880" i="5"/>
  <c r="BM880" i="5"/>
  <c r="BJ880" i="5"/>
  <c r="BI880" i="5"/>
  <c r="BH880" i="5"/>
  <c r="BG880" i="5"/>
  <c r="BF880" i="5"/>
  <c r="BE880" i="5"/>
  <c r="BD880" i="5"/>
  <c r="AZ880" i="5"/>
  <c r="AV880" i="5"/>
  <c r="BO880" i="5" s="1"/>
  <c r="AY880" i="5"/>
  <c r="BA880" i="5"/>
  <c r="BP880" i="5" s="1"/>
  <c r="AU880" i="5"/>
  <c r="BB880" i="5" s="1"/>
  <c r="CI954" i="5"/>
  <c r="CK954" i="5"/>
  <c r="CC954" i="5"/>
  <c r="CE954" i="5"/>
  <c r="CF954" i="5"/>
  <c r="CD954" i="5"/>
  <c r="CA954" i="5"/>
  <c r="BY954" i="5"/>
  <c r="BU954" i="5"/>
  <c r="BV954" i="5"/>
  <c r="BW954" i="5"/>
  <c r="BS954" i="5"/>
  <c r="BT954" i="5"/>
  <c r="BR954" i="5"/>
  <c r="BQ954" i="5"/>
  <c r="BM954" i="5"/>
  <c r="BJ954" i="5"/>
  <c r="BI954" i="5"/>
  <c r="BK954" i="5"/>
  <c r="BF954" i="5"/>
  <c r="BH954" i="5"/>
  <c r="BG954" i="5"/>
  <c r="BD954" i="5"/>
  <c r="BE954" i="5"/>
  <c r="BA954" i="5"/>
  <c r="BP954" i="5" s="1"/>
  <c r="AZ954" i="5"/>
  <c r="AY954" i="5"/>
  <c r="AU954" i="5"/>
  <c r="BN954" i="5" s="1"/>
  <c r="AV954" i="5"/>
  <c r="BO954" i="5" s="1"/>
  <c r="CE1027" i="5"/>
  <c r="CK1027" i="5"/>
  <c r="CG1027" i="5"/>
  <c r="CJ1027" i="5"/>
  <c r="CF1027" i="5"/>
  <c r="CI1027" i="5"/>
  <c r="CH1027" i="5"/>
  <c r="CD1027" i="5"/>
  <c r="BZ1027" i="5"/>
  <c r="BY1027" i="5"/>
  <c r="CC1027" i="5"/>
  <c r="CA1027" i="5"/>
  <c r="BV1027" i="5"/>
  <c r="BW1027" i="5"/>
  <c r="BX1027" i="5"/>
  <c r="BU1027" i="5"/>
  <c r="BT1027" i="5"/>
  <c r="BS1027" i="5"/>
  <c r="BR1027" i="5"/>
  <c r="BQ1027" i="5"/>
  <c r="BM1027" i="5"/>
  <c r="BL1027" i="5"/>
  <c r="BK1027" i="5"/>
  <c r="BJ1027" i="5"/>
  <c r="BI1027" i="5"/>
  <c r="BG1027" i="5"/>
  <c r="BH1027" i="5"/>
  <c r="BE1027" i="5"/>
  <c r="BD1027" i="5"/>
  <c r="BF1027" i="5"/>
  <c r="AY1027" i="5"/>
  <c r="BA1027" i="5"/>
  <c r="BP1027" i="5" s="1"/>
  <c r="AZ1027" i="5"/>
  <c r="AU1027" i="5"/>
  <c r="BN1027" i="5" s="1"/>
  <c r="AV1027" i="5"/>
  <c r="BO1027" i="5" s="1"/>
  <c r="CK1100" i="5"/>
  <c r="CF1100" i="5"/>
  <c r="CI1100" i="5"/>
  <c r="CE1100" i="5"/>
  <c r="CA1100" i="5"/>
  <c r="CD1100" i="5"/>
  <c r="CC1100" i="5"/>
  <c r="BY1100" i="5"/>
  <c r="BW1100" i="5"/>
  <c r="BV1100" i="5"/>
  <c r="BU1100" i="5"/>
  <c r="BT1100" i="5"/>
  <c r="BS1100" i="5"/>
  <c r="BR1100" i="5"/>
  <c r="BQ1100" i="5"/>
  <c r="BM1100" i="5"/>
  <c r="BJ1100" i="5"/>
  <c r="BK1100" i="5"/>
  <c r="BI1100" i="5"/>
  <c r="BH1100" i="5"/>
  <c r="BF1100" i="5"/>
  <c r="BG1100" i="5"/>
  <c r="BE1100" i="5"/>
  <c r="BD1100" i="5"/>
  <c r="AZ1100" i="5"/>
  <c r="AY1100" i="5"/>
  <c r="BA1100" i="5"/>
  <c r="BP1100" i="5" s="1"/>
  <c r="AV1100" i="5"/>
  <c r="BO1100" i="5" s="1"/>
  <c r="AU1100" i="5"/>
  <c r="BN1100" i="5" s="1"/>
  <c r="CI1173" i="5"/>
  <c r="CK1173" i="5"/>
  <c r="CE1173" i="5"/>
  <c r="CD1173" i="5"/>
  <c r="CF1173" i="5"/>
  <c r="CC1173" i="5"/>
  <c r="BW1173" i="5"/>
  <c r="CA1173" i="5"/>
  <c r="BY1173" i="5"/>
  <c r="BV1173" i="5"/>
  <c r="BU1173" i="5"/>
  <c r="BT1173" i="5"/>
  <c r="BQ1173" i="5"/>
  <c r="BS1173" i="5"/>
  <c r="BR1173" i="5"/>
  <c r="BM1173" i="5"/>
  <c r="BK1173" i="5"/>
  <c r="BI1173" i="5"/>
  <c r="BJ1173" i="5"/>
  <c r="BH1173" i="5"/>
  <c r="BG1173" i="5"/>
  <c r="BF1173" i="5"/>
  <c r="BE1173" i="5"/>
  <c r="BD1173" i="5"/>
  <c r="BA1173" i="5"/>
  <c r="BP1173" i="5" s="1"/>
  <c r="AZ1173" i="5"/>
  <c r="AY1173" i="5"/>
  <c r="AU1173" i="5"/>
  <c r="BB1173" i="5" s="1"/>
  <c r="AV1173" i="5"/>
  <c r="BC1173" i="5" s="1"/>
  <c r="CI1246" i="5"/>
  <c r="CK1246" i="5"/>
  <c r="CH1246" i="5"/>
  <c r="CG1246" i="5"/>
  <c r="CJ1246" i="5"/>
  <c r="CC1246" i="5"/>
  <c r="CE1246" i="5"/>
  <c r="CD1246" i="5"/>
  <c r="CF1246" i="5"/>
  <c r="CA1246" i="5"/>
  <c r="BY1246" i="5"/>
  <c r="BZ1246" i="5"/>
  <c r="BW1246" i="5"/>
  <c r="BX1246" i="5"/>
  <c r="BU1246" i="5"/>
  <c r="BV1246" i="5"/>
  <c r="BS1246" i="5"/>
  <c r="BR1246" i="5"/>
  <c r="BT1246" i="5"/>
  <c r="BQ1246" i="5"/>
  <c r="BL1246" i="5"/>
  <c r="BM1246" i="5"/>
  <c r="BI1246" i="5"/>
  <c r="BK1246" i="5"/>
  <c r="BJ1246" i="5"/>
  <c r="BH1246" i="5"/>
  <c r="BG1246" i="5"/>
  <c r="BF1246" i="5"/>
  <c r="BE1246" i="5"/>
  <c r="BD1246" i="5"/>
  <c r="AV1246" i="5"/>
  <c r="BC1246" i="5" s="1"/>
  <c r="BA1246" i="5"/>
  <c r="BP1246" i="5" s="1"/>
  <c r="AZ1246" i="5"/>
  <c r="AY1246" i="5"/>
  <c r="AU1246" i="5"/>
  <c r="BN1246" i="5" s="1"/>
  <c r="CJ1317" i="5"/>
  <c r="CK1317" i="5"/>
  <c r="CI1317" i="5"/>
  <c r="CH1317" i="5"/>
  <c r="CD1317" i="5"/>
  <c r="CF1317" i="5"/>
  <c r="CG1317" i="5"/>
  <c r="CE1317" i="5"/>
  <c r="CC1317" i="5"/>
  <c r="BW1317" i="5"/>
  <c r="CA1317" i="5"/>
  <c r="BX1317" i="5"/>
  <c r="BZ1317" i="5"/>
  <c r="BY1317" i="5"/>
  <c r="BV1317" i="5"/>
  <c r="BU1317" i="5"/>
  <c r="BT1317" i="5"/>
  <c r="BQ1317" i="5"/>
  <c r="BS1317" i="5"/>
  <c r="BR1317" i="5"/>
  <c r="BM1317" i="5"/>
  <c r="BL1317" i="5"/>
  <c r="BK1317" i="5"/>
  <c r="BJ1317" i="5"/>
  <c r="BI1317" i="5"/>
  <c r="BH1317" i="5"/>
  <c r="BG1317" i="5"/>
  <c r="BD1317" i="5"/>
  <c r="BF1317" i="5"/>
  <c r="BE1317" i="5"/>
  <c r="BA1317" i="5"/>
  <c r="BP1317" i="5" s="1"/>
  <c r="AU1317" i="5"/>
  <c r="BB1317" i="5" s="1"/>
  <c r="AZ1317" i="5"/>
  <c r="AY1317" i="5"/>
  <c r="AV1317" i="5"/>
  <c r="BO1317" i="5" s="1"/>
  <c r="CK59" i="5"/>
  <c r="CI59" i="5"/>
  <c r="CE59" i="5"/>
  <c r="CF59" i="5"/>
  <c r="CC59" i="5"/>
  <c r="CD59" i="5"/>
  <c r="CA59" i="5"/>
  <c r="BW59" i="5"/>
  <c r="BV59" i="5"/>
  <c r="BY59" i="5"/>
  <c r="BU59" i="5"/>
  <c r="BT59" i="5"/>
  <c r="BS59" i="5"/>
  <c r="BR59" i="5"/>
  <c r="BQ59" i="5"/>
  <c r="BK59" i="5"/>
  <c r="BM59" i="5"/>
  <c r="BI59" i="5"/>
  <c r="BJ59" i="5"/>
  <c r="BG59" i="5"/>
  <c r="BH59" i="5"/>
  <c r="BF59" i="5"/>
  <c r="BE59" i="5"/>
  <c r="BD59" i="5"/>
  <c r="BA59" i="5"/>
  <c r="BP59" i="5" s="1"/>
  <c r="AY59" i="5"/>
  <c r="AU59" i="5"/>
  <c r="BN59" i="5" s="1"/>
  <c r="AZ59" i="5"/>
  <c r="AV59" i="5"/>
  <c r="BO59" i="5" s="1"/>
  <c r="CK132" i="5"/>
  <c r="CH132" i="5"/>
  <c r="CF132" i="5"/>
  <c r="CI132" i="5"/>
  <c r="CJ132" i="5"/>
  <c r="CG132" i="5"/>
  <c r="CD132" i="5"/>
  <c r="CC132" i="5"/>
  <c r="CE132" i="5"/>
  <c r="CA132" i="5"/>
  <c r="BZ132" i="5"/>
  <c r="BY132" i="5"/>
  <c r="BV132" i="5"/>
  <c r="BX132" i="5"/>
  <c r="BW132" i="5"/>
  <c r="BU132" i="5"/>
  <c r="BT132" i="5"/>
  <c r="BS132" i="5"/>
  <c r="BQ132" i="5"/>
  <c r="BR132" i="5"/>
  <c r="BL132" i="5"/>
  <c r="BM132" i="5"/>
  <c r="BJ132" i="5"/>
  <c r="BK132" i="5"/>
  <c r="BI132" i="5"/>
  <c r="BH132" i="5"/>
  <c r="BG132" i="5"/>
  <c r="BF132" i="5"/>
  <c r="BE132" i="5"/>
  <c r="BD132" i="5"/>
  <c r="AZ132" i="5"/>
  <c r="BA132" i="5"/>
  <c r="BP132" i="5" s="1"/>
  <c r="AY132" i="5"/>
  <c r="AU132" i="5"/>
  <c r="BN132" i="5" s="1"/>
  <c r="AV132" i="5"/>
  <c r="BO132" i="5" s="1"/>
  <c r="CJ205" i="5"/>
  <c r="CK205" i="5"/>
  <c r="CI205" i="5"/>
  <c r="CF205" i="5"/>
  <c r="CE205" i="5"/>
  <c r="CD205" i="5"/>
  <c r="CH205" i="5"/>
  <c r="CG205" i="5"/>
  <c r="CC205" i="5"/>
  <c r="CA205" i="5"/>
  <c r="BZ205" i="5"/>
  <c r="BY205" i="5"/>
  <c r="BW205" i="5"/>
  <c r="BX205" i="5"/>
  <c r="BT205" i="5"/>
  <c r="BV205" i="5"/>
  <c r="BU205" i="5"/>
  <c r="BR205" i="5"/>
  <c r="BS205" i="5"/>
  <c r="BQ205" i="5"/>
  <c r="BM205" i="5"/>
  <c r="BL205" i="5"/>
  <c r="BK205" i="5"/>
  <c r="BJ205" i="5"/>
  <c r="BI205" i="5"/>
  <c r="BH205" i="5"/>
  <c r="BG205" i="5"/>
  <c r="BF205" i="5"/>
  <c r="BE205" i="5"/>
  <c r="BD205" i="5"/>
  <c r="BA205" i="5"/>
  <c r="BP205" i="5" s="1"/>
  <c r="AZ205" i="5"/>
  <c r="AY205" i="5"/>
  <c r="AV205" i="5"/>
  <c r="BO205" i="5" s="1"/>
  <c r="AU205" i="5"/>
  <c r="BB205" i="5" s="1"/>
  <c r="CJ278" i="5"/>
  <c r="CK278" i="5"/>
  <c r="CI278" i="5"/>
  <c r="CD278" i="5"/>
  <c r="CH278" i="5"/>
  <c r="CG278" i="5"/>
  <c r="CE278" i="5"/>
  <c r="CC278" i="5"/>
  <c r="CF278" i="5"/>
  <c r="BY278" i="5"/>
  <c r="BZ278" i="5"/>
  <c r="CA278" i="5"/>
  <c r="BX278" i="5"/>
  <c r="BW278" i="5"/>
  <c r="BV278" i="5"/>
  <c r="BU278" i="5"/>
  <c r="BS278" i="5"/>
  <c r="BT278" i="5"/>
  <c r="BQ278" i="5"/>
  <c r="BR278" i="5"/>
  <c r="BM278" i="5"/>
  <c r="BL278" i="5"/>
  <c r="BK278" i="5"/>
  <c r="BJ278" i="5"/>
  <c r="BI278" i="5"/>
  <c r="BF278" i="5"/>
  <c r="BH278" i="5"/>
  <c r="BG278" i="5"/>
  <c r="BD278" i="5"/>
  <c r="BE278" i="5"/>
  <c r="BA278" i="5"/>
  <c r="BP278" i="5" s="1"/>
  <c r="AZ278" i="5"/>
  <c r="AY278" i="5"/>
  <c r="AV278" i="5"/>
  <c r="BC278" i="5" s="1"/>
  <c r="AU278" i="5"/>
  <c r="BN278" i="5" s="1"/>
  <c r="CJ351" i="5"/>
  <c r="CG351" i="5"/>
  <c r="CE351" i="5"/>
  <c r="CH351" i="5"/>
  <c r="CK351" i="5"/>
  <c r="CI351" i="5"/>
  <c r="CF351" i="5"/>
  <c r="CD351" i="5"/>
  <c r="BZ351" i="5"/>
  <c r="CC351" i="5"/>
  <c r="CA351" i="5"/>
  <c r="BY351" i="5"/>
  <c r="BX351" i="5"/>
  <c r="BW351" i="5"/>
  <c r="BV351" i="5"/>
  <c r="BU351" i="5"/>
  <c r="BT351" i="5"/>
  <c r="BS351" i="5"/>
  <c r="BR351" i="5"/>
  <c r="BQ351" i="5"/>
  <c r="BK351" i="5"/>
  <c r="BI351" i="5"/>
  <c r="BM351" i="5"/>
  <c r="BL351" i="5"/>
  <c r="BH351" i="5"/>
  <c r="BJ351" i="5"/>
  <c r="BG351" i="5"/>
  <c r="BE351" i="5"/>
  <c r="BF351" i="5"/>
  <c r="BD351" i="5"/>
  <c r="BA351" i="5"/>
  <c r="BP351" i="5" s="1"/>
  <c r="AY351" i="5"/>
  <c r="AZ351" i="5"/>
  <c r="AV351" i="5"/>
  <c r="BO351" i="5" s="1"/>
  <c r="AU351" i="5"/>
  <c r="BN351" i="5" s="1"/>
  <c r="CH424" i="5"/>
  <c r="CF424" i="5"/>
  <c r="CJ424" i="5"/>
  <c r="CK424" i="5"/>
  <c r="CI424" i="5"/>
  <c r="CE424" i="5"/>
  <c r="CC424" i="5"/>
  <c r="CG424" i="5"/>
  <c r="CD424" i="5"/>
  <c r="CA424" i="5"/>
  <c r="BZ424" i="5"/>
  <c r="BY424" i="5"/>
  <c r="BV424" i="5"/>
  <c r="BX424" i="5"/>
  <c r="BW424" i="5"/>
  <c r="BU424" i="5"/>
  <c r="BS424" i="5"/>
  <c r="BR424" i="5"/>
  <c r="BT424" i="5"/>
  <c r="BQ424" i="5"/>
  <c r="BL424" i="5"/>
  <c r="BK424" i="5"/>
  <c r="BM424" i="5"/>
  <c r="BJ424" i="5"/>
  <c r="BH424" i="5"/>
  <c r="BI424" i="5"/>
  <c r="BG424" i="5"/>
  <c r="BF424" i="5"/>
  <c r="BE424" i="5"/>
  <c r="BD424" i="5"/>
  <c r="BA424" i="5"/>
  <c r="BP424" i="5" s="1"/>
  <c r="AZ424" i="5"/>
  <c r="AV424" i="5"/>
  <c r="BO424" i="5" s="1"/>
  <c r="AY424" i="5"/>
  <c r="AU424" i="5"/>
  <c r="BN424" i="5" s="1"/>
  <c r="CK498" i="5"/>
  <c r="CJ498" i="5"/>
  <c r="CI498" i="5"/>
  <c r="CH498" i="5"/>
  <c r="CG498" i="5"/>
  <c r="CD498" i="5"/>
  <c r="CF498" i="5"/>
  <c r="CE498" i="5"/>
  <c r="CC498" i="5"/>
  <c r="BY498" i="5"/>
  <c r="CA498" i="5"/>
  <c r="BZ498" i="5"/>
  <c r="BU498" i="5"/>
  <c r="BX498" i="5"/>
  <c r="BV498" i="5"/>
  <c r="BW498" i="5"/>
  <c r="BS498" i="5"/>
  <c r="BT498" i="5"/>
  <c r="BR498" i="5"/>
  <c r="BQ498" i="5"/>
  <c r="BM498" i="5"/>
  <c r="BL498" i="5"/>
  <c r="BK498" i="5"/>
  <c r="BJ498" i="5"/>
  <c r="BI498" i="5"/>
  <c r="BF498" i="5"/>
  <c r="BG498" i="5"/>
  <c r="BH498" i="5"/>
  <c r="BE498" i="5"/>
  <c r="BD498" i="5"/>
  <c r="BA498" i="5"/>
  <c r="BP498" i="5" s="1"/>
  <c r="AZ498" i="5"/>
  <c r="AY498" i="5"/>
  <c r="AU498" i="5"/>
  <c r="BN498" i="5" s="1"/>
  <c r="AV498" i="5"/>
  <c r="BO498" i="5" s="1"/>
  <c r="CK571" i="5"/>
  <c r="CH571" i="5"/>
  <c r="CI571" i="5"/>
  <c r="CE571" i="5"/>
  <c r="CJ571" i="5"/>
  <c r="CF571" i="5"/>
  <c r="CG571" i="5"/>
  <c r="CD571" i="5"/>
  <c r="CC571" i="5"/>
  <c r="BZ571" i="5"/>
  <c r="CA571" i="5"/>
  <c r="BX571" i="5"/>
  <c r="BW571" i="5"/>
  <c r="BY571" i="5"/>
  <c r="BV571" i="5"/>
  <c r="BU571" i="5"/>
  <c r="BT571" i="5"/>
  <c r="BS571" i="5"/>
  <c r="BR571" i="5"/>
  <c r="BQ571" i="5"/>
  <c r="BL571" i="5"/>
  <c r="BM571" i="5"/>
  <c r="BK571" i="5"/>
  <c r="BI571" i="5"/>
  <c r="BJ571" i="5"/>
  <c r="BG571" i="5"/>
  <c r="BF571" i="5"/>
  <c r="BH571" i="5"/>
  <c r="BE571" i="5"/>
  <c r="BD571" i="5"/>
  <c r="AY571" i="5"/>
  <c r="AU571" i="5"/>
  <c r="BB571" i="5" s="1"/>
  <c r="BA571" i="5"/>
  <c r="BP571" i="5" s="1"/>
  <c r="AZ571" i="5"/>
  <c r="AV571" i="5"/>
  <c r="BO571" i="5" s="1"/>
  <c r="CK644" i="5"/>
  <c r="CH644" i="5"/>
  <c r="CF644" i="5"/>
  <c r="CG644" i="5"/>
  <c r="CJ644" i="5"/>
  <c r="CI644" i="5"/>
  <c r="CC644" i="5"/>
  <c r="CE644" i="5"/>
  <c r="CD644" i="5"/>
  <c r="CA644" i="5"/>
  <c r="BZ644" i="5"/>
  <c r="BY644" i="5"/>
  <c r="BX644" i="5"/>
  <c r="BW644" i="5"/>
  <c r="BV644" i="5"/>
  <c r="BU644" i="5"/>
  <c r="BT644" i="5"/>
  <c r="BS644" i="5"/>
  <c r="BQ644" i="5"/>
  <c r="BR644" i="5"/>
  <c r="BL644" i="5"/>
  <c r="BM644" i="5"/>
  <c r="BJ644" i="5"/>
  <c r="BK644" i="5"/>
  <c r="BI644" i="5"/>
  <c r="BH644" i="5"/>
  <c r="BG644" i="5"/>
  <c r="BF644" i="5"/>
  <c r="BD644" i="5"/>
  <c r="BE644" i="5"/>
  <c r="AZ644" i="5"/>
  <c r="AY644" i="5"/>
  <c r="BA644" i="5"/>
  <c r="BP644" i="5" s="1"/>
  <c r="AU644" i="5"/>
  <c r="BN644" i="5" s="1"/>
  <c r="AV644" i="5"/>
  <c r="BO644" i="5" s="1"/>
  <c r="CK717" i="5"/>
  <c r="CJ717" i="5"/>
  <c r="CH717" i="5"/>
  <c r="CG717" i="5"/>
  <c r="CI717" i="5"/>
  <c r="CF717" i="5"/>
  <c r="CE717" i="5"/>
  <c r="CD717" i="5"/>
  <c r="CC717" i="5"/>
  <c r="CA717" i="5"/>
  <c r="BZ717" i="5"/>
  <c r="BX717" i="5"/>
  <c r="BW717" i="5"/>
  <c r="BY717" i="5"/>
  <c r="BV717" i="5"/>
  <c r="BU717" i="5"/>
  <c r="BR717" i="5"/>
  <c r="BT717" i="5"/>
  <c r="BS717" i="5"/>
  <c r="BQ717" i="5"/>
  <c r="BM717" i="5"/>
  <c r="BL717" i="5"/>
  <c r="BK717" i="5"/>
  <c r="BJ717" i="5"/>
  <c r="BI717" i="5"/>
  <c r="BH717" i="5"/>
  <c r="BG717" i="5"/>
  <c r="BF717" i="5"/>
  <c r="BE717" i="5"/>
  <c r="BD717" i="5"/>
  <c r="BA717" i="5"/>
  <c r="BP717" i="5" s="1"/>
  <c r="AZ717" i="5"/>
  <c r="AY717" i="5"/>
  <c r="AV717" i="5"/>
  <c r="BO717" i="5" s="1"/>
  <c r="AU717" i="5"/>
  <c r="BB717" i="5" s="1"/>
  <c r="CK790" i="5"/>
  <c r="CI790" i="5"/>
  <c r="CJ790" i="5"/>
  <c r="CH790" i="5"/>
  <c r="CG790" i="5"/>
  <c r="CC790" i="5"/>
  <c r="CE790" i="5"/>
  <c r="CD790" i="5"/>
  <c r="CF790" i="5"/>
  <c r="BX790" i="5"/>
  <c r="CA790" i="5"/>
  <c r="BZ790" i="5"/>
  <c r="BY790" i="5"/>
  <c r="BW790" i="5"/>
  <c r="BU790" i="5"/>
  <c r="BV790" i="5"/>
  <c r="BS790" i="5"/>
  <c r="BT790" i="5"/>
  <c r="BQ790" i="5"/>
  <c r="BR790" i="5"/>
  <c r="BL790" i="5"/>
  <c r="BM790" i="5"/>
  <c r="BK790" i="5"/>
  <c r="BJ790" i="5"/>
  <c r="BI790" i="5"/>
  <c r="BH790" i="5"/>
  <c r="BG790" i="5"/>
  <c r="BF790" i="5"/>
  <c r="BE790" i="5"/>
  <c r="BD790" i="5"/>
  <c r="BA790" i="5"/>
  <c r="BP790" i="5" s="1"/>
  <c r="AZ790" i="5"/>
  <c r="AY790" i="5"/>
  <c r="AV790" i="5"/>
  <c r="BC790" i="5" s="1"/>
  <c r="AU790" i="5"/>
  <c r="BN790" i="5" s="1"/>
  <c r="CK863" i="5"/>
  <c r="CE863" i="5"/>
  <c r="CI863" i="5"/>
  <c r="CF863" i="5"/>
  <c r="CD863" i="5"/>
  <c r="CC863" i="5"/>
  <c r="BY863" i="5"/>
  <c r="CA863" i="5"/>
  <c r="BV863" i="5"/>
  <c r="BW863" i="5"/>
  <c r="BU863" i="5"/>
  <c r="BT863" i="5"/>
  <c r="BR863" i="5"/>
  <c r="BQ863" i="5"/>
  <c r="BS863" i="5"/>
  <c r="BI863" i="5"/>
  <c r="BM863" i="5"/>
  <c r="BJ863" i="5"/>
  <c r="BK863" i="5"/>
  <c r="BG863" i="5"/>
  <c r="BE863" i="5"/>
  <c r="BH863" i="5"/>
  <c r="BD863" i="5"/>
  <c r="BF863" i="5"/>
  <c r="AY863" i="5"/>
  <c r="BA863" i="5"/>
  <c r="BP863" i="5" s="1"/>
  <c r="AZ863" i="5"/>
  <c r="AV863" i="5"/>
  <c r="BO863" i="5" s="1"/>
  <c r="AU863" i="5"/>
  <c r="BB863" i="5" s="1"/>
  <c r="CK936" i="5"/>
  <c r="CF936" i="5"/>
  <c r="CI936" i="5"/>
  <c r="CE936" i="5"/>
  <c r="CD936" i="5"/>
  <c r="CA936" i="5"/>
  <c r="CC936" i="5"/>
  <c r="BY936" i="5"/>
  <c r="BW936" i="5"/>
  <c r="BU936" i="5"/>
  <c r="BV936" i="5"/>
  <c r="BT936" i="5"/>
  <c r="BS936" i="5"/>
  <c r="BR936" i="5"/>
  <c r="BQ936" i="5"/>
  <c r="BK936" i="5"/>
  <c r="BM936" i="5"/>
  <c r="BJ936" i="5"/>
  <c r="BH936" i="5"/>
  <c r="BI936" i="5"/>
  <c r="BG936" i="5"/>
  <c r="BF936" i="5"/>
  <c r="BE936" i="5"/>
  <c r="BD936" i="5"/>
  <c r="AZ936" i="5"/>
  <c r="AV936" i="5"/>
  <c r="BC936" i="5" s="1"/>
  <c r="AY936" i="5"/>
  <c r="BA936" i="5"/>
  <c r="BP936" i="5" s="1"/>
  <c r="AU936" i="5"/>
  <c r="BN936" i="5" s="1"/>
  <c r="CK1010" i="5"/>
  <c r="CI1010" i="5"/>
  <c r="CF1010" i="5"/>
  <c r="CE1010" i="5"/>
  <c r="CC1010" i="5"/>
  <c r="CD1010" i="5"/>
  <c r="CA1010" i="5"/>
  <c r="BY1010" i="5"/>
  <c r="BU1010" i="5"/>
  <c r="BW1010" i="5"/>
  <c r="BS1010" i="5"/>
  <c r="BV1010" i="5"/>
  <c r="BT1010" i="5"/>
  <c r="BR1010" i="5"/>
  <c r="BQ1010" i="5"/>
  <c r="BM1010" i="5"/>
  <c r="BK1010" i="5"/>
  <c r="BI1010" i="5"/>
  <c r="BJ1010" i="5"/>
  <c r="BH1010" i="5"/>
  <c r="BG1010" i="5"/>
  <c r="BF1010" i="5"/>
  <c r="BE1010" i="5"/>
  <c r="BD1010" i="5"/>
  <c r="BA1010" i="5"/>
  <c r="BP1010" i="5" s="1"/>
  <c r="AZ1010" i="5"/>
  <c r="AY1010" i="5"/>
  <c r="AU1010" i="5"/>
  <c r="BN1010" i="5" s="1"/>
  <c r="AV1010" i="5"/>
  <c r="BC1010" i="5" s="1"/>
  <c r="CK1083" i="5"/>
  <c r="CI1083" i="5"/>
  <c r="CE1083" i="5"/>
  <c r="CF1083" i="5"/>
  <c r="CD1083" i="5"/>
  <c r="CC1083" i="5"/>
  <c r="BY1083" i="5"/>
  <c r="CA1083" i="5"/>
  <c r="BW1083" i="5"/>
  <c r="BV1083" i="5"/>
  <c r="BU1083" i="5"/>
  <c r="BT1083" i="5"/>
  <c r="BR1083" i="5"/>
  <c r="BQ1083" i="5"/>
  <c r="BS1083" i="5"/>
  <c r="BM1083" i="5"/>
  <c r="BI1083" i="5"/>
  <c r="BK1083" i="5"/>
  <c r="BJ1083" i="5"/>
  <c r="BG1083" i="5"/>
  <c r="BH1083" i="5"/>
  <c r="BE1083" i="5"/>
  <c r="BD1083" i="5"/>
  <c r="BF1083" i="5"/>
  <c r="AY1083" i="5"/>
  <c r="AU1083" i="5"/>
  <c r="BB1083" i="5" s="1"/>
  <c r="BA1083" i="5"/>
  <c r="BP1083" i="5" s="1"/>
  <c r="AZ1083" i="5"/>
  <c r="AV1083" i="5"/>
  <c r="BO1083" i="5" s="1"/>
  <c r="CK1156" i="5"/>
  <c r="CF1156" i="5"/>
  <c r="CI1156" i="5"/>
  <c r="CE1156" i="5"/>
  <c r="CD1156" i="5"/>
  <c r="CA1156" i="5"/>
  <c r="CC1156" i="5"/>
  <c r="BY1156" i="5"/>
  <c r="BW1156" i="5"/>
  <c r="BV1156" i="5"/>
  <c r="BU1156" i="5"/>
  <c r="BT1156" i="5"/>
  <c r="BR1156" i="5"/>
  <c r="BQ1156" i="5"/>
  <c r="BS1156" i="5"/>
  <c r="BM1156" i="5"/>
  <c r="BJ1156" i="5"/>
  <c r="BK1156" i="5"/>
  <c r="BI1156" i="5"/>
  <c r="BH1156" i="5"/>
  <c r="BG1156" i="5"/>
  <c r="BF1156" i="5"/>
  <c r="BD1156" i="5"/>
  <c r="BE1156" i="5"/>
  <c r="AZ1156" i="5"/>
  <c r="AY1156" i="5"/>
  <c r="BA1156" i="5"/>
  <c r="BP1156" i="5" s="1"/>
  <c r="AU1156" i="5"/>
  <c r="BN1156" i="5" s="1"/>
  <c r="AV1156" i="5"/>
  <c r="BO1156" i="5" s="1"/>
  <c r="CK1229" i="5"/>
  <c r="CI1229" i="5"/>
  <c r="CF1229" i="5"/>
  <c r="CE1229" i="5"/>
  <c r="CD1229" i="5"/>
  <c r="CC1229" i="5"/>
  <c r="CA1229" i="5"/>
  <c r="BW1229" i="5"/>
  <c r="BY1229" i="5"/>
  <c r="BV1229" i="5"/>
  <c r="BU1229" i="5"/>
  <c r="BT1229" i="5"/>
  <c r="BS1229" i="5"/>
  <c r="BQ1229" i="5"/>
  <c r="BR1229" i="5"/>
  <c r="BM1229" i="5"/>
  <c r="BK1229" i="5"/>
  <c r="BJ1229" i="5"/>
  <c r="BI1229" i="5"/>
  <c r="BH1229" i="5"/>
  <c r="BG1229" i="5"/>
  <c r="BF1229" i="5"/>
  <c r="BE1229" i="5"/>
  <c r="BD1229" i="5"/>
  <c r="BA1229" i="5"/>
  <c r="BP1229" i="5" s="1"/>
  <c r="AU1229" i="5"/>
  <c r="BB1229" i="5" s="1"/>
  <c r="AZ1229" i="5"/>
  <c r="AY1229" i="5"/>
  <c r="AV1229" i="5"/>
  <c r="BO1229" i="5" s="1"/>
  <c r="CI1302" i="5"/>
  <c r="CK1302" i="5"/>
  <c r="CC1302" i="5"/>
  <c r="CE1302" i="5"/>
  <c r="CD1302" i="5"/>
  <c r="CF1302" i="5"/>
  <c r="CA1302" i="5"/>
  <c r="BY1302" i="5"/>
  <c r="BW1302" i="5"/>
  <c r="BU1302" i="5"/>
  <c r="BV1302" i="5"/>
  <c r="BS1302" i="5"/>
  <c r="BR1302" i="5"/>
  <c r="BT1302" i="5"/>
  <c r="BQ1302" i="5"/>
  <c r="BM1302" i="5"/>
  <c r="BI1302" i="5"/>
  <c r="BK1302" i="5"/>
  <c r="BJ1302" i="5"/>
  <c r="BH1302" i="5"/>
  <c r="BG1302" i="5"/>
  <c r="BF1302" i="5"/>
  <c r="BE1302" i="5"/>
  <c r="BD1302" i="5"/>
  <c r="BA1302" i="5"/>
  <c r="BP1302" i="5" s="1"/>
  <c r="AZ1302" i="5"/>
  <c r="AY1302" i="5"/>
  <c r="AV1302" i="5"/>
  <c r="BO1302" i="5" s="1"/>
  <c r="AU1302" i="5"/>
  <c r="BB1302" i="5" s="1"/>
  <c r="CK17" i="5"/>
  <c r="CI17" i="5"/>
  <c r="CG17" i="5"/>
  <c r="CF17" i="5"/>
  <c r="CD17" i="5"/>
  <c r="CC17" i="5"/>
  <c r="CE17" i="5"/>
  <c r="CA17" i="5"/>
  <c r="BY17" i="5"/>
  <c r="BW17" i="5"/>
  <c r="BV17" i="5"/>
  <c r="BT17" i="5"/>
  <c r="BU17" i="5"/>
  <c r="BR17" i="5"/>
  <c r="BS17" i="5"/>
  <c r="BQ17" i="5"/>
  <c r="BM17" i="5"/>
  <c r="BK17" i="5"/>
  <c r="BJ17" i="5"/>
  <c r="BI17" i="5"/>
  <c r="BH17" i="5"/>
  <c r="BF17" i="5"/>
  <c r="BG17" i="5"/>
  <c r="BE17" i="5"/>
  <c r="BD17" i="5"/>
  <c r="BA17" i="5"/>
  <c r="BP17" i="5" s="1"/>
  <c r="AZ17" i="5"/>
  <c r="AY17" i="5"/>
  <c r="AU17" i="5"/>
  <c r="BN17" i="5" s="1"/>
  <c r="AV17" i="5"/>
  <c r="BO17" i="5" s="1"/>
  <c r="CK49" i="5"/>
  <c r="CE49" i="5"/>
  <c r="CI49" i="5"/>
  <c r="CC49" i="5"/>
  <c r="CF49" i="5"/>
  <c r="CD49" i="5"/>
  <c r="CA49" i="5"/>
  <c r="BW49" i="5"/>
  <c r="BY49" i="5"/>
  <c r="BV49" i="5"/>
  <c r="BT49" i="5"/>
  <c r="BU49" i="5"/>
  <c r="BR49" i="5"/>
  <c r="BS49" i="5"/>
  <c r="BQ49" i="5"/>
  <c r="BM49" i="5"/>
  <c r="BK49" i="5"/>
  <c r="BJ49" i="5"/>
  <c r="BI49" i="5"/>
  <c r="BH49" i="5"/>
  <c r="BF49" i="5"/>
  <c r="BG49" i="5"/>
  <c r="BE49" i="5"/>
  <c r="BD49" i="5"/>
  <c r="BA49" i="5"/>
  <c r="BP49" i="5" s="1"/>
  <c r="AZ49" i="5"/>
  <c r="AY49" i="5"/>
  <c r="AU49" i="5"/>
  <c r="BN49" i="5" s="1"/>
  <c r="AV49" i="5"/>
  <c r="BC49" i="5" s="1"/>
  <c r="CK81" i="5"/>
  <c r="CI81" i="5"/>
  <c r="CD81" i="5"/>
  <c r="CF81" i="5"/>
  <c r="CC81" i="5"/>
  <c r="CE81" i="5"/>
  <c r="BY81" i="5"/>
  <c r="CA81" i="5"/>
  <c r="BW81" i="5"/>
  <c r="BV81" i="5"/>
  <c r="BT81" i="5"/>
  <c r="BU81" i="5"/>
  <c r="BR81" i="5"/>
  <c r="BS81" i="5"/>
  <c r="BQ81" i="5"/>
  <c r="BM81" i="5"/>
  <c r="BK81" i="5"/>
  <c r="BJ81" i="5"/>
  <c r="BI81" i="5"/>
  <c r="BH81" i="5"/>
  <c r="BF81" i="5"/>
  <c r="BG81" i="5"/>
  <c r="BE81" i="5"/>
  <c r="BD81" i="5"/>
  <c r="BA81" i="5"/>
  <c r="BP81" i="5" s="1"/>
  <c r="AZ81" i="5"/>
  <c r="AY81" i="5"/>
  <c r="AU81" i="5"/>
  <c r="BN81" i="5" s="1"/>
  <c r="AV81" i="5"/>
  <c r="BO81" i="5" s="1"/>
  <c r="CH113" i="5"/>
  <c r="CG113" i="5"/>
  <c r="CJ113" i="5"/>
  <c r="CI113" i="5"/>
  <c r="CK113" i="5"/>
  <c r="CE113" i="5"/>
  <c r="CC113" i="5"/>
  <c r="CF113" i="5"/>
  <c r="CD113" i="5"/>
  <c r="BX113" i="5"/>
  <c r="CA113" i="5"/>
  <c r="BZ113" i="5"/>
  <c r="BW113" i="5"/>
  <c r="BV113" i="5"/>
  <c r="BY113" i="5"/>
  <c r="BT113" i="5"/>
  <c r="BU113" i="5"/>
  <c r="BR113" i="5"/>
  <c r="BS113" i="5"/>
  <c r="BQ113" i="5"/>
  <c r="BL113" i="5"/>
  <c r="BM113" i="5"/>
  <c r="BK113" i="5"/>
  <c r="BJ113" i="5"/>
  <c r="BI113" i="5"/>
  <c r="BH113" i="5"/>
  <c r="BF113" i="5"/>
  <c r="BG113" i="5"/>
  <c r="BE113" i="5"/>
  <c r="BD113" i="5"/>
  <c r="BA113" i="5"/>
  <c r="BP113" i="5" s="1"/>
  <c r="AZ113" i="5"/>
  <c r="AY113" i="5"/>
  <c r="AU113" i="5"/>
  <c r="BB113" i="5" s="1"/>
  <c r="AV113" i="5"/>
  <c r="BO113" i="5" s="1"/>
  <c r="CK145" i="5"/>
  <c r="CH145" i="5"/>
  <c r="CG145" i="5"/>
  <c r="CJ145" i="5"/>
  <c r="CI145" i="5"/>
  <c r="CF145" i="5"/>
  <c r="CD145" i="5"/>
  <c r="CC145" i="5"/>
  <c r="CE145" i="5"/>
  <c r="BX145" i="5"/>
  <c r="BZ145" i="5"/>
  <c r="CA145" i="5"/>
  <c r="BY145" i="5"/>
  <c r="BW145" i="5"/>
  <c r="BV145" i="5"/>
  <c r="BT145" i="5"/>
  <c r="BU145" i="5"/>
  <c r="BR145" i="5"/>
  <c r="BS145" i="5"/>
  <c r="BQ145" i="5"/>
  <c r="BL145" i="5"/>
  <c r="BM145" i="5"/>
  <c r="BK145" i="5"/>
  <c r="BJ145" i="5"/>
  <c r="BI145" i="5"/>
  <c r="BH145" i="5"/>
  <c r="BF145" i="5"/>
  <c r="BG145" i="5"/>
  <c r="BE145" i="5"/>
  <c r="BD145" i="5"/>
  <c r="BA145" i="5"/>
  <c r="BP145" i="5" s="1"/>
  <c r="AZ145" i="5"/>
  <c r="AY145" i="5"/>
  <c r="AU145" i="5"/>
  <c r="BB145" i="5" s="1"/>
  <c r="AV145" i="5"/>
  <c r="BO145" i="5" s="1"/>
  <c r="CK177" i="5"/>
  <c r="CJ177" i="5"/>
  <c r="CI177" i="5"/>
  <c r="CG177" i="5"/>
  <c r="CH177" i="5"/>
  <c r="CE177" i="5"/>
  <c r="CF177" i="5"/>
  <c r="CC177" i="5"/>
  <c r="CD177" i="5"/>
  <c r="BZ177" i="5"/>
  <c r="CA177" i="5"/>
  <c r="BW177" i="5"/>
  <c r="BV177" i="5"/>
  <c r="BX177" i="5"/>
  <c r="BY177" i="5"/>
  <c r="BT177" i="5"/>
  <c r="BU177" i="5"/>
  <c r="BR177" i="5"/>
  <c r="BS177" i="5"/>
  <c r="BQ177" i="5"/>
  <c r="BM177" i="5"/>
  <c r="BL177" i="5"/>
  <c r="BK177" i="5"/>
  <c r="BJ177" i="5"/>
  <c r="BI177" i="5"/>
  <c r="BH177" i="5"/>
  <c r="BF177" i="5"/>
  <c r="BG177" i="5"/>
  <c r="BE177" i="5"/>
  <c r="BD177" i="5"/>
  <c r="BA177" i="5"/>
  <c r="BP177" i="5" s="1"/>
  <c r="AZ177" i="5"/>
  <c r="AY177" i="5"/>
  <c r="AU177" i="5"/>
  <c r="BB177" i="5" s="1"/>
  <c r="AV177" i="5"/>
  <c r="BO177" i="5" s="1"/>
  <c r="CK209" i="5"/>
  <c r="CD209" i="5"/>
  <c r="CF209" i="5"/>
  <c r="CI209" i="5"/>
  <c r="CC209" i="5"/>
  <c r="CE209" i="5"/>
  <c r="BY209" i="5"/>
  <c r="CA209" i="5"/>
  <c r="BW209" i="5"/>
  <c r="BV209" i="5"/>
  <c r="BT209" i="5"/>
  <c r="BU209" i="5"/>
  <c r="BR209" i="5"/>
  <c r="BS209" i="5"/>
  <c r="BQ209" i="5"/>
  <c r="BM209" i="5"/>
  <c r="BK209" i="5"/>
  <c r="BJ209" i="5"/>
  <c r="BI209" i="5"/>
  <c r="BH209" i="5"/>
  <c r="BF209" i="5"/>
  <c r="BG209" i="5"/>
  <c r="BE209" i="5"/>
  <c r="BD209" i="5"/>
  <c r="BA209" i="5"/>
  <c r="BP209" i="5" s="1"/>
  <c r="AZ209" i="5"/>
  <c r="AY209" i="5"/>
  <c r="AU209" i="5"/>
  <c r="BN209" i="5" s="1"/>
  <c r="AV209" i="5"/>
  <c r="BO209" i="5" s="1"/>
  <c r="CK241" i="5"/>
  <c r="CI241" i="5"/>
  <c r="CE241" i="5"/>
  <c r="CC241" i="5"/>
  <c r="CD241" i="5"/>
  <c r="CF241" i="5"/>
  <c r="CA241" i="5"/>
  <c r="BW241" i="5"/>
  <c r="BY241" i="5"/>
  <c r="BV241" i="5"/>
  <c r="BT241" i="5"/>
  <c r="BU241" i="5"/>
  <c r="BR241" i="5"/>
  <c r="BS241" i="5"/>
  <c r="BQ241" i="5"/>
  <c r="BM241" i="5"/>
  <c r="BK241" i="5"/>
  <c r="BJ241" i="5"/>
  <c r="BI241" i="5"/>
  <c r="BF241" i="5"/>
  <c r="BG241" i="5"/>
  <c r="BH241" i="5"/>
  <c r="BE241" i="5"/>
  <c r="BD241" i="5"/>
  <c r="BA241" i="5"/>
  <c r="BP241" i="5" s="1"/>
  <c r="AZ241" i="5"/>
  <c r="AY241" i="5"/>
  <c r="AU241" i="5"/>
  <c r="BB241" i="5" s="1"/>
  <c r="AV241" i="5"/>
  <c r="BO241" i="5" s="1"/>
  <c r="CK273" i="5"/>
  <c r="CI273" i="5"/>
  <c r="CF273" i="5"/>
  <c r="CD273" i="5"/>
  <c r="CC273" i="5"/>
  <c r="CE273" i="5"/>
  <c r="CA273" i="5"/>
  <c r="BY273" i="5"/>
  <c r="BW273" i="5"/>
  <c r="BV273" i="5"/>
  <c r="BT273" i="5"/>
  <c r="BU273" i="5"/>
  <c r="BR273" i="5"/>
  <c r="BS273" i="5"/>
  <c r="BQ273" i="5"/>
  <c r="BM273" i="5"/>
  <c r="BK273" i="5"/>
  <c r="BJ273" i="5"/>
  <c r="BI273" i="5"/>
  <c r="BF273" i="5"/>
  <c r="BG273" i="5"/>
  <c r="BH273" i="5"/>
  <c r="BE273" i="5"/>
  <c r="BD273" i="5"/>
  <c r="BA273" i="5"/>
  <c r="BP273" i="5" s="1"/>
  <c r="AZ273" i="5"/>
  <c r="AY273" i="5"/>
  <c r="AU273" i="5"/>
  <c r="BN273" i="5" s="1"/>
  <c r="AV273" i="5"/>
  <c r="BO273" i="5" s="1"/>
  <c r="CK305" i="5"/>
  <c r="CI305" i="5"/>
  <c r="CE305" i="5"/>
  <c r="CF305" i="5"/>
  <c r="CC305" i="5"/>
  <c r="CD305" i="5"/>
  <c r="CA305" i="5"/>
  <c r="BW305" i="5"/>
  <c r="BV305" i="5"/>
  <c r="BY305" i="5"/>
  <c r="BT305" i="5"/>
  <c r="BU305" i="5"/>
  <c r="BR305" i="5"/>
  <c r="BS305" i="5"/>
  <c r="BQ305" i="5"/>
  <c r="BM305" i="5"/>
  <c r="BK305" i="5"/>
  <c r="BJ305" i="5"/>
  <c r="BI305" i="5"/>
  <c r="BF305" i="5"/>
  <c r="BG305" i="5"/>
  <c r="BH305" i="5"/>
  <c r="BE305" i="5"/>
  <c r="BD305" i="5"/>
  <c r="BA305" i="5"/>
  <c r="BP305" i="5" s="1"/>
  <c r="AZ305" i="5"/>
  <c r="AY305" i="5"/>
  <c r="AU305" i="5"/>
  <c r="BB305" i="5" s="1"/>
  <c r="AV305" i="5"/>
  <c r="BC305" i="5" s="1"/>
  <c r="CJ337" i="5"/>
  <c r="CH337" i="5"/>
  <c r="CK337" i="5"/>
  <c r="CI337" i="5"/>
  <c r="CG337" i="5"/>
  <c r="CD337" i="5"/>
  <c r="CF337" i="5"/>
  <c r="CC337" i="5"/>
  <c r="CE337" i="5"/>
  <c r="BY337" i="5"/>
  <c r="CA337" i="5"/>
  <c r="BW337" i="5"/>
  <c r="BZ337" i="5"/>
  <c r="BV337" i="5"/>
  <c r="BX337" i="5"/>
  <c r="BT337" i="5"/>
  <c r="BU337" i="5"/>
  <c r="BR337" i="5"/>
  <c r="BS337" i="5"/>
  <c r="BQ337" i="5"/>
  <c r="BL337" i="5"/>
  <c r="BM337" i="5"/>
  <c r="BK337" i="5"/>
  <c r="BJ337" i="5"/>
  <c r="BI337" i="5"/>
  <c r="BF337" i="5"/>
  <c r="BG337" i="5"/>
  <c r="BH337" i="5"/>
  <c r="BE337" i="5"/>
  <c r="BD337" i="5"/>
  <c r="BA337" i="5"/>
  <c r="BP337" i="5" s="1"/>
  <c r="AZ337" i="5"/>
  <c r="AY337" i="5"/>
  <c r="AU337" i="5"/>
  <c r="BB337" i="5" s="1"/>
  <c r="AV337" i="5"/>
  <c r="BO337" i="5" s="1"/>
  <c r="CJ369" i="5"/>
  <c r="CK369" i="5"/>
  <c r="CG369" i="5"/>
  <c r="CH369" i="5"/>
  <c r="CI369" i="5"/>
  <c r="CE369" i="5"/>
  <c r="CF369" i="5"/>
  <c r="CC369" i="5"/>
  <c r="CD369" i="5"/>
  <c r="CA369" i="5"/>
  <c r="BZ369" i="5"/>
  <c r="BW369" i="5"/>
  <c r="BY369" i="5"/>
  <c r="BX369" i="5"/>
  <c r="BV369" i="5"/>
  <c r="BT369" i="5"/>
  <c r="BU369" i="5"/>
  <c r="BR369" i="5"/>
  <c r="BS369" i="5"/>
  <c r="BQ369" i="5"/>
  <c r="BL369" i="5"/>
  <c r="BM369" i="5"/>
  <c r="BK369" i="5"/>
  <c r="BJ369" i="5"/>
  <c r="BI369" i="5"/>
  <c r="BF369" i="5"/>
  <c r="BG369" i="5"/>
  <c r="BH369" i="5"/>
  <c r="BE369" i="5"/>
  <c r="BD369" i="5"/>
  <c r="BA369" i="5"/>
  <c r="BP369" i="5" s="1"/>
  <c r="AZ369" i="5"/>
  <c r="AY369" i="5"/>
  <c r="AU369" i="5"/>
  <c r="BB369" i="5" s="1"/>
  <c r="AV369" i="5"/>
  <c r="BO369" i="5" s="1"/>
  <c r="CK401" i="5"/>
  <c r="CF401" i="5"/>
  <c r="CD401" i="5"/>
  <c r="CI401" i="5"/>
  <c r="CE401" i="5"/>
  <c r="CC401" i="5"/>
  <c r="CA401" i="5"/>
  <c r="BY401" i="5"/>
  <c r="BW401" i="5"/>
  <c r="BV401" i="5"/>
  <c r="BT401" i="5"/>
  <c r="BU401" i="5"/>
  <c r="BR401" i="5"/>
  <c r="BS401" i="5"/>
  <c r="BQ401" i="5"/>
  <c r="BM401" i="5"/>
  <c r="BK401" i="5"/>
  <c r="BJ401" i="5"/>
  <c r="BI401" i="5"/>
  <c r="BF401" i="5"/>
  <c r="BG401" i="5"/>
  <c r="BH401" i="5"/>
  <c r="BE401" i="5"/>
  <c r="BD401" i="5"/>
  <c r="BA401" i="5"/>
  <c r="BP401" i="5" s="1"/>
  <c r="AZ401" i="5"/>
  <c r="AY401" i="5"/>
  <c r="AU401" i="5"/>
  <c r="BN401" i="5" s="1"/>
  <c r="AV401" i="5"/>
  <c r="BC401" i="5" s="1"/>
  <c r="CJ433" i="5"/>
  <c r="CK433" i="5"/>
  <c r="CI433" i="5"/>
  <c r="CE433" i="5"/>
  <c r="CD433" i="5"/>
  <c r="CH433" i="5"/>
  <c r="CG433" i="5"/>
  <c r="CC433" i="5"/>
  <c r="CF433" i="5"/>
  <c r="BZ433" i="5"/>
  <c r="CA433" i="5"/>
  <c r="BW433" i="5"/>
  <c r="BY433" i="5"/>
  <c r="BV433" i="5"/>
  <c r="BX433" i="5"/>
  <c r="BT433" i="5"/>
  <c r="BU433" i="5"/>
  <c r="BR433" i="5"/>
  <c r="BS433" i="5"/>
  <c r="BQ433" i="5"/>
  <c r="BM433" i="5"/>
  <c r="BL433" i="5"/>
  <c r="BK433" i="5"/>
  <c r="BJ433" i="5"/>
  <c r="BI433" i="5"/>
  <c r="BF433" i="5"/>
  <c r="BG433" i="5"/>
  <c r="BH433" i="5"/>
  <c r="BE433" i="5"/>
  <c r="BD433" i="5"/>
  <c r="BA433" i="5"/>
  <c r="BP433" i="5" s="1"/>
  <c r="AZ433" i="5"/>
  <c r="AY433" i="5"/>
  <c r="AU433" i="5"/>
  <c r="BN433" i="5" s="1"/>
  <c r="AV433" i="5"/>
  <c r="BC433" i="5" s="1"/>
  <c r="CH465" i="5"/>
  <c r="CJ465" i="5"/>
  <c r="CI465" i="5"/>
  <c r="CD465" i="5"/>
  <c r="CK465" i="5"/>
  <c r="CF465" i="5"/>
  <c r="CC465" i="5"/>
  <c r="CG465" i="5"/>
  <c r="CE465" i="5"/>
  <c r="BY465" i="5"/>
  <c r="CA465" i="5"/>
  <c r="BW465" i="5"/>
  <c r="BX465" i="5"/>
  <c r="BV465" i="5"/>
  <c r="BZ465" i="5"/>
  <c r="BT465" i="5"/>
  <c r="BU465" i="5"/>
  <c r="BR465" i="5"/>
  <c r="BS465" i="5"/>
  <c r="BQ465" i="5"/>
  <c r="BL465" i="5"/>
  <c r="BK465" i="5"/>
  <c r="BM465" i="5"/>
  <c r="BJ465" i="5"/>
  <c r="BI465" i="5"/>
  <c r="BF465" i="5"/>
  <c r="BG465" i="5"/>
  <c r="BH465" i="5"/>
  <c r="BD465" i="5"/>
  <c r="BE465" i="5"/>
  <c r="BA465" i="5"/>
  <c r="BP465" i="5" s="1"/>
  <c r="AZ465" i="5"/>
  <c r="AY465" i="5"/>
  <c r="AU465" i="5"/>
  <c r="BN465" i="5" s="1"/>
  <c r="AV465" i="5"/>
  <c r="BC465" i="5" s="1"/>
  <c r="CJ497" i="5"/>
  <c r="CG497" i="5"/>
  <c r="CK497" i="5"/>
  <c r="CI497" i="5"/>
  <c r="CH497" i="5"/>
  <c r="CD497" i="5"/>
  <c r="CE497" i="5"/>
  <c r="CF497" i="5"/>
  <c r="CC497" i="5"/>
  <c r="CA497" i="5"/>
  <c r="BZ497" i="5"/>
  <c r="BW497" i="5"/>
  <c r="BV497" i="5"/>
  <c r="BY497" i="5"/>
  <c r="BX497" i="5"/>
  <c r="BT497" i="5"/>
  <c r="BU497" i="5"/>
  <c r="BR497" i="5"/>
  <c r="BS497" i="5"/>
  <c r="BQ497" i="5"/>
  <c r="BL497" i="5"/>
  <c r="BK497" i="5"/>
  <c r="BM497" i="5"/>
  <c r="BJ497" i="5"/>
  <c r="BI497" i="5"/>
  <c r="BF497" i="5"/>
  <c r="BG497" i="5"/>
  <c r="BH497" i="5"/>
  <c r="BD497" i="5"/>
  <c r="BE497" i="5"/>
  <c r="BA497" i="5"/>
  <c r="BP497" i="5" s="1"/>
  <c r="AZ497" i="5"/>
  <c r="AY497" i="5"/>
  <c r="AU497" i="5"/>
  <c r="BN497" i="5" s="1"/>
  <c r="AV497" i="5"/>
  <c r="BC497" i="5" s="1"/>
  <c r="CK529" i="5"/>
  <c r="CJ529" i="5"/>
  <c r="CG529" i="5"/>
  <c r="CI529" i="5"/>
  <c r="CH529" i="5"/>
  <c r="CF529" i="5"/>
  <c r="CD529" i="5"/>
  <c r="CC529" i="5"/>
  <c r="CE529" i="5"/>
  <c r="CA529" i="5"/>
  <c r="BY529" i="5"/>
  <c r="BW529" i="5"/>
  <c r="BZ529" i="5"/>
  <c r="BX529" i="5"/>
  <c r="BT529" i="5"/>
  <c r="BV529" i="5"/>
  <c r="BU529" i="5"/>
  <c r="BR529" i="5"/>
  <c r="BS529" i="5"/>
  <c r="BQ529" i="5"/>
  <c r="BL529" i="5"/>
  <c r="BK529" i="5"/>
  <c r="BM529" i="5"/>
  <c r="BJ529" i="5"/>
  <c r="BI529" i="5"/>
  <c r="BF529" i="5"/>
  <c r="BH529" i="5"/>
  <c r="BG529" i="5"/>
  <c r="BD529" i="5"/>
  <c r="BE529" i="5"/>
  <c r="BA529" i="5"/>
  <c r="BP529" i="5" s="1"/>
  <c r="AZ529" i="5"/>
  <c r="AY529" i="5"/>
  <c r="AU529" i="5"/>
  <c r="BN529" i="5" s="1"/>
  <c r="AV529" i="5"/>
  <c r="BC529" i="5" s="1"/>
  <c r="CJ561" i="5"/>
  <c r="CK561" i="5"/>
  <c r="CH561" i="5"/>
  <c r="CG561" i="5"/>
  <c r="CI561" i="5"/>
  <c r="CE561" i="5"/>
  <c r="CD561" i="5"/>
  <c r="CC561" i="5"/>
  <c r="CF561" i="5"/>
  <c r="BZ561" i="5"/>
  <c r="CA561" i="5"/>
  <c r="BW561" i="5"/>
  <c r="BY561" i="5"/>
  <c r="BX561" i="5"/>
  <c r="BT561" i="5"/>
  <c r="BU561" i="5"/>
  <c r="BV561" i="5"/>
  <c r="BR561" i="5"/>
  <c r="BS561" i="5"/>
  <c r="BQ561" i="5"/>
  <c r="BL561" i="5"/>
  <c r="BK561" i="5"/>
  <c r="BM561" i="5"/>
  <c r="BJ561" i="5"/>
  <c r="BI561" i="5"/>
  <c r="BF561" i="5"/>
  <c r="BH561" i="5"/>
  <c r="BG561" i="5"/>
  <c r="BD561" i="5"/>
  <c r="BE561" i="5"/>
  <c r="BA561" i="5"/>
  <c r="BP561" i="5" s="1"/>
  <c r="AZ561" i="5"/>
  <c r="AY561" i="5"/>
  <c r="AU561" i="5"/>
  <c r="BN561" i="5" s="1"/>
  <c r="AV561" i="5"/>
  <c r="BC561" i="5" s="1"/>
  <c r="CK593" i="5"/>
  <c r="CI593" i="5"/>
  <c r="CF593" i="5"/>
  <c r="CD593" i="5"/>
  <c r="CC593" i="5"/>
  <c r="CE593" i="5"/>
  <c r="BY593" i="5"/>
  <c r="CA593" i="5"/>
  <c r="BW593" i="5"/>
  <c r="BT593" i="5"/>
  <c r="BV593" i="5"/>
  <c r="BU593" i="5"/>
  <c r="BR593" i="5"/>
  <c r="BS593" i="5"/>
  <c r="BQ593" i="5"/>
  <c r="BK593" i="5"/>
  <c r="BM593" i="5"/>
  <c r="BJ593" i="5"/>
  <c r="BI593" i="5"/>
  <c r="BF593" i="5"/>
  <c r="BH593" i="5"/>
  <c r="BG593" i="5"/>
  <c r="BD593" i="5"/>
  <c r="BE593" i="5"/>
  <c r="BA593" i="5"/>
  <c r="BP593" i="5" s="1"/>
  <c r="AZ593" i="5"/>
  <c r="AY593" i="5"/>
  <c r="AU593" i="5"/>
  <c r="BN593" i="5" s="1"/>
  <c r="AV593" i="5"/>
  <c r="BO593" i="5" s="1"/>
  <c r="CK625" i="5"/>
  <c r="CG625" i="5"/>
  <c r="CH625" i="5"/>
  <c r="CJ625" i="5"/>
  <c r="CE625" i="5"/>
  <c r="CD625" i="5"/>
  <c r="CC625" i="5"/>
  <c r="CI625" i="5"/>
  <c r="CF625" i="5"/>
  <c r="CA625" i="5"/>
  <c r="BZ625" i="5"/>
  <c r="BW625" i="5"/>
  <c r="BY625" i="5"/>
  <c r="BX625" i="5"/>
  <c r="BV625" i="5"/>
  <c r="BU625" i="5"/>
  <c r="BR625" i="5"/>
  <c r="BT625" i="5"/>
  <c r="BS625" i="5"/>
  <c r="BQ625" i="5"/>
  <c r="BL625" i="5"/>
  <c r="BK625" i="5"/>
  <c r="BM625" i="5"/>
  <c r="BJ625" i="5"/>
  <c r="BI625" i="5"/>
  <c r="BF625" i="5"/>
  <c r="BH625" i="5"/>
  <c r="BG625" i="5"/>
  <c r="BD625" i="5"/>
  <c r="BE625" i="5"/>
  <c r="BA625" i="5"/>
  <c r="BP625" i="5" s="1"/>
  <c r="AZ625" i="5"/>
  <c r="AY625" i="5"/>
  <c r="AU625" i="5"/>
  <c r="BN625" i="5" s="1"/>
  <c r="AV625" i="5"/>
  <c r="BC625" i="5" s="1"/>
  <c r="CK657" i="5"/>
  <c r="CJ657" i="5"/>
  <c r="CH657" i="5"/>
  <c r="CG657" i="5"/>
  <c r="CF657" i="5"/>
  <c r="CI657" i="5"/>
  <c r="CD657" i="5"/>
  <c r="CC657" i="5"/>
  <c r="CE657" i="5"/>
  <c r="BX657" i="5"/>
  <c r="CA657" i="5"/>
  <c r="BW657" i="5"/>
  <c r="BY657" i="5"/>
  <c r="BZ657" i="5"/>
  <c r="BV657" i="5"/>
  <c r="BU657" i="5"/>
  <c r="BR657" i="5"/>
  <c r="BT657" i="5"/>
  <c r="BS657" i="5"/>
  <c r="BQ657" i="5"/>
  <c r="BK657" i="5"/>
  <c r="BM657" i="5"/>
  <c r="BL657" i="5"/>
  <c r="BJ657" i="5"/>
  <c r="BI657" i="5"/>
  <c r="BF657" i="5"/>
  <c r="BH657" i="5"/>
  <c r="BG657" i="5"/>
  <c r="BD657" i="5"/>
  <c r="BE657" i="5"/>
  <c r="BA657" i="5"/>
  <c r="BP657" i="5" s="1"/>
  <c r="AZ657" i="5"/>
  <c r="AY657" i="5"/>
  <c r="AU657" i="5"/>
  <c r="BN657" i="5" s="1"/>
  <c r="AV657" i="5"/>
  <c r="BC657" i="5" s="1"/>
  <c r="CK689" i="5"/>
  <c r="CJ689" i="5"/>
  <c r="CI689" i="5"/>
  <c r="CE689" i="5"/>
  <c r="CD689" i="5"/>
  <c r="CH689" i="5"/>
  <c r="CG689" i="5"/>
  <c r="CF689" i="5"/>
  <c r="CC689" i="5"/>
  <c r="BX689" i="5"/>
  <c r="BZ689" i="5"/>
  <c r="CA689" i="5"/>
  <c r="BW689" i="5"/>
  <c r="BY689" i="5"/>
  <c r="BU689" i="5"/>
  <c r="BV689" i="5"/>
  <c r="BR689" i="5"/>
  <c r="BT689" i="5"/>
  <c r="BS689" i="5"/>
  <c r="BQ689" i="5"/>
  <c r="BK689" i="5"/>
  <c r="BM689" i="5"/>
  <c r="BL689" i="5"/>
  <c r="BJ689" i="5"/>
  <c r="BI689" i="5"/>
  <c r="BF689" i="5"/>
  <c r="BH689" i="5"/>
  <c r="BG689" i="5"/>
  <c r="BD689" i="5"/>
  <c r="BE689" i="5"/>
  <c r="BA689" i="5"/>
  <c r="BP689" i="5" s="1"/>
  <c r="AZ689" i="5"/>
  <c r="AY689" i="5"/>
  <c r="AU689" i="5"/>
  <c r="BN689" i="5" s="1"/>
  <c r="AV689" i="5"/>
  <c r="BC689" i="5" s="1"/>
  <c r="CK721" i="5"/>
  <c r="CJ721" i="5"/>
  <c r="CG721" i="5"/>
  <c r="CI721" i="5"/>
  <c r="CH721" i="5"/>
  <c r="CF721" i="5"/>
  <c r="CD721" i="5"/>
  <c r="CC721" i="5"/>
  <c r="CE721" i="5"/>
  <c r="BX721" i="5"/>
  <c r="CA721" i="5"/>
  <c r="BW721" i="5"/>
  <c r="BZ721" i="5"/>
  <c r="BY721" i="5"/>
  <c r="BV721" i="5"/>
  <c r="BU721" i="5"/>
  <c r="BR721" i="5"/>
  <c r="BT721" i="5"/>
  <c r="BS721" i="5"/>
  <c r="BQ721" i="5"/>
  <c r="BK721" i="5"/>
  <c r="BM721" i="5"/>
  <c r="BL721" i="5"/>
  <c r="BJ721" i="5"/>
  <c r="BI721" i="5"/>
  <c r="BH721" i="5"/>
  <c r="BG721" i="5"/>
  <c r="BD721" i="5"/>
  <c r="BF721" i="5"/>
  <c r="BE721" i="5"/>
  <c r="BA721" i="5"/>
  <c r="BP721" i="5" s="1"/>
  <c r="AZ721" i="5"/>
  <c r="AY721" i="5"/>
  <c r="AU721" i="5"/>
  <c r="BN721" i="5" s="1"/>
  <c r="AV721" i="5"/>
  <c r="BC721" i="5" s="1"/>
  <c r="CK753" i="5"/>
  <c r="CJ753" i="5"/>
  <c r="CG753" i="5"/>
  <c r="CH753" i="5"/>
  <c r="CI753" i="5"/>
  <c r="CE753" i="5"/>
  <c r="CD753" i="5"/>
  <c r="CC753" i="5"/>
  <c r="CF753" i="5"/>
  <c r="BX753" i="5"/>
  <c r="CA753" i="5"/>
  <c r="BZ753" i="5"/>
  <c r="BW753" i="5"/>
  <c r="BY753" i="5"/>
  <c r="BV753" i="5"/>
  <c r="BU753" i="5"/>
  <c r="BR753" i="5"/>
  <c r="BT753" i="5"/>
  <c r="BQ753" i="5"/>
  <c r="BS753" i="5"/>
  <c r="BK753" i="5"/>
  <c r="BM753" i="5"/>
  <c r="BL753" i="5"/>
  <c r="BJ753" i="5"/>
  <c r="BI753" i="5"/>
  <c r="BH753" i="5"/>
  <c r="BG753" i="5"/>
  <c r="BD753" i="5"/>
  <c r="BF753" i="5"/>
  <c r="BE753" i="5"/>
  <c r="BA753" i="5"/>
  <c r="BP753" i="5" s="1"/>
  <c r="AZ753" i="5"/>
  <c r="AY753" i="5"/>
  <c r="AU753" i="5"/>
  <c r="BN753" i="5" s="1"/>
  <c r="AV753" i="5"/>
  <c r="BO753" i="5" s="1"/>
  <c r="CK785" i="5"/>
  <c r="CI785" i="5"/>
  <c r="CG785" i="5"/>
  <c r="CF785" i="5"/>
  <c r="CJ785" i="5"/>
  <c r="CH785" i="5"/>
  <c r="CD785" i="5"/>
  <c r="CC785" i="5"/>
  <c r="CE785" i="5"/>
  <c r="CA785" i="5"/>
  <c r="BX785" i="5"/>
  <c r="BW785" i="5"/>
  <c r="BZ785" i="5"/>
  <c r="BY785" i="5"/>
  <c r="BV785" i="5"/>
  <c r="BU785" i="5"/>
  <c r="BR785" i="5"/>
  <c r="BT785" i="5"/>
  <c r="BQ785" i="5"/>
  <c r="BS785" i="5"/>
  <c r="BL785" i="5"/>
  <c r="BK785" i="5"/>
  <c r="BM785" i="5"/>
  <c r="BJ785" i="5"/>
  <c r="BI785" i="5"/>
  <c r="BH785" i="5"/>
  <c r="BG785" i="5"/>
  <c r="BD785" i="5"/>
  <c r="BF785" i="5"/>
  <c r="BE785" i="5"/>
  <c r="BA785" i="5"/>
  <c r="BP785" i="5" s="1"/>
  <c r="AZ785" i="5"/>
  <c r="AY785" i="5"/>
  <c r="AU785" i="5"/>
  <c r="BN785" i="5" s="1"/>
  <c r="AV785" i="5"/>
  <c r="BO785" i="5" s="1"/>
  <c r="CK817" i="5"/>
  <c r="CH817" i="5"/>
  <c r="CG817" i="5"/>
  <c r="CI817" i="5"/>
  <c r="CE817" i="5"/>
  <c r="CJ817" i="5"/>
  <c r="CD817" i="5"/>
  <c r="CF817" i="5"/>
  <c r="CC817" i="5"/>
  <c r="BZ817" i="5"/>
  <c r="CA817" i="5"/>
  <c r="BW817" i="5"/>
  <c r="BX817" i="5"/>
  <c r="BY817" i="5"/>
  <c r="BU817" i="5"/>
  <c r="BV817" i="5"/>
  <c r="BR817" i="5"/>
  <c r="BT817" i="5"/>
  <c r="BQ817" i="5"/>
  <c r="BS817" i="5"/>
  <c r="BL817" i="5"/>
  <c r="BK817" i="5"/>
  <c r="BM817" i="5"/>
  <c r="BJ817" i="5"/>
  <c r="BI817" i="5"/>
  <c r="BH817" i="5"/>
  <c r="BG817" i="5"/>
  <c r="BD817" i="5"/>
  <c r="BF817" i="5"/>
  <c r="BE817" i="5"/>
  <c r="BA817" i="5"/>
  <c r="BP817" i="5" s="1"/>
  <c r="AZ817" i="5"/>
  <c r="AY817" i="5"/>
  <c r="AU817" i="5"/>
  <c r="BN817" i="5" s="1"/>
  <c r="AV817" i="5"/>
  <c r="BC817" i="5" s="1"/>
  <c r="CK849" i="5"/>
  <c r="CG849" i="5"/>
  <c r="CJ849" i="5"/>
  <c r="CI849" i="5"/>
  <c r="CH849" i="5"/>
  <c r="CF849" i="5"/>
  <c r="CD849" i="5"/>
  <c r="CC849" i="5"/>
  <c r="CE849" i="5"/>
  <c r="CA849" i="5"/>
  <c r="BX849" i="5"/>
  <c r="BW849" i="5"/>
  <c r="BZ849" i="5"/>
  <c r="BY849" i="5"/>
  <c r="BU849" i="5"/>
  <c r="BV849" i="5"/>
  <c r="BR849" i="5"/>
  <c r="BT849" i="5"/>
  <c r="BQ849" i="5"/>
  <c r="BS849" i="5"/>
  <c r="BL849" i="5"/>
  <c r="BK849" i="5"/>
  <c r="BM849" i="5"/>
  <c r="BJ849" i="5"/>
  <c r="BI849" i="5"/>
  <c r="BH849" i="5"/>
  <c r="BG849" i="5"/>
  <c r="BD849" i="5"/>
  <c r="BF849" i="5"/>
  <c r="BE849" i="5"/>
  <c r="BA849" i="5"/>
  <c r="BP849" i="5" s="1"/>
  <c r="AZ849" i="5"/>
  <c r="AY849" i="5"/>
  <c r="AU849" i="5"/>
  <c r="BN849" i="5" s="1"/>
  <c r="AV849" i="5"/>
  <c r="BC849" i="5" s="1"/>
  <c r="CK881" i="5"/>
  <c r="CI881" i="5"/>
  <c r="CE881" i="5"/>
  <c r="CD881" i="5"/>
  <c r="CF881" i="5"/>
  <c r="CC881" i="5"/>
  <c r="CA881" i="5"/>
  <c r="BW881" i="5"/>
  <c r="BY881" i="5"/>
  <c r="BU881" i="5"/>
  <c r="BV881" i="5"/>
  <c r="BR881" i="5"/>
  <c r="BT881" i="5"/>
  <c r="BQ881" i="5"/>
  <c r="BS881" i="5"/>
  <c r="BK881" i="5"/>
  <c r="BM881" i="5"/>
  <c r="BJ881" i="5"/>
  <c r="BI881" i="5"/>
  <c r="BH881" i="5"/>
  <c r="BG881" i="5"/>
  <c r="BD881" i="5"/>
  <c r="BF881" i="5"/>
  <c r="BE881" i="5"/>
  <c r="BA881" i="5"/>
  <c r="BP881" i="5" s="1"/>
  <c r="AZ881" i="5"/>
  <c r="AY881" i="5"/>
  <c r="AU881" i="5"/>
  <c r="BN881" i="5" s="1"/>
  <c r="AV881" i="5"/>
  <c r="BC881" i="5" s="1"/>
  <c r="CK913" i="5"/>
  <c r="CI913" i="5"/>
  <c r="CF913" i="5"/>
  <c r="CD913" i="5"/>
  <c r="CE913" i="5"/>
  <c r="CC913" i="5"/>
  <c r="CA913" i="5"/>
  <c r="BW913" i="5"/>
  <c r="BY913" i="5"/>
  <c r="BV913" i="5"/>
  <c r="BU913" i="5"/>
  <c r="BR913" i="5"/>
  <c r="BT913" i="5"/>
  <c r="BQ913" i="5"/>
  <c r="BS913" i="5"/>
  <c r="BK913" i="5"/>
  <c r="BM913" i="5"/>
  <c r="BJ913" i="5"/>
  <c r="BI913" i="5"/>
  <c r="BH913" i="5"/>
  <c r="BG913" i="5"/>
  <c r="BD913" i="5"/>
  <c r="BF913" i="5"/>
  <c r="BE913" i="5"/>
  <c r="BA913" i="5"/>
  <c r="BP913" i="5" s="1"/>
  <c r="AZ913" i="5"/>
  <c r="AY913" i="5"/>
  <c r="AU913" i="5"/>
  <c r="BB913" i="5" s="1"/>
  <c r="AV913" i="5"/>
  <c r="BO913" i="5" s="1"/>
  <c r="CK945" i="5"/>
  <c r="CI945" i="5"/>
  <c r="CE945" i="5"/>
  <c r="CD945" i="5"/>
  <c r="CF945" i="5"/>
  <c r="CC945" i="5"/>
  <c r="CA945" i="5"/>
  <c r="BW945" i="5"/>
  <c r="BY945" i="5"/>
  <c r="BU945" i="5"/>
  <c r="BV945" i="5"/>
  <c r="BR945" i="5"/>
  <c r="BT945" i="5"/>
  <c r="BQ945" i="5"/>
  <c r="BS945" i="5"/>
  <c r="BK945" i="5"/>
  <c r="BM945" i="5"/>
  <c r="BJ945" i="5"/>
  <c r="BI945" i="5"/>
  <c r="BH945" i="5"/>
  <c r="BG945" i="5"/>
  <c r="BD945" i="5"/>
  <c r="BF945" i="5"/>
  <c r="BE945" i="5"/>
  <c r="BA945" i="5"/>
  <c r="BP945" i="5" s="1"/>
  <c r="AZ945" i="5"/>
  <c r="AY945" i="5"/>
  <c r="AU945" i="5"/>
  <c r="BN945" i="5" s="1"/>
  <c r="AV945" i="5"/>
  <c r="BO945" i="5" s="1"/>
  <c r="CK977" i="5"/>
  <c r="CJ977" i="5"/>
  <c r="CH977" i="5"/>
  <c r="CI977" i="5"/>
  <c r="CF977" i="5"/>
  <c r="CD977" i="5"/>
  <c r="CG977" i="5"/>
  <c r="CE977" i="5"/>
  <c r="CC977" i="5"/>
  <c r="CA977" i="5"/>
  <c r="BW977" i="5"/>
  <c r="BZ977" i="5"/>
  <c r="BY977" i="5"/>
  <c r="BX977" i="5"/>
  <c r="BU977" i="5"/>
  <c r="BV977" i="5"/>
  <c r="BR977" i="5"/>
  <c r="BT977" i="5"/>
  <c r="BQ977" i="5"/>
  <c r="BS977" i="5"/>
  <c r="BL977" i="5"/>
  <c r="BK977" i="5"/>
  <c r="BM977" i="5"/>
  <c r="BJ977" i="5"/>
  <c r="BI977" i="5"/>
  <c r="BH977" i="5"/>
  <c r="BG977" i="5"/>
  <c r="BD977" i="5"/>
  <c r="BF977" i="5"/>
  <c r="BE977" i="5"/>
  <c r="BA977" i="5"/>
  <c r="BP977" i="5" s="1"/>
  <c r="AZ977" i="5"/>
  <c r="AY977" i="5"/>
  <c r="AU977" i="5"/>
  <c r="BN977" i="5" s="1"/>
  <c r="AV977" i="5"/>
  <c r="BO977" i="5" s="1"/>
  <c r="CK1009" i="5"/>
  <c r="CI1009" i="5"/>
  <c r="CE1009" i="5"/>
  <c r="CD1009" i="5"/>
  <c r="CF1009" i="5"/>
  <c r="CC1009" i="5"/>
  <c r="CA1009" i="5"/>
  <c r="BW1009" i="5"/>
  <c r="BY1009" i="5"/>
  <c r="BU1009" i="5"/>
  <c r="BV1009" i="5"/>
  <c r="BT1009" i="5"/>
  <c r="BQ1009" i="5"/>
  <c r="BS1009" i="5"/>
  <c r="BR1009" i="5"/>
  <c r="BK1009" i="5"/>
  <c r="BM1009" i="5"/>
  <c r="BJ1009" i="5"/>
  <c r="BI1009" i="5"/>
  <c r="BH1009" i="5"/>
  <c r="BG1009" i="5"/>
  <c r="BD1009" i="5"/>
  <c r="BF1009" i="5"/>
  <c r="BE1009" i="5"/>
  <c r="BA1009" i="5"/>
  <c r="BP1009" i="5" s="1"/>
  <c r="AZ1009" i="5"/>
  <c r="AY1009" i="5"/>
  <c r="AU1009" i="5"/>
  <c r="BN1009" i="5" s="1"/>
  <c r="AV1009" i="5"/>
  <c r="BO1009" i="5" s="1"/>
  <c r="CK1041" i="5"/>
  <c r="CI1041" i="5"/>
  <c r="CF1041" i="5"/>
  <c r="CD1041" i="5"/>
  <c r="CE1041" i="5"/>
  <c r="CC1041" i="5"/>
  <c r="CA1041" i="5"/>
  <c r="BW1041" i="5"/>
  <c r="BY1041" i="5"/>
  <c r="BV1041" i="5"/>
  <c r="BU1041" i="5"/>
  <c r="BT1041" i="5"/>
  <c r="BQ1041" i="5"/>
  <c r="BR1041" i="5"/>
  <c r="BS1041" i="5"/>
  <c r="BK1041" i="5"/>
  <c r="BM1041" i="5"/>
  <c r="BJ1041" i="5"/>
  <c r="BI1041" i="5"/>
  <c r="BH1041" i="5"/>
  <c r="BG1041" i="5"/>
  <c r="BD1041" i="5"/>
  <c r="BF1041" i="5"/>
  <c r="BE1041" i="5"/>
  <c r="BA1041" i="5"/>
  <c r="BP1041" i="5" s="1"/>
  <c r="AZ1041" i="5"/>
  <c r="AY1041" i="5"/>
  <c r="AU1041" i="5"/>
  <c r="BN1041" i="5" s="1"/>
  <c r="AV1041" i="5"/>
  <c r="BO1041" i="5" s="1"/>
  <c r="CK1073" i="5"/>
  <c r="CI1073" i="5"/>
  <c r="CE1073" i="5"/>
  <c r="CD1073" i="5"/>
  <c r="CF1073" i="5"/>
  <c r="CC1073" i="5"/>
  <c r="CA1073" i="5"/>
  <c r="BW1073" i="5"/>
  <c r="BY1073" i="5"/>
  <c r="BU1073" i="5"/>
  <c r="BV1073" i="5"/>
  <c r="BT1073" i="5"/>
  <c r="BQ1073" i="5"/>
  <c r="BS1073" i="5"/>
  <c r="BR1073" i="5"/>
  <c r="BK1073" i="5"/>
  <c r="BM1073" i="5"/>
  <c r="BJ1073" i="5"/>
  <c r="BI1073" i="5"/>
  <c r="BH1073" i="5"/>
  <c r="BG1073" i="5"/>
  <c r="BD1073" i="5"/>
  <c r="BF1073" i="5"/>
  <c r="BE1073" i="5"/>
  <c r="BA1073" i="5"/>
  <c r="BP1073" i="5" s="1"/>
  <c r="AZ1073" i="5"/>
  <c r="AY1073" i="5"/>
  <c r="AU1073" i="5"/>
  <c r="BB1073" i="5" s="1"/>
  <c r="AV1073" i="5"/>
  <c r="BO1073" i="5" s="1"/>
  <c r="CK1105" i="5"/>
  <c r="CF1105" i="5"/>
  <c r="CD1105" i="5"/>
  <c r="CI1105" i="5"/>
  <c r="CE1105" i="5"/>
  <c r="CC1105" i="5"/>
  <c r="CA1105" i="5"/>
  <c r="BW1105" i="5"/>
  <c r="BY1105" i="5"/>
  <c r="BU1105" i="5"/>
  <c r="BV1105" i="5"/>
  <c r="BT1105" i="5"/>
  <c r="BQ1105" i="5"/>
  <c r="BS1105" i="5"/>
  <c r="BR1105" i="5"/>
  <c r="BK1105" i="5"/>
  <c r="BM1105" i="5"/>
  <c r="BJ1105" i="5"/>
  <c r="BI1105" i="5"/>
  <c r="BH1105" i="5"/>
  <c r="BG1105" i="5"/>
  <c r="BD1105" i="5"/>
  <c r="BF1105" i="5"/>
  <c r="BE1105" i="5"/>
  <c r="BA1105" i="5"/>
  <c r="BP1105" i="5" s="1"/>
  <c r="AZ1105" i="5"/>
  <c r="AY1105" i="5"/>
  <c r="AU1105" i="5"/>
  <c r="BN1105" i="5" s="1"/>
  <c r="AV1105" i="5"/>
  <c r="BC1105" i="5" s="1"/>
  <c r="CK1137" i="5"/>
  <c r="CI1137" i="5"/>
  <c r="CE1137" i="5"/>
  <c r="CD1137" i="5"/>
  <c r="CF1137" i="5"/>
  <c r="CC1137" i="5"/>
  <c r="CA1137" i="5"/>
  <c r="BW1137" i="5"/>
  <c r="BY1137" i="5"/>
  <c r="BU1137" i="5"/>
  <c r="BV1137" i="5"/>
  <c r="BT1137" i="5"/>
  <c r="BQ1137" i="5"/>
  <c r="BS1137" i="5"/>
  <c r="BR1137" i="5"/>
  <c r="BK1137" i="5"/>
  <c r="BM1137" i="5"/>
  <c r="BJ1137" i="5"/>
  <c r="BI1137" i="5"/>
  <c r="BH1137" i="5"/>
  <c r="BG1137" i="5"/>
  <c r="BD1137" i="5"/>
  <c r="BF1137" i="5"/>
  <c r="BE1137" i="5"/>
  <c r="BA1137" i="5"/>
  <c r="BP1137" i="5" s="1"/>
  <c r="AZ1137" i="5"/>
  <c r="AY1137" i="5"/>
  <c r="AU1137" i="5"/>
  <c r="BB1137" i="5" s="1"/>
  <c r="AV1137" i="5"/>
  <c r="BO1137" i="5" s="1"/>
  <c r="CK1169" i="5"/>
  <c r="CI1169" i="5"/>
  <c r="CF1169" i="5"/>
  <c r="CD1169" i="5"/>
  <c r="CE1169" i="5"/>
  <c r="CC1169" i="5"/>
  <c r="CA1169" i="5"/>
  <c r="BW1169" i="5"/>
  <c r="BY1169" i="5"/>
  <c r="BV1169" i="5"/>
  <c r="BU1169" i="5"/>
  <c r="BT1169" i="5"/>
  <c r="BQ1169" i="5"/>
  <c r="BR1169" i="5"/>
  <c r="BS1169" i="5"/>
  <c r="BK1169" i="5"/>
  <c r="BM1169" i="5"/>
  <c r="BJ1169" i="5"/>
  <c r="BI1169" i="5"/>
  <c r="BH1169" i="5"/>
  <c r="BG1169" i="5"/>
  <c r="BD1169" i="5"/>
  <c r="BF1169" i="5"/>
  <c r="BE1169" i="5"/>
  <c r="BA1169" i="5"/>
  <c r="BP1169" i="5" s="1"/>
  <c r="AZ1169" i="5"/>
  <c r="AY1169" i="5"/>
  <c r="AU1169" i="5"/>
  <c r="BN1169" i="5" s="1"/>
  <c r="AV1169" i="5"/>
  <c r="BC1169" i="5" s="1"/>
  <c r="CK1201" i="5"/>
  <c r="CI1201" i="5"/>
  <c r="CE1201" i="5"/>
  <c r="CD1201" i="5"/>
  <c r="CC1201" i="5"/>
  <c r="CF1201" i="5"/>
  <c r="CA1201" i="5"/>
  <c r="BW1201" i="5"/>
  <c r="BY1201" i="5"/>
  <c r="BU1201" i="5"/>
  <c r="BV1201" i="5"/>
  <c r="BT1201" i="5"/>
  <c r="BQ1201" i="5"/>
  <c r="BS1201" i="5"/>
  <c r="BR1201" i="5"/>
  <c r="BK1201" i="5"/>
  <c r="BM1201" i="5"/>
  <c r="BJ1201" i="5"/>
  <c r="BI1201" i="5"/>
  <c r="BH1201" i="5"/>
  <c r="BG1201" i="5"/>
  <c r="BD1201" i="5"/>
  <c r="BF1201" i="5"/>
  <c r="BE1201" i="5"/>
  <c r="BA1201" i="5"/>
  <c r="BP1201" i="5" s="1"/>
  <c r="AZ1201" i="5"/>
  <c r="AY1201" i="5"/>
  <c r="AU1201" i="5"/>
  <c r="BB1201" i="5" s="1"/>
  <c r="AV1201" i="5"/>
  <c r="BO1201" i="5" s="1"/>
  <c r="CK1233" i="5"/>
  <c r="CJ1233" i="5"/>
  <c r="CF1233" i="5"/>
  <c r="CD1233" i="5"/>
  <c r="CG1233" i="5"/>
  <c r="CI1233" i="5"/>
  <c r="CH1233" i="5"/>
  <c r="CE1233" i="5"/>
  <c r="CC1233" i="5"/>
  <c r="CA1233" i="5"/>
  <c r="BW1233" i="5"/>
  <c r="BZ1233" i="5"/>
  <c r="BY1233" i="5"/>
  <c r="BX1233" i="5"/>
  <c r="BU1233" i="5"/>
  <c r="BV1233" i="5"/>
  <c r="BT1233" i="5"/>
  <c r="BQ1233" i="5"/>
  <c r="BS1233" i="5"/>
  <c r="BR1233" i="5"/>
  <c r="BK1233" i="5"/>
  <c r="BM1233" i="5"/>
  <c r="BL1233" i="5"/>
  <c r="BJ1233" i="5"/>
  <c r="BI1233" i="5"/>
  <c r="BH1233" i="5"/>
  <c r="BG1233" i="5"/>
  <c r="BD1233" i="5"/>
  <c r="BF1233" i="5"/>
  <c r="BE1233" i="5"/>
  <c r="BA1233" i="5"/>
  <c r="BP1233" i="5" s="1"/>
  <c r="AZ1233" i="5"/>
  <c r="AY1233" i="5"/>
  <c r="AU1233" i="5"/>
  <c r="BN1233" i="5" s="1"/>
  <c r="AV1233" i="5"/>
  <c r="BO1233" i="5" s="1"/>
  <c r="CK1265" i="5"/>
  <c r="CJ1265" i="5"/>
  <c r="CH1265" i="5"/>
  <c r="CI1265" i="5"/>
  <c r="CE1265" i="5"/>
  <c r="CD1265" i="5"/>
  <c r="CG1265" i="5"/>
  <c r="CF1265" i="5"/>
  <c r="CC1265" i="5"/>
  <c r="CA1265" i="5"/>
  <c r="BZ1265" i="5"/>
  <c r="BW1265" i="5"/>
  <c r="BY1265" i="5"/>
  <c r="BX1265" i="5"/>
  <c r="BU1265" i="5"/>
  <c r="BV1265" i="5"/>
  <c r="BT1265" i="5"/>
  <c r="BQ1265" i="5"/>
  <c r="BS1265" i="5"/>
  <c r="BR1265" i="5"/>
  <c r="BL1265" i="5"/>
  <c r="BK1265" i="5"/>
  <c r="BM1265" i="5"/>
  <c r="BJ1265" i="5"/>
  <c r="BI1265" i="5"/>
  <c r="BH1265" i="5"/>
  <c r="BG1265" i="5"/>
  <c r="BD1265" i="5"/>
  <c r="BF1265" i="5"/>
  <c r="BE1265" i="5"/>
  <c r="BA1265" i="5"/>
  <c r="BP1265" i="5" s="1"/>
  <c r="AZ1265" i="5"/>
  <c r="AY1265" i="5"/>
  <c r="AU1265" i="5"/>
  <c r="BB1265" i="5" s="1"/>
  <c r="AV1265" i="5"/>
  <c r="BO1265" i="5" s="1"/>
  <c r="CK1297" i="5"/>
  <c r="CI1297" i="5"/>
  <c r="CF1297" i="5"/>
  <c r="CD1297" i="5"/>
  <c r="CE1297" i="5"/>
  <c r="CC1297" i="5"/>
  <c r="CA1297" i="5"/>
  <c r="BW1297" i="5"/>
  <c r="BY1297" i="5"/>
  <c r="BV1297" i="5"/>
  <c r="BU1297" i="5"/>
  <c r="BT1297" i="5"/>
  <c r="BQ1297" i="5"/>
  <c r="BR1297" i="5"/>
  <c r="BS1297" i="5"/>
  <c r="BK1297" i="5"/>
  <c r="BM1297" i="5"/>
  <c r="BJ1297" i="5"/>
  <c r="BI1297" i="5"/>
  <c r="BH1297" i="5"/>
  <c r="BG1297" i="5"/>
  <c r="BD1297" i="5"/>
  <c r="BF1297" i="5"/>
  <c r="BE1297" i="5"/>
  <c r="BA1297" i="5"/>
  <c r="BP1297" i="5" s="1"/>
  <c r="AZ1297" i="5"/>
  <c r="AY1297" i="5"/>
  <c r="AU1297" i="5"/>
  <c r="BB1297" i="5" s="1"/>
  <c r="AV1297" i="5"/>
  <c r="BO1297" i="5" s="1"/>
  <c r="D14" i="7"/>
  <c r="CK1347" i="5" l="1"/>
  <c r="CK1348" i="5" s="1"/>
  <c r="CB138" i="5"/>
  <c r="CB37" i="5"/>
  <c r="BJ1379" i="5"/>
  <c r="BJ1380" i="5" s="1"/>
  <c r="BT1379" i="5"/>
  <c r="BT1380" i="5" s="1"/>
  <c r="BH1379" i="5"/>
  <c r="BH1380" i="5" s="1"/>
  <c r="CA1379" i="5"/>
  <c r="CA1380" i="5" s="1"/>
  <c r="J149" i="10" s="1"/>
  <c r="G149" i="10"/>
  <c r="I12" i="25"/>
  <c r="F10" i="25"/>
  <c r="F38" i="25" s="1"/>
  <c r="D147" i="10"/>
  <c r="AV1392" i="5"/>
  <c r="AV1393" i="5" s="1"/>
  <c r="AY1392" i="5"/>
  <c r="AY1393" i="5" s="1"/>
  <c r="AY1396" i="5"/>
  <c r="AY1388" i="5"/>
  <c r="AY1389" i="5" s="1"/>
  <c r="AY1394" i="5"/>
  <c r="AV1390" i="5"/>
  <c r="AV1391" i="5" s="1"/>
  <c r="AV1388" i="5"/>
  <c r="AV1389" i="5" s="1"/>
  <c r="AY1390" i="5"/>
  <c r="AY1391" i="5" s="1"/>
  <c r="AV1394" i="5"/>
  <c r="AV1396" i="5"/>
  <c r="D149" i="10"/>
  <c r="F12" i="25"/>
  <c r="E149" i="10"/>
  <c r="G12" i="25"/>
  <c r="G40" i="25" s="1"/>
  <c r="K149" i="10"/>
  <c r="M12" i="25"/>
  <c r="M40" i="25" s="1"/>
  <c r="AB11" i="25"/>
  <c r="AB45" i="25" s="1"/>
  <c r="G39" i="25"/>
  <c r="AA11" i="25"/>
  <c r="J11" i="25"/>
  <c r="H148" i="10"/>
  <c r="CI1379" i="5"/>
  <c r="CI1380" i="5" s="1"/>
  <c r="CE1379" i="5"/>
  <c r="CE1380" i="5" s="1"/>
  <c r="BG1379" i="5"/>
  <c r="BG1380" i="5" s="1"/>
  <c r="BR1379" i="5"/>
  <c r="BR1380" i="5" s="1"/>
  <c r="CC1379" i="5"/>
  <c r="CC1380" i="5" s="1"/>
  <c r="BS1379" i="5"/>
  <c r="BS1380" i="5" s="1"/>
  <c r="BE1379" i="5"/>
  <c r="BE1380" i="5" s="1"/>
  <c r="CB1313" i="5"/>
  <c r="BB1327" i="5"/>
  <c r="AU1379" i="5"/>
  <c r="AU1380" i="5" s="1"/>
  <c r="BO1327" i="5"/>
  <c r="AV1379" i="5"/>
  <c r="AV1380" i="5" s="1"/>
  <c r="BP1327" i="5"/>
  <c r="BP1379" i="5" s="1"/>
  <c r="BP1380" i="5" s="1"/>
  <c r="BA1379" i="5"/>
  <c r="BA1380" i="5" s="1"/>
  <c r="AY1379" i="5"/>
  <c r="AY1380" i="5" s="1"/>
  <c r="BK1379" i="5"/>
  <c r="BK1380" i="5" s="1"/>
  <c r="BW1379" i="5"/>
  <c r="BW1380" i="5" s="1"/>
  <c r="CF1379" i="5"/>
  <c r="CF1380" i="5" s="1"/>
  <c r="BV1379" i="5"/>
  <c r="BV1380" i="5" s="1"/>
  <c r="F10" i="24"/>
  <c r="D136" i="10"/>
  <c r="D138" i="10"/>
  <c r="F12" i="24"/>
  <c r="F40" i="24" s="1"/>
  <c r="H137" i="10"/>
  <c r="AA11" i="24"/>
  <c r="J11" i="24"/>
  <c r="G39" i="24"/>
  <c r="AB11" i="24"/>
  <c r="AB45" i="24" s="1"/>
  <c r="CB133" i="5"/>
  <c r="F75" i="24"/>
  <c r="F80" i="24" s="1"/>
  <c r="BP795" i="5"/>
  <c r="BP1376" i="5" s="1"/>
  <c r="BP1377" i="5" s="1"/>
  <c r="BA1376" i="5"/>
  <c r="BA1377" i="5" s="1"/>
  <c r="BG1376" i="5"/>
  <c r="BG1377" i="5" s="1"/>
  <c r="BU1376" i="5"/>
  <c r="BU1377" i="5" s="1"/>
  <c r="CE1376" i="5"/>
  <c r="CE1377" i="5" s="1"/>
  <c r="BB795" i="5"/>
  <c r="AU1376" i="5"/>
  <c r="AU1377" i="5" s="1"/>
  <c r="BJ1376" i="5"/>
  <c r="BJ1377" i="5" s="1"/>
  <c r="BV1376" i="5"/>
  <c r="BV1377" i="5" s="1"/>
  <c r="AY1376" i="5"/>
  <c r="AY1377" i="5" s="1"/>
  <c r="BI1376" i="5"/>
  <c r="BI1377" i="5" s="1"/>
  <c r="BW1376" i="5"/>
  <c r="BW1377" i="5" s="1"/>
  <c r="CI1376" i="5"/>
  <c r="CI1377" i="5" s="1"/>
  <c r="BF1376" i="5"/>
  <c r="BF1377" i="5" s="1"/>
  <c r="BM1376" i="5"/>
  <c r="BM1377" i="5" s="1"/>
  <c r="CA1376" i="5"/>
  <c r="CA1377" i="5" s="1"/>
  <c r="CK1376" i="5"/>
  <c r="CK1377" i="5" s="1"/>
  <c r="BD1376" i="5"/>
  <c r="BD1377" i="5" s="1"/>
  <c r="BQ1376" i="5"/>
  <c r="BQ1377" i="5" s="1"/>
  <c r="BY1376" i="5"/>
  <c r="BY1377" i="5" s="1"/>
  <c r="BE1376" i="5"/>
  <c r="BE1377" i="5" s="1"/>
  <c r="BS1376" i="5"/>
  <c r="BS1377" i="5" s="1"/>
  <c r="CC1376" i="5"/>
  <c r="CC1377" i="5" s="1"/>
  <c r="BO795" i="5"/>
  <c r="AV1376" i="5"/>
  <c r="AV1377" i="5" s="1"/>
  <c r="BH1376" i="5"/>
  <c r="BH1377" i="5" s="1"/>
  <c r="BR1376" i="5"/>
  <c r="BR1377" i="5" s="1"/>
  <c r="CF1376" i="5"/>
  <c r="CF1377" i="5" s="1"/>
  <c r="AZ1376" i="5"/>
  <c r="AZ1377" i="5" s="1"/>
  <c r="BK1376" i="5"/>
  <c r="BK1377" i="5" s="1"/>
  <c r="BT1376" i="5"/>
  <c r="BT1377" i="5" s="1"/>
  <c r="CD1376" i="5"/>
  <c r="CD1377" i="5" s="1"/>
  <c r="CB247" i="5"/>
  <c r="CB311" i="5"/>
  <c r="BC133" i="5"/>
  <c r="J11" i="22"/>
  <c r="BL311" i="5"/>
  <c r="F10" i="23"/>
  <c r="D125" i="10"/>
  <c r="H126" i="10"/>
  <c r="F12" i="23"/>
  <c r="F40" i="23" s="1"/>
  <c r="D127" i="10"/>
  <c r="AB11" i="23"/>
  <c r="AB45" i="23" s="1"/>
  <c r="G39" i="23"/>
  <c r="AA11" i="23"/>
  <c r="J11" i="23"/>
  <c r="F75" i="23"/>
  <c r="F80" i="23" s="1"/>
  <c r="BN771" i="5"/>
  <c r="AU1373" i="5"/>
  <c r="AU1374" i="5" s="1"/>
  <c r="BG1373" i="5"/>
  <c r="BG1374" i="5" s="1"/>
  <c r="BS1373" i="5"/>
  <c r="BS1374" i="5" s="1"/>
  <c r="BZ1373" i="5"/>
  <c r="BZ1374" i="5" s="1"/>
  <c r="CE1373" i="5"/>
  <c r="CE1374" i="5" s="1"/>
  <c r="H104" i="10"/>
  <c r="AZ1373" i="5"/>
  <c r="AZ1374" i="5" s="1"/>
  <c r="BJ1373" i="5"/>
  <c r="BJ1374" i="5" s="1"/>
  <c r="BT1373" i="5"/>
  <c r="BT1374" i="5" s="1"/>
  <c r="CD1373" i="5"/>
  <c r="CD1374" i="5" s="1"/>
  <c r="CG1373" i="5"/>
  <c r="CG1374" i="5" s="1"/>
  <c r="BP771" i="5"/>
  <c r="BP1373" i="5" s="1"/>
  <c r="BP1374" i="5" s="1"/>
  <c r="BA1373" i="5"/>
  <c r="BA1374" i="5" s="1"/>
  <c r="BK1373" i="5"/>
  <c r="BK1374" i="5" s="1"/>
  <c r="BU1373" i="5"/>
  <c r="BU1374" i="5" s="1"/>
  <c r="CC1373" i="5"/>
  <c r="CC1374" i="5" s="1"/>
  <c r="AA39" i="22"/>
  <c r="J39" i="22"/>
  <c r="AY1373" i="5"/>
  <c r="AY1374" i="5" s="1"/>
  <c r="BI1373" i="5"/>
  <c r="BI1374" i="5" s="1"/>
  <c r="BW1373" i="5"/>
  <c r="BW1374" i="5" s="1"/>
  <c r="CF1373" i="5"/>
  <c r="CF1374" i="5" s="1"/>
  <c r="BF1373" i="5"/>
  <c r="BF1374" i="5" s="1"/>
  <c r="BL1373" i="5"/>
  <c r="BL1374" i="5" s="1"/>
  <c r="BV1373" i="5"/>
  <c r="BV1374" i="5" s="1"/>
  <c r="CI1373" i="5"/>
  <c r="CI1374" i="5" s="1"/>
  <c r="F10" i="22"/>
  <c r="F38" i="22" s="1"/>
  <c r="D114" i="10"/>
  <c r="BD1373" i="5"/>
  <c r="BD1374" i="5" s="1"/>
  <c r="BM1373" i="5"/>
  <c r="BM1374" i="5" s="1"/>
  <c r="CA1373" i="5"/>
  <c r="CA1374" i="5" s="1"/>
  <c r="CK1373" i="5"/>
  <c r="CK1374" i="5" s="1"/>
  <c r="F12" i="22"/>
  <c r="D116" i="10"/>
  <c r="AB45" i="22"/>
  <c r="BE1373" i="5"/>
  <c r="BE1374" i="5" s="1"/>
  <c r="BQ1373" i="5"/>
  <c r="BQ1374" i="5" s="1"/>
  <c r="BX1373" i="5"/>
  <c r="BX1374" i="5" s="1"/>
  <c r="CH1373" i="5"/>
  <c r="CH1374" i="5" s="1"/>
  <c r="BC771" i="5"/>
  <c r="AV1373" i="5"/>
  <c r="AV1374" i="5" s="1"/>
  <c r="BH1373" i="5"/>
  <c r="BH1374" i="5" s="1"/>
  <c r="BR1373" i="5"/>
  <c r="BR1374" i="5" s="1"/>
  <c r="BY1373" i="5"/>
  <c r="BY1374" i="5" s="1"/>
  <c r="CJ1373" i="5"/>
  <c r="CJ1374" i="5" s="1"/>
  <c r="F75" i="22"/>
  <c r="F80" i="22" s="1"/>
  <c r="BP765" i="5"/>
  <c r="BP1371" i="5" s="1"/>
  <c r="BP1372" i="5" s="1"/>
  <c r="BA1371" i="5"/>
  <c r="BA1372" i="5" s="1"/>
  <c r="BK1371" i="5"/>
  <c r="BK1372" i="5" s="1"/>
  <c r="BW1371" i="5"/>
  <c r="BW1372" i="5" s="1"/>
  <c r="CK1371" i="5"/>
  <c r="CK1372" i="5" s="1"/>
  <c r="BD1371" i="5"/>
  <c r="BD1372" i="5" s="1"/>
  <c r="BM1371" i="5"/>
  <c r="BM1372" i="5" s="1"/>
  <c r="BY1371" i="5"/>
  <c r="BY1372" i="5" s="1"/>
  <c r="BF1371" i="5"/>
  <c r="BF1372" i="5" s="1"/>
  <c r="BQ1371" i="5"/>
  <c r="BQ1372" i="5" s="1"/>
  <c r="CA1371" i="5"/>
  <c r="CA1372" i="5" s="1"/>
  <c r="BE1371" i="5"/>
  <c r="BE1372" i="5" s="1"/>
  <c r="BS1371" i="5"/>
  <c r="BS1372" i="5" s="1"/>
  <c r="CC1371" i="5"/>
  <c r="CC1372" i="5" s="1"/>
  <c r="BO765" i="5"/>
  <c r="AV1371" i="5"/>
  <c r="AV1372" i="5" s="1"/>
  <c r="BG1371" i="5"/>
  <c r="BG1372" i="5" s="1"/>
  <c r="BT1371" i="5"/>
  <c r="BT1372" i="5" s="1"/>
  <c r="CD1371" i="5"/>
  <c r="CD1372" i="5" s="1"/>
  <c r="F10" i="21"/>
  <c r="D103" i="10"/>
  <c r="BN765" i="5"/>
  <c r="AU1371" i="5"/>
  <c r="AU1372" i="5" s="1"/>
  <c r="BH1371" i="5"/>
  <c r="BH1372" i="5" s="1"/>
  <c r="BR1371" i="5"/>
  <c r="BR1372" i="5" s="1"/>
  <c r="CE1371" i="5"/>
  <c r="CE1372" i="5" s="1"/>
  <c r="D105" i="10"/>
  <c r="F12" i="21"/>
  <c r="F40" i="21" s="1"/>
  <c r="AY1371" i="5"/>
  <c r="AY1372" i="5" s="1"/>
  <c r="BI1371" i="5"/>
  <c r="BI1372" i="5" s="1"/>
  <c r="BU1371" i="5"/>
  <c r="BU1372" i="5" s="1"/>
  <c r="CF1371" i="5"/>
  <c r="CF1372" i="5" s="1"/>
  <c r="AZ1371" i="5"/>
  <c r="AZ1372" i="5" s="1"/>
  <c r="BJ1371" i="5"/>
  <c r="BJ1372" i="5" s="1"/>
  <c r="BV1371" i="5"/>
  <c r="BV1372" i="5" s="1"/>
  <c r="CI1371" i="5"/>
  <c r="CI1372" i="5" s="1"/>
  <c r="G39" i="21"/>
  <c r="AB11" i="21"/>
  <c r="AB45" i="21" s="1"/>
  <c r="AA11" i="21"/>
  <c r="J11" i="21"/>
  <c r="BL16" i="5"/>
  <c r="F75" i="21"/>
  <c r="F80" i="21" s="1"/>
  <c r="CB156" i="5"/>
  <c r="BB632" i="5"/>
  <c r="AU1369" i="5"/>
  <c r="AU1370" i="5" s="1"/>
  <c r="BG1369" i="5"/>
  <c r="BG1370" i="5" s="1"/>
  <c r="BR1369" i="5"/>
  <c r="BR1370" i="5" s="1"/>
  <c r="BZ1369" i="5"/>
  <c r="BZ1370" i="5" s="1"/>
  <c r="CJ1369" i="5"/>
  <c r="CJ1370" i="5" s="1"/>
  <c r="BP632" i="5"/>
  <c r="BP1369" i="5" s="1"/>
  <c r="BP1370" i="5" s="1"/>
  <c r="BA1369" i="5"/>
  <c r="BA1370" i="5" s="1"/>
  <c r="BH1369" i="5"/>
  <c r="BH1370" i="5" s="1"/>
  <c r="BS1369" i="5"/>
  <c r="BS1370" i="5" s="1"/>
  <c r="CA1369" i="5"/>
  <c r="CA1370" i="5" s="1"/>
  <c r="CH1369" i="5"/>
  <c r="CH1370" i="5" s="1"/>
  <c r="AY1369" i="5"/>
  <c r="AY1370" i="5" s="1"/>
  <c r="BI1369" i="5"/>
  <c r="BI1370" i="5" s="1"/>
  <c r="BT1369" i="5"/>
  <c r="BT1370" i="5" s="1"/>
  <c r="CD1369" i="5"/>
  <c r="CD1370" i="5" s="1"/>
  <c r="CK1369" i="5"/>
  <c r="CK1370" i="5" s="1"/>
  <c r="BO632" i="5"/>
  <c r="AV1369" i="5"/>
  <c r="AV1370" i="5" s="1"/>
  <c r="BJ1369" i="5"/>
  <c r="BJ1370" i="5" s="1"/>
  <c r="BU1369" i="5"/>
  <c r="BU1370" i="5" s="1"/>
  <c r="CC1369" i="5"/>
  <c r="CC1370" i="5" s="1"/>
  <c r="CB266" i="5"/>
  <c r="AZ1369" i="5"/>
  <c r="AZ1370" i="5" s="1"/>
  <c r="BK1369" i="5"/>
  <c r="BK1370" i="5" s="1"/>
  <c r="BW1369" i="5"/>
  <c r="BW1370" i="5" s="1"/>
  <c r="CI1369" i="5"/>
  <c r="CI1370" i="5" s="1"/>
  <c r="BD1369" i="5"/>
  <c r="BD1370" i="5" s="1"/>
  <c r="BM1369" i="5"/>
  <c r="BM1370" i="5" s="1"/>
  <c r="BV1369" i="5"/>
  <c r="BV1370" i="5" s="1"/>
  <c r="CE1369" i="5"/>
  <c r="CE1370" i="5" s="1"/>
  <c r="BE1369" i="5"/>
  <c r="BE1370" i="5" s="1"/>
  <c r="BL1369" i="5"/>
  <c r="BL1370" i="5" s="1"/>
  <c r="BX1369" i="5"/>
  <c r="BX1370" i="5" s="1"/>
  <c r="CG1369" i="5"/>
  <c r="CG1370" i="5" s="1"/>
  <c r="BF1369" i="5"/>
  <c r="BF1370" i="5" s="1"/>
  <c r="BQ1369" i="5"/>
  <c r="BQ1370" i="5" s="1"/>
  <c r="BY1369" i="5"/>
  <c r="BY1370" i="5" s="1"/>
  <c r="CF1369" i="5"/>
  <c r="CF1370" i="5" s="1"/>
  <c r="CB16" i="5"/>
  <c r="BL21" i="5"/>
  <c r="BL35" i="5"/>
  <c r="BN7" i="5"/>
  <c r="BZ7" i="5" s="1"/>
  <c r="BQ1347" i="5"/>
  <c r="BQ1348" i="5" s="1"/>
  <c r="BC21" i="5"/>
  <c r="BB220" i="5"/>
  <c r="BC1305" i="5"/>
  <c r="H93" i="10"/>
  <c r="F10" i="20"/>
  <c r="D92" i="10"/>
  <c r="F12" i="20"/>
  <c r="F40" i="20" s="1"/>
  <c r="D94" i="10"/>
  <c r="AB11" i="20"/>
  <c r="AB45" i="20" s="1"/>
  <c r="AA11" i="20"/>
  <c r="G39" i="20"/>
  <c r="J11" i="20"/>
  <c r="BL5" i="5"/>
  <c r="BL10" i="5"/>
  <c r="CB69" i="5"/>
  <c r="CB119" i="5"/>
  <c r="BN13" i="5"/>
  <c r="BZ13" i="5" s="1"/>
  <c r="BC13" i="5"/>
  <c r="BN28" i="5"/>
  <c r="BO5" i="5"/>
  <c r="CB220" i="5"/>
  <c r="AZ1347" i="5"/>
  <c r="AZ1348" i="5" s="1"/>
  <c r="E50" i="10" s="1"/>
  <c r="BZ74" i="5"/>
  <c r="L62" i="10"/>
  <c r="CB23" i="5"/>
  <c r="BE1366" i="5"/>
  <c r="BE1367" i="5" s="1"/>
  <c r="BM1366" i="5"/>
  <c r="BM1367" i="5" s="1"/>
  <c r="CA1366" i="5"/>
  <c r="CA1367" i="5" s="1"/>
  <c r="BD1366" i="5"/>
  <c r="BD1367" i="5" s="1"/>
  <c r="BQ1366" i="5"/>
  <c r="BQ1367" i="5" s="1"/>
  <c r="BY1366" i="5"/>
  <c r="BY1367" i="5" s="1"/>
  <c r="BF1366" i="5"/>
  <c r="BF1367" i="5" s="1"/>
  <c r="BR1366" i="5"/>
  <c r="BR1367" i="5" s="1"/>
  <c r="CC1366" i="5"/>
  <c r="CC1367" i="5" s="1"/>
  <c r="BX69" i="5"/>
  <c r="AU1366" i="5"/>
  <c r="AU1367" i="5" s="1"/>
  <c r="BG1366" i="5"/>
  <c r="BG1367" i="5" s="1"/>
  <c r="BT1366" i="5"/>
  <c r="BT1367" i="5" s="1"/>
  <c r="CF1366" i="5"/>
  <c r="CF1367" i="5" s="1"/>
  <c r="BL7" i="5"/>
  <c r="AY1366" i="5"/>
  <c r="AY1367" i="5" s="1"/>
  <c r="BI1366" i="5"/>
  <c r="BI1367" i="5" s="1"/>
  <c r="BS1366" i="5"/>
  <c r="BS1367" i="5" s="1"/>
  <c r="CE1366" i="5"/>
  <c r="CE1367" i="5" s="1"/>
  <c r="CB83" i="5"/>
  <c r="AZ1366" i="5"/>
  <c r="AZ1367" i="5" s="1"/>
  <c r="BJ1366" i="5"/>
  <c r="BJ1367" i="5" s="1"/>
  <c r="BU1366" i="5"/>
  <c r="BU1367" i="5" s="1"/>
  <c r="CD1366" i="5"/>
  <c r="CD1367" i="5" s="1"/>
  <c r="BC198" i="5"/>
  <c r="AV1366" i="5"/>
  <c r="AV1367" i="5" s="1"/>
  <c r="BH1366" i="5"/>
  <c r="BH1367" i="5" s="1"/>
  <c r="BV1366" i="5"/>
  <c r="BV1367" i="5" s="1"/>
  <c r="CK1366" i="5"/>
  <c r="CK1367" i="5" s="1"/>
  <c r="CB151" i="5"/>
  <c r="BP198" i="5"/>
  <c r="BP1366" i="5" s="1"/>
  <c r="BP1367" i="5" s="1"/>
  <c r="BA1366" i="5"/>
  <c r="BA1367" i="5" s="1"/>
  <c r="BK1366" i="5"/>
  <c r="BK1367" i="5" s="1"/>
  <c r="BW1366" i="5"/>
  <c r="BW1367" i="5" s="1"/>
  <c r="CI1366" i="5"/>
  <c r="CI1367" i="5" s="1"/>
  <c r="AY1347" i="5"/>
  <c r="AY1348" i="5" s="1"/>
  <c r="G10" i="16" s="1"/>
  <c r="CD1347" i="5"/>
  <c r="CD1348" i="5" s="1"/>
  <c r="BO266" i="5"/>
  <c r="BL165" i="5"/>
  <c r="AZ1351" i="5"/>
  <c r="AZ1352" i="5" s="1"/>
  <c r="BL19" i="5"/>
  <c r="BX87" i="5"/>
  <c r="CB101" i="5"/>
  <c r="CB92" i="5"/>
  <c r="BN92" i="5"/>
  <c r="BZ92" i="5" s="1"/>
  <c r="BC69" i="5"/>
  <c r="BB60" i="5"/>
  <c r="BZ60" i="5" s="1"/>
  <c r="AC45" i="17"/>
  <c r="AC39" i="18"/>
  <c r="BF1347" i="5"/>
  <c r="BF1348" i="5" s="1"/>
  <c r="H71" i="10"/>
  <c r="AA11" i="19"/>
  <c r="N41" i="17"/>
  <c r="CC1347" i="5"/>
  <c r="CC1348" i="5" s="1"/>
  <c r="AB11" i="19"/>
  <c r="AB45" i="19" s="1"/>
  <c r="G39" i="19"/>
  <c r="AA39" i="19" s="1"/>
  <c r="AC39" i="19" s="1"/>
  <c r="J38" i="12"/>
  <c r="CF1351" i="5"/>
  <c r="CF1352" i="5" s="1"/>
  <c r="J39" i="18"/>
  <c r="BB159" i="5"/>
  <c r="AU1363" i="5"/>
  <c r="AU1364" i="5" s="1"/>
  <c r="AB38" i="17"/>
  <c r="AB44" i="17" s="1"/>
  <c r="AA45" i="18"/>
  <c r="BO159" i="5"/>
  <c r="AV1363" i="5"/>
  <c r="AV1364" i="5" s="1"/>
  <c r="AZ1363" i="5"/>
  <c r="AZ1364" i="5" s="1"/>
  <c r="AY1363" i="5"/>
  <c r="AY1364" i="5" s="1"/>
  <c r="AB45" i="18"/>
  <c r="BP159" i="5"/>
  <c r="BP1363" i="5" s="1"/>
  <c r="BP1364" i="5" s="1"/>
  <c r="BA1363" i="5"/>
  <c r="BA1364" i="5" s="1"/>
  <c r="F10" i="19"/>
  <c r="F38" i="19" s="1"/>
  <c r="D81" i="10"/>
  <c r="BV1351" i="5"/>
  <c r="BV1352" i="5" s="1"/>
  <c r="F10" i="18"/>
  <c r="D70" i="10"/>
  <c r="F12" i="19"/>
  <c r="D83" i="10"/>
  <c r="D72" i="10"/>
  <c r="F12" i="18"/>
  <c r="F40" i="18" s="1"/>
  <c r="J11" i="18"/>
  <c r="BM1363" i="5"/>
  <c r="BM1364" i="5" s="1"/>
  <c r="BT1363" i="5"/>
  <c r="BT1364" i="5" s="1"/>
  <c r="CD1363" i="5"/>
  <c r="CD1364" i="5" s="1"/>
  <c r="BI1363" i="5"/>
  <c r="BI1364" i="5" s="1"/>
  <c r="BW1363" i="5"/>
  <c r="BW1364" i="5" s="1"/>
  <c r="BD1363" i="5"/>
  <c r="BD1364" i="5" s="1"/>
  <c r="BV1363" i="5"/>
  <c r="BV1364" i="5" s="1"/>
  <c r="CF1363" i="5"/>
  <c r="CF1364" i="5" s="1"/>
  <c r="BL64" i="5"/>
  <c r="BF1363" i="5"/>
  <c r="BF1364" i="5" s="1"/>
  <c r="BK1363" i="5"/>
  <c r="BK1364" i="5" s="1"/>
  <c r="BY1363" i="5"/>
  <c r="BY1364" i="5" s="1"/>
  <c r="BE1363" i="5"/>
  <c r="BE1364" i="5" s="1"/>
  <c r="BR1363" i="5"/>
  <c r="BR1364" i="5" s="1"/>
  <c r="CI1363" i="5"/>
  <c r="CI1364" i="5" s="1"/>
  <c r="BG1363" i="5"/>
  <c r="BG1364" i="5" s="1"/>
  <c r="BQ1363" i="5"/>
  <c r="BQ1364" i="5" s="1"/>
  <c r="CA1363" i="5"/>
  <c r="CA1364" i="5" s="1"/>
  <c r="CE1363" i="5"/>
  <c r="CE1364" i="5" s="1"/>
  <c r="BJ1363" i="5"/>
  <c r="BJ1364" i="5" s="1"/>
  <c r="BS1363" i="5"/>
  <c r="BS1364" i="5" s="1"/>
  <c r="BH1363" i="5"/>
  <c r="BH1364" i="5" s="1"/>
  <c r="BU1363" i="5"/>
  <c r="BU1364" i="5" s="1"/>
  <c r="CC1363" i="5"/>
  <c r="CC1364" i="5" s="1"/>
  <c r="CK1363" i="5"/>
  <c r="CK1364" i="5" s="1"/>
  <c r="N38" i="17"/>
  <c r="CJ1351" i="5"/>
  <c r="CJ1352" i="5" s="1"/>
  <c r="AC10" i="17"/>
  <c r="F75" i="18"/>
  <c r="F80" i="18" s="1"/>
  <c r="BU1347" i="5"/>
  <c r="BU1348" i="5" s="1"/>
  <c r="F44" i="17"/>
  <c r="BE1361" i="5"/>
  <c r="BE1362" i="5" s="1"/>
  <c r="BL1361" i="5"/>
  <c r="BL1362" i="5" s="1"/>
  <c r="BX1361" i="5"/>
  <c r="BX1362" i="5" s="1"/>
  <c r="CE1361" i="5"/>
  <c r="CE1362" i="5" s="1"/>
  <c r="J13" i="17"/>
  <c r="BF1361" i="5"/>
  <c r="BF1362" i="5" s="1"/>
  <c r="BQ1361" i="5"/>
  <c r="BQ1362" i="5" s="1"/>
  <c r="BY1361" i="5"/>
  <c r="BY1362" i="5" s="1"/>
  <c r="CJ1361" i="5"/>
  <c r="CJ1362" i="5" s="1"/>
  <c r="BB152" i="5"/>
  <c r="AU1361" i="5"/>
  <c r="AU1362" i="5" s="1"/>
  <c r="BG1361" i="5"/>
  <c r="BG1362" i="5" s="1"/>
  <c r="BR1361" i="5"/>
  <c r="BR1362" i="5" s="1"/>
  <c r="BZ1361" i="5"/>
  <c r="BZ1362" i="5" s="1"/>
  <c r="CF1361" i="5"/>
  <c r="CF1362" i="5" s="1"/>
  <c r="AY1361" i="5"/>
  <c r="AY1362" i="5" s="1"/>
  <c r="BH1361" i="5"/>
  <c r="BH1362" i="5" s="1"/>
  <c r="BS1361" i="5"/>
  <c r="BS1362" i="5" s="1"/>
  <c r="CA1361" i="5"/>
  <c r="CA1362" i="5" s="1"/>
  <c r="CH1361" i="5"/>
  <c r="CH1362" i="5" s="1"/>
  <c r="BO152" i="5"/>
  <c r="AV1361" i="5"/>
  <c r="AV1362" i="5" s="1"/>
  <c r="BI1361" i="5"/>
  <c r="BI1362" i="5" s="1"/>
  <c r="BT1361" i="5"/>
  <c r="BT1362" i="5" s="1"/>
  <c r="CG1361" i="5"/>
  <c r="CG1362" i="5" s="1"/>
  <c r="CK1361" i="5"/>
  <c r="CK1362" i="5" s="1"/>
  <c r="AZ1361" i="5"/>
  <c r="AZ1362" i="5" s="1"/>
  <c r="BJ1361" i="5"/>
  <c r="BJ1362" i="5" s="1"/>
  <c r="BU1361" i="5"/>
  <c r="BU1362" i="5" s="1"/>
  <c r="CC1361" i="5"/>
  <c r="CC1362" i="5" s="1"/>
  <c r="H62" i="10"/>
  <c r="F64" i="10" s="1"/>
  <c r="F65" i="10" s="1"/>
  <c r="BP152" i="5"/>
  <c r="BP1361" i="5" s="1"/>
  <c r="BP1362" i="5" s="1"/>
  <c r="BA1361" i="5"/>
  <c r="BA1362" i="5" s="1"/>
  <c r="BK1361" i="5"/>
  <c r="BK1362" i="5" s="1"/>
  <c r="BW1361" i="5"/>
  <c r="BW1362" i="5" s="1"/>
  <c r="CI1361" i="5"/>
  <c r="CI1362" i="5" s="1"/>
  <c r="G41" i="17"/>
  <c r="J38" i="17"/>
  <c r="J41" i="17" s="1"/>
  <c r="H51" i="17" s="1"/>
  <c r="H52" i="17" s="1"/>
  <c r="H56" i="17" s="1"/>
  <c r="H60" i="17" s="1"/>
  <c r="H44" i="17" s="1"/>
  <c r="AA38" i="17"/>
  <c r="AA44" i="17" s="1"/>
  <c r="AC44" i="17" s="1"/>
  <c r="BD1361" i="5"/>
  <c r="BD1362" i="5" s="1"/>
  <c r="BM1361" i="5"/>
  <c r="BM1362" i="5" s="1"/>
  <c r="BV1361" i="5"/>
  <c r="BV1362" i="5" s="1"/>
  <c r="CD1361" i="5"/>
  <c r="CD1362" i="5" s="1"/>
  <c r="F45" i="17"/>
  <c r="F75" i="17"/>
  <c r="F80" i="17" s="1"/>
  <c r="BF1353" i="5"/>
  <c r="BF1354" i="5" s="1"/>
  <c r="BH1351" i="5"/>
  <c r="BH1352" i="5" s="1"/>
  <c r="BS1351" i="5"/>
  <c r="BS1352" i="5" s="1"/>
  <c r="CE1351" i="5"/>
  <c r="CE1352" i="5" s="1"/>
  <c r="AY1357" i="5"/>
  <c r="AY1358" i="5" s="1"/>
  <c r="BI1357" i="5"/>
  <c r="BI1358" i="5" s="1"/>
  <c r="BR1357" i="5"/>
  <c r="BR1358" i="5" s="1"/>
  <c r="CC1357" i="5"/>
  <c r="CC1358" i="5" s="1"/>
  <c r="CK1357" i="5"/>
  <c r="CK1358" i="5" s="1"/>
  <c r="AZ1357" i="5"/>
  <c r="AZ1358" i="5" s="1"/>
  <c r="BJ1357" i="5"/>
  <c r="BJ1358" i="5" s="1"/>
  <c r="BT1357" i="5"/>
  <c r="BT1358" i="5" s="1"/>
  <c r="CG1357" i="5"/>
  <c r="CG1358" i="5" s="1"/>
  <c r="BP141" i="5"/>
  <c r="BP1357" i="5" s="1"/>
  <c r="BP1358" i="5" s="1"/>
  <c r="BA1357" i="5"/>
  <c r="BA1358" i="5" s="1"/>
  <c r="BL1357" i="5"/>
  <c r="BL1358" i="5" s="1"/>
  <c r="BV1357" i="5"/>
  <c r="BV1358" i="5" s="1"/>
  <c r="CJ1357" i="5"/>
  <c r="CJ1358" i="5" s="1"/>
  <c r="BD1357" i="5"/>
  <c r="BD1358" i="5" s="1"/>
  <c r="BK1357" i="5"/>
  <c r="BK1358" i="5" s="1"/>
  <c r="BW1357" i="5"/>
  <c r="BW1358" i="5" s="1"/>
  <c r="CD1357" i="5"/>
  <c r="CD1358" i="5" s="1"/>
  <c r="BE1357" i="5"/>
  <c r="BE1358" i="5" s="1"/>
  <c r="BM1357" i="5"/>
  <c r="BM1358" i="5" s="1"/>
  <c r="BX1357" i="5"/>
  <c r="BX1358" i="5" s="1"/>
  <c r="CE1357" i="5"/>
  <c r="CE1358" i="5" s="1"/>
  <c r="BF1357" i="5"/>
  <c r="BF1358" i="5" s="1"/>
  <c r="BQ1357" i="5"/>
  <c r="BQ1358" i="5" s="1"/>
  <c r="BY1357" i="5"/>
  <c r="BY1358" i="5" s="1"/>
  <c r="CF1357" i="5"/>
  <c r="CF1358" i="5" s="1"/>
  <c r="BB141" i="5"/>
  <c r="AU1357" i="5"/>
  <c r="AU1358" i="5" s="1"/>
  <c r="BG1357" i="5"/>
  <c r="BG1358" i="5" s="1"/>
  <c r="BS1357" i="5"/>
  <c r="BS1358" i="5" s="1"/>
  <c r="BZ1357" i="5"/>
  <c r="BZ1358" i="5" s="1"/>
  <c r="CH1357" i="5"/>
  <c r="CH1358" i="5" s="1"/>
  <c r="BO141" i="5"/>
  <c r="AV1357" i="5"/>
  <c r="AV1358" i="5" s="1"/>
  <c r="BH1357" i="5"/>
  <c r="BH1358" i="5" s="1"/>
  <c r="BU1357" i="5"/>
  <c r="BU1358" i="5" s="1"/>
  <c r="CA1357" i="5"/>
  <c r="CA1358" i="5" s="1"/>
  <c r="CI1357" i="5"/>
  <c r="CI1358" i="5" s="1"/>
  <c r="AZ1355" i="5"/>
  <c r="AZ1356" i="5" s="1"/>
  <c r="BH1355" i="5"/>
  <c r="BH1356" i="5" s="1"/>
  <c r="BT1355" i="5"/>
  <c r="BT1356" i="5" s="1"/>
  <c r="CC1355" i="5"/>
  <c r="CC1356" i="5" s="1"/>
  <c r="BL1355" i="5"/>
  <c r="BL1356" i="5" s="1"/>
  <c r="BV1355" i="5"/>
  <c r="BV1356" i="5" s="1"/>
  <c r="CF1355" i="5"/>
  <c r="CF1356" i="5" s="1"/>
  <c r="BD1355" i="5"/>
  <c r="BD1356" i="5" s="1"/>
  <c r="BK1355" i="5"/>
  <c r="BK1356" i="5" s="1"/>
  <c r="BY1355" i="5"/>
  <c r="BY1356" i="5" s="1"/>
  <c r="CD1355" i="5"/>
  <c r="CD1356" i="5" s="1"/>
  <c r="BE1355" i="5"/>
  <c r="BE1356" i="5" s="1"/>
  <c r="BM1355" i="5"/>
  <c r="BM1356" i="5" s="1"/>
  <c r="BW1355" i="5"/>
  <c r="BW1356" i="5" s="1"/>
  <c r="CI1355" i="5"/>
  <c r="CI1356" i="5" s="1"/>
  <c r="BG1355" i="5"/>
  <c r="BG1356" i="5" s="1"/>
  <c r="BS1355" i="5"/>
  <c r="BS1356" i="5" s="1"/>
  <c r="CA1355" i="5"/>
  <c r="CA1356" i="5" s="1"/>
  <c r="CG1355" i="5"/>
  <c r="CG1356" i="5" s="1"/>
  <c r="BF1355" i="5"/>
  <c r="BF1356" i="5" s="1"/>
  <c r="BQ1355" i="5"/>
  <c r="BQ1356" i="5" s="1"/>
  <c r="BZ1355" i="5"/>
  <c r="BZ1356" i="5" s="1"/>
  <c r="CH1355" i="5"/>
  <c r="CH1356" i="5" s="1"/>
  <c r="BI1355" i="5"/>
  <c r="BI1356" i="5" s="1"/>
  <c r="BR1355" i="5"/>
  <c r="BR1356" i="5" s="1"/>
  <c r="BX1355" i="5"/>
  <c r="BX1356" i="5" s="1"/>
  <c r="CJ1355" i="5"/>
  <c r="CJ1356" i="5" s="1"/>
  <c r="AY1355" i="5"/>
  <c r="AY1356" i="5" s="1"/>
  <c r="BJ1355" i="5"/>
  <c r="BJ1356" i="5" s="1"/>
  <c r="BU1355" i="5"/>
  <c r="BU1356" i="5" s="1"/>
  <c r="CE1355" i="5"/>
  <c r="CE1356" i="5" s="1"/>
  <c r="CK1355" i="5"/>
  <c r="CK1356" i="5" s="1"/>
  <c r="AV1355" i="5"/>
  <c r="AV1356" i="5" s="1"/>
  <c r="AU1355" i="5"/>
  <c r="AU1356" i="5" s="1"/>
  <c r="BN128" i="5"/>
  <c r="BB128" i="5"/>
  <c r="BA1355" i="5"/>
  <c r="BA1356" i="5" s="1"/>
  <c r="BP1355" i="5"/>
  <c r="BP1356" i="5" s="1"/>
  <c r="CA1351" i="5"/>
  <c r="CA1352" i="5" s="1"/>
  <c r="CH1351" i="5"/>
  <c r="CH1352" i="5" s="1"/>
  <c r="BQ1353" i="5"/>
  <c r="BQ1354" i="5" s="1"/>
  <c r="BL1351" i="5"/>
  <c r="BL1352" i="5" s="1"/>
  <c r="CA1353" i="5"/>
  <c r="CA1354" i="5" s="1"/>
  <c r="BG1353" i="5"/>
  <c r="BG1354" i="5" s="1"/>
  <c r="BD1353" i="5"/>
  <c r="BD1354" i="5" s="1"/>
  <c r="BM1353" i="5"/>
  <c r="BM1354" i="5" s="1"/>
  <c r="BX1353" i="5"/>
  <c r="BX1354" i="5" s="1"/>
  <c r="CD1353" i="5"/>
  <c r="CD1354" i="5" s="1"/>
  <c r="BR1353" i="5"/>
  <c r="BR1354" i="5" s="1"/>
  <c r="CG1353" i="5"/>
  <c r="CG1354" i="5" s="1"/>
  <c r="BN118" i="5"/>
  <c r="AU1353" i="5"/>
  <c r="AU1354" i="5" s="1"/>
  <c r="BZ1353" i="5"/>
  <c r="BZ1354" i="5" s="1"/>
  <c r="CH1353" i="5"/>
  <c r="CH1354" i="5" s="1"/>
  <c r="BC118" i="5"/>
  <c r="AV1353" i="5"/>
  <c r="AV1354" i="5" s="1"/>
  <c r="BI1353" i="5"/>
  <c r="BI1354" i="5" s="1"/>
  <c r="BT1353" i="5"/>
  <c r="BT1354" i="5" s="1"/>
  <c r="BY1353" i="5"/>
  <c r="BY1354" i="5" s="1"/>
  <c r="CI1353" i="5"/>
  <c r="CI1354" i="5" s="1"/>
  <c r="AY1353" i="5"/>
  <c r="AY1354" i="5" s="1"/>
  <c r="BJ1353" i="5"/>
  <c r="BJ1354" i="5" s="1"/>
  <c r="BS1353" i="5"/>
  <c r="BS1354" i="5" s="1"/>
  <c r="CE1353" i="5"/>
  <c r="CE1354" i="5" s="1"/>
  <c r="CJ1353" i="5"/>
  <c r="CJ1354" i="5" s="1"/>
  <c r="AZ1353" i="5"/>
  <c r="AZ1354" i="5" s="1"/>
  <c r="BH1353" i="5"/>
  <c r="BH1354" i="5" s="1"/>
  <c r="BU1353" i="5"/>
  <c r="BU1354" i="5" s="1"/>
  <c r="CC1353" i="5"/>
  <c r="CC1354" i="5" s="1"/>
  <c r="BP118" i="5"/>
  <c r="BP1353" i="5" s="1"/>
  <c r="BP1354" i="5" s="1"/>
  <c r="BA1353" i="5"/>
  <c r="BA1354" i="5" s="1"/>
  <c r="BL1353" i="5"/>
  <c r="BL1354" i="5" s="1"/>
  <c r="BV1353" i="5"/>
  <c r="BV1354" i="5" s="1"/>
  <c r="CF1353" i="5"/>
  <c r="CF1354" i="5" s="1"/>
  <c r="BE1353" i="5"/>
  <c r="BE1354" i="5" s="1"/>
  <c r="BK1353" i="5"/>
  <c r="BK1354" i="5" s="1"/>
  <c r="BW1353" i="5"/>
  <c r="BW1354" i="5" s="1"/>
  <c r="CK1353" i="5"/>
  <c r="CK1354" i="5" s="1"/>
  <c r="BR1347" i="5"/>
  <c r="BR1348" i="5" s="1"/>
  <c r="BE1347" i="5"/>
  <c r="BE1348" i="5" s="1"/>
  <c r="BJ1351" i="5"/>
  <c r="BJ1352" i="5" s="1"/>
  <c r="CI1351" i="5"/>
  <c r="CI1352" i="5" s="1"/>
  <c r="BR1351" i="5"/>
  <c r="BR1352" i="5" s="1"/>
  <c r="BW1351" i="5"/>
  <c r="BW1352" i="5" s="1"/>
  <c r="CC1351" i="5"/>
  <c r="CC1352" i="5" s="1"/>
  <c r="BX1351" i="5"/>
  <c r="BX1352" i="5" s="1"/>
  <c r="BC116" i="5"/>
  <c r="AV1351" i="5"/>
  <c r="AV1352" i="5" s="1"/>
  <c r="BQ1351" i="5"/>
  <c r="BQ1352" i="5" s="1"/>
  <c r="BN116" i="5"/>
  <c r="BN1351" i="5" s="1"/>
  <c r="BN1352" i="5" s="1"/>
  <c r="AU1351" i="5"/>
  <c r="AU1352" i="5" s="1"/>
  <c r="BI1351" i="5"/>
  <c r="BI1352" i="5" s="1"/>
  <c r="CK1351" i="5"/>
  <c r="CK1352" i="5" s="1"/>
  <c r="BP116" i="5"/>
  <c r="BP1351" i="5" s="1"/>
  <c r="BP1352" i="5" s="1"/>
  <c r="BA1351" i="5"/>
  <c r="BA1352" i="5" s="1"/>
  <c r="BM1351" i="5"/>
  <c r="BM1352" i="5" s="1"/>
  <c r="CD1351" i="5"/>
  <c r="CD1352" i="5" s="1"/>
  <c r="BH1347" i="5"/>
  <c r="BH1348" i="5" s="1"/>
  <c r="CB39" i="5"/>
  <c r="CI1347" i="5"/>
  <c r="CI1348" i="5" s="1"/>
  <c r="BN104" i="5"/>
  <c r="AU1349" i="5"/>
  <c r="AU1350" i="5" s="1"/>
  <c r="BG1349" i="5"/>
  <c r="BG1350" i="5" s="1"/>
  <c r="BR1349" i="5"/>
  <c r="BR1350" i="5" s="1"/>
  <c r="BZ1349" i="5"/>
  <c r="BZ1350" i="5" s="1"/>
  <c r="CF1349" i="5"/>
  <c r="CF1350" i="5" s="1"/>
  <c r="AY1349" i="5"/>
  <c r="AY1350" i="5" s="1"/>
  <c r="BI1349" i="5"/>
  <c r="BI1350" i="5" s="1"/>
  <c r="BS1349" i="5"/>
  <c r="BS1350" i="5" s="1"/>
  <c r="CA1349" i="5"/>
  <c r="CA1350" i="5" s="1"/>
  <c r="CH1349" i="5"/>
  <c r="CH1350" i="5" s="1"/>
  <c r="BO104" i="5"/>
  <c r="AV1349" i="5"/>
  <c r="AV1350" i="5" s="1"/>
  <c r="BH1349" i="5"/>
  <c r="BH1350" i="5" s="1"/>
  <c r="BU1349" i="5"/>
  <c r="BU1350" i="5" s="1"/>
  <c r="CC1349" i="5"/>
  <c r="CC1350" i="5" s="1"/>
  <c r="CK1349" i="5"/>
  <c r="CK1350" i="5" s="1"/>
  <c r="AZ1349" i="5"/>
  <c r="AZ1350" i="5" s="1"/>
  <c r="BJ1349" i="5"/>
  <c r="BJ1350" i="5" s="1"/>
  <c r="BT1349" i="5"/>
  <c r="BT1350" i="5" s="1"/>
  <c r="CD1349" i="5"/>
  <c r="CD1350" i="5" s="1"/>
  <c r="BP104" i="5"/>
  <c r="BP1349" i="5" s="1"/>
  <c r="BP1350" i="5" s="1"/>
  <c r="BA1349" i="5"/>
  <c r="BA1350" i="5" s="1"/>
  <c r="BM1349" i="5"/>
  <c r="BM1350" i="5" s="1"/>
  <c r="BW1349" i="5"/>
  <c r="BW1350" i="5" s="1"/>
  <c r="CE1349" i="5"/>
  <c r="CE1350" i="5" s="1"/>
  <c r="BD1349" i="5"/>
  <c r="BD1350" i="5" s="1"/>
  <c r="BK1349" i="5"/>
  <c r="BK1350" i="5" s="1"/>
  <c r="BX1349" i="5"/>
  <c r="BX1350" i="5" s="1"/>
  <c r="CG1349" i="5"/>
  <c r="CG1350" i="5" s="1"/>
  <c r="BE1349" i="5"/>
  <c r="BE1350" i="5" s="1"/>
  <c r="BL1349" i="5"/>
  <c r="BL1350" i="5" s="1"/>
  <c r="BV1349" i="5"/>
  <c r="BV1350" i="5" s="1"/>
  <c r="CI1349" i="5"/>
  <c r="CI1350" i="5" s="1"/>
  <c r="BF1349" i="5"/>
  <c r="BF1350" i="5" s="1"/>
  <c r="BQ1349" i="5"/>
  <c r="BQ1350" i="5" s="1"/>
  <c r="BY1349" i="5"/>
  <c r="BY1350" i="5" s="1"/>
  <c r="CJ1349" i="5"/>
  <c r="CJ1350" i="5" s="1"/>
  <c r="K50" i="10"/>
  <c r="M12" i="16"/>
  <c r="M40" i="16" s="1"/>
  <c r="H49" i="10"/>
  <c r="F10" i="16"/>
  <c r="D48" i="10"/>
  <c r="G39" i="16"/>
  <c r="AB11" i="16"/>
  <c r="AA11" i="16"/>
  <c r="D50" i="10"/>
  <c r="F12" i="16"/>
  <c r="F40" i="16" s="1"/>
  <c r="J50" i="10"/>
  <c r="L12" i="16"/>
  <c r="J11" i="16"/>
  <c r="I39" i="16"/>
  <c r="AB39" i="16" s="1"/>
  <c r="CB32" i="5"/>
  <c r="CB64" i="5"/>
  <c r="CB53" i="5"/>
  <c r="BX23" i="5"/>
  <c r="F75" i="16"/>
  <c r="F80" i="16" s="1"/>
  <c r="CE1347" i="5"/>
  <c r="CE1348" i="5" s="1"/>
  <c r="BM1347" i="5"/>
  <c r="BM1348" i="5" s="1"/>
  <c r="BN102" i="5"/>
  <c r="AU1347" i="5"/>
  <c r="AU1348" i="5" s="1"/>
  <c r="BO102" i="5"/>
  <c r="BO1347" i="5" s="1"/>
  <c r="BO1348" i="5" s="1"/>
  <c r="AV1347" i="5"/>
  <c r="AV1348" i="5" s="1"/>
  <c r="BP102" i="5"/>
  <c r="BP1347" i="5" s="1"/>
  <c r="BP1348" i="5" s="1"/>
  <c r="BA1347" i="5"/>
  <c r="BA1348" i="5" s="1"/>
  <c r="BW1347" i="5"/>
  <c r="BW1348" i="5" s="1"/>
  <c r="BZ5" i="5"/>
  <c r="BB151" i="5"/>
  <c r="H38" i="10"/>
  <c r="F12" i="15"/>
  <c r="F40" i="15" s="1"/>
  <c r="D39" i="10"/>
  <c r="BX247" i="5"/>
  <c r="G39" i="15"/>
  <c r="AB11" i="15"/>
  <c r="AB45" i="15" s="1"/>
  <c r="AA11" i="15"/>
  <c r="J11" i="15"/>
  <c r="F10" i="15"/>
  <c r="D37" i="10"/>
  <c r="BL87" i="5"/>
  <c r="BL183" i="5"/>
  <c r="L7" i="10"/>
  <c r="F75" i="15"/>
  <c r="F80" i="15" s="1"/>
  <c r="CB357" i="5"/>
  <c r="BZ247" i="5"/>
  <c r="BB51" i="5"/>
  <c r="BZ51" i="5" s="1"/>
  <c r="BO256" i="5"/>
  <c r="CB147" i="5"/>
  <c r="BE1344" i="5"/>
  <c r="BE1345" i="5" s="1"/>
  <c r="BS1344" i="5"/>
  <c r="BS1345" i="5" s="1"/>
  <c r="CA1344" i="5"/>
  <c r="CA1345" i="5" s="1"/>
  <c r="BG1344" i="5"/>
  <c r="BG1345" i="5" s="1"/>
  <c r="BQ1344" i="5"/>
  <c r="BQ1345" i="5" s="1"/>
  <c r="CC1344" i="5"/>
  <c r="CC1345" i="5" s="1"/>
  <c r="BB9" i="5"/>
  <c r="AU1344" i="5"/>
  <c r="AU1345" i="5" s="1"/>
  <c r="BF1344" i="5"/>
  <c r="BF1345" i="5" s="1"/>
  <c r="BR1344" i="5"/>
  <c r="BR1345" i="5" s="1"/>
  <c r="CD1344" i="5"/>
  <c r="CD1345" i="5" s="1"/>
  <c r="BL53" i="5"/>
  <c r="CB3" i="5"/>
  <c r="BO9" i="5"/>
  <c r="AV1344" i="5"/>
  <c r="AV1345" i="5" s="1"/>
  <c r="BI1344" i="5"/>
  <c r="BI1345" i="5" s="1"/>
  <c r="BU1344" i="5"/>
  <c r="BU1345" i="5" s="1"/>
  <c r="CE1344" i="5"/>
  <c r="CE1345" i="5" s="1"/>
  <c r="AY1344" i="5"/>
  <c r="AY1345" i="5" s="1"/>
  <c r="BJ1344" i="5"/>
  <c r="BJ1345" i="5" s="1"/>
  <c r="BT1344" i="5"/>
  <c r="BT1345" i="5" s="1"/>
  <c r="CF1344" i="5"/>
  <c r="CF1345" i="5" s="1"/>
  <c r="AZ1344" i="5"/>
  <c r="AZ1345" i="5" s="1"/>
  <c r="BH1344" i="5"/>
  <c r="BH1345" i="5" s="1"/>
  <c r="BV1344" i="5"/>
  <c r="BV1345" i="5" s="1"/>
  <c r="CI1344" i="5"/>
  <c r="CI1345" i="5" s="1"/>
  <c r="BP9" i="5"/>
  <c r="BP1344" i="5" s="1"/>
  <c r="BP1345" i="5" s="1"/>
  <c r="BA1344" i="5"/>
  <c r="BA1345" i="5" s="1"/>
  <c r="BM1344" i="5"/>
  <c r="BM1345" i="5" s="1"/>
  <c r="BY1344" i="5"/>
  <c r="BY1345" i="5" s="1"/>
  <c r="CK1344" i="5"/>
  <c r="CK1345" i="5" s="1"/>
  <c r="BD1344" i="5"/>
  <c r="BD1345" i="5" s="1"/>
  <c r="BK1344" i="5"/>
  <c r="BK1345" i="5" s="1"/>
  <c r="BW1344" i="5"/>
  <c r="BW1345" i="5" s="1"/>
  <c r="J13" i="12"/>
  <c r="H15" i="12" s="1"/>
  <c r="H16" i="12" s="1"/>
  <c r="BB147" i="5"/>
  <c r="AA45" i="13"/>
  <c r="AC45" i="13" s="1"/>
  <c r="J39" i="13"/>
  <c r="BZ10" i="5"/>
  <c r="BX19" i="5"/>
  <c r="CB19" i="5"/>
  <c r="BB39" i="5"/>
  <c r="BZ39" i="5" s="1"/>
  <c r="BB19" i="5"/>
  <c r="BZ19" i="5" s="1"/>
  <c r="AC39" i="13"/>
  <c r="CB524" i="5"/>
  <c r="CB366" i="5"/>
  <c r="BC64" i="5"/>
  <c r="CB575" i="5"/>
  <c r="BB848" i="5"/>
  <c r="BZ848" i="5" s="1"/>
  <c r="CB653" i="5"/>
  <c r="BB775" i="5"/>
  <c r="BN410" i="5"/>
  <c r="CB172" i="5"/>
  <c r="F44" i="12"/>
  <c r="BN3" i="5"/>
  <c r="BZ3" i="5" s="1"/>
  <c r="BO93" i="5"/>
  <c r="BB514" i="5"/>
  <c r="BO236" i="5"/>
  <c r="BO387" i="5"/>
  <c r="BN53" i="5"/>
  <c r="BZ53" i="5" s="1"/>
  <c r="BC295" i="5"/>
  <c r="BC1330" i="5"/>
  <c r="BC765" i="5"/>
  <c r="BB1246" i="5"/>
  <c r="BB368" i="5"/>
  <c r="BN176" i="5"/>
  <c r="BB1145" i="5"/>
  <c r="BZ1145" i="5" s="1"/>
  <c r="BN1126" i="5"/>
  <c r="BZ1126" i="5" s="1"/>
  <c r="BO11" i="5"/>
  <c r="BO720" i="5"/>
  <c r="BN663" i="5"/>
  <c r="BB623" i="5"/>
  <c r="BZ623" i="5" s="1"/>
  <c r="BC672" i="5"/>
  <c r="BB703" i="5"/>
  <c r="CB1315" i="5"/>
  <c r="BB239" i="5"/>
  <c r="BB1177" i="5"/>
  <c r="BZ1177" i="5" s="1"/>
  <c r="BC146" i="5"/>
  <c r="BO966" i="5"/>
  <c r="BC1315" i="5"/>
  <c r="BO1251" i="5"/>
  <c r="BO1177" i="5"/>
  <c r="CB584" i="5"/>
  <c r="BC880" i="5"/>
  <c r="BN701" i="5"/>
  <c r="BC390" i="5"/>
  <c r="CB73" i="5"/>
  <c r="BC496" i="5"/>
  <c r="BC15" i="5"/>
  <c r="CB636" i="5"/>
  <c r="BB643" i="5"/>
  <c r="BB791" i="5"/>
  <c r="BO499" i="5"/>
  <c r="BB321" i="5"/>
  <c r="BZ321" i="5" s="1"/>
  <c r="BB672" i="5"/>
  <c r="CB482" i="5"/>
  <c r="BO585" i="5"/>
  <c r="BB352" i="5"/>
  <c r="BC246" i="5"/>
  <c r="CB757" i="5"/>
  <c r="BC17" i="5"/>
  <c r="BN1302" i="5"/>
  <c r="BZ1302" i="5" s="1"/>
  <c r="BB1016" i="5"/>
  <c r="BZ1016" i="5" s="1"/>
  <c r="BC965" i="5"/>
  <c r="BO1080" i="5"/>
  <c r="BN427" i="5"/>
  <c r="BZ427" i="5" s="1"/>
  <c r="BC415" i="5"/>
  <c r="BC50" i="5"/>
  <c r="CB536" i="5"/>
  <c r="BB1289" i="5"/>
  <c r="BZ1289" i="5" s="1"/>
  <c r="BC1003" i="5"/>
  <c r="BC1275" i="5"/>
  <c r="CB616" i="5"/>
  <c r="BC1101" i="5"/>
  <c r="BO1118" i="5"/>
  <c r="BC923" i="5"/>
  <c r="BB992" i="5"/>
  <c r="BZ992" i="5" s="1"/>
  <c r="BC895" i="5"/>
  <c r="BC409" i="5"/>
  <c r="BN1276" i="5"/>
  <c r="BZ1276" i="5" s="1"/>
  <c r="BO979" i="5"/>
  <c r="BO500" i="5"/>
  <c r="BB279" i="5"/>
  <c r="BN343" i="5"/>
  <c r="CB291" i="5"/>
  <c r="BO1107" i="5"/>
  <c r="BB904" i="5"/>
  <c r="BZ904" i="5" s="1"/>
  <c r="BN1212" i="5"/>
  <c r="BZ1212" i="5" s="1"/>
  <c r="CB1334" i="5"/>
  <c r="BB503" i="5"/>
  <c r="BZ503" i="5" s="1"/>
  <c r="BB18" i="5"/>
  <c r="BC751" i="5"/>
  <c r="BB451" i="5"/>
  <c r="BC1005" i="5"/>
  <c r="BB42" i="5"/>
  <c r="BZ42" i="5" s="1"/>
  <c r="BC862" i="5"/>
  <c r="BC1034" i="5"/>
  <c r="BB986" i="5"/>
  <c r="BZ986" i="5" s="1"/>
  <c r="CB758" i="5"/>
  <c r="CB464" i="5"/>
  <c r="BN598" i="5"/>
  <c r="BC230" i="5"/>
  <c r="BN1116" i="5"/>
  <c r="BZ1116" i="5" s="1"/>
  <c r="BO342" i="5"/>
  <c r="BB610" i="5"/>
  <c r="BB1144" i="5"/>
  <c r="BZ1144" i="5" s="1"/>
  <c r="BC589" i="5"/>
  <c r="BN1052" i="5"/>
  <c r="BB1262" i="5"/>
  <c r="BC1213" i="5"/>
  <c r="BO1293" i="5"/>
  <c r="BC463" i="5"/>
  <c r="BB553" i="5"/>
  <c r="BN131" i="5"/>
  <c r="BO198" i="5"/>
  <c r="BO1020" i="5"/>
  <c r="BN1249" i="5"/>
  <c r="BZ1249" i="5" s="1"/>
  <c r="BO461" i="5"/>
  <c r="BO1283" i="5"/>
  <c r="BB452" i="5"/>
  <c r="BZ452" i="5" s="1"/>
  <c r="CB301" i="5"/>
  <c r="BB249" i="5"/>
  <c r="BB876" i="5"/>
  <c r="BZ876" i="5" s="1"/>
  <c r="BN403" i="5"/>
  <c r="BZ403" i="5" s="1"/>
  <c r="BB1298" i="5"/>
  <c r="BZ1298" i="5" s="1"/>
  <c r="BC199" i="5"/>
  <c r="BB216" i="5"/>
  <c r="BC819" i="5"/>
  <c r="BO307" i="5"/>
  <c r="BB384" i="5"/>
  <c r="BB850" i="5"/>
  <c r="BB1102" i="5"/>
  <c r="BC809" i="5"/>
  <c r="BB489" i="5"/>
  <c r="BB406" i="5"/>
  <c r="BC348" i="5"/>
  <c r="BO947" i="5"/>
  <c r="BC206" i="5"/>
  <c r="BN917" i="5"/>
  <c r="BZ917" i="5" s="1"/>
  <c r="BB186" i="5"/>
  <c r="BB1187" i="5"/>
  <c r="BZ1187" i="5" s="1"/>
  <c r="BN602" i="5"/>
  <c r="BO326" i="5"/>
  <c r="BO782" i="5"/>
  <c r="BC1110" i="5"/>
  <c r="BN787" i="5"/>
  <c r="BB622" i="5"/>
  <c r="BZ622" i="5" s="1"/>
  <c r="BN1083" i="5"/>
  <c r="BZ1083" i="5" s="1"/>
  <c r="BN863" i="5"/>
  <c r="BZ863" i="5" s="1"/>
  <c r="BC717" i="5"/>
  <c r="BC932" i="5"/>
  <c r="BB272" i="5"/>
  <c r="BB728" i="5"/>
  <c r="BC944" i="5"/>
  <c r="CB652" i="5"/>
  <c r="BN1300" i="5"/>
  <c r="BB629" i="5"/>
  <c r="BC117" i="5"/>
  <c r="BO1319" i="5"/>
  <c r="BC810" i="5"/>
  <c r="BN47" i="5"/>
  <c r="BZ47" i="5" s="1"/>
  <c r="BB982" i="5"/>
  <c r="BO155" i="5"/>
  <c r="BB697" i="5"/>
  <c r="BC135" i="5"/>
  <c r="BC1156" i="5"/>
  <c r="BO127" i="5"/>
  <c r="BC272" i="5"/>
  <c r="BO746" i="5"/>
  <c r="BC1043" i="5"/>
  <c r="BN263" i="5"/>
  <c r="BC663" i="5"/>
  <c r="BO829" i="5"/>
  <c r="BC626" i="5"/>
  <c r="BB935" i="5"/>
  <c r="BZ935" i="5" s="1"/>
  <c r="CB1059" i="5"/>
  <c r="BC986" i="5"/>
  <c r="BO654" i="5"/>
  <c r="BN508" i="5"/>
  <c r="BB362" i="5"/>
  <c r="BZ362" i="5" s="1"/>
  <c r="BN426" i="5"/>
  <c r="BZ426" i="5" s="1"/>
  <c r="BC678" i="5"/>
  <c r="BO818" i="5"/>
  <c r="BO507" i="5"/>
  <c r="BN135" i="5"/>
  <c r="BO1198" i="5"/>
  <c r="BC506" i="5"/>
  <c r="BB118" i="5"/>
  <c r="BO573" i="5"/>
  <c r="BO354" i="5"/>
  <c r="BN862" i="5"/>
  <c r="BZ862" i="5" s="1"/>
  <c r="BB1139" i="5"/>
  <c r="BO379" i="5"/>
  <c r="BN374" i="5"/>
  <c r="BB652" i="5"/>
  <c r="BB973" i="5"/>
  <c r="BZ973" i="5" s="1"/>
  <c r="BB175" i="5"/>
  <c r="BB1273" i="5"/>
  <c r="BZ1273" i="5" s="1"/>
  <c r="BO870" i="5"/>
  <c r="BO184" i="5"/>
  <c r="BN1266" i="5"/>
  <c r="BZ1266" i="5" s="1"/>
  <c r="BO1192" i="5"/>
  <c r="BC680" i="5"/>
  <c r="BC1117" i="5"/>
  <c r="BO972" i="5"/>
  <c r="BC924" i="5"/>
  <c r="BB1023" i="5"/>
  <c r="BZ1023" i="5" s="1"/>
  <c r="BC1203" i="5"/>
  <c r="BO174" i="5"/>
  <c r="BB529" i="5"/>
  <c r="CB832" i="5"/>
  <c r="BN234" i="5"/>
  <c r="BB463" i="5"/>
  <c r="BC1180" i="5"/>
  <c r="BC414" i="5"/>
  <c r="BB989" i="5"/>
  <c r="BZ989" i="5" s="1"/>
  <c r="BB976" i="5"/>
  <c r="BZ976" i="5" s="1"/>
  <c r="BC261" i="5"/>
  <c r="BB417" i="5"/>
  <c r="BN869" i="5"/>
  <c r="BB895" i="5"/>
  <c r="BZ895" i="5" s="1"/>
  <c r="BB546" i="5"/>
  <c r="BO812" i="5"/>
  <c r="BB300" i="5"/>
  <c r="BN1172" i="5"/>
  <c r="BZ1172" i="5" s="1"/>
  <c r="CB1061" i="5"/>
  <c r="BB1103" i="5"/>
  <c r="BB347" i="5"/>
  <c r="BZ347" i="5" s="1"/>
  <c r="CB1038" i="5"/>
  <c r="BN286" i="5"/>
  <c r="BO850" i="5"/>
  <c r="BO998" i="5"/>
  <c r="BO95" i="5"/>
  <c r="BB248" i="5"/>
  <c r="BZ248" i="5" s="1"/>
  <c r="BN984" i="5"/>
  <c r="BC860" i="5"/>
  <c r="BO1104" i="5"/>
  <c r="BC1178" i="5"/>
  <c r="CB519" i="5"/>
  <c r="BB296" i="5"/>
  <c r="CB523" i="5"/>
  <c r="BO287" i="5"/>
  <c r="CB1255" i="5"/>
  <c r="BO442" i="5"/>
  <c r="BB639" i="5"/>
  <c r="CB944" i="5"/>
  <c r="BB116" i="5"/>
  <c r="BB444" i="5"/>
  <c r="BB572" i="5"/>
  <c r="BZ572" i="5" s="1"/>
  <c r="BN1315" i="5"/>
  <c r="BZ1315" i="5" s="1"/>
  <c r="BB339" i="5"/>
  <c r="BO1270" i="5"/>
  <c r="BN505" i="5"/>
  <c r="BC443" i="5"/>
  <c r="BB150" i="5"/>
  <c r="BB669" i="5"/>
  <c r="BB597" i="5"/>
  <c r="BZ597" i="5" s="1"/>
  <c r="CB389" i="5"/>
  <c r="BO1173" i="5"/>
  <c r="BC368" i="5"/>
  <c r="BB139" i="5"/>
  <c r="BO759" i="5"/>
  <c r="BB1224" i="5"/>
  <c r="BN1184" i="5"/>
  <c r="BN130" i="5"/>
  <c r="BB354" i="5"/>
  <c r="CB483" i="5"/>
  <c r="BB777" i="5"/>
  <c r="BN559" i="5"/>
  <c r="BN960" i="5"/>
  <c r="BB741" i="5"/>
  <c r="BC1059" i="5"/>
  <c r="BN637" i="5"/>
  <c r="CB800" i="5"/>
  <c r="CB1230" i="5"/>
  <c r="BB1055" i="5"/>
  <c r="BZ1055" i="5" s="1"/>
  <c r="BN404" i="5"/>
  <c r="BC339" i="5"/>
  <c r="BC769" i="5"/>
  <c r="BB754" i="5"/>
  <c r="BN844" i="5"/>
  <c r="BZ844" i="5" s="1"/>
  <c r="BC112" i="5"/>
  <c r="BB541" i="5"/>
  <c r="BN197" i="5"/>
  <c r="BB908" i="5"/>
  <c r="BO519" i="5"/>
  <c r="BC1095" i="5"/>
  <c r="BC876" i="5"/>
  <c r="BC1112" i="5"/>
  <c r="BC367" i="5"/>
  <c r="BB794" i="5"/>
  <c r="BC299" i="5"/>
  <c r="CB6" i="5"/>
  <c r="CB963" i="5"/>
  <c r="BB1105" i="5"/>
  <c r="BZ1105" i="5" s="1"/>
  <c r="BB401" i="5"/>
  <c r="BZ401" i="5" s="1"/>
  <c r="BC1302" i="5"/>
  <c r="BN493" i="5"/>
  <c r="BB931" i="5"/>
  <c r="BZ931" i="5" s="1"/>
  <c r="BO1240" i="5"/>
  <c r="BN948" i="5"/>
  <c r="BC338" i="5"/>
  <c r="BO191" i="5"/>
  <c r="BB809" i="5"/>
  <c r="BZ809" i="5" s="1"/>
  <c r="BB361" i="5"/>
  <c r="BZ361" i="5" s="1"/>
  <c r="BN329" i="5"/>
  <c r="BZ329" i="5" s="1"/>
  <c r="BO73" i="5"/>
  <c r="BB1034" i="5"/>
  <c r="BZ1034" i="5" s="1"/>
  <c r="BB475" i="5"/>
  <c r="BO1278" i="5"/>
  <c r="BB331" i="5"/>
  <c r="BZ331" i="5" s="1"/>
  <c r="BO90" i="5"/>
  <c r="BN1277" i="5"/>
  <c r="BZ1277" i="5" s="1"/>
  <c r="CB619" i="5"/>
  <c r="BN399" i="5"/>
  <c r="BB636" i="5"/>
  <c r="BN1299" i="5"/>
  <c r="BZ1299" i="5" s="1"/>
  <c r="BC300" i="5"/>
  <c r="BC544" i="5"/>
  <c r="BB1041" i="5"/>
  <c r="BZ1041" i="5" s="1"/>
  <c r="BO625" i="5"/>
  <c r="BB465" i="5"/>
  <c r="BC337" i="5"/>
  <c r="BC177" i="5"/>
  <c r="BB212" i="5"/>
  <c r="BZ212" i="5" s="1"/>
  <c r="BC139" i="5"/>
  <c r="BC1227" i="5"/>
  <c r="BC349" i="5"/>
  <c r="BC646" i="5"/>
  <c r="BN134" i="5"/>
  <c r="BN1068" i="5"/>
  <c r="BZ1068" i="5" s="1"/>
  <c r="CB117" i="5"/>
  <c r="BC902" i="5"/>
  <c r="CB233" i="5"/>
  <c r="BO137" i="5"/>
  <c r="BB801" i="5"/>
  <c r="BZ801" i="5" s="1"/>
  <c r="BC988" i="5"/>
  <c r="BC811" i="5"/>
  <c r="BO689" i="5"/>
  <c r="BC588" i="5"/>
  <c r="BB943" i="5"/>
  <c r="BC482" i="5"/>
  <c r="BN262" i="5"/>
  <c r="BB996" i="5"/>
  <c r="BZ996" i="5" s="1"/>
  <c r="BC171" i="5"/>
  <c r="BO960" i="5"/>
  <c r="BO328" i="5"/>
  <c r="BB1003" i="5"/>
  <c r="BC800" i="5"/>
  <c r="BN938" i="5"/>
  <c r="BZ938" i="5" s="1"/>
  <c r="BC1202" i="5"/>
  <c r="BC623" i="5"/>
  <c r="BB907" i="5"/>
  <c r="BZ907" i="5" s="1"/>
  <c r="BC1190" i="5"/>
  <c r="CB146" i="5"/>
  <c r="BN454" i="5"/>
  <c r="BZ454" i="5" s="1"/>
  <c r="BC1245" i="5"/>
  <c r="BC879" i="5"/>
  <c r="BB940" i="5"/>
  <c r="BZ940" i="5" s="1"/>
  <c r="BC884" i="5"/>
  <c r="BC512" i="5"/>
  <c r="BN1051" i="5"/>
  <c r="BZ1051" i="5" s="1"/>
  <c r="BN993" i="5"/>
  <c r="BC186" i="5"/>
  <c r="BC18" i="5"/>
  <c r="BC967" i="5"/>
  <c r="BC1183" i="5"/>
  <c r="BB1263" i="5"/>
  <c r="BZ1263" i="5" s="1"/>
  <c r="BO886" i="5"/>
  <c r="BB1178" i="5"/>
  <c r="BO167" i="5"/>
  <c r="BC511" i="5"/>
  <c r="BO1056" i="5"/>
  <c r="BO1134" i="5"/>
  <c r="BO79" i="5"/>
  <c r="BN571" i="5"/>
  <c r="BC12" i="5"/>
  <c r="BC66" i="5"/>
  <c r="BN932" i="5"/>
  <c r="BZ932" i="5" s="1"/>
  <c r="BO859" i="5"/>
  <c r="BN274" i="5"/>
  <c r="CB216" i="5"/>
  <c r="BN1215" i="5"/>
  <c r="BN792" i="5"/>
  <c r="CB719" i="5"/>
  <c r="CB415" i="5"/>
  <c r="BC556" i="5"/>
  <c r="CB463" i="5"/>
  <c r="BB393" i="5"/>
  <c r="BC918" i="5"/>
  <c r="BC643" i="5"/>
  <c r="BC362" i="5"/>
  <c r="BO31" i="5"/>
  <c r="BO926" i="5"/>
  <c r="CB1062" i="5"/>
  <c r="BB612" i="5"/>
  <c r="BZ612" i="5" s="1"/>
  <c r="BO464" i="5"/>
  <c r="BB318" i="5"/>
  <c r="BZ318" i="5" s="1"/>
  <c r="BB261" i="5"/>
  <c r="BB534" i="5"/>
  <c r="BB405" i="5"/>
  <c r="BZ405" i="5" s="1"/>
  <c r="BN980" i="5"/>
  <c r="BZ980" i="5" s="1"/>
  <c r="BB528" i="5"/>
  <c r="BZ528" i="5" s="1"/>
  <c r="BN1183" i="5"/>
  <c r="BZ1183" i="5" s="1"/>
  <c r="BC688" i="5"/>
  <c r="BB1190" i="5"/>
  <c r="BB640" i="5"/>
  <c r="BO232" i="5"/>
  <c r="BO1264" i="5"/>
  <c r="BB523" i="5"/>
  <c r="BO1314" i="5"/>
  <c r="BC584" i="5"/>
  <c r="BO252" i="5"/>
  <c r="CB738" i="5"/>
  <c r="BC638" i="5"/>
  <c r="BN333" i="5"/>
  <c r="BO1082" i="5"/>
  <c r="BC840" i="5"/>
  <c r="BC475" i="5"/>
  <c r="BC400" i="5"/>
  <c r="BB1093" i="5"/>
  <c r="BZ1093" i="5" s="1"/>
  <c r="BB874" i="5"/>
  <c r="BB1011" i="5"/>
  <c r="BZ1011" i="5" s="1"/>
  <c r="BB149" i="5"/>
  <c r="BO358" i="5"/>
  <c r="BO346" i="5"/>
  <c r="BO948" i="5"/>
  <c r="BN582" i="5"/>
  <c r="BB746" i="5"/>
  <c r="BC106" i="5"/>
  <c r="BB213" i="5"/>
  <c r="BZ213" i="5" s="1"/>
  <c r="BC1085" i="5"/>
  <c r="BB774" i="5"/>
  <c r="BB1000" i="5"/>
  <c r="BZ1000" i="5" s="1"/>
  <c r="BC635" i="5"/>
  <c r="BN756" i="5"/>
  <c r="BB585" i="5"/>
  <c r="BO637" i="5"/>
  <c r="BO1157" i="5"/>
  <c r="BC1157" i="5"/>
  <c r="BO718" i="5"/>
  <c r="BC718" i="5"/>
  <c r="BB1135" i="5"/>
  <c r="BN1135" i="5"/>
  <c r="BB431" i="5"/>
  <c r="BB802" i="5"/>
  <c r="BZ802" i="5" s="1"/>
  <c r="CB708" i="5"/>
  <c r="BB956" i="5"/>
  <c r="BZ956" i="5" s="1"/>
  <c r="BB883" i="5"/>
  <c r="BC841" i="5"/>
  <c r="BC522" i="5"/>
  <c r="BN125" i="5"/>
  <c r="BN1244" i="5"/>
  <c r="BB1244" i="5"/>
  <c r="BN366" i="5"/>
  <c r="BB366" i="5"/>
  <c r="BB881" i="5"/>
  <c r="BZ881" i="5" s="1"/>
  <c r="BC1233" i="5"/>
  <c r="BB1009" i="5"/>
  <c r="BZ1009" i="5" s="1"/>
  <c r="BC913" i="5"/>
  <c r="BO849" i="5"/>
  <c r="BB49" i="5"/>
  <c r="BZ49" i="5" s="1"/>
  <c r="BN1229" i="5"/>
  <c r="BZ1229" i="5" s="1"/>
  <c r="BO936" i="5"/>
  <c r="BB295" i="5"/>
  <c r="BZ295" i="5" s="1"/>
  <c r="BO1090" i="5"/>
  <c r="BB1271" i="5"/>
  <c r="BZ1271" i="5" s="1"/>
  <c r="BC1298" i="5"/>
  <c r="CB712" i="5"/>
  <c r="BB492" i="5"/>
  <c r="BN307" i="5"/>
  <c r="BZ307" i="5" s="1"/>
  <c r="BB106" i="5"/>
  <c r="BC557" i="5"/>
  <c r="BN847" i="5"/>
  <c r="BZ847" i="5" s="1"/>
  <c r="BC628" i="5"/>
  <c r="BC483" i="5"/>
  <c r="BO410" i="5"/>
  <c r="BB336" i="5"/>
  <c r="BO1102" i="5"/>
  <c r="BC517" i="5"/>
  <c r="BB1033" i="5"/>
  <c r="BZ1033" i="5" s="1"/>
  <c r="BB479" i="5"/>
  <c r="BB204" i="5"/>
  <c r="BC1144" i="5"/>
  <c r="BN1071" i="5"/>
  <c r="BN413" i="5"/>
  <c r="BB1253" i="5"/>
  <c r="BB1107" i="5"/>
  <c r="BO766" i="5"/>
  <c r="BN1076" i="5"/>
  <c r="BB1076" i="5"/>
  <c r="CB271" i="5"/>
  <c r="BB1166" i="5"/>
  <c r="BN435" i="5"/>
  <c r="BZ435" i="5" s="1"/>
  <c r="BC1128" i="5"/>
  <c r="BB1292" i="5"/>
  <c r="BZ1292" i="5" s="1"/>
  <c r="BC645" i="5"/>
  <c r="BO645" i="5"/>
  <c r="BC1317" i="5"/>
  <c r="BC661" i="5"/>
  <c r="BB56" i="5"/>
  <c r="BZ56" i="5" s="1"/>
  <c r="BC1189" i="5"/>
  <c r="BN207" i="5"/>
  <c r="BZ207" i="5" s="1"/>
  <c r="BC43" i="5"/>
  <c r="BB196" i="5"/>
  <c r="BB50" i="5"/>
  <c r="BZ50" i="5" s="1"/>
  <c r="BB44" i="5"/>
  <c r="BB736" i="5"/>
  <c r="BN1225" i="5"/>
  <c r="BB1129" i="5"/>
  <c r="BB969" i="5"/>
  <c r="BZ969" i="5" s="1"/>
  <c r="BN1008" i="5"/>
  <c r="BZ1008" i="5" s="1"/>
  <c r="BC340" i="5"/>
  <c r="CB1180" i="5"/>
  <c r="BB36" i="5"/>
  <c r="BB1132" i="5"/>
  <c r="BZ1132" i="5" s="1"/>
  <c r="BN491" i="5"/>
  <c r="BB491" i="5"/>
  <c r="BC1166" i="5"/>
  <c r="BO251" i="5"/>
  <c r="BC251" i="5"/>
  <c r="BN31" i="5"/>
  <c r="BZ31" i="5" s="1"/>
  <c r="BB487" i="5"/>
  <c r="BZ487" i="5" s="1"/>
  <c r="BO758" i="5"/>
  <c r="BC1009" i="5"/>
  <c r="BN913" i="5"/>
  <c r="BZ913" i="5" s="1"/>
  <c r="BC1100" i="5"/>
  <c r="BC711" i="5"/>
  <c r="BC861" i="5"/>
  <c r="BB568" i="5"/>
  <c r="BN422" i="5"/>
  <c r="BZ422" i="5" s="1"/>
  <c r="CB1116" i="5"/>
  <c r="BC531" i="5"/>
  <c r="BO280" i="5"/>
  <c r="BO774" i="5"/>
  <c r="BO408" i="5"/>
  <c r="BC708" i="5"/>
  <c r="BN1029" i="5"/>
  <c r="BZ1029" i="5" s="1"/>
  <c r="BO371" i="5"/>
  <c r="BB1065" i="5"/>
  <c r="BZ1065" i="5" s="1"/>
  <c r="BB745" i="5"/>
  <c r="BB681" i="5"/>
  <c r="BO489" i="5"/>
  <c r="BB1060" i="5"/>
  <c r="BZ1060" i="5" s="1"/>
  <c r="BO987" i="5"/>
  <c r="BB856" i="5"/>
  <c r="BO982" i="5"/>
  <c r="BC982" i="5"/>
  <c r="BB543" i="5"/>
  <c r="BN909" i="5"/>
  <c r="BB909" i="5"/>
  <c r="BO404" i="5"/>
  <c r="BC404" i="5"/>
  <c r="BN758" i="5"/>
  <c r="BB758" i="5"/>
  <c r="BC1073" i="5"/>
  <c r="BC369" i="5"/>
  <c r="BC145" i="5"/>
  <c r="BC954" i="5"/>
  <c r="BO467" i="5"/>
  <c r="CB1224" i="5"/>
  <c r="BC931" i="5"/>
  <c r="CB638" i="5"/>
  <c r="CB419" i="5"/>
  <c r="BB1094" i="5"/>
  <c r="BZ1094" i="5" s="1"/>
  <c r="BB965" i="5"/>
  <c r="BZ965" i="5" s="1"/>
  <c r="BB61" i="5"/>
  <c r="BZ61" i="5" s="1"/>
  <c r="BC920" i="5"/>
  <c r="BB927" i="5"/>
  <c r="BZ927" i="5" s="1"/>
  <c r="BB556" i="5"/>
  <c r="BN1161" i="5"/>
  <c r="BZ1161" i="5" s="1"/>
  <c r="CB1065" i="5"/>
  <c r="BB457" i="5"/>
  <c r="BN1211" i="5"/>
  <c r="CB1218" i="5"/>
  <c r="BO620" i="5"/>
  <c r="BN1295" i="5"/>
  <c r="BB1295" i="5"/>
  <c r="BC1076" i="5"/>
  <c r="BC125" i="5"/>
  <c r="BN659" i="5"/>
  <c r="BB659" i="5"/>
  <c r="BO699" i="5"/>
  <c r="BB912" i="5"/>
  <c r="BZ912" i="5" s="1"/>
  <c r="BB1084" i="5"/>
  <c r="BN1084" i="5"/>
  <c r="BN978" i="5"/>
  <c r="BB978" i="5"/>
  <c r="BO331" i="5"/>
  <c r="BC1244" i="5"/>
  <c r="BB1269" i="5"/>
  <c r="BN1285" i="5"/>
  <c r="BZ1285" i="5" s="1"/>
  <c r="BB407" i="5"/>
  <c r="BB14" i="5"/>
  <c r="BZ14" i="5" s="1"/>
  <c r="BC1089" i="5"/>
  <c r="BN1089" i="5"/>
  <c r="BZ1089" i="5" s="1"/>
  <c r="BB865" i="5"/>
  <c r="BZ865" i="5" s="1"/>
  <c r="BC33" i="5"/>
  <c r="BC827" i="5"/>
  <c r="BB624" i="5"/>
  <c r="BB112" i="5"/>
  <c r="BN1199" i="5"/>
  <c r="BZ1199" i="5" s="1"/>
  <c r="BC1162" i="5"/>
  <c r="BC1054" i="5"/>
  <c r="BC30" i="5"/>
  <c r="BN605" i="5"/>
  <c r="BB1079" i="5"/>
  <c r="BZ1079" i="5" s="1"/>
  <c r="BO1179" i="5"/>
  <c r="BO374" i="5"/>
  <c r="BC958" i="5"/>
  <c r="BN1209" i="5"/>
  <c r="BZ1209" i="5" s="1"/>
  <c r="BB1081" i="5"/>
  <c r="BB985" i="5"/>
  <c r="BZ985" i="5" s="1"/>
  <c r="BC889" i="5"/>
  <c r="BB665" i="5"/>
  <c r="BC1028" i="5"/>
  <c r="BN955" i="5"/>
  <c r="BZ955" i="5" s="1"/>
  <c r="BC742" i="5"/>
  <c r="BB303" i="5"/>
  <c r="BO631" i="5"/>
  <c r="BC284" i="5"/>
  <c r="BC1170" i="5"/>
  <c r="BN877" i="5"/>
  <c r="BZ877" i="5" s="1"/>
  <c r="BN731" i="5"/>
  <c r="CB292" i="5"/>
  <c r="BB1112" i="5"/>
  <c r="CB600" i="5"/>
  <c r="BB527" i="5"/>
  <c r="BZ527" i="5" s="1"/>
  <c r="BC983" i="5"/>
  <c r="CB398" i="5"/>
  <c r="BO4" i="5"/>
  <c r="CB1182" i="5"/>
  <c r="BN842" i="5"/>
  <c r="BB647" i="5"/>
  <c r="BN574" i="5"/>
  <c r="BB1019" i="5"/>
  <c r="BZ1019" i="5" s="1"/>
  <c r="F12" i="13"/>
  <c r="F40" i="13" s="1"/>
  <c r="D17" i="10"/>
  <c r="F10" i="14"/>
  <c r="F38" i="14" s="1"/>
  <c r="D26" i="10"/>
  <c r="BO685" i="5"/>
  <c r="BO99" i="5"/>
  <c r="BN188" i="5"/>
  <c r="BZ188" i="5" s="1"/>
  <c r="BN897" i="5"/>
  <c r="BZ897" i="5" s="1"/>
  <c r="BO577" i="5"/>
  <c r="BN545" i="5"/>
  <c r="BZ545" i="5" s="1"/>
  <c r="BC385" i="5"/>
  <c r="BN353" i="5"/>
  <c r="BC1334" i="5"/>
  <c r="BB242" i="5"/>
  <c r="BB771" i="5"/>
  <c r="BB1272" i="5"/>
  <c r="BZ1272" i="5" s="1"/>
  <c r="BO1126" i="5"/>
  <c r="BN614" i="5"/>
  <c r="BB102" i="5"/>
  <c r="BB1347" i="5" s="1"/>
  <c r="BB1348" i="5" s="1"/>
  <c r="BN723" i="5"/>
  <c r="CB603" i="5"/>
  <c r="BN164" i="5"/>
  <c r="BZ164" i="5" s="1"/>
  <c r="BC1114" i="5"/>
  <c r="BO821" i="5"/>
  <c r="BO911" i="5"/>
  <c r="BN563" i="5"/>
  <c r="BZ563" i="5" s="1"/>
  <c r="BC343" i="5"/>
  <c r="BN615" i="5"/>
  <c r="BZ615" i="5" s="1"/>
  <c r="CB386" i="5"/>
  <c r="CB1152" i="5"/>
  <c r="BO1006" i="5"/>
  <c r="BO885" i="5"/>
  <c r="BN8" i="5"/>
  <c r="BN1341" i="5" s="1"/>
  <c r="BN1342" i="5" s="1"/>
  <c r="AU1341" i="5"/>
  <c r="AU1342" i="5" s="1"/>
  <c r="BB958" i="5"/>
  <c r="BZ958" i="5" s="1"/>
  <c r="CB1241" i="5"/>
  <c r="CB377" i="5"/>
  <c r="BN57" i="5"/>
  <c r="BZ57" i="5" s="1"/>
  <c r="BB662" i="5"/>
  <c r="BB533" i="5"/>
  <c r="BZ533" i="5" s="1"/>
  <c r="BB314" i="5"/>
  <c r="BZ314" i="5" s="1"/>
  <c r="BB815" i="5"/>
  <c r="BZ815" i="5" s="1"/>
  <c r="BB412" i="5"/>
  <c r="BC950" i="5"/>
  <c r="CB658" i="5"/>
  <c r="BN1022" i="5"/>
  <c r="BZ1022" i="5" s="1"/>
  <c r="BN437" i="5"/>
  <c r="BZ437" i="5" s="1"/>
  <c r="BB1328" i="5"/>
  <c r="BC893" i="5"/>
  <c r="BN764" i="5"/>
  <c r="BN867" i="5"/>
  <c r="BZ867" i="5" s="1"/>
  <c r="BB355" i="5"/>
  <c r="BB1176" i="5"/>
  <c r="BZ1176" i="5" s="1"/>
  <c r="CB664" i="5"/>
  <c r="BO462" i="5"/>
  <c r="BC170" i="5"/>
  <c r="BC963" i="5"/>
  <c r="BO670" i="5"/>
  <c r="BO952" i="5"/>
  <c r="BB148" i="5"/>
  <c r="BB1014" i="5"/>
  <c r="BZ1014" i="5" s="1"/>
  <c r="F12" i="14"/>
  <c r="D28" i="10"/>
  <c r="BB999" i="5"/>
  <c r="BZ999" i="5" s="1"/>
  <c r="BB439" i="5"/>
  <c r="BC1051" i="5"/>
  <c r="BO27" i="5"/>
  <c r="BO1123" i="5"/>
  <c r="BC318" i="5"/>
  <c r="BO865" i="5"/>
  <c r="BB33" i="5"/>
  <c r="BZ33" i="5" s="1"/>
  <c r="BB1283" i="5"/>
  <c r="BN468" i="5"/>
  <c r="BB430" i="5"/>
  <c r="BZ430" i="5" s="1"/>
  <c r="BN1188" i="5"/>
  <c r="BZ1188" i="5" s="1"/>
  <c r="BC455" i="5"/>
  <c r="BN34" i="5"/>
  <c r="BZ34" i="5" s="1"/>
  <c r="BO1294" i="5"/>
  <c r="BN709" i="5"/>
  <c r="BN1054" i="5"/>
  <c r="BZ1054" i="5" s="1"/>
  <c r="BO396" i="5"/>
  <c r="BB30" i="5"/>
  <c r="BZ30" i="5" s="1"/>
  <c r="BC80" i="5"/>
  <c r="BC671" i="5"/>
  <c r="BN1252" i="5"/>
  <c r="BZ1252" i="5" s="1"/>
  <c r="BB1032" i="5"/>
  <c r="G10" i="14"/>
  <c r="E26" i="10"/>
  <c r="BC985" i="5"/>
  <c r="BB569" i="5"/>
  <c r="BZ569" i="5" s="1"/>
  <c r="BO460" i="5"/>
  <c r="BO1290" i="5"/>
  <c r="BB218" i="5"/>
  <c r="BC71" i="5"/>
  <c r="BN71" i="5"/>
  <c r="BZ71" i="5" s="1"/>
  <c r="BB966" i="5"/>
  <c r="BZ966" i="5" s="1"/>
  <c r="BN325" i="5"/>
  <c r="BO68" i="5"/>
  <c r="CB973" i="5"/>
  <c r="BN827" i="5"/>
  <c r="BC687" i="5"/>
  <c r="BC1015" i="5"/>
  <c r="CB399" i="5"/>
  <c r="CB250" i="5"/>
  <c r="BB386" i="5"/>
  <c r="BZ386" i="5" s="1"/>
  <c r="BO8" i="5"/>
  <c r="BO1341" i="5" s="1"/>
  <c r="BO1342" i="5" s="1"/>
  <c r="AV1341" i="5"/>
  <c r="AV1342" i="5" s="1"/>
  <c r="CB1045" i="5"/>
  <c r="BC1035" i="5"/>
  <c r="BC656" i="5"/>
  <c r="CB1039" i="5"/>
  <c r="BC691" i="5"/>
  <c r="BC890" i="5"/>
  <c r="CB733" i="5"/>
  <c r="BO695" i="5"/>
  <c r="BO1320" i="5"/>
  <c r="CB811" i="5"/>
  <c r="BC1120" i="5"/>
  <c r="BB170" i="5"/>
  <c r="BC1092" i="5"/>
  <c r="BC1234" i="5"/>
  <c r="BO481" i="5"/>
  <c r="BO675" i="5"/>
  <c r="BN532" i="5"/>
  <c r="E28" i="10"/>
  <c r="G12" i="14"/>
  <c r="BO647" i="5"/>
  <c r="BO1030" i="5"/>
  <c r="BB1120" i="5"/>
  <c r="BZ1120" i="5" s="1"/>
  <c r="BC872" i="5"/>
  <c r="BP8" i="5"/>
  <c r="BP1341" i="5" s="1"/>
  <c r="BP1342" i="5" s="1"/>
  <c r="BA1341" i="5"/>
  <c r="BA1342" i="5" s="1"/>
  <c r="I12" i="14"/>
  <c r="I40" i="14" s="1"/>
  <c r="G28" i="10"/>
  <c r="M12" i="14"/>
  <c r="M40" i="14" s="1"/>
  <c r="K28" i="10"/>
  <c r="CB1176" i="5"/>
  <c r="BB884" i="5"/>
  <c r="BZ884" i="5" s="1"/>
  <c r="CB429" i="5"/>
  <c r="BC843" i="5"/>
  <c r="BC976" i="5"/>
  <c r="BB449" i="5"/>
  <c r="BZ449" i="5" s="1"/>
  <c r="BC754" i="5"/>
  <c r="BO242" i="5"/>
  <c r="BB168" i="5"/>
  <c r="BN259" i="5"/>
  <c r="BZ259" i="5" s="1"/>
  <c r="BB1053" i="5"/>
  <c r="BZ1053" i="5" s="1"/>
  <c r="BB760" i="5"/>
  <c r="BO248" i="5"/>
  <c r="BN1330" i="5"/>
  <c r="BZ1330" i="5" s="1"/>
  <c r="BN383" i="5"/>
  <c r="BB91" i="5"/>
  <c r="BZ91" i="5" s="1"/>
  <c r="BN90" i="5"/>
  <c r="BZ90" i="5" s="1"/>
  <c r="BB838" i="5"/>
  <c r="BZ838" i="5" s="1"/>
  <c r="BB619" i="5"/>
  <c r="BN928" i="5"/>
  <c r="BZ928" i="5" s="1"/>
  <c r="BB270" i="5"/>
  <c r="BZ270" i="5" s="1"/>
  <c r="BC598" i="5"/>
  <c r="BN323" i="5"/>
  <c r="BZ323" i="5" s="1"/>
  <c r="BN1226" i="5"/>
  <c r="BZ1226" i="5" s="1"/>
  <c r="BN933" i="5"/>
  <c r="BZ933" i="5" s="1"/>
  <c r="BC373" i="5"/>
  <c r="BC447" i="5"/>
  <c r="BB857" i="5"/>
  <c r="BZ857" i="5" s="1"/>
  <c r="BC281" i="5"/>
  <c r="BC1174" i="5"/>
  <c r="BB752" i="5"/>
  <c r="BB240" i="5"/>
  <c r="CB742" i="5"/>
  <c r="CB284" i="5"/>
  <c r="BN949" i="5"/>
  <c r="BZ949" i="5" s="1"/>
  <c r="BB364" i="5"/>
  <c r="CB1026" i="5"/>
  <c r="CB476" i="5"/>
  <c r="BB389" i="5"/>
  <c r="BN946" i="5"/>
  <c r="BZ946" i="5" s="1"/>
  <c r="BC1062" i="5"/>
  <c r="CB1051" i="5"/>
  <c r="BN1281" i="5"/>
  <c r="BZ1281" i="5" s="1"/>
  <c r="BC1057" i="5"/>
  <c r="BN1057" i="5"/>
  <c r="BZ1057" i="5" s="1"/>
  <c r="BC168" i="5"/>
  <c r="BC102" i="5"/>
  <c r="BB29" i="5"/>
  <c r="BZ29" i="5" s="1"/>
  <c r="BC942" i="5"/>
  <c r="BC1040" i="5"/>
  <c r="BC619" i="5"/>
  <c r="BC981" i="5"/>
  <c r="BC1044" i="5"/>
  <c r="BC739" i="5"/>
  <c r="BC959" i="5"/>
  <c r="BC740" i="5"/>
  <c r="BB594" i="5"/>
  <c r="L12" i="14"/>
  <c r="J28" i="10"/>
  <c r="BC441" i="5"/>
  <c r="BB121" i="5"/>
  <c r="CB516" i="5"/>
  <c r="BB223" i="5"/>
  <c r="BC240" i="5"/>
  <c r="BB1216" i="5"/>
  <c r="BB284" i="5"/>
  <c r="BZ284" i="5" s="1"/>
  <c r="BB804" i="5"/>
  <c r="BZ804" i="5" s="1"/>
  <c r="BC437" i="5"/>
  <c r="BN381" i="5"/>
  <c r="BZ381" i="5" s="1"/>
  <c r="BB618" i="5"/>
  <c r="BZ618" i="5" s="1"/>
  <c r="BC325" i="5"/>
  <c r="BB1036" i="5"/>
  <c r="BC1172" i="5"/>
  <c r="BB1026" i="5"/>
  <c r="BC476" i="5"/>
  <c r="BC445" i="5"/>
  <c r="BB6" i="5"/>
  <c r="BZ6" i="5" s="1"/>
  <c r="BC755" i="5"/>
  <c r="BN941" i="5"/>
  <c r="BZ941" i="5" s="1"/>
  <c r="F10" i="13"/>
  <c r="D15" i="10"/>
  <c r="AA39" i="14"/>
  <c r="J39" i="14"/>
  <c r="CB977" i="5"/>
  <c r="CB1041" i="5"/>
  <c r="CB1009" i="5"/>
  <c r="CB790" i="5"/>
  <c r="CB724" i="5"/>
  <c r="CB923" i="5"/>
  <c r="CB590" i="5"/>
  <c r="CB1195" i="5"/>
  <c r="CB479" i="5"/>
  <c r="CB324" i="5"/>
  <c r="CB805" i="5"/>
  <c r="CB673" i="5"/>
  <c r="CB1046" i="5"/>
  <c r="CB607" i="5"/>
  <c r="CB1136" i="5"/>
  <c r="CB164" i="5"/>
  <c r="CB911" i="5"/>
  <c r="CB1054" i="5"/>
  <c r="CB469" i="5"/>
  <c r="CB898" i="5"/>
  <c r="CB1207" i="5"/>
  <c r="CB1013" i="5"/>
  <c r="CB936" i="5"/>
  <c r="CB1076" i="5"/>
  <c r="CB1089" i="5"/>
  <c r="CB1192" i="5"/>
  <c r="CB900" i="5"/>
  <c r="CB744" i="5"/>
  <c r="CB106" i="5"/>
  <c r="CB42" i="5"/>
  <c r="CB1235" i="5"/>
  <c r="CB1058" i="5"/>
  <c r="CB835" i="5"/>
  <c r="CB933" i="5"/>
  <c r="CB296" i="5"/>
  <c r="CB717" i="5"/>
  <c r="CB493" i="5"/>
  <c r="CB1150" i="5"/>
  <c r="CB526" i="5"/>
  <c r="CB110" i="5"/>
  <c r="CB629" i="5"/>
  <c r="CB194" i="5"/>
  <c r="CB181" i="5"/>
  <c r="CB999" i="5"/>
  <c r="CB916" i="5"/>
  <c r="CB831" i="5"/>
  <c r="CB1063" i="5"/>
  <c r="CB894" i="5"/>
  <c r="CB1002" i="5"/>
  <c r="CB1127" i="5"/>
  <c r="CB567" i="5"/>
  <c r="CB813" i="5"/>
  <c r="CB1101" i="5"/>
  <c r="CB803" i="5"/>
  <c r="CB879" i="5"/>
  <c r="CB941" i="5"/>
  <c r="CB1105" i="5"/>
  <c r="CB1229" i="5"/>
  <c r="CB1271" i="5"/>
  <c r="CB24" i="5"/>
  <c r="CB120" i="5"/>
  <c r="CB930" i="5"/>
  <c r="CB707" i="5"/>
  <c r="CB611" i="5"/>
  <c r="CB22" i="5"/>
  <c r="CB541" i="5"/>
  <c r="CB1277" i="5"/>
  <c r="CB1131" i="5"/>
  <c r="CB546" i="5"/>
  <c r="CB1190" i="5"/>
  <c r="CB1251" i="5"/>
  <c r="F75" i="14"/>
  <c r="F80" i="14" s="1"/>
  <c r="CB1248" i="5"/>
  <c r="CB926" i="5"/>
  <c r="CB748" i="5"/>
  <c r="CB176" i="5"/>
  <c r="CB735" i="5"/>
  <c r="CB1036" i="5"/>
  <c r="CB884" i="5"/>
  <c r="CB578" i="5"/>
  <c r="CB286" i="5"/>
  <c r="CB861" i="5"/>
  <c r="CB458" i="5"/>
  <c r="CB779" i="5"/>
  <c r="CB281" i="5"/>
  <c r="CB214" i="5"/>
  <c r="CB4" i="5"/>
  <c r="CB1232" i="5"/>
  <c r="CB504" i="5"/>
  <c r="CB1309" i="5"/>
  <c r="CB411" i="5"/>
  <c r="CB280" i="5"/>
  <c r="CB96" i="5"/>
  <c r="CB105" i="5"/>
  <c r="CB767" i="5"/>
  <c r="CB539" i="5"/>
  <c r="CB513" i="5"/>
  <c r="CB455" i="5"/>
  <c r="CB984" i="5"/>
  <c r="CB838" i="5"/>
  <c r="CB1332" i="5"/>
  <c r="CB232" i="5"/>
  <c r="CB729" i="5"/>
  <c r="CB235" i="5"/>
  <c r="CB816" i="5"/>
  <c r="BL409" i="5"/>
  <c r="CB806" i="5"/>
  <c r="CB134" i="5"/>
  <c r="CB736" i="5"/>
  <c r="CB444" i="5"/>
  <c r="CB1011" i="5"/>
  <c r="CB1124" i="5"/>
  <c r="CB480" i="5"/>
  <c r="CB321" i="5"/>
  <c r="CB1119" i="5"/>
  <c r="CB1200" i="5"/>
  <c r="CB300" i="5"/>
  <c r="CB1096" i="5"/>
  <c r="BL1096" i="5"/>
  <c r="CB877" i="5"/>
  <c r="CB510" i="5"/>
  <c r="CB1186" i="5"/>
  <c r="CB308" i="5"/>
  <c r="CB1134" i="5"/>
  <c r="CB867" i="5"/>
  <c r="CB434" i="5"/>
  <c r="CB711" i="5"/>
  <c r="CB875" i="5"/>
  <c r="CB1067" i="5"/>
  <c r="CB517" i="5"/>
  <c r="CB36" i="5"/>
  <c r="CB770" i="5"/>
  <c r="CB27" i="5"/>
  <c r="CB773" i="5"/>
  <c r="CB993" i="5"/>
  <c r="CB1307" i="5"/>
  <c r="CB1088" i="5"/>
  <c r="CB576" i="5"/>
  <c r="CB1326" i="5"/>
  <c r="CB891" i="5"/>
  <c r="BL1049" i="5"/>
  <c r="CB1017" i="5"/>
  <c r="CB157" i="5"/>
  <c r="CB72" i="5"/>
  <c r="CB747" i="5"/>
  <c r="CB135" i="5"/>
  <c r="CB1047" i="5"/>
  <c r="CB177" i="5"/>
  <c r="CB498" i="5"/>
  <c r="CB126" i="5"/>
  <c r="CB642" i="5"/>
  <c r="CB56" i="5"/>
  <c r="CB1074" i="5"/>
  <c r="CB50" i="5"/>
  <c r="CB922" i="5"/>
  <c r="CB1225" i="5"/>
  <c r="CB340" i="5"/>
  <c r="CB173" i="5"/>
  <c r="CB100" i="5"/>
  <c r="CB929" i="5"/>
  <c r="CB609" i="5"/>
  <c r="CB834" i="5"/>
  <c r="CB90" i="5"/>
  <c r="CB606" i="5"/>
  <c r="CB764" i="5"/>
  <c r="CB428" i="5"/>
  <c r="CB515" i="5"/>
  <c r="CB1077" i="5"/>
  <c r="CB1258" i="5"/>
  <c r="CB573" i="5"/>
  <c r="CB224" i="5"/>
  <c r="CB317" i="5"/>
  <c r="CB169" i="5"/>
  <c r="CB845" i="5"/>
  <c r="CB727" i="5"/>
  <c r="CB1098" i="5"/>
  <c r="CB685" i="5"/>
  <c r="CB449" i="5"/>
  <c r="BL91" i="5"/>
  <c r="CB107" i="5"/>
  <c r="CB270" i="5"/>
  <c r="CB1299" i="5"/>
  <c r="CB739" i="5"/>
  <c r="CB667" i="5"/>
  <c r="CB761" i="5"/>
  <c r="BL57" i="5"/>
  <c r="CB25" i="5"/>
  <c r="BL72" i="5"/>
  <c r="CB437" i="5"/>
  <c r="CB144" i="5"/>
  <c r="CB152" i="5"/>
  <c r="CB1165" i="5"/>
  <c r="CB896" i="5"/>
  <c r="CB552" i="5"/>
  <c r="CB595" i="5"/>
  <c r="CB332" i="5"/>
  <c r="CB996" i="5"/>
  <c r="CB410" i="5"/>
  <c r="CB393" i="5"/>
  <c r="CB187" i="5"/>
  <c r="CB475" i="5"/>
  <c r="CB52" i="5"/>
  <c r="CB499" i="5"/>
  <c r="CB1269" i="5"/>
  <c r="CB112" i="5"/>
  <c r="CB343" i="5"/>
  <c r="CB312" i="5"/>
  <c r="CB80" i="5"/>
  <c r="CB730" i="5"/>
  <c r="CB988" i="5"/>
  <c r="CB282" i="5"/>
  <c r="CB1250" i="5"/>
  <c r="BB1169" i="5"/>
  <c r="BZ1169" i="5" s="1"/>
  <c r="BB209" i="5"/>
  <c r="BZ209" i="5" s="1"/>
  <c r="BC81" i="5"/>
  <c r="CB863" i="5"/>
  <c r="CB1027" i="5"/>
  <c r="CB880" i="5"/>
  <c r="BO222" i="5"/>
  <c r="CB76" i="5"/>
  <c r="BC1236" i="5"/>
  <c r="BO943" i="5"/>
  <c r="BO858" i="5"/>
  <c r="BC582" i="5"/>
  <c r="BO599" i="5"/>
  <c r="BN526" i="5"/>
  <c r="CB380" i="5"/>
  <c r="CB871" i="5"/>
  <c r="BO140" i="5"/>
  <c r="BO1007" i="5"/>
  <c r="BN788" i="5"/>
  <c r="CB715" i="5"/>
  <c r="CB422" i="5"/>
  <c r="BO276" i="5"/>
  <c r="CB1262" i="5"/>
  <c r="CB750" i="5"/>
  <c r="BN677" i="5"/>
  <c r="BO384" i="5"/>
  <c r="BO1069" i="5"/>
  <c r="CB264" i="5"/>
  <c r="BN1304" i="5"/>
  <c r="BX1158" i="5"/>
  <c r="BO1012" i="5"/>
  <c r="BO939" i="5"/>
  <c r="CB427" i="5"/>
  <c r="BC630" i="5"/>
  <c r="BO630" i="5"/>
  <c r="BO45" i="5"/>
  <c r="BC45" i="5"/>
  <c r="BO1029" i="5"/>
  <c r="BB98" i="5"/>
  <c r="BZ98" i="5" s="1"/>
  <c r="BB1193" i="5"/>
  <c r="BN1193" i="5"/>
  <c r="BO905" i="5"/>
  <c r="BC905" i="5"/>
  <c r="CB1083" i="5"/>
  <c r="BB498" i="5"/>
  <c r="BC351" i="5"/>
  <c r="CB1246" i="5"/>
  <c r="BB1125" i="5"/>
  <c r="BZ1125" i="5" s="1"/>
  <c r="BC613" i="5"/>
  <c r="CB467" i="5"/>
  <c r="CB1151" i="5"/>
  <c r="BO786" i="5"/>
  <c r="BC712" i="5"/>
  <c r="BC200" i="5"/>
  <c r="BC1296" i="5"/>
  <c r="BB1223" i="5"/>
  <c r="BZ1223" i="5" s="1"/>
  <c r="CB346" i="5"/>
  <c r="CB1240" i="5"/>
  <c r="BO509" i="5"/>
  <c r="BO143" i="5"/>
  <c r="BN1327" i="5"/>
  <c r="BB892" i="5"/>
  <c r="BZ892" i="5" s="1"/>
  <c r="BB819" i="5"/>
  <c r="BZ819" i="5" s="1"/>
  <c r="BO526" i="5"/>
  <c r="BN1309" i="5"/>
  <c r="BO1018" i="5"/>
  <c r="BO130" i="5"/>
  <c r="BO1286" i="5"/>
  <c r="BO1220" i="5"/>
  <c r="BN854" i="5"/>
  <c r="CB1287" i="5"/>
  <c r="CB1214" i="5"/>
  <c r="BO1141" i="5"/>
  <c r="BN190" i="5"/>
  <c r="BB190" i="5"/>
  <c r="CB190" i="5"/>
  <c r="BN1268" i="5"/>
  <c r="BB1268" i="5"/>
  <c r="BB902" i="5"/>
  <c r="CB829" i="5"/>
  <c r="CB244" i="5"/>
  <c r="BN1097" i="5"/>
  <c r="BB1097" i="5"/>
  <c r="BC1001" i="5"/>
  <c r="BO1001" i="5"/>
  <c r="BN713" i="5"/>
  <c r="BB713" i="5"/>
  <c r="BN649" i="5"/>
  <c r="BB649" i="5"/>
  <c r="BN233" i="5"/>
  <c r="BB233" i="5"/>
  <c r="BB1284" i="5"/>
  <c r="BN1284" i="5"/>
  <c r="BC241" i="5"/>
  <c r="CB1265" i="5"/>
  <c r="BC1201" i="5"/>
  <c r="BN337" i="5"/>
  <c r="BB273" i="5"/>
  <c r="BZ273" i="5" s="1"/>
  <c r="BC113" i="5"/>
  <c r="BC205" i="5"/>
  <c r="BN1317" i="5"/>
  <c r="BC1027" i="5"/>
  <c r="CB12" i="5"/>
  <c r="BB1308" i="5"/>
  <c r="BZ1308" i="5" s="1"/>
  <c r="BB1236" i="5"/>
  <c r="BZ1236" i="5" s="1"/>
  <c r="BC1163" i="5"/>
  <c r="CB979" i="5"/>
  <c r="CB906" i="5"/>
  <c r="BB832" i="5"/>
  <c r="BZ832" i="5" s="1"/>
  <c r="BB467" i="5"/>
  <c r="BZ467" i="5" s="1"/>
  <c r="BC394" i="5"/>
  <c r="BB1151" i="5"/>
  <c r="BZ1151" i="5" s="1"/>
  <c r="BC566" i="5"/>
  <c r="CB420" i="5"/>
  <c r="BC1038" i="5"/>
  <c r="BB1331" i="5"/>
  <c r="BZ1331" i="5" s="1"/>
  <c r="BB1067" i="5"/>
  <c r="BZ1067" i="5" s="1"/>
  <c r="BN335" i="5"/>
  <c r="CB1220" i="5"/>
  <c r="BN1074" i="5"/>
  <c r="BZ1074" i="5" s="1"/>
  <c r="CB776" i="5"/>
  <c r="BO1214" i="5"/>
  <c r="BN975" i="5"/>
  <c r="BZ975" i="5" s="1"/>
  <c r="BO98" i="5"/>
  <c r="BC98" i="5"/>
  <c r="BC425" i="5"/>
  <c r="BO425" i="5"/>
  <c r="BO305" i="5"/>
  <c r="BC1265" i="5"/>
  <c r="BB561" i="5"/>
  <c r="BB497" i="5"/>
  <c r="BB433" i="5"/>
  <c r="CB1156" i="5"/>
  <c r="BN515" i="5"/>
  <c r="BZ515" i="5" s="1"/>
  <c r="BB442" i="5"/>
  <c r="BN1265" i="5"/>
  <c r="BO721" i="5"/>
  <c r="CB433" i="5"/>
  <c r="BN369" i="5"/>
  <c r="CB273" i="5"/>
  <c r="BO1246" i="5"/>
  <c r="BB76" i="5"/>
  <c r="BZ76" i="5" s="1"/>
  <c r="CB1016" i="5"/>
  <c r="BB870" i="5"/>
  <c r="BZ870" i="5" s="1"/>
  <c r="BB797" i="5"/>
  <c r="BZ797" i="5" s="1"/>
  <c r="CB285" i="5"/>
  <c r="CB1198" i="5"/>
  <c r="BB906" i="5"/>
  <c r="BZ906" i="5" s="1"/>
  <c r="CB859" i="5"/>
  <c r="CB786" i="5"/>
  <c r="CB54" i="5"/>
  <c r="BC1223" i="5"/>
  <c r="CB931" i="5"/>
  <c r="BB419" i="5"/>
  <c r="BZ419" i="5" s="1"/>
  <c r="BB1167" i="5"/>
  <c r="BO875" i="5"/>
  <c r="BC436" i="5"/>
  <c r="BO363" i="5"/>
  <c r="BC453" i="5"/>
  <c r="BB160" i="5"/>
  <c r="BC203" i="5"/>
  <c r="BN1043" i="5"/>
  <c r="BN750" i="5"/>
  <c r="CB1069" i="5"/>
  <c r="BO703" i="5"/>
  <c r="BO118" i="5"/>
  <c r="BB1140" i="5"/>
  <c r="BZ1140" i="5" s="1"/>
  <c r="CB774" i="5"/>
  <c r="BN555" i="5"/>
  <c r="BZ555" i="5" s="1"/>
  <c r="BC262" i="5"/>
  <c r="BC189" i="5"/>
  <c r="BO116" i="5"/>
  <c r="BO1351" i="5" s="1"/>
  <c r="BO1352" i="5" s="1"/>
  <c r="BO1000" i="5"/>
  <c r="BC269" i="5"/>
  <c r="BB110" i="5"/>
  <c r="BB483" i="5"/>
  <c r="BB117" i="5"/>
  <c r="BB590" i="5"/>
  <c r="BN590" i="5"/>
  <c r="BO444" i="5"/>
  <c r="BN829" i="5"/>
  <c r="BB829" i="5"/>
  <c r="BC1225" i="5"/>
  <c r="BO1225" i="5"/>
  <c r="BC1083" i="5"/>
  <c r="CB1173" i="5"/>
  <c r="BB285" i="5"/>
  <c r="BB394" i="5"/>
  <c r="BZ394" i="5" s="1"/>
  <c r="BB420" i="5"/>
  <c r="BO1094" i="5"/>
  <c r="BB599" i="5"/>
  <c r="BC234" i="5"/>
  <c r="BC160" i="5"/>
  <c r="CB1164" i="5"/>
  <c r="BB1091" i="5"/>
  <c r="BZ1091" i="5" s="1"/>
  <c r="CB725" i="5"/>
  <c r="BN359" i="5"/>
  <c r="BZ359" i="5" s="1"/>
  <c r="BN67" i="5"/>
  <c r="BZ67" i="5" s="1"/>
  <c r="CB788" i="5"/>
  <c r="CB276" i="5"/>
  <c r="BB896" i="5"/>
  <c r="BZ896" i="5" s="1"/>
  <c r="CB677" i="5"/>
  <c r="BB1069" i="5"/>
  <c r="BC411" i="5"/>
  <c r="BO1231" i="5"/>
  <c r="BB280" i="5"/>
  <c r="BZ280" i="5" s="1"/>
  <c r="CB920" i="5"/>
  <c r="BC701" i="5"/>
  <c r="BB781" i="5"/>
  <c r="BB488" i="5"/>
  <c r="BO1288" i="5"/>
  <c r="BO629" i="5"/>
  <c r="BC629" i="5"/>
  <c r="BN244" i="5"/>
  <c r="BZ244" i="5" s="1"/>
  <c r="BB265" i="5"/>
  <c r="BN265" i="5"/>
  <c r="BL881" i="5"/>
  <c r="BO817" i="5"/>
  <c r="BO657" i="5"/>
  <c r="BL49" i="5"/>
  <c r="CB424" i="5"/>
  <c r="CB132" i="5"/>
  <c r="BN734" i="5"/>
  <c r="BO724" i="5"/>
  <c r="BO906" i="5"/>
  <c r="BC1151" i="5"/>
  <c r="BN200" i="5"/>
  <c r="BN784" i="5"/>
  <c r="CB199" i="5"/>
  <c r="BN126" i="5"/>
  <c r="CB1312" i="5"/>
  <c r="BB1240" i="5"/>
  <c r="BZ1240" i="5" s="1"/>
  <c r="BC290" i="5"/>
  <c r="BN70" i="5"/>
  <c r="BN453" i="5"/>
  <c r="BZ453" i="5" s="1"/>
  <c r="BC1091" i="5"/>
  <c r="BB725" i="5"/>
  <c r="CB568" i="5"/>
  <c r="BN203" i="5"/>
  <c r="BZ203" i="5" s="1"/>
  <c r="BC823" i="5"/>
  <c r="BC427" i="5"/>
  <c r="BB43" i="5"/>
  <c r="BZ43" i="5" s="1"/>
  <c r="BO1147" i="5"/>
  <c r="CB342" i="5"/>
  <c r="BB702" i="5"/>
  <c r="BC190" i="5"/>
  <c r="BC1048" i="5"/>
  <c r="CB610" i="5"/>
  <c r="BN171" i="5"/>
  <c r="BB171" i="5"/>
  <c r="BC1161" i="5"/>
  <c r="BO1161" i="5"/>
  <c r="BB873" i="5"/>
  <c r="BN873" i="5"/>
  <c r="BN105" i="5"/>
  <c r="BB105" i="5"/>
  <c r="BO1010" i="5"/>
  <c r="CB295" i="5"/>
  <c r="BO655" i="5"/>
  <c r="BO1258" i="5"/>
  <c r="BC970" i="5"/>
  <c r="BB458" i="5"/>
  <c r="BB557" i="5"/>
  <c r="BB866" i="5"/>
  <c r="BZ866" i="5" s="1"/>
  <c r="CB408" i="5"/>
  <c r="BB635" i="5"/>
  <c r="BN635" i="5"/>
  <c r="BC562" i="5"/>
  <c r="CB1288" i="5"/>
  <c r="BC1142" i="5"/>
  <c r="BO776" i="5"/>
  <c r="BC776" i="5"/>
  <c r="BO995" i="5"/>
  <c r="BC848" i="5"/>
  <c r="BO848" i="5"/>
  <c r="BC683" i="5"/>
  <c r="BO683" i="5"/>
  <c r="BO244" i="5"/>
  <c r="BC244" i="5"/>
  <c r="BL1033" i="5"/>
  <c r="BN617" i="5"/>
  <c r="BB617" i="5"/>
  <c r="BO1167" i="5"/>
  <c r="BB408" i="5"/>
  <c r="BZ408" i="5" s="1"/>
  <c r="BO1175" i="5"/>
  <c r="BC1175" i="5"/>
  <c r="BO298" i="5"/>
  <c r="BN1195" i="5"/>
  <c r="BB1195" i="5"/>
  <c r="BN390" i="5"/>
  <c r="BZ390" i="5" s="1"/>
  <c r="BO317" i="5"/>
  <c r="BC317" i="5"/>
  <c r="BO1193" i="5"/>
  <c r="BC1193" i="5"/>
  <c r="BN570" i="5"/>
  <c r="BN998" i="5"/>
  <c r="BZ998" i="5" s="1"/>
  <c r="BN267" i="5"/>
  <c r="BZ267" i="5" s="1"/>
  <c r="BO1253" i="5"/>
  <c r="BN522" i="5"/>
  <c r="BN255" i="5"/>
  <c r="BO836" i="5"/>
  <c r="BN770" i="5"/>
  <c r="BB770" i="5"/>
  <c r="BN184" i="5"/>
  <c r="BB184" i="5"/>
  <c r="BO772" i="5"/>
  <c r="BC552" i="5"/>
  <c r="CB484" i="5"/>
  <c r="CB45" i="5"/>
  <c r="CB995" i="5"/>
  <c r="CB902" i="5"/>
  <c r="BB521" i="5"/>
  <c r="BZ521" i="5" s="1"/>
  <c r="BB201" i="5"/>
  <c r="BZ201" i="5" s="1"/>
  <c r="BB1064" i="5"/>
  <c r="BC991" i="5"/>
  <c r="BB260" i="5"/>
  <c r="BZ260" i="5" s="1"/>
  <c r="BC716" i="5"/>
  <c r="BC277" i="5"/>
  <c r="BB852" i="5"/>
  <c r="BZ852" i="5" s="1"/>
  <c r="BC632" i="5"/>
  <c r="BB448" i="5"/>
  <c r="BZ448" i="5" s="1"/>
  <c r="BC46" i="5"/>
  <c r="BC1206" i="5"/>
  <c r="BO1093" i="5"/>
  <c r="BB1219" i="5"/>
  <c r="BN1219" i="5"/>
  <c r="BC780" i="5"/>
  <c r="BO780" i="5"/>
  <c r="BO1303" i="5"/>
  <c r="BC1303" i="5"/>
  <c r="CB810" i="5"/>
  <c r="BB425" i="5"/>
  <c r="BC233" i="5"/>
  <c r="BB1138" i="5"/>
  <c r="BZ1138" i="5" s="1"/>
  <c r="BC1064" i="5"/>
  <c r="CB772" i="5"/>
  <c r="BN552" i="5"/>
  <c r="BZ552" i="5" s="1"/>
  <c r="BC260" i="5"/>
  <c r="BB187" i="5"/>
  <c r="BZ187" i="5" s="1"/>
  <c r="CB862" i="5"/>
  <c r="BC1218" i="5"/>
  <c r="BO1071" i="5"/>
  <c r="BC413" i="5"/>
  <c r="CB1253" i="5"/>
  <c r="BB1180" i="5"/>
  <c r="BB668" i="5"/>
  <c r="BC448" i="5"/>
  <c r="CB46" i="5"/>
  <c r="BO402" i="5"/>
  <c r="BB109" i="5"/>
  <c r="BC1132" i="5"/>
  <c r="BB474" i="5"/>
  <c r="BZ474" i="5" s="1"/>
  <c r="BC254" i="5"/>
  <c r="BC108" i="5"/>
  <c r="CB1149" i="5"/>
  <c r="BB564" i="5"/>
  <c r="BO418" i="5"/>
  <c r="CB1311" i="5"/>
  <c r="BN1275" i="5"/>
  <c r="BB1275" i="5"/>
  <c r="BN634" i="5"/>
  <c r="BC48" i="5"/>
  <c r="BB1208" i="5"/>
  <c r="BZ1208" i="5" s="1"/>
  <c r="BC297" i="5"/>
  <c r="BC265" i="5"/>
  <c r="BC9" i="5"/>
  <c r="CB1211" i="5"/>
  <c r="BC479" i="5"/>
  <c r="BC333" i="5"/>
  <c r="BB1301" i="5"/>
  <c r="BZ1301" i="5" s="1"/>
  <c r="BB1291" i="5"/>
  <c r="BZ1291" i="5" s="1"/>
  <c r="CB1144" i="5"/>
  <c r="CB998" i="5"/>
  <c r="BO779" i="5"/>
  <c r="CB960" i="5"/>
  <c r="CB448" i="5"/>
  <c r="BO375" i="5"/>
  <c r="BN1279" i="5"/>
  <c r="BZ1279" i="5" s="1"/>
  <c r="BB767" i="5"/>
  <c r="BZ767" i="5" s="1"/>
  <c r="BC182" i="5"/>
  <c r="CB1278" i="5"/>
  <c r="BL766" i="5"/>
  <c r="CB327" i="5"/>
  <c r="CB254" i="5"/>
  <c r="BC181" i="5"/>
  <c r="BO1295" i="5"/>
  <c r="BB1222" i="5"/>
  <c r="BZ1222" i="5" s="1"/>
  <c r="BB1149" i="5"/>
  <c r="BC564" i="5"/>
  <c r="BB344" i="5"/>
  <c r="BZ344" i="5" s="1"/>
  <c r="CB1020" i="5"/>
  <c r="BC874" i="5"/>
  <c r="BO874" i="5"/>
  <c r="CB435" i="5"/>
  <c r="BC215" i="5"/>
  <c r="BO215" i="5"/>
  <c r="BB251" i="5"/>
  <c r="BC1072" i="5"/>
  <c r="BB718" i="5"/>
  <c r="BN718" i="5"/>
  <c r="BB512" i="5"/>
  <c r="BN512" i="5"/>
  <c r="CB1001" i="5"/>
  <c r="CB905" i="5"/>
  <c r="BN1228" i="5"/>
  <c r="BZ1228" i="5" s="1"/>
  <c r="CB1008" i="5"/>
  <c r="CB935" i="5"/>
  <c r="BC789" i="5"/>
  <c r="CB643" i="5"/>
  <c r="BB350" i="5"/>
  <c r="BB58" i="5"/>
  <c r="BZ58" i="5" s="1"/>
  <c r="BO852" i="5"/>
  <c r="BO486" i="5"/>
  <c r="CB267" i="5"/>
  <c r="BB840" i="5"/>
  <c r="BZ840" i="5" s="1"/>
  <c r="BB182" i="5"/>
  <c r="BZ182" i="5" s="1"/>
  <c r="BN1205" i="5"/>
  <c r="BZ1205" i="5" s="1"/>
  <c r="CB912" i="5"/>
  <c r="BB766" i="5"/>
  <c r="BZ766" i="5" s="1"/>
  <c r="BB254" i="5"/>
  <c r="BZ254" i="5" s="1"/>
  <c r="CB1003" i="5"/>
  <c r="BB930" i="5"/>
  <c r="BZ930" i="5" s="1"/>
  <c r="BO710" i="5"/>
  <c r="BB52" i="5"/>
  <c r="BZ52" i="5" s="1"/>
  <c r="BN800" i="5"/>
  <c r="BZ800" i="5" s="1"/>
  <c r="BN836" i="5"/>
  <c r="BZ836" i="5" s="1"/>
  <c r="BB645" i="5"/>
  <c r="BC361" i="5"/>
  <c r="CB41" i="5"/>
  <c r="BN699" i="5"/>
  <c r="BL552" i="5"/>
  <c r="CB406" i="5"/>
  <c r="BN40" i="5"/>
  <c r="BZ40" i="5" s="1"/>
  <c r="BO1228" i="5"/>
  <c r="BC267" i="5"/>
  <c r="CB741" i="5"/>
  <c r="CB522" i="5"/>
  <c r="BC1133" i="5"/>
  <c r="CB987" i="5"/>
  <c r="BC255" i="5"/>
  <c r="BO109" i="5"/>
  <c r="CB620" i="5"/>
  <c r="BC327" i="5"/>
  <c r="BN327" i="5"/>
  <c r="BZ327" i="5" s="1"/>
  <c r="CB783" i="5"/>
  <c r="CB418" i="5"/>
  <c r="BO344" i="5"/>
  <c r="BC1311" i="5"/>
  <c r="BC1239" i="5"/>
  <c r="BN727" i="5"/>
  <c r="BO1197" i="5"/>
  <c r="BC1197" i="5"/>
  <c r="BO194" i="5"/>
  <c r="BB402" i="5"/>
  <c r="BZ402" i="5" s="1"/>
  <c r="BN693" i="5"/>
  <c r="BO547" i="5"/>
  <c r="BO1222" i="5"/>
  <c r="BO791" i="5"/>
  <c r="BO951" i="5"/>
  <c r="BC951" i="5"/>
  <c r="BN616" i="5"/>
  <c r="BC1098" i="5"/>
  <c r="BO173" i="5"/>
  <c r="BO172" i="5"/>
  <c r="BO1307" i="5"/>
  <c r="BO1088" i="5"/>
  <c r="BO1115" i="5"/>
  <c r="BO748" i="5"/>
  <c r="BN382" i="5"/>
  <c r="BN1294" i="5"/>
  <c r="BO1221" i="5"/>
  <c r="BO490" i="5"/>
  <c r="BN542" i="5"/>
  <c r="BZ542" i="5" s="1"/>
  <c r="BO971" i="5"/>
  <c r="BO1226" i="5"/>
  <c r="BN421" i="5"/>
  <c r="BO813" i="5"/>
  <c r="BC813" i="5"/>
  <c r="BN1113" i="5"/>
  <c r="BB1113" i="5"/>
  <c r="BO395" i="5"/>
  <c r="BO1042" i="5"/>
  <c r="BO253" i="5"/>
  <c r="BO452" i="5"/>
  <c r="BO898" i="5"/>
  <c r="BO227" i="5"/>
  <c r="BC227" i="5"/>
  <c r="BC301" i="5"/>
  <c r="BO301" i="5"/>
  <c r="CB836" i="5"/>
  <c r="BN397" i="5"/>
  <c r="BZ397" i="5" s="1"/>
  <c r="CB1303" i="5"/>
  <c r="BB1230" i="5"/>
  <c r="BC572" i="5"/>
  <c r="CB1055" i="5"/>
  <c r="CB470" i="5"/>
  <c r="BB104" i="5"/>
  <c r="BC560" i="5"/>
  <c r="BC1208" i="5"/>
  <c r="CB623" i="5"/>
  <c r="BN477" i="5"/>
  <c r="CB404" i="5"/>
  <c r="CB331" i="5"/>
  <c r="BO111" i="5"/>
  <c r="BC1171" i="5"/>
  <c r="BB1270" i="5"/>
  <c r="CB978" i="5"/>
  <c r="BB685" i="5"/>
  <c r="BC612" i="5"/>
  <c r="BC392" i="5"/>
  <c r="BC1196" i="5"/>
  <c r="CB903" i="5"/>
  <c r="BO830" i="5"/>
  <c r="BB538" i="5"/>
  <c r="CB318" i="5"/>
  <c r="BC992" i="5"/>
  <c r="BX334" i="5"/>
  <c r="BC801" i="5"/>
  <c r="BN513" i="5"/>
  <c r="BC417" i="5"/>
  <c r="BN388" i="5"/>
  <c r="BZ388" i="5" s="1"/>
  <c r="BC844" i="5"/>
  <c r="BO698" i="5"/>
  <c r="BC551" i="5"/>
  <c r="BO614" i="5"/>
  <c r="BC430" i="5"/>
  <c r="BO1261" i="5"/>
  <c r="BC91" i="5"/>
  <c r="BN253" i="5"/>
  <c r="CB1148" i="5"/>
  <c r="BB1127" i="5"/>
  <c r="BZ1127" i="5" s="1"/>
  <c r="BB981" i="5"/>
  <c r="BZ981" i="5" s="1"/>
  <c r="BC1332" i="5"/>
  <c r="BC824" i="5"/>
  <c r="BC312" i="5"/>
  <c r="BC166" i="5"/>
  <c r="CB592" i="5"/>
  <c r="BN520" i="5"/>
  <c r="BB520" i="5"/>
  <c r="BO313" i="5"/>
  <c r="BC313" i="5"/>
  <c r="CB215" i="5"/>
  <c r="CB1292" i="5"/>
  <c r="BB1072" i="5"/>
  <c r="BZ1072" i="5" s="1"/>
  <c r="CB634" i="5"/>
  <c r="CB1084" i="5"/>
  <c r="CB645" i="5"/>
  <c r="CB279" i="5"/>
  <c r="BC104" i="5"/>
  <c r="CB853" i="5"/>
  <c r="CB111" i="5"/>
  <c r="CB392" i="5"/>
  <c r="BB903" i="5"/>
  <c r="BB391" i="5"/>
  <c r="BO245" i="5"/>
  <c r="CB1066" i="5"/>
  <c r="BB1185" i="5"/>
  <c r="BZ1185" i="5" s="1"/>
  <c r="CB1025" i="5"/>
  <c r="CB865" i="5"/>
  <c r="BB65" i="5"/>
  <c r="BZ65" i="5" s="1"/>
  <c r="CB680" i="5"/>
  <c r="BO1210" i="5"/>
  <c r="BB990" i="5"/>
  <c r="BZ990" i="5" s="1"/>
  <c r="CB1115" i="5"/>
  <c r="BB603" i="5"/>
  <c r="CB1187" i="5"/>
  <c r="BB180" i="5"/>
  <c r="BZ180" i="5" s="1"/>
  <c r="BC1326" i="5"/>
  <c r="BB891" i="5"/>
  <c r="BZ891" i="5" s="1"/>
  <c r="BB744" i="5"/>
  <c r="BB1200" i="5"/>
  <c r="BZ1200" i="5" s="1"/>
  <c r="CB971" i="5"/>
  <c r="CB1226" i="5"/>
  <c r="BB567" i="5"/>
  <c r="BB80" i="5"/>
  <c r="BZ80" i="5" s="1"/>
  <c r="BL80" i="5"/>
  <c r="BB525" i="5"/>
  <c r="BZ525" i="5" s="1"/>
  <c r="BB155" i="5"/>
  <c r="BL1273" i="5"/>
  <c r="BB345" i="5"/>
  <c r="BN345" i="5"/>
  <c r="CB1139" i="5"/>
  <c r="BN1066" i="5"/>
  <c r="BZ1066" i="5" s="1"/>
  <c r="BN627" i="5"/>
  <c r="BB480" i="5"/>
  <c r="BZ480" i="5" s="1"/>
  <c r="BB1153" i="5"/>
  <c r="BZ1153" i="5" s="1"/>
  <c r="BC897" i="5"/>
  <c r="BB607" i="5"/>
  <c r="BZ607" i="5" s="1"/>
  <c r="BN461" i="5"/>
  <c r="BZ461" i="5" s="1"/>
  <c r="CB698" i="5"/>
  <c r="BN942" i="5"/>
  <c r="BB796" i="5"/>
  <c r="BZ796" i="5" s="1"/>
  <c r="BB821" i="5"/>
  <c r="BZ821" i="5" s="1"/>
  <c r="BC180" i="5"/>
  <c r="BC1148" i="5"/>
  <c r="BC709" i="5"/>
  <c r="BC891" i="5"/>
  <c r="CB452" i="5"/>
  <c r="BC1200" i="5"/>
  <c r="BB762" i="5"/>
  <c r="BO250" i="5"/>
  <c r="BC176" i="5"/>
  <c r="BC103" i="5"/>
  <c r="BN103" i="5"/>
  <c r="BZ103" i="5" s="1"/>
  <c r="BB1332" i="5"/>
  <c r="CB605" i="5"/>
  <c r="BB166" i="5"/>
  <c r="BN714" i="5"/>
  <c r="CB640" i="5"/>
  <c r="BC1031" i="5"/>
  <c r="BO592" i="5"/>
  <c r="BC592" i="5"/>
  <c r="BL886" i="5"/>
  <c r="BB228" i="5"/>
  <c r="BZ228" i="5" s="1"/>
  <c r="BN446" i="5"/>
  <c r="BB446" i="5"/>
  <c r="BO154" i="5"/>
  <c r="BN441" i="5"/>
  <c r="CB581" i="5"/>
  <c r="BN926" i="5"/>
  <c r="CB780" i="5"/>
  <c r="BO1230" i="5"/>
  <c r="BC1011" i="5"/>
  <c r="CB718" i="5"/>
  <c r="CB206" i="5"/>
  <c r="BO1146" i="5"/>
  <c r="CB1024" i="5"/>
  <c r="BC439" i="5"/>
  <c r="CB1197" i="5"/>
  <c r="BC1124" i="5"/>
  <c r="CB246" i="5"/>
  <c r="BO100" i="5"/>
  <c r="CB391" i="5"/>
  <c r="BC480" i="5"/>
  <c r="BC1185" i="5"/>
  <c r="CB1153" i="5"/>
  <c r="BN1121" i="5"/>
  <c r="BZ1121" i="5" s="1"/>
  <c r="CB353" i="5"/>
  <c r="CB97" i="5"/>
  <c r="BB1192" i="5"/>
  <c r="BZ1192" i="5" s="1"/>
  <c r="BC1046" i="5"/>
  <c r="BB1210" i="5"/>
  <c r="BZ1210" i="5" s="1"/>
  <c r="CB478" i="5"/>
  <c r="BB322" i="5"/>
  <c r="BB1088" i="5"/>
  <c r="BC796" i="5"/>
  <c r="BC503" i="5"/>
  <c r="BB968" i="5"/>
  <c r="BO309" i="5"/>
  <c r="BB163" i="5"/>
  <c r="BC472" i="5"/>
  <c r="BB782" i="5"/>
  <c r="BB971" i="5"/>
  <c r="BZ971" i="5" s="1"/>
  <c r="BC459" i="5"/>
  <c r="BB860" i="5"/>
  <c r="BZ860" i="5" s="1"/>
  <c r="BB671" i="5"/>
  <c r="BB537" i="5"/>
  <c r="BN537" i="5"/>
  <c r="CB48" i="5"/>
  <c r="BO938" i="5"/>
  <c r="BC1055" i="5"/>
  <c r="CB477" i="5"/>
  <c r="BB111" i="5"/>
  <c r="BB1197" i="5"/>
  <c r="BZ1197" i="5" s="1"/>
  <c r="BO1217" i="5"/>
  <c r="BB961" i="5"/>
  <c r="BZ961" i="5" s="1"/>
  <c r="BO929" i="5"/>
  <c r="BC1063" i="5"/>
  <c r="BB551" i="5"/>
  <c r="CB29" i="5"/>
  <c r="BB1235" i="5"/>
  <c r="BZ1235" i="5" s="1"/>
  <c r="BC163" i="5"/>
  <c r="BB1204" i="5"/>
  <c r="BZ1204" i="5" s="1"/>
  <c r="BN1131" i="5"/>
  <c r="BZ1131" i="5" s="1"/>
  <c r="BB692" i="5"/>
  <c r="BB1221" i="5"/>
  <c r="BZ1221" i="5" s="1"/>
  <c r="BB1148" i="5"/>
  <c r="BZ1148" i="5" s="1"/>
  <c r="BN1075" i="5"/>
  <c r="BB855" i="5"/>
  <c r="BZ855" i="5" s="1"/>
  <c r="BC563" i="5"/>
  <c r="BO964" i="5"/>
  <c r="BO835" i="5"/>
  <c r="CB20" i="5"/>
  <c r="BB86" i="5"/>
  <c r="BZ86" i="5" s="1"/>
  <c r="BB959" i="5"/>
  <c r="BZ959" i="5" s="1"/>
  <c r="BB886" i="5"/>
  <c r="BZ886" i="5" s="1"/>
  <c r="BC667" i="5"/>
  <c r="BN447" i="5"/>
  <c r="BB447" i="5"/>
  <c r="BC989" i="5"/>
  <c r="BC696" i="5"/>
  <c r="BO978" i="5"/>
  <c r="BN319" i="5"/>
  <c r="BZ319" i="5" s="1"/>
  <c r="BB246" i="5"/>
  <c r="BZ246" i="5" s="1"/>
  <c r="BC1212" i="5"/>
  <c r="BC14" i="5"/>
  <c r="BO1153" i="5"/>
  <c r="BC961" i="5"/>
  <c r="BC545" i="5"/>
  <c r="BN1119" i="5"/>
  <c r="BZ1119" i="5" s="1"/>
  <c r="BB680" i="5"/>
  <c r="BO534" i="5"/>
  <c r="CB388" i="5"/>
  <c r="BB315" i="5"/>
  <c r="CB95" i="5"/>
  <c r="BB22" i="5"/>
  <c r="BZ22" i="5" s="1"/>
  <c r="CB771" i="5"/>
  <c r="BB698" i="5"/>
  <c r="BB834" i="5"/>
  <c r="CB760" i="5"/>
  <c r="CB530" i="5"/>
  <c r="CB237" i="5"/>
  <c r="BO894" i="5"/>
  <c r="BB326" i="5"/>
  <c r="BZ326" i="5" s="1"/>
  <c r="BC928" i="5"/>
  <c r="BB250" i="5"/>
  <c r="BB678" i="5"/>
  <c r="CB1252" i="5"/>
  <c r="BO446" i="5"/>
  <c r="BC446" i="5"/>
  <c r="BN633" i="5"/>
  <c r="BN601" i="5"/>
  <c r="CB1318" i="5"/>
  <c r="BN1247" i="5"/>
  <c r="BZ1247" i="5" s="1"/>
  <c r="BO808" i="5"/>
  <c r="BN735" i="5"/>
  <c r="BO516" i="5"/>
  <c r="BB370" i="5"/>
  <c r="BN606" i="5"/>
  <c r="CB460" i="5"/>
  <c r="BO94" i="5"/>
  <c r="BC1243" i="5"/>
  <c r="BC804" i="5"/>
  <c r="BO235" i="5"/>
  <c r="BO1130" i="5"/>
  <c r="BO124" i="5"/>
  <c r="BB2" i="5"/>
  <c r="AU1339" i="5"/>
  <c r="AU1340" i="5" s="1"/>
  <c r="BE1339" i="5"/>
  <c r="BE1340" i="5" s="1"/>
  <c r="BQ1339" i="5"/>
  <c r="BQ1340" i="5" s="1"/>
  <c r="CC1339" i="5"/>
  <c r="CC1340" i="5" s="1"/>
  <c r="BO682" i="5"/>
  <c r="BN141" i="5"/>
  <c r="BO1306" i="5"/>
  <c r="BN722" i="5"/>
  <c r="AB38" i="12"/>
  <c r="AB44" i="12" s="1"/>
  <c r="I41" i="12"/>
  <c r="H7" i="10"/>
  <c r="F9" i="10" s="1"/>
  <c r="F10" i="10" s="1"/>
  <c r="CB86" i="5"/>
  <c r="BO594" i="5"/>
  <c r="BN82" i="5"/>
  <c r="BZ82" i="5" s="1"/>
  <c r="CB958" i="5"/>
  <c r="CB1177" i="5"/>
  <c r="CB985" i="5"/>
  <c r="BO921" i="5"/>
  <c r="BB729" i="5"/>
  <c r="CB569" i="5"/>
  <c r="BB217" i="5"/>
  <c r="BZ217" i="5" s="1"/>
  <c r="BO185" i="5"/>
  <c r="BN89" i="5"/>
  <c r="BZ89" i="5" s="1"/>
  <c r="CB808" i="5"/>
  <c r="BO735" i="5"/>
  <c r="CB150" i="5"/>
  <c r="BN77" i="5"/>
  <c r="BZ77" i="5" s="1"/>
  <c r="BO1191" i="5"/>
  <c r="BC679" i="5"/>
  <c r="BO606" i="5"/>
  <c r="BB450" i="5"/>
  <c r="BN485" i="5"/>
  <c r="BC1168" i="5"/>
  <c r="BO1039" i="5"/>
  <c r="BB214" i="5"/>
  <c r="BL1325" i="5"/>
  <c r="BC1182" i="5"/>
  <c r="BC1036" i="5"/>
  <c r="BX304" i="5"/>
  <c r="BC158" i="5"/>
  <c r="BO587" i="5"/>
  <c r="CB768" i="5"/>
  <c r="CB794" i="5"/>
  <c r="BO574" i="5"/>
  <c r="BB428" i="5"/>
  <c r="BO355" i="5"/>
  <c r="BC664" i="5"/>
  <c r="BC518" i="5"/>
  <c r="BO2" i="5"/>
  <c r="AV1339" i="5"/>
  <c r="AV1340" i="5" s="1"/>
  <c r="BG1339" i="5"/>
  <c r="BG1340" i="5" s="1"/>
  <c r="BR1339" i="5"/>
  <c r="BR1340" i="5" s="1"/>
  <c r="CD1339" i="5"/>
  <c r="CD1340" i="5" s="1"/>
  <c r="BB1194" i="5"/>
  <c r="CB316" i="5"/>
  <c r="BB243" i="5"/>
  <c r="BB115" i="5"/>
  <c r="BC806" i="5"/>
  <c r="BO514" i="5"/>
  <c r="BB868" i="5"/>
  <c r="BN795" i="5"/>
  <c r="L41" i="12"/>
  <c r="N41" i="12" s="1"/>
  <c r="N40" i="12"/>
  <c r="BO1081" i="5"/>
  <c r="BN793" i="5"/>
  <c r="BO949" i="5"/>
  <c r="CB218" i="5"/>
  <c r="BC144" i="5"/>
  <c r="BB1061" i="5"/>
  <c r="BZ1061" i="5" s="1"/>
  <c r="BB1250" i="5"/>
  <c r="BC152" i="5"/>
  <c r="AZ1339" i="5"/>
  <c r="AZ1340" i="5" s="1"/>
  <c r="BH1339" i="5"/>
  <c r="BH1340" i="5" s="1"/>
  <c r="BU1339" i="5"/>
  <c r="BU1340" i="5" s="1"/>
  <c r="CI1339" i="5"/>
  <c r="CI1340" i="5" s="1"/>
  <c r="BC1194" i="5"/>
  <c r="BO828" i="5"/>
  <c r="BB608" i="5"/>
  <c r="BZ608" i="5" s="1"/>
  <c r="BB1165" i="5"/>
  <c r="BZ1165" i="5" s="1"/>
  <c r="BB1092" i="5"/>
  <c r="BO946" i="5"/>
  <c r="CB799" i="5"/>
  <c r="BB434" i="5"/>
  <c r="BZ434" i="5" s="1"/>
  <c r="BN231" i="5"/>
  <c r="BO660" i="5"/>
  <c r="BO1087" i="5"/>
  <c r="BN1321" i="5"/>
  <c r="BB1321" i="5"/>
  <c r="BX1101" i="5"/>
  <c r="BN589" i="5"/>
  <c r="BO731" i="5"/>
  <c r="BC510" i="5"/>
  <c r="BN1186" i="5"/>
  <c r="BZ1186" i="5" s="1"/>
  <c r="BB308" i="5"/>
  <c r="BZ308" i="5" s="1"/>
  <c r="BO618" i="5"/>
  <c r="CB124" i="5"/>
  <c r="BB1280" i="5"/>
  <c r="BN1207" i="5"/>
  <c r="BC622" i="5"/>
  <c r="CB1086" i="5"/>
  <c r="BB501" i="5"/>
  <c r="BO1103" i="5"/>
  <c r="BB518" i="5"/>
  <c r="BP2" i="5"/>
  <c r="BP1339" i="5" s="1"/>
  <c r="BP1340" i="5" s="1"/>
  <c r="BA1339" i="5"/>
  <c r="BA1340" i="5" s="1"/>
  <c r="BI1339" i="5"/>
  <c r="BI1340" i="5" s="1"/>
  <c r="BT1339" i="5"/>
  <c r="BT1340" i="5" s="1"/>
  <c r="CF1339" i="5"/>
  <c r="CF1340" i="5" s="1"/>
  <c r="CB974" i="5"/>
  <c r="BC608" i="5"/>
  <c r="BO535" i="5"/>
  <c r="BC142" i="5"/>
  <c r="BB799" i="5"/>
  <c r="BZ799" i="5" s="1"/>
  <c r="BB726" i="5"/>
  <c r="BC580" i="5"/>
  <c r="BB1255" i="5"/>
  <c r="BZ1255" i="5" s="1"/>
  <c r="CB1099" i="5"/>
  <c r="BB952" i="5"/>
  <c r="CB514" i="5"/>
  <c r="CB1234" i="5"/>
  <c r="CB1014" i="5"/>
  <c r="BO1321" i="5"/>
  <c r="BC1321" i="5"/>
  <c r="BB1031" i="5"/>
  <c r="BZ1031" i="5" s="1"/>
  <c r="BN592" i="5"/>
  <c r="CB959" i="5"/>
  <c r="BO82" i="5"/>
  <c r="CB1273" i="5"/>
  <c r="BB1049" i="5"/>
  <c r="BZ1049" i="5" s="1"/>
  <c r="BB761" i="5"/>
  <c r="CB601" i="5"/>
  <c r="BO882" i="5"/>
  <c r="BB826" i="5"/>
  <c r="BZ826" i="5" s="1"/>
  <c r="CB1324" i="5"/>
  <c r="BC1254" i="5"/>
  <c r="BB1108" i="5"/>
  <c r="BZ1108" i="5" s="1"/>
  <c r="BB888" i="5"/>
  <c r="BZ888" i="5" s="1"/>
  <c r="CB596" i="5"/>
  <c r="BO450" i="5"/>
  <c r="CB1143" i="5"/>
  <c r="BC1070" i="5"/>
  <c r="CB704" i="5"/>
  <c r="CB731" i="5"/>
  <c r="BB72" i="5"/>
  <c r="BZ72" i="5" s="1"/>
  <c r="CB876" i="5"/>
  <c r="BO364" i="5"/>
  <c r="CB820" i="5"/>
  <c r="BO600" i="5"/>
  <c r="BC308" i="5"/>
  <c r="CB1130" i="5"/>
  <c r="CB587" i="5"/>
  <c r="BC75" i="5"/>
  <c r="CB695" i="5"/>
  <c r="CB302" i="5"/>
  <c r="CB574" i="5"/>
  <c r="BO428" i="5"/>
  <c r="BB1320" i="5"/>
  <c r="BC1250" i="5"/>
  <c r="BN664" i="5"/>
  <c r="BD1339" i="5"/>
  <c r="BD1340" i="5" s="1"/>
  <c r="BJ1339" i="5"/>
  <c r="BJ1340" i="5" s="1"/>
  <c r="BW1339" i="5"/>
  <c r="BW1340" i="5" s="1"/>
  <c r="CE1339" i="5"/>
  <c r="CE1340" i="5" s="1"/>
  <c r="BN1267" i="5"/>
  <c r="BZ1267" i="5" s="1"/>
  <c r="BC974" i="5"/>
  <c r="BO901" i="5"/>
  <c r="BN316" i="5"/>
  <c r="BZ316" i="5" s="1"/>
  <c r="BO243" i="5"/>
  <c r="CB142" i="5"/>
  <c r="BO115" i="5"/>
  <c r="BB1310" i="5"/>
  <c r="BZ1310" i="5" s="1"/>
  <c r="CB946" i="5"/>
  <c r="CB1306" i="5"/>
  <c r="AA39" i="12"/>
  <c r="J39" i="12"/>
  <c r="CB446" i="5"/>
  <c r="BC1273" i="5"/>
  <c r="BO1241" i="5"/>
  <c r="CB697" i="5"/>
  <c r="CB505" i="5"/>
  <c r="BN25" i="5"/>
  <c r="BZ25" i="5" s="1"/>
  <c r="CB1247" i="5"/>
  <c r="BB808" i="5"/>
  <c r="BZ808" i="5" s="1"/>
  <c r="BO370" i="5"/>
  <c r="BC223" i="5"/>
  <c r="CB1118" i="5"/>
  <c r="CB679" i="5"/>
  <c r="CB94" i="5"/>
  <c r="BB1181" i="5"/>
  <c r="BZ1181" i="5" s="1"/>
  <c r="BN742" i="5"/>
  <c r="BC596" i="5"/>
  <c r="BO523" i="5"/>
  <c r="BB1143" i="5"/>
  <c r="BZ1143" i="5" s="1"/>
  <c r="CB485" i="5"/>
  <c r="CB1170" i="5"/>
  <c r="BB1096" i="5"/>
  <c r="BZ1096" i="5" s="1"/>
  <c r="BB658" i="5"/>
  <c r="CB365" i="5"/>
  <c r="BO292" i="5"/>
  <c r="BN1242" i="5"/>
  <c r="BB730" i="5"/>
  <c r="BB510" i="5"/>
  <c r="CB1112" i="5"/>
  <c r="BB820" i="5"/>
  <c r="BZ820" i="5" s="1"/>
  <c r="CB88" i="5"/>
  <c r="CB1276" i="5"/>
  <c r="BB1130" i="5"/>
  <c r="BZ1130" i="5" s="1"/>
  <c r="BC837" i="5"/>
  <c r="BB252" i="5"/>
  <c r="BB179" i="5"/>
  <c r="BZ179" i="5" s="1"/>
  <c r="CB890" i="5"/>
  <c r="BB302" i="5"/>
  <c r="BZ302" i="5" s="1"/>
  <c r="BC867" i="5"/>
  <c r="BB282" i="5"/>
  <c r="BN152" i="5"/>
  <c r="AY1339" i="5"/>
  <c r="AY1340" i="5" s="1"/>
  <c r="BK1339" i="5"/>
  <c r="BK1340" i="5" s="1"/>
  <c r="BV1339" i="5"/>
  <c r="BV1340" i="5" s="1"/>
  <c r="CK1339" i="5"/>
  <c r="CK1340" i="5" s="1"/>
  <c r="BB682" i="5"/>
  <c r="BO1238" i="5"/>
  <c r="CB287" i="5"/>
  <c r="BC141" i="5"/>
  <c r="BO136" i="5"/>
  <c r="CB525" i="5"/>
  <c r="CB793" i="5"/>
  <c r="CB313" i="5"/>
  <c r="CB153" i="5"/>
  <c r="CB89" i="5"/>
  <c r="CB77" i="5"/>
  <c r="CB1264" i="5"/>
  <c r="BB679" i="5"/>
  <c r="BB94" i="5"/>
  <c r="BZ94" i="5" s="1"/>
  <c r="BB1254" i="5"/>
  <c r="BZ1254" i="5" s="1"/>
  <c r="BB376" i="5"/>
  <c r="BZ376" i="5" s="1"/>
  <c r="BB851" i="5"/>
  <c r="BZ851" i="5" s="1"/>
  <c r="BB1170" i="5"/>
  <c r="BZ1170" i="5" s="1"/>
  <c r="BC365" i="5"/>
  <c r="BB583" i="5"/>
  <c r="BB291" i="5"/>
  <c r="BZ291" i="5" s="1"/>
  <c r="BN144" i="5"/>
  <c r="BC1259" i="5"/>
  <c r="BB1039" i="5"/>
  <c r="BZ1039" i="5" s="1"/>
  <c r="BC179" i="5"/>
  <c r="BN507" i="5"/>
  <c r="BO743" i="5"/>
  <c r="BB695" i="5"/>
  <c r="BN1030" i="5"/>
  <c r="BZ1030" i="5" s="1"/>
  <c r="BF1339" i="5"/>
  <c r="BF1340" i="5" s="1"/>
  <c r="BM1339" i="5"/>
  <c r="BM1340" i="5" s="1"/>
  <c r="BY1339" i="5"/>
  <c r="BY1340" i="5" s="1"/>
  <c r="BN1099" i="5"/>
  <c r="BZ1099" i="5" s="1"/>
  <c r="BN283" i="5"/>
  <c r="CB633" i="5"/>
  <c r="BB153" i="5"/>
  <c r="BB899" i="5"/>
  <c r="BO1181" i="5"/>
  <c r="BB438" i="5"/>
  <c r="BZ438" i="5" s="1"/>
  <c r="BO803" i="5"/>
  <c r="CB910" i="5"/>
  <c r="BO764" i="5"/>
  <c r="BN549" i="5"/>
  <c r="BS1339" i="5"/>
  <c r="BS1340" i="5" s="1"/>
  <c r="CA1339" i="5"/>
  <c r="CA1340" i="5" s="1"/>
  <c r="CB670" i="5"/>
  <c r="BC294" i="5"/>
  <c r="CB1160" i="5"/>
  <c r="CB648" i="5"/>
  <c r="CB63" i="5"/>
  <c r="G41" i="12"/>
  <c r="AA44" i="12"/>
  <c r="CB797" i="5"/>
  <c r="CB593" i="5"/>
  <c r="CB1233" i="5"/>
  <c r="CB913" i="5"/>
  <c r="CB529" i="5"/>
  <c r="CB465" i="5"/>
  <c r="CB401" i="5"/>
  <c r="CB209" i="5"/>
  <c r="CB1201" i="5"/>
  <c r="CB945" i="5"/>
  <c r="CB881" i="5"/>
  <c r="CB241" i="5"/>
  <c r="CB1169" i="5"/>
  <c r="CB561" i="5"/>
  <c r="CB497" i="5"/>
  <c r="BL1105" i="5"/>
  <c r="CB305" i="5"/>
  <c r="CB571" i="5"/>
  <c r="BL1100" i="5"/>
  <c r="CB661" i="5"/>
  <c r="BL12" i="5"/>
  <c r="CB66" i="5"/>
  <c r="CB613" i="5"/>
  <c r="CB802" i="5"/>
  <c r="CB143" i="5"/>
  <c r="CB819" i="5"/>
  <c r="BL861" i="5"/>
  <c r="CB203" i="5"/>
  <c r="CB1331" i="5"/>
  <c r="BX61" i="5"/>
  <c r="CB555" i="5"/>
  <c r="CB43" i="5"/>
  <c r="CB1147" i="5"/>
  <c r="CB196" i="5"/>
  <c r="BL50" i="5"/>
  <c r="CB630" i="5"/>
  <c r="BX873" i="5"/>
  <c r="CB489" i="5"/>
  <c r="CB918" i="5"/>
  <c r="CB47" i="5"/>
  <c r="BL448" i="5"/>
  <c r="CB1279" i="5"/>
  <c r="CB328" i="5"/>
  <c r="BL1132" i="5"/>
  <c r="CB474" i="5"/>
  <c r="CB108" i="5"/>
  <c r="CB710" i="5"/>
  <c r="CB947" i="5"/>
  <c r="CB362" i="5"/>
  <c r="CB1275" i="5"/>
  <c r="CB572" i="5"/>
  <c r="CB352" i="5"/>
  <c r="CB909" i="5"/>
  <c r="CB122" i="5"/>
  <c r="CB1135" i="5"/>
  <c r="CB843" i="5"/>
  <c r="CB1244" i="5"/>
  <c r="CB512" i="5"/>
  <c r="CB1196" i="5"/>
  <c r="CB830" i="5"/>
  <c r="CB992" i="5"/>
  <c r="CB846" i="5"/>
  <c r="CB554" i="5"/>
  <c r="CB1281" i="5"/>
  <c r="CB1057" i="5"/>
  <c r="BX577" i="5"/>
  <c r="CB807" i="5"/>
  <c r="BL358" i="5"/>
  <c r="CB1094" i="5"/>
  <c r="CB892" i="5"/>
  <c r="CB1018" i="5"/>
  <c r="CB1300" i="5"/>
  <c r="CB1215" i="5"/>
  <c r="CB1085" i="5"/>
  <c r="BL1085" i="5"/>
  <c r="CB390" i="5"/>
  <c r="CB841" i="5"/>
  <c r="CB1138" i="5"/>
  <c r="BX1060" i="5"/>
  <c r="BX1205" i="5"/>
  <c r="BL986" i="5"/>
  <c r="CB766" i="5"/>
  <c r="CB1166" i="5"/>
  <c r="CB874" i="5"/>
  <c r="CB341" i="5"/>
  <c r="CB864" i="5"/>
  <c r="CB258" i="5"/>
  <c r="BL1098" i="5"/>
  <c r="CB586" i="5"/>
  <c r="CB1270" i="5"/>
  <c r="CB976" i="5"/>
  <c r="CB1285" i="5"/>
  <c r="CB407" i="5"/>
  <c r="CB1185" i="5"/>
  <c r="CB897" i="5"/>
  <c r="CB168" i="5"/>
  <c r="BX1010" i="5"/>
  <c r="BL880" i="5"/>
  <c r="CB442" i="5"/>
  <c r="CB1236" i="5"/>
  <c r="CB1052" i="5"/>
  <c r="CB540" i="5"/>
  <c r="BL467" i="5"/>
  <c r="CB1078" i="5"/>
  <c r="CB363" i="5"/>
  <c r="CB965" i="5"/>
  <c r="CB746" i="5"/>
  <c r="CB432" i="5"/>
  <c r="BL1116" i="5"/>
  <c r="CB604" i="5"/>
  <c r="CB646" i="5"/>
  <c r="CB336" i="5"/>
  <c r="CB98" i="5"/>
  <c r="CB809" i="5"/>
  <c r="CB425" i="5"/>
  <c r="BL361" i="5"/>
  <c r="CB329" i="5"/>
  <c r="CB694" i="5"/>
  <c r="CB182" i="5"/>
  <c r="CB1205" i="5"/>
  <c r="BL254" i="5"/>
  <c r="CB1239" i="5"/>
  <c r="CB654" i="5"/>
  <c r="BL572" i="5"/>
  <c r="CB1146" i="5"/>
  <c r="CB659" i="5"/>
  <c r="BL318" i="5"/>
  <c r="CB461" i="5"/>
  <c r="CB405" i="5"/>
  <c r="CB1193" i="5"/>
  <c r="CB651" i="5"/>
  <c r="CB139" i="5"/>
  <c r="CB932" i="5"/>
  <c r="CB639" i="5"/>
  <c r="CB1296" i="5"/>
  <c r="CB858" i="5"/>
  <c r="CB948" i="5"/>
  <c r="CB655" i="5"/>
  <c r="CB509" i="5"/>
  <c r="CB436" i="5"/>
  <c r="CB70" i="5"/>
  <c r="CB453" i="5"/>
  <c r="CB1091" i="5"/>
  <c r="CB67" i="5"/>
  <c r="CB1080" i="5"/>
  <c r="CB349" i="5"/>
  <c r="CB130" i="5"/>
  <c r="CB823" i="5"/>
  <c r="CB531" i="5"/>
  <c r="CB850" i="5"/>
  <c r="CB1304" i="5"/>
  <c r="CB1231" i="5"/>
  <c r="CB1012" i="5"/>
  <c r="CB792" i="5"/>
  <c r="CB1140" i="5"/>
  <c r="CB628" i="5"/>
  <c r="CB189" i="5"/>
  <c r="BX1293" i="5"/>
  <c r="CB927" i="5"/>
  <c r="CB269" i="5"/>
  <c r="CB1142" i="5"/>
  <c r="CB1068" i="5"/>
  <c r="BL1068" i="5"/>
  <c r="CB848" i="5"/>
  <c r="CB1175" i="5"/>
  <c r="CB1029" i="5"/>
  <c r="CB298" i="5"/>
  <c r="CB1268" i="5"/>
  <c r="CB683" i="5"/>
  <c r="CB937" i="5"/>
  <c r="CB361" i="5"/>
  <c r="CB297" i="5"/>
  <c r="BL918" i="5"/>
  <c r="CB58" i="5"/>
  <c r="CB1107" i="5"/>
  <c r="CB1133" i="5"/>
  <c r="CB839" i="5"/>
  <c r="CB491" i="5"/>
  <c r="CB195" i="5"/>
  <c r="CB938" i="5"/>
  <c r="CB426" i="5"/>
  <c r="CB78" i="5"/>
  <c r="CB763" i="5"/>
  <c r="CB550" i="5"/>
  <c r="CB919" i="5"/>
  <c r="CB334" i="5"/>
  <c r="CB14" i="5"/>
  <c r="BX833" i="5"/>
  <c r="CB705" i="5"/>
  <c r="CB49" i="5"/>
  <c r="CB644" i="5"/>
  <c r="CB1308" i="5"/>
  <c r="CB1163" i="5"/>
  <c r="CB1090" i="5"/>
  <c r="CB212" i="5"/>
  <c r="CB686" i="5"/>
  <c r="CB274" i="5"/>
  <c r="CB1004" i="5"/>
  <c r="CB492" i="5"/>
  <c r="CB728" i="5"/>
  <c r="CB582" i="5"/>
  <c r="CB1184" i="5"/>
  <c r="CB1111" i="5"/>
  <c r="CB234" i="5"/>
  <c r="CB1237" i="5"/>
  <c r="BX506" i="5"/>
  <c r="CB359" i="5"/>
  <c r="CB1227" i="5"/>
  <c r="CB1154" i="5"/>
  <c r="CB934" i="5"/>
  <c r="CB557" i="5"/>
  <c r="CB262" i="5"/>
  <c r="CB1000" i="5"/>
  <c r="CB123" i="5"/>
  <c r="CB702" i="5"/>
  <c r="CB556" i="5"/>
  <c r="CB1102" i="5"/>
  <c r="CB663" i="5"/>
  <c r="CB371" i="5"/>
  <c r="CB1289" i="5"/>
  <c r="CB1257" i="5"/>
  <c r="CB1161" i="5"/>
  <c r="CB1033" i="5"/>
  <c r="CB457" i="5"/>
  <c r="CB1284" i="5"/>
  <c r="CB699" i="5"/>
  <c r="CB260" i="5"/>
  <c r="CB40" i="5"/>
  <c r="CB1301" i="5"/>
  <c r="CB716" i="5"/>
  <c r="CB423" i="5"/>
  <c r="CB1071" i="5"/>
  <c r="CB1034" i="5"/>
  <c r="CB887" i="5"/>
  <c r="CB621" i="5"/>
  <c r="CB402" i="5"/>
  <c r="CB693" i="5"/>
  <c r="CB1222" i="5"/>
  <c r="CB856" i="5"/>
  <c r="CB637" i="5"/>
  <c r="CB1128" i="5"/>
  <c r="BL836" i="5"/>
  <c r="BL1011" i="5"/>
  <c r="CB1282" i="5"/>
  <c r="BL1024" i="5"/>
  <c r="CB878" i="5"/>
  <c r="BL1051" i="5"/>
  <c r="CB904" i="5"/>
  <c r="CB245" i="5"/>
  <c r="CB99" i="5"/>
  <c r="BL1249" i="5"/>
  <c r="CB769" i="5"/>
  <c r="CB754" i="5"/>
  <c r="CB242" i="5"/>
  <c r="CB954" i="5"/>
  <c r="BL1125" i="5"/>
  <c r="BL832" i="5"/>
  <c r="BL1298" i="5"/>
  <c r="CB672" i="5"/>
  <c r="BL866" i="5"/>
  <c r="CB956" i="5"/>
  <c r="CB1048" i="5"/>
  <c r="BL975" i="5"/>
  <c r="BL9" i="5"/>
  <c r="BL40" i="5"/>
  <c r="BL1155" i="5"/>
  <c r="CB1060" i="5"/>
  <c r="CB914" i="5"/>
  <c r="CB109" i="5"/>
  <c r="CB1132" i="5"/>
  <c r="CB1093" i="5"/>
  <c r="BL1093" i="5"/>
  <c r="BL31" i="5"/>
  <c r="BX31" i="5"/>
  <c r="BL1197" i="5"/>
  <c r="BL904" i="5"/>
  <c r="BL246" i="5"/>
  <c r="CB1212" i="5"/>
  <c r="CB81" i="5"/>
  <c r="CB205" i="5"/>
  <c r="CB59" i="5"/>
  <c r="CB1100" i="5"/>
  <c r="CB588" i="5"/>
  <c r="CB222" i="5"/>
  <c r="CB431" i="5"/>
  <c r="CB1125" i="5"/>
  <c r="CB759" i="5"/>
  <c r="CB1005" i="5"/>
  <c r="CB566" i="5"/>
  <c r="CB347" i="5"/>
  <c r="CB127" i="5"/>
  <c r="CB1223" i="5"/>
  <c r="CB272" i="5"/>
  <c r="BL802" i="5"/>
  <c r="CB1327" i="5"/>
  <c r="BX307" i="5"/>
  <c r="CB160" i="5"/>
  <c r="CB579" i="5"/>
  <c r="CB1007" i="5"/>
  <c r="CB495" i="5"/>
  <c r="CB1189" i="5"/>
  <c r="CB1043" i="5"/>
  <c r="CB970" i="5"/>
  <c r="CB939" i="5"/>
  <c r="CB866" i="5"/>
  <c r="CB500" i="5"/>
  <c r="CB488" i="5"/>
  <c r="CB191" i="5"/>
  <c r="BX1141" i="5"/>
  <c r="BL390" i="5"/>
  <c r="CB969" i="5"/>
  <c r="CB1228" i="5"/>
  <c r="CB852" i="5"/>
  <c r="BL852" i="5"/>
  <c r="BL1034" i="5"/>
  <c r="CB668" i="5"/>
  <c r="CB1206" i="5"/>
  <c r="CB986" i="5"/>
  <c r="CB547" i="5"/>
  <c r="BL1295" i="5"/>
  <c r="CB1295" i="5"/>
  <c r="CB564" i="5"/>
  <c r="CB344" i="5"/>
  <c r="CB982" i="5"/>
  <c r="CB251" i="5"/>
  <c r="CB1219" i="5"/>
  <c r="CB487" i="5"/>
  <c r="CB1157" i="5"/>
  <c r="CB791" i="5"/>
  <c r="BX1202" i="5"/>
  <c r="CB560" i="5"/>
  <c r="CB989" i="5"/>
  <c r="CB38" i="5"/>
  <c r="CB1171" i="5"/>
  <c r="CB732" i="5"/>
  <c r="CB612" i="5"/>
  <c r="BX319" i="5"/>
  <c r="CB1123" i="5"/>
  <c r="CB1249" i="5"/>
  <c r="CB961" i="5"/>
  <c r="BL961" i="5"/>
  <c r="CB545" i="5"/>
  <c r="BL545" i="5"/>
  <c r="CB33" i="5"/>
  <c r="BL1046" i="5"/>
  <c r="CB1145" i="5"/>
  <c r="CB473" i="5"/>
  <c r="CB804" i="5"/>
  <c r="F45" i="12"/>
  <c r="F75" i="12"/>
  <c r="F80" i="12" s="1"/>
  <c r="CB1053" i="5"/>
  <c r="CB395" i="5"/>
  <c r="CB723" i="5"/>
  <c r="CB456" i="5"/>
  <c r="CB1040" i="5"/>
  <c r="CB309" i="5"/>
  <c r="CB765" i="5"/>
  <c r="CB180" i="5"/>
  <c r="CB1256" i="5"/>
  <c r="CB964" i="5"/>
  <c r="CB103" i="5"/>
  <c r="CB678" i="5"/>
  <c r="BX227" i="5"/>
  <c r="BX1037" i="5"/>
  <c r="CB379" i="5"/>
  <c r="CB1106" i="5"/>
  <c r="CB886" i="5"/>
  <c r="CB594" i="5"/>
  <c r="CB1178" i="5"/>
  <c r="CB666" i="5"/>
  <c r="CB857" i="5"/>
  <c r="CB409" i="5"/>
  <c r="CB1181" i="5"/>
  <c r="CB1070" i="5"/>
  <c r="CB851" i="5"/>
  <c r="CB778" i="5"/>
  <c r="CB219" i="5"/>
  <c r="CB1328" i="5"/>
  <c r="CB1259" i="5"/>
  <c r="CB162" i="5"/>
  <c r="CB1056" i="5"/>
  <c r="CB544" i="5"/>
  <c r="CB507" i="5"/>
  <c r="CB743" i="5"/>
  <c r="CB1245" i="5"/>
  <c r="CB367" i="5"/>
  <c r="CB221" i="5"/>
  <c r="CB372" i="5"/>
  <c r="CB901" i="5"/>
  <c r="CB755" i="5"/>
  <c r="CB1310" i="5"/>
  <c r="CB726" i="5"/>
  <c r="CB360" i="5"/>
  <c r="CB1109" i="5"/>
  <c r="CB294" i="5"/>
  <c r="CB869" i="5"/>
  <c r="BL503" i="5"/>
  <c r="CB822" i="5"/>
  <c r="CB908" i="5"/>
  <c r="CB860" i="5"/>
  <c r="CB494" i="5"/>
  <c r="CB921" i="5"/>
  <c r="CB889" i="5"/>
  <c r="CB57" i="5"/>
  <c r="CB955" i="5"/>
  <c r="BL77" i="5"/>
  <c r="CB899" i="5"/>
  <c r="CB752" i="5"/>
  <c r="CB387" i="5"/>
  <c r="CB1243" i="5"/>
  <c r="BL365" i="5"/>
  <c r="CB1168" i="5"/>
  <c r="BL820" i="5"/>
  <c r="BL308" i="5"/>
  <c r="CB325" i="5"/>
  <c r="CB1325" i="5"/>
  <c r="CB75" i="5"/>
  <c r="CB915" i="5"/>
  <c r="BL302" i="5"/>
  <c r="CB940" i="5"/>
  <c r="CB1030" i="5"/>
  <c r="CB957" i="5"/>
  <c r="CB682" i="5"/>
  <c r="CB1238" i="5"/>
  <c r="CB283" i="5"/>
  <c r="CB136" i="5"/>
  <c r="CB737" i="5"/>
  <c r="CB257" i="5"/>
  <c r="CB193" i="5"/>
  <c r="CB1283" i="5"/>
  <c r="CB990" i="5"/>
  <c r="CB917" i="5"/>
  <c r="CB551" i="5"/>
  <c r="CB259" i="5"/>
  <c r="BL29" i="5"/>
  <c r="CB1188" i="5"/>
  <c r="CB749" i="5"/>
  <c r="CB163" i="5"/>
  <c r="CB1204" i="5"/>
  <c r="CB472" i="5"/>
  <c r="CB1221" i="5"/>
  <c r="CB928" i="5"/>
  <c r="CB855" i="5"/>
  <c r="BL891" i="5"/>
  <c r="CB421" i="5"/>
  <c r="CB1037" i="5"/>
  <c r="CB671" i="5"/>
  <c r="CB1032" i="5"/>
  <c r="CB740" i="5"/>
  <c r="CB924" i="5"/>
  <c r="CB511" i="5"/>
  <c r="CB966" i="5"/>
  <c r="CB1120" i="5"/>
  <c r="CB535" i="5"/>
  <c r="CB1019" i="5"/>
  <c r="BX872" i="5"/>
  <c r="BL360" i="5"/>
  <c r="CB795" i="5"/>
  <c r="CB801" i="5"/>
  <c r="CB641" i="5"/>
  <c r="CB481" i="5"/>
  <c r="CB385" i="5"/>
  <c r="CB161" i="5"/>
  <c r="CB534" i="5"/>
  <c r="CB315" i="5"/>
  <c r="CB624" i="5"/>
  <c r="CB186" i="5"/>
  <c r="CB1272" i="5"/>
  <c r="CB980" i="5"/>
  <c r="CB687" i="5"/>
  <c r="BL1188" i="5"/>
  <c r="BL1042" i="5"/>
  <c r="CB676" i="5"/>
  <c r="CB383" i="5"/>
  <c r="CB967" i="5"/>
  <c r="CB602" i="5"/>
  <c r="CB528" i="5"/>
  <c r="CB236" i="5"/>
  <c r="BL1204" i="5"/>
  <c r="CB692" i="5"/>
  <c r="CB253" i="5"/>
  <c r="CB1294" i="5"/>
  <c r="CB563" i="5"/>
  <c r="CB490" i="5"/>
  <c r="CB416" i="5"/>
  <c r="CB1183" i="5"/>
  <c r="CB1110" i="5"/>
  <c r="CB1274" i="5"/>
  <c r="CB688" i="5"/>
  <c r="BX615" i="5"/>
  <c r="CB542" i="5"/>
  <c r="CB30" i="5"/>
  <c r="CB824" i="5"/>
  <c r="BL1299" i="5"/>
  <c r="BL860" i="5"/>
  <c r="BL447" i="5"/>
  <c r="CB154" i="5"/>
  <c r="CB1049" i="5"/>
  <c r="CB537" i="5"/>
  <c r="CB441" i="5"/>
  <c r="CB249" i="5"/>
  <c r="CB1028" i="5"/>
  <c r="CB589" i="5"/>
  <c r="CB972" i="5"/>
  <c r="CB167" i="5"/>
  <c r="CB962" i="5"/>
  <c r="CB450" i="5"/>
  <c r="CB303" i="5"/>
  <c r="CB230" i="5"/>
  <c r="BL1314" i="5"/>
  <c r="BX438" i="5"/>
  <c r="CB1095" i="5"/>
  <c r="CB1022" i="5"/>
  <c r="CB949" i="5"/>
  <c r="BL876" i="5"/>
  <c r="CB893" i="5"/>
  <c r="CB381" i="5"/>
  <c r="CB1203" i="5"/>
  <c r="CB983" i="5"/>
  <c r="BL179" i="5"/>
  <c r="CB158" i="5"/>
  <c r="CB174" i="5"/>
  <c r="CB62" i="5"/>
  <c r="CB591" i="5"/>
  <c r="CB844" i="5"/>
  <c r="BL1272" i="5"/>
  <c r="CB248" i="5"/>
  <c r="CB1042" i="5"/>
  <c r="CB18" i="5"/>
  <c r="BL1187" i="5"/>
  <c r="CB326" i="5"/>
  <c r="CB598" i="5"/>
  <c r="BX1044" i="5"/>
  <c r="BX933" i="5"/>
  <c r="CB320" i="5"/>
  <c r="CB1104" i="5"/>
  <c r="CB885" i="5"/>
  <c r="CB1322" i="5"/>
  <c r="BL959" i="5"/>
  <c r="CB228" i="5"/>
  <c r="CB82" i="5"/>
  <c r="CB812" i="5"/>
  <c r="CB1113" i="5"/>
  <c r="BL985" i="5"/>
  <c r="BX825" i="5"/>
  <c r="CB1174" i="5"/>
  <c r="CB223" i="5"/>
  <c r="CB1254" i="5"/>
  <c r="CB631" i="5"/>
  <c r="CB1314" i="5"/>
  <c r="BL1170" i="5"/>
  <c r="CB1242" i="5"/>
  <c r="CB364" i="5"/>
  <c r="CB71" i="5"/>
  <c r="CB471" i="5"/>
  <c r="CB252" i="5"/>
  <c r="CB451" i="5"/>
  <c r="CB622" i="5"/>
  <c r="CB549" i="5"/>
  <c r="CB403" i="5"/>
  <c r="CB647" i="5"/>
  <c r="CB501" i="5"/>
  <c r="CB1103" i="5"/>
  <c r="CB518" i="5"/>
  <c r="CB828" i="5"/>
  <c r="CB170" i="5"/>
  <c r="CB1092" i="5"/>
  <c r="CB660" i="5"/>
  <c r="BL294" i="5"/>
  <c r="CB148" i="5"/>
  <c r="CB1087" i="5"/>
  <c r="CB722" i="5"/>
  <c r="BL90" i="5"/>
  <c r="BX1277" i="5"/>
  <c r="BL838" i="5"/>
  <c r="CB34" i="5"/>
  <c r="CB306" i="5"/>
  <c r="CB1117" i="5"/>
  <c r="CB532" i="5"/>
  <c r="CB1006" i="5"/>
  <c r="BL812" i="5"/>
  <c r="CB443" i="5"/>
  <c r="CB888" i="5"/>
  <c r="CB1290" i="5"/>
  <c r="CB950" i="5"/>
  <c r="CB454" i="5"/>
  <c r="CB597" i="5"/>
  <c r="BX1172" i="5"/>
  <c r="CB1280" i="5"/>
  <c r="CB445" i="5"/>
  <c r="CB608" i="5"/>
  <c r="CB952" i="5"/>
  <c r="CB356" i="5"/>
  <c r="CB289" i="5"/>
  <c r="CB225" i="5"/>
  <c r="CB129" i="5"/>
  <c r="CB65" i="5"/>
  <c r="CB907" i="5"/>
  <c r="CB614" i="5"/>
  <c r="CB468" i="5"/>
  <c r="BX1015" i="5"/>
  <c r="CB942" i="5"/>
  <c r="CB796" i="5"/>
  <c r="CB1330" i="5"/>
  <c r="CB1261" i="5"/>
  <c r="CB968" i="5"/>
  <c r="CB895" i="5"/>
  <c r="CB1260" i="5"/>
  <c r="CB675" i="5"/>
  <c r="CB197" i="5"/>
  <c r="CB981" i="5"/>
  <c r="CB323" i="5"/>
  <c r="BX1263" i="5"/>
  <c r="CB1044" i="5"/>
  <c r="CB751" i="5"/>
  <c r="CB93" i="5"/>
  <c r="CB1079" i="5"/>
  <c r="CB787" i="5"/>
  <c r="CB238" i="5"/>
  <c r="CB1031" i="5"/>
  <c r="CB818" i="5"/>
  <c r="CB1179" i="5"/>
  <c r="CB520" i="5"/>
  <c r="CB447" i="5"/>
  <c r="CB1209" i="5"/>
  <c r="CB825" i="5"/>
  <c r="CB665" i="5"/>
  <c r="CB345" i="5"/>
  <c r="BX281" i="5"/>
  <c r="CB185" i="5"/>
  <c r="CB121" i="5"/>
  <c r="CB662" i="5"/>
  <c r="CB826" i="5"/>
  <c r="CB533" i="5"/>
  <c r="CB1108" i="5"/>
  <c r="CB1035" i="5"/>
  <c r="CB376" i="5"/>
  <c r="CB11" i="5"/>
  <c r="CB558" i="5"/>
  <c r="CB412" i="5"/>
  <c r="CB1023" i="5"/>
  <c r="CB438" i="5"/>
  <c r="CB674" i="5"/>
  <c r="CB527" i="5"/>
  <c r="CB618" i="5"/>
  <c r="CB179" i="5"/>
  <c r="CB1159" i="5"/>
  <c r="BL884" i="5"/>
  <c r="CB226" i="5"/>
  <c r="CB1267" i="5"/>
  <c r="CB1194" i="5"/>
  <c r="BL901" i="5"/>
  <c r="CB462" i="5"/>
  <c r="CB243" i="5"/>
  <c r="CB115" i="5"/>
  <c r="CB580" i="5"/>
  <c r="CB231" i="5"/>
  <c r="BX440" i="5"/>
  <c r="CB502" i="5"/>
  <c r="CB210" i="5"/>
  <c r="BN1137" i="5"/>
  <c r="BZ1137" i="5" s="1"/>
  <c r="BO401" i="5"/>
  <c r="BL209" i="5"/>
  <c r="BL1083" i="5"/>
  <c r="BC1297" i="5"/>
  <c r="BX1169" i="5"/>
  <c r="BL1137" i="5"/>
  <c r="BO1105" i="5"/>
  <c r="BX1009" i="5"/>
  <c r="BC977" i="5"/>
  <c r="BC945" i="5"/>
  <c r="BB849" i="5"/>
  <c r="BB817" i="5"/>
  <c r="BB785" i="5"/>
  <c r="BB753" i="5"/>
  <c r="BB721" i="5"/>
  <c r="BB689" i="5"/>
  <c r="BB657" i="5"/>
  <c r="BB625" i="5"/>
  <c r="BB593" i="5"/>
  <c r="BZ593" i="5" s="1"/>
  <c r="BL593" i="5"/>
  <c r="BO561" i="5"/>
  <c r="BO529" i="5"/>
  <c r="BO497" i="5"/>
  <c r="BO465" i="5"/>
  <c r="BO433" i="5"/>
  <c r="BX305" i="5"/>
  <c r="BC209" i="5"/>
  <c r="BN145" i="5"/>
  <c r="BN113" i="5"/>
  <c r="BB17" i="5"/>
  <c r="BZ17" i="5" s="1"/>
  <c r="BL17" i="5"/>
  <c r="BX1302" i="5"/>
  <c r="BX1083" i="5"/>
  <c r="BO790" i="5"/>
  <c r="BN717" i="5"/>
  <c r="BB351" i="5"/>
  <c r="CB351" i="5"/>
  <c r="BO278" i="5"/>
  <c r="BN205" i="5"/>
  <c r="BN1173" i="5"/>
  <c r="BZ1173" i="5" s="1"/>
  <c r="BB1100" i="5"/>
  <c r="BZ1100" i="5" s="1"/>
  <c r="BX954" i="5"/>
  <c r="BN880" i="5"/>
  <c r="BZ880" i="5" s="1"/>
  <c r="BX880" i="5"/>
  <c r="BB807" i="5"/>
  <c r="BZ807" i="5" s="1"/>
  <c r="CB734" i="5"/>
  <c r="BN588" i="5"/>
  <c r="BO515" i="5"/>
  <c r="BL295" i="5"/>
  <c r="BL222" i="5"/>
  <c r="BC76" i="5"/>
  <c r="BX1308" i="5"/>
  <c r="BL1236" i="5"/>
  <c r="BN1090" i="5"/>
  <c r="BZ1090" i="5" s="1"/>
  <c r="BC797" i="5"/>
  <c r="BX797" i="5"/>
  <c r="BO578" i="5"/>
  <c r="BX1125" i="5"/>
  <c r="BC1052" i="5"/>
  <c r="BC832" i="5"/>
  <c r="BO686" i="5"/>
  <c r="BN613" i="5"/>
  <c r="BX1298" i="5"/>
  <c r="BC1224" i="5"/>
  <c r="BL1151" i="5"/>
  <c r="BX1005" i="5"/>
  <c r="BC639" i="5"/>
  <c r="BX347" i="5"/>
  <c r="BC274" i="5"/>
  <c r="CB200" i="5"/>
  <c r="BC54" i="5"/>
  <c r="BO1150" i="5"/>
  <c r="BL858" i="5"/>
  <c r="BO784" i="5"/>
  <c r="BN638" i="5"/>
  <c r="BN565" i="5"/>
  <c r="BZ565" i="5" s="1"/>
  <c r="BX419" i="5"/>
  <c r="BC126" i="5"/>
  <c r="BO1021" i="5"/>
  <c r="BB436" i="5"/>
  <c r="BB363" i="5"/>
  <c r="BB143" i="5"/>
  <c r="BC70" i="5"/>
  <c r="BB1111" i="5"/>
  <c r="BZ1111" i="5" s="1"/>
  <c r="BL1111" i="5"/>
  <c r="BX1038" i="5"/>
  <c r="BO380" i="5"/>
  <c r="CB307" i="5"/>
  <c r="BB1018" i="5"/>
  <c r="BB944" i="5"/>
  <c r="BZ944" i="5" s="1"/>
  <c r="BL506" i="5"/>
  <c r="BN432" i="5"/>
  <c r="BO359" i="5"/>
  <c r="BC213" i="5"/>
  <c r="BX213" i="5"/>
  <c r="BN1227" i="5"/>
  <c r="BZ1227" i="5" s="1"/>
  <c r="BB1154" i="5"/>
  <c r="BB1080" i="5"/>
  <c r="BZ1080" i="5" s="1"/>
  <c r="BO642" i="5"/>
  <c r="BB495" i="5"/>
  <c r="BC422" i="5"/>
  <c r="BL422" i="5"/>
  <c r="BN276" i="5"/>
  <c r="BC56" i="5"/>
  <c r="BN1189" i="5"/>
  <c r="BX1116" i="5"/>
  <c r="BB970" i="5"/>
  <c r="BZ970" i="5" s="1"/>
  <c r="BX823" i="5"/>
  <c r="BB604" i="5"/>
  <c r="BZ604" i="5" s="1"/>
  <c r="BL604" i="5"/>
  <c r="BO1215" i="5"/>
  <c r="BN411" i="5"/>
  <c r="BO264" i="5"/>
  <c r="BC1304" i="5"/>
  <c r="BX1231" i="5"/>
  <c r="BN1085" i="5"/>
  <c r="BZ1085" i="5" s="1"/>
  <c r="BB500" i="5"/>
  <c r="BZ500" i="5" s="1"/>
  <c r="BL500" i="5"/>
  <c r="CB207" i="5"/>
  <c r="BO61" i="5"/>
  <c r="BX1067" i="5"/>
  <c r="BL994" i="5"/>
  <c r="BN920" i="5"/>
  <c r="BO847" i="5"/>
  <c r="BB189" i="5"/>
  <c r="BL43" i="5"/>
  <c r="CB1293" i="5"/>
  <c r="BB1220" i="5"/>
  <c r="BB1147" i="5"/>
  <c r="BZ1147" i="5" s="1"/>
  <c r="BL1147" i="5"/>
  <c r="BO1074" i="5"/>
  <c r="CB854" i="5"/>
  <c r="BO781" i="5"/>
  <c r="BO110" i="5"/>
  <c r="BO996" i="5"/>
  <c r="BL923" i="5"/>
  <c r="BN776" i="5"/>
  <c r="BN191" i="5"/>
  <c r="BL1287" i="5"/>
  <c r="BB1141" i="5"/>
  <c r="BZ1141" i="5" s="1"/>
  <c r="BN995" i="5"/>
  <c r="BZ995" i="5" s="1"/>
  <c r="BC922" i="5"/>
  <c r="BL922" i="5"/>
  <c r="BC775" i="5"/>
  <c r="BC263" i="5"/>
  <c r="BX1319" i="5"/>
  <c r="BL1248" i="5"/>
  <c r="BB517" i="5"/>
  <c r="BB371" i="5"/>
  <c r="BZ371" i="5" s="1"/>
  <c r="BL371" i="5"/>
  <c r="BC1195" i="5"/>
  <c r="BX1195" i="5"/>
  <c r="BL1122" i="5"/>
  <c r="BO975" i="5"/>
  <c r="BX829" i="5"/>
  <c r="BO610" i="5"/>
  <c r="BB317" i="5"/>
  <c r="BZ317" i="5" s="1"/>
  <c r="BX317" i="5"/>
  <c r="BB1257" i="5"/>
  <c r="BZ1257" i="5" s="1"/>
  <c r="BL1257" i="5"/>
  <c r="CB1129" i="5"/>
  <c r="CB1097" i="5"/>
  <c r="BX1033" i="5"/>
  <c r="BC969" i="5"/>
  <c r="BL873" i="5"/>
  <c r="BC329" i="5"/>
  <c r="BN297" i="5"/>
  <c r="BZ297" i="5" s="1"/>
  <c r="BX233" i="5"/>
  <c r="BL201" i="5"/>
  <c r="BN169" i="5"/>
  <c r="CB137" i="5"/>
  <c r="BB73" i="5"/>
  <c r="BZ73" i="5" s="1"/>
  <c r="BN41" i="5"/>
  <c r="BZ41" i="5" s="1"/>
  <c r="CB991" i="5"/>
  <c r="BN918" i="5"/>
  <c r="BZ918" i="5" s="1"/>
  <c r="BX918" i="5"/>
  <c r="BB845" i="5"/>
  <c r="BZ845" i="5" s="1"/>
  <c r="BN772" i="5"/>
  <c r="CB333" i="5"/>
  <c r="BN1155" i="5"/>
  <c r="BZ1155" i="5" s="1"/>
  <c r="BB1082" i="5"/>
  <c r="BZ1082" i="5" s="1"/>
  <c r="BL1008" i="5"/>
  <c r="BC935" i="5"/>
  <c r="BL862" i="5"/>
  <c r="CB789" i="5"/>
  <c r="CB350" i="5"/>
  <c r="BO204" i="5"/>
  <c r="CB131" i="5"/>
  <c r="BO58" i="5"/>
  <c r="BB1218" i="5"/>
  <c r="CB925" i="5"/>
  <c r="BX925" i="5"/>
  <c r="BN632" i="5"/>
  <c r="BB486" i="5"/>
  <c r="BZ486" i="5" s="1"/>
  <c r="BC668" i="5"/>
  <c r="BN46" i="5"/>
  <c r="BZ46" i="5" s="1"/>
  <c r="BB987" i="5"/>
  <c r="BZ987" i="5" s="1"/>
  <c r="BX914" i="5"/>
  <c r="BN694" i="5"/>
  <c r="BO548" i="5"/>
  <c r="BL328" i="5"/>
  <c r="CB1297" i="5"/>
  <c r="BN1201" i="5"/>
  <c r="BZ1201" i="5" s="1"/>
  <c r="BL1169" i="5"/>
  <c r="BC1137" i="5"/>
  <c r="BN1073" i="5"/>
  <c r="BZ1073" i="5" s="1"/>
  <c r="BL1041" i="5"/>
  <c r="BC785" i="5"/>
  <c r="BX209" i="5"/>
  <c r="BN177" i="5"/>
  <c r="CB145" i="5"/>
  <c r="CB113" i="5"/>
  <c r="CB1302" i="5"/>
  <c r="BC1229" i="5"/>
  <c r="BL1010" i="5"/>
  <c r="BX863" i="5"/>
  <c r="BC498" i="5"/>
  <c r="BB424" i="5"/>
  <c r="BX295" i="5"/>
  <c r="BO149" i="5"/>
  <c r="BO1308" i="5"/>
  <c r="BB724" i="5"/>
  <c r="BO285" i="5"/>
  <c r="BO212" i="5"/>
  <c r="BN1198" i="5"/>
  <c r="BB979" i="5"/>
  <c r="BZ979" i="5" s="1"/>
  <c r="BL979" i="5"/>
  <c r="BX906" i="5"/>
  <c r="BX832" i="5"/>
  <c r="BB540" i="5"/>
  <c r="BZ540" i="5" s="1"/>
  <c r="BL540" i="5"/>
  <c r="BX1151" i="5"/>
  <c r="BN786" i="5"/>
  <c r="BN712" i="5"/>
  <c r="BX1223" i="5"/>
  <c r="BL1004" i="5"/>
  <c r="CB784" i="5"/>
  <c r="BL1312" i="5"/>
  <c r="CB1167" i="5"/>
  <c r="CB1021" i="5"/>
  <c r="BB655" i="5"/>
  <c r="BB509" i="5"/>
  <c r="BB1258" i="5"/>
  <c r="BC1184" i="5"/>
  <c r="BX965" i="5"/>
  <c r="BL892" i="5"/>
  <c r="BL1164" i="5"/>
  <c r="CB798" i="5"/>
  <c r="BB579" i="5"/>
  <c r="BO432" i="5"/>
  <c r="BN861" i="5"/>
  <c r="BZ861" i="5" s="1"/>
  <c r="BX861" i="5"/>
  <c r="BC788" i="5"/>
  <c r="BB715" i="5"/>
  <c r="BX56" i="5"/>
  <c r="BO1116" i="5"/>
  <c r="BL970" i="5"/>
  <c r="BL896" i="5"/>
  <c r="BN823" i="5"/>
  <c r="BZ823" i="5" s="1"/>
  <c r="BC750" i="5"/>
  <c r="BC604" i="5"/>
  <c r="BL1158" i="5"/>
  <c r="BB1012" i="5"/>
  <c r="BZ1012" i="5" s="1"/>
  <c r="BB719" i="5"/>
  <c r="BB573" i="5"/>
  <c r="BX280" i="5"/>
  <c r="CB61" i="5"/>
  <c r="CB1213" i="5"/>
  <c r="BB994" i="5"/>
  <c r="BZ994" i="5" s="1"/>
  <c r="BX628" i="5"/>
  <c r="BX1147" i="5"/>
  <c r="BX927" i="5"/>
  <c r="BO854" i="5"/>
  <c r="CB781" i="5"/>
  <c r="CB635" i="5"/>
  <c r="BN415" i="5"/>
  <c r="BX923" i="5"/>
  <c r="BL338" i="5"/>
  <c r="BN45" i="5"/>
  <c r="BZ45" i="5" s="1"/>
  <c r="BB1287" i="5"/>
  <c r="BZ1287" i="5" s="1"/>
  <c r="BC44" i="5"/>
  <c r="BC1248" i="5"/>
  <c r="BX1029" i="5"/>
  <c r="BL956" i="5"/>
  <c r="BN810" i="5"/>
  <c r="BO736" i="5"/>
  <c r="BX590" i="5"/>
  <c r="BL96" i="5"/>
  <c r="BB1122" i="5"/>
  <c r="BZ1122" i="5" s="1"/>
  <c r="BL536" i="5"/>
  <c r="BL24" i="5"/>
  <c r="BX1289" i="5"/>
  <c r="BC1257" i="5"/>
  <c r="BL1065" i="5"/>
  <c r="BO1033" i="5"/>
  <c r="BN905" i="5"/>
  <c r="BZ905" i="5" s="1"/>
  <c r="BX905" i="5"/>
  <c r="BC873" i="5"/>
  <c r="BX809" i="5"/>
  <c r="BL521" i="5"/>
  <c r="BO457" i="5"/>
  <c r="BO393" i="5"/>
  <c r="BX329" i="5"/>
  <c r="BC1284" i="5"/>
  <c r="BC845" i="5"/>
  <c r="BL626" i="5"/>
  <c r="BB114" i="5"/>
  <c r="BC1301" i="5"/>
  <c r="BL1301" i="5"/>
  <c r="BL1228" i="5"/>
  <c r="BO1155" i="5"/>
  <c r="BL1082" i="5"/>
  <c r="BN789" i="5"/>
  <c r="CB277" i="5"/>
  <c r="BL277" i="5"/>
  <c r="BL58" i="5"/>
  <c r="BO1291" i="5"/>
  <c r="BX1144" i="5"/>
  <c r="BC925" i="5"/>
  <c r="BN194" i="5"/>
  <c r="BB194" i="5"/>
  <c r="CB348" i="5"/>
  <c r="BX348" i="5"/>
  <c r="BN1206" i="5"/>
  <c r="BO271" i="5"/>
  <c r="BC271" i="5"/>
  <c r="BO508" i="5"/>
  <c r="BC508" i="5"/>
  <c r="BX1105" i="5"/>
  <c r="BB977" i="5"/>
  <c r="BB945" i="5"/>
  <c r="BZ945" i="5" s="1"/>
  <c r="BL945" i="5"/>
  <c r="BX881" i="5"/>
  <c r="BC753" i="5"/>
  <c r="BC593" i="5"/>
  <c r="BL273" i="5"/>
  <c r="BO49" i="5"/>
  <c r="BB1010" i="5"/>
  <c r="BZ1010" i="5" s="1"/>
  <c r="BL863" i="5"/>
  <c r="BN1297" i="5"/>
  <c r="BZ1297" i="5" s="1"/>
  <c r="BX1297" i="5"/>
  <c r="BB1233" i="5"/>
  <c r="BL1201" i="5"/>
  <c r="BO1169" i="5"/>
  <c r="BX1073" i="5"/>
  <c r="BC1041" i="5"/>
  <c r="BL913" i="5"/>
  <c r="BO881" i="5"/>
  <c r="BX593" i="5"/>
  <c r="BC273" i="5"/>
  <c r="BN241" i="5"/>
  <c r="BZ241" i="5" s="1"/>
  <c r="BB81" i="5"/>
  <c r="BZ81" i="5" s="1"/>
  <c r="BL81" i="5"/>
  <c r="BX17" i="5"/>
  <c r="BX1229" i="5"/>
  <c r="BL1156" i="5"/>
  <c r="BL936" i="5"/>
  <c r="BC863" i="5"/>
  <c r="BB644" i="5"/>
  <c r="BC424" i="5"/>
  <c r="BB132" i="5"/>
  <c r="BB59" i="5"/>
  <c r="BZ59" i="5" s="1"/>
  <c r="BL59" i="5"/>
  <c r="BX1100" i="5"/>
  <c r="BO734" i="5"/>
  <c r="BN661" i="5"/>
  <c r="BB12" i="5"/>
  <c r="BZ12" i="5" s="1"/>
  <c r="BX1090" i="5"/>
  <c r="BC1016" i="5"/>
  <c r="BB651" i="5"/>
  <c r="BB504" i="5"/>
  <c r="BB66" i="5"/>
  <c r="BZ66" i="5" s="1"/>
  <c r="BL1271" i="5"/>
  <c r="BO1125" i="5"/>
  <c r="BB759" i="5"/>
  <c r="BC540" i="5"/>
  <c r="BB1078" i="5"/>
  <c r="BZ1078" i="5" s="1"/>
  <c r="BN566" i="5"/>
  <c r="BO493" i="5"/>
  <c r="BB54" i="5"/>
  <c r="BZ54" i="5" s="1"/>
  <c r="BL1296" i="5"/>
  <c r="BC1077" i="5"/>
  <c r="BB1004" i="5"/>
  <c r="BZ1004" i="5" s="1"/>
  <c r="BB858" i="5"/>
  <c r="BZ858" i="5" s="1"/>
  <c r="BB711" i="5"/>
  <c r="BL565" i="5"/>
  <c r="BO419" i="5"/>
  <c r="BC1312" i="5"/>
  <c r="BX802" i="5"/>
  <c r="BC728" i="5"/>
  <c r="BC216" i="5"/>
  <c r="BX1111" i="5"/>
  <c r="BC892" i="5"/>
  <c r="BX453" i="5"/>
  <c r="BB380" i="5"/>
  <c r="BO42" i="5"/>
  <c r="BX42" i="5"/>
  <c r="BC1309" i="5"/>
  <c r="BC1237" i="5"/>
  <c r="BB1164" i="5"/>
  <c r="BZ1164" i="5" s="1"/>
  <c r="BX944" i="5"/>
  <c r="BB871" i="5"/>
  <c r="BZ871" i="5" s="1"/>
  <c r="BN798" i="5"/>
  <c r="BZ798" i="5" s="1"/>
  <c r="BX798" i="5"/>
  <c r="BC725" i="5"/>
  <c r="BC652" i="5"/>
  <c r="BC579" i="5"/>
  <c r="BB140" i="5"/>
  <c r="BL67" i="5"/>
  <c r="BO1300" i="5"/>
  <c r="BC1154" i="5"/>
  <c r="BB1007" i="5"/>
  <c r="BZ1007" i="5" s="1"/>
  <c r="BC715" i="5"/>
  <c r="BC568" i="5"/>
  <c r="BN349" i="5"/>
  <c r="BC677" i="5"/>
  <c r="BL264" i="5"/>
  <c r="BN1231" i="5"/>
  <c r="BZ1231" i="5" s="1"/>
  <c r="BC1158" i="5"/>
  <c r="BX1012" i="5"/>
  <c r="BX866" i="5"/>
  <c r="BC792" i="5"/>
  <c r="BB646" i="5"/>
  <c r="BX500" i="5"/>
  <c r="BL207" i="5"/>
  <c r="BO134" i="5"/>
  <c r="BB1286" i="5"/>
  <c r="BZ1286" i="5" s="1"/>
  <c r="BC1140" i="5"/>
  <c r="BO1067" i="5"/>
  <c r="BC994" i="5"/>
  <c r="BN628" i="5"/>
  <c r="BZ628" i="5" s="1"/>
  <c r="BL555" i="5"/>
  <c r="BN482" i="5"/>
  <c r="BC335" i="5"/>
  <c r="BX43" i="5"/>
  <c r="BL1293" i="5"/>
  <c r="BL927" i="5"/>
  <c r="BL562" i="5"/>
  <c r="BN342" i="5"/>
  <c r="BN123" i="5"/>
  <c r="BX50" i="5"/>
  <c r="BN923" i="5"/>
  <c r="BZ923" i="5" s="1"/>
  <c r="BB484" i="5"/>
  <c r="BB922" i="5"/>
  <c r="BZ922" i="5" s="1"/>
  <c r="BL848" i="5"/>
  <c r="BN1319" i="5"/>
  <c r="BZ1319" i="5" s="1"/>
  <c r="BB1248" i="5"/>
  <c r="BZ1248" i="5" s="1"/>
  <c r="BC956" i="5"/>
  <c r="BO883" i="5"/>
  <c r="BO590" i="5"/>
  <c r="BX371" i="5"/>
  <c r="BB224" i="5"/>
  <c r="BB96" i="5"/>
  <c r="BZ96" i="5" s="1"/>
  <c r="BC1268" i="5"/>
  <c r="BC1122" i="5"/>
  <c r="BC756" i="5"/>
  <c r="BB683" i="5"/>
  <c r="BB536" i="5"/>
  <c r="BZ536" i="5" s="1"/>
  <c r="BB24" i="5"/>
  <c r="BZ24" i="5" s="1"/>
  <c r="BO1289" i="5"/>
  <c r="BX1161" i="5"/>
  <c r="BC1129" i="5"/>
  <c r="BC1097" i="5"/>
  <c r="BC1065" i="5"/>
  <c r="BX969" i="5"/>
  <c r="BB937" i="5"/>
  <c r="BZ937" i="5" s="1"/>
  <c r="BL937" i="5"/>
  <c r="BC777" i="5"/>
  <c r="BC745" i="5"/>
  <c r="BC713" i="5"/>
  <c r="BC681" i="5"/>
  <c r="BC649" i="5"/>
  <c r="BC617" i="5"/>
  <c r="BC553" i="5"/>
  <c r="BC521" i="5"/>
  <c r="BC201" i="5"/>
  <c r="BX201" i="5"/>
  <c r="BB137" i="5"/>
  <c r="BX73" i="5"/>
  <c r="BL41" i="5"/>
  <c r="BN9" i="5"/>
  <c r="BC1138" i="5"/>
  <c r="BL1138" i="5"/>
  <c r="CB1064" i="5"/>
  <c r="BO406" i="5"/>
  <c r="BL260" i="5"/>
  <c r="BO40" i="5"/>
  <c r="BX1301" i="5"/>
  <c r="CB1155" i="5"/>
  <c r="BL423" i="5"/>
  <c r="BC350" i="5"/>
  <c r="BB277" i="5"/>
  <c r="BZ277" i="5" s="1"/>
  <c r="BX277" i="5"/>
  <c r="CB1291" i="5"/>
  <c r="CB706" i="5"/>
  <c r="CB559" i="5"/>
  <c r="CB486" i="5"/>
  <c r="BC1323" i="5"/>
  <c r="BX1323" i="5"/>
  <c r="CB814" i="5"/>
  <c r="BN595" i="5"/>
  <c r="BC694" i="5"/>
  <c r="BO694" i="5"/>
  <c r="BC856" i="5"/>
  <c r="BO856" i="5"/>
  <c r="BX945" i="5"/>
  <c r="BL401" i="5"/>
  <c r="BX273" i="5"/>
  <c r="BB790" i="5"/>
  <c r="BC644" i="5"/>
  <c r="BC571" i="5"/>
  <c r="BB278" i="5"/>
  <c r="BC132" i="5"/>
  <c r="BC59" i="5"/>
  <c r="CB1317" i="5"/>
  <c r="BB1027" i="5"/>
  <c r="BL954" i="5"/>
  <c r="BL807" i="5"/>
  <c r="BX807" i="5"/>
  <c r="BB222" i="5"/>
  <c r="BZ222" i="5" s="1"/>
  <c r="CB149" i="5"/>
  <c r="BX1236" i="5"/>
  <c r="BL870" i="5"/>
  <c r="BC651" i="5"/>
  <c r="BC504" i="5"/>
  <c r="BB358" i="5"/>
  <c r="BZ358" i="5" s="1"/>
  <c r="BX979" i="5"/>
  <c r="BL906" i="5"/>
  <c r="BB686" i="5"/>
  <c r="BC1078" i="5"/>
  <c r="BL1078" i="5"/>
  <c r="BX932" i="5"/>
  <c r="BB859" i="5"/>
  <c r="BZ859" i="5" s="1"/>
  <c r="BO420" i="5"/>
  <c r="BO347" i="5"/>
  <c r="BX54" i="5"/>
  <c r="BB1150" i="5"/>
  <c r="BB1077" i="5"/>
  <c r="BC1004" i="5"/>
  <c r="BO492" i="5"/>
  <c r="BB346" i="5"/>
  <c r="BB1312" i="5"/>
  <c r="BZ1312" i="5" s="1"/>
  <c r="BL1240" i="5"/>
  <c r="BX1094" i="5"/>
  <c r="BB875" i="5"/>
  <c r="BZ875" i="5" s="1"/>
  <c r="BB290" i="5"/>
  <c r="BL1038" i="5"/>
  <c r="BL307" i="5"/>
  <c r="BB1237" i="5"/>
  <c r="BC1164" i="5"/>
  <c r="BO798" i="5"/>
  <c r="BB506" i="5"/>
  <c r="BZ506" i="5" s="1"/>
  <c r="BC67" i="5"/>
  <c r="BX1080" i="5"/>
  <c r="BL1007" i="5"/>
  <c r="BN934" i="5"/>
  <c r="BB642" i="5"/>
  <c r="BC495" i="5"/>
  <c r="BX422" i="5"/>
  <c r="BL1331" i="5"/>
  <c r="BO1262" i="5"/>
  <c r="CB703" i="5"/>
  <c r="BB264" i="5"/>
  <c r="BZ264" i="5" s="1"/>
  <c r="BB939" i="5"/>
  <c r="BZ939" i="5" s="1"/>
  <c r="BO866" i="5"/>
  <c r="BC719" i="5"/>
  <c r="CB354" i="5"/>
  <c r="BL61" i="5"/>
  <c r="BX1286" i="5"/>
  <c r="BL1140" i="5"/>
  <c r="CB847" i="5"/>
  <c r="BC555" i="5"/>
  <c r="CB335" i="5"/>
  <c r="BB1293" i="5"/>
  <c r="BZ1293" i="5" s="1"/>
  <c r="BL1074" i="5"/>
  <c r="BL1000" i="5"/>
  <c r="BC927" i="5"/>
  <c r="BB708" i="5"/>
  <c r="BO488" i="5"/>
  <c r="BO196" i="5"/>
  <c r="BO123" i="5"/>
  <c r="BL996" i="5"/>
  <c r="BB630" i="5"/>
  <c r="BC484" i="5"/>
  <c r="BB338" i="5"/>
  <c r="BZ338" i="5" s="1"/>
  <c r="BC1287" i="5"/>
  <c r="BX1287" i="5"/>
  <c r="BC1068" i="5"/>
  <c r="BO336" i="5"/>
  <c r="BX1248" i="5"/>
  <c r="BL1175" i="5"/>
  <c r="CB883" i="5"/>
  <c r="BC224" i="5"/>
  <c r="BC96" i="5"/>
  <c r="BL1268" i="5"/>
  <c r="CB975" i="5"/>
  <c r="BC536" i="5"/>
  <c r="BL244" i="5"/>
  <c r="BX98" i="5"/>
  <c r="BC24" i="5"/>
  <c r="BX1257" i="5"/>
  <c r="BL1193" i="5"/>
  <c r="BN1001" i="5"/>
  <c r="BC937" i="5"/>
  <c r="BB841" i="5"/>
  <c r="BZ841" i="5" s="1"/>
  <c r="BL841" i="5"/>
  <c r="BX521" i="5"/>
  <c r="BL297" i="5"/>
  <c r="BC1211" i="5"/>
  <c r="BB991" i="5"/>
  <c r="BZ991" i="5" s="1"/>
  <c r="BX845" i="5"/>
  <c r="BB626" i="5"/>
  <c r="BZ626" i="5" s="1"/>
  <c r="BO187" i="5"/>
  <c r="BC1008" i="5"/>
  <c r="BB716" i="5"/>
  <c r="BC570" i="5"/>
  <c r="BC423" i="5"/>
  <c r="BN423" i="5"/>
  <c r="BZ423" i="5" s="1"/>
  <c r="BX423" i="5"/>
  <c r="BN925" i="5"/>
  <c r="BZ925" i="5" s="1"/>
  <c r="BN706" i="5"/>
  <c r="BO47" i="5"/>
  <c r="BC47" i="5"/>
  <c r="BN1323" i="5"/>
  <c r="BZ1323" i="5" s="1"/>
  <c r="BB814" i="5"/>
  <c r="BZ814" i="5" s="1"/>
  <c r="BO1279" i="5"/>
  <c r="BC1279" i="5"/>
  <c r="BN914" i="5"/>
  <c r="BB914" i="5"/>
  <c r="BL402" i="5"/>
  <c r="CB198" i="5"/>
  <c r="BX1137" i="5"/>
  <c r="CB1073" i="5"/>
  <c r="BX1041" i="5"/>
  <c r="BL1009" i="5"/>
  <c r="CB369" i="5"/>
  <c r="CB337" i="5"/>
  <c r="BN305" i="5"/>
  <c r="BZ305" i="5" s="1"/>
  <c r="BL241" i="5"/>
  <c r="BX81" i="5"/>
  <c r="BB1156" i="5"/>
  <c r="BZ1156" i="5" s="1"/>
  <c r="CB1010" i="5"/>
  <c r="BB936" i="5"/>
  <c r="BZ936" i="5" s="1"/>
  <c r="BX59" i="5"/>
  <c r="BC807" i="5"/>
  <c r="BL515" i="5"/>
  <c r="BL76" i="5"/>
  <c r="BX12" i="5"/>
  <c r="BB1163" i="5"/>
  <c r="BZ1163" i="5" s="1"/>
  <c r="BL1163" i="5"/>
  <c r="BX1016" i="5"/>
  <c r="BB578" i="5"/>
  <c r="BC431" i="5"/>
  <c r="BX358" i="5"/>
  <c r="BL212" i="5"/>
  <c r="BX66" i="5"/>
  <c r="BX1271" i="5"/>
  <c r="BX540" i="5"/>
  <c r="CB394" i="5"/>
  <c r="BX394" i="5"/>
  <c r="BL1005" i="5"/>
  <c r="BL859" i="5"/>
  <c r="BN127" i="5"/>
  <c r="BB1296" i="5"/>
  <c r="BZ1296" i="5" s="1"/>
  <c r="BC565" i="5"/>
  <c r="BX565" i="5"/>
  <c r="BN199" i="5"/>
  <c r="BX1312" i="5"/>
  <c r="BB1021" i="5"/>
  <c r="BL875" i="5"/>
  <c r="BO802" i="5"/>
  <c r="CB290" i="5"/>
  <c r="BC1327" i="5"/>
  <c r="BC1111" i="5"/>
  <c r="BB1038" i="5"/>
  <c r="BZ1038" i="5" s="1"/>
  <c r="BL42" i="5"/>
  <c r="BX1164" i="5"/>
  <c r="BL1091" i="5"/>
  <c r="BX871" i="5"/>
  <c r="CB506" i="5"/>
  <c r="BO286" i="5"/>
  <c r="CB213" i="5"/>
  <c r="CB140" i="5"/>
  <c r="BX67" i="5"/>
  <c r="BO934" i="5"/>
  <c r="BL203" i="5"/>
  <c r="BC1331" i="5"/>
  <c r="BX1331" i="5"/>
  <c r="BX970" i="5"/>
  <c r="BC896" i="5"/>
  <c r="BX604" i="5"/>
  <c r="BB531" i="5"/>
  <c r="BZ531" i="5" s="1"/>
  <c r="BL531" i="5"/>
  <c r="BB1158" i="5"/>
  <c r="BZ1158" i="5" s="1"/>
  <c r="BL939" i="5"/>
  <c r="BL427" i="5"/>
  <c r="BC207" i="5"/>
  <c r="BX207" i="5"/>
  <c r="CB1286" i="5"/>
  <c r="BB1213" i="5"/>
  <c r="CB701" i="5"/>
  <c r="BX555" i="5"/>
  <c r="BL408" i="5"/>
  <c r="BB562" i="5"/>
  <c r="BZ562" i="5" s="1"/>
  <c r="BN269" i="5"/>
  <c r="BB1288" i="5"/>
  <c r="BB1142" i="5"/>
  <c r="BL45" i="5"/>
  <c r="CB1141" i="5"/>
  <c r="BL995" i="5"/>
  <c r="BO702" i="5"/>
  <c r="CB263" i="5"/>
  <c r="BB1175" i="5"/>
  <c r="BZ1175" i="5" s="1"/>
  <c r="BX956" i="5"/>
  <c r="BL590" i="5"/>
  <c r="BB298" i="5"/>
  <c r="BX1122" i="5"/>
  <c r="BB1048" i="5"/>
  <c r="BX536" i="5"/>
  <c r="BX24" i="5"/>
  <c r="BX41" i="5"/>
  <c r="BX1138" i="5"/>
  <c r="CB626" i="5"/>
  <c r="BO114" i="5"/>
  <c r="BC114" i="5"/>
  <c r="BX1228" i="5"/>
  <c r="CB1082" i="5"/>
  <c r="BX1082" i="5"/>
  <c r="BX1008" i="5"/>
  <c r="BX862" i="5"/>
  <c r="BO706" i="5"/>
  <c r="BC706" i="5"/>
  <c r="BO1060" i="5"/>
  <c r="BC1060" i="5"/>
  <c r="BC914" i="5"/>
  <c r="BO914" i="5"/>
  <c r="BO621" i="5"/>
  <c r="BN1059" i="5"/>
  <c r="BB1059" i="5"/>
  <c r="BX327" i="5"/>
  <c r="BX1156" i="5"/>
  <c r="BL1173" i="5"/>
  <c r="BB954" i="5"/>
  <c r="BZ954" i="5" s="1"/>
  <c r="BL1308" i="5"/>
  <c r="BX1163" i="5"/>
  <c r="BL1090" i="5"/>
  <c r="CB943" i="5"/>
  <c r="CB358" i="5"/>
  <c r="BX1078" i="5"/>
  <c r="BB1005" i="5"/>
  <c r="BZ1005" i="5" s="1"/>
  <c r="BX859" i="5"/>
  <c r="BX1004" i="5"/>
  <c r="BX858" i="5"/>
  <c r="BX875" i="5"/>
  <c r="BX892" i="5"/>
  <c r="BL871" i="5"/>
  <c r="BL359" i="5"/>
  <c r="BL213" i="5"/>
  <c r="BX1007" i="5"/>
  <c r="BX896" i="5"/>
  <c r="BX939" i="5"/>
  <c r="BX1140" i="5"/>
  <c r="CB994" i="5"/>
  <c r="BX994" i="5"/>
  <c r="BL847" i="5"/>
  <c r="CB562" i="5"/>
  <c r="BX45" i="5"/>
  <c r="BB1214" i="5"/>
  <c r="BZ1214" i="5" s="1"/>
  <c r="BL1214" i="5"/>
  <c r="BX1068" i="5"/>
  <c r="BX848" i="5"/>
  <c r="BL1319" i="5"/>
  <c r="CB1319" i="5"/>
  <c r="BX1175" i="5"/>
  <c r="BX96" i="5"/>
  <c r="BX1268" i="5"/>
  <c r="CB1122" i="5"/>
  <c r="BX244" i="5"/>
  <c r="CB171" i="5"/>
  <c r="BL1289" i="5"/>
  <c r="BX1065" i="5"/>
  <c r="BL905" i="5"/>
  <c r="BX297" i="5"/>
  <c r="CB265" i="5"/>
  <c r="BO105" i="5"/>
  <c r="BC41" i="5"/>
  <c r="BL991" i="5"/>
  <c r="BX991" i="5"/>
  <c r="BX626" i="5"/>
  <c r="BX552" i="5"/>
  <c r="BX260" i="5"/>
  <c r="CB114" i="5"/>
  <c r="BN496" i="5"/>
  <c r="CB204" i="5"/>
  <c r="BN779" i="5"/>
  <c r="BO120" i="5"/>
  <c r="BO887" i="5"/>
  <c r="BO741" i="5"/>
  <c r="BN375" i="5"/>
  <c r="BZ375" i="5" s="1"/>
  <c r="BN198" i="5"/>
  <c r="BB198" i="5"/>
  <c r="BN1020" i="5"/>
  <c r="BB1020" i="5"/>
  <c r="BX401" i="5"/>
  <c r="BX1201" i="5"/>
  <c r="CB1137" i="5"/>
  <c r="BL1073" i="5"/>
  <c r="CB849" i="5"/>
  <c r="CB817" i="5"/>
  <c r="CB721" i="5"/>
  <c r="CB689" i="5"/>
  <c r="CB657" i="5"/>
  <c r="CB625" i="5"/>
  <c r="BL305" i="5"/>
  <c r="BX241" i="5"/>
  <c r="CB17" i="5"/>
  <c r="BL1302" i="5"/>
  <c r="BX515" i="5"/>
  <c r="BX222" i="5"/>
  <c r="BX76" i="5"/>
  <c r="BL797" i="5"/>
  <c r="BX212" i="5"/>
  <c r="BC1271" i="5"/>
  <c r="BL347" i="5"/>
  <c r="BX1296" i="5"/>
  <c r="BL1223" i="5"/>
  <c r="BL931" i="5"/>
  <c r="BL419" i="5"/>
  <c r="BL965" i="5"/>
  <c r="BL819" i="5"/>
  <c r="BC871" i="5"/>
  <c r="BL798" i="5"/>
  <c r="BX359" i="5"/>
  <c r="BL1227" i="5"/>
  <c r="BL1080" i="5"/>
  <c r="BX203" i="5"/>
  <c r="BL56" i="5"/>
  <c r="BX531" i="5"/>
  <c r="BC458" i="5"/>
  <c r="BX264" i="5"/>
  <c r="BL1231" i="5"/>
  <c r="CB1158" i="5"/>
  <c r="BX427" i="5"/>
  <c r="BL280" i="5"/>
  <c r="BX847" i="5"/>
  <c r="BL628" i="5"/>
  <c r="BX1074" i="5"/>
  <c r="CB338" i="5"/>
  <c r="BX338" i="5"/>
  <c r="BX922" i="5"/>
  <c r="BL1029" i="5"/>
  <c r="BX975" i="5"/>
  <c r="BL829" i="5"/>
  <c r="BL98" i="5"/>
  <c r="BL1161" i="5"/>
  <c r="BX937" i="5"/>
  <c r="CB873" i="5"/>
  <c r="BX841" i="5"/>
  <c r="BL809" i="5"/>
  <c r="CB585" i="5"/>
  <c r="CB521" i="5"/>
  <c r="BX361" i="5"/>
  <c r="BL233" i="5"/>
  <c r="CB201" i="5"/>
  <c r="BL187" i="5"/>
  <c r="BX58" i="5"/>
  <c r="BL1291" i="5"/>
  <c r="BL998" i="5"/>
  <c r="BO559" i="5"/>
  <c r="BL267" i="5"/>
  <c r="BX267" i="5"/>
  <c r="BB120" i="5"/>
  <c r="BN120" i="5"/>
  <c r="BB621" i="5"/>
  <c r="BN621" i="5"/>
  <c r="BC912" i="5"/>
  <c r="BO912" i="5"/>
  <c r="BN181" i="5"/>
  <c r="BZ181" i="5" s="1"/>
  <c r="BX913" i="5"/>
  <c r="BL1297" i="5"/>
  <c r="CB785" i="5"/>
  <c r="CB753" i="5"/>
  <c r="BX49" i="5"/>
  <c r="BL1229" i="5"/>
  <c r="BX936" i="5"/>
  <c r="CB278" i="5"/>
  <c r="BX1173" i="5"/>
  <c r="CB368" i="5"/>
  <c r="BL1016" i="5"/>
  <c r="CB870" i="5"/>
  <c r="BX870" i="5"/>
  <c r="BL66" i="5"/>
  <c r="BX467" i="5"/>
  <c r="BL394" i="5"/>
  <c r="CB1298" i="5"/>
  <c r="BL932" i="5"/>
  <c r="BL54" i="5"/>
  <c r="BX931" i="5"/>
  <c r="CB565" i="5"/>
  <c r="BX1240" i="5"/>
  <c r="BL1094" i="5"/>
  <c r="BX819" i="5"/>
  <c r="CB599" i="5"/>
  <c r="BL453" i="5"/>
  <c r="BX1091" i="5"/>
  <c r="BL944" i="5"/>
  <c r="BX1227" i="5"/>
  <c r="BL823" i="5"/>
  <c r="CB384" i="5"/>
  <c r="BX1085" i="5"/>
  <c r="BL1012" i="5"/>
  <c r="BL1286" i="5"/>
  <c r="BL1067" i="5"/>
  <c r="BX408" i="5"/>
  <c r="BX1000" i="5"/>
  <c r="BX562" i="5"/>
  <c r="BX996" i="5"/>
  <c r="BX1214" i="5"/>
  <c r="BL1141" i="5"/>
  <c r="BX995" i="5"/>
  <c r="CB775" i="5"/>
  <c r="CB44" i="5"/>
  <c r="BL1195" i="5"/>
  <c r="CB756" i="5"/>
  <c r="BX390" i="5"/>
  <c r="BL317" i="5"/>
  <c r="BX1193" i="5"/>
  <c r="BL969" i="5"/>
  <c r="CB777" i="5"/>
  <c r="CB745" i="5"/>
  <c r="CB713" i="5"/>
  <c r="CB681" i="5"/>
  <c r="CB649" i="5"/>
  <c r="CB617" i="5"/>
  <c r="CB553" i="5"/>
  <c r="BL329" i="5"/>
  <c r="BO169" i="5"/>
  <c r="BL73" i="5"/>
  <c r="BL845" i="5"/>
  <c r="BX40" i="5"/>
  <c r="BX1155" i="5"/>
  <c r="BL935" i="5"/>
  <c r="BX935" i="5"/>
  <c r="CB570" i="5"/>
  <c r="CB496" i="5"/>
  <c r="BO131" i="5"/>
  <c r="BX1291" i="5"/>
  <c r="BL925" i="5"/>
  <c r="BN548" i="5"/>
  <c r="BZ548" i="5" s="1"/>
  <c r="BX548" i="5"/>
  <c r="BO839" i="5"/>
  <c r="BX187" i="5"/>
  <c r="BL486" i="5"/>
  <c r="BB887" i="5"/>
  <c r="BZ887" i="5" s="1"/>
  <c r="BO814" i="5"/>
  <c r="BX448" i="5"/>
  <c r="BX987" i="5"/>
  <c r="BL914" i="5"/>
  <c r="BX767" i="5"/>
  <c r="BB1278" i="5"/>
  <c r="BZ1278" i="5" s="1"/>
  <c r="BL1278" i="5"/>
  <c r="BX912" i="5"/>
  <c r="BB839" i="5"/>
  <c r="BZ839" i="5" s="1"/>
  <c r="BX766" i="5"/>
  <c r="BC693" i="5"/>
  <c r="BO1149" i="5"/>
  <c r="BB418" i="5"/>
  <c r="BX344" i="5"/>
  <c r="BB271" i="5"/>
  <c r="BO52" i="5"/>
  <c r="BL1311" i="5"/>
  <c r="BB947" i="5"/>
  <c r="BZ947" i="5" s="1"/>
  <c r="BC727" i="5"/>
  <c r="BX581" i="5"/>
  <c r="BX362" i="5"/>
  <c r="BL1128" i="5"/>
  <c r="BX836" i="5"/>
  <c r="BC690" i="5"/>
  <c r="BX397" i="5"/>
  <c r="BX1292" i="5"/>
  <c r="BL1219" i="5"/>
  <c r="BL487" i="5"/>
  <c r="BN341" i="5"/>
  <c r="BX1157" i="5"/>
  <c r="BC1084" i="5"/>
  <c r="BL864" i="5"/>
  <c r="BB499" i="5"/>
  <c r="BZ499" i="5" s="1"/>
  <c r="BL499" i="5"/>
  <c r="BO426" i="5"/>
  <c r="BB1202" i="5"/>
  <c r="BZ1202" i="5" s="1"/>
  <c r="BX470" i="5"/>
  <c r="BC178" i="5"/>
  <c r="BL178" i="5"/>
  <c r="BN1146" i="5"/>
  <c r="BC999" i="5"/>
  <c r="BL1282" i="5"/>
  <c r="BX1135" i="5"/>
  <c r="BX989" i="5"/>
  <c r="BC916" i="5"/>
  <c r="BB843" i="5"/>
  <c r="BC770" i="5"/>
  <c r="BX331" i="5"/>
  <c r="BL258" i="5"/>
  <c r="BB38" i="5"/>
  <c r="BZ38" i="5" s="1"/>
  <c r="BX1244" i="5"/>
  <c r="BX1024" i="5"/>
  <c r="CB951" i="5"/>
  <c r="BB732" i="5"/>
  <c r="BL586" i="5"/>
  <c r="BB831" i="5"/>
  <c r="BZ831" i="5" s="1"/>
  <c r="BC539" i="5"/>
  <c r="BB173" i="5"/>
  <c r="BB100" i="5"/>
  <c r="BB27" i="5"/>
  <c r="BZ27" i="5" s="1"/>
  <c r="BL27" i="5"/>
  <c r="BO1269" i="5"/>
  <c r="BX1123" i="5"/>
  <c r="BB830" i="5"/>
  <c r="BZ830" i="5" s="1"/>
  <c r="BN757" i="5"/>
  <c r="CB684" i="5"/>
  <c r="BB245" i="5"/>
  <c r="BB172" i="5"/>
  <c r="BB99" i="5"/>
  <c r="BZ99" i="5" s="1"/>
  <c r="BL99" i="5"/>
  <c r="BX1212" i="5"/>
  <c r="BL919" i="5"/>
  <c r="BO846" i="5"/>
  <c r="BN773" i="5"/>
  <c r="CB700" i="5"/>
  <c r="CB627" i="5"/>
  <c r="CB261" i="5"/>
  <c r="BL1121" i="5"/>
  <c r="BX961" i="5"/>
  <c r="BB929" i="5"/>
  <c r="BZ929" i="5" s="1"/>
  <c r="BL833" i="5"/>
  <c r="BN737" i="5"/>
  <c r="BN705" i="5"/>
  <c r="BN673" i="5"/>
  <c r="BN641" i="5"/>
  <c r="BN609" i="5"/>
  <c r="BB481" i="5"/>
  <c r="CB417" i="5"/>
  <c r="BN385" i="5"/>
  <c r="BZ385" i="5" s="1"/>
  <c r="BX33" i="5"/>
  <c r="BO1266" i="5"/>
  <c r="BX1192" i="5"/>
  <c r="BL900" i="5"/>
  <c r="BO607" i="5"/>
  <c r="BX461" i="5"/>
  <c r="CB1210" i="5"/>
  <c r="BC1136" i="5"/>
  <c r="BX1272" i="5"/>
  <c r="BL1199" i="5"/>
  <c r="CB1126" i="5"/>
  <c r="BC834" i="5"/>
  <c r="BB687" i="5"/>
  <c r="BC468" i="5"/>
  <c r="BC322" i="5"/>
  <c r="BO175" i="5"/>
  <c r="BB1162" i="5"/>
  <c r="BZ1162" i="5" s="1"/>
  <c r="CB1015" i="5"/>
  <c r="BX796" i="5"/>
  <c r="BL1330" i="5"/>
  <c r="BB1115" i="5"/>
  <c r="BZ1115" i="5" s="1"/>
  <c r="BL895" i="5"/>
  <c r="BC530" i="5"/>
  <c r="BB456" i="5"/>
  <c r="BL164" i="5"/>
  <c r="BB1114" i="5"/>
  <c r="BZ1114" i="5" s="1"/>
  <c r="BB455" i="5"/>
  <c r="CB382" i="5"/>
  <c r="BN309" i="5"/>
  <c r="BO26" i="5"/>
  <c r="BO1204" i="5"/>
  <c r="BC1131" i="5"/>
  <c r="BL1131" i="5"/>
  <c r="BO1058" i="5"/>
  <c r="BX838" i="5"/>
  <c r="BB765" i="5"/>
  <c r="BO692" i="5"/>
  <c r="BX180" i="5"/>
  <c r="BB107" i="5"/>
  <c r="BC34" i="5"/>
  <c r="BL34" i="5"/>
  <c r="CB1075" i="5"/>
  <c r="CB782" i="5"/>
  <c r="CB709" i="5"/>
  <c r="BO636" i="5"/>
  <c r="BB416" i="5"/>
  <c r="BZ416" i="5" s="1"/>
  <c r="BO270" i="5"/>
  <c r="BX270" i="5"/>
  <c r="BC197" i="5"/>
  <c r="BC1256" i="5"/>
  <c r="BX1110" i="5"/>
  <c r="BB964" i="5"/>
  <c r="BZ964" i="5" s="1"/>
  <c r="BX452" i="5"/>
  <c r="BC306" i="5"/>
  <c r="BB835" i="5"/>
  <c r="BZ835" i="5" s="1"/>
  <c r="CB762" i="5"/>
  <c r="CB459" i="5"/>
  <c r="BO386" i="5"/>
  <c r="BL1152" i="5"/>
  <c r="BO1079" i="5"/>
  <c r="BX860" i="5"/>
  <c r="BC714" i="5"/>
  <c r="BB320" i="5"/>
  <c r="BZ320" i="5" s="1"/>
  <c r="BO238" i="5"/>
  <c r="BX238" i="5"/>
  <c r="BX1251" i="5"/>
  <c r="BN373" i="5"/>
  <c r="BL1037" i="5"/>
  <c r="BL232" i="5"/>
  <c r="BB1322" i="5"/>
  <c r="BZ1322" i="5" s="1"/>
  <c r="BX1179" i="5"/>
  <c r="BB301" i="5"/>
  <c r="BZ301" i="5" s="1"/>
  <c r="BX301" i="5"/>
  <c r="BB8" i="5"/>
  <c r="BX958" i="5"/>
  <c r="BB519" i="5"/>
  <c r="BZ519" i="5" s="1"/>
  <c r="BX1177" i="5"/>
  <c r="BL1145" i="5"/>
  <c r="BO1113" i="5"/>
  <c r="BC1049" i="5"/>
  <c r="BB953" i="5"/>
  <c r="BZ953" i="5" s="1"/>
  <c r="BX857" i="5"/>
  <c r="BL825" i="5"/>
  <c r="BO729" i="5"/>
  <c r="BO697" i="5"/>
  <c r="BO665" i="5"/>
  <c r="BO633" i="5"/>
  <c r="BO601" i="5"/>
  <c r="BC537" i="5"/>
  <c r="BX537" i="5"/>
  <c r="BB377" i="5"/>
  <c r="BN313" i="5"/>
  <c r="BL185" i="5"/>
  <c r="BO153" i="5"/>
  <c r="BO121" i="5"/>
  <c r="BC57" i="5"/>
  <c r="BX57" i="5"/>
  <c r="BX1318" i="5"/>
  <c r="BX1028" i="5"/>
  <c r="CB882" i="5"/>
  <c r="BX77" i="5"/>
  <c r="CB1333" i="5"/>
  <c r="BL1264" i="5"/>
  <c r="BC1045" i="5"/>
  <c r="BL1045" i="5"/>
  <c r="BO899" i="5"/>
  <c r="BX826" i="5"/>
  <c r="BL314" i="5"/>
  <c r="BX94" i="5"/>
  <c r="BL1324" i="5"/>
  <c r="BX376" i="5"/>
  <c r="BB84" i="5"/>
  <c r="BZ84" i="5" s="1"/>
  <c r="BL84" i="5"/>
  <c r="BL1290" i="5"/>
  <c r="CB1216" i="5"/>
  <c r="BN1070" i="5"/>
  <c r="BZ1070" i="5" s="1"/>
  <c r="BC997" i="5"/>
  <c r="BX851" i="5"/>
  <c r="BL558" i="5"/>
  <c r="BO485" i="5"/>
  <c r="BX284" i="5"/>
  <c r="BL877" i="5"/>
  <c r="BB511" i="5"/>
  <c r="BB292" i="5"/>
  <c r="BZ292" i="5" s="1"/>
  <c r="BO219" i="5"/>
  <c r="BO1242" i="5"/>
  <c r="BN1095" i="5"/>
  <c r="BZ1095" i="5" s="1"/>
  <c r="BL1022" i="5"/>
  <c r="BX876" i="5"/>
  <c r="BB803" i="5"/>
  <c r="BZ803" i="5" s="1"/>
  <c r="BO583" i="5"/>
  <c r="BX291" i="5"/>
  <c r="BX1259" i="5"/>
  <c r="BL1186" i="5"/>
  <c r="BX820" i="5"/>
  <c r="BB747" i="5"/>
  <c r="BC674" i="5"/>
  <c r="BB600" i="5"/>
  <c r="BZ600" i="5" s="1"/>
  <c r="BX454" i="5"/>
  <c r="BL381" i="5"/>
  <c r="BC88" i="5"/>
  <c r="CB15" i="5"/>
  <c r="BB983" i="5"/>
  <c r="BZ983" i="5" s="1"/>
  <c r="BL983" i="5"/>
  <c r="BX910" i="5"/>
  <c r="CB691" i="5"/>
  <c r="BN471" i="5"/>
  <c r="BZ471" i="5" s="1"/>
  <c r="BN1325" i="5"/>
  <c r="BZ1325" i="5" s="1"/>
  <c r="BX890" i="5"/>
  <c r="BB304" i="5"/>
  <c r="BZ304" i="5" s="1"/>
  <c r="BL304" i="5"/>
  <c r="CB304" i="5"/>
  <c r="BC733" i="5"/>
  <c r="BC221" i="5"/>
  <c r="BN915" i="5"/>
  <c r="BZ915" i="5" s="1"/>
  <c r="BC842" i="5"/>
  <c r="BB768" i="5"/>
  <c r="BZ768" i="5" s="1"/>
  <c r="BX476" i="5"/>
  <c r="BO302" i="5"/>
  <c r="BX302" i="5"/>
  <c r="BN1232" i="5"/>
  <c r="BC1013" i="5"/>
  <c r="BL957" i="5"/>
  <c r="BL6" i="5"/>
  <c r="BN2" i="5"/>
  <c r="BX1047" i="5"/>
  <c r="BL608" i="5"/>
  <c r="BC316" i="5"/>
  <c r="BX1238" i="5"/>
  <c r="BC653" i="5"/>
  <c r="BN360" i="5"/>
  <c r="BZ360" i="5" s="1"/>
  <c r="BB1109" i="5"/>
  <c r="BZ1109" i="5" s="1"/>
  <c r="BB524" i="5"/>
  <c r="BC378" i="5"/>
  <c r="BB85" i="5"/>
  <c r="BC1316" i="5"/>
  <c r="BL1234" i="5"/>
  <c r="BL1160" i="5"/>
  <c r="BX1014" i="5"/>
  <c r="BO868" i="5"/>
  <c r="BC648" i="5"/>
  <c r="BB502" i="5"/>
  <c r="BZ502" i="5" s="1"/>
  <c r="BN429" i="5"/>
  <c r="BB63" i="5"/>
  <c r="BZ63" i="5" s="1"/>
  <c r="BX852" i="5"/>
  <c r="CB413" i="5"/>
  <c r="BX47" i="5"/>
  <c r="BL887" i="5"/>
  <c r="BX887" i="5"/>
  <c r="BL375" i="5"/>
  <c r="BL1279" i="5"/>
  <c r="CB840" i="5"/>
  <c r="BC767" i="5"/>
  <c r="BL767" i="5"/>
  <c r="BL548" i="5"/>
  <c r="BX402" i="5"/>
  <c r="BL182" i="5"/>
  <c r="BC36" i="5"/>
  <c r="BB400" i="5"/>
  <c r="BX254" i="5"/>
  <c r="BX181" i="5"/>
  <c r="BO930" i="5"/>
  <c r="BC783" i="5"/>
  <c r="CB125" i="5"/>
  <c r="BX1311" i="5"/>
  <c r="BL1239" i="5"/>
  <c r="BL947" i="5"/>
  <c r="BL800" i="5"/>
  <c r="BO581" i="5"/>
  <c r="BL435" i="5"/>
  <c r="BX215" i="5"/>
  <c r="BB690" i="5"/>
  <c r="BC397" i="5"/>
  <c r="CB31" i="5"/>
  <c r="CB1072" i="5"/>
  <c r="BC487" i="5"/>
  <c r="BX487" i="5"/>
  <c r="BB48" i="5"/>
  <c r="BN1157" i="5"/>
  <c r="BZ1157" i="5" s="1"/>
  <c r="BL1084" i="5"/>
  <c r="BN206" i="5"/>
  <c r="BZ206" i="5" s="1"/>
  <c r="BC78" i="5"/>
  <c r="BL78" i="5"/>
  <c r="BL1202" i="5"/>
  <c r="BN470" i="5"/>
  <c r="BZ470" i="5" s="1"/>
  <c r="BB324" i="5"/>
  <c r="BB853" i="5"/>
  <c r="BB707" i="5"/>
  <c r="BB560" i="5"/>
  <c r="BB268" i="5"/>
  <c r="BC122" i="5"/>
  <c r="BB1282" i="5"/>
  <c r="BZ1282" i="5" s="1"/>
  <c r="CB1208" i="5"/>
  <c r="BL1062" i="5"/>
  <c r="CB696" i="5"/>
  <c r="BC258" i="5"/>
  <c r="BX38" i="5"/>
  <c r="BL1315" i="5"/>
  <c r="BB1171" i="5"/>
  <c r="BZ1171" i="5" s="1"/>
  <c r="BL1171" i="5"/>
  <c r="BB951" i="5"/>
  <c r="BC878" i="5"/>
  <c r="BB805" i="5"/>
  <c r="BC732" i="5"/>
  <c r="BC586" i="5"/>
  <c r="BO366" i="5"/>
  <c r="BB1124" i="5"/>
  <c r="BZ1124" i="5" s="1"/>
  <c r="BX904" i="5"/>
  <c r="BX539" i="5"/>
  <c r="BC466" i="5"/>
  <c r="BB392" i="5"/>
  <c r="BN1123" i="5"/>
  <c r="BZ1123" i="5" s="1"/>
  <c r="BB1050" i="5"/>
  <c r="BZ1050" i="5" s="1"/>
  <c r="BC903" i="5"/>
  <c r="BO538" i="5"/>
  <c r="BB464" i="5"/>
  <c r="BZ464" i="5" s="1"/>
  <c r="BL464" i="5"/>
  <c r="BO391" i="5"/>
  <c r="BX318" i="5"/>
  <c r="BC919" i="5"/>
  <c r="BX919" i="5"/>
  <c r="BB700" i="5"/>
  <c r="BL554" i="5"/>
  <c r="BC407" i="5"/>
  <c r="BB334" i="5"/>
  <c r="BZ334" i="5" s="1"/>
  <c r="BL1281" i="5"/>
  <c r="BO1249" i="5"/>
  <c r="BX1153" i="5"/>
  <c r="BX1057" i="5"/>
  <c r="BB1025" i="5"/>
  <c r="BZ1025" i="5" s="1"/>
  <c r="BL1025" i="5"/>
  <c r="BX865" i="5"/>
  <c r="BB833" i="5"/>
  <c r="BZ833" i="5" s="1"/>
  <c r="BX769" i="5"/>
  <c r="BL577" i="5"/>
  <c r="BC513" i="5"/>
  <c r="BC449" i="5"/>
  <c r="BX449" i="5"/>
  <c r="BB289" i="5"/>
  <c r="BB257" i="5"/>
  <c r="BB225" i="5"/>
  <c r="BB193" i="5"/>
  <c r="BB161" i="5"/>
  <c r="BB129" i="5"/>
  <c r="BB97" i="5"/>
  <c r="BZ97" i="5" s="1"/>
  <c r="BL1119" i="5"/>
  <c r="BX973" i="5"/>
  <c r="BB900" i="5"/>
  <c r="BZ900" i="5" s="1"/>
  <c r="BL388" i="5"/>
  <c r="BX1136" i="5"/>
  <c r="BB1063" i="5"/>
  <c r="BZ1063" i="5" s="1"/>
  <c r="BL1063" i="5"/>
  <c r="BX990" i="5"/>
  <c r="BC917" i="5"/>
  <c r="BO405" i="5"/>
  <c r="BB332" i="5"/>
  <c r="BL259" i="5"/>
  <c r="CB1199" i="5"/>
  <c r="BC980" i="5"/>
  <c r="BL980" i="5"/>
  <c r="BO907" i="5"/>
  <c r="BC760" i="5"/>
  <c r="BC541" i="5"/>
  <c r="BL102" i="5"/>
  <c r="BO29" i="5"/>
  <c r="BO1235" i="5"/>
  <c r="BL1162" i="5"/>
  <c r="BC650" i="5"/>
  <c r="BB576" i="5"/>
  <c r="BZ576" i="5" s="1"/>
  <c r="BL1261" i="5"/>
  <c r="BO1188" i="5"/>
  <c r="BL1115" i="5"/>
  <c r="BC822" i="5"/>
  <c r="BB749" i="5"/>
  <c r="BB676" i="5"/>
  <c r="BC456" i="5"/>
  <c r="BC310" i="5"/>
  <c r="BB237" i="5"/>
  <c r="BL1260" i="5"/>
  <c r="BO1187" i="5"/>
  <c r="BL1114" i="5"/>
  <c r="BL1040" i="5"/>
  <c r="BL894" i="5"/>
  <c r="CB821" i="5"/>
  <c r="BX528" i="5"/>
  <c r="BC382" i="5"/>
  <c r="BL236" i="5"/>
  <c r="BX90" i="5"/>
  <c r="BC1277" i="5"/>
  <c r="BL1277" i="5"/>
  <c r="BX1131" i="5"/>
  <c r="BO399" i="5"/>
  <c r="BL855" i="5"/>
  <c r="BX855" i="5"/>
  <c r="BN490" i="5"/>
  <c r="BZ490" i="5" s="1"/>
  <c r="BC416" i="5"/>
  <c r="BX1256" i="5"/>
  <c r="BB1274" i="5"/>
  <c r="BZ1274" i="5" s="1"/>
  <c r="BC1127" i="5"/>
  <c r="BX1127" i="5"/>
  <c r="BC908" i="5"/>
  <c r="BL835" i="5"/>
  <c r="BB469" i="5"/>
  <c r="BB396" i="5"/>
  <c r="BL323" i="5"/>
  <c r="BN1117" i="5"/>
  <c r="BZ1117" i="5" s="1"/>
  <c r="BX1117" i="5"/>
  <c r="BL1044" i="5"/>
  <c r="BB898" i="5"/>
  <c r="BX824" i="5"/>
  <c r="BB459" i="5"/>
  <c r="BL386" i="5"/>
  <c r="BN312" i="5"/>
  <c r="BC1152" i="5"/>
  <c r="BL933" i="5"/>
  <c r="BC787" i="5"/>
  <c r="BC640" i="5"/>
  <c r="BB494" i="5"/>
  <c r="BC421" i="5"/>
  <c r="BC320" i="5"/>
  <c r="BN1251" i="5"/>
  <c r="BZ1251" i="5" s="1"/>
  <c r="BB1104" i="5"/>
  <c r="BZ1104" i="5" s="1"/>
  <c r="BN885" i="5"/>
  <c r="BZ885" i="5" s="1"/>
  <c r="BX885" i="5"/>
  <c r="BB1037" i="5"/>
  <c r="BZ1037" i="5" s="1"/>
  <c r="BX379" i="5"/>
  <c r="BB232" i="5"/>
  <c r="BZ232" i="5" s="1"/>
  <c r="BO86" i="5"/>
  <c r="BC1322" i="5"/>
  <c r="BL1322" i="5"/>
  <c r="BN1179" i="5"/>
  <c r="BZ1179" i="5" s="1"/>
  <c r="BB1106" i="5"/>
  <c r="BZ1106" i="5" s="1"/>
  <c r="BO1032" i="5"/>
  <c r="BL813" i="5"/>
  <c r="BN740" i="5"/>
  <c r="BN667" i="5"/>
  <c r="BN812" i="5"/>
  <c r="BZ812" i="5" s="1"/>
  <c r="BX812" i="5"/>
  <c r="BO666" i="5"/>
  <c r="BN154" i="5"/>
  <c r="BB1017" i="5"/>
  <c r="BZ1017" i="5" s="1"/>
  <c r="BL1017" i="5"/>
  <c r="BC953" i="5"/>
  <c r="BB825" i="5"/>
  <c r="BZ825" i="5" s="1"/>
  <c r="BO793" i="5"/>
  <c r="BO761" i="5"/>
  <c r="BL473" i="5"/>
  <c r="BC377" i="5"/>
  <c r="BC345" i="5"/>
  <c r="BX345" i="5"/>
  <c r="BO217" i="5"/>
  <c r="BB185" i="5"/>
  <c r="BZ185" i="5" s="1"/>
  <c r="BL25" i="5"/>
  <c r="BL1247" i="5"/>
  <c r="BN1191" i="5"/>
  <c r="BZ1191" i="5" s="1"/>
  <c r="BB1118" i="5"/>
  <c r="BB1045" i="5"/>
  <c r="BZ1045" i="5" s="1"/>
  <c r="BO826" i="5"/>
  <c r="BO533" i="5"/>
  <c r="BB460" i="5"/>
  <c r="BB387" i="5"/>
  <c r="BC314" i="5"/>
  <c r="BB1324" i="5"/>
  <c r="BZ1324" i="5" s="1"/>
  <c r="BC1108" i="5"/>
  <c r="BN1035" i="5"/>
  <c r="BX962" i="5"/>
  <c r="BC888" i="5"/>
  <c r="BN596" i="5"/>
  <c r="BB157" i="5"/>
  <c r="BC84" i="5"/>
  <c r="CB84" i="5"/>
  <c r="BN1290" i="5"/>
  <c r="BZ1290" i="5" s="1"/>
  <c r="BL1143" i="5"/>
  <c r="BX1070" i="5"/>
  <c r="BB997" i="5"/>
  <c r="BZ997" i="5" s="1"/>
  <c r="BC778" i="5"/>
  <c r="BB704" i="5"/>
  <c r="BB631" i="5"/>
  <c r="BC558" i="5"/>
  <c r="BO412" i="5"/>
  <c r="BN1314" i="5"/>
  <c r="BZ1314" i="5" s="1"/>
  <c r="BX1170" i="5"/>
  <c r="BC1096" i="5"/>
  <c r="BN950" i="5"/>
  <c r="BZ950" i="5" s="1"/>
  <c r="BX950" i="5"/>
  <c r="BX584" i="5"/>
  <c r="BL438" i="5"/>
  <c r="BN146" i="5"/>
  <c r="BB1168" i="5"/>
  <c r="BZ1168" i="5" s="1"/>
  <c r="BL949" i="5"/>
  <c r="BL803" i="5"/>
  <c r="CB656" i="5"/>
  <c r="BN1259" i="5"/>
  <c r="BZ1259" i="5" s="1"/>
  <c r="BL893" i="5"/>
  <c r="BO820" i="5"/>
  <c r="BC747" i="5"/>
  <c r="BB162" i="5"/>
  <c r="BX88" i="5"/>
  <c r="BB15" i="5"/>
  <c r="BC1276" i="5"/>
  <c r="BN1203" i="5"/>
  <c r="BO910" i="5"/>
  <c r="BN837" i="5"/>
  <c r="BZ837" i="5" s="1"/>
  <c r="BX837" i="5"/>
  <c r="BL618" i="5"/>
  <c r="BN544" i="5"/>
  <c r="BO471" i="5"/>
  <c r="BB398" i="5"/>
  <c r="BZ398" i="5" s="1"/>
  <c r="BX68" i="5"/>
  <c r="BL4" i="5"/>
  <c r="BO1325" i="5"/>
  <c r="BB1182" i="5"/>
  <c r="BZ1182" i="5" s="1"/>
  <c r="BL1182" i="5"/>
  <c r="BO597" i="5"/>
  <c r="BC304" i="5"/>
  <c r="BN158" i="5"/>
  <c r="BN1245" i="5"/>
  <c r="BZ1245" i="5" s="1"/>
  <c r="BX1245" i="5"/>
  <c r="BL1172" i="5"/>
  <c r="BX75" i="5"/>
  <c r="BL1061" i="5"/>
  <c r="BN988" i="5"/>
  <c r="BO915" i="5"/>
  <c r="BC768" i="5"/>
  <c r="BN476" i="5"/>
  <c r="BZ476" i="5" s="1"/>
  <c r="BL403" i="5"/>
  <c r="BO1159" i="5"/>
  <c r="BN1086" i="5"/>
  <c r="BZ1086" i="5" s="1"/>
  <c r="BX1086" i="5"/>
  <c r="BB1013" i="5"/>
  <c r="BC940" i="5"/>
  <c r="BN62" i="5"/>
  <c r="BZ62" i="5" s="1"/>
  <c r="CB1320" i="5"/>
  <c r="BL1176" i="5"/>
  <c r="BX1030" i="5"/>
  <c r="BB957" i="5"/>
  <c r="BZ957" i="5" s="1"/>
  <c r="BB738" i="5"/>
  <c r="BC591" i="5"/>
  <c r="BB226" i="5"/>
  <c r="BX79" i="5"/>
  <c r="BC6" i="5"/>
  <c r="BC1339" i="5" s="1"/>
  <c r="BC1340" i="5" s="1"/>
  <c r="BL1267" i="5"/>
  <c r="BC1047" i="5"/>
  <c r="BN1047" i="5"/>
  <c r="BZ1047" i="5" s="1"/>
  <c r="BB974" i="5"/>
  <c r="BZ974" i="5" s="1"/>
  <c r="BL974" i="5"/>
  <c r="BX828" i="5"/>
  <c r="BN535" i="5"/>
  <c r="BN462" i="5"/>
  <c r="BZ462" i="5" s="1"/>
  <c r="BX462" i="5"/>
  <c r="BC389" i="5"/>
  <c r="BC1310" i="5"/>
  <c r="BC1165" i="5"/>
  <c r="BB872" i="5"/>
  <c r="BZ872" i="5" s="1"/>
  <c r="BX580" i="5"/>
  <c r="BC434" i="5"/>
  <c r="BL434" i="5"/>
  <c r="BO360" i="5"/>
  <c r="BL287" i="5"/>
  <c r="BX287" i="5"/>
  <c r="BX1109" i="5"/>
  <c r="BL963" i="5"/>
  <c r="BO816" i="5"/>
  <c r="BB670" i="5"/>
  <c r="BC524" i="5"/>
  <c r="BC85" i="5"/>
  <c r="BB1316" i="5"/>
  <c r="BC1099" i="5"/>
  <c r="BL1099" i="5"/>
  <c r="BN440" i="5"/>
  <c r="BZ440" i="5" s="1"/>
  <c r="BO148" i="5"/>
  <c r="BN1234" i="5"/>
  <c r="BZ1234" i="5" s="1"/>
  <c r="BC941" i="5"/>
  <c r="BX941" i="5"/>
  <c r="CB868" i="5"/>
  <c r="BC575" i="5"/>
  <c r="BX502" i="5"/>
  <c r="BC210" i="5"/>
  <c r="BB136" i="5"/>
  <c r="BL46" i="5"/>
  <c r="BX1279" i="5"/>
  <c r="BL1060" i="5"/>
  <c r="BL840" i="5"/>
  <c r="BX328" i="5"/>
  <c r="CB255" i="5"/>
  <c r="BX1278" i="5"/>
  <c r="BC1205" i="5"/>
  <c r="BL1205" i="5"/>
  <c r="BX1059" i="5"/>
  <c r="BX839" i="5"/>
  <c r="CB400" i="5"/>
  <c r="BL930" i="5"/>
  <c r="BN783" i="5"/>
  <c r="BB1239" i="5"/>
  <c r="BZ1239" i="5" s="1"/>
  <c r="BX947" i="5"/>
  <c r="BC435" i="5"/>
  <c r="BN288" i="5"/>
  <c r="BB1128" i="5"/>
  <c r="BZ1128" i="5" s="1"/>
  <c r="BC543" i="5"/>
  <c r="BO1292" i="5"/>
  <c r="BL1072" i="5"/>
  <c r="BB195" i="5"/>
  <c r="BL1303" i="5"/>
  <c r="BB864" i="5"/>
  <c r="BZ864" i="5" s="1"/>
  <c r="BX499" i="5"/>
  <c r="BL426" i="5"/>
  <c r="BO352" i="5"/>
  <c r="BX206" i="5"/>
  <c r="BN763" i="5"/>
  <c r="BC324" i="5"/>
  <c r="BB178" i="5"/>
  <c r="BZ178" i="5" s="1"/>
  <c r="BC853" i="5"/>
  <c r="BC707" i="5"/>
  <c r="BB414" i="5"/>
  <c r="BC268" i="5"/>
  <c r="BL1208" i="5"/>
  <c r="BC1135" i="5"/>
  <c r="BO477" i="5"/>
  <c r="CB184" i="5"/>
  <c r="BX1171" i="5"/>
  <c r="BO1024" i="5"/>
  <c r="BB878" i="5"/>
  <c r="BC805" i="5"/>
  <c r="BC659" i="5"/>
  <c r="BB586" i="5"/>
  <c r="BZ586" i="5" s="1"/>
  <c r="CB439" i="5"/>
  <c r="CB339" i="5"/>
  <c r="BX1124" i="5"/>
  <c r="BO904" i="5"/>
  <c r="BN539" i="5"/>
  <c r="BZ539" i="5" s="1"/>
  <c r="BX27" i="5"/>
  <c r="BL1196" i="5"/>
  <c r="BC1050" i="5"/>
  <c r="BL1050" i="5"/>
  <c r="BL976" i="5"/>
  <c r="BB684" i="5"/>
  <c r="BB611" i="5"/>
  <c r="BX99" i="5"/>
  <c r="BL1285" i="5"/>
  <c r="BC1139" i="5"/>
  <c r="BC1066" i="5"/>
  <c r="BL1066" i="5"/>
  <c r="BL992" i="5"/>
  <c r="BN919" i="5"/>
  <c r="BZ919" i="5" s="1"/>
  <c r="BC700" i="5"/>
  <c r="BC554" i="5"/>
  <c r="BL188" i="5"/>
  <c r="CB188" i="5"/>
  <c r="BX1217" i="5"/>
  <c r="BL1185" i="5"/>
  <c r="BC1121" i="5"/>
  <c r="BO993" i="5"/>
  <c r="BX929" i="5"/>
  <c r="BL897" i="5"/>
  <c r="BC833" i="5"/>
  <c r="BN769" i="5"/>
  <c r="BZ769" i="5" s="1"/>
  <c r="BB577" i="5"/>
  <c r="BZ577" i="5" s="1"/>
  <c r="BL385" i="5"/>
  <c r="BO321" i="5"/>
  <c r="BC289" i="5"/>
  <c r="BC257" i="5"/>
  <c r="BC225" i="5"/>
  <c r="BC193" i="5"/>
  <c r="BC161" i="5"/>
  <c r="BC129" i="5"/>
  <c r="BC97" i="5"/>
  <c r="BX97" i="5"/>
  <c r="BL65" i="5"/>
  <c r="BC1119" i="5"/>
  <c r="BX1119" i="5"/>
  <c r="BO973" i="5"/>
  <c r="BC900" i="5"/>
  <c r="CB827" i="5"/>
  <c r="BX22" i="5"/>
  <c r="BN1136" i="5"/>
  <c r="BZ1136" i="5" s="1"/>
  <c r="BO990" i="5"/>
  <c r="BX917" i="5"/>
  <c r="BL844" i="5"/>
  <c r="BC332" i="5"/>
  <c r="BC259" i="5"/>
  <c r="BO1272" i="5"/>
  <c r="BX1199" i="5"/>
  <c r="BX1053" i="5"/>
  <c r="BX248" i="5"/>
  <c r="CB175" i="5"/>
  <c r="BB1015" i="5"/>
  <c r="BZ1015" i="5" s="1"/>
  <c r="BL1015" i="5"/>
  <c r="BC723" i="5"/>
  <c r="BB650" i="5"/>
  <c r="BC576" i="5"/>
  <c r="CB503" i="5"/>
  <c r="CB430" i="5"/>
  <c r="BB1261" i="5"/>
  <c r="BZ1261" i="5" s="1"/>
  <c r="BX1115" i="5"/>
  <c r="BB822" i="5"/>
  <c r="BC749" i="5"/>
  <c r="BC676" i="5"/>
  <c r="BC603" i="5"/>
  <c r="BB530" i="5"/>
  <c r="BC383" i="5"/>
  <c r="BB310" i="5"/>
  <c r="BC237" i="5"/>
  <c r="BC164" i="5"/>
  <c r="CB91" i="5"/>
  <c r="BB1260" i="5"/>
  <c r="BZ1260" i="5" s="1"/>
  <c r="BN967" i="5"/>
  <c r="BZ967" i="5" s="1"/>
  <c r="BB894" i="5"/>
  <c r="BZ894" i="5" s="1"/>
  <c r="BB236" i="5"/>
  <c r="BZ236" i="5" s="1"/>
  <c r="BB1058" i="5"/>
  <c r="BB911" i="5"/>
  <c r="BZ911" i="5" s="1"/>
  <c r="BO838" i="5"/>
  <c r="BO546" i="5"/>
  <c r="BL326" i="5"/>
  <c r="BC107" i="5"/>
  <c r="BX1148" i="5"/>
  <c r="BB1002" i="5"/>
  <c r="BZ1002" i="5" s="1"/>
  <c r="BC855" i="5"/>
  <c r="BX490" i="5"/>
  <c r="BN1326" i="5"/>
  <c r="BN1256" i="5"/>
  <c r="BZ1256" i="5" s="1"/>
  <c r="BO744" i="5"/>
  <c r="BB306" i="5"/>
  <c r="BC159" i="5"/>
  <c r="BL1274" i="5"/>
  <c r="BL1200" i="5"/>
  <c r="BX835" i="5"/>
  <c r="CB615" i="5"/>
  <c r="BX542" i="5"/>
  <c r="BC469" i="5"/>
  <c r="BC323" i="5"/>
  <c r="BL1263" i="5"/>
  <c r="CB1263" i="5"/>
  <c r="BB1044" i="5"/>
  <c r="BZ1044" i="5" s="1"/>
  <c r="BN824" i="5"/>
  <c r="BZ824" i="5" s="1"/>
  <c r="BB751" i="5"/>
  <c r="BC532" i="5"/>
  <c r="BO239" i="5"/>
  <c r="CB166" i="5"/>
  <c r="BN93" i="5"/>
  <c r="BZ93" i="5" s="1"/>
  <c r="BX20" i="5"/>
  <c r="BX1226" i="5"/>
  <c r="BB1152" i="5"/>
  <c r="BZ1152" i="5" s="1"/>
  <c r="BN1006" i="5"/>
  <c r="BZ1006" i="5" s="1"/>
  <c r="BC567" i="5"/>
  <c r="BB739" i="5"/>
  <c r="BB227" i="5"/>
  <c r="BZ227" i="5" s="1"/>
  <c r="BL227" i="5"/>
  <c r="BC1037" i="5"/>
  <c r="BN379" i="5"/>
  <c r="BZ379" i="5" s="1"/>
  <c r="BL1252" i="5"/>
  <c r="BC1106" i="5"/>
  <c r="BL1106" i="5"/>
  <c r="BX886" i="5"/>
  <c r="BB813" i="5"/>
  <c r="BZ813" i="5" s="1"/>
  <c r="BO520" i="5"/>
  <c r="BL228" i="5"/>
  <c r="CB155" i="5"/>
  <c r="BX82" i="5"/>
  <c r="BC8" i="5"/>
  <c r="BC1341" i="5" s="1"/>
  <c r="BC1342" i="5" s="1"/>
  <c r="BX1241" i="5"/>
  <c r="BL1209" i="5"/>
  <c r="BC1145" i="5"/>
  <c r="BX1049" i="5"/>
  <c r="BL889" i="5"/>
  <c r="BO857" i="5"/>
  <c r="BC825" i="5"/>
  <c r="BB473" i="5"/>
  <c r="BZ473" i="5" s="1"/>
  <c r="BN409" i="5"/>
  <c r="BZ409" i="5" s="1"/>
  <c r="BL281" i="5"/>
  <c r="BO249" i="5"/>
  <c r="BX185" i="5"/>
  <c r="BO1318" i="5"/>
  <c r="BC1247" i="5"/>
  <c r="BX1247" i="5"/>
  <c r="BL1101" i="5"/>
  <c r="BC955" i="5"/>
  <c r="BL955" i="5"/>
  <c r="BL808" i="5"/>
  <c r="BO77" i="5"/>
  <c r="BC1333" i="5"/>
  <c r="BB1264" i="5"/>
  <c r="BZ1264" i="5" s="1"/>
  <c r="BX1045" i="5"/>
  <c r="BB167" i="5"/>
  <c r="BL94" i="5"/>
  <c r="BC1324" i="5"/>
  <c r="BX1181" i="5"/>
  <c r="BL1108" i="5"/>
  <c r="BO962" i="5"/>
  <c r="BO669" i="5"/>
  <c r="BO376" i="5"/>
  <c r="BB230" i="5"/>
  <c r="BC157" i="5"/>
  <c r="BX84" i="5"/>
  <c r="BX1290" i="5"/>
  <c r="BC1216" i="5"/>
  <c r="BX997" i="5"/>
  <c r="BB924" i="5"/>
  <c r="BZ924" i="5" s="1"/>
  <c r="BL924" i="5"/>
  <c r="BO851" i="5"/>
  <c r="BB778" i="5"/>
  <c r="BC704" i="5"/>
  <c r="BB558" i="5"/>
  <c r="BZ558" i="5" s="1"/>
  <c r="BC877" i="5"/>
  <c r="BN584" i="5"/>
  <c r="BZ584" i="5" s="1"/>
  <c r="BC438" i="5"/>
  <c r="BN365" i="5"/>
  <c r="BZ365" i="5" s="1"/>
  <c r="BX292" i="5"/>
  <c r="BO72" i="5"/>
  <c r="BX803" i="5"/>
  <c r="CB583" i="5"/>
  <c r="BL437" i="5"/>
  <c r="BO291" i="5"/>
  <c r="BC218" i="5"/>
  <c r="BX966" i="5"/>
  <c r="BB893" i="5"/>
  <c r="BZ893" i="5" s="1"/>
  <c r="BB674" i="5"/>
  <c r="BX600" i="5"/>
  <c r="BC381" i="5"/>
  <c r="BX381" i="5"/>
  <c r="BN88" i="5"/>
  <c r="BZ88" i="5" s="1"/>
  <c r="BL1276" i="5"/>
  <c r="BX1130" i="5"/>
  <c r="BB1056" i="5"/>
  <c r="BX983" i="5"/>
  <c r="BB691" i="5"/>
  <c r="BN124" i="5"/>
  <c r="BN68" i="5"/>
  <c r="BZ68" i="5" s="1"/>
  <c r="BB4" i="5"/>
  <c r="BZ4" i="5" s="1"/>
  <c r="BN743" i="5"/>
  <c r="BC451" i="5"/>
  <c r="BO1026" i="5"/>
  <c r="BN75" i="5"/>
  <c r="BZ75" i="5" s="1"/>
  <c r="BC1280" i="5"/>
  <c r="BB1134" i="5"/>
  <c r="BC1061" i="5"/>
  <c r="BX768" i="5"/>
  <c r="BL622" i="5"/>
  <c r="BO549" i="5"/>
  <c r="BC403" i="5"/>
  <c r="BB174" i="5"/>
  <c r="BO1232" i="5"/>
  <c r="BN1159" i="5"/>
  <c r="BO1086" i="5"/>
  <c r="BN720" i="5"/>
  <c r="BO501" i="5"/>
  <c r="BN208" i="5"/>
  <c r="BO62" i="5"/>
  <c r="BX62" i="5"/>
  <c r="BC957" i="5"/>
  <c r="BX957" i="5"/>
  <c r="BN79" i="5"/>
  <c r="BZ79" i="5" s="1"/>
  <c r="BC1267" i="5"/>
  <c r="BX1267" i="5"/>
  <c r="BL1120" i="5"/>
  <c r="BN828" i="5"/>
  <c r="BZ828" i="5" s="1"/>
  <c r="BB755" i="5"/>
  <c r="BX316" i="5"/>
  <c r="BL1310" i="5"/>
  <c r="BX1165" i="5"/>
  <c r="BX946" i="5"/>
  <c r="BN580" i="5"/>
  <c r="BZ580" i="5" s="1"/>
  <c r="BN287" i="5"/>
  <c r="BZ287" i="5" s="1"/>
  <c r="BB963" i="5"/>
  <c r="BZ963" i="5" s="1"/>
  <c r="BB378" i="5"/>
  <c r="BC231" i="5"/>
  <c r="BX1099" i="5"/>
  <c r="BL806" i="5"/>
  <c r="BN660" i="5"/>
  <c r="BO440" i="5"/>
  <c r="BB294" i="5"/>
  <c r="BZ294" i="5" s="1"/>
  <c r="BX1234" i="5"/>
  <c r="BB1160" i="5"/>
  <c r="BZ1160" i="5" s="1"/>
  <c r="BN1087" i="5"/>
  <c r="BO1014" i="5"/>
  <c r="BN648" i="5"/>
  <c r="BB356" i="5"/>
  <c r="BL1144" i="5"/>
  <c r="BX998" i="5"/>
  <c r="BX486" i="5"/>
  <c r="BB340" i="5"/>
  <c r="BL1323" i="5"/>
  <c r="BX1034" i="5"/>
  <c r="BL814" i="5"/>
  <c r="BO595" i="5"/>
  <c r="CB375" i="5"/>
  <c r="BX375" i="5"/>
  <c r="BB348" i="5"/>
  <c r="BZ348" i="5" s="1"/>
  <c r="BL348" i="5"/>
  <c r="BB1133" i="5"/>
  <c r="BN328" i="5"/>
  <c r="BZ328" i="5" s="1"/>
  <c r="BL839" i="5"/>
  <c r="BN620" i="5"/>
  <c r="BN547" i="5"/>
  <c r="BX474" i="5"/>
  <c r="BL327" i="5"/>
  <c r="BB108" i="5"/>
  <c r="BX1222" i="5"/>
  <c r="BN710" i="5"/>
  <c r="BO491" i="5"/>
  <c r="BX198" i="5"/>
  <c r="BL52" i="5"/>
  <c r="BN1311" i="5"/>
  <c r="BZ1311" i="5" s="1"/>
  <c r="BX1239" i="5"/>
  <c r="BN654" i="5"/>
  <c r="BN581" i="5"/>
  <c r="BZ581" i="5" s="1"/>
  <c r="BX435" i="5"/>
  <c r="BL362" i="5"/>
  <c r="BO288" i="5"/>
  <c r="BN215" i="5"/>
  <c r="BZ215" i="5" s="1"/>
  <c r="CB690" i="5"/>
  <c r="CB397" i="5"/>
  <c r="BC1219" i="5"/>
  <c r="BX1219" i="5"/>
  <c r="BN780" i="5"/>
  <c r="BC341" i="5"/>
  <c r="BC195" i="5"/>
  <c r="BB1303" i="5"/>
  <c r="BZ1303" i="5" s="1"/>
  <c r="BX1084" i="5"/>
  <c r="BX938" i="5"/>
  <c r="BC864" i="5"/>
  <c r="BO279" i="5"/>
  <c r="BB78" i="5"/>
  <c r="BZ78" i="5" s="1"/>
  <c r="CB1202" i="5"/>
  <c r="BO909" i="5"/>
  <c r="BO763" i="5"/>
  <c r="BO616" i="5"/>
  <c r="BO470" i="5"/>
  <c r="CB268" i="5"/>
  <c r="BB122" i="5"/>
  <c r="BC1282" i="5"/>
  <c r="BB1062" i="5"/>
  <c r="BZ1062" i="5" s="1"/>
  <c r="BN916" i="5"/>
  <c r="BB696" i="5"/>
  <c r="BL623" i="5"/>
  <c r="BN550" i="5"/>
  <c r="BB258" i="5"/>
  <c r="BZ258" i="5" s="1"/>
  <c r="BL184" i="5"/>
  <c r="BO38" i="5"/>
  <c r="BB1098" i="5"/>
  <c r="BZ1098" i="5" s="1"/>
  <c r="BC831" i="5"/>
  <c r="BL831" i="5"/>
  <c r="BX831" i="5"/>
  <c r="BL612" i="5"/>
  <c r="BB466" i="5"/>
  <c r="BC319" i="5"/>
  <c r="BL319" i="5"/>
  <c r="BB1196" i="5"/>
  <c r="BZ1196" i="5" s="1"/>
  <c r="BX830" i="5"/>
  <c r="BC757" i="5"/>
  <c r="BC684" i="5"/>
  <c r="BC611" i="5"/>
  <c r="BC1285" i="5"/>
  <c r="BB846" i="5"/>
  <c r="BC773" i="5"/>
  <c r="BC627" i="5"/>
  <c r="BB554" i="5"/>
  <c r="BZ554" i="5" s="1"/>
  <c r="BL480" i="5"/>
  <c r="BC188" i="5"/>
  <c r="BX14" i="5"/>
  <c r="BC1281" i="5"/>
  <c r="BN1217" i="5"/>
  <c r="BZ1217" i="5" s="1"/>
  <c r="BX1121" i="5"/>
  <c r="BL1089" i="5"/>
  <c r="BC1025" i="5"/>
  <c r="BL801" i="5"/>
  <c r="BC737" i="5"/>
  <c r="BC705" i="5"/>
  <c r="BC673" i="5"/>
  <c r="BC641" i="5"/>
  <c r="BC609" i="5"/>
  <c r="BO353" i="5"/>
  <c r="BC65" i="5"/>
  <c r="BB1334" i="5"/>
  <c r="BL1266" i="5"/>
  <c r="BL1192" i="5"/>
  <c r="BB1046" i="5"/>
  <c r="BZ1046" i="5" s="1"/>
  <c r="BX900" i="5"/>
  <c r="BC388" i="5"/>
  <c r="BO315" i="5"/>
  <c r="BB95" i="5"/>
  <c r="BZ95" i="5" s="1"/>
  <c r="BO771" i="5"/>
  <c r="BO624" i="5"/>
  <c r="BN478" i="5"/>
  <c r="BX259" i="5"/>
  <c r="BL1126" i="5"/>
  <c r="BO1053" i="5"/>
  <c r="BB1307" i="5"/>
  <c r="BZ1307" i="5" s="1"/>
  <c r="BL1307" i="5"/>
  <c r="CB1162" i="5"/>
  <c r="BX1162" i="5"/>
  <c r="BO869" i="5"/>
  <c r="BX576" i="5"/>
  <c r="BX430" i="5"/>
  <c r="BX1330" i="5"/>
  <c r="BB1042" i="5"/>
  <c r="BZ1042" i="5" s="1"/>
  <c r="BO968" i="5"/>
  <c r="BX164" i="5"/>
  <c r="BC1260" i="5"/>
  <c r="BX1114" i="5"/>
  <c r="BB1040" i="5"/>
  <c r="BZ1040" i="5" s="1"/>
  <c r="BL821" i="5"/>
  <c r="BN748" i="5"/>
  <c r="BN675" i="5"/>
  <c r="BO528" i="5"/>
  <c r="BB26" i="5"/>
  <c r="BC984" i="5"/>
  <c r="BL911" i="5"/>
  <c r="BX911" i="5"/>
  <c r="BB472" i="5"/>
  <c r="BL1221" i="5"/>
  <c r="BC1075" i="5"/>
  <c r="BC1002" i="5"/>
  <c r="BL1002" i="5"/>
  <c r="BL928" i="5"/>
  <c r="BL563" i="5"/>
  <c r="BX416" i="5"/>
  <c r="BL270" i="5"/>
  <c r="BL1183" i="5"/>
  <c r="BX964" i="5"/>
  <c r="BC1274" i="5"/>
  <c r="BX1274" i="5"/>
  <c r="BL1054" i="5"/>
  <c r="BC762" i="5"/>
  <c r="BB688" i="5"/>
  <c r="BO542" i="5"/>
  <c r="CB396" i="5"/>
  <c r="BX323" i="5"/>
  <c r="BX30" i="5"/>
  <c r="BC605" i="5"/>
  <c r="CB239" i="5"/>
  <c r="BL93" i="5"/>
  <c r="BC20" i="5"/>
  <c r="BN20" i="5"/>
  <c r="BZ20" i="5" s="1"/>
  <c r="BX1152" i="5"/>
  <c r="BL1079" i="5"/>
  <c r="BX1006" i="5"/>
  <c r="BC933" i="5"/>
  <c r="CB714" i="5"/>
  <c r="BX320" i="5"/>
  <c r="BL238" i="5"/>
  <c r="BX1104" i="5"/>
  <c r="BL1031" i="5"/>
  <c r="BL525" i="5"/>
  <c r="BL86" i="5"/>
  <c r="BC1252" i="5"/>
  <c r="BX813" i="5"/>
  <c r="BL519" i="5"/>
  <c r="BN1241" i="5"/>
  <c r="BZ1241" i="5" s="1"/>
  <c r="BX1145" i="5"/>
  <c r="BL1113" i="5"/>
  <c r="BC1017" i="5"/>
  <c r="BX953" i="5"/>
  <c r="BB921" i="5"/>
  <c r="BB889" i="5"/>
  <c r="BZ889" i="5" s="1"/>
  <c r="BL569" i="5"/>
  <c r="BC505" i="5"/>
  <c r="BC473" i="5"/>
  <c r="BX473" i="5"/>
  <c r="BB281" i="5"/>
  <c r="BZ281" i="5" s="1"/>
  <c r="CB217" i="5"/>
  <c r="BL89" i="5"/>
  <c r="BC25" i="5"/>
  <c r="BX25" i="5"/>
  <c r="BB1101" i="5"/>
  <c r="BZ1101" i="5" s="1"/>
  <c r="BX955" i="5"/>
  <c r="BN516" i="5"/>
  <c r="BN443" i="5"/>
  <c r="BB1333" i="5"/>
  <c r="BB972" i="5"/>
  <c r="BL826" i="5"/>
  <c r="BO752" i="5"/>
  <c r="BL1254" i="5"/>
  <c r="BX888" i="5"/>
  <c r="CB815" i="5"/>
  <c r="CB669" i="5"/>
  <c r="BC303" i="5"/>
  <c r="BB11" i="5"/>
  <c r="BZ11" i="5" s="1"/>
  <c r="BX1143" i="5"/>
  <c r="BX1314" i="5"/>
  <c r="BB1243" i="5"/>
  <c r="BZ1243" i="5" s="1"/>
  <c r="BL1243" i="5"/>
  <c r="BX1096" i="5"/>
  <c r="BL804" i="5"/>
  <c r="BB219" i="5"/>
  <c r="BZ219" i="5" s="1"/>
  <c r="BL219" i="5"/>
  <c r="BX1168" i="5"/>
  <c r="BL1095" i="5"/>
  <c r="BX1022" i="5"/>
  <c r="BC730" i="5"/>
  <c r="BB656" i="5"/>
  <c r="BL71" i="5"/>
  <c r="BX71" i="5"/>
  <c r="BO1328" i="5"/>
  <c r="BC1186" i="5"/>
  <c r="BL1039" i="5"/>
  <c r="BL527" i="5"/>
  <c r="BO454" i="5"/>
  <c r="BN235" i="5"/>
  <c r="BX1182" i="5"/>
  <c r="BL890" i="5"/>
  <c r="BN587" i="5"/>
  <c r="BN367" i="5"/>
  <c r="CB842" i="5"/>
  <c r="BX403" i="5"/>
  <c r="BX940" i="5"/>
  <c r="BO208" i="5"/>
  <c r="BN811" i="5"/>
  <c r="BN591" i="5"/>
  <c r="BN372" i="5"/>
  <c r="BN299" i="5"/>
  <c r="BL1255" i="5"/>
  <c r="BO1109" i="5"/>
  <c r="CB378" i="5"/>
  <c r="CB440" i="5"/>
  <c r="BX294" i="5"/>
  <c r="BC1160" i="5"/>
  <c r="BN575" i="5"/>
  <c r="BC429" i="5"/>
  <c r="BC356" i="5"/>
  <c r="BC283" i="5"/>
  <c r="BB210" i="5"/>
  <c r="BC63" i="5"/>
  <c r="BL63" i="5"/>
  <c r="BX1128" i="5"/>
  <c r="BX1303" i="5"/>
  <c r="BX864" i="5"/>
  <c r="BL1055" i="5"/>
  <c r="BX1055" i="5"/>
  <c r="BX770" i="5"/>
  <c r="BO550" i="5"/>
  <c r="BX1315" i="5"/>
  <c r="BX464" i="5"/>
  <c r="BO334" i="5"/>
  <c r="BX385" i="5"/>
  <c r="BX388" i="5"/>
  <c r="BO22" i="5"/>
  <c r="BX1063" i="5"/>
  <c r="BO478" i="5"/>
  <c r="BC1199" i="5"/>
  <c r="BN395" i="5"/>
  <c r="BX1307" i="5"/>
  <c r="CB650" i="5"/>
  <c r="BX1261" i="5"/>
  <c r="BX1260" i="5"/>
  <c r="CB1114" i="5"/>
  <c r="BX236" i="5"/>
  <c r="BX1183" i="5"/>
  <c r="BN159" i="5"/>
  <c r="BL615" i="5"/>
  <c r="BX525" i="5"/>
  <c r="BX232" i="5"/>
  <c r="BX1322" i="5"/>
  <c r="BC228" i="5"/>
  <c r="BL958" i="5"/>
  <c r="BB666" i="5"/>
  <c r="BX519" i="5"/>
  <c r="BC1209" i="5"/>
  <c r="BL1318" i="5"/>
  <c r="BB1174" i="5"/>
  <c r="CB370" i="5"/>
  <c r="BO296" i="5"/>
  <c r="BX1264" i="5"/>
  <c r="BL1191" i="5"/>
  <c r="CB1191" i="5"/>
  <c r="CB314" i="5"/>
  <c r="CB240" i="5"/>
  <c r="BX1324" i="5"/>
  <c r="BL962" i="5"/>
  <c r="BL815" i="5"/>
  <c r="BX815" i="5"/>
  <c r="BL11" i="5"/>
  <c r="BL1070" i="5"/>
  <c r="BX1243" i="5"/>
  <c r="BL1023" i="5"/>
  <c r="BX1023" i="5"/>
  <c r="BX877" i="5"/>
  <c r="BO1022" i="5"/>
  <c r="BX949" i="5"/>
  <c r="BX437" i="5"/>
  <c r="BL910" i="5"/>
  <c r="CB837" i="5"/>
  <c r="BO398" i="5"/>
  <c r="BX398" i="5"/>
  <c r="BX4" i="5"/>
  <c r="BB879" i="5"/>
  <c r="BZ879" i="5" s="1"/>
  <c r="BX1061" i="5"/>
  <c r="BL867" i="5"/>
  <c r="CB720" i="5"/>
  <c r="CB355" i="5"/>
  <c r="BL62" i="5"/>
  <c r="BC1176" i="5"/>
  <c r="BO372" i="5"/>
  <c r="BX6" i="5"/>
  <c r="BL2" i="5"/>
  <c r="BB901" i="5"/>
  <c r="BZ901" i="5" s="1"/>
  <c r="BX608" i="5"/>
  <c r="BL462" i="5"/>
  <c r="BB142" i="5"/>
  <c r="BX1310" i="5"/>
  <c r="BC1019" i="5"/>
  <c r="BL1019" i="5"/>
  <c r="BX963" i="5"/>
  <c r="BL816" i="5"/>
  <c r="BB806" i="5"/>
  <c r="BZ806" i="5" s="1"/>
  <c r="BB1306" i="5"/>
  <c r="BZ1306" i="5" s="1"/>
  <c r="BC795" i="5"/>
  <c r="BL795" i="5"/>
  <c r="BO502" i="5"/>
  <c r="BX63" i="5"/>
  <c r="BX182" i="5"/>
  <c r="BL912" i="5"/>
  <c r="BL344" i="5"/>
  <c r="BX800" i="5"/>
  <c r="BL581" i="5"/>
  <c r="BL1292" i="5"/>
  <c r="BL1157" i="5"/>
  <c r="BL206" i="5"/>
  <c r="BL470" i="5"/>
  <c r="BX178" i="5"/>
  <c r="BL999" i="5"/>
  <c r="CB414" i="5"/>
  <c r="BX1282" i="5"/>
  <c r="BX1062" i="5"/>
  <c r="BL989" i="5"/>
  <c r="BX623" i="5"/>
  <c r="BX258" i="5"/>
  <c r="BL38" i="5"/>
  <c r="BL1244" i="5"/>
  <c r="BX586" i="5"/>
  <c r="BX1051" i="5"/>
  <c r="CB466" i="5"/>
  <c r="BL1123" i="5"/>
  <c r="CB1050" i="5"/>
  <c r="BX1285" i="5"/>
  <c r="BX1066" i="5"/>
  <c r="BX188" i="5"/>
  <c r="BX1281" i="5"/>
  <c r="CB1217" i="5"/>
  <c r="BX1185" i="5"/>
  <c r="BL1153" i="5"/>
  <c r="BX1025" i="5"/>
  <c r="BL865" i="5"/>
  <c r="BL321" i="5"/>
  <c r="BX65" i="5"/>
  <c r="BL33" i="5"/>
  <c r="CB1266" i="5"/>
  <c r="BX1266" i="5"/>
  <c r="BL973" i="5"/>
  <c r="BL607" i="5"/>
  <c r="BL1210" i="5"/>
  <c r="BL1136" i="5"/>
  <c r="BX844" i="5"/>
  <c r="BL405" i="5"/>
  <c r="BX980" i="5"/>
  <c r="CB322" i="5"/>
  <c r="BL796" i="5"/>
  <c r="BX1040" i="5"/>
  <c r="BL967" i="5"/>
  <c r="BX894" i="5"/>
  <c r="BX326" i="5"/>
  <c r="BL180" i="5"/>
  <c r="BX34" i="5"/>
  <c r="BX563" i="5"/>
  <c r="BL490" i="5"/>
  <c r="BL1256" i="5"/>
  <c r="BB1110" i="5"/>
  <c r="BZ1110" i="5" s="1"/>
  <c r="BX891" i="5"/>
  <c r="BL452" i="5"/>
  <c r="BL981" i="5"/>
  <c r="BC615" i="5"/>
  <c r="BL542" i="5"/>
  <c r="BL103" i="5"/>
  <c r="BL30" i="5"/>
  <c r="BL971" i="5"/>
  <c r="BC1299" i="5"/>
  <c r="BX1299" i="5"/>
  <c r="BB238" i="5"/>
  <c r="BZ238" i="5" s="1"/>
  <c r="BL1251" i="5"/>
  <c r="BB818" i="5"/>
  <c r="BC525" i="5"/>
  <c r="BX1252" i="5"/>
  <c r="BX1106" i="5"/>
  <c r="CB374" i="5"/>
  <c r="BX228" i="5"/>
  <c r="BL82" i="5"/>
  <c r="BX1209" i="5"/>
  <c r="BL1177" i="5"/>
  <c r="CB1081" i="5"/>
  <c r="BX1017" i="5"/>
  <c r="CB953" i="5"/>
  <c r="BL857" i="5"/>
  <c r="BC569" i="5"/>
  <c r="BL217" i="5"/>
  <c r="BC89" i="5"/>
  <c r="BX89" i="5"/>
  <c r="BL1028" i="5"/>
  <c r="BB882" i="5"/>
  <c r="BO662" i="5"/>
  <c r="BO150" i="5"/>
  <c r="BL533" i="5"/>
  <c r="BX314" i="5"/>
  <c r="BX1108" i="5"/>
  <c r="BC815" i="5"/>
  <c r="BL376" i="5"/>
  <c r="BC1143" i="5"/>
  <c r="CB997" i="5"/>
  <c r="BX558" i="5"/>
  <c r="BL284" i="5"/>
  <c r="BC1023" i="5"/>
  <c r="BL950" i="5"/>
  <c r="BL584" i="5"/>
  <c r="BX219" i="5"/>
  <c r="BX1095" i="5"/>
  <c r="BX1186" i="5"/>
  <c r="BX1039" i="5"/>
  <c r="BX893" i="5"/>
  <c r="BC527" i="5"/>
  <c r="BX527" i="5"/>
  <c r="BL454" i="5"/>
  <c r="BO162" i="5"/>
  <c r="BX1276" i="5"/>
  <c r="BB910" i="5"/>
  <c r="BZ910" i="5" s="1"/>
  <c r="BL471" i="5"/>
  <c r="BX179" i="5"/>
  <c r="BO214" i="5"/>
  <c r="BB890" i="5"/>
  <c r="BZ890" i="5" s="1"/>
  <c r="BL597" i="5"/>
  <c r="BL879" i="5"/>
  <c r="BN733" i="5"/>
  <c r="BN221" i="5"/>
  <c r="BC1207" i="5"/>
  <c r="BL476" i="5"/>
  <c r="BX867" i="5"/>
  <c r="BO794" i="5"/>
  <c r="BO282" i="5"/>
  <c r="BX1176" i="5"/>
  <c r="BL1030" i="5"/>
  <c r="BO738" i="5"/>
  <c r="BN445" i="5"/>
  <c r="CB299" i="5"/>
  <c r="BO226" i="5"/>
  <c r="CB79" i="5"/>
  <c r="BX1120" i="5"/>
  <c r="BL1047" i="5"/>
  <c r="BX974" i="5"/>
  <c r="BX1019" i="5"/>
  <c r="BL946" i="5"/>
  <c r="BX799" i="5"/>
  <c r="BO726" i="5"/>
  <c r="BN653" i="5"/>
  <c r="BB816" i="5"/>
  <c r="BZ816" i="5" s="1"/>
  <c r="BL440" i="5"/>
  <c r="BL1306" i="5"/>
  <c r="BX1160" i="5"/>
  <c r="BL1014" i="5"/>
  <c r="BX795" i="5"/>
  <c r="BL474" i="5"/>
  <c r="BO474" i="5"/>
  <c r="BL181" i="5"/>
  <c r="BX1295" i="5"/>
  <c r="BX52" i="5"/>
  <c r="CB508" i="5"/>
  <c r="BX1072" i="5"/>
  <c r="BX1011" i="5"/>
  <c r="BL938" i="5"/>
  <c r="BX78" i="5"/>
  <c r="CB178" i="5"/>
  <c r="BX1208" i="5"/>
  <c r="BL1135" i="5"/>
  <c r="BL331" i="5"/>
  <c r="BX184" i="5"/>
  <c r="CB319" i="5"/>
  <c r="BX1196" i="5"/>
  <c r="BX976" i="5"/>
  <c r="CB538" i="5"/>
  <c r="BL1212" i="5"/>
  <c r="BX992" i="5"/>
  <c r="BX554" i="5"/>
  <c r="BL14" i="5"/>
  <c r="CB1121" i="5"/>
  <c r="BL1057" i="5"/>
  <c r="BX897" i="5"/>
  <c r="CB833" i="5"/>
  <c r="BX801" i="5"/>
  <c r="BL769" i="5"/>
  <c r="CB577" i="5"/>
  <c r="BX545" i="5"/>
  <c r="BX1046" i="5"/>
  <c r="BX607" i="5"/>
  <c r="BL461" i="5"/>
  <c r="BL95" i="5"/>
  <c r="BL22" i="5"/>
  <c r="BL990" i="5"/>
  <c r="BL907" i="5"/>
  <c r="BX29" i="5"/>
  <c r="BL1235" i="5"/>
  <c r="BX503" i="5"/>
  <c r="BL430" i="5"/>
  <c r="CB310" i="5"/>
  <c r="BX91" i="5"/>
  <c r="BX821" i="5"/>
  <c r="BL528" i="5"/>
  <c r="CB26" i="5"/>
  <c r="BX1221" i="5"/>
  <c r="BL1110" i="5"/>
  <c r="BX1200" i="5"/>
  <c r="BL1127" i="5"/>
  <c r="BX1054" i="5"/>
  <c r="BX103" i="5"/>
  <c r="BC1263" i="5"/>
  <c r="BL1117" i="5"/>
  <c r="BX971" i="5"/>
  <c r="BL824" i="5"/>
  <c r="BX386" i="5"/>
  <c r="BX93" i="5"/>
  <c r="BX1079" i="5"/>
  <c r="BO494" i="5"/>
  <c r="BX1031" i="5"/>
  <c r="BL885" i="5"/>
  <c r="BX959" i="5"/>
  <c r="BX1113" i="5"/>
  <c r="BX889" i="5"/>
  <c r="BX569" i="5"/>
  <c r="BL537" i="5"/>
  <c r="BX409" i="5"/>
  <c r="BX808" i="5"/>
  <c r="BX11" i="5"/>
  <c r="BX924" i="5"/>
  <c r="BX365" i="5"/>
  <c r="BL291" i="5"/>
  <c r="BL966" i="5"/>
  <c r="BX308" i="5"/>
  <c r="BL88" i="5"/>
  <c r="BL837" i="5"/>
  <c r="BL68" i="5"/>
  <c r="CB68" i="5"/>
  <c r="BL1245" i="5"/>
  <c r="CB1172" i="5"/>
  <c r="BX879" i="5"/>
  <c r="BL915" i="5"/>
  <c r="BL768" i="5"/>
  <c r="BL1086" i="5"/>
  <c r="CB208" i="5"/>
  <c r="BX884" i="5"/>
  <c r="BX901" i="5"/>
  <c r="BL828" i="5"/>
  <c r="BB1238" i="5"/>
  <c r="BZ1238" i="5" s="1"/>
  <c r="BL1238" i="5"/>
  <c r="CB872" i="5"/>
  <c r="BL799" i="5"/>
  <c r="BL580" i="5"/>
  <c r="BX434" i="5"/>
  <c r="BC1255" i="5"/>
  <c r="BX1255" i="5"/>
  <c r="CB85" i="5"/>
  <c r="CB1316" i="5"/>
  <c r="BX806" i="5"/>
  <c r="BX1306" i="5"/>
  <c r="BO722" i="5"/>
  <c r="BL502" i="5"/>
  <c r="BL47" i="5"/>
  <c r="CB1323" i="5"/>
  <c r="BX814" i="5"/>
  <c r="BX46" i="5"/>
  <c r="BL987" i="5"/>
  <c r="BX840" i="5"/>
  <c r="CB548" i="5"/>
  <c r="BX1132" i="5"/>
  <c r="BL1059" i="5"/>
  <c r="BX986" i="5"/>
  <c r="BL1222" i="5"/>
  <c r="BX930" i="5"/>
  <c r="BL198" i="5"/>
  <c r="BX1093" i="5"/>
  <c r="CB288" i="5"/>
  <c r="BL215" i="5"/>
  <c r="CB543" i="5"/>
  <c r="BL397" i="5"/>
  <c r="BC634" i="5"/>
  <c r="BX572" i="5"/>
  <c r="BX426" i="5"/>
  <c r="BX999" i="5"/>
  <c r="BL770" i="5"/>
  <c r="BX1098" i="5"/>
  <c r="BB1024" i="5"/>
  <c r="BZ1024" i="5" s="1"/>
  <c r="BX1197" i="5"/>
  <c r="BL1124" i="5"/>
  <c r="BX612" i="5"/>
  <c r="BL539" i="5"/>
  <c r="BX246" i="5"/>
  <c r="BX1050" i="5"/>
  <c r="BL830" i="5"/>
  <c r="BX480" i="5"/>
  <c r="BL334" i="5"/>
  <c r="BX1249" i="5"/>
  <c r="BL1217" i="5"/>
  <c r="BX1089" i="5"/>
  <c r="BL929" i="5"/>
  <c r="BL449" i="5"/>
  <c r="BX321" i="5"/>
  <c r="BL97" i="5"/>
  <c r="BX95" i="5"/>
  <c r="BX1210" i="5"/>
  <c r="BL917" i="5"/>
  <c r="BX405" i="5"/>
  <c r="BX1126" i="5"/>
  <c r="BL1053" i="5"/>
  <c r="BX907" i="5"/>
  <c r="BL248" i="5"/>
  <c r="BX1235" i="5"/>
  <c r="BL576" i="5"/>
  <c r="BX1188" i="5"/>
  <c r="BX1042" i="5"/>
  <c r="BX895" i="5"/>
  <c r="BX1187" i="5"/>
  <c r="BX967" i="5"/>
  <c r="BC602" i="5"/>
  <c r="BX1204" i="5"/>
  <c r="BL765" i="5"/>
  <c r="BL1148" i="5"/>
  <c r="BX1002" i="5"/>
  <c r="BX928" i="5"/>
  <c r="BL416" i="5"/>
  <c r="BL964" i="5"/>
  <c r="BX981" i="5"/>
  <c r="BL20" i="5"/>
  <c r="BL1226" i="5"/>
  <c r="BL1006" i="5"/>
  <c r="BL320" i="5"/>
  <c r="BL1104" i="5"/>
  <c r="CB373" i="5"/>
  <c r="CB227" i="5"/>
  <c r="BX80" i="5"/>
  <c r="BL379" i="5"/>
  <c r="BX86" i="5"/>
  <c r="BL1179" i="5"/>
  <c r="BX447" i="5"/>
  <c r="BL301" i="5"/>
  <c r="BL8" i="5"/>
  <c r="BL1341" i="5" s="1"/>
  <c r="BL1342" i="5" s="1"/>
  <c r="BX1273" i="5"/>
  <c r="BL1241" i="5"/>
  <c r="BX985" i="5"/>
  <c r="BL953" i="5"/>
  <c r="BL345" i="5"/>
  <c r="BX217" i="5"/>
  <c r="BB1318" i="5"/>
  <c r="BZ1318" i="5" s="1"/>
  <c r="BB1028" i="5"/>
  <c r="BZ1028" i="5" s="1"/>
  <c r="BX1191" i="5"/>
  <c r="BX533" i="5"/>
  <c r="BX1254" i="5"/>
  <c r="BL1181" i="5"/>
  <c r="BB962" i="5"/>
  <c r="BZ962" i="5" s="1"/>
  <c r="BL888" i="5"/>
  <c r="BL997" i="5"/>
  <c r="BL851" i="5"/>
  <c r="BX804" i="5"/>
  <c r="BC658" i="5"/>
  <c r="BL292" i="5"/>
  <c r="BX72" i="5"/>
  <c r="BL1168" i="5"/>
  <c r="BL1259" i="5"/>
  <c r="BL600" i="5"/>
  <c r="BL1130" i="5"/>
  <c r="BX618" i="5"/>
  <c r="BX471" i="5"/>
  <c r="BL398" i="5"/>
  <c r="BX1325" i="5"/>
  <c r="BX597" i="5"/>
  <c r="BL75" i="5"/>
  <c r="BX915" i="5"/>
  <c r="BX622" i="5"/>
  <c r="BL940" i="5"/>
  <c r="BL79" i="5"/>
  <c r="BL316" i="5"/>
  <c r="BL1165" i="5"/>
  <c r="BL872" i="5"/>
  <c r="BC799" i="5"/>
  <c r="BX360" i="5"/>
  <c r="BL1109" i="5"/>
  <c r="BX816" i="5"/>
  <c r="BL941" i="5"/>
  <c r="AB10" i="9"/>
  <c r="L12" i="25" l="1"/>
  <c r="AX1392" i="5"/>
  <c r="AX1396" i="5"/>
  <c r="J16" i="11" s="1"/>
  <c r="AX1388" i="5"/>
  <c r="AX1394" i="5"/>
  <c r="J14" i="11" s="1"/>
  <c r="AX1390" i="5"/>
  <c r="J10" i="11" s="1"/>
  <c r="AV1397" i="5"/>
  <c r="AW1390" i="5"/>
  <c r="AW1388" i="5"/>
  <c r="AW1389" i="5" s="1"/>
  <c r="AW1394" i="5"/>
  <c r="AW1396" i="5"/>
  <c r="AW1392" i="5"/>
  <c r="AW1393" i="5" s="1"/>
  <c r="F13" i="25"/>
  <c r="F16" i="25" s="1"/>
  <c r="F40" i="25"/>
  <c r="F41" i="25" s="1"/>
  <c r="AY1395" i="5"/>
  <c r="N12" i="25"/>
  <c r="L40" i="25"/>
  <c r="N40" i="25" s="1"/>
  <c r="G10" i="25"/>
  <c r="E147" i="10"/>
  <c r="AA39" i="25"/>
  <c r="J39" i="25"/>
  <c r="L149" i="10"/>
  <c r="I147" i="10"/>
  <c r="K10" i="25"/>
  <c r="AY1397" i="5"/>
  <c r="D150" i="10"/>
  <c r="D153" i="10" s="1"/>
  <c r="AZ1396" i="5"/>
  <c r="AZ1390" i="5"/>
  <c r="AZ1391" i="5" s="1"/>
  <c r="AZ1388" i="5"/>
  <c r="AZ1389" i="5" s="1"/>
  <c r="AZ1392" i="5"/>
  <c r="AZ1393" i="5" s="1"/>
  <c r="AZ1394" i="5"/>
  <c r="AV1395" i="5"/>
  <c r="I40" i="25"/>
  <c r="BN1379" i="5"/>
  <c r="BN1380" i="5" s="1"/>
  <c r="BZ1379" i="5"/>
  <c r="BZ1380" i="5" s="1"/>
  <c r="CB1379" i="5"/>
  <c r="CB1380" i="5" s="1"/>
  <c r="BX1379" i="5"/>
  <c r="BX1380" i="5" s="1"/>
  <c r="BL1379" i="5"/>
  <c r="BL1380" i="5" s="1"/>
  <c r="BO1379" i="5"/>
  <c r="BO1380" i="5" s="1"/>
  <c r="BC1379" i="5"/>
  <c r="BC1380" i="5" s="1"/>
  <c r="D139" i="10"/>
  <c r="D142" i="10" s="1"/>
  <c r="BB1379" i="5"/>
  <c r="BB1380" i="5" s="1"/>
  <c r="E138" i="10"/>
  <c r="G12" i="24"/>
  <c r="G10" i="24"/>
  <c r="E136" i="10"/>
  <c r="I136" i="10"/>
  <c r="K10" i="24"/>
  <c r="K138" i="10"/>
  <c r="M12" i="24"/>
  <c r="M40" i="24" s="1"/>
  <c r="J138" i="10"/>
  <c r="L12" i="24"/>
  <c r="G138" i="10"/>
  <c r="I12" i="24"/>
  <c r="AA39" i="24"/>
  <c r="J39" i="24"/>
  <c r="F38" i="24"/>
  <c r="F41" i="24" s="1"/>
  <c r="F13" i="24"/>
  <c r="F16" i="24" s="1"/>
  <c r="BX765" i="5"/>
  <c r="BX1371" i="5" s="1"/>
  <c r="BX1372" i="5" s="1"/>
  <c r="J41" i="12"/>
  <c r="H51" i="12" s="1"/>
  <c r="H43" i="12" s="1"/>
  <c r="BL1376" i="5"/>
  <c r="BL1377" i="5" s="1"/>
  <c r="BB1376" i="5"/>
  <c r="BB1377" i="5" s="1"/>
  <c r="CB1376" i="5"/>
  <c r="CB1377" i="5" s="1"/>
  <c r="BC1376" i="5"/>
  <c r="BC1377" i="5" s="1"/>
  <c r="BX1376" i="5"/>
  <c r="BX1377" i="5" s="1"/>
  <c r="BZ795" i="5"/>
  <c r="BN1376" i="5"/>
  <c r="BN1377" i="5" s="1"/>
  <c r="BO1376" i="5"/>
  <c r="BO1377" i="5" s="1"/>
  <c r="CB141" i="5"/>
  <c r="CB632" i="5"/>
  <c r="CB1369" i="5" s="1"/>
  <c r="CB1370" i="5" s="1"/>
  <c r="D128" i="10"/>
  <c r="D131" i="10" s="1"/>
  <c r="I12" i="23"/>
  <c r="I40" i="23" s="1"/>
  <c r="G127" i="10"/>
  <c r="M10" i="23"/>
  <c r="K125" i="10"/>
  <c r="K10" i="23"/>
  <c r="I125" i="10"/>
  <c r="L10" i="23"/>
  <c r="J125" i="10"/>
  <c r="G10" i="23"/>
  <c r="E125" i="10"/>
  <c r="F13" i="23"/>
  <c r="F16" i="23" s="1"/>
  <c r="F38" i="23"/>
  <c r="F41" i="23" s="1"/>
  <c r="M12" i="23"/>
  <c r="M40" i="23" s="1"/>
  <c r="K127" i="10"/>
  <c r="G125" i="10"/>
  <c r="I10" i="23"/>
  <c r="J39" i="23"/>
  <c r="AA39" i="23"/>
  <c r="L12" i="23"/>
  <c r="J127" i="10"/>
  <c r="G12" i="23"/>
  <c r="E127" i="10"/>
  <c r="M12" i="22"/>
  <c r="M40" i="22" s="1"/>
  <c r="K116" i="10"/>
  <c r="G10" i="22"/>
  <c r="E114" i="10"/>
  <c r="BO1373" i="5"/>
  <c r="BO1374" i="5" s="1"/>
  <c r="G12" i="16"/>
  <c r="G40" i="16" s="1"/>
  <c r="CB1373" i="5"/>
  <c r="CB1374" i="5" s="1"/>
  <c r="D106" i="10"/>
  <c r="D109" i="10" s="1"/>
  <c r="L12" i="22"/>
  <c r="J116" i="10"/>
  <c r="L116" i="10" s="1"/>
  <c r="I114" i="10"/>
  <c r="K10" i="22"/>
  <c r="CB159" i="5"/>
  <c r="CB1363" i="5" s="1"/>
  <c r="CB1364" i="5" s="1"/>
  <c r="G12" i="22"/>
  <c r="G40" i="22" s="1"/>
  <c r="E116" i="10"/>
  <c r="D117" i="10"/>
  <c r="D120" i="10" s="1"/>
  <c r="D95" i="10"/>
  <c r="D98" i="10" s="1"/>
  <c r="G116" i="10"/>
  <c r="I12" i="22"/>
  <c r="I40" i="22" s="1"/>
  <c r="F13" i="22"/>
  <c r="F16" i="22" s="1"/>
  <c r="F40" i="22"/>
  <c r="F41" i="22" s="1"/>
  <c r="AC39" i="22"/>
  <c r="AA45" i="22"/>
  <c r="AC45" i="22" s="1"/>
  <c r="BB1373" i="5"/>
  <c r="BB1374" i="5" s="1"/>
  <c r="BC1373" i="5"/>
  <c r="BC1374" i="5" s="1"/>
  <c r="BN1373" i="5"/>
  <c r="BN1374" i="5" s="1"/>
  <c r="BL1371" i="5"/>
  <c r="BL1372" i="5" s="1"/>
  <c r="BZ765" i="5"/>
  <c r="BB1371" i="5"/>
  <c r="BB1372" i="5" s="1"/>
  <c r="CB1371" i="5"/>
  <c r="CB1372" i="5" s="1"/>
  <c r="J105" i="10"/>
  <c r="L12" i="21"/>
  <c r="BO1371" i="5"/>
  <c r="BO1372" i="5" s="1"/>
  <c r="G103" i="10"/>
  <c r="I10" i="21"/>
  <c r="K105" i="10"/>
  <c r="M12" i="21"/>
  <c r="M40" i="21" s="1"/>
  <c r="AA39" i="21"/>
  <c r="J39" i="21"/>
  <c r="BN1371" i="5"/>
  <c r="BN1372" i="5" s="1"/>
  <c r="E105" i="10"/>
  <c r="G12" i="21"/>
  <c r="I103" i="10"/>
  <c r="K10" i="21"/>
  <c r="BC1371" i="5"/>
  <c r="BC1372" i="5" s="1"/>
  <c r="F38" i="21"/>
  <c r="F41" i="21" s="1"/>
  <c r="F13" i="21"/>
  <c r="F16" i="21" s="1"/>
  <c r="M10" i="21"/>
  <c r="K103" i="10"/>
  <c r="G105" i="10"/>
  <c r="I12" i="21"/>
  <c r="I40" i="21" s="1"/>
  <c r="G10" i="21"/>
  <c r="E103" i="10"/>
  <c r="L10" i="21"/>
  <c r="J103" i="10"/>
  <c r="D84" i="10"/>
  <c r="D87" i="10" s="1"/>
  <c r="BN1369" i="5"/>
  <c r="BN1370" i="5" s="1"/>
  <c r="BC1369" i="5"/>
  <c r="BC1370" i="5" s="1"/>
  <c r="BO1369" i="5"/>
  <c r="BO1370" i="5" s="1"/>
  <c r="BB1369" i="5"/>
  <c r="BB1370" i="5" s="1"/>
  <c r="E48" i="10"/>
  <c r="E51" i="10" s="1"/>
  <c r="CB116" i="5"/>
  <c r="CB1351" i="5" s="1"/>
  <c r="CB1352" i="5" s="1"/>
  <c r="CB8" i="5"/>
  <c r="CB1341" i="5" s="1"/>
  <c r="CB1342" i="5" s="1"/>
  <c r="L12" i="20"/>
  <c r="J94" i="10"/>
  <c r="I12" i="20"/>
  <c r="I40" i="20" s="1"/>
  <c r="G94" i="10"/>
  <c r="J39" i="20"/>
  <c r="AA39" i="20"/>
  <c r="K10" i="20"/>
  <c r="I92" i="10"/>
  <c r="G10" i="20"/>
  <c r="E92" i="10"/>
  <c r="M12" i="20"/>
  <c r="M40" i="20" s="1"/>
  <c r="K94" i="10"/>
  <c r="G12" i="20"/>
  <c r="E94" i="10"/>
  <c r="F13" i="20"/>
  <c r="F16" i="20" s="1"/>
  <c r="F38" i="20"/>
  <c r="F41" i="20" s="1"/>
  <c r="CB1366" i="5"/>
  <c r="CB1367" i="5" s="1"/>
  <c r="BO1366" i="5"/>
  <c r="BO1367" i="5" s="1"/>
  <c r="BX1366" i="5"/>
  <c r="BX1367" i="5" s="1"/>
  <c r="BB1366" i="5"/>
  <c r="BB1367" i="5" s="1"/>
  <c r="BL1366" i="5"/>
  <c r="BL1367" i="5" s="1"/>
  <c r="BN1366" i="5"/>
  <c r="BN1367" i="5" s="1"/>
  <c r="BC1366" i="5"/>
  <c r="BC1367" i="5" s="1"/>
  <c r="BX102" i="5"/>
  <c r="BX1347" i="5" s="1"/>
  <c r="BX1348" i="5" s="1"/>
  <c r="CB102" i="5"/>
  <c r="CB1347" i="5" s="1"/>
  <c r="CB1348" i="5" s="1"/>
  <c r="BZ1244" i="5"/>
  <c r="BX8" i="5"/>
  <c r="BX1341" i="5" s="1"/>
  <c r="BX1342" i="5" s="1"/>
  <c r="BO1339" i="5"/>
  <c r="BO1340" i="5" s="1"/>
  <c r="J39" i="19"/>
  <c r="AA45" i="19"/>
  <c r="AC45" i="19" s="1"/>
  <c r="BN1363" i="5"/>
  <c r="BN1364" i="5" s="1"/>
  <c r="CB118" i="5"/>
  <c r="H67" i="17"/>
  <c r="H75" i="17" s="1"/>
  <c r="H80" i="17" s="1"/>
  <c r="E72" i="10"/>
  <c r="G12" i="18"/>
  <c r="G40" i="18" s="1"/>
  <c r="F38" i="18"/>
  <c r="F41" i="18" s="1"/>
  <c r="F13" i="18"/>
  <c r="F16" i="18" s="1"/>
  <c r="E83" i="10"/>
  <c r="G12" i="19"/>
  <c r="G40" i="19" s="1"/>
  <c r="L12" i="19"/>
  <c r="J83" i="10"/>
  <c r="K10" i="18"/>
  <c r="I70" i="10"/>
  <c r="M12" i="19"/>
  <c r="M40" i="19" s="1"/>
  <c r="K83" i="10"/>
  <c r="BX1363" i="5"/>
  <c r="BX1364" i="5" s="1"/>
  <c r="BB1363" i="5"/>
  <c r="BB1364" i="5" s="1"/>
  <c r="G10" i="18"/>
  <c r="E70" i="10"/>
  <c r="I12" i="19"/>
  <c r="I40" i="19" s="1"/>
  <c r="G83" i="10"/>
  <c r="AC45" i="18"/>
  <c r="BL1363" i="5"/>
  <c r="BL1364" i="5" s="1"/>
  <c r="I81" i="10"/>
  <c r="K10" i="19"/>
  <c r="BC1363" i="5"/>
  <c r="BC1364" i="5" s="1"/>
  <c r="BO1363" i="5"/>
  <c r="BO1364" i="5" s="1"/>
  <c r="BZ537" i="5"/>
  <c r="BZ1135" i="5"/>
  <c r="I51" i="17"/>
  <c r="F13" i="19"/>
  <c r="F16" i="19" s="1"/>
  <c r="F40" i="19"/>
  <c r="F41" i="19" s="1"/>
  <c r="D73" i="10"/>
  <c r="D76" i="10" s="1"/>
  <c r="G10" i="19"/>
  <c r="E81" i="10"/>
  <c r="BZ873" i="5"/>
  <c r="I12" i="18"/>
  <c r="I40" i="18" s="1"/>
  <c r="G72" i="10"/>
  <c r="K70" i="10"/>
  <c r="M10" i="18"/>
  <c r="J70" i="10"/>
  <c r="L10" i="18"/>
  <c r="H43" i="17"/>
  <c r="J72" i="10"/>
  <c r="L12" i="18"/>
  <c r="K72" i="10"/>
  <c r="M12" i="18"/>
  <c r="M40" i="18" s="1"/>
  <c r="I10" i="18"/>
  <c r="G70" i="10"/>
  <c r="BC1355" i="5"/>
  <c r="BC1356" i="5" s="1"/>
  <c r="G51" i="17"/>
  <c r="G52" i="17" s="1"/>
  <c r="G56" i="17" s="1"/>
  <c r="G60" i="17" s="1"/>
  <c r="G44" i="17" s="1"/>
  <c r="J44" i="17" s="1"/>
  <c r="BC1361" i="5"/>
  <c r="BC1362" i="5" s="1"/>
  <c r="AC38" i="17"/>
  <c r="E64" i="10"/>
  <c r="L28" i="10"/>
  <c r="BO1361" i="5"/>
  <c r="BO1362" i="5" s="1"/>
  <c r="G15" i="17"/>
  <c r="H15" i="17"/>
  <c r="H16" i="17" s="1"/>
  <c r="CB1361" i="5"/>
  <c r="CB1362" i="5" s="1"/>
  <c r="BB1361" i="5"/>
  <c r="BB1362" i="5" s="1"/>
  <c r="BN1361" i="5"/>
  <c r="BN1362" i="5" s="1"/>
  <c r="BZ102" i="5"/>
  <c r="BZ1347" i="5" s="1"/>
  <c r="BZ1348" i="5" s="1"/>
  <c r="AC44" i="12"/>
  <c r="BC1357" i="5"/>
  <c r="BC1358" i="5" s="1"/>
  <c r="BB1357" i="5"/>
  <c r="BB1358" i="5" s="1"/>
  <c r="CB1357" i="5"/>
  <c r="CB1358" i="5" s="1"/>
  <c r="BN1357" i="5"/>
  <c r="BN1358" i="5" s="1"/>
  <c r="BO1357" i="5"/>
  <c r="BO1358" i="5" s="1"/>
  <c r="BZ590" i="5"/>
  <c r="BO1355" i="5"/>
  <c r="BO1356" i="5" s="1"/>
  <c r="CB1355" i="5"/>
  <c r="CB1356" i="5" s="1"/>
  <c r="BZ345" i="5"/>
  <c r="BB1355" i="5"/>
  <c r="BB1356" i="5" s="1"/>
  <c r="BN1355" i="5"/>
  <c r="BN1356" i="5" s="1"/>
  <c r="BX9" i="5"/>
  <c r="BX1344" i="5" s="1"/>
  <c r="BX1345" i="5" s="1"/>
  <c r="CB104" i="5"/>
  <c r="CB1349" i="5" s="1"/>
  <c r="CB1350" i="5" s="1"/>
  <c r="BX2" i="5"/>
  <c r="L50" i="10"/>
  <c r="BB1353" i="5"/>
  <c r="BB1354" i="5" s="1"/>
  <c r="BN1353" i="5"/>
  <c r="BN1354" i="5" s="1"/>
  <c r="BO1353" i="5"/>
  <c r="BO1354" i="5" s="1"/>
  <c r="CB1353" i="5"/>
  <c r="CB1354" i="5" s="1"/>
  <c r="BC1353" i="5"/>
  <c r="BC1354" i="5" s="1"/>
  <c r="D51" i="10"/>
  <c r="D54" i="10" s="1"/>
  <c r="BC1351" i="5"/>
  <c r="BC1352" i="5" s="1"/>
  <c r="BB1351" i="5"/>
  <c r="BB1352" i="5" s="1"/>
  <c r="BZ1193" i="5"/>
  <c r="CB9" i="5"/>
  <c r="CB1344" i="5" s="1"/>
  <c r="CB1345" i="5" s="1"/>
  <c r="G15" i="12"/>
  <c r="G16" i="12" s="1"/>
  <c r="AB45" i="16"/>
  <c r="BC1349" i="5"/>
  <c r="BC1350" i="5" s="1"/>
  <c r="BB1349" i="5"/>
  <c r="BB1350" i="5" s="1"/>
  <c r="BO1349" i="5"/>
  <c r="BO1350" i="5" s="1"/>
  <c r="BN1349" i="5"/>
  <c r="BN1350" i="5" s="1"/>
  <c r="G50" i="10"/>
  <c r="I12" i="16"/>
  <c r="I40" i="16" s="1"/>
  <c r="N12" i="16"/>
  <c r="L40" i="16"/>
  <c r="N40" i="16" s="1"/>
  <c r="F38" i="16"/>
  <c r="F41" i="16" s="1"/>
  <c r="F13" i="16"/>
  <c r="F16" i="16" s="1"/>
  <c r="I48" i="10"/>
  <c r="K10" i="16"/>
  <c r="H10" i="16"/>
  <c r="F48" i="10"/>
  <c r="AA39" i="16"/>
  <c r="J39" i="16"/>
  <c r="AA10" i="16"/>
  <c r="G38" i="16"/>
  <c r="G13" i="16"/>
  <c r="BL1347" i="5"/>
  <c r="BL1348" i="5" s="1"/>
  <c r="BC1347" i="5"/>
  <c r="BC1348" i="5" s="1"/>
  <c r="BN1347" i="5"/>
  <c r="BN1348" i="5" s="1"/>
  <c r="BZ447" i="5"/>
  <c r="BZ233" i="5"/>
  <c r="F13" i="15"/>
  <c r="F16" i="15" s="1"/>
  <c r="F38" i="15"/>
  <c r="F41" i="15" s="1"/>
  <c r="I12" i="15"/>
  <c r="I40" i="15" s="1"/>
  <c r="G39" i="10"/>
  <c r="I37" i="10"/>
  <c r="K10" i="15"/>
  <c r="G10" i="15"/>
  <c r="E37" i="10"/>
  <c r="L12" i="15"/>
  <c r="J39" i="10"/>
  <c r="AA39" i="15"/>
  <c r="J39" i="15"/>
  <c r="D40" i="10"/>
  <c r="D43" i="10" s="1"/>
  <c r="M12" i="15"/>
  <c r="K39" i="10"/>
  <c r="E39" i="10"/>
  <c r="G12" i="15"/>
  <c r="BZ1084" i="5"/>
  <c r="BZ1295" i="5"/>
  <c r="BZ9" i="5"/>
  <c r="BZ1344" i="5" s="1"/>
  <c r="BZ1345" i="5" s="1"/>
  <c r="BN1344" i="5"/>
  <c r="BN1345" i="5" s="1"/>
  <c r="BB1344" i="5"/>
  <c r="BB1345" i="5" s="1"/>
  <c r="BO1344" i="5"/>
  <c r="BO1345" i="5" s="1"/>
  <c r="BL1344" i="5"/>
  <c r="BL1345" i="5" s="1"/>
  <c r="BC1344" i="5"/>
  <c r="BC1345" i="5" s="1"/>
  <c r="BZ829" i="5"/>
  <c r="BL1339" i="5"/>
  <c r="BL1340" i="5" s="1"/>
  <c r="G15" i="10" s="1"/>
  <c r="BZ1113" i="5"/>
  <c r="D29" i="10"/>
  <c r="D32" i="10" s="1"/>
  <c r="CB2" i="5"/>
  <c r="CB1339" i="5" s="1"/>
  <c r="CB1340" i="5" s="1"/>
  <c r="G26" i="10"/>
  <c r="G29" i="10" s="1"/>
  <c r="I10" i="14"/>
  <c r="AC39" i="14"/>
  <c r="AA45" i="14"/>
  <c r="AC45" i="14" s="1"/>
  <c r="N12" i="14"/>
  <c r="L40" i="14"/>
  <c r="N40" i="14" s="1"/>
  <c r="D18" i="10"/>
  <c r="D21" i="10" s="1"/>
  <c r="I15" i="10"/>
  <c r="K10" i="13"/>
  <c r="F38" i="13"/>
  <c r="F41" i="13" s="1"/>
  <c r="F13" i="13"/>
  <c r="F16" i="13" s="1"/>
  <c r="E29" i="10"/>
  <c r="E15" i="10"/>
  <c r="G10" i="13"/>
  <c r="AA10" i="14"/>
  <c r="G38" i="14"/>
  <c r="G13" i="14"/>
  <c r="G40" i="14"/>
  <c r="F13" i="14"/>
  <c r="F16" i="14" s="1"/>
  <c r="F40" i="14"/>
  <c r="F41" i="14" s="1"/>
  <c r="G12" i="13"/>
  <c r="G40" i="13" s="1"/>
  <c r="E17" i="10"/>
  <c r="I26" i="10"/>
  <c r="K10" i="14"/>
  <c r="H12" i="14"/>
  <c r="H40" i="14" s="1"/>
  <c r="F28" i="10"/>
  <c r="BZ8" i="5"/>
  <c r="BZ1341" i="5" s="1"/>
  <c r="BZ1342" i="5" s="1"/>
  <c r="BB1341" i="5"/>
  <c r="BB1342" i="5" s="1"/>
  <c r="G17" i="10"/>
  <c r="I12" i="13"/>
  <c r="M12" i="13"/>
  <c r="K17" i="10"/>
  <c r="H12" i="13"/>
  <c r="F17" i="10"/>
  <c r="L12" i="13"/>
  <c r="L40" i="13" s="1"/>
  <c r="J17" i="10"/>
  <c r="E9" i="10"/>
  <c r="H9" i="10" s="1"/>
  <c r="H10" i="10" s="1"/>
  <c r="BZ184" i="5"/>
  <c r="BZ1363" i="5" s="1"/>
  <c r="BZ1364" i="5" s="1"/>
  <c r="BZ1219" i="5"/>
  <c r="BZ1195" i="5"/>
  <c r="BZ2" i="5"/>
  <c r="BZ1339" i="5" s="1"/>
  <c r="BZ1340" i="5" s="1"/>
  <c r="BN1339" i="5"/>
  <c r="BN1340" i="5" s="1"/>
  <c r="BZ770" i="5"/>
  <c r="BZ1268" i="5"/>
  <c r="AC38" i="12"/>
  <c r="BZ914" i="5"/>
  <c r="AC39" i="12"/>
  <c r="AA45" i="12"/>
  <c r="AC45" i="12" s="1"/>
  <c r="BB1339" i="5"/>
  <c r="BB1340" i="5" s="1"/>
  <c r="BZ198" i="5"/>
  <c r="BZ1059" i="5"/>
  <c r="AA11" i="9"/>
  <c r="AC11" i="9"/>
  <c r="AA10" i="9"/>
  <c r="AX1389" i="5" l="1"/>
  <c r="J8" i="11"/>
  <c r="AX1393" i="5"/>
  <c r="J13" i="11" s="1"/>
  <c r="J12" i="11"/>
  <c r="I51" i="12"/>
  <c r="I43" i="12" s="1"/>
  <c r="G51" i="12"/>
  <c r="J51" i="12" s="1"/>
  <c r="J52" i="12" s="1"/>
  <c r="J56" i="12" s="1"/>
  <c r="J60" i="12" s="1"/>
  <c r="J67" i="12" s="1"/>
  <c r="I10" i="25"/>
  <c r="G147" i="10"/>
  <c r="G150" i="10" s="1"/>
  <c r="AZ1397" i="5"/>
  <c r="E150" i="10"/>
  <c r="AX1395" i="5"/>
  <c r="J15" i="11" s="1"/>
  <c r="G13" i="25"/>
  <c r="AA10" i="25"/>
  <c r="G38" i="25"/>
  <c r="AW1397" i="5"/>
  <c r="J147" i="10"/>
  <c r="L10" i="25"/>
  <c r="H10" i="25"/>
  <c r="F147" i="10"/>
  <c r="AZ1395" i="5"/>
  <c r="AW1395" i="5"/>
  <c r="AX1391" i="5"/>
  <c r="J11" i="11" s="1"/>
  <c r="AX1397" i="5"/>
  <c r="J17" i="11" s="1"/>
  <c r="BX1339" i="5"/>
  <c r="BX1340" i="5" s="1"/>
  <c r="BA1390" i="5"/>
  <c r="BA1396" i="5"/>
  <c r="M16" i="11" s="1"/>
  <c r="BA1388" i="5"/>
  <c r="BA1394" i="5"/>
  <c r="M14" i="11" s="1"/>
  <c r="BA1392" i="5"/>
  <c r="F149" i="10"/>
  <c r="H12" i="25"/>
  <c r="F45" i="25"/>
  <c r="F43" i="25"/>
  <c r="F44" i="25"/>
  <c r="AA45" i="25"/>
  <c r="AC45" i="25" s="1"/>
  <c r="AC39" i="25"/>
  <c r="AW1391" i="5"/>
  <c r="F43" i="24"/>
  <c r="F44" i="24"/>
  <c r="F45" i="24"/>
  <c r="F138" i="10"/>
  <c r="H138" i="10" s="1"/>
  <c r="H12" i="24"/>
  <c r="H40" i="24" s="1"/>
  <c r="AA45" i="24"/>
  <c r="AC45" i="24" s="1"/>
  <c r="AC39" i="24"/>
  <c r="H10" i="24"/>
  <c r="F136" i="10"/>
  <c r="I40" i="24"/>
  <c r="G136" i="10"/>
  <c r="G139" i="10" s="1"/>
  <c r="I10" i="24"/>
  <c r="G38" i="24"/>
  <c r="AA10" i="24"/>
  <c r="G13" i="24"/>
  <c r="L40" i="24"/>
  <c r="N40" i="24" s="1"/>
  <c r="N12" i="24"/>
  <c r="G40" i="24"/>
  <c r="L138" i="10"/>
  <c r="E139" i="10"/>
  <c r="L127" i="10"/>
  <c r="I15" i="12"/>
  <c r="I16" i="12" s="1"/>
  <c r="J15" i="12"/>
  <c r="J16" i="12" s="1"/>
  <c r="L16" i="12" s="1"/>
  <c r="BZ1376" i="5"/>
  <c r="BZ1377" i="5" s="1"/>
  <c r="G128" i="10"/>
  <c r="K128" i="10"/>
  <c r="I38" i="23"/>
  <c r="AB10" i="23"/>
  <c r="I13" i="23"/>
  <c r="J128" i="10"/>
  <c r="L125" i="10"/>
  <c r="F127" i="10"/>
  <c r="H12" i="23"/>
  <c r="H40" i="23" s="1"/>
  <c r="N10" i="23"/>
  <c r="L38" i="23"/>
  <c r="L13" i="23"/>
  <c r="F125" i="10"/>
  <c r="H125" i="10" s="1"/>
  <c r="H10" i="23"/>
  <c r="J10" i="23" s="1"/>
  <c r="E128" i="10"/>
  <c r="J12" i="23"/>
  <c r="G40" i="23"/>
  <c r="F43" i="23"/>
  <c r="F44" i="23"/>
  <c r="F45" i="23"/>
  <c r="N12" i="23"/>
  <c r="L40" i="23"/>
  <c r="N40" i="23" s="1"/>
  <c r="M38" i="23"/>
  <c r="M41" i="23" s="1"/>
  <c r="M13" i="23"/>
  <c r="AC39" i="23"/>
  <c r="AA45" i="23"/>
  <c r="AC45" i="23" s="1"/>
  <c r="G13" i="23"/>
  <c r="AA10" i="23"/>
  <c r="G38" i="23"/>
  <c r="F43" i="22"/>
  <c r="F44" i="22"/>
  <c r="F45" i="22"/>
  <c r="G114" i="10"/>
  <c r="G117" i="10" s="1"/>
  <c r="I10" i="22"/>
  <c r="E117" i="10"/>
  <c r="K106" i="10"/>
  <c r="AA10" i="22"/>
  <c r="G38" i="22"/>
  <c r="G13" i="22"/>
  <c r="H12" i="22"/>
  <c r="F116" i="10"/>
  <c r="H10" i="22"/>
  <c r="J10" i="22" s="1"/>
  <c r="F114" i="10"/>
  <c r="L40" i="22"/>
  <c r="N40" i="22" s="1"/>
  <c r="N12" i="22"/>
  <c r="F105" i="10"/>
  <c r="H12" i="21"/>
  <c r="J12" i="21" s="1"/>
  <c r="M38" i="21"/>
  <c r="M41" i="21" s="1"/>
  <c r="M13" i="21"/>
  <c r="L40" i="21"/>
  <c r="N40" i="21" s="1"/>
  <c r="N12" i="21"/>
  <c r="L103" i="10"/>
  <c r="J106" i="10"/>
  <c r="L105" i="10"/>
  <c r="N10" i="21"/>
  <c r="L38" i="21"/>
  <c r="L13" i="21"/>
  <c r="F43" i="21"/>
  <c r="F44" i="21"/>
  <c r="F45" i="21"/>
  <c r="AC39" i="21"/>
  <c r="AA45" i="21"/>
  <c r="AC45" i="21" s="1"/>
  <c r="E106" i="10"/>
  <c r="G13" i="21"/>
  <c r="AA10" i="21"/>
  <c r="G38" i="21"/>
  <c r="BZ1371" i="5"/>
  <c r="BZ1372" i="5" s="1"/>
  <c r="AB10" i="21"/>
  <c r="I38" i="21"/>
  <c r="I13" i="21"/>
  <c r="H10" i="21"/>
  <c r="H38" i="21" s="1"/>
  <c r="F103" i="10"/>
  <c r="H103" i="10" s="1"/>
  <c r="G40" i="21"/>
  <c r="G106" i="10"/>
  <c r="BZ1366" i="5"/>
  <c r="BZ1367" i="5" s="1"/>
  <c r="L10" i="20" s="1"/>
  <c r="AC39" i="20"/>
  <c r="AA45" i="20"/>
  <c r="AC45" i="20" s="1"/>
  <c r="F43" i="20"/>
  <c r="F44" i="20"/>
  <c r="F45" i="20"/>
  <c r="F94" i="10"/>
  <c r="H94" i="10" s="1"/>
  <c r="H12" i="20"/>
  <c r="H40" i="20" s="1"/>
  <c r="G40" i="20"/>
  <c r="J40" i="20" s="1"/>
  <c r="H45" i="17"/>
  <c r="G92" i="10"/>
  <c r="I10" i="20"/>
  <c r="F92" i="10"/>
  <c r="H10" i="20"/>
  <c r="E95" i="10"/>
  <c r="L94" i="10"/>
  <c r="G13" i="20"/>
  <c r="AA10" i="20"/>
  <c r="G38" i="20"/>
  <c r="N12" i="20"/>
  <c r="L40" i="20"/>
  <c r="N40" i="20" s="1"/>
  <c r="E73" i="10"/>
  <c r="L72" i="10"/>
  <c r="L83" i="10"/>
  <c r="F44" i="19"/>
  <c r="F43" i="19"/>
  <c r="F45" i="19"/>
  <c r="J51" i="17"/>
  <c r="J52" i="17" s="1"/>
  <c r="J56" i="17" s="1"/>
  <c r="J60" i="17" s="1"/>
  <c r="J67" i="17" s="1"/>
  <c r="G72" i="17" s="1"/>
  <c r="AA10" i="19"/>
  <c r="G38" i="19"/>
  <c r="G13" i="19"/>
  <c r="F83" i="10"/>
  <c r="H83" i="10" s="1"/>
  <c r="H12" i="19"/>
  <c r="AA10" i="18"/>
  <c r="G38" i="18"/>
  <c r="G13" i="18"/>
  <c r="N12" i="19"/>
  <c r="L40" i="19"/>
  <c r="N40" i="19" s="1"/>
  <c r="F81" i="10"/>
  <c r="H10" i="19"/>
  <c r="G81" i="10"/>
  <c r="G84" i="10" s="1"/>
  <c r="I10" i="19"/>
  <c r="L10" i="19"/>
  <c r="J81" i="10"/>
  <c r="I52" i="17"/>
  <c r="I56" i="17" s="1"/>
  <c r="I60" i="17" s="1"/>
  <c r="I43" i="17"/>
  <c r="G73" i="10"/>
  <c r="F43" i="18"/>
  <c r="F44" i="18"/>
  <c r="F45" i="18"/>
  <c r="E84" i="10"/>
  <c r="K73" i="10"/>
  <c r="J73" i="10"/>
  <c r="L70" i="10"/>
  <c r="G67" i="17"/>
  <c r="G45" i="17" s="1"/>
  <c r="J45" i="17" s="1"/>
  <c r="K46" i="17" s="1"/>
  <c r="M38" i="18"/>
  <c r="M41" i="18" s="1"/>
  <c r="M13" i="18"/>
  <c r="L13" i="18"/>
  <c r="N12" i="18"/>
  <c r="L40" i="18"/>
  <c r="N40" i="18" s="1"/>
  <c r="G43" i="17"/>
  <c r="J43" i="17" s="1"/>
  <c r="H10" i="18"/>
  <c r="F70" i="10"/>
  <c r="H70" i="10" s="1"/>
  <c r="H12" i="18"/>
  <c r="F72" i="10"/>
  <c r="I38" i="18"/>
  <c r="AB10" i="18"/>
  <c r="I13" i="18"/>
  <c r="L38" i="18"/>
  <c r="N10" i="18"/>
  <c r="G16" i="17"/>
  <c r="I15" i="17"/>
  <c r="I16" i="17" s="1"/>
  <c r="J15" i="17"/>
  <c r="J16" i="17" s="1"/>
  <c r="G64" i="10"/>
  <c r="G65" i="10" s="1"/>
  <c r="E65" i="10"/>
  <c r="H64" i="10"/>
  <c r="H65" i="10" s="1"/>
  <c r="G18" i="10"/>
  <c r="F50" i="10"/>
  <c r="H12" i="16"/>
  <c r="H13" i="16" s="1"/>
  <c r="J48" i="10"/>
  <c r="L10" i="16"/>
  <c r="AC39" i="16"/>
  <c r="AA45" i="16"/>
  <c r="AC45" i="16" s="1"/>
  <c r="F43" i="16"/>
  <c r="F44" i="16"/>
  <c r="F45" i="16"/>
  <c r="I10" i="16"/>
  <c r="J10" i="16" s="1"/>
  <c r="G48" i="10"/>
  <c r="G51" i="10" s="1"/>
  <c r="G41" i="16"/>
  <c r="AA38" i="16"/>
  <c r="H38" i="16"/>
  <c r="L39" i="10"/>
  <c r="E40" i="10"/>
  <c r="H12" i="15"/>
  <c r="H40" i="15" s="1"/>
  <c r="F39" i="10"/>
  <c r="AA10" i="15"/>
  <c r="G13" i="15"/>
  <c r="G38" i="15"/>
  <c r="G37" i="10"/>
  <c r="G40" i="10" s="1"/>
  <c r="I10" i="15"/>
  <c r="M40" i="15"/>
  <c r="F37" i="10"/>
  <c r="H10" i="15"/>
  <c r="AC39" i="15"/>
  <c r="AA45" i="15"/>
  <c r="AC45" i="15" s="1"/>
  <c r="F43" i="15"/>
  <c r="F44" i="15"/>
  <c r="F45" i="15"/>
  <c r="L10" i="15"/>
  <c r="J37" i="10"/>
  <c r="G40" i="15"/>
  <c r="L40" i="15"/>
  <c r="N12" i="15"/>
  <c r="I10" i="13"/>
  <c r="I38" i="13" s="1"/>
  <c r="I52" i="12"/>
  <c r="I56" i="12" s="1"/>
  <c r="I60" i="12" s="1"/>
  <c r="I67" i="12" s="1"/>
  <c r="E10" i="10"/>
  <c r="F26" i="10"/>
  <c r="H26" i="10" s="1"/>
  <c r="H10" i="14"/>
  <c r="E18" i="10"/>
  <c r="L10" i="14"/>
  <c r="J26" i="10"/>
  <c r="J12" i="14"/>
  <c r="J40" i="14"/>
  <c r="H28" i="10"/>
  <c r="G41" i="14"/>
  <c r="AA38" i="14"/>
  <c r="F43" i="13"/>
  <c r="F44" i="13"/>
  <c r="F45" i="13"/>
  <c r="I38" i="14"/>
  <c r="I13" i="14"/>
  <c r="H52" i="12"/>
  <c r="H56" i="12" s="1"/>
  <c r="H60" i="12" s="1"/>
  <c r="H67" i="12" s="1"/>
  <c r="F43" i="14"/>
  <c r="F44" i="14"/>
  <c r="F45" i="14"/>
  <c r="G13" i="13"/>
  <c r="AA10" i="13"/>
  <c r="G38" i="13"/>
  <c r="N12" i="13"/>
  <c r="M40" i="13"/>
  <c r="N40" i="13" s="1"/>
  <c r="G9" i="10"/>
  <c r="G10" i="10" s="1"/>
  <c r="H17" i="10"/>
  <c r="L10" i="13"/>
  <c r="J15" i="10"/>
  <c r="H40" i="13"/>
  <c r="J12" i="13"/>
  <c r="H10" i="13"/>
  <c r="F15" i="10"/>
  <c r="H15" i="10" s="1"/>
  <c r="L17" i="10"/>
  <c r="I40" i="13"/>
  <c r="G43" i="12"/>
  <c r="J43" i="12" s="1"/>
  <c r="K43" i="12" s="1"/>
  <c r="G52" i="12"/>
  <c r="G56" i="12" s="1"/>
  <c r="G60" i="12" s="1"/>
  <c r="M72" i="12"/>
  <c r="K45" i="12"/>
  <c r="G72" i="12"/>
  <c r="H68" i="12"/>
  <c r="J68" i="12" s="1"/>
  <c r="G73" i="12"/>
  <c r="I73" i="12" s="1"/>
  <c r="J73" i="12" s="1"/>
  <c r="I69" i="12"/>
  <c r="J69" i="12" s="1"/>
  <c r="O72" i="12"/>
  <c r="AC10" i="9"/>
  <c r="BA1389" i="5" l="1"/>
  <c r="M8" i="11"/>
  <c r="BA1393" i="5"/>
  <c r="M13" i="11" s="1"/>
  <c r="M12" i="11"/>
  <c r="BA1391" i="5"/>
  <c r="M11" i="11" s="1"/>
  <c r="M10" i="11"/>
  <c r="H147" i="10"/>
  <c r="J9" i="11"/>
  <c r="AX1399" i="5"/>
  <c r="J12" i="24"/>
  <c r="F128" i="10"/>
  <c r="BA1397" i="5"/>
  <c r="M17" i="11" s="1"/>
  <c r="H13" i="25"/>
  <c r="H38" i="25"/>
  <c r="L38" i="25"/>
  <c r="L13" i="25"/>
  <c r="H40" i="25"/>
  <c r="J40" i="25" s="1"/>
  <c r="J12" i="25"/>
  <c r="F150" i="10"/>
  <c r="H149" i="10"/>
  <c r="J150" i="10"/>
  <c r="BA1395" i="5"/>
  <c r="M15" i="11" s="1"/>
  <c r="AA38" i="25"/>
  <c r="G41" i="25"/>
  <c r="J10" i="25"/>
  <c r="I38" i="25"/>
  <c r="I13" i="25"/>
  <c r="F139" i="10"/>
  <c r="H139" i="10" s="1"/>
  <c r="E141" i="10" s="1"/>
  <c r="J10" i="10"/>
  <c r="J40" i="24"/>
  <c r="H38" i="24"/>
  <c r="H41" i="24" s="1"/>
  <c r="H13" i="24"/>
  <c r="G41" i="24"/>
  <c r="AA38" i="24"/>
  <c r="I38" i="24"/>
  <c r="I41" i="24" s="1"/>
  <c r="H136" i="10"/>
  <c r="L10" i="24"/>
  <c r="J136" i="10"/>
  <c r="J10" i="24"/>
  <c r="I13" i="24"/>
  <c r="L128" i="10"/>
  <c r="H127" i="10"/>
  <c r="F117" i="10"/>
  <c r="H117" i="10" s="1"/>
  <c r="F119" i="10" s="1"/>
  <c r="F120" i="10" s="1"/>
  <c r="J40" i="23"/>
  <c r="N13" i="23"/>
  <c r="L106" i="10"/>
  <c r="AA38" i="23"/>
  <c r="G41" i="23"/>
  <c r="H128" i="10"/>
  <c r="F130" i="10" s="1"/>
  <c r="F131" i="10" s="1"/>
  <c r="H13" i="23"/>
  <c r="J13" i="23" s="1"/>
  <c r="H15" i="23" s="1"/>
  <c r="H16" i="23" s="1"/>
  <c r="H38" i="23"/>
  <c r="H41" i="23" s="1"/>
  <c r="AC10" i="23"/>
  <c r="N38" i="23"/>
  <c r="L41" i="23"/>
  <c r="N41" i="23" s="1"/>
  <c r="AB38" i="23"/>
  <c r="AB44" i="23" s="1"/>
  <c r="I41" i="23"/>
  <c r="H114" i="10"/>
  <c r="J12" i="22"/>
  <c r="H40" i="22"/>
  <c r="J40" i="22" s="1"/>
  <c r="H116" i="10"/>
  <c r="J114" i="10"/>
  <c r="L10" i="22"/>
  <c r="I13" i="22"/>
  <c r="I38" i="22"/>
  <c r="AA38" i="22"/>
  <c r="G41" i="22"/>
  <c r="H38" i="22"/>
  <c r="H13" i="22"/>
  <c r="L73" i="10"/>
  <c r="G75" i="17"/>
  <c r="G80" i="17" s="1"/>
  <c r="AC10" i="21"/>
  <c r="G41" i="21"/>
  <c r="J38" i="21"/>
  <c r="AA38" i="21"/>
  <c r="J10" i="21"/>
  <c r="N38" i="21"/>
  <c r="L41" i="21"/>
  <c r="N41" i="21" s="1"/>
  <c r="AB38" i="21"/>
  <c r="AB44" i="21" s="1"/>
  <c r="I41" i="21"/>
  <c r="N13" i="21"/>
  <c r="H13" i="21"/>
  <c r="J13" i="21" s="1"/>
  <c r="H40" i="21"/>
  <c r="J40" i="21" s="1"/>
  <c r="F106" i="10"/>
  <c r="H106" i="10" s="1"/>
  <c r="E108" i="10" s="1"/>
  <c r="H105" i="10"/>
  <c r="J92" i="10"/>
  <c r="J95" i="10" s="1"/>
  <c r="J12" i="20"/>
  <c r="J10" i="20"/>
  <c r="H92" i="10"/>
  <c r="G95" i="10"/>
  <c r="I38" i="20"/>
  <c r="I13" i="20"/>
  <c r="H38" i="20"/>
  <c r="H41" i="20" s="1"/>
  <c r="H13" i="20"/>
  <c r="G41" i="20"/>
  <c r="AA38" i="20"/>
  <c r="F95" i="10"/>
  <c r="L38" i="20"/>
  <c r="L13" i="20"/>
  <c r="H81" i="10"/>
  <c r="AC10" i="18"/>
  <c r="J72" i="17"/>
  <c r="J75" i="17" s="1"/>
  <c r="J80" i="17" s="1"/>
  <c r="K44" i="17"/>
  <c r="O72" i="17"/>
  <c r="K43" i="17"/>
  <c r="G73" i="17"/>
  <c r="I73" i="17" s="1"/>
  <c r="J73" i="17" s="1"/>
  <c r="H68" i="17"/>
  <c r="J68" i="17" s="1"/>
  <c r="I69" i="17"/>
  <c r="J69" i="17" s="1"/>
  <c r="K45" i="17"/>
  <c r="M72" i="17"/>
  <c r="N13" i="18"/>
  <c r="J10" i="19"/>
  <c r="I44" i="17"/>
  <c r="I67" i="17"/>
  <c r="J84" i="10"/>
  <c r="G41" i="19"/>
  <c r="AA38" i="19"/>
  <c r="L13" i="19"/>
  <c r="L38" i="19"/>
  <c r="I38" i="19"/>
  <c r="I13" i="19"/>
  <c r="G41" i="18"/>
  <c r="AA38" i="18"/>
  <c r="AA44" i="18" s="1"/>
  <c r="J12" i="19"/>
  <c r="H40" i="19"/>
  <c r="J40" i="19" s="1"/>
  <c r="H13" i="19"/>
  <c r="H38" i="19"/>
  <c r="F84" i="10"/>
  <c r="I41" i="18"/>
  <c r="AB38" i="18"/>
  <c r="F73" i="10"/>
  <c r="H72" i="10"/>
  <c r="H40" i="18"/>
  <c r="J40" i="18" s="1"/>
  <c r="J12" i="18"/>
  <c r="H38" i="18"/>
  <c r="H13" i="18"/>
  <c r="J13" i="18" s="1"/>
  <c r="J10" i="18"/>
  <c r="N38" i="18"/>
  <c r="L41" i="18"/>
  <c r="N41" i="18" s="1"/>
  <c r="L16" i="17"/>
  <c r="J65" i="10"/>
  <c r="H44" i="12"/>
  <c r="I44" i="12"/>
  <c r="H37" i="10"/>
  <c r="I38" i="16"/>
  <c r="J38" i="16" s="1"/>
  <c r="I13" i="16"/>
  <c r="J13" i="16" s="1"/>
  <c r="G15" i="16" s="1"/>
  <c r="L13" i="16"/>
  <c r="L38" i="16"/>
  <c r="L41" i="16" s="1"/>
  <c r="J51" i="10"/>
  <c r="H40" i="16"/>
  <c r="J40" i="16" s="1"/>
  <c r="J12" i="16"/>
  <c r="AA44" i="16"/>
  <c r="F51" i="10"/>
  <c r="H50" i="10"/>
  <c r="H48" i="10"/>
  <c r="N40" i="15"/>
  <c r="J40" i="15"/>
  <c r="I41" i="13"/>
  <c r="I13" i="13"/>
  <c r="H13" i="15"/>
  <c r="H38" i="15"/>
  <c r="H41" i="15" s="1"/>
  <c r="J40" i="10"/>
  <c r="L13" i="15"/>
  <c r="L38" i="15"/>
  <c r="F40" i="10"/>
  <c r="H40" i="10" s="1"/>
  <c r="E42" i="10" s="1"/>
  <c r="I38" i="15"/>
  <c r="I13" i="15"/>
  <c r="AA38" i="15"/>
  <c r="G41" i="15"/>
  <c r="J12" i="15"/>
  <c r="J10" i="15"/>
  <c r="H39" i="10"/>
  <c r="F29" i="10"/>
  <c r="AA44" i="14"/>
  <c r="J29" i="10"/>
  <c r="L13" i="14"/>
  <c r="L38" i="14"/>
  <c r="G41" i="13"/>
  <c r="AA38" i="13"/>
  <c r="AA44" i="13" s="1"/>
  <c r="I41" i="14"/>
  <c r="F18" i="10"/>
  <c r="H18" i="10" s="1"/>
  <c r="E20" i="10" s="1"/>
  <c r="H38" i="14"/>
  <c r="H13" i="14"/>
  <c r="J10" i="14"/>
  <c r="L38" i="13"/>
  <c r="L13" i="13"/>
  <c r="H38" i="13"/>
  <c r="H13" i="13"/>
  <c r="J10" i="13"/>
  <c r="J40" i="13"/>
  <c r="J18" i="10"/>
  <c r="G44" i="12"/>
  <c r="J44" i="12" s="1"/>
  <c r="K44" i="12" s="1"/>
  <c r="G67" i="12"/>
  <c r="I45" i="12"/>
  <c r="I75" i="12"/>
  <c r="I80" i="12" s="1"/>
  <c r="H45" i="12"/>
  <c r="H75" i="12"/>
  <c r="H80" i="12" s="1"/>
  <c r="E73" i="9"/>
  <c r="E72" i="9"/>
  <c r="M9" i="11" l="1"/>
  <c r="BA1399" i="5"/>
  <c r="J19" i="11"/>
  <c r="AX1409" i="5"/>
  <c r="J29" i="11" s="1"/>
  <c r="J13" i="25"/>
  <c r="H15" i="25" s="1"/>
  <c r="H16" i="25" s="1"/>
  <c r="H41" i="25"/>
  <c r="I41" i="25"/>
  <c r="L41" i="25"/>
  <c r="J13" i="24"/>
  <c r="G15" i="24" s="1"/>
  <c r="I15" i="24" s="1"/>
  <c r="I16" i="24" s="1"/>
  <c r="AA44" i="25"/>
  <c r="J38" i="25"/>
  <c r="J41" i="25" s="1"/>
  <c r="H150" i="10"/>
  <c r="E152" i="10" s="1"/>
  <c r="F141" i="10"/>
  <c r="F142" i="10" s="1"/>
  <c r="J139" i="10"/>
  <c r="J38" i="24"/>
  <c r="J41" i="24" s="1"/>
  <c r="I51" i="24" s="1"/>
  <c r="L13" i="24"/>
  <c r="L38" i="24"/>
  <c r="AA44" i="24"/>
  <c r="G141" i="10"/>
  <c r="G142" i="10" s="1"/>
  <c r="E142" i="10"/>
  <c r="E130" i="10"/>
  <c r="E131" i="10" s="1"/>
  <c r="G15" i="23"/>
  <c r="I15" i="23" s="1"/>
  <c r="I16" i="23" s="1"/>
  <c r="J38" i="23"/>
  <c r="J41" i="23" s="1"/>
  <c r="G51" i="23" s="1"/>
  <c r="AC38" i="23"/>
  <c r="AA44" i="23"/>
  <c r="AC44" i="23" s="1"/>
  <c r="J13" i="22"/>
  <c r="H15" i="22" s="1"/>
  <c r="H16" i="22" s="1"/>
  <c r="H41" i="22"/>
  <c r="AA44" i="22"/>
  <c r="J38" i="22"/>
  <c r="J41" i="22" s="1"/>
  <c r="G51" i="22" s="1"/>
  <c r="L13" i="22"/>
  <c r="L38" i="22"/>
  <c r="J117" i="10"/>
  <c r="I41" i="22"/>
  <c r="E119" i="10"/>
  <c r="H15" i="21"/>
  <c r="H16" i="21" s="1"/>
  <c r="G15" i="21"/>
  <c r="E109" i="10"/>
  <c r="G108" i="10"/>
  <c r="G109" i="10" s="1"/>
  <c r="H108" i="10"/>
  <c r="H109" i="10" s="1"/>
  <c r="H41" i="21"/>
  <c r="AA44" i="21"/>
  <c r="AC44" i="21" s="1"/>
  <c r="AC38" i="21"/>
  <c r="F108" i="10"/>
  <c r="F109" i="10" s="1"/>
  <c r="J41" i="21"/>
  <c r="I51" i="21" s="1"/>
  <c r="J38" i="20"/>
  <c r="J41" i="20" s="1"/>
  <c r="G51" i="20" s="1"/>
  <c r="I41" i="20"/>
  <c r="L41" i="20"/>
  <c r="J13" i="20"/>
  <c r="G15" i="20" s="1"/>
  <c r="AA44" i="20"/>
  <c r="H95" i="10"/>
  <c r="E97" i="10" s="1"/>
  <c r="H41" i="19"/>
  <c r="I41" i="19"/>
  <c r="J38" i="19"/>
  <c r="J41" i="19" s="1"/>
  <c r="G51" i="19" s="1"/>
  <c r="AA44" i="19"/>
  <c r="L41" i="19"/>
  <c r="J13" i="19"/>
  <c r="G15" i="19" s="1"/>
  <c r="I45" i="17"/>
  <c r="I75" i="17"/>
  <c r="I80" i="17" s="1"/>
  <c r="H84" i="10"/>
  <c r="E86" i="10" s="1"/>
  <c r="AB44" i="18"/>
  <c r="AC44" i="18" s="1"/>
  <c r="AC38" i="18"/>
  <c r="H15" i="18"/>
  <c r="H16" i="18" s="1"/>
  <c r="G15" i="18"/>
  <c r="H41" i="18"/>
  <c r="J38" i="18"/>
  <c r="J41" i="18" s="1"/>
  <c r="G51" i="18" s="1"/>
  <c r="H73" i="10"/>
  <c r="E75" i="10" s="1"/>
  <c r="J13" i="13"/>
  <c r="H15" i="13" s="1"/>
  <c r="H16" i="13" s="1"/>
  <c r="H15" i="16"/>
  <c r="H16" i="16" s="1"/>
  <c r="H51" i="10"/>
  <c r="E53" i="10" s="1"/>
  <c r="G16" i="16"/>
  <c r="I15" i="16"/>
  <c r="I16" i="16" s="1"/>
  <c r="H41" i="16"/>
  <c r="J41" i="16"/>
  <c r="G51" i="16" s="1"/>
  <c r="I41" i="16"/>
  <c r="J13" i="15"/>
  <c r="G15" i="15" s="1"/>
  <c r="I15" i="15" s="1"/>
  <c r="I16" i="15" s="1"/>
  <c r="G42" i="10"/>
  <c r="G43" i="10" s="1"/>
  <c r="E43" i="10"/>
  <c r="AA44" i="15"/>
  <c r="L41" i="15"/>
  <c r="J38" i="15"/>
  <c r="J41" i="15" s="1"/>
  <c r="G51" i="15" s="1"/>
  <c r="I41" i="15"/>
  <c r="F42" i="10"/>
  <c r="F43" i="10" s="1"/>
  <c r="H29" i="10"/>
  <c r="E31" i="10" s="1"/>
  <c r="L41" i="14"/>
  <c r="J13" i="14"/>
  <c r="G15" i="14" s="1"/>
  <c r="H41" i="14"/>
  <c r="J38" i="14"/>
  <c r="J41" i="14" s="1"/>
  <c r="G20" i="10"/>
  <c r="G21" i="10" s="1"/>
  <c r="E21" i="10"/>
  <c r="F20" i="10"/>
  <c r="F21" i="10" s="1"/>
  <c r="H41" i="13"/>
  <c r="J38" i="13"/>
  <c r="J41" i="13" s="1"/>
  <c r="L41" i="13"/>
  <c r="G45" i="12"/>
  <c r="J45" i="12" s="1"/>
  <c r="K46" i="12" s="1"/>
  <c r="G75" i="12"/>
  <c r="G80" i="12" s="1"/>
  <c r="J79" i="9"/>
  <c r="J78" i="9"/>
  <c r="J77" i="9"/>
  <c r="M19" i="11" l="1"/>
  <c r="BA1409" i="5"/>
  <c r="M29" i="11" s="1"/>
  <c r="G15" i="25"/>
  <c r="F152" i="10"/>
  <c r="F153" i="10" s="1"/>
  <c r="G16" i="24"/>
  <c r="H15" i="24"/>
  <c r="H16" i="24" s="1"/>
  <c r="H51" i="25"/>
  <c r="H52" i="25" s="1"/>
  <c r="H56" i="25" s="1"/>
  <c r="H60" i="25" s="1"/>
  <c r="G51" i="25"/>
  <c r="G43" i="25" s="1"/>
  <c r="G152" i="10"/>
  <c r="G153" i="10" s="1"/>
  <c r="E153" i="10"/>
  <c r="H43" i="25"/>
  <c r="I51" i="25"/>
  <c r="G16" i="25"/>
  <c r="I15" i="25"/>
  <c r="I16" i="25" s="1"/>
  <c r="H51" i="24"/>
  <c r="H52" i="24" s="1"/>
  <c r="H56" i="24" s="1"/>
  <c r="H60" i="24" s="1"/>
  <c r="I52" i="24"/>
  <c r="I56" i="24" s="1"/>
  <c r="I60" i="24" s="1"/>
  <c r="I43" i="24"/>
  <c r="G51" i="24"/>
  <c r="H141" i="10"/>
  <c r="H142" i="10" s="1"/>
  <c r="L41" i="24"/>
  <c r="H15" i="15"/>
  <c r="H16" i="15" s="1"/>
  <c r="G16" i="23"/>
  <c r="G15" i="22"/>
  <c r="G16" i="22" s="1"/>
  <c r="J15" i="23"/>
  <c r="J16" i="23" s="1"/>
  <c r="J131" i="10" s="1"/>
  <c r="H130" i="10"/>
  <c r="H131" i="10" s="1"/>
  <c r="I51" i="23"/>
  <c r="I52" i="23" s="1"/>
  <c r="I56" i="23" s="1"/>
  <c r="I60" i="23" s="1"/>
  <c r="G130" i="10"/>
  <c r="G131" i="10" s="1"/>
  <c r="H51" i="23"/>
  <c r="H43" i="23" s="1"/>
  <c r="G43" i="23"/>
  <c r="J43" i="23" s="1"/>
  <c r="J51" i="23"/>
  <c r="J52" i="23" s="1"/>
  <c r="J56" i="23" s="1"/>
  <c r="J60" i="23" s="1"/>
  <c r="J67" i="23" s="1"/>
  <c r="G52" i="23"/>
  <c r="G56" i="23" s="1"/>
  <c r="G60" i="23" s="1"/>
  <c r="L16" i="23"/>
  <c r="I51" i="20"/>
  <c r="I43" i="20" s="1"/>
  <c r="H51" i="22"/>
  <c r="H52" i="22" s="1"/>
  <c r="H56" i="22" s="1"/>
  <c r="H60" i="22" s="1"/>
  <c r="G43" i="22"/>
  <c r="G52" i="22"/>
  <c r="G56" i="22" s="1"/>
  <c r="G60" i="22" s="1"/>
  <c r="L41" i="22"/>
  <c r="E120" i="10"/>
  <c r="G119" i="10"/>
  <c r="G120" i="10" s="1"/>
  <c r="I51" i="22"/>
  <c r="G51" i="21"/>
  <c r="G43" i="21" s="1"/>
  <c r="J43" i="21" s="1"/>
  <c r="H51" i="21"/>
  <c r="H43" i="21" s="1"/>
  <c r="I52" i="21"/>
  <c r="I56" i="21" s="1"/>
  <c r="I60" i="21" s="1"/>
  <c r="I43" i="21"/>
  <c r="G16" i="21"/>
  <c r="J15" i="21"/>
  <c r="J16" i="21" s="1"/>
  <c r="I15" i="21"/>
  <c r="I16" i="21" s="1"/>
  <c r="H51" i="20"/>
  <c r="H43" i="20" s="1"/>
  <c r="H15" i="20"/>
  <c r="H16" i="20" s="1"/>
  <c r="G97" i="10"/>
  <c r="G98" i="10" s="1"/>
  <c r="E98" i="10"/>
  <c r="F97" i="10"/>
  <c r="F98" i="10" s="1"/>
  <c r="G16" i="20"/>
  <c r="I15" i="20"/>
  <c r="I16" i="20" s="1"/>
  <c r="G43" i="20"/>
  <c r="G52" i="20"/>
  <c r="G56" i="20" s="1"/>
  <c r="G60" i="20" s="1"/>
  <c r="H15" i="19"/>
  <c r="H16" i="19" s="1"/>
  <c r="G86" i="10"/>
  <c r="G87" i="10" s="1"/>
  <c r="E87" i="10"/>
  <c r="H51" i="19"/>
  <c r="G43" i="19"/>
  <c r="G52" i="19"/>
  <c r="G56" i="19" s="1"/>
  <c r="G60" i="19" s="1"/>
  <c r="G16" i="19"/>
  <c r="I15" i="19"/>
  <c r="I16" i="19" s="1"/>
  <c r="I51" i="19"/>
  <c r="F86" i="10"/>
  <c r="F87" i="10" s="1"/>
  <c r="E76" i="10"/>
  <c r="G75" i="10"/>
  <c r="G76" i="10" s="1"/>
  <c r="H75" i="10"/>
  <c r="H76" i="10" s="1"/>
  <c r="F75" i="10"/>
  <c r="F76" i="10" s="1"/>
  <c r="H51" i="18"/>
  <c r="G16" i="18"/>
  <c r="I15" i="18"/>
  <c r="I16" i="18" s="1"/>
  <c r="J15" i="18"/>
  <c r="J16" i="18" s="1"/>
  <c r="J51" i="18"/>
  <c r="J52" i="18" s="1"/>
  <c r="J56" i="18" s="1"/>
  <c r="J60" i="18" s="1"/>
  <c r="J67" i="18" s="1"/>
  <c r="G52" i="18"/>
  <c r="G56" i="18" s="1"/>
  <c r="G60" i="18" s="1"/>
  <c r="G43" i="18"/>
  <c r="J43" i="18" s="1"/>
  <c r="G15" i="13"/>
  <c r="I15" i="13" s="1"/>
  <c r="I16" i="13" s="1"/>
  <c r="I51" i="18"/>
  <c r="H51" i="16"/>
  <c r="H52" i="16" s="1"/>
  <c r="H56" i="16" s="1"/>
  <c r="H60" i="16" s="1"/>
  <c r="J15" i="16"/>
  <c r="J16" i="16" s="1"/>
  <c r="J54" i="10" s="1"/>
  <c r="F53" i="10"/>
  <c r="F54" i="10" s="1"/>
  <c r="G43" i="16"/>
  <c r="G52" i="16"/>
  <c r="G56" i="16" s="1"/>
  <c r="G60" i="16" s="1"/>
  <c r="G16" i="15"/>
  <c r="I51" i="16"/>
  <c r="E54" i="10"/>
  <c r="G53" i="10"/>
  <c r="G54" i="10" s="1"/>
  <c r="I51" i="15"/>
  <c r="I52" i="15" s="1"/>
  <c r="I56" i="15" s="1"/>
  <c r="I60" i="15" s="1"/>
  <c r="H51" i="15"/>
  <c r="G43" i="15"/>
  <c r="G52" i="15"/>
  <c r="G56" i="15" s="1"/>
  <c r="G60" i="15" s="1"/>
  <c r="H42" i="10"/>
  <c r="H43" i="10" s="1"/>
  <c r="F31" i="10"/>
  <c r="F32" i="10" s="1"/>
  <c r="G31" i="10"/>
  <c r="G32" i="10" s="1"/>
  <c r="E32" i="10"/>
  <c r="I51" i="14"/>
  <c r="G51" i="14"/>
  <c r="H51" i="14"/>
  <c r="G16" i="14"/>
  <c r="I15" i="14"/>
  <c r="I16" i="14" s="1"/>
  <c r="H15" i="14"/>
  <c r="H16" i="14" s="1"/>
  <c r="H20" i="10"/>
  <c r="H21" i="10" s="1"/>
  <c r="H51" i="13"/>
  <c r="G51" i="13"/>
  <c r="I51" i="13"/>
  <c r="H63" i="9"/>
  <c r="J15" i="25" l="1"/>
  <c r="J16" i="25" s="1"/>
  <c r="J15" i="24"/>
  <c r="J16" i="24" s="1"/>
  <c r="G52" i="25"/>
  <c r="G56" i="25" s="1"/>
  <c r="G60" i="25" s="1"/>
  <c r="G67" i="25" s="1"/>
  <c r="I15" i="22"/>
  <c r="I16" i="22" s="1"/>
  <c r="H44" i="25"/>
  <c r="H67" i="25"/>
  <c r="L16" i="25"/>
  <c r="J153" i="10"/>
  <c r="H152" i="10"/>
  <c r="H153" i="10" s="1"/>
  <c r="I52" i="25"/>
  <c r="I56" i="25" s="1"/>
  <c r="I60" i="25" s="1"/>
  <c r="I43" i="25"/>
  <c r="J43" i="25" s="1"/>
  <c r="K43" i="25" s="1"/>
  <c r="J51" i="25"/>
  <c r="J52" i="25" s="1"/>
  <c r="J56" i="25" s="1"/>
  <c r="J60" i="25" s="1"/>
  <c r="J67" i="25" s="1"/>
  <c r="H52" i="23"/>
  <c r="H56" i="23" s="1"/>
  <c r="H60" i="23" s="1"/>
  <c r="H67" i="23" s="1"/>
  <c r="H43" i="24"/>
  <c r="J15" i="15"/>
  <c r="J16" i="15" s="1"/>
  <c r="J43" i="10" s="1"/>
  <c r="I43" i="23"/>
  <c r="L16" i="24"/>
  <c r="J142" i="10"/>
  <c r="G43" i="24"/>
  <c r="G52" i="24"/>
  <c r="G56" i="24" s="1"/>
  <c r="G60" i="24" s="1"/>
  <c r="J51" i="24"/>
  <c r="J52" i="24" s="1"/>
  <c r="J56" i="24" s="1"/>
  <c r="J60" i="24" s="1"/>
  <c r="J67" i="24" s="1"/>
  <c r="H44" i="24"/>
  <c r="H67" i="24"/>
  <c r="I44" i="24"/>
  <c r="I67" i="24"/>
  <c r="I52" i="20"/>
  <c r="I56" i="20" s="1"/>
  <c r="I60" i="20" s="1"/>
  <c r="I67" i="20" s="1"/>
  <c r="K43" i="23"/>
  <c r="H43" i="22"/>
  <c r="J15" i="22"/>
  <c r="J16" i="22" s="1"/>
  <c r="L16" i="22" s="1"/>
  <c r="J51" i="20"/>
  <c r="J52" i="20" s="1"/>
  <c r="J56" i="20" s="1"/>
  <c r="J60" i="20" s="1"/>
  <c r="J67" i="20" s="1"/>
  <c r="O72" i="20" s="1"/>
  <c r="I44" i="23"/>
  <c r="I67" i="23"/>
  <c r="G44" i="23"/>
  <c r="J44" i="23" s="1"/>
  <c r="K44" i="23" s="1"/>
  <c r="G67" i="23"/>
  <c r="G72" i="23"/>
  <c r="G73" i="23"/>
  <c r="I69" i="23"/>
  <c r="J69" i="23" s="1"/>
  <c r="K45" i="23"/>
  <c r="M72" i="23"/>
  <c r="O72" i="23"/>
  <c r="H68" i="23"/>
  <c r="J68" i="23" s="1"/>
  <c r="H119" i="10"/>
  <c r="H120" i="10" s="1"/>
  <c r="J51" i="21"/>
  <c r="J52" i="21" s="1"/>
  <c r="J56" i="21" s="1"/>
  <c r="J60" i="21" s="1"/>
  <c r="J67" i="21" s="1"/>
  <c r="G72" i="21" s="1"/>
  <c r="G52" i="21"/>
  <c r="G56" i="21" s="1"/>
  <c r="G60" i="21" s="1"/>
  <c r="G67" i="21" s="1"/>
  <c r="H52" i="21"/>
  <c r="H56" i="21" s="1"/>
  <c r="H60" i="21" s="1"/>
  <c r="H67" i="21" s="1"/>
  <c r="I52" i="22"/>
  <c r="I56" i="22" s="1"/>
  <c r="I60" i="22" s="1"/>
  <c r="I43" i="22"/>
  <c r="J43" i="22" s="1"/>
  <c r="G44" i="22"/>
  <c r="G67" i="22"/>
  <c r="J51" i="22"/>
  <c r="J52" i="22" s="1"/>
  <c r="J56" i="22" s="1"/>
  <c r="J60" i="22" s="1"/>
  <c r="J67" i="22" s="1"/>
  <c r="H67" i="22"/>
  <c r="H44" i="22"/>
  <c r="H52" i="20"/>
  <c r="H56" i="20" s="1"/>
  <c r="H60" i="20" s="1"/>
  <c r="H44" i="20" s="1"/>
  <c r="I67" i="21"/>
  <c r="I45" i="21" s="1"/>
  <c r="I44" i="21"/>
  <c r="L16" i="21"/>
  <c r="J109" i="10"/>
  <c r="J43" i="20"/>
  <c r="J51" i="19"/>
  <c r="J52" i="19" s="1"/>
  <c r="J56" i="19" s="1"/>
  <c r="J60" i="19" s="1"/>
  <c r="J67" i="19" s="1"/>
  <c r="M72" i="19" s="1"/>
  <c r="G67" i="20"/>
  <c r="G44" i="20"/>
  <c r="H97" i="10"/>
  <c r="H98" i="10" s="1"/>
  <c r="J15" i="20"/>
  <c r="J16" i="20" s="1"/>
  <c r="G16" i="13"/>
  <c r="G44" i="19"/>
  <c r="G67" i="19"/>
  <c r="H43" i="19"/>
  <c r="H52" i="19"/>
  <c r="H56" i="19" s="1"/>
  <c r="H60" i="19" s="1"/>
  <c r="I52" i="19"/>
  <c r="I56" i="19" s="1"/>
  <c r="I60" i="19" s="1"/>
  <c r="I43" i="19"/>
  <c r="H86" i="10"/>
  <c r="H87" i="10" s="1"/>
  <c r="J15" i="19"/>
  <c r="J16" i="19" s="1"/>
  <c r="G44" i="18"/>
  <c r="J44" i="18" s="1"/>
  <c r="K44" i="18" s="1"/>
  <c r="G67" i="18"/>
  <c r="G73" i="18"/>
  <c r="I73" i="18" s="1"/>
  <c r="J73" i="18" s="1"/>
  <c r="H68" i="18"/>
  <c r="J68" i="18" s="1"/>
  <c r="G72" i="18"/>
  <c r="M72" i="18"/>
  <c r="K45" i="18"/>
  <c r="I69" i="18"/>
  <c r="J69" i="18" s="1"/>
  <c r="O72" i="18"/>
  <c r="L16" i="18"/>
  <c r="J76" i="10"/>
  <c r="I52" i="18"/>
  <c r="I56" i="18" s="1"/>
  <c r="I60" i="18" s="1"/>
  <c r="I43" i="18"/>
  <c r="H43" i="18"/>
  <c r="H52" i="18"/>
  <c r="H56" i="18" s="1"/>
  <c r="H60" i="18" s="1"/>
  <c r="K43" i="18"/>
  <c r="J51" i="16"/>
  <c r="J52" i="16" s="1"/>
  <c r="J56" i="16" s="1"/>
  <c r="J60" i="16" s="1"/>
  <c r="J67" i="16" s="1"/>
  <c r="G73" i="16" s="1"/>
  <c r="I73" i="16" s="1"/>
  <c r="J73" i="16" s="1"/>
  <c r="H43" i="16"/>
  <c r="L16" i="16"/>
  <c r="J51" i="15"/>
  <c r="J52" i="15" s="1"/>
  <c r="J56" i="15" s="1"/>
  <c r="J60" i="15" s="1"/>
  <c r="J67" i="15" s="1"/>
  <c r="G72" i="15" s="1"/>
  <c r="H53" i="10"/>
  <c r="H54" i="10" s="1"/>
  <c r="H43" i="15"/>
  <c r="H52" i="15"/>
  <c r="H56" i="15" s="1"/>
  <c r="H60" i="15" s="1"/>
  <c r="H67" i="15" s="1"/>
  <c r="H67" i="16"/>
  <c r="H44" i="16"/>
  <c r="I43" i="15"/>
  <c r="G67" i="16"/>
  <c r="G44" i="16"/>
  <c r="I52" i="16"/>
  <c r="I56" i="16" s="1"/>
  <c r="I60" i="16" s="1"/>
  <c r="I43" i="16"/>
  <c r="L16" i="15"/>
  <c r="I44" i="15"/>
  <c r="I67" i="15"/>
  <c r="G44" i="15"/>
  <c r="G67" i="15"/>
  <c r="H31" i="10"/>
  <c r="H32" i="10" s="1"/>
  <c r="J15" i="14"/>
  <c r="J16" i="14" s="1"/>
  <c r="J32" i="10" s="1"/>
  <c r="H43" i="14"/>
  <c r="H52" i="14"/>
  <c r="H56" i="14" s="1"/>
  <c r="H60" i="14" s="1"/>
  <c r="J15" i="13"/>
  <c r="J16" i="13" s="1"/>
  <c r="L16" i="13" s="1"/>
  <c r="G52" i="14"/>
  <c r="G56" i="14" s="1"/>
  <c r="G60" i="14" s="1"/>
  <c r="J51" i="14"/>
  <c r="J52" i="14" s="1"/>
  <c r="J56" i="14" s="1"/>
  <c r="J60" i="14" s="1"/>
  <c r="J67" i="14" s="1"/>
  <c r="G43" i="14"/>
  <c r="I52" i="14"/>
  <c r="I56" i="14" s="1"/>
  <c r="I60" i="14" s="1"/>
  <c r="I43" i="14"/>
  <c r="J51" i="13"/>
  <c r="J52" i="13" s="1"/>
  <c r="J56" i="13" s="1"/>
  <c r="J60" i="13" s="1"/>
  <c r="J67" i="13" s="1"/>
  <c r="G43" i="13"/>
  <c r="G52" i="13"/>
  <c r="G56" i="13" s="1"/>
  <c r="G60" i="13" s="1"/>
  <c r="I52" i="13"/>
  <c r="I56" i="13" s="1"/>
  <c r="I60" i="13" s="1"/>
  <c r="I43" i="13"/>
  <c r="H43" i="13"/>
  <c r="H52" i="13"/>
  <c r="H56" i="13" s="1"/>
  <c r="H60" i="13" s="1"/>
  <c r="K8" i="9"/>
  <c r="G44" i="25" l="1"/>
  <c r="G73" i="20"/>
  <c r="I73" i="20" s="1"/>
  <c r="J73" i="20" s="1"/>
  <c r="M72" i="20"/>
  <c r="G72" i="20"/>
  <c r="H68" i="20"/>
  <c r="J68" i="20" s="1"/>
  <c r="I67" i="25"/>
  <c r="I44" i="25"/>
  <c r="J44" i="25" s="1"/>
  <c r="K44" i="25" s="1"/>
  <c r="H44" i="23"/>
  <c r="G45" i="25"/>
  <c r="G72" i="25"/>
  <c r="H68" i="25"/>
  <c r="J68" i="25" s="1"/>
  <c r="G73" i="25"/>
  <c r="I73" i="25" s="1"/>
  <c r="J73" i="25" s="1"/>
  <c r="O72" i="25"/>
  <c r="M72" i="25"/>
  <c r="J43" i="24"/>
  <c r="K43" i="24" s="1"/>
  <c r="H45" i="25"/>
  <c r="K43" i="20"/>
  <c r="I44" i="20"/>
  <c r="J120" i="10"/>
  <c r="H45" i="24"/>
  <c r="G72" i="24"/>
  <c r="H68" i="24"/>
  <c r="J68" i="24" s="1"/>
  <c r="G73" i="24"/>
  <c r="I73" i="24" s="1"/>
  <c r="J73" i="24" s="1"/>
  <c r="O72" i="24"/>
  <c r="M72" i="24"/>
  <c r="G44" i="24"/>
  <c r="J44" i="24" s="1"/>
  <c r="K44" i="24" s="1"/>
  <c r="G67" i="24"/>
  <c r="I45" i="24"/>
  <c r="H44" i="21"/>
  <c r="G44" i="21"/>
  <c r="J44" i="21" s="1"/>
  <c r="K44" i="21" s="1"/>
  <c r="K43" i="22"/>
  <c r="I69" i="21"/>
  <c r="J69" i="21" s="1"/>
  <c r="O72" i="21"/>
  <c r="J73" i="23"/>
  <c r="I73" i="23"/>
  <c r="K45" i="21"/>
  <c r="G45" i="23"/>
  <c r="J45" i="23" s="1"/>
  <c r="K46" i="23" s="1"/>
  <c r="G75" i="23"/>
  <c r="G80" i="23" s="1"/>
  <c r="K43" i="21"/>
  <c r="I45" i="23"/>
  <c r="I75" i="23"/>
  <c r="I80" i="23" s="1"/>
  <c r="M72" i="21"/>
  <c r="H45" i="23"/>
  <c r="H75" i="23"/>
  <c r="H80" i="23" s="1"/>
  <c r="G73" i="21"/>
  <c r="I73" i="21" s="1"/>
  <c r="H68" i="21"/>
  <c r="J68" i="21" s="1"/>
  <c r="H67" i="20"/>
  <c r="H45" i="20" s="1"/>
  <c r="G73" i="22"/>
  <c r="I73" i="22" s="1"/>
  <c r="J73" i="22" s="1"/>
  <c r="O72" i="22"/>
  <c r="M72" i="22"/>
  <c r="G72" i="22"/>
  <c r="H68" i="22"/>
  <c r="J68" i="22" s="1"/>
  <c r="G45" i="22"/>
  <c r="I44" i="22"/>
  <c r="J44" i="22" s="1"/>
  <c r="K44" i="22" s="1"/>
  <c r="I67" i="22"/>
  <c r="I45" i="22" s="1"/>
  <c r="H45" i="22"/>
  <c r="O72" i="19"/>
  <c r="H45" i="21"/>
  <c r="H75" i="21"/>
  <c r="H80" i="21" s="1"/>
  <c r="J72" i="21"/>
  <c r="J75" i="21" s="1"/>
  <c r="J80" i="21" s="1"/>
  <c r="G45" i="21"/>
  <c r="G75" i="21"/>
  <c r="G80" i="21" s="1"/>
  <c r="G73" i="19"/>
  <c r="I73" i="19" s="1"/>
  <c r="J73" i="19" s="1"/>
  <c r="H68" i="19"/>
  <c r="J68" i="19" s="1"/>
  <c r="G72" i="19"/>
  <c r="I45" i="20"/>
  <c r="L16" i="20"/>
  <c r="J98" i="10"/>
  <c r="J44" i="20"/>
  <c r="K44" i="20" s="1"/>
  <c r="G45" i="20"/>
  <c r="G75" i="20"/>
  <c r="G80" i="20" s="1"/>
  <c r="J43" i="19"/>
  <c r="K43" i="19" s="1"/>
  <c r="J43" i="16"/>
  <c r="K43" i="16" s="1"/>
  <c r="M72" i="16"/>
  <c r="H68" i="16"/>
  <c r="J68" i="16" s="1"/>
  <c r="J43" i="15"/>
  <c r="K43" i="15" s="1"/>
  <c r="L16" i="19"/>
  <c r="J87" i="10"/>
  <c r="H44" i="15"/>
  <c r="J44" i="15" s="1"/>
  <c r="K44" i="15" s="1"/>
  <c r="I44" i="19"/>
  <c r="I67" i="19"/>
  <c r="H67" i="19"/>
  <c r="H44" i="19"/>
  <c r="G45" i="19"/>
  <c r="O72" i="16"/>
  <c r="H44" i="18"/>
  <c r="H67" i="18"/>
  <c r="H68" i="15"/>
  <c r="J68" i="15" s="1"/>
  <c r="J72" i="18"/>
  <c r="J75" i="18" s="1"/>
  <c r="J80" i="18" s="1"/>
  <c r="I44" i="18"/>
  <c r="I67" i="18"/>
  <c r="I45" i="18" s="1"/>
  <c r="G75" i="18"/>
  <c r="G80" i="18" s="1"/>
  <c r="G45" i="18"/>
  <c r="J45" i="18" s="1"/>
  <c r="K46" i="18" s="1"/>
  <c r="G72" i="16"/>
  <c r="M72" i="15"/>
  <c r="O72" i="15"/>
  <c r="G73" i="15"/>
  <c r="I73" i="15" s="1"/>
  <c r="J73" i="15" s="1"/>
  <c r="I44" i="16"/>
  <c r="J44" i="16" s="1"/>
  <c r="K44" i="16" s="1"/>
  <c r="I67" i="16"/>
  <c r="G45" i="16"/>
  <c r="H45" i="16"/>
  <c r="G45" i="15"/>
  <c r="H45" i="15"/>
  <c r="I45" i="15"/>
  <c r="L16" i="14"/>
  <c r="J21" i="10"/>
  <c r="J43" i="14"/>
  <c r="K43" i="14" s="1"/>
  <c r="H68" i="14"/>
  <c r="J68" i="14" s="1"/>
  <c r="G73" i="14"/>
  <c r="I73" i="14" s="1"/>
  <c r="J73" i="14" s="1"/>
  <c r="O72" i="14"/>
  <c r="M72" i="14"/>
  <c r="G72" i="14"/>
  <c r="I67" i="14"/>
  <c r="I44" i="14"/>
  <c r="G44" i="14"/>
  <c r="G67" i="14"/>
  <c r="H44" i="14"/>
  <c r="H67" i="14"/>
  <c r="O72" i="13"/>
  <c r="M72" i="13"/>
  <c r="G72" i="13"/>
  <c r="H68" i="13"/>
  <c r="J68" i="13" s="1"/>
  <c r="G73" i="13"/>
  <c r="H44" i="13"/>
  <c r="H67" i="13"/>
  <c r="I67" i="13"/>
  <c r="I45" i="13" s="1"/>
  <c r="I44" i="13"/>
  <c r="G67" i="13"/>
  <c r="G44" i="13"/>
  <c r="J43" i="13"/>
  <c r="K43" i="13" s="1"/>
  <c r="I35" i="9"/>
  <c r="G63" i="9"/>
  <c r="I63" i="9" s="1"/>
  <c r="G75" i="19" l="1"/>
  <c r="G80" i="19" s="1"/>
  <c r="H75" i="25"/>
  <c r="H80" i="25" s="1"/>
  <c r="G75" i="25"/>
  <c r="G80" i="25" s="1"/>
  <c r="I45" i="25"/>
  <c r="J45" i="25" s="1"/>
  <c r="G45" i="24"/>
  <c r="J45" i="24" s="1"/>
  <c r="G75" i="24"/>
  <c r="G80" i="24" s="1"/>
  <c r="H75" i="24"/>
  <c r="H80" i="24" s="1"/>
  <c r="J73" i="21"/>
  <c r="H75" i="22"/>
  <c r="H80" i="22" s="1"/>
  <c r="H75" i="20"/>
  <c r="H80" i="20" s="1"/>
  <c r="J45" i="22"/>
  <c r="G75" i="22"/>
  <c r="G80" i="22" s="1"/>
  <c r="J45" i="21"/>
  <c r="K46" i="21" s="1"/>
  <c r="G75" i="16"/>
  <c r="G80" i="16" s="1"/>
  <c r="J44" i="19"/>
  <c r="K44" i="19" s="1"/>
  <c r="H75" i="16"/>
  <c r="H80" i="16" s="1"/>
  <c r="J45" i="20"/>
  <c r="H45" i="19"/>
  <c r="H75" i="19"/>
  <c r="H80" i="19" s="1"/>
  <c r="I45" i="19"/>
  <c r="H75" i="15"/>
  <c r="H80" i="15" s="1"/>
  <c r="I75" i="18"/>
  <c r="I80" i="18" s="1"/>
  <c r="G75" i="15"/>
  <c r="G80" i="15" s="1"/>
  <c r="H45" i="18"/>
  <c r="H75" i="18"/>
  <c r="H80" i="18" s="1"/>
  <c r="I45" i="16"/>
  <c r="J45" i="16" s="1"/>
  <c r="J45" i="15"/>
  <c r="J44" i="13"/>
  <c r="K44" i="13" s="1"/>
  <c r="H45" i="14"/>
  <c r="H75" i="14"/>
  <c r="H80" i="14" s="1"/>
  <c r="G75" i="14"/>
  <c r="G80" i="14" s="1"/>
  <c r="G45" i="14"/>
  <c r="J44" i="14"/>
  <c r="K44" i="14" s="1"/>
  <c r="I45" i="14"/>
  <c r="I73" i="13"/>
  <c r="H45" i="13"/>
  <c r="H75" i="13"/>
  <c r="H80" i="13" s="1"/>
  <c r="G75" i="13"/>
  <c r="G80" i="13" s="1"/>
  <c r="G45" i="13"/>
  <c r="K50" i="9"/>
  <c r="K46" i="25" l="1"/>
  <c r="K45" i="25"/>
  <c r="K46" i="24"/>
  <c r="K45" i="24"/>
  <c r="K46" i="22"/>
  <c r="K45" i="22"/>
  <c r="J45" i="19"/>
  <c r="K46" i="19" s="1"/>
  <c r="K46" i="20"/>
  <c r="K45" i="20"/>
  <c r="K46" i="16"/>
  <c r="K45" i="16"/>
  <c r="K46" i="15"/>
  <c r="K45" i="15"/>
  <c r="J45" i="14"/>
  <c r="K45" i="14" s="1"/>
  <c r="J45" i="13"/>
  <c r="K46" i="13" s="1"/>
  <c r="J73" i="13"/>
  <c r="G8" i="9"/>
  <c r="H8" i="9"/>
  <c r="M20" i="9"/>
  <c r="K45" i="19" l="1"/>
  <c r="K46" i="14"/>
  <c r="K45" i="13"/>
  <c r="I71" i="9"/>
  <c r="F38" i="9" l="1"/>
  <c r="N64" i="9" l="1"/>
  <c r="I40" i="9" l="1"/>
  <c r="G38" i="9"/>
  <c r="AA38" i="9" s="1"/>
  <c r="M40" i="9"/>
  <c r="L40" i="9"/>
  <c r="H40" i="9"/>
  <c r="G40" i="9"/>
  <c r="G39" i="9"/>
  <c r="AA39" i="9" l="1"/>
  <c r="AA45" i="9" s="1"/>
  <c r="AA44" i="9"/>
  <c r="N63" i="9"/>
  <c r="N62" i="9"/>
  <c r="N55" i="9"/>
  <c r="N59" i="9"/>
  <c r="M8" i="9" l="1"/>
  <c r="L8" i="9"/>
  <c r="D12" i="7" l="1"/>
  <c r="I72" i="17" l="1"/>
  <c r="I72" i="12"/>
  <c r="J72" i="12" s="1"/>
  <c r="J75" i="12" s="1"/>
  <c r="J80" i="12" s="1"/>
  <c r="I72" i="15"/>
  <c r="J72" i="15" s="1"/>
  <c r="I72" i="23"/>
  <c r="J72" i="23" s="1"/>
  <c r="J75" i="23" s="1"/>
  <c r="J80" i="23" s="1"/>
  <c r="I72" i="21"/>
  <c r="I75" i="21" s="1"/>
  <c r="I80" i="21" s="1"/>
  <c r="I72" i="18"/>
  <c r="I72" i="16"/>
  <c r="J72" i="16" s="1"/>
  <c r="I72" i="24"/>
  <c r="J72" i="24" s="1"/>
  <c r="I72" i="25"/>
  <c r="J72" i="25" s="1"/>
  <c r="I72" i="19"/>
  <c r="J72" i="19" s="1"/>
  <c r="I72" i="20"/>
  <c r="J72" i="20" s="1"/>
  <c r="I72" i="13"/>
  <c r="J72" i="13" s="1"/>
  <c r="I72" i="14"/>
  <c r="J72" i="14" s="1"/>
  <c r="I72" i="22"/>
  <c r="J72" i="22" s="1"/>
  <c r="M21" i="9"/>
  <c r="M22" i="9"/>
  <c r="M23" i="9"/>
  <c r="M24" i="9"/>
  <c r="M25" i="9"/>
  <c r="M26" i="9"/>
  <c r="M27" i="9"/>
  <c r="M28" i="9"/>
  <c r="M29" i="9"/>
  <c r="M30" i="9"/>
  <c r="M32" i="9"/>
  <c r="M33" i="9"/>
  <c r="M34" i="9"/>
  <c r="I21" i="9"/>
  <c r="I22" i="9"/>
  <c r="I23" i="9"/>
  <c r="I24" i="9"/>
  <c r="I25" i="9"/>
  <c r="I26" i="9"/>
  <c r="I27" i="9"/>
  <c r="I28" i="9"/>
  <c r="I29" i="9"/>
  <c r="I30" i="9"/>
  <c r="I32" i="9"/>
  <c r="I33" i="9"/>
  <c r="I34" i="9"/>
  <c r="I20" i="9"/>
  <c r="I39" i="9" l="1"/>
  <c r="AB39" i="9" s="1"/>
  <c r="AC39" i="9" s="1"/>
  <c r="I38" i="9"/>
  <c r="J21" i="9"/>
  <c r="J23" i="9"/>
  <c r="J24" i="9"/>
  <c r="J25" i="9"/>
  <c r="J26" i="9"/>
  <c r="J27" i="9"/>
  <c r="J28" i="9"/>
  <c r="J29" i="9"/>
  <c r="J30" i="9"/>
  <c r="C15" i="9" l="1"/>
  <c r="J8" i="9" l="1"/>
  <c r="I8" i="9"/>
  <c r="D13" i="7" l="1"/>
  <c r="AB11" i="9" s="1"/>
  <c r="AB45" i="9" s="1"/>
  <c r="AC45" i="9" s="1"/>
  <c r="I74" i="9"/>
  <c r="H21" i="9"/>
  <c r="H22" i="9"/>
  <c r="H23" i="9"/>
  <c r="H24" i="9"/>
  <c r="H25" i="9"/>
  <c r="H26" i="9"/>
  <c r="H27" i="9"/>
  <c r="H28" i="9"/>
  <c r="H29" i="9"/>
  <c r="H30" i="9"/>
  <c r="H32" i="9"/>
  <c r="H33" i="9"/>
  <c r="J33" i="9" s="1"/>
  <c r="H34" i="9"/>
  <c r="J34" i="9" s="1"/>
  <c r="H35" i="9"/>
  <c r="J35" i="9" s="1"/>
  <c r="L21" i="9"/>
  <c r="L22" i="9"/>
  <c r="L23" i="9"/>
  <c r="L24" i="9"/>
  <c r="L25" i="9"/>
  <c r="L26" i="9"/>
  <c r="L27" i="9"/>
  <c r="L28" i="9"/>
  <c r="L29" i="9"/>
  <c r="L30" i="9"/>
  <c r="L32" i="9"/>
  <c r="L33" i="9"/>
  <c r="L34" i="9"/>
  <c r="L35" i="9"/>
  <c r="L20" i="9"/>
  <c r="H20" i="9"/>
  <c r="L39" i="9" l="1"/>
  <c r="H39" i="9"/>
  <c r="J22" i="9"/>
  <c r="J20" i="9"/>
  <c r="H38" i="9"/>
  <c r="L38" i="9"/>
  <c r="J32" i="9"/>
  <c r="E12" i="7"/>
  <c r="M35" i="9" s="1"/>
  <c r="M13" i="9"/>
  <c r="L13" i="9"/>
  <c r="I13" i="9"/>
  <c r="H13" i="9"/>
  <c r="G13" i="9"/>
  <c r="F13" i="9"/>
  <c r="N12" i="9"/>
  <c r="J12" i="9"/>
  <c r="J11" i="9"/>
  <c r="N10" i="9"/>
  <c r="J10" i="9"/>
  <c r="L41" i="9" l="1"/>
  <c r="M38" i="9"/>
  <c r="AB38" i="9" s="1"/>
  <c r="M39" i="9"/>
  <c r="J38" i="9"/>
  <c r="H41" i="9"/>
  <c r="N13" i="9"/>
  <c r="J13" i="9"/>
  <c r="H15" i="9" s="1"/>
  <c r="E26" i="7"/>
  <c r="E25" i="7"/>
  <c r="E24" i="7"/>
  <c r="E22" i="7"/>
  <c r="E21" i="7"/>
  <c r="E20" i="7"/>
  <c r="G15" i="9" l="1"/>
  <c r="I15" i="9" s="1"/>
  <c r="M41" i="9"/>
  <c r="AB44" i="9"/>
  <c r="AC44" i="9" s="1"/>
  <c r="AC38" i="9"/>
  <c r="E16" i="7"/>
  <c r="J15" i="9" l="1"/>
  <c r="F39" i="9" l="1"/>
  <c r="D4" i="7" l="1"/>
  <c r="D19" i="7" l="1"/>
  <c r="G4" i="7"/>
  <c r="F16" i="9"/>
  <c r="N23" i="9"/>
  <c r="N24" i="9"/>
  <c r="N25" i="9"/>
  <c r="N26" i="9"/>
  <c r="N27" i="9"/>
  <c r="N28" i="9"/>
  <c r="N30" i="9"/>
  <c r="N32" i="9"/>
  <c r="N33" i="9"/>
  <c r="N35" i="9"/>
  <c r="C38" i="9"/>
  <c r="C39" i="9"/>
  <c r="C40" i="9"/>
  <c r="F40" i="9"/>
  <c r="G50" i="9"/>
  <c r="H50" i="9"/>
  <c r="I50" i="9"/>
  <c r="J50" i="9"/>
  <c r="L50" i="9"/>
  <c r="M50" i="9"/>
  <c r="C51" i="9"/>
  <c r="F51" i="9"/>
  <c r="J54" i="9"/>
  <c r="J55" i="9"/>
  <c r="C56" i="9"/>
  <c r="J58" i="9"/>
  <c r="N58" i="9"/>
  <c r="J59" i="9"/>
  <c r="C60" i="9"/>
  <c r="J62" i="9"/>
  <c r="J64" i="9"/>
  <c r="G66" i="9"/>
  <c r="H66" i="9"/>
  <c r="I66" i="9"/>
  <c r="J66" i="9"/>
  <c r="C67" i="9"/>
  <c r="J70" i="9"/>
  <c r="J71" i="9"/>
  <c r="C75" i="9"/>
  <c r="C80" i="9"/>
  <c r="G16" i="9" l="1"/>
  <c r="H16" i="9"/>
  <c r="F52" i="9"/>
  <c r="F56" i="9" s="1"/>
  <c r="F60" i="9" s="1"/>
  <c r="F41" i="9"/>
  <c r="N39" i="9"/>
  <c r="I16" i="9"/>
  <c r="J40" i="9"/>
  <c r="J39" i="9"/>
  <c r="N29" i="9"/>
  <c r="N34" i="9"/>
  <c r="N40" i="9"/>
  <c r="I41" i="9"/>
  <c r="G41" i="9"/>
  <c r="E14" i="7"/>
  <c r="E15" i="7"/>
  <c r="E11" i="7"/>
  <c r="E10" i="7"/>
  <c r="E9" i="7"/>
  <c r="E8" i="7"/>
  <c r="E7" i="7"/>
  <c r="E6" i="7"/>
  <c r="E5" i="7"/>
  <c r="C4" i="7"/>
  <c r="CH4" i="5" l="1"/>
  <c r="CH12" i="5"/>
  <c r="CH20" i="5"/>
  <c r="CH52" i="5"/>
  <c r="CH60" i="5"/>
  <c r="CH68" i="5"/>
  <c r="CH76" i="5"/>
  <c r="CH84" i="5"/>
  <c r="CH92" i="5"/>
  <c r="CH164" i="5"/>
  <c r="CH180" i="5"/>
  <c r="CH188" i="5"/>
  <c r="CH212" i="5"/>
  <c r="CH228" i="5"/>
  <c r="CH236" i="5"/>
  <c r="CH244" i="5"/>
  <c r="CH260" i="5"/>
  <c r="CH284" i="5"/>
  <c r="CH292" i="5"/>
  <c r="CH308" i="5"/>
  <c r="CH316" i="5"/>
  <c r="CH348" i="5"/>
  <c r="CH388" i="5"/>
  <c r="CH452" i="5"/>
  <c r="CH476" i="5"/>
  <c r="CH500" i="5"/>
  <c r="CH540" i="5"/>
  <c r="CH548" i="5"/>
  <c r="CH572" i="5"/>
  <c r="CH580" i="5"/>
  <c r="CH604" i="5"/>
  <c r="CH612" i="5"/>
  <c r="CH628" i="5"/>
  <c r="CH796" i="5"/>
  <c r="CH804" i="5"/>
  <c r="CH812" i="5"/>
  <c r="CH820" i="5"/>
  <c r="CH828" i="5"/>
  <c r="CH836" i="5"/>
  <c r="CH844" i="5"/>
  <c r="CH852" i="5"/>
  <c r="CH860" i="5"/>
  <c r="CH876" i="5"/>
  <c r="CH884" i="5"/>
  <c r="CH892" i="5"/>
  <c r="CH900" i="5"/>
  <c r="CH924" i="5"/>
  <c r="CH932" i="5"/>
  <c r="CH940" i="5"/>
  <c r="CH956" i="5"/>
  <c r="CH964" i="5"/>
  <c r="CH980" i="5"/>
  <c r="CH996" i="5"/>
  <c r="CH1004" i="5"/>
  <c r="CH1012" i="5"/>
  <c r="CH1028" i="5"/>
  <c r="CH1044" i="5"/>
  <c r="CH1060" i="5"/>
  <c r="CH1068" i="5"/>
  <c r="CH1084" i="5"/>
  <c r="CH1100" i="5"/>
  <c r="CH1108" i="5"/>
  <c r="CH1116" i="5"/>
  <c r="CH1124" i="5"/>
  <c r="CH1132" i="5"/>
  <c r="CH1140" i="5"/>
  <c r="CH1148" i="5"/>
  <c r="CH1156" i="5"/>
  <c r="CH1164" i="5"/>
  <c r="CH1172" i="5"/>
  <c r="CH1188" i="5"/>
  <c r="CH1196" i="5"/>
  <c r="CH1204" i="5"/>
  <c r="CH1212" i="5"/>
  <c r="CH1228" i="5"/>
  <c r="CH1236" i="5"/>
  <c r="CH1244" i="5"/>
  <c r="CH1252" i="5"/>
  <c r="CH1260" i="5"/>
  <c r="CH5" i="5"/>
  <c r="CH13" i="5"/>
  <c r="CJ13" i="5" s="1"/>
  <c r="CH21" i="5"/>
  <c r="CJ21" i="5" s="1"/>
  <c r="CH29" i="5"/>
  <c r="CJ29" i="5" s="1"/>
  <c r="CH37" i="5"/>
  <c r="CH45" i="5"/>
  <c r="CH53" i="5"/>
  <c r="CH61" i="5"/>
  <c r="CH69" i="5"/>
  <c r="CH77" i="5"/>
  <c r="CH93" i="5"/>
  <c r="CH101" i="5"/>
  <c r="CH165" i="5"/>
  <c r="CH181" i="5"/>
  <c r="CH213" i="5"/>
  <c r="CH277" i="5"/>
  <c r="CH301" i="5"/>
  <c r="CH317" i="5"/>
  <c r="CJ317" i="5" s="1"/>
  <c r="CH365" i="5"/>
  <c r="CH381" i="5"/>
  <c r="CH397" i="5"/>
  <c r="CH405" i="5"/>
  <c r="CH437" i="5"/>
  <c r="CH453" i="5"/>
  <c r="CH461" i="5"/>
  <c r="CH525" i="5"/>
  <c r="CH533" i="5"/>
  <c r="CH565" i="5"/>
  <c r="CH581" i="5"/>
  <c r="CH597" i="5"/>
  <c r="CH765" i="5"/>
  <c r="CH797" i="5"/>
  <c r="CH813" i="5"/>
  <c r="CH821" i="5"/>
  <c r="CH829" i="5"/>
  <c r="CH837" i="5"/>
  <c r="CH845" i="5"/>
  <c r="CH861" i="5"/>
  <c r="CH877" i="5"/>
  <c r="CH885" i="5"/>
  <c r="CH893" i="5"/>
  <c r="CH901" i="5"/>
  <c r="CH917" i="5"/>
  <c r="CH925" i="5"/>
  <c r="CH933" i="5"/>
  <c r="CH941" i="5"/>
  <c r="CH949" i="5"/>
  <c r="CH957" i="5"/>
  <c r="CH965" i="5"/>
  <c r="CH973" i="5"/>
  <c r="CH981" i="5"/>
  <c r="CH989" i="5"/>
  <c r="CH997" i="5"/>
  <c r="CH1005" i="5"/>
  <c r="CH1029" i="5"/>
  <c r="CH1037" i="5"/>
  <c r="CH1045" i="5"/>
  <c r="CH1053" i="5"/>
  <c r="CH1061" i="5"/>
  <c r="CH1085" i="5"/>
  <c r="CH1093" i="5"/>
  <c r="CH1101" i="5"/>
  <c r="CH1109" i="5"/>
  <c r="CH1117" i="5"/>
  <c r="CH1125" i="5"/>
  <c r="CH1141" i="5"/>
  <c r="CH1157" i="5"/>
  <c r="CH1165" i="5"/>
  <c r="CH1173" i="5"/>
  <c r="CH1181" i="5"/>
  <c r="CH1197" i="5"/>
  <c r="CH1205" i="5"/>
  <c r="CH1221" i="5"/>
  <c r="CH1229" i="5"/>
  <c r="CH1245" i="5"/>
  <c r="CH1261" i="5"/>
  <c r="CH6" i="5"/>
  <c r="CH14" i="5"/>
  <c r="CH22" i="5"/>
  <c r="CH30" i="5"/>
  <c r="CH38" i="5"/>
  <c r="CH46" i="5"/>
  <c r="CH54" i="5"/>
  <c r="CH62" i="5"/>
  <c r="CH78" i="5"/>
  <c r="CH86" i="5"/>
  <c r="CH94" i="5"/>
  <c r="CH102" i="5"/>
  <c r="CH1347" i="5" s="1"/>
  <c r="CH1348" i="5" s="1"/>
  <c r="CH182" i="5"/>
  <c r="CH198" i="5"/>
  <c r="CH206" i="5"/>
  <c r="CJ206" i="5" s="1"/>
  <c r="CH222" i="5"/>
  <c r="CH238" i="5"/>
  <c r="CH246" i="5"/>
  <c r="CH254" i="5"/>
  <c r="CH270" i="5"/>
  <c r="CH294" i="5"/>
  <c r="CH302" i="5"/>
  <c r="CH318" i="5"/>
  <c r="CH326" i="5"/>
  <c r="CH334" i="5"/>
  <c r="CH358" i="5"/>
  <c r="CH390" i="5"/>
  <c r="CH398" i="5"/>
  <c r="CH422" i="5"/>
  <c r="CH430" i="5"/>
  <c r="CH438" i="5"/>
  <c r="CH454" i="5"/>
  <c r="CH462" i="5"/>
  <c r="CH470" i="5"/>
  <c r="CH486" i="5"/>
  <c r="CH502" i="5"/>
  <c r="CH542" i="5"/>
  <c r="CH558" i="5"/>
  <c r="CH590" i="5"/>
  <c r="CH622" i="5"/>
  <c r="CH766" i="5"/>
  <c r="CH798" i="5"/>
  <c r="CH806" i="5"/>
  <c r="CH814" i="5"/>
  <c r="CH830" i="5"/>
  <c r="CH838" i="5"/>
  <c r="CH862" i="5"/>
  <c r="CH870" i="5"/>
  <c r="CH886" i="5"/>
  <c r="CH894" i="5"/>
  <c r="CH910" i="5"/>
  <c r="CH918" i="5"/>
  <c r="CH950" i="5"/>
  <c r="CH958" i="5"/>
  <c r="CH966" i="5"/>
  <c r="CH974" i="5"/>
  <c r="CH990" i="5"/>
  <c r="CH998" i="5"/>
  <c r="CH1006" i="5"/>
  <c r="CH1014" i="5"/>
  <c r="CH1022" i="5"/>
  <c r="CH1030" i="5"/>
  <c r="CH1038" i="5"/>
  <c r="CH1046" i="5"/>
  <c r="CH1054" i="5"/>
  <c r="CH1062" i="5"/>
  <c r="CH1070" i="5"/>
  <c r="CH1078" i="5"/>
  <c r="CH1086" i="5"/>
  <c r="CH1094" i="5"/>
  <c r="CH1110" i="5"/>
  <c r="CH1126" i="5"/>
  <c r="CH1158" i="5"/>
  <c r="CH1182" i="5"/>
  <c r="CH1214" i="5"/>
  <c r="CH1222" i="5"/>
  <c r="CH1238" i="5"/>
  <c r="CH1254" i="5"/>
  <c r="CH1278" i="5"/>
  <c r="CH7" i="5"/>
  <c r="CH23" i="5"/>
  <c r="CH31" i="5"/>
  <c r="CH39" i="5"/>
  <c r="CH47" i="5"/>
  <c r="CH55" i="5"/>
  <c r="CH63" i="5"/>
  <c r="CH71" i="5"/>
  <c r="CH79" i="5"/>
  <c r="CH87" i="5"/>
  <c r="CH95" i="5"/>
  <c r="CH103" i="5"/>
  <c r="CH183" i="5"/>
  <c r="CH207" i="5"/>
  <c r="CH215" i="5"/>
  <c r="CH247" i="5"/>
  <c r="CJ247" i="5" s="1"/>
  <c r="CH287" i="5"/>
  <c r="CH295" i="5"/>
  <c r="CH311" i="5"/>
  <c r="CH319" i="5"/>
  <c r="CH327" i="5"/>
  <c r="CH359" i="5"/>
  <c r="CH375" i="5"/>
  <c r="CH423" i="5"/>
  <c r="CH447" i="5"/>
  <c r="CH471" i="5"/>
  <c r="CH487" i="5"/>
  <c r="CH503" i="5"/>
  <c r="CH519" i="5"/>
  <c r="CH527" i="5"/>
  <c r="CH607" i="5"/>
  <c r="CH615" i="5"/>
  <c r="CH623" i="5"/>
  <c r="CH767" i="5"/>
  <c r="CH799" i="5"/>
  <c r="CH807" i="5"/>
  <c r="CH815" i="5"/>
  <c r="CH823" i="5"/>
  <c r="CH831" i="5"/>
  <c r="CH839" i="5"/>
  <c r="CH847" i="5"/>
  <c r="CH855" i="5"/>
  <c r="CH863" i="5"/>
  <c r="CH871" i="5"/>
  <c r="CH879" i="5"/>
  <c r="CH887" i="5"/>
  <c r="CH895" i="5"/>
  <c r="CH911" i="5"/>
  <c r="CH919" i="5"/>
  <c r="CH927" i="5"/>
  <c r="CH935" i="5"/>
  <c r="CH959" i="5"/>
  <c r="CH967" i="5"/>
  <c r="CH975" i="5"/>
  <c r="CH983" i="5"/>
  <c r="CH991" i="5"/>
  <c r="CH999" i="5"/>
  <c r="CH1007" i="5"/>
  <c r="CH1015" i="5"/>
  <c r="CH1023" i="5"/>
  <c r="CH1031" i="5"/>
  <c r="CH1039" i="5"/>
  <c r="CH1047" i="5"/>
  <c r="CH1055" i="5"/>
  <c r="CH1063" i="5"/>
  <c r="CH1079" i="5"/>
  <c r="CH1095" i="5"/>
  <c r="CH1111" i="5"/>
  <c r="CH1119" i="5"/>
  <c r="CH1127" i="5"/>
  <c r="CH1135" i="5"/>
  <c r="CH1143" i="5"/>
  <c r="CH1151" i="5"/>
  <c r="CH1175" i="5"/>
  <c r="CH1183" i="5"/>
  <c r="CH1191" i="5"/>
  <c r="CH1199" i="5"/>
  <c r="CH1223" i="5"/>
  <c r="CH1231" i="5"/>
  <c r="CH1239" i="5"/>
  <c r="CH1247" i="5"/>
  <c r="CH1255" i="5"/>
  <c r="CH1263" i="5"/>
  <c r="CH8" i="5"/>
  <c r="CH1341" i="5" s="1"/>
  <c r="CH1342" i="5" s="1"/>
  <c r="CH16" i="5"/>
  <c r="CH24" i="5"/>
  <c r="CJ24" i="5" s="1"/>
  <c r="CH32" i="5"/>
  <c r="CJ32" i="5" s="1"/>
  <c r="CH40" i="5"/>
  <c r="CH56" i="5"/>
  <c r="CH64" i="5"/>
  <c r="CH72" i="5"/>
  <c r="CH80" i="5"/>
  <c r="CH88" i="5"/>
  <c r="CH96" i="5"/>
  <c r="CH184" i="5"/>
  <c r="CH232" i="5"/>
  <c r="CH248" i="5"/>
  <c r="CH264" i="5"/>
  <c r="CH280" i="5"/>
  <c r="CH304" i="5"/>
  <c r="CJ304" i="5" s="1"/>
  <c r="CH320" i="5"/>
  <c r="CH328" i="5"/>
  <c r="CH344" i="5"/>
  <c r="CH360" i="5"/>
  <c r="CH376" i="5"/>
  <c r="CH408" i="5"/>
  <c r="CH416" i="5"/>
  <c r="CH440" i="5"/>
  <c r="CH448" i="5"/>
  <c r="CH464" i="5"/>
  <c r="CH480" i="5"/>
  <c r="CH528" i="5"/>
  <c r="CH536" i="5"/>
  <c r="CH552" i="5"/>
  <c r="CH576" i="5"/>
  <c r="CH584" i="5"/>
  <c r="CH600" i="5"/>
  <c r="CH608" i="5"/>
  <c r="CH768" i="5"/>
  <c r="CH800" i="5"/>
  <c r="CH808" i="5"/>
  <c r="CH816" i="5"/>
  <c r="CH824" i="5"/>
  <c r="CH832" i="5"/>
  <c r="CH840" i="5"/>
  <c r="CH848" i="5"/>
  <c r="CH864" i="5"/>
  <c r="CH872" i="5"/>
  <c r="CH880" i="5"/>
  <c r="CH888" i="5"/>
  <c r="CH896" i="5"/>
  <c r="CH904" i="5"/>
  <c r="CH912" i="5"/>
  <c r="CH928" i="5"/>
  <c r="CH936" i="5"/>
  <c r="CH944" i="5"/>
  <c r="CH976" i="5"/>
  <c r="CH992" i="5"/>
  <c r="CH1000" i="5"/>
  <c r="CH1008" i="5"/>
  <c r="CH1016" i="5"/>
  <c r="CH1024" i="5"/>
  <c r="CH1040" i="5"/>
  <c r="CH1072" i="5"/>
  <c r="CH1080" i="5"/>
  <c r="CH1096" i="5"/>
  <c r="CH1104" i="5"/>
  <c r="CH1120" i="5"/>
  <c r="CH1128" i="5"/>
  <c r="CH1136" i="5"/>
  <c r="CH1144" i="5"/>
  <c r="CH1152" i="5"/>
  <c r="CH1160" i="5"/>
  <c r="CH1168" i="5"/>
  <c r="CH1176" i="5"/>
  <c r="CH1192" i="5"/>
  <c r="CH1200" i="5"/>
  <c r="CH1208" i="5"/>
  <c r="CH1240" i="5"/>
  <c r="CH1248" i="5"/>
  <c r="CH1256" i="5"/>
  <c r="CH1264" i="5"/>
  <c r="CH9" i="5"/>
  <c r="CH17" i="5"/>
  <c r="CJ17" i="5" s="1"/>
  <c r="CH25" i="5"/>
  <c r="CH33" i="5"/>
  <c r="CH41" i="5"/>
  <c r="CH49" i="5"/>
  <c r="CH57" i="5"/>
  <c r="CH65" i="5"/>
  <c r="CH73" i="5"/>
  <c r="CH81" i="5"/>
  <c r="CH89" i="5"/>
  <c r="CH97" i="5"/>
  <c r="CH185" i="5"/>
  <c r="CH201" i="5"/>
  <c r="CH209" i="5"/>
  <c r="CH217" i="5"/>
  <c r="CH233" i="5"/>
  <c r="CH241" i="5"/>
  <c r="CH273" i="5"/>
  <c r="CH281" i="5"/>
  <c r="CH297" i="5"/>
  <c r="CH305" i="5"/>
  <c r="CH321" i="5"/>
  <c r="CH329" i="5"/>
  <c r="CJ329" i="5" s="1"/>
  <c r="CH345" i="5"/>
  <c r="CH361" i="5"/>
  <c r="CH385" i="5"/>
  <c r="CH401" i="5"/>
  <c r="CH409" i="5"/>
  <c r="CH449" i="5"/>
  <c r="CH473" i="5"/>
  <c r="CH521" i="5"/>
  <c r="CH537" i="5"/>
  <c r="CH545" i="5"/>
  <c r="CH569" i="5"/>
  <c r="CH577" i="5"/>
  <c r="CH593" i="5"/>
  <c r="CH769" i="5"/>
  <c r="CH801" i="5"/>
  <c r="CH809" i="5"/>
  <c r="CH825" i="5"/>
  <c r="CH833" i="5"/>
  <c r="CH841" i="5"/>
  <c r="CH857" i="5"/>
  <c r="CH865" i="5"/>
  <c r="CH873" i="5"/>
  <c r="CH881" i="5"/>
  <c r="CH889" i="5"/>
  <c r="CH897" i="5"/>
  <c r="CH905" i="5"/>
  <c r="CH913" i="5"/>
  <c r="CH929" i="5"/>
  <c r="CH937" i="5"/>
  <c r="CH945" i="5"/>
  <c r="CH953" i="5"/>
  <c r="CH961" i="5"/>
  <c r="CH969" i="5"/>
  <c r="CH985" i="5"/>
  <c r="CH1009" i="5"/>
  <c r="CH1017" i="5"/>
  <c r="CH1025" i="5"/>
  <c r="CH1033" i="5"/>
  <c r="CH1041" i="5"/>
  <c r="CH1049" i="5"/>
  <c r="CH1057" i="5"/>
  <c r="CH1065" i="5"/>
  <c r="CH1073" i="5"/>
  <c r="CH1089" i="5"/>
  <c r="CH1105" i="5"/>
  <c r="CH1113" i="5"/>
  <c r="CH1121" i="5"/>
  <c r="CH1137" i="5"/>
  <c r="CH1145" i="5"/>
  <c r="CH1153" i="5"/>
  <c r="CH1161" i="5"/>
  <c r="CH1169" i="5"/>
  <c r="CH1177" i="5"/>
  <c r="CH1185" i="5"/>
  <c r="CH1193" i="5"/>
  <c r="CH1201" i="5"/>
  <c r="CH1209" i="5"/>
  <c r="CH1217" i="5"/>
  <c r="CH1241" i="5"/>
  <c r="CH1249" i="5"/>
  <c r="CH1257" i="5"/>
  <c r="CH10" i="5"/>
  <c r="CH34" i="5"/>
  <c r="CH42" i="5"/>
  <c r="CH50" i="5"/>
  <c r="CH58" i="5"/>
  <c r="CH66" i="5"/>
  <c r="CH74" i="5"/>
  <c r="CH82" i="5"/>
  <c r="CH90" i="5"/>
  <c r="CH98" i="5"/>
  <c r="CH178" i="5"/>
  <c r="CJ178" i="5" s="1"/>
  <c r="CH258" i="5"/>
  <c r="CH314" i="5"/>
  <c r="CH330" i="5"/>
  <c r="CH338" i="5"/>
  <c r="CH362" i="5"/>
  <c r="CH386" i="5"/>
  <c r="CH394" i="5"/>
  <c r="CH402" i="5"/>
  <c r="CH426" i="5"/>
  <c r="CH434" i="5"/>
  <c r="CH474" i="5"/>
  <c r="CH490" i="5"/>
  <c r="CH506" i="5"/>
  <c r="CH554" i="5"/>
  <c r="CH562" i="5"/>
  <c r="CH586" i="5"/>
  <c r="CH618" i="5"/>
  <c r="CH626" i="5"/>
  <c r="CH770" i="5"/>
  <c r="CH802" i="5"/>
  <c r="CH826" i="5"/>
  <c r="CH858" i="5"/>
  <c r="CH866" i="5"/>
  <c r="CH890" i="5"/>
  <c r="CH906" i="5"/>
  <c r="CH914" i="5"/>
  <c r="CH922" i="5"/>
  <c r="CH930" i="5"/>
  <c r="CH938" i="5"/>
  <c r="CH946" i="5"/>
  <c r="CH954" i="5"/>
  <c r="CH962" i="5"/>
  <c r="CH970" i="5"/>
  <c r="CH986" i="5"/>
  <c r="CH994" i="5"/>
  <c r="CH1002" i="5"/>
  <c r="CH1010" i="5"/>
  <c r="CH1034" i="5"/>
  <c r="CH1042" i="5"/>
  <c r="CH1050" i="5"/>
  <c r="CH1066" i="5"/>
  <c r="CH1074" i="5"/>
  <c r="CH1082" i="5"/>
  <c r="CH1090" i="5"/>
  <c r="CH1098" i="5"/>
  <c r="CH1106" i="5"/>
  <c r="CH1114" i="5"/>
  <c r="CH1122" i="5"/>
  <c r="CH1130" i="5"/>
  <c r="CH1138" i="5"/>
  <c r="CH1162" i="5"/>
  <c r="CH1170" i="5"/>
  <c r="CH1186" i="5"/>
  <c r="CH1202" i="5"/>
  <c r="CH1210" i="5"/>
  <c r="CH1226" i="5"/>
  <c r="CH1234" i="5"/>
  <c r="CH1266" i="5"/>
  <c r="CH3" i="5"/>
  <c r="CH11" i="5"/>
  <c r="CH19" i="5"/>
  <c r="CH27" i="5"/>
  <c r="CH35" i="5"/>
  <c r="CH43" i="5"/>
  <c r="CH51" i="5"/>
  <c r="CH59" i="5"/>
  <c r="CH67" i="5"/>
  <c r="CH75" i="5"/>
  <c r="CH83" i="5"/>
  <c r="CH91" i="5"/>
  <c r="CH99" i="5"/>
  <c r="CH179" i="5"/>
  <c r="CH187" i="5"/>
  <c r="CH203" i="5"/>
  <c r="CH219" i="5"/>
  <c r="CH227" i="5"/>
  <c r="CH259" i="5"/>
  <c r="CH267" i="5"/>
  <c r="CH291" i="5"/>
  <c r="CJ291" i="5" s="1"/>
  <c r="CH307" i="5"/>
  <c r="CH323" i="5"/>
  <c r="CH331" i="5"/>
  <c r="CH347" i="5"/>
  <c r="CH371" i="5"/>
  <c r="CH379" i="5"/>
  <c r="CH403" i="5"/>
  <c r="CH419" i="5"/>
  <c r="CH427" i="5"/>
  <c r="CH435" i="5"/>
  <c r="CH467" i="5"/>
  <c r="CH499" i="5"/>
  <c r="CH515" i="5"/>
  <c r="CH531" i="5"/>
  <c r="CH539" i="5"/>
  <c r="CH555" i="5"/>
  <c r="CH563" i="5"/>
  <c r="CH795" i="5"/>
  <c r="CH803" i="5"/>
  <c r="CH819" i="5"/>
  <c r="CH835" i="5"/>
  <c r="CH851" i="5"/>
  <c r="CH859" i="5"/>
  <c r="CH867" i="5"/>
  <c r="CH875" i="5"/>
  <c r="CH891" i="5"/>
  <c r="CH907" i="5"/>
  <c r="CH915" i="5"/>
  <c r="CH923" i="5"/>
  <c r="CH931" i="5"/>
  <c r="CH939" i="5"/>
  <c r="CH947" i="5"/>
  <c r="CH955" i="5"/>
  <c r="CH963" i="5"/>
  <c r="CH971" i="5"/>
  <c r="CH979" i="5"/>
  <c r="CH987" i="5"/>
  <c r="CH995" i="5"/>
  <c r="CH1011" i="5"/>
  <c r="CH1019" i="5"/>
  <c r="CH1051" i="5"/>
  <c r="CH1059" i="5"/>
  <c r="CH1067" i="5"/>
  <c r="CH1083" i="5"/>
  <c r="CH1091" i="5"/>
  <c r="CH1099" i="5"/>
  <c r="CH1115" i="5"/>
  <c r="CH1123" i="5"/>
  <c r="CH1131" i="5"/>
  <c r="CH1147" i="5"/>
  <c r="CH1155" i="5"/>
  <c r="CH1163" i="5"/>
  <c r="CH1171" i="5"/>
  <c r="CH1179" i="5"/>
  <c r="CH1187" i="5"/>
  <c r="CH1195" i="5"/>
  <c r="CH1219" i="5"/>
  <c r="CH1227" i="5"/>
  <c r="CH1235" i="5"/>
  <c r="CH1243" i="5"/>
  <c r="CH1251" i="5"/>
  <c r="CH1259" i="5"/>
  <c r="CH1268" i="5"/>
  <c r="CH1276" i="5"/>
  <c r="CJ1276" i="5" s="1"/>
  <c r="CH1285" i="5"/>
  <c r="CH1293" i="5"/>
  <c r="CJ1293" i="5" s="1"/>
  <c r="CH1301" i="5"/>
  <c r="CH1325" i="5"/>
  <c r="CH1277" i="5"/>
  <c r="CH1286" i="5"/>
  <c r="CH1302" i="5"/>
  <c r="CH1310" i="5"/>
  <c r="CJ1310" i="5" s="1"/>
  <c r="CH1318" i="5"/>
  <c r="CH1279" i="5"/>
  <c r="CH1287" i="5"/>
  <c r="CH1295" i="5"/>
  <c r="CH1303" i="5"/>
  <c r="CH1311" i="5"/>
  <c r="CH1319" i="5"/>
  <c r="CH2" i="5"/>
  <c r="CH1271" i="5"/>
  <c r="CH1296" i="5"/>
  <c r="CH1312" i="5"/>
  <c r="CH1272" i="5"/>
  <c r="CH1281" i="5"/>
  <c r="CH1289" i="5"/>
  <c r="CH1297" i="5"/>
  <c r="CH1305" i="5"/>
  <c r="CH1313" i="5"/>
  <c r="CH1273" i="5"/>
  <c r="CH1282" i="5"/>
  <c r="CH1290" i="5"/>
  <c r="CH1298" i="5"/>
  <c r="CH1306" i="5"/>
  <c r="CH1314" i="5"/>
  <c r="CH1322" i="5"/>
  <c r="CH1330" i="5"/>
  <c r="CH1379" i="5" s="1"/>
  <c r="CH1380" i="5" s="1"/>
  <c r="CH1274" i="5"/>
  <c r="CH1291" i="5"/>
  <c r="CH1299" i="5"/>
  <c r="CH1307" i="5"/>
  <c r="CH1315" i="5"/>
  <c r="CH1323" i="5"/>
  <c r="CH1331" i="5"/>
  <c r="CH1267" i="5"/>
  <c r="CH1292" i="5"/>
  <c r="CH1308" i="5"/>
  <c r="CH1324" i="5"/>
  <c r="CG5" i="5"/>
  <c r="CJ5" i="5" s="1"/>
  <c r="CG37" i="5"/>
  <c r="CJ37" i="5" s="1"/>
  <c r="CG45" i="5"/>
  <c r="CJ45" i="5" s="1"/>
  <c r="CG53" i="5"/>
  <c r="CJ53" i="5" s="1"/>
  <c r="CG61" i="5"/>
  <c r="CG69" i="5"/>
  <c r="CG77" i="5"/>
  <c r="CJ77" i="5" s="1"/>
  <c r="CG93" i="5"/>
  <c r="CJ93" i="5" s="1"/>
  <c r="CG101" i="5"/>
  <c r="CJ101" i="5" s="1"/>
  <c r="CG165" i="5"/>
  <c r="CJ165" i="5" s="1"/>
  <c r="CG181" i="5"/>
  <c r="CJ181" i="5" s="1"/>
  <c r="CG213" i="5"/>
  <c r="CJ213" i="5" s="1"/>
  <c r="CG277" i="5"/>
  <c r="CG301" i="5"/>
  <c r="CG365" i="5"/>
  <c r="CJ365" i="5" s="1"/>
  <c r="CG381" i="5"/>
  <c r="CJ381" i="5" s="1"/>
  <c r="CG397" i="5"/>
  <c r="CJ397" i="5" s="1"/>
  <c r="CG405" i="5"/>
  <c r="CJ405" i="5" s="1"/>
  <c r="CG437" i="5"/>
  <c r="CJ437" i="5" s="1"/>
  <c r="CG453" i="5"/>
  <c r="CG461" i="5"/>
  <c r="CG525" i="5"/>
  <c r="CJ525" i="5" s="1"/>
  <c r="CG533" i="5"/>
  <c r="CJ533" i="5" s="1"/>
  <c r="CG565" i="5"/>
  <c r="CJ565" i="5" s="1"/>
  <c r="CG581" i="5"/>
  <c r="CJ581" i="5" s="1"/>
  <c r="CG597" i="5"/>
  <c r="CJ597" i="5" s="1"/>
  <c r="CG765" i="5"/>
  <c r="CG6" i="5"/>
  <c r="CJ6" i="5" s="1"/>
  <c r="CG14" i="5"/>
  <c r="CJ14" i="5" s="1"/>
  <c r="CG22" i="5"/>
  <c r="CJ22" i="5" s="1"/>
  <c r="CG30" i="5"/>
  <c r="CG38" i="5"/>
  <c r="CG46" i="5"/>
  <c r="CJ46" i="5" s="1"/>
  <c r="CG54" i="5"/>
  <c r="CJ54" i="5" s="1"/>
  <c r="CG62" i="5"/>
  <c r="CJ62" i="5" s="1"/>
  <c r="CG78" i="5"/>
  <c r="CJ78" i="5" s="1"/>
  <c r="CG86" i="5"/>
  <c r="CJ86" i="5" s="1"/>
  <c r="CG94" i="5"/>
  <c r="CJ94" i="5" s="1"/>
  <c r="CG102" i="5"/>
  <c r="CG1347" i="5" s="1"/>
  <c r="CG1348" i="5" s="1"/>
  <c r="CG182" i="5"/>
  <c r="CG198" i="5"/>
  <c r="CG222" i="5"/>
  <c r="CJ222" i="5" s="1"/>
  <c r="CG238" i="5"/>
  <c r="CJ238" i="5" s="1"/>
  <c r="CG246" i="5"/>
  <c r="CJ246" i="5" s="1"/>
  <c r="CG254" i="5"/>
  <c r="CJ254" i="5" s="1"/>
  <c r="CG270" i="5"/>
  <c r="CG294" i="5"/>
  <c r="CG302" i="5"/>
  <c r="CJ302" i="5" s="1"/>
  <c r="CG318" i="5"/>
  <c r="CJ318" i="5" s="1"/>
  <c r="CG326" i="5"/>
  <c r="CJ326" i="5" s="1"/>
  <c r="CG334" i="5"/>
  <c r="CJ334" i="5" s="1"/>
  <c r="CG358" i="5"/>
  <c r="CJ358" i="5" s="1"/>
  <c r="CG390" i="5"/>
  <c r="CJ390" i="5" s="1"/>
  <c r="CG398" i="5"/>
  <c r="CG422" i="5"/>
  <c r="CG430" i="5"/>
  <c r="CJ430" i="5" s="1"/>
  <c r="CG438" i="5"/>
  <c r="CJ438" i="5" s="1"/>
  <c r="CG454" i="5"/>
  <c r="CJ454" i="5" s="1"/>
  <c r="CG462" i="5"/>
  <c r="CJ462" i="5" s="1"/>
  <c r="CG470" i="5"/>
  <c r="CJ470" i="5" s="1"/>
  <c r="CG486" i="5"/>
  <c r="CJ486" i="5" s="1"/>
  <c r="CG502" i="5"/>
  <c r="CG542" i="5"/>
  <c r="CG558" i="5"/>
  <c r="CJ558" i="5" s="1"/>
  <c r="CG590" i="5"/>
  <c r="CJ590" i="5" s="1"/>
  <c r="CG622" i="5"/>
  <c r="CJ622" i="5" s="1"/>
  <c r="CG7" i="5"/>
  <c r="CJ7" i="5" s="1"/>
  <c r="CG23" i="5"/>
  <c r="CJ23" i="5" s="1"/>
  <c r="CG31" i="5"/>
  <c r="CJ31" i="5" s="1"/>
  <c r="CG39" i="5"/>
  <c r="CJ39" i="5" s="1"/>
  <c r="CG47" i="5"/>
  <c r="CG55" i="5"/>
  <c r="CG63" i="5"/>
  <c r="CJ63" i="5" s="1"/>
  <c r="CG71" i="5"/>
  <c r="CJ71" i="5" s="1"/>
  <c r="CG79" i="5"/>
  <c r="CJ79" i="5" s="1"/>
  <c r="CG87" i="5"/>
  <c r="CJ87" i="5" s="1"/>
  <c r="CG95" i="5"/>
  <c r="CJ95" i="5" s="1"/>
  <c r="CG103" i="5"/>
  <c r="CJ103" i="5" s="1"/>
  <c r="CG183" i="5"/>
  <c r="CG207" i="5"/>
  <c r="CG215" i="5"/>
  <c r="CJ215" i="5" s="1"/>
  <c r="CG287" i="5"/>
  <c r="CJ287" i="5" s="1"/>
  <c r="CG8" i="5"/>
  <c r="CG16" i="5"/>
  <c r="CG40" i="5"/>
  <c r="CG56" i="5"/>
  <c r="CJ56" i="5" s="1"/>
  <c r="CG64" i="5"/>
  <c r="CJ64" i="5" s="1"/>
  <c r="CG72" i="5"/>
  <c r="CJ72" i="5" s="1"/>
  <c r="CG80" i="5"/>
  <c r="CG88" i="5"/>
  <c r="CG96" i="5"/>
  <c r="CG184" i="5"/>
  <c r="CJ184" i="5" s="1"/>
  <c r="CG232" i="5"/>
  <c r="CG248" i="5"/>
  <c r="CJ248" i="5" s="1"/>
  <c r="CG264" i="5"/>
  <c r="CJ264" i="5" s="1"/>
  <c r="CG280" i="5"/>
  <c r="CJ280" i="5" s="1"/>
  <c r="CG320" i="5"/>
  <c r="CG328" i="5"/>
  <c r="CG344" i="5"/>
  <c r="CJ344" i="5" s="1"/>
  <c r="CG360" i="5"/>
  <c r="CJ360" i="5" s="1"/>
  <c r="CG376" i="5"/>
  <c r="CG408" i="5"/>
  <c r="CJ408" i="5" s="1"/>
  <c r="CG416" i="5"/>
  <c r="CJ416" i="5" s="1"/>
  <c r="CG440" i="5"/>
  <c r="CG448" i="5"/>
  <c r="CG464" i="5"/>
  <c r="CG480" i="5"/>
  <c r="CJ480" i="5" s="1"/>
  <c r="CG528" i="5"/>
  <c r="CJ528" i="5" s="1"/>
  <c r="CG536" i="5"/>
  <c r="CG552" i="5"/>
  <c r="CJ552" i="5" s="1"/>
  <c r="CG576" i="5"/>
  <c r="CJ576" i="5" s="1"/>
  <c r="CG584" i="5"/>
  <c r="CG600" i="5"/>
  <c r="CG608" i="5"/>
  <c r="CG768" i="5"/>
  <c r="CJ768" i="5" s="1"/>
  <c r="CG9" i="5"/>
  <c r="CG25" i="5"/>
  <c r="CG33" i="5"/>
  <c r="CG41" i="5"/>
  <c r="CJ41" i="5" s="1"/>
  <c r="CG49" i="5"/>
  <c r="CJ49" i="5" s="1"/>
  <c r="CG57" i="5"/>
  <c r="CG65" i="5"/>
  <c r="CJ65" i="5" s="1"/>
  <c r="CG73" i="5"/>
  <c r="CJ73" i="5" s="1"/>
  <c r="CG81" i="5"/>
  <c r="CG89" i="5"/>
  <c r="CG97" i="5"/>
  <c r="CG185" i="5"/>
  <c r="CJ185" i="5" s="1"/>
  <c r="CG201" i="5"/>
  <c r="CJ201" i="5" s="1"/>
  <c r="CG209" i="5"/>
  <c r="CG217" i="5"/>
  <c r="CJ217" i="5" s="1"/>
  <c r="CG233" i="5"/>
  <c r="CJ233" i="5" s="1"/>
  <c r="CG241" i="5"/>
  <c r="CG273" i="5"/>
  <c r="CG281" i="5"/>
  <c r="CG297" i="5"/>
  <c r="CJ297" i="5" s="1"/>
  <c r="CG305" i="5"/>
  <c r="CJ305" i="5" s="1"/>
  <c r="CG321" i="5"/>
  <c r="CG345" i="5"/>
  <c r="CJ345" i="5" s="1"/>
  <c r="CG361" i="5"/>
  <c r="CG385" i="5"/>
  <c r="CG401" i="5"/>
  <c r="CG409" i="5"/>
  <c r="CJ409" i="5" s="1"/>
  <c r="CG449" i="5"/>
  <c r="CJ449" i="5" s="1"/>
  <c r="CG473" i="5"/>
  <c r="CJ473" i="5" s="1"/>
  <c r="CG521" i="5"/>
  <c r="CJ521" i="5" s="1"/>
  <c r="CG537" i="5"/>
  <c r="CJ537" i="5" s="1"/>
  <c r="CG545" i="5"/>
  <c r="CG569" i="5"/>
  <c r="CG577" i="5"/>
  <c r="CG593" i="5"/>
  <c r="CJ593" i="5" s="1"/>
  <c r="CG769" i="5"/>
  <c r="CJ769" i="5" s="1"/>
  <c r="CG10" i="5"/>
  <c r="CJ10" i="5" s="1"/>
  <c r="CG34" i="5"/>
  <c r="CG42" i="5"/>
  <c r="CJ42" i="5" s="1"/>
  <c r="CG50" i="5"/>
  <c r="CJ50" i="5" s="1"/>
  <c r="CG58" i="5"/>
  <c r="CG66" i="5"/>
  <c r="CG74" i="5"/>
  <c r="CG82" i="5"/>
  <c r="CJ82" i="5" s="1"/>
  <c r="CG90" i="5"/>
  <c r="CJ90" i="5" s="1"/>
  <c r="CG98" i="5"/>
  <c r="CG258" i="5"/>
  <c r="CJ258" i="5" s="1"/>
  <c r="CG314" i="5"/>
  <c r="CG330" i="5"/>
  <c r="CG338" i="5"/>
  <c r="CG362" i="5"/>
  <c r="CJ362" i="5" s="1"/>
  <c r="CG386" i="5"/>
  <c r="CJ386" i="5" s="1"/>
  <c r="CG394" i="5"/>
  <c r="CJ394" i="5" s="1"/>
  <c r="CG402" i="5"/>
  <c r="CJ402" i="5" s="1"/>
  <c r="CG426" i="5"/>
  <c r="CJ426" i="5" s="1"/>
  <c r="CG434" i="5"/>
  <c r="CG474" i="5"/>
  <c r="CG490" i="5"/>
  <c r="CG506" i="5"/>
  <c r="CJ506" i="5" s="1"/>
  <c r="CG554" i="5"/>
  <c r="CJ554" i="5" s="1"/>
  <c r="CG562" i="5"/>
  <c r="CJ562" i="5" s="1"/>
  <c r="CG586" i="5"/>
  <c r="CJ586" i="5" s="1"/>
  <c r="CG618" i="5"/>
  <c r="CJ618" i="5" s="1"/>
  <c r="CG626" i="5"/>
  <c r="CG4" i="5"/>
  <c r="CJ4" i="5" s="1"/>
  <c r="CG12" i="5"/>
  <c r="CJ12" i="5" s="1"/>
  <c r="CG20" i="5"/>
  <c r="CJ20" i="5" s="1"/>
  <c r="CG52" i="5"/>
  <c r="CJ52" i="5" s="1"/>
  <c r="CG60" i="5"/>
  <c r="CJ60" i="5" s="1"/>
  <c r="CG68" i="5"/>
  <c r="CJ68" i="5" s="1"/>
  <c r="CG76" i="5"/>
  <c r="CG84" i="5"/>
  <c r="CG92" i="5"/>
  <c r="CJ92" i="5" s="1"/>
  <c r="CG164" i="5"/>
  <c r="CG180" i="5"/>
  <c r="CJ180" i="5" s="1"/>
  <c r="CG188" i="5"/>
  <c r="CJ188" i="5" s="1"/>
  <c r="CG212" i="5"/>
  <c r="CJ212" i="5" s="1"/>
  <c r="CG228" i="5"/>
  <c r="CJ228" i="5" s="1"/>
  <c r="CG236" i="5"/>
  <c r="CG244" i="5"/>
  <c r="CG260" i="5"/>
  <c r="CJ260" i="5" s="1"/>
  <c r="CG284" i="5"/>
  <c r="CJ284" i="5" s="1"/>
  <c r="CG292" i="5"/>
  <c r="CJ292" i="5" s="1"/>
  <c r="CG308" i="5"/>
  <c r="CJ308" i="5" s="1"/>
  <c r="CG316" i="5"/>
  <c r="CJ316" i="5" s="1"/>
  <c r="CG348" i="5"/>
  <c r="CJ348" i="5" s="1"/>
  <c r="CG388" i="5"/>
  <c r="CG452" i="5"/>
  <c r="CG476" i="5"/>
  <c r="CJ476" i="5" s="1"/>
  <c r="CG500" i="5"/>
  <c r="CJ500" i="5" s="1"/>
  <c r="CG540" i="5"/>
  <c r="CJ540" i="5" s="1"/>
  <c r="CG548" i="5"/>
  <c r="CJ548" i="5" s="1"/>
  <c r="CG572" i="5"/>
  <c r="CJ572" i="5" s="1"/>
  <c r="CG580" i="5"/>
  <c r="CJ580" i="5" s="1"/>
  <c r="CG604" i="5"/>
  <c r="CG612" i="5"/>
  <c r="CG628" i="5"/>
  <c r="CJ628" i="5" s="1"/>
  <c r="CG3" i="5"/>
  <c r="CG43" i="5"/>
  <c r="CJ43" i="5" s="1"/>
  <c r="CG83" i="5"/>
  <c r="CJ83" i="5" s="1"/>
  <c r="CG187" i="5"/>
  <c r="CJ187" i="5" s="1"/>
  <c r="CG379" i="5"/>
  <c r="CJ379" i="5" s="1"/>
  <c r="CG427" i="5"/>
  <c r="CJ427" i="5" s="1"/>
  <c r="CG799" i="5"/>
  <c r="CJ799" i="5" s="1"/>
  <c r="CG807" i="5"/>
  <c r="CJ807" i="5" s="1"/>
  <c r="CG815" i="5"/>
  <c r="CG823" i="5"/>
  <c r="CG831" i="5"/>
  <c r="CJ831" i="5" s="1"/>
  <c r="CG839" i="5"/>
  <c r="CJ839" i="5" s="1"/>
  <c r="CG847" i="5"/>
  <c r="CJ847" i="5" s="1"/>
  <c r="CG855" i="5"/>
  <c r="CJ855" i="5" s="1"/>
  <c r="CG863" i="5"/>
  <c r="CJ863" i="5" s="1"/>
  <c r="CG871" i="5"/>
  <c r="CJ871" i="5" s="1"/>
  <c r="CG879" i="5"/>
  <c r="CG887" i="5"/>
  <c r="CG895" i="5"/>
  <c r="CJ895" i="5" s="1"/>
  <c r="CG911" i="5"/>
  <c r="CJ911" i="5" s="1"/>
  <c r="CG919" i="5"/>
  <c r="CJ919" i="5" s="1"/>
  <c r="CG927" i="5"/>
  <c r="CJ927" i="5" s="1"/>
  <c r="CG935" i="5"/>
  <c r="CJ935" i="5" s="1"/>
  <c r="CG959" i="5"/>
  <c r="CJ959" i="5" s="1"/>
  <c r="CG967" i="5"/>
  <c r="CG975" i="5"/>
  <c r="CG983" i="5"/>
  <c r="CJ983" i="5" s="1"/>
  <c r="CG991" i="5"/>
  <c r="CJ991" i="5" s="1"/>
  <c r="CG999" i="5"/>
  <c r="CJ999" i="5" s="1"/>
  <c r="CG1007" i="5"/>
  <c r="CJ1007" i="5" s="1"/>
  <c r="CG1015" i="5"/>
  <c r="CJ1015" i="5" s="1"/>
  <c r="CG1023" i="5"/>
  <c r="CJ1023" i="5" s="1"/>
  <c r="CG1031" i="5"/>
  <c r="CG1039" i="5"/>
  <c r="CG1047" i="5"/>
  <c r="CJ1047" i="5" s="1"/>
  <c r="CG1055" i="5"/>
  <c r="CJ1055" i="5" s="1"/>
  <c r="CG1063" i="5"/>
  <c r="CJ1063" i="5" s="1"/>
  <c r="CG1079" i="5"/>
  <c r="CJ1079" i="5" s="1"/>
  <c r="CG1095" i="5"/>
  <c r="CJ1095" i="5" s="1"/>
  <c r="CG1111" i="5"/>
  <c r="CJ1111" i="5" s="1"/>
  <c r="CG1119" i="5"/>
  <c r="CG1127" i="5"/>
  <c r="CG1135" i="5"/>
  <c r="CJ1135" i="5" s="1"/>
  <c r="CG1143" i="5"/>
  <c r="CJ1143" i="5" s="1"/>
  <c r="CG1151" i="5"/>
  <c r="CJ1151" i="5" s="1"/>
  <c r="CG1175" i="5"/>
  <c r="CJ1175" i="5" s="1"/>
  <c r="CG1183" i="5"/>
  <c r="CJ1183" i="5" s="1"/>
  <c r="CG1191" i="5"/>
  <c r="CJ1191" i="5" s="1"/>
  <c r="CG1199" i="5"/>
  <c r="CG1223" i="5"/>
  <c r="CG1231" i="5"/>
  <c r="CJ1231" i="5" s="1"/>
  <c r="CG1239" i="5"/>
  <c r="CJ1239" i="5" s="1"/>
  <c r="CG1247" i="5"/>
  <c r="CJ1247" i="5" s="1"/>
  <c r="CG1255" i="5"/>
  <c r="CJ1255" i="5" s="1"/>
  <c r="CG1263" i="5"/>
  <c r="CJ1263" i="5" s="1"/>
  <c r="CG1271" i="5"/>
  <c r="CJ1271" i="5" s="1"/>
  <c r="CG1279" i="5"/>
  <c r="CG1287" i="5"/>
  <c r="CG1295" i="5"/>
  <c r="CG1303" i="5"/>
  <c r="CG1311" i="5"/>
  <c r="CJ1311" i="5" s="1"/>
  <c r="CG1319" i="5"/>
  <c r="CG2" i="5"/>
  <c r="CG11" i="5"/>
  <c r="CG267" i="5"/>
  <c r="CG327" i="5"/>
  <c r="CG359" i="5"/>
  <c r="CG371" i="5"/>
  <c r="CG487" i="5"/>
  <c r="CJ487" i="5" s="1"/>
  <c r="CG515" i="5"/>
  <c r="CG607" i="5"/>
  <c r="CJ607" i="5" s="1"/>
  <c r="CG766" i="5"/>
  <c r="CJ766" i="5" s="1"/>
  <c r="CG800" i="5"/>
  <c r="CG808" i="5"/>
  <c r="CJ808" i="5" s="1"/>
  <c r="CG816" i="5"/>
  <c r="CJ816" i="5" s="1"/>
  <c r="CG824" i="5"/>
  <c r="CJ824" i="5" s="1"/>
  <c r="CG832" i="5"/>
  <c r="CG840" i="5"/>
  <c r="CG848" i="5"/>
  <c r="CG864" i="5"/>
  <c r="CJ864" i="5" s="1"/>
  <c r="CG872" i="5"/>
  <c r="CG880" i="5"/>
  <c r="CJ880" i="5" s="1"/>
  <c r="CG888" i="5"/>
  <c r="CJ888" i="5" s="1"/>
  <c r="CG896" i="5"/>
  <c r="CJ896" i="5" s="1"/>
  <c r="CG904" i="5"/>
  <c r="CG912" i="5"/>
  <c r="CG928" i="5"/>
  <c r="CG936" i="5"/>
  <c r="CJ936" i="5" s="1"/>
  <c r="CG944" i="5"/>
  <c r="CG976" i="5"/>
  <c r="CJ976" i="5" s="1"/>
  <c r="CG992" i="5"/>
  <c r="CJ992" i="5" s="1"/>
  <c r="CG1000" i="5"/>
  <c r="CJ1000" i="5" s="1"/>
  <c r="CG1008" i="5"/>
  <c r="CG1016" i="5"/>
  <c r="CG1024" i="5"/>
  <c r="CG1040" i="5"/>
  <c r="CJ1040" i="5" s="1"/>
  <c r="CG1072" i="5"/>
  <c r="CG1080" i="5"/>
  <c r="CJ1080" i="5" s="1"/>
  <c r="CG1096" i="5"/>
  <c r="CJ1096" i="5" s="1"/>
  <c r="CG1104" i="5"/>
  <c r="CJ1104" i="5" s="1"/>
  <c r="CG1120" i="5"/>
  <c r="CG1128" i="5"/>
  <c r="CG1136" i="5"/>
  <c r="CG1144" i="5"/>
  <c r="CJ1144" i="5" s="1"/>
  <c r="CG1152" i="5"/>
  <c r="CG1160" i="5"/>
  <c r="CJ1160" i="5" s="1"/>
  <c r="CG1168" i="5"/>
  <c r="CJ1168" i="5" s="1"/>
  <c r="CG1176" i="5"/>
  <c r="CJ1176" i="5" s="1"/>
  <c r="CG1192" i="5"/>
  <c r="CG1200" i="5"/>
  <c r="CG1208" i="5"/>
  <c r="CG1240" i="5"/>
  <c r="CJ1240" i="5" s="1"/>
  <c r="CG1248" i="5"/>
  <c r="CG1256" i="5"/>
  <c r="CJ1256" i="5" s="1"/>
  <c r="CG1264" i="5"/>
  <c r="CJ1264" i="5" s="1"/>
  <c r="CG1272" i="5"/>
  <c r="CJ1272" i="5" s="1"/>
  <c r="CG1296" i="5"/>
  <c r="CJ1296" i="5" s="1"/>
  <c r="CG1312" i="5"/>
  <c r="CG27" i="5"/>
  <c r="CJ27" i="5" s="1"/>
  <c r="CG91" i="5"/>
  <c r="CJ91" i="5" s="1"/>
  <c r="CG419" i="5"/>
  <c r="CJ419" i="5" s="1"/>
  <c r="CG767" i="5"/>
  <c r="CJ767" i="5" s="1"/>
  <c r="CG801" i="5"/>
  <c r="CJ801" i="5" s="1"/>
  <c r="CG809" i="5"/>
  <c r="CJ809" i="5" s="1"/>
  <c r="CG825" i="5"/>
  <c r="CJ825" i="5" s="1"/>
  <c r="CG833" i="5"/>
  <c r="CG841" i="5"/>
  <c r="CG857" i="5"/>
  <c r="CG865" i="5"/>
  <c r="CJ865" i="5" s="1"/>
  <c r="CG873" i="5"/>
  <c r="CJ873" i="5" s="1"/>
  <c r="CG881" i="5"/>
  <c r="CJ881" i="5" s="1"/>
  <c r="CG889" i="5"/>
  <c r="CJ889" i="5" s="1"/>
  <c r="CG897" i="5"/>
  <c r="CJ897" i="5" s="1"/>
  <c r="CG905" i="5"/>
  <c r="CG913" i="5"/>
  <c r="CG929" i="5"/>
  <c r="CG937" i="5"/>
  <c r="CJ937" i="5" s="1"/>
  <c r="CG945" i="5"/>
  <c r="CJ945" i="5" s="1"/>
  <c r="CG953" i="5"/>
  <c r="CJ953" i="5" s="1"/>
  <c r="CG961" i="5"/>
  <c r="CJ961" i="5" s="1"/>
  <c r="CG969" i="5"/>
  <c r="CJ969" i="5" s="1"/>
  <c r="CG985" i="5"/>
  <c r="CG1009" i="5"/>
  <c r="CG1017" i="5"/>
  <c r="CG1025" i="5"/>
  <c r="CJ1025" i="5" s="1"/>
  <c r="CG1033" i="5"/>
  <c r="CJ1033" i="5" s="1"/>
  <c r="CG1041" i="5"/>
  <c r="CJ1041" i="5" s="1"/>
  <c r="CG1049" i="5"/>
  <c r="CJ1049" i="5" s="1"/>
  <c r="CG1057" i="5"/>
  <c r="CJ1057" i="5" s="1"/>
  <c r="CG1065" i="5"/>
  <c r="CG1073" i="5"/>
  <c r="CG1089" i="5"/>
  <c r="CG1105" i="5"/>
  <c r="CJ1105" i="5" s="1"/>
  <c r="CG1113" i="5"/>
  <c r="CJ1113" i="5" s="1"/>
  <c r="CG1121" i="5"/>
  <c r="CJ1121" i="5" s="1"/>
  <c r="CG1137" i="5"/>
  <c r="CJ1137" i="5" s="1"/>
  <c r="CG1145" i="5"/>
  <c r="CJ1145" i="5" s="1"/>
  <c r="CG1153" i="5"/>
  <c r="CG1161" i="5"/>
  <c r="CG1169" i="5"/>
  <c r="CG1177" i="5"/>
  <c r="CJ1177" i="5" s="1"/>
  <c r="CG1185" i="5"/>
  <c r="CJ1185" i="5" s="1"/>
  <c r="CG1193" i="5"/>
  <c r="CJ1193" i="5" s="1"/>
  <c r="CG1201" i="5"/>
  <c r="CJ1201" i="5" s="1"/>
  <c r="CG1209" i="5"/>
  <c r="CJ1209" i="5" s="1"/>
  <c r="CG1217" i="5"/>
  <c r="CG1241" i="5"/>
  <c r="CG1249" i="5"/>
  <c r="CG1257" i="5"/>
  <c r="CJ1257" i="5" s="1"/>
  <c r="CG1273" i="5"/>
  <c r="CJ1273" i="5" s="1"/>
  <c r="CG1281" i="5"/>
  <c r="CG1289" i="5"/>
  <c r="CJ1289" i="5" s="1"/>
  <c r="CG1297" i="5"/>
  <c r="CJ1297" i="5" s="1"/>
  <c r="CG1305" i="5"/>
  <c r="CG1313" i="5"/>
  <c r="CJ1313" i="5" s="1"/>
  <c r="CG51" i="5"/>
  <c r="CJ51" i="5" s="1"/>
  <c r="CG99" i="5"/>
  <c r="CJ99" i="5" s="1"/>
  <c r="CG259" i="5"/>
  <c r="CJ259" i="5" s="1"/>
  <c r="CG331" i="5"/>
  <c r="CJ331" i="5" s="1"/>
  <c r="CG467" i="5"/>
  <c r="CG527" i="5"/>
  <c r="CJ527" i="5" s="1"/>
  <c r="CG539" i="5"/>
  <c r="CG563" i="5"/>
  <c r="CJ563" i="5" s="1"/>
  <c r="CG770" i="5"/>
  <c r="CG802" i="5"/>
  <c r="CG826" i="5"/>
  <c r="CJ826" i="5" s="1"/>
  <c r="CG858" i="5"/>
  <c r="CJ858" i="5" s="1"/>
  <c r="CG866" i="5"/>
  <c r="CJ866" i="5" s="1"/>
  <c r="CG890" i="5"/>
  <c r="CJ890" i="5" s="1"/>
  <c r="CG906" i="5"/>
  <c r="CJ906" i="5" s="1"/>
  <c r="CG914" i="5"/>
  <c r="CG922" i="5"/>
  <c r="CG930" i="5"/>
  <c r="CG938" i="5"/>
  <c r="CJ938" i="5" s="1"/>
  <c r="CG946" i="5"/>
  <c r="CJ946" i="5" s="1"/>
  <c r="CG954" i="5"/>
  <c r="CJ954" i="5" s="1"/>
  <c r="CG962" i="5"/>
  <c r="CJ962" i="5" s="1"/>
  <c r="CG970" i="5"/>
  <c r="CJ970" i="5" s="1"/>
  <c r="CG986" i="5"/>
  <c r="CG994" i="5"/>
  <c r="CG1002" i="5"/>
  <c r="CG1010" i="5"/>
  <c r="CJ1010" i="5" s="1"/>
  <c r="CG1034" i="5"/>
  <c r="CJ1034" i="5" s="1"/>
  <c r="CG1042" i="5"/>
  <c r="CJ1042" i="5" s="1"/>
  <c r="CG1050" i="5"/>
  <c r="CJ1050" i="5" s="1"/>
  <c r="CG1066" i="5"/>
  <c r="CJ1066" i="5" s="1"/>
  <c r="CG1074" i="5"/>
  <c r="CG1082" i="5"/>
  <c r="CG1090" i="5"/>
  <c r="CG1098" i="5"/>
  <c r="CJ1098" i="5" s="1"/>
  <c r="CG1106" i="5"/>
  <c r="CJ1106" i="5" s="1"/>
  <c r="CG1114" i="5"/>
  <c r="CJ1114" i="5" s="1"/>
  <c r="CG1122" i="5"/>
  <c r="CJ1122" i="5" s="1"/>
  <c r="CG1130" i="5"/>
  <c r="CJ1130" i="5" s="1"/>
  <c r="CG1138" i="5"/>
  <c r="CG1162" i="5"/>
  <c r="CG1170" i="5"/>
  <c r="CG1186" i="5"/>
  <c r="CJ1186" i="5" s="1"/>
  <c r="CG1202" i="5"/>
  <c r="CJ1202" i="5" s="1"/>
  <c r="CG1210" i="5"/>
  <c r="CJ1210" i="5" s="1"/>
  <c r="CG1226" i="5"/>
  <c r="CJ1226" i="5" s="1"/>
  <c r="CG1234" i="5"/>
  <c r="CJ1234" i="5" s="1"/>
  <c r="CG1266" i="5"/>
  <c r="CG1274" i="5"/>
  <c r="CJ1274" i="5" s="1"/>
  <c r="CG1282" i="5"/>
  <c r="CG1290" i="5"/>
  <c r="CG1298" i="5"/>
  <c r="CG1306" i="5"/>
  <c r="CJ1306" i="5" s="1"/>
  <c r="CG1314" i="5"/>
  <c r="CJ1314" i="5" s="1"/>
  <c r="CG1322" i="5"/>
  <c r="CG1330" i="5"/>
  <c r="CG59" i="5"/>
  <c r="CG295" i="5"/>
  <c r="CJ295" i="5" s="1"/>
  <c r="CG307" i="5"/>
  <c r="CJ307" i="5" s="1"/>
  <c r="CG319" i="5"/>
  <c r="CJ319" i="5" s="1"/>
  <c r="CG499" i="5"/>
  <c r="CJ499" i="5" s="1"/>
  <c r="CG803" i="5"/>
  <c r="CG819" i="5"/>
  <c r="CG835" i="5"/>
  <c r="CG851" i="5"/>
  <c r="CJ851" i="5" s="1"/>
  <c r="CG859" i="5"/>
  <c r="CG867" i="5"/>
  <c r="CJ867" i="5" s="1"/>
  <c r="CG875" i="5"/>
  <c r="CJ875" i="5" s="1"/>
  <c r="CG891" i="5"/>
  <c r="CJ891" i="5" s="1"/>
  <c r="CG907" i="5"/>
  <c r="CG915" i="5"/>
  <c r="CG923" i="5"/>
  <c r="CG931" i="5"/>
  <c r="CJ931" i="5" s="1"/>
  <c r="CG939" i="5"/>
  <c r="CG947" i="5"/>
  <c r="CJ947" i="5" s="1"/>
  <c r="CG955" i="5"/>
  <c r="CJ955" i="5" s="1"/>
  <c r="CG963" i="5"/>
  <c r="CJ963" i="5" s="1"/>
  <c r="CG971" i="5"/>
  <c r="CG979" i="5"/>
  <c r="CG987" i="5"/>
  <c r="CG995" i="5"/>
  <c r="CJ995" i="5" s="1"/>
  <c r="CG1011" i="5"/>
  <c r="CG1019" i="5"/>
  <c r="CJ1019" i="5" s="1"/>
  <c r="CG1051" i="5"/>
  <c r="CJ1051" i="5" s="1"/>
  <c r="CG1059" i="5"/>
  <c r="CJ1059" i="5" s="1"/>
  <c r="CG1067" i="5"/>
  <c r="CG1083" i="5"/>
  <c r="CG1091" i="5"/>
  <c r="CG1099" i="5"/>
  <c r="CJ1099" i="5" s="1"/>
  <c r="CG1115" i="5"/>
  <c r="CG1123" i="5"/>
  <c r="CJ1123" i="5" s="1"/>
  <c r="CG1131" i="5"/>
  <c r="CJ1131" i="5" s="1"/>
  <c r="CG1147" i="5"/>
  <c r="CJ1147" i="5" s="1"/>
  <c r="CG1155" i="5"/>
  <c r="CG1163" i="5"/>
  <c r="CG1171" i="5"/>
  <c r="CG1179" i="5"/>
  <c r="CJ1179" i="5" s="1"/>
  <c r="CG1187" i="5"/>
  <c r="CG1195" i="5"/>
  <c r="CJ1195" i="5" s="1"/>
  <c r="CG1219" i="5"/>
  <c r="CJ1219" i="5" s="1"/>
  <c r="CG1227" i="5"/>
  <c r="CJ1227" i="5" s="1"/>
  <c r="CG1235" i="5"/>
  <c r="CG1243" i="5"/>
  <c r="CG1251" i="5"/>
  <c r="CG1259" i="5"/>
  <c r="CJ1259" i="5" s="1"/>
  <c r="CG1267" i="5"/>
  <c r="CJ1267" i="5" s="1"/>
  <c r="CG1291" i="5"/>
  <c r="CG1299" i="5"/>
  <c r="CG1307" i="5"/>
  <c r="CG1315" i="5"/>
  <c r="CJ1315" i="5" s="1"/>
  <c r="CG1323" i="5"/>
  <c r="CG1331" i="5"/>
  <c r="CG67" i="5"/>
  <c r="CG203" i="5"/>
  <c r="CG375" i="5"/>
  <c r="CJ375" i="5" s="1"/>
  <c r="CG423" i="5"/>
  <c r="CJ423" i="5" s="1"/>
  <c r="CG519" i="5"/>
  <c r="CJ519" i="5" s="1"/>
  <c r="CG555" i="5"/>
  <c r="CJ555" i="5" s="1"/>
  <c r="CG623" i="5"/>
  <c r="CJ623" i="5" s="1"/>
  <c r="CG796" i="5"/>
  <c r="CG804" i="5"/>
  <c r="CJ804" i="5" s="1"/>
  <c r="CG812" i="5"/>
  <c r="CJ812" i="5" s="1"/>
  <c r="CG820" i="5"/>
  <c r="CJ820" i="5" s="1"/>
  <c r="CG828" i="5"/>
  <c r="CJ828" i="5" s="1"/>
  <c r="CG836" i="5"/>
  <c r="CJ836" i="5" s="1"/>
  <c r="CG844" i="5"/>
  <c r="CJ844" i="5" s="1"/>
  <c r="CG852" i="5"/>
  <c r="CJ852" i="5" s="1"/>
  <c r="CG860" i="5"/>
  <c r="CJ860" i="5" s="1"/>
  <c r="CG876" i="5"/>
  <c r="CJ876" i="5" s="1"/>
  <c r="CG884" i="5"/>
  <c r="CJ884" i="5" s="1"/>
  <c r="CG892" i="5"/>
  <c r="CJ892" i="5" s="1"/>
  <c r="CG900" i="5"/>
  <c r="CJ900" i="5" s="1"/>
  <c r="CG924" i="5"/>
  <c r="CJ924" i="5" s="1"/>
  <c r="CG932" i="5"/>
  <c r="CJ932" i="5" s="1"/>
  <c r="CG940" i="5"/>
  <c r="CJ940" i="5" s="1"/>
  <c r="CG956" i="5"/>
  <c r="CJ956" i="5" s="1"/>
  <c r="CG964" i="5"/>
  <c r="CJ964" i="5" s="1"/>
  <c r="CG980" i="5"/>
  <c r="CJ980" i="5" s="1"/>
  <c r="CG996" i="5"/>
  <c r="CJ996" i="5" s="1"/>
  <c r="CG1004" i="5"/>
  <c r="CJ1004" i="5" s="1"/>
  <c r="CG1012" i="5"/>
  <c r="CJ1012" i="5" s="1"/>
  <c r="CG1028" i="5"/>
  <c r="CJ1028" i="5" s="1"/>
  <c r="CG1044" i="5"/>
  <c r="CJ1044" i="5" s="1"/>
  <c r="CG1060" i="5"/>
  <c r="CJ1060" i="5" s="1"/>
  <c r="CG1068" i="5"/>
  <c r="CJ1068" i="5" s="1"/>
  <c r="CG1084" i="5"/>
  <c r="CJ1084" i="5" s="1"/>
  <c r="CG1100" i="5"/>
  <c r="CJ1100" i="5" s="1"/>
  <c r="CG1108" i="5"/>
  <c r="CJ1108" i="5" s="1"/>
  <c r="CG1116" i="5"/>
  <c r="CJ1116" i="5" s="1"/>
  <c r="CG1124" i="5"/>
  <c r="CJ1124" i="5" s="1"/>
  <c r="CG1132" i="5"/>
  <c r="CJ1132" i="5" s="1"/>
  <c r="CG1140" i="5"/>
  <c r="CJ1140" i="5" s="1"/>
  <c r="CG1148" i="5"/>
  <c r="CJ1148" i="5" s="1"/>
  <c r="CG1156" i="5"/>
  <c r="CJ1156" i="5" s="1"/>
  <c r="CG1164" i="5"/>
  <c r="CJ1164" i="5" s="1"/>
  <c r="CG1172" i="5"/>
  <c r="CJ1172" i="5" s="1"/>
  <c r="CG1188" i="5"/>
  <c r="CJ1188" i="5" s="1"/>
  <c r="CG1196" i="5"/>
  <c r="CJ1196" i="5" s="1"/>
  <c r="CG1204" i="5"/>
  <c r="CJ1204" i="5" s="1"/>
  <c r="CG1212" i="5"/>
  <c r="CJ1212" i="5" s="1"/>
  <c r="CG1228" i="5"/>
  <c r="CJ1228" i="5" s="1"/>
  <c r="CG1236" i="5"/>
  <c r="CJ1236" i="5" s="1"/>
  <c r="CG1244" i="5"/>
  <c r="CJ1244" i="5" s="1"/>
  <c r="CG1252" i="5"/>
  <c r="CJ1252" i="5" s="1"/>
  <c r="CG1260" i="5"/>
  <c r="CJ1260" i="5" s="1"/>
  <c r="CG1268" i="5"/>
  <c r="CJ1268" i="5" s="1"/>
  <c r="CG1292" i="5"/>
  <c r="CJ1292" i="5" s="1"/>
  <c r="CG1308" i="5"/>
  <c r="CG1324" i="5"/>
  <c r="CG19" i="5"/>
  <c r="CJ19" i="5" s="1"/>
  <c r="CG35" i="5"/>
  <c r="CJ35" i="5" s="1"/>
  <c r="CG179" i="5"/>
  <c r="CJ179" i="5" s="1"/>
  <c r="CG227" i="5"/>
  <c r="CG323" i="5"/>
  <c r="CJ323" i="5" s="1"/>
  <c r="CG403" i="5"/>
  <c r="CG435" i="5"/>
  <c r="CJ435" i="5" s="1"/>
  <c r="CG471" i="5"/>
  <c r="CJ471" i="5" s="1"/>
  <c r="CG503" i="5"/>
  <c r="CJ503" i="5" s="1"/>
  <c r="CG531" i="5"/>
  <c r="CJ531" i="5" s="1"/>
  <c r="CG797" i="5"/>
  <c r="CG813" i="5"/>
  <c r="CG821" i="5"/>
  <c r="CJ821" i="5" s="1"/>
  <c r="CG829" i="5"/>
  <c r="CJ829" i="5" s="1"/>
  <c r="CG837" i="5"/>
  <c r="CJ837" i="5" s="1"/>
  <c r="CG845" i="5"/>
  <c r="CJ845" i="5" s="1"/>
  <c r="CG861" i="5"/>
  <c r="CJ861" i="5" s="1"/>
  <c r="CG877" i="5"/>
  <c r="CJ877" i="5" s="1"/>
  <c r="CG885" i="5"/>
  <c r="CG893" i="5"/>
  <c r="CG901" i="5"/>
  <c r="CJ901" i="5" s="1"/>
  <c r="CG917" i="5"/>
  <c r="CJ917" i="5" s="1"/>
  <c r="CG925" i="5"/>
  <c r="CJ925" i="5" s="1"/>
  <c r="CG933" i="5"/>
  <c r="CJ933" i="5" s="1"/>
  <c r="CG941" i="5"/>
  <c r="CJ941" i="5" s="1"/>
  <c r="CG949" i="5"/>
  <c r="CJ949" i="5" s="1"/>
  <c r="CG957" i="5"/>
  <c r="CG965" i="5"/>
  <c r="CG973" i="5"/>
  <c r="CJ973" i="5" s="1"/>
  <c r="CG981" i="5"/>
  <c r="CJ981" i="5" s="1"/>
  <c r="CG989" i="5"/>
  <c r="CJ989" i="5" s="1"/>
  <c r="CG997" i="5"/>
  <c r="CJ997" i="5" s="1"/>
  <c r="CG1005" i="5"/>
  <c r="CJ1005" i="5" s="1"/>
  <c r="CG1029" i="5"/>
  <c r="CJ1029" i="5" s="1"/>
  <c r="CG1037" i="5"/>
  <c r="CG1045" i="5"/>
  <c r="CG1053" i="5"/>
  <c r="CJ1053" i="5" s="1"/>
  <c r="CG1061" i="5"/>
  <c r="CJ1061" i="5" s="1"/>
  <c r="CG1085" i="5"/>
  <c r="CJ1085" i="5" s="1"/>
  <c r="CG1093" i="5"/>
  <c r="CJ1093" i="5" s="1"/>
  <c r="CG1101" i="5"/>
  <c r="CJ1101" i="5" s="1"/>
  <c r="CG1109" i="5"/>
  <c r="CJ1109" i="5" s="1"/>
  <c r="CG1117" i="5"/>
  <c r="CG1125" i="5"/>
  <c r="CG1141" i="5"/>
  <c r="CJ1141" i="5" s="1"/>
  <c r="CG1157" i="5"/>
  <c r="CJ1157" i="5" s="1"/>
  <c r="CG1165" i="5"/>
  <c r="CJ1165" i="5" s="1"/>
  <c r="CG1173" i="5"/>
  <c r="CJ1173" i="5" s="1"/>
  <c r="CG1181" i="5"/>
  <c r="CJ1181" i="5" s="1"/>
  <c r="CG1197" i="5"/>
  <c r="CJ1197" i="5" s="1"/>
  <c r="CG1205" i="5"/>
  <c r="CG1221" i="5"/>
  <c r="CG1229" i="5"/>
  <c r="CJ1229" i="5" s="1"/>
  <c r="CG1245" i="5"/>
  <c r="CJ1245" i="5" s="1"/>
  <c r="CG1261" i="5"/>
  <c r="CJ1261" i="5" s="1"/>
  <c r="CG1277" i="5"/>
  <c r="CG1285" i="5"/>
  <c r="CJ1285" i="5" s="1"/>
  <c r="CG1301" i="5"/>
  <c r="CG1325" i="5"/>
  <c r="CG75" i="5"/>
  <c r="CG219" i="5"/>
  <c r="CG311" i="5"/>
  <c r="CJ311" i="5" s="1"/>
  <c r="CG347" i="5"/>
  <c r="CG447" i="5"/>
  <c r="CJ447" i="5" s="1"/>
  <c r="CG615" i="5"/>
  <c r="CJ615" i="5" s="1"/>
  <c r="CG798" i="5"/>
  <c r="CJ798" i="5" s="1"/>
  <c r="CG806" i="5"/>
  <c r="CJ806" i="5" s="1"/>
  <c r="CG814" i="5"/>
  <c r="CJ814" i="5" s="1"/>
  <c r="CG830" i="5"/>
  <c r="CJ830" i="5" s="1"/>
  <c r="CG838" i="5"/>
  <c r="CJ838" i="5" s="1"/>
  <c r="CG862" i="5"/>
  <c r="CJ862" i="5" s="1"/>
  <c r="CG870" i="5"/>
  <c r="CJ870" i="5" s="1"/>
  <c r="CG886" i="5"/>
  <c r="CJ886" i="5" s="1"/>
  <c r="CG894" i="5"/>
  <c r="CJ894" i="5" s="1"/>
  <c r="CG910" i="5"/>
  <c r="CJ910" i="5" s="1"/>
  <c r="CG918" i="5"/>
  <c r="CJ918" i="5" s="1"/>
  <c r="CG950" i="5"/>
  <c r="CJ950" i="5" s="1"/>
  <c r="CG958" i="5"/>
  <c r="CJ958" i="5" s="1"/>
  <c r="CG966" i="5"/>
  <c r="CJ966" i="5" s="1"/>
  <c r="CG974" i="5"/>
  <c r="CJ974" i="5" s="1"/>
  <c r="CG990" i="5"/>
  <c r="CJ990" i="5" s="1"/>
  <c r="CG998" i="5"/>
  <c r="CJ998" i="5" s="1"/>
  <c r="CG1006" i="5"/>
  <c r="CJ1006" i="5" s="1"/>
  <c r="CG1014" i="5"/>
  <c r="CJ1014" i="5" s="1"/>
  <c r="CG1022" i="5"/>
  <c r="CJ1022" i="5" s="1"/>
  <c r="CG1030" i="5"/>
  <c r="CJ1030" i="5" s="1"/>
  <c r="CG1038" i="5"/>
  <c r="CJ1038" i="5" s="1"/>
  <c r="CG1046" i="5"/>
  <c r="CJ1046" i="5" s="1"/>
  <c r="CG1054" i="5"/>
  <c r="CJ1054" i="5" s="1"/>
  <c r="CG1062" i="5"/>
  <c r="CJ1062" i="5" s="1"/>
  <c r="CG1070" i="5"/>
  <c r="CJ1070" i="5" s="1"/>
  <c r="CG1078" i="5"/>
  <c r="CJ1078" i="5" s="1"/>
  <c r="CG1086" i="5"/>
  <c r="CJ1086" i="5" s="1"/>
  <c r="CG1094" i="5"/>
  <c r="CJ1094" i="5" s="1"/>
  <c r="CG1110" i="5"/>
  <c r="CJ1110" i="5" s="1"/>
  <c r="CG1126" i="5"/>
  <c r="CJ1126" i="5" s="1"/>
  <c r="CG1158" i="5"/>
  <c r="CJ1158" i="5" s="1"/>
  <c r="CG1182" i="5"/>
  <c r="CJ1182" i="5" s="1"/>
  <c r="CG1214" i="5"/>
  <c r="CJ1214" i="5" s="1"/>
  <c r="CG1222" i="5"/>
  <c r="CJ1222" i="5" s="1"/>
  <c r="CG1238" i="5"/>
  <c r="CJ1238" i="5" s="1"/>
  <c r="CG1254" i="5"/>
  <c r="CJ1254" i="5" s="1"/>
  <c r="CG1278" i="5"/>
  <c r="CJ1278" i="5" s="1"/>
  <c r="CG1286" i="5"/>
  <c r="CJ1286" i="5" s="1"/>
  <c r="CG1302" i="5"/>
  <c r="CG1318" i="5"/>
  <c r="CJ1318" i="5" s="1"/>
  <c r="F43" i="9"/>
  <c r="F44" i="9"/>
  <c r="C19" i="7"/>
  <c r="F4" i="7"/>
  <c r="J74" i="9"/>
  <c r="J41" i="9"/>
  <c r="E13" i="7"/>
  <c r="J16" i="9"/>
  <c r="L16" i="9" s="1"/>
  <c r="F67" i="9"/>
  <c r="F75" i="9" s="1"/>
  <c r="E4" i="7"/>
  <c r="E19" i="7" s="1"/>
  <c r="CJ1301" i="5" l="1"/>
  <c r="CJ1330" i="5"/>
  <c r="CG1379" i="5"/>
  <c r="CG1380" i="5" s="1"/>
  <c r="CJ795" i="5"/>
  <c r="CH1376" i="5"/>
  <c r="CH1377" i="5" s="1"/>
  <c r="CJ796" i="5"/>
  <c r="CG1376" i="5"/>
  <c r="CG1377" i="5" s="1"/>
  <c r="CJ1302" i="5"/>
  <c r="CJ1187" i="5"/>
  <c r="CJ1115" i="5"/>
  <c r="CJ1011" i="5"/>
  <c r="CJ939" i="5"/>
  <c r="CJ859" i="5"/>
  <c r="CJ1248" i="5"/>
  <c r="CJ1152" i="5"/>
  <c r="CJ1072" i="5"/>
  <c r="CJ944" i="5"/>
  <c r="CJ872" i="5"/>
  <c r="CJ800" i="5"/>
  <c r="CJ267" i="5"/>
  <c r="CJ232" i="5"/>
  <c r="CJ40" i="5"/>
  <c r="CJ1331" i="5"/>
  <c r="CJ403" i="5"/>
  <c r="CJ1323" i="5"/>
  <c r="CJ1322" i="5"/>
  <c r="CJ539" i="5"/>
  <c r="CJ1319" i="5"/>
  <c r="CH1371" i="5"/>
  <c r="CH1372" i="5" s="1"/>
  <c r="CJ765" i="5"/>
  <c r="CG1371" i="5"/>
  <c r="CG1372" i="5" s="1"/>
  <c r="CJ98" i="5"/>
  <c r="CJ34" i="5"/>
  <c r="CJ321" i="5"/>
  <c r="CJ209" i="5"/>
  <c r="CJ57" i="5"/>
  <c r="CJ1279" i="5"/>
  <c r="CJ536" i="5"/>
  <c r="CJ376" i="5"/>
  <c r="CJ198" i="5"/>
  <c r="CG1366" i="5"/>
  <c r="CG1367" i="5" s="1"/>
  <c r="CH1366" i="5"/>
  <c r="CH1367" i="5" s="1"/>
  <c r="CJ164" i="5"/>
  <c r="CG1363" i="5"/>
  <c r="CG1364" i="5" s="1"/>
  <c r="CH1363" i="5"/>
  <c r="CH1364" i="5" s="1"/>
  <c r="CJ1235" i="5"/>
  <c r="CJ1155" i="5"/>
  <c r="CJ1067" i="5"/>
  <c r="CJ971" i="5"/>
  <c r="CJ907" i="5"/>
  <c r="CJ803" i="5"/>
  <c r="CJ203" i="5"/>
  <c r="CJ59" i="5"/>
  <c r="CJ1308" i="5"/>
  <c r="CJ1266" i="5"/>
  <c r="CJ1192" i="5"/>
  <c r="CJ965" i="5"/>
  <c r="CJ371" i="5"/>
  <c r="CJ1303" i="5"/>
  <c r="CJ207" i="5"/>
  <c r="CJ55" i="5"/>
  <c r="CJ182" i="5"/>
  <c r="CJ38" i="5"/>
  <c r="CJ227" i="5"/>
  <c r="CJ1221" i="5"/>
  <c r="CJ893" i="5"/>
  <c r="CJ1281" i="5"/>
  <c r="CJ542" i="5"/>
  <c r="CJ422" i="5"/>
  <c r="CJ294" i="5"/>
  <c r="CJ1223" i="5"/>
  <c r="CJ1127" i="5"/>
  <c r="CJ1039" i="5"/>
  <c r="CJ975" i="5"/>
  <c r="CJ887" i="5"/>
  <c r="CJ823" i="5"/>
  <c r="CJ74" i="5"/>
  <c r="CJ281" i="5"/>
  <c r="CJ97" i="5"/>
  <c r="CJ33" i="5"/>
  <c r="CJ301" i="5"/>
  <c r="CJ69" i="5"/>
  <c r="CJ1045" i="5"/>
  <c r="CJ1298" i="5"/>
  <c r="CJ359" i="5"/>
  <c r="CJ1170" i="5"/>
  <c r="CJ1090" i="5"/>
  <c r="CJ1002" i="5"/>
  <c r="CJ930" i="5"/>
  <c r="CJ802" i="5"/>
  <c r="CJ490" i="5"/>
  <c r="CJ338" i="5"/>
  <c r="CJ577" i="5"/>
  <c r="CJ401" i="5"/>
  <c r="CJ461" i="5"/>
  <c r="CJ1277" i="5"/>
  <c r="CJ1249" i="5"/>
  <c r="CJ1169" i="5"/>
  <c r="CJ1089" i="5"/>
  <c r="CJ1017" i="5"/>
  <c r="CJ929" i="5"/>
  <c r="CJ857" i="5"/>
  <c r="CJ11" i="5"/>
  <c r="CJ1125" i="5"/>
  <c r="CJ1251" i="5"/>
  <c r="CJ1171" i="5"/>
  <c r="CJ1091" i="5"/>
  <c r="CJ987" i="5"/>
  <c r="CJ923" i="5"/>
  <c r="CJ835" i="5"/>
  <c r="CJ1208" i="5"/>
  <c r="CJ1136" i="5"/>
  <c r="CJ1024" i="5"/>
  <c r="CJ928" i="5"/>
  <c r="CJ848" i="5"/>
  <c r="CJ612" i="5"/>
  <c r="CJ452" i="5"/>
  <c r="CJ244" i="5"/>
  <c r="CJ84" i="5"/>
  <c r="CJ96" i="5"/>
  <c r="CJ75" i="5"/>
  <c r="CJ813" i="5"/>
  <c r="CJ1307" i="5"/>
  <c r="CJ515" i="5"/>
  <c r="CJ608" i="5"/>
  <c r="CJ464" i="5"/>
  <c r="CJ328" i="5"/>
  <c r="CJ1120" i="5"/>
  <c r="CJ1008" i="5"/>
  <c r="CJ1282" i="5"/>
  <c r="CJ467" i="5"/>
  <c r="CJ1291" i="5"/>
  <c r="CJ1138" i="5"/>
  <c r="CJ1074" i="5"/>
  <c r="CJ986" i="5"/>
  <c r="CJ914" i="5"/>
  <c r="CJ904" i="5"/>
  <c r="CJ1217" i="5"/>
  <c r="CH1344" i="5"/>
  <c r="CH1345" i="5" s="1"/>
  <c r="CJ9" i="5"/>
  <c r="CG1344" i="5"/>
  <c r="CG1345" i="5" s="1"/>
  <c r="CJ1153" i="5"/>
  <c r="CJ1065" i="5"/>
  <c r="CJ985" i="5"/>
  <c r="CJ832" i="5"/>
  <c r="CJ80" i="5"/>
  <c r="CJ584" i="5"/>
  <c r="CJ440" i="5"/>
  <c r="CJ1287" i="5"/>
  <c r="CJ58" i="5"/>
  <c r="CJ241" i="5"/>
  <c r="CJ81" i="5"/>
  <c r="CJ626" i="5"/>
  <c r="CJ434" i="5"/>
  <c r="CJ314" i="5"/>
  <c r="CJ545" i="5"/>
  <c r="CJ361" i="5"/>
  <c r="CJ8" i="5"/>
  <c r="CJ1341" i="5" s="1"/>
  <c r="CJ1342" i="5" s="1"/>
  <c r="CG1341" i="5"/>
  <c r="CG1342" i="5" s="1"/>
  <c r="CJ905" i="5"/>
  <c r="CJ833" i="5"/>
  <c r="CJ1312" i="5"/>
  <c r="CJ219" i="5"/>
  <c r="CJ600" i="5"/>
  <c r="CJ448" i="5"/>
  <c r="CJ320" i="5"/>
  <c r="CJ1325" i="5"/>
  <c r="CJ1205" i="5"/>
  <c r="CJ1117" i="5"/>
  <c r="CJ1037" i="5"/>
  <c r="CJ957" i="5"/>
  <c r="CJ885" i="5"/>
  <c r="CJ797" i="5"/>
  <c r="CJ1299" i="5"/>
  <c r="CJ1295" i="5"/>
  <c r="CJ183" i="5"/>
  <c r="CJ47" i="5"/>
  <c r="CJ102" i="5"/>
  <c r="CJ1347" i="5" s="1"/>
  <c r="CJ1348" i="5" s="1"/>
  <c r="CJ30" i="5"/>
  <c r="CJ1290" i="5"/>
  <c r="CJ327" i="5"/>
  <c r="CJ502" i="5"/>
  <c r="CJ398" i="5"/>
  <c r="CJ270" i="5"/>
  <c r="CJ1199" i="5"/>
  <c r="CJ1119" i="5"/>
  <c r="CJ1031" i="5"/>
  <c r="CJ967" i="5"/>
  <c r="CJ879" i="5"/>
  <c r="CJ815" i="5"/>
  <c r="CJ3" i="5"/>
  <c r="CJ66" i="5"/>
  <c r="CJ273" i="5"/>
  <c r="CJ89" i="5"/>
  <c r="CJ25" i="5"/>
  <c r="CJ277" i="5"/>
  <c r="CJ61" i="5"/>
  <c r="CJ67" i="5"/>
  <c r="CJ1162" i="5"/>
  <c r="CJ1082" i="5"/>
  <c r="CJ994" i="5"/>
  <c r="CJ922" i="5"/>
  <c r="CJ770" i="5"/>
  <c r="CJ474" i="5"/>
  <c r="CJ330" i="5"/>
  <c r="CJ569" i="5"/>
  <c r="CJ385" i="5"/>
  <c r="CJ16" i="5"/>
  <c r="CJ453" i="5"/>
  <c r="CH1339" i="5"/>
  <c r="CH1340" i="5" s="1"/>
  <c r="CJ1324" i="5"/>
  <c r="CJ347" i="5"/>
  <c r="CJ1241" i="5"/>
  <c r="CJ1161" i="5"/>
  <c r="CJ1073" i="5"/>
  <c r="CJ1009" i="5"/>
  <c r="CJ913" i="5"/>
  <c r="CJ841" i="5"/>
  <c r="CJ1243" i="5"/>
  <c r="CJ1163" i="5"/>
  <c r="CJ1083" i="5"/>
  <c r="CJ979" i="5"/>
  <c r="CJ915" i="5"/>
  <c r="CJ819" i="5"/>
  <c r="CJ1200" i="5"/>
  <c r="CJ1128" i="5"/>
  <c r="CJ1016" i="5"/>
  <c r="CJ912" i="5"/>
  <c r="CJ840" i="5"/>
  <c r="CJ604" i="5"/>
  <c r="CJ388" i="5"/>
  <c r="CJ236" i="5"/>
  <c r="CJ76" i="5"/>
  <c r="CJ88" i="5"/>
  <c r="CJ2" i="5"/>
  <c r="CG1339" i="5"/>
  <c r="CG1340" i="5" s="1"/>
  <c r="CJ1305" i="5"/>
  <c r="F80" i="9"/>
  <c r="F45" i="9"/>
  <c r="N22" i="9"/>
  <c r="N21" i="9"/>
  <c r="H51" i="9"/>
  <c r="I51" i="9"/>
  <c r="G51" i="9"/>
  <c r="G43" i="9" s="1"/>
  <c r="CJ1379" i="5" l="1"/>
  <c r="CJ1380" i="5" s="1"/>
  <c r="M10" i="25" s="1"/>
  <c r="CJ1376" i="5"/>
  <c r="CJ1377" i="5" s="1"/>
  <c r="CJ1371" i="5"/>
  <c r="CJ1372" i="5" s="1"/>
  <c r="CJ1363" i="5"/>
  <c r="CJ1364" i="5" s="1"/>
  <c r="M10" i="19" s="1"/>
  <c r="CJ1366" i="5"/>
  <c r="CJ1367" i="5" s="1"/>
  <c r="M10" i="16"/>
  <c r="K48" i="10"/>
  <c r="CJ1344" i="5"/>
  <c r="CJ1345" i="5" s="1"/>
  <c r="M10" i="15" s="1"/>
  <c r="CJ1339" i="5"/>
  <c r="CJ1340" i="5" s="1"/>
  <c r="M10" i="13" s="1"/>
  <c r="M10" i="14"/>
  <c r="K26" i="10"/>
  <c r="H52" i="9"/>
  <c r="H56" i="9" s="1"/>
  <c r="H60" i="9" s="1"/>
  <c r="H43" i="9"/>
  <c r="N20" i="9"/>
  <c r="G52" i="9"/>
  <c r="G56" i="9" s="1"/>
  <c r="G60" i="9" s="1"/>
  <c r="G44" i="9" s="1"/>
  <c r="J51" i="9"/>
  <c r="J52" i="9" s="1"/>
  <c r="J56" i="9" s="1"/>
  <c r="J60" i="9" s="1"/>
  <c r="I43" i="9"/>
  <c r="I52" i="9"/>
  <c r="I56" i="9" s="1"/>
  <c r="I60" i="9" s="1"/>
  <c r="K147" i="10" l="1"/>
  <c r="K150" i="10" s="1"/>
  <c r="M38" i="25"/>
  <c r="M13" i="25"/>
  <c r="N10" i="25"/>
  <c r="N13" i="25" s="1"/>
  <c r="AB10" i="25"/>
  <c r="AC10" i="25" s="1"/>
  <c r="M10" i="24"/>
  <c r="K136" i="10"/>
  <c r="M10" i="22"/>
  <c r="K114" i="10"/>
  <c r="M10" i="20"/>
  <c r="K92" i="10"/>
  <c r="K81" i="10"/>
  <c r="K84" i="10" s="1"/>
  <c r="M38" i="19"/>
  <c r="M13" i="19"/>
  <c r="N10" i="19"/>
  <c r="N13" i="19" s="1"/>
  <c r="AB10" i="19"/>
  <c r="AC10" i="19" s="1"/>
  <c r="K51" i="10"/>
  <c r="L48" i="10"/>
  <c r="L51" i="10" s="1"/>
  <c r="M13" i="16"/>
  <c r="M38" i="16"/>
  <c r="AB10" i="16"/>
  <c r="AC10" i="16" s="1"/>
  <c r="N10" i="16"/>
  <c r="N13" i="16" s="1"/>
  <c r="K37" i="10"/>
  <c r="L37" i="10" s="1"/>
  <c r="L40" i="10" s="1"/>
  <c r="M38" i="15"/>
  <c r="M13" i="15"/>
  <c r="AB10" i="15"/>
  <c r="AC10" i="15" s="1"/>
  <c r="N10" i="15"/>
  <c r="N13" i="15" s="1"/>
  <c r="K15" i="10"/>
  <c r="K18" i="10" s="1"/>
  <c r="K29" i="10"/>
  <c r="L26" i="10"/>
  <c r="L29" i="10" s="1"/>
  <c r="AB10" i="14"/>
  <c r="AC10" i="14" s="1"/>
  <c r="M38" i="14"/>
  <c r="M13" i="14"/>
  <c r="N10" i="14"/>
  <c r="N13" i="14" s="1"/>
  <c r="AB10" i="13"/>
  <c r="AC10" i="13" s="1"/>
  <c r="M38" i="13"/>
  <c r="M13" i="13"/>
  <c r="N10" i="13"/>
  <c r="N13" i="13" s="1"/>
  <c r="H44" i="9"/>
  <c r="N41" i="9"/>
  <c r="N38" i="9"/>
  <c r="J43" i="9"/>
  <c r="K43" i="9" s="1"/>
  <c r="I44" i="9"/>
  <c r="I67" i="9"/>
  <c r="L147" i="10" l="1"/>
  <c r="L150" i="10" s="1"/>
  <c r="M41" i="25"/>
  <c r="AB38" i="25"/>
  <c r="N38" i="25"/>
  <c r="K139" i="10"/>
  <c r="L136" i="10"/>
  <c r="L139" i="10" s="1"/>
  <c r="M13" i="24"/>
  <c r="M38" i="24"/>
  <c r="AB10" i="24"/>
  <c r="AC10" i="24" s="1"/>
  <c r="N10" i="24"/>
  <c r="N13" i="24" s="1"/>
  <c r="K117" i="10"/>
  <c r="L114" i="10"/>
  <c r="L117" i="10" s="1"/>
  <c r="M13" i="22"/>
  <c r="M38" i="22"/>
  <c r="AB10" i="22"/>
  <c r="AC10" i="22" s="1"/>
  <c r="N10" i="22"/>
  <c r="N13" i="22" s="1"/>
  <c r="K95" i="10"/>
  <c r="L92" i="10"/>
  <c r="L95" i="10" s="1"/>
  <c r="M38" i="20"/>
  <c r="M13" i="20"/>
  <c r="N10" i="20"/>
  <c r="N13" i="20" s="1"/>
  <c r="AB10" i="20"/>
  <c r="AC10" i="20" s="1"/>
  <c r="L81" i="10"/>
  <c r="L84" i="10" s="1"/>
  <c r="M41" i="19"/>
  <c r="AB38" i="19"/>
  <c r="N38" i="19"/>
  <c r="K40" i="10"/>
  <c r="N38" i="16"/>
  <c r="M41" i="16"/>
  <c r="AB38" i="16"/>
  <c r="L15" i="10"/>
  <c r="L18" i="10" s="1"/>
  <c r="M41" i="15"/>
  <c r="AB38" i="15"/>
  <c r="N38" i="15"/>
  <c r="M41" i="14"/>
  <c r="AB38" i="14"/>
  <c r="N38" i="14"/>
  <c r="M41" i="13"/>
  <c r="AB38" i="13"/>
  <c r="N38" i="13"/>
  <c r="I45" i="9"/>
  <c r="J44" i="9"/>
  <c r="K44" i="9" s="1"/>
  <c r="AB44" i="25" l="1"/>
  <c r="AC44" i="25" s="1"/>
  <c r="AC38" i="25"/>
  <c r="N41" i="25"/>
  <c r="I69" i="25"/>
  <c r="M41" i="24"/>
  <c r="AB38" i="24"/>
  <c r="N38" i="24"/>
  <c r="M41" i="22"/>
  <c r="AB38" i="22"/>
  <c r="N38" i="22"/>
  <c r="M41" i="20"/>
  <c r="AB38" i="20"/>
  <c r="N38" i="20"/>
  <c r="AB44" i="19"/>
  <c r="AC44" i="19" s="1"/>
  <c r="AC38" i="19"/>
  <c r="N41" i="19"/>
  <c r="I69" i="19"/>
  <c r="N41" i="16"/>
  <c r="I69" i="16"/>
  <c r="AB44" i="16"/>
  <c r="AC44" i="16" s="1"/>
  <c r="AC38" i="16"/>
  <c r="AB44" i="15"/>
  <c r="AC44" i="15" s="1"/>
  <c r="AC38" i="15"/>
  <c r="N41" i="15"/>
  <c r="I69" i="15"/>
  <c r="AB44" i="14"/>
  <c r="AC44" i="14" s="1"/>
  <c r="AC38" i="14"/>
  <c r="N41" i="14"/>
  <c r="I69" i="14"/>
  <c r="AB44" i="13"/>
  <c r="AC44" i="13" s="1"/>
  <c r="AC38" i="13"/>
  <c r="N41" i="13"/>
  <c r="I69" i="13"/>
  <c r="J67" i="9"/>
  <c r="J69" i="25" l="1"/>
  <c r="J75" i="25" s="1"/>
  <c r="J80" i="25" s="1"/>
  <c r="I75" i="25"/>
  <c r="I80" i="25" s="1"/>
  <c r="AB44" i="24"/>
  <c r="AC44" i="24" s="1"/>
  <c r="AC38" i="24"/>
  <c r="N41" i="24"/>
  <c r="I69" i="24"/>
  <c r="AB44" i="22"/>
  <c r="AC44" i="22" s="1"/>
  <c r="AC38" i="22"/>
  <c r="N41" i="22"/>
  <c r="I69" i="22"/>
  <c r="AB44" i="20"/>
  <c r="AC44" i="20" s="1"/>
  <c r="AC38" i="20"/>
  <c r="N41" i="20"/>
  <c r="I69" i="20"/>
  <c r="J69" i="19"/>
  <c r="J75" i="19" s="1"/>
  <c r="J80" i="19" s="1"/>
  <c r="I75" i="19"/>
  <c r="I80" i="19" s="1"/>
  <c r="J69" i="16"/>
  <c r="J75" i="16" s="1"/>
  <c r="J80" i="16" s="1"/>
  <c r="I75" i="16"/>
  <c r="I80" i="16" s="1"/>
  <c r="J69" i="15"/>
  <c r="J75" i="15" s="1"/>
  <c r="J80" i="15" s="1"/>
  <c r="I75" i="15"/>
  <c r="I80" i="15" s="1"/>
  <c r="J69" i="14"/>
  <c r="J75" i="14" s="1"/>
  <c r="J80" i="14" s="1"/>
  <c r="I75" i="14"/>
  <c r="I80" i="14" s="1"/>
  <c r="J69" i="13"/>
  <c r="J75" i="13" s="1"/>
  <c r="J80" i="13" s="1"/>
  <c r="I75" i="13"/>
  <c r="I80" i="13" s="1"/>
  <c r="G73" i="9"/>
  <c r="G72" i="9"/>
  <c r="H68" i="9"/>
  <c r="J68" i="9" s="1"/>
  <c r="I69" i="9"/>
  <c r="H67" i="9"/>
  <c r="G67" i="9"/>
  <c r="J69" i="24" l="1"/>
  <c r="J75" i="24" s="1"/>
  <c r="J80" i="24" s="1"/>
  <c r="I75" i="24"/>
  <c r="I80" i="24" s="1"/>
  <c r="J69" i="22"/>
  <c r="J75" i="22" s="1"/>
  <c r="J80" i="22" s="1"/>
  <c r="I75" i="22"/>
  <c r="I80" i="22" s="1"/>
  <c r="J69" i="20"/>
  <c r="J75" i="20" s="1"/>
  <c r="J80" i="20" s="1"/>
  <c r="I75" i="20"/>
  <c r="I80" i="20" s="1"/>
  <c r="H75" i="9"/>
  <c r="H80" i="9" s="1"/>
  <c r="G75" i="9"/>
  <c r="H45" i="9"/>
  <c r="G45" i="9"/>
  <c r="J69" i="9"/>
  <c r="J45" i="9" l="1"/>
  <c r="K45" i="9" s="1"/>
  <c r="I73" i="9"/>
  <c r="J73" i="9" s="1"/>
  <c r="O72" i="9"/>
  <c r="I72" i="9"/>
  <c r="M72" i="9"/>
  <c r="I75" i="9" l="1"/>
  <c r="I80" i="9" s="1"/>
  <c r="K46" i="9"/>
  <c r="G80" i="9"/>
  <c r="J72" i="9"/>
  <c r="J75" i="9" l="1"/>
  <c r="J80" i="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7503D7F1-887F-472A-A732-D6D4BE9A6B1D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3ADBBD30-A74C-42A3-B8BB-CA40BB660357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7F5741A5-471B-4430-BCA4-B282802DC24C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3263B343-DBBE-47B6-B162-6AAE4897C990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2F88E6D8-D032-477C-B3FC-B77F9D9C57E8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D59EDEF3-61F6-4D4E-AEE2-523BE23B8124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90E1FEE8-9E87-4AF3-9128-C4F5BC99CC4E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295EA08D-7784-4924-A0DC-51AA1C677351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56BF48CC-676A-4EE0-870D-8A17101C9474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72438401-F441-408E-8666-4A2A2576136A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17BA7B57-A76A-48CC-BB6F-3065329E589F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59E5D0AB-0161-4018-B382-0C547096E911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8E9467EE-B612-4DB7-8E4B-73EB53526C8D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87B34A91-AE55-42C8-AA5A-C41FC7731E19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C0F9BCD1-FA99-4077-BB39-86CC00D32236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612566A5-AAD2-4A8C-8472-A47C853F79CD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52789A10-E3F5-4C90-9C6A-78BEDECB1E93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F4E2AF5B-B4F6-4D58-A8F2-58FB1248D6FC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3CD5D90A-9898-40EF-8556-BCCFB0BD178E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B30842ED-F1A4-4C5E-B8D4-70632034F4B7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D5C22EE9-D7E6-4C7D-B76F-736AC46CB543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8AFA9913-40C6-43AC-A975-F5D245A40BC8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5ED17D08-1D41-4D4C-AEAC-9623FF7FB525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C1F46F6F-8995-4699-8580-FE9D513A411B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9B5AEC68-2F62-447B-B4D9-FFC0DC1816E4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B6A9FFE0-096F-4122-A044-EBC3212F3986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09AE5218-6C0D-47C0-A3CD-D61331E08EC9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329152A5-C015-4DC0-B032-26835F847C12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65B96C93-949D-483D-A662-72B986E46547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4E545C9F-4B4E-41ED-9C63-F44AC0A34D98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16847C85-BB6C-46F1-99CD-B05171C79B27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72D664F2-4CA5-49D6-A8B0-828BAB87A9FE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D54C6991-764C-438C-AE26-D727085F1F93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EB265275-0D7E-4E20-B2CC-3FE8A059741F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E3831386-6FEE-4EAE-9B5E-AAE1FDB463F3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99D8BE12-6C29-4174-9066-66E7D4FEE3D1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89EF1714-FF4F-4A81-9E77-E2095E09A51D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F16142DE-C2F7-433C-810B-6966C4F3FBDF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200517B5-0162-4EDA-BB68-89A94C905453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387904E4-0048-4DF9-9B7E-F3D526690206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84258B59-737F-4C25-BB6A-FBC1F0DB967F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FF031856-E3E9-4955-9BB1-5EE47A0D87B6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E62EE7CA-40E6-40D7-AB31-E676D16D1F4C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FEEB8C25-FE43-4515-BEFE-7C636361C9D5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E15F38D9-8DB0-44C1-B504-EA069630DA6C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E2DDA0BF-8F6D-46B6-941C-AFA0864DB30A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10908192-DCA9-467B-AD52-F91835C267E8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FBD108BE-DBA6-4AF5-8881-5FE57D51FDF5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206B0CAF-D760-4972-874D-6E892EC5E28A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78D842A1-4DFC-45E7-B0B9-1D1BF153A97A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0A5C4F32-CA74-49FA-BCBD-47E497F344EB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66D05245-C3BC-48D3-8675-D65AA4D4C42C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4EBB656B-4660-456C-9882-15D8E3D47721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A85860A0-8E63-4083-924E-55B8543B0262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00000000-0006-0000-0200-000001000000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00000000-0006-0000-0200-000002000000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00000000-0006-0000-0200-000003000000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00000000-0006-0000-0200-000004000000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00000000-0006-0000-0200-000005000000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00000000-0006-0000-0200-000006000000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00000000-0006-0000-0200-000007000000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00000000-0006-0000-0200-000008000000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A0A843D4-16DB-40DB-A22A-E9933DF2D2C0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mfreeman</author>
  </authors>
  <commentList>
    <comment ref="C2" authorId="0" shapeId="0" xr:uid="{30B5C01A-D990-4325-B7B0-A85111F898E9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3" authorId="0" shapeId="0" xr:uid="{71F4AF79-4D2A-4B76-A684-154934B433AA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24" authorId="0" shapeId="0" xr:uid="{BAFE948F-E674-4233-8263-DBDB3034790D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35" authorId="0" shapeId="0" xr:uid="{D1343454-9B6E-4BD5-AA49-567568FB9829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46" authorId="0" shapeId="0" xr:uid="{944970BF-89AA-4065-B37A-A7BD5E263869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57" authorId="0" shapeId="0" xr:uid="{CFEE9DA9-B95D-4B1E-A17D-6469AFA15E23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68" authorId="0" shapeId="0" xr:uid="{6A311215-B1AB-427F-86C6-A03690FE2B94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79" authorId="0" shapeId="0" xr:uid="{B8C30748-41A3-45E5-A40C-4E78C3075762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90" authorId="0" shapeId="0" xr:uid="{A87A6F62-8C25-48EA-B24D-9ADC36D98950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01" authorId="0" shapeId="0" xr:uid="{F9D52E02-99C3-430B-BDC4-6ADD43862BAD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12" authorId="0" shapeId="0" xr:uid="{7462237C-0586-4DCF-956C-BF872C4A076D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23" authorId="0" shapeId="0" xr:uid="{4E16329D-2FF4-48F5-BF92-DAABBBA94298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34" authorId="0" shapeId="0" xr:uid="{070BBB68-A2A2-4C61-81A6-DE5A7FEB1A47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45" authorId="0" shapeId="0" xr:uid="{4A39B6F9-42B4-44C9-B2E5-4EF2973A0E37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A91440C5-8216-4173-B74A-4BE46354EA65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81BBAD44-037F-4DFC-865F-764D9A0A3394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BE8BDFF5-1727-4FE3-87A7-66345583C016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570ACB3A-386C-420B-96A0-78E1ADD5D6ED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8ADADDD8-1360-4DBB-B925-AF9C441B9B06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6A1C9ED1-4AEB-4B12-8142-2D1765184757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B6C0E4F0-84A6-4644-B93C-61E6075F29EA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95B44BF4-0005-4565-98FB-0E047ADAB53A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829866DD-66AA-4F41-89B0-2F6D7E53C425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C8B3A1BD-D5CA-455F-9707-2DACE9B45F86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47B7140E-6BEC-46A6-B5C5-133BA73E92E2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FBEBD411-6391-4430-958D-2F78568A8979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8A455F78-7696-4C90-A49A-E1EE3C7E48A7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48BEE912-0168-4403-9785-2DAB355F8989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F8CB932C-F951-4AB7-A40E-F655DF3243EE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81308C10-E8F6-48BA-BD11-C4883FBC1C99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47FF6AD7-9444-4907-BA61-F2D34C1C2AF8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595D24EE-73DC-4676-B945-20B7FED85DEF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17D4CAF4-AADF-41D5-BAD9-877DFF8A797F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1A6789D2-746D-4C56-91DE-FE4D4395DCF6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15E57675-B596-428F-B0CA-EAB158A86B71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979F0DD6-C769-4D93-82DF-097834EA46B0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C3F7FBD4-A85E-465E-ADBF-133B725A12A6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86722C7B-E68A-4F0C-9A3B-979EFEF82F92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06A29E10-CEDD-4120-A5BE-AE8618F40DE0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88E53E1C-51EA-4539-8885-053827074E24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688AE636-1FA0-4B34-AFCD-49168D4E0EC9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4FB09C7A-053A-48EE-8D67-C35CB3001AB1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386EA29B-9DAC-4069-8CD1-DACED8694271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62EEBCD2-4C7D-4807-AB01-155012CFE926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71DA37F1-0EFF-4EAD-9842-5E93115E51E6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8896B55E-09E6-493E-91DC-8848F2CF17F4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C2DCE33F-755C-4EB6-9EF7-F818EA8C0469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6EB68305-8EDE-49A4-B252-9422A5CAB4D3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A649A48A-95AA-4917-83E8-6F4C9DA4DD22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B38B7D9B-26D4-4B3C-BCD0-69A2CAADDE86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92B1A2B0-F567-40D8-B340-2322C7D0C8C4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9DB77E34-8E6E-4A37-A329-1DC419FEBE92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A9CEBE60-8FE0-4164-B480-A9918715C114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A4F1A913-C645-4BAD-9BDF-AC8CDB7799F9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113B95F1-0EB7-405A-9F16-F6A75A794C6A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3B0C47D8-4430-4D4F-A90B-09B8E415C972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3A8D4438-ECD5-4AE0-9DF4-038ECF0CEC77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E3B03689-62E5-4B48-A75A-860798A79050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12BEF8EA-5853-48D1-9D4A-47AEDC9E806D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586BEC58-7845-42A5-BBCC-83D32963816C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C0224BCD-E3B7-4059-A057-DB8F9D319A36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0616DA17-3DAE-4595-AC9D-963150BE83E7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205AC52C-041A-4ACB-B567-08DB4BE1753B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627A9B09-C108-44EC-AFA9-588D54F1DE0C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58F9BB2A-5A39-475B-B6D5-93114708789C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07930497-1643-4E58-B76B-D2BC4DAB353D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96CDA62A-E67E-499C-90DD-388ABE436D56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9A72759C-BDFD-4420-B91A-D81BE46BBEDF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5CBE43A6-FCBC-4C2A-8E76-A48D64BB3B2E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B0C0964E-B148-4F1B-B9F5-962C5364ECA4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8F6830BB-93D3-4F5F-85F5-8AE4C15E86FE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F6067D41-E5A0-4C80-BC9C-E1A4537E62F8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B607ACE9-127A-4E9A-9622-0106ED2B8F69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01147B7A-ECEF-4DCC-8AD8-E07B471DC1D7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8FA54196-BAE7-4EAA-830A-7DA5DC1FC29F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3E533167-A0FE-4F5E-9C6C-6E1EF6972F6C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95051EA6-CA5A-419A-B748-5AA725436ECE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F0D079D4-60F7-4EC1-A645-2EF62657B258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F6EC6F18-C156-4383-8C90-288BB105C8D7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C4E50726-66E8-4CF3-8F02-3D5CF6C20F88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7AA36D50-5E15-4ACA-AFE8-5F3226FFEC77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E51290B0-E859-4C14-96C1-045CC65259D0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88FA5CD1-FB23-4808-B1E5-043412F740AD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FD2FE595-7418-4EE0-8F0B-B319C41F92AF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DD49DBC1-CE35-4263-9922-42116BBEA74A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4FC7D374-FD15-463D-9695-7FDAB9AE7EB0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sharedStrings.xml><?xml version="1.0" encoding="utf-8"?>
<sst xmlns="http://schemas.openxmlformats.org/spreadsheetml/2006/main" count="32982" uniqueCount="2736">
  <si>
    <t>Current Year</t>
  </si>
  <si>
    <t>Budgeted Year</t>
  </si>
  <si>
    <t>FICA SSDI Rate</t>
  </si>
  <si>
    <t>FICA SSHI Rate</t>
  </si>
  <si>
    <t>Unemployment Rate</t>
  </si>
  <si>
    <t>Workers Comp Rate</t>
  </si>
  <si>
    <t>Life Insurance Rate</t>
  </si>
  <si>
    <t>Unused sick leave rate</t>
  </si>
  <si>
    <t>DHR rate</t>
  </si>
  <si>
    <t>Total Group</t>
  </si>
  <si>
    <t>Agency Benefit Information</t>
  </si>
  <si>
    <t>Total Permanent</t>
  </si>
  <si>
    <t>Full Time Health Costs</t>
  </si>
  <si>
    <t>Agency/Department:</t>
  </si>
  <si>
    <t>Agency Number:</t>
  </si>
  <si>
    <t>Fiscal Year:</t>
  </si>
  <si>
    <t>Original Request Date:</t>
  </si>
  <si>
    <t>Fund Name:</t>
  </si>
  <si>
    <t>Revision Date:</t>
  </si>
  <si>
    <t>Revision #:</t>
  </si>
  <si>
    <t>PCN</t>
  </si>
  <si>
    <t>CLASS CODE</t>
  </si>
  <si>
    <t>DESCRIPTION</t>
  </si>
  <si>
    <t>Indicator Code</t>
  </si>
  <si>
    <t>FTP</t>
  </si>
  <si>
    <t>TOTAL BENEFIT CHANGES</t>
  </si>
  <si>
    <t>Totals from Wage and Salary Report (WSR):</t>
  </si>
  <si>
    <t>Permanent Positions</t>
  </si>
  <si>
    <t>Board &amp; Group Positions</t>
  </si>
  <si>
    <t>Elected Officials &amp; Full Time Commissioners</t>
  </si>
  <si>
    <t>TOTAL FROM WSR</t>
  </si>
  <si>
    <t>ORIGINAL APPROPRIATION</t>
  </si>
  <si>
    <t>Unadjusted Over or (Under) Funded:</t>
  </si>
  <si>
    <t>Est Difference</t>
  </si>
  <si>
    <t>Adjustments to Wage &amp; Salary:</t>
  </si>
  <si>
    <t>Add Funded / Subtract Unfunded - Vacant or Authorized - Positions:</t>
  </si>
  <si>
    <t>Other Adjustments:</t>
  </si>
  <si>
    <t>Estimated Salary Needs:</t>
  </si>
  <si>
    <t>Estimated Salary and Benefits</t>
  </si>
  <si>
    <t>Adjusted Over or (Under) Funding:</t>
  </si>
  <si>
    <t>Orig. Approp</t>
  </si>
  <si>
    <t>Est. Expend</t>
  </si>
  <si>
    <t>DU</t>
  </si>
  <si>
    <t>Original Appropriation</t>
  </si>
  <si>
    <t>Total Benefit Change</t>
  </si>
  <si>
    <t xml:space="preserve"> </t>
  </si>
  <si>
    <t>Rounded Appropriation</t>
  </si>
  <si>
    <t>Appropriation Adjustments:</t>
  </si>
  <si>
    <t>Reappropriation</t>
  </si>
  <si>
    <t>Supplemental</t>
  </si>
  <si>
    <t>TOTAL APPROPRIATION</t>
  </si>
  <si>
    <t>Expenditure Adjustments:</t>
  </si>
  <si>
    <t>FTP or Fund Adjustment</t>
  </si>
  <si>
    <t>ESTIMATED EXPENDITURES</t>
  </si>
  <si>
    <t>Base Adjustments:</t>
  </si>
  <si>
    <t>Removal of One-Time Expenditures</t>
  </si>
  <si>
    <t>Base Reduction</t>
  </si>
  <si>
    <t>BASE</t>
  </si>
  <si>
    <t>Change in Health Benefit Costs</t>
  </si>
  <si>
    <t>Change in Variable Benefits Costs</t>
  </si>
  <si>
    <t>Annualization</t>
  </si>
  <si>
    <t>CEC for Group Positions</t>
  </si>
  <si>
    <t>CEC for Elected Officials &amp; Commissioners</t>
  </si>
  <si>
    <t>PROGRAM MAINTENANCE</t>
  </si>
  <si>
    <t>Line Items:</t>
  </si>
  <si>
    <t>TOTAL REQUEST</t>
  </si>
  <si>
    <t>Transfer Between Programs</t>
  </si>
  <si>
    <t xml:space="preserve">Transfer Between Programs </t>
  </si>
  <si>
    <t>R1</t>
  </si>
  <si>
    <t>R6</t>
  </si>
  <si>
    <t>R2</t>
  </si>
  <si>
    <t>R4</t>
  </si>
  <si>
    <t>R5</t>
  </si>
  <si>
    <t>R8</t>
  </si>
  <si>
    <t>R7</t>
  </si>
  <si>
    <t>Regular Retirement</t>
  </si>
  <si>
    <t>Police/Fire Retirement</t>
  </si>
  <si>
    <t>Former Public Safety (1985)</t>
  </si>
  <si>
    <t xml:space="preserve">Dept of Labor </t>
  </si>
  <si>
    <t>Judges Retirement</t>
  </si>
  <si>
    <t>Optional Retirement</t>
  </si>
  <si>
    <t>RETIREMENT RATES</t>
  </si>
  <si>
    <t>Part Time Health Costs</t>
  </si>
  <si>
    <t>FTI</t>
  </si>
  <si>
    <t>Budget Submission Page #</t>
  </si>
  <si>
    <t>of</t>
  </si>
  <si>
    <t>Retire Cd</t>
  </si>
  <si>
    <t>Adjustment Description / Position Title</t>
  </si>
  <si>
    <t>** MESSAGE CODES:</t>
  </si>
  <si>
    <t>1 = POSITION WITH MULTIPLE DISTRIBUTIONS</t>
  </si>
  <si>
    <t>2 = DELETED POSITION WITH ACTUAL DOLLARS</t>
  </si>
  <si>
    <t>3 = INCUMBENT IS AN UNDERFILL</t>
  </si>
  <si>
    <t>5 = SHIFT DIFFERENTIAL</t>
  </si>
  <si>
    <t>6 = MULTIPLE FILL CALCULATION</t>
  </si>
  <si>
    <t>Salary</t>
  </si>
  <si>
    <t>Variable Benefits</t>
  </si>
  <si>
    <t>Total Benefits</t>
  </si>
  <si>
    <t>Totals by Fund</t>
  </si>
  <si>
    <t>Health Benefits</t>
  </si>
  <si>
    <t>Base</t>
  </si>
  <si>
    <t xml:space="preserve">Personnel Cost Reconciliation - Relation to Zero Variance  ---&gt; </t>
  </si>
  <si>
    <t>CEC for Permanent Positions</t>
  </si>
  <si>
    <t>Elected Officials</t>
  </si>
  <si>
    <t>Permanent Position CEC Rate</t>
  </si>
  <si>
    <t>Group Position CEC Rate</t>
  </si>
  <si>
    <t>Filled</t>
  </si>
  <si>
    <t>Total</t>
  </si>
  <si>
    <t>Filled and Adjustments</t>
  </si>
  <si>
    <t>Adjustments Only</t>
  </si>
  <si>
    <t>Percent of Filled Positions</t>
  </si>
  <si>
    <t>FTP = POSITION FTE = (PAY PERIOD HOURS/80) * FTE PCT OF YEAR * POSITION DISTRIBUTION %</t>
  </si>
  <si>
    <t>FTI  = EMPLOYEE FTE = (PAY PERIOD HOURS/80)  * FTE PCT OF YEAR * POSITION DISTRIBUTION %</t>
  </si>
  <si>
    <t>orig CEC</t>
  </si>
  <si>
    <t>Luma Fund Number</t>
  </si>
  <si>
    <t>Appropriation (Budget) Unit</t>
  </si>
  <si>
    <t>Historical Fund #:</t>
  </si>
  <si>
    <t>Budgeted Division:</t>
  </si>
  <si>
    <t>Budgeted Program</t>
  </si>
  <si>
    <t>FISCAL YEAR</t>
  </si>
  <si>
    <t>AGENCY CODE</t>
  </si>
  <si>
    <t>PCN TITLE</t>
  </si>
  <si>
    <t>FUND CODE</t>
  </si>
  <si>
    <t>FUND DETAIL CODE</t>
  </si>
  <si>
    <t>BUDGET UNIT</t>
  </si>
  <si>
    <t>PCA</t>
  </si>
  <si>
    <t>INDEX CODE</t>
  </si>
  <si>
    <t>PCN DIST COUNT</t>
  </si>
  <si>
    <t>PCN CLASS CODE</t>
  </si>
  <si>
    <t>PCN PAY GRADE</t>
  </si>
  <si>
    <t>PCN STATUS CODE</t>
  </si>
  <si>
    <t>PCN TYPE CODE</t>
  </si>
  <si>
    <t>INCUMBENT COUNT</t>
  </si>
  <si>
    <t>PCN DIST PCT</t>
  </si>
  <si>
    <t>PCN FTE PCT</t>
  </si>
  <si>
    <t>PCN PP HOURS</t>
  </si>
  <si>
    <t>PCN FTP</t>
  </si>
  <si>
    <t>PCN ACTUAL REGULAR</t>
  </si>
  <si>
    <t>PCN ACTUAL OT</t>
  </si>
  <si>
    <t>PCN ACTUAL BENEFITS</t>
  </si>
  <si>
    <t>PCN ESTIMATED SALARY</t>
  </si>
  <si>
    <t>PCN ESTIMATED BENEFITS</t>
  </si>
  <si>
    <t>PCN PROJECTED SALARY</t>
  </si>
  <si>
    <t>PCN PROJECTED BENEFITS</t>
  </si>
  <si>
    <t>EMPLOYEE NAME</t>
  </si>
  <si>
    <t>LAST NAME</t>
  </si>
  <si>
    <t>FIRST NAME</t>
  </si>
  <si>
    <t>MIDDLE NAME</t>
  </si>
  <si>
    <t>INCUMBENT CLASS</t>
  </si>
  <si>
    <t>INCUMBENT PAY SCHEDULE</t>
  </si>
  <si>
    <t>PAY RATE IND</t>
  </si>
  <si>
    <t>PAY RATE</t>
  </si>
  <si>
    <t>CSS HOURS</t>
  </si>
  <si>
    <t>WORK TYPE CODE</t>
  </si>
  <si>
    <t>HEALTH ELIG IND</t>
  </si>
  <si>
    <t>SICK LEAVE ELIG IND</t>
  </si>
  <si>
    <t>UI ELIG IND</t>
  </si>
  <si>
    <t>RET OPT CODE</t>
  </si>
  <si>
    <t>INCUMBENT PP HOURS</t>
  </si>
  <si>
    <t>INCUMBENT FTE</t>
  </si>
  <si>
    <t>INCUMBENT FTI</t>
  </si>
  <si>
    <t>MSGS</t>
  </si>
  <si>
    <t>2022</t>
  </si>
  <si>
    <t>240</t>
  </si>
  <si>
    <t>2299</t>
  </si>
  <si>
    <t xml:space="preserve">ECONOMIST, LABOR    </t>
  </si>
  <si>
    <t>0302</t>
  </si>
  <si>
    <t>00</t>
  </si>
  <si>
    <t>EMAA</t>
  </si>
  <si>
    <t>003</t>
  </si>
  <si>
    <t>08832</t>
  </si>
  <si>
    <t>L</t>
  </si>
  <si>
    <t>F</t>
  </si>
  <si>
    <t>CR</t>
  </si>
  <si>
    <t>WOLKENHAUER, SAMUEL D.</t>
  </si>
  <si>
    <t>WOLKENHAUER</t>
  </si>
  <si>
    <t>SAMUEL</t>
  </si>
  <si>
    <t>DAVID</t>
  </si>
  <si>
    <t xml:space="preserve">HL   </t>
  </si>
  <si>
    <t>H</t>
  </si>
  <si>
    <t>FS</t>
  </si>
  <si>
    <t>E</t>
  </si>
  <si>
    <t>N</t>
  </si>
  <si>
    <t>Y</t>
  </si>
  <si>
    <t xml:space="preserve">    </t>
  </si>
  <si>
    <t>2154</t>
  </si>
  <si>
    <t>EKE, ESTHER C.</t>
  </si>
  <si>
    <t>EKE</t>
  </si>
  <si>
    <t>ESTHER</t>
  </si>
  <si>
    <t>CHINWE</t>
  </si>
  <si>
    <t>2110</t>
  </si>
  <si>
    <t>SEOELA, BONANG N.</t>
  </si>
  <si>
    <t>SEOELA</t>
  </si>
  <si>
    <t>BONANG</t>
  </si>
  <si>
    <t>NATHNAEL</t>
  </si>
  <si>
    <t>2090</t>
  </si>
  <si>
    <t>TACKE, KATHRYN A.</t>
  </si>
  <si>
    <t>TACKE</t>
  </si>
  <si>
    <t>KATHRYN</t>
  </si>
  <si>
    <t>A</t>
  </si>
  <si>
    <t>1108</t>
  </si>
  <si>
    <t>ROESER, JANINE L.</t>
  </si>
  <si>
    <t>ROESER</t>
  </si>
  <si>
    <t>JANINE</t>
  </si>
  <si>
    <t>1053</t>
  </si>
  <si>
    <t>RESEARCH ANLYST SUPV</t>
  </si>
  <si>
    <t>004</t>
  </si>
  <si>
    <t>05448</t>
  </si>
  <si>
    <t>SHAUL, CRAIG M.</t>
  </si>
  <si>
    <t>SHAUL</t>
  </si>
  <si>
    <t>CRAIG</t>
  </si>
  <si>
    <t>M</t>
  </si>
  <si>
    <t xml:space="preserve">HN   </t>
  </si>
  <si>
    <t>4005</t>
  </si>
  <si>
    <t xml:space="preserve">ADMIN ASST 2        </t>
  </si>
  <si>
    <t>0303</t>
  </si>
  <si>
    <t>001</t>
  </si>
  <si>
    <t>01231</t>
  </si>
  <si>
    <t>I</t>
  </si>
  <si>
    <t>MAGDALENO, JOANNA N.</t>
  </si>
  <si>
    <t>MAGDALENO</t>
  </si>
  <si>
    <t>JOANNA</t>
  </si>
  <si>
    <t xml:space="preserve">HI   </t>
  </si>
  <si>
    <t>1064</t>
  </si>
  <si>
    <t>IT INFO MGT SPECIALI</t>
  </si>
  <si>
    <t>0348</t>
  </si>
  <si>
    <t>31</t>
  </si>
  <si>
    <t>01724</t>
  </si>
  <si>
    <t>ROBINSON, RONALD E.</t>
  </si>
  <si>
    <t>ROBINSON</t>
  </si>
  <si>
    <t>RONALD</t>
  </si>
  <si>
    <t>1705</t>
  </si>
  <si>
    <t xml:space="preserve">PERSONNEL TECH      </t>
  </si>
  <si>
    <t>05159</t>
  </si>
  <si>
    <t>MCBRIDE, CAMMIE J.</t>
  </si>
  <si>
    <t>MCBRIDE</t>
  </si>
  <si>
    <t>CAMMIE</t>
  </si>
  <si>
    <t>JO</t>
  </si>
  <si>
    <t>1058</t>
  </si>
  <si>
    <t>FINANCIAL SPECIALIST</t>
  </si>
  <si>
    <t>002</t>
  </si>
  <si>
    <t>04244</t>
  </si>
  <si>
    <t>CASEBOLT, CAROLYN Z.</t>
  </si>
  <si>
    <t>CASEBOLT</t>
  </si>
  <si>
    <t>CAROLYN</t>
  </si>
  <si>
    <t>ZOE</t>
  </si>
  <si>
    <t xml:space="preserve">HM   </t>
  </si>
  <si>
    <t>1703</t>
  </si>
  <si>
    <t xml:space="preserve">TECH RECORDS SPEC 1 </t>
  </si>
  <si>
    <t>01104</t>
  </si>
  <si>
    <t>PARKS, CARRIE J.</t>
  </si>
  <si>
    <t>PARKS</t>
  </si>
  <si>
    <t>CARRIE</t>
  </si>
  <si>
    <t>J</t>
  </si>
  <si>
    <t xml:space="preserve">HH   </t>
  </si>
  <si>
    <t>8890</t>
  </si>
  <si>
    <t>DEPUTY DIRECTOR, LAB</t>
  </si>
  <si>
    <t>21403</t>
  </si>
  <si>
    <t>NR</t>
  </si>
  <si>
    <t>JOHNSON, MICHAEL A.</t>
  </si>
  <si>
    <t>JOHNSON</t>
  </si>
  <si>
    <t>MICHAEL</t>
  </si>
  <si>
    <t>00000</t>
  </si>
  <si>
    <t>1055</t>
  </si>
  <si>
    <t>RESEARCH ANLYST,PRIN</t>
  </si>
  <si>
    <t>05447</t>
  </si>
  <si>
    <t>SILVA, EDUARDO R.</t>
  </si>
  <si>
    <t>SILVA</t>
  </si>
  <si>
    <t>EDUARDO</t>
  </si>
  <si>
    <t>R</t>
  </si>
  <si>
    <t>3129</t>
  </si>
  <si>
    <t xml:space="preserve">TECH RECORDS SPEC 2 </t>
  </si>
  <si>
    <t>01103</t>
  </si>
  <si>
    <t>V</t>
  </si>
  <si>
    <t>1676</t>
  </si>
  <si>
    <t xml:space="preserve">CUSTOMER SVC REP 2  </t>
  </si>
  <si>
    <t>01120</t>
  </si>
  <si>
    <t>WATT, MICHELLE M.</t>
  </si>
  <si>
    <t>WATT</t>
  </si>
  <si>
    <t>MICHELLE</t>
  </si>
  <si>
    <t>MARIE</t>
  </si>
  <si>
    <t>8887</t>
  </si>
  <si>
    <t>CARR, KRISTYN M.</t>
  </si>
  <si>
    <t>CARR</t>
  </si>
  <si>
    <t>KRISTYN</t>
  </si>
  <si>
    <t>1630</t>
  </si>
  <si>
    <t>04245</t>
  </si>
  <si>
    <t>1054</t>
  </si>
  <si>
    <t xml:space="preserve">PROJECT COORDINATOR </t>
  </si>
  <si>
    <t>005</t>
  </si>
  <si>
    <t>02913</t>
  </si>
  <si>
    <t>CULLEN, JEAN M.</t>
  </si>
  <si>
    <t>CULLEN</t>
  </si>
  <si>
    <t>JEAN</t>
  </si>
  <si>
    <t>1675</t>
  </si>
  <si>
    <t>IT OPS &amp; SUPPORT ANA</t>
  </si>
  <si>
    <t>01709</t>
  </si>
  <si>
    <t>K</t>
  </si>
  <si>
    <t>COOLEY, BYRON L.</t>
  </si>
  <si>
    <t>COOLEY</t>
  </si>
  <si>
    <t>BYRON</t>
  </si>
  <si>
    <t>LEE</t>
  </si>
  <si>
    <t xml:space="preserve">HK   </t>
  </si>
  <si>
    <t>8886</t>
  </si>
  <si>
    <t>WARNICK, MATTHEW K.</t>
  </si>
  <si>
    <t>WARNICK</t>
  </si>
  <si>
    <t>MATTHEW</t>
  </si>
  <si>
    <t>1673</t>
  </si>
  <si>
    <t>RUX, DARREN S.</t>
  </si>
  <si>
    <t>RUX</t>
  </si>
  <si>
    <t>DARREN</t>
  </si>
  <si>
    <t>SCOTT</t>
  </si>
  <si>
    <t>8884</t>
  </si>
  <si>
    <t>COMM/RESEARCH ADMIN,</t>
  </si>
  <si>
    <t>21418</t>
  </si>
  <si>
    <t>SMITH, GEORGIA S.</t>
  </si>
  <si>
    <t>SMITH</t>
  </si>
  <si>
    <t>GEORGIA</t>
  </si>
  <si>
    <t>S</t>
  </si>
  <si>
    <t>1044</t>
  </si>
  <si>
    <t xml:space="preserve">ADMIN ASST 1        </t>
  </si>
  <si>
    <t>01235</t>
  </si>
  <si>
    <t xml:space="preserve">HANEY, JACKIE </t>
  </si>
  <si>
    <t>HANEY</t>
  </si>
  <si>
    <t>JACKIE</t>
  </si>
  <si>
    <t xml:space="preserve">              </t>
  </si>
  <si>
    <t>1076</t>
  </si>
  <si>
    <t>IT INFO SYS AND INFR</t>
  </si>
  <si>
    <t>01730</t>
  </si>
  <si>
    <t>1664</t>
  </si>
  <si>
    <t>HUMAN RESOURCE SPEC,</t>
  </si>
  <si>
    <t>05134</t>
  </si>
  <si>
    <t>HOLMAN-CROUT, CARRIE L.</t>
  </si>
  <si>
    <t>HOLMAN-CROUT</t>
  </si>
  <si>
    <t>8880</t>
  </si>
  <si>
    <t xml:space="preserve">PUBLIC INFO OFCR    </t>
  </si>
  <si>
    <t>05578</t>
  </si>
  <si>
    <t>8882</t>
  </si>
  <si>
    <t xml:space="preserve">POLICY COORDINATOR  </t>
  </si>
  <si>
    <t>21402</t>
  </si>
  <si>
    <t>CARNOPIS, DARLENE M.</t>
  </si>
  <si>
    <t>CARNOPIS</t>
  </si>
  <si>
    <t>DARLENE</t>
  </si>
  <si>
    <t>1043</t>
  </si>
  <si>
    <t>04246</t>
  </si>
  <si>
    <t>MAYER, GEORGANN H.</t>
  </si>
  <si>
    <t>MAYER</t>
  </si>
  <si>
    <t>GEORGANN</t>
  </si>
  <si>
    <t>HOLLAND</t>
  </si>
  <si>
    <t>1643</t>
  </si>
  <si>
    <t>LABOR MARKET INFO DI</t>
  </si>
  <si>
    <t>05440</t>
  </si>
  <si>
    <t>P</t>
  </si>
  <si>
    <t>VAZQUEZ, SALVADOR P.</t>
  </si>
  <si>
    <t>VAZQUEZ</t>
  </si>
  <si>
    <t>SALVADOR</t>
  </si>
  <si>
    <t xml:space="preserve">HP   </t>
  </si>
  <si>
    <t>8881</t>
  </si>
  <si>
    <t xml:space="preserve">DIRECTOR, LABOR     </t>
  </si>
  <si>
    <t>21400</t>
  </si>
  <si>
    <t>REVIER, JANI L.</t>
  </si>
  <si>
    <t>REVIER</t>
  </si>
  <si>
    <t>JANI</t>
  </si>
  <si>
    <t>1042</t>
  </si>
  <si>
    <t>JARBOE SINGLETARY, KAREN R.</t>
  </si>
  <si>
    <t>JARBOE SINGLETARY</t>
  </si>
  <si>
    <t>KAREN</t>
  </si>
  <si>
    <t>RUTH</t>
  </si>
  <si>
    <t>1641</t>
  </si>
  <si>
    <t>IT SOFTWARE ENGINEER</t>
  </si>
  <si>
    <t>01715</t>
  </si>
  <si>
    <t>GIBSON, MARGIE P.</t>
  </si>
  <si>
    <t>GIBSON</t>
  </si>
  <si>
    <t>MARGIE</t>
  </si>
  <si>
    <t>PAULINE</t>
  </si>
  <si>
    <t>3200</t>
  </si>
  <si>
    <t>FINANCIAL TECHNICIAN</t>
  </si>
  <si>
    <t>04248</t>
  </si>
  <si>
    <t>MILLICH, LARA A.</t>
  </si>
  <si>
    <t>MILLICH</t>
  </si>
  <si>
    <t>LARA</t>
  </si>
  <si>
    <t>1587</t>
  </si>
  <si>
    <t>1041</t>
  </si>
  <si>
    <t>01714</t>
  </si>
  <si>
    <t>HOOGENDOORN, TRAVIS W.</t>
  </si>
  <si>
    <t>HOOGENDOORN</t>
  </si>
  <si>
    <t>TRAVIS</t>
  </si>
  <si>
    <t>WAYNE</t>
  </si>
  <si>
    <t>1635</t>
  </si>
  <si>
    <t xml:space="preserve">BUYER               </t>
  </si>
  <si>
    <t>01536</t>
  </si>
  <si>
    <t>REDFORD, LINDA L.</t>
  </si>
  <si>
    <t>REDFORD</t>
  </si>
  <si>
    <t>LINDA</t>
  </si>
  <si>
    <t xml:space="preserve">HJ   </t>
  </si>
  <si>
    <t>3120</t>
  </si>
  <si>
    <t>THILL, MICHAEL B.</t>
  </si>
  <si>
    <t>THILL</t>
  </si>
  <si>
    <t>BEN</t>
  </si>
  <si>
    <t>1036</t>
  </si>
  <si>
    <t>KITTO, KIMBRIA J.</t>
  </si>
  <si>
    <t>KITTO</t>
  </si>
  <si>
    <t>KIMBRIA</t>
  </si>
  <si>
    <t>JOY</t>
  </si>
  <si>
    <t>1631</t>
  </si>
  <si>
    <t>HANSON, RONALD G.</t>
  </si>
  <si>
    <t>HANSON</t>
  </si>
  <si>
    <t>G</t>
  </si>
  <si>
    <t>3097</t>
  </si>
  <si>
    <t xml:space="preserve">IT MANAGER II       </t>
  </si>
  <si>
    <t>01742</t>
  </si>
  <si>
    <t>STIMMELL, JAMES A.</t>
  </si>
  <si>
    <t>STIMMELL</t>
  </si>
  <si>
    <t>JAMES</t>
  </si>
  <si>
    <t>1034</t>
  </si>
  <si>
    <t xml:space="preserve">BUILDING FAC FRMN   </t>
  </si>
  <si>
    <t>06646</t>
  </si>
  <si>
    <t>GAMEL, DANIEL W.</t>
  </si>
  <si>
    <t>GAMEL</t>
  </si>
  <si>
    <t>DANIEL</t>
  </si>
  <si>
    <t>W</t>
  </si>
  <si>
    <t>1065</t>
  </si>
  <si>
    <t xml:space="preserve">PROJECT MANAGER 1   </t>
  </si>
  <si>
    <t>05567</t>
  </si>
  <si>
    <t>1622</t>
  </si>
  <si>
    <t>01716</t>
  </si>
  <si>
    <t>BOLTON, ALAN R.</t>
  </si>
  <si>
    <t>BOLTON</t>
  </si>
  <si>
    <t>ALAN</t>
  </si>
  <si>
    <t>ROBERT</t>
  </si>
  <si>
    <t>3063</t>
  </si>
  <si>
    <t>APPEALS BUREAU CHIEF</t>
  </si>
  <si>
    <t>06004</t>
  </si>
  <si>
    <t>O</t>
  </si>
  <si>
    <t>HOHNSTEIN, AMY E.</t>
  </si>
  <si>
    <t>HOHNSTEIN</t>
  </si>
  <si>
    <t>AMY</t>
  </si>
  <si>
    <t xml:space="preserve">HO   </t>
  </si>
  <si>
    <t>1033</t>
  </si>
  <si>
    <t>GEORGE, TAMI L.</t>
  </si>
  <si>
    <t>GEORGE</t>
  </si>
  <si>
    <t>TAMI</t>
  </si>
  <si>
    <t>LYNN</t>
  </si>
  <si>
    <t>1571</t>
  </si>
  <si>
    <t xml:space="preserve">FINANCIAL EXECUTIVE </t>
  </si>
  <si>
    <t>04240</t>
  </si>
  <si>
    <t>PETERMAN, CARRIE L.</t>
  </si>
  <si>
    <t>PETERMAN</t>
  </si>
  <si>
    <t>2830</t>
  </si>
  <si>
    <t>04249</t>
  </si>
  <si>
    <t>KNAPP, SANDRA A.</t>
  </si>
  <si>
    <t>KNAPP</t>
  </si>
  <si>
    <t>SANDRA</t>
  </si>
  <si>
    <t>1030</t>
  </si>
  <si>
    <t>FULFER, NANCY L.</t>
  </si>
  <si>
    <t>FULFER</t>
  </si>
  <si>
    <t>NANCY</t>
  </si>
  <si>
    <t>TAYLOR, JOHN E.</t>
  </si>
  <si>
    <t>TAYLOR</t>
  </si>
  <si>
    <t>JOHN</t>
  </si>
  <si>
    <t>2818</t>
  </si>
  <si>
    <t>HILL, BLAINE J.</t>
  </si>
  <si>
    <t>HILL</t>
  </si>
  <si>
    <t>BLAINE</t>
  </si>
  <si>
    <t>JAY</t>
  </si>
  <si>
    <t>1029</t>
  </si>
  <si>
    <t>MARTINEAU, KIRBY C.</t>
  </si>
  <si>
    <t>MARTINEAU</t>
  </si>
  <si>
    <t>KIRBY</t>
  </si>
  <si>
    <t>CHEY</t>
  </si>
  <si>
    <t>1567</t>
  </si>
  <si>
    <t>AUSMAN, CHERYL A.</t>
  </si>
  <si>
    <t>AUSMAN</t>
  </si>
  <si>
    <t>CHERYL</t>
  </si>
  <si>
    <t>PT</t>
  </si>
  <si>
    <t>2323</t>
  </si>
  <si>
    <t xml:space="preserve">SO, LAP MAN </t>
  </si>
  <si>
    <t>SO</t>
  </si>
  <si>
    <t>LAP MAN</t>
  </si>
  <si>
    <t>1028</t>
  </si>
  <si>
    <t>FACILITY SERVICES MG</t>
  </si>
  <si>
    <t>06604</t>
  </si>
  <si>
    <t>RAMIREZ, CARMELA M.</t>
  </si>
  <si>
    <t>RAMIREZ</t>
  </si>
  <si>
    <t>CARMELA</t>
  </si>
  <si>
    <t>1528</t>
  </si>
  <si>
    <t>IT DATABASE ADMIN AN</t>
  </si>
  <si>
    <t>01727</t>
  </si>
  <si>
    <t>RICHARDSON, TEDD M.</t>
  </si>
  <si>
    <t>RICHARDSON</t>
  </si>
  <si>
    <t>TEDD</t>
  </si>
  <si>
    <t>1026</t>
  </si>
  <si>
    <t>SUPPLY OPERATIONS SU</t>
  </si>
  <si>
    <t>01540</t>
  </si>
  <si>
    <t>HARTZ, MELVIN A.</t>
  </si>
  <si>
    <t>HARTZ</t>
  </si>
  <si>
    <t>MELVIN</t>
  </si>
  <si>
    <t>1508</t>
  </si>
  <si>
    <t>IT INFO SECURITY ENG</t>
  </si>
  <si>
    <t>01733</t>
  </si>
  <si>
    <t>GOSSWILLER, MARK E.</t>
  </si>
  <si>
    <t>GOSSWILLER</t>
  </si>
  <si>
    <t>MARK</t>
  </si>
  <si>
    <t>EDWARD</t>
  </si>
  <si>
    <t>2177</t>
  </si>
  <si>
    <t xml:space="preserve">IT MANAGER III      </t>
  </si>
  <si>
    <t>01743</t>
  </si>
  <si>
    <t xml:space="preserve">BARMAN, ADITYA </t>
  </si>
  <si>
    <t>BARMAN</t>
  </si>
  <si>
    <t>ADITYA</t>
  </si>
  <si>
    <t>1022</t>
  </si>
  <si>
    <t>ZAHM, JAMEE F.</t>
  </si>
  <si>
    <t>ZAHM</t>
  </si>
  <si>
    <t>JAMEE</t>
  </si>
  <si>
    <t>FERN</t>
  </si>
  <si>
    <t>1507</t>
  </si>
  <si>
    <t>01735</t>
  </si>
  <si>
    <t xml:space="preserve">OWECHKO, PETER </t>
  </si>
  <si>
    <t>OWECHKO</t>
  </si>
  <si>
    <t>PETER</t>
  </si>
  <si>
    <t>1020</t>
  </si>
  <si>
    <t>01731</t>
  </si>
  <si>
    <t>BAER, SCOTT W.</t>
  </si>
  <si>
    <t>BAER</t>
  </si>
  <si>
    <t>1505</t>
  </si>
  <si>
    <t xml:space="preserve">RESEARCH ANLYST,SR  </t>
  </si>
  <si>
    <t>05449</t>
  </si>
  <si>
    <t xml:space="preserve">GUAN, JINGYING </t>
  </si>
  <si>
    <t>GUAN</t>
  </si>
  <si>
    <t>JINGYING</t>
  </si>
  <si>
    <t>2176</t>
  </si>
  <si>
    <t>01728</t>
  </si>
  <si>
    <t>SNOW, KEVIN J.</t>
  </si>
  <si>
    <t>SNOW</t>
  </si>
  <si>
    <t>KEVIN</t>
  </si>
  <si>
    <t>J.</t>
  </si>
  <si>
    <t>1019</t>
  </si>
  <si>
    <t>LEHAN, CALEB M.</t>
  </si>
  <si>
    <t>LEHAN</t>
  </si>
  <si>
    <t>CALEB</t>
  </si>
  <si>
    <t>1504</t>
  </si>
  <si>
    <t>FOLZ, JEFFREY J.</t>
  </si>
  <si>
    <t>FOLZ</t>
  </si>
  <si>
    <t>JEFFREY</t>
  </si>
  <si>
    <t>1795</t>
  </si>
  <si>
    <t>1018</t>
  </si>
  <si>
    <t>PANTER, JOHN G.</t>
  </si>
  <si>
    <t>PANTER</t>
  </si>
  <si>
    <t>1503</t>
  </si>
  <si>
    <t>SHANKS, JOHANNAH R.</t>
  </si>
  <si>
    <t>SHANKS</t>
  </si>
  <si>
    <t>JOHANNAH</t>
  </si>
  <si>
    <t>1012</t>
  </si>
  <si>
    <t xml:space="preserve">PORIZEK, YOLANDA </t>
  </si>
  <si>
    <t>PORIZEK</t>
  </si>
  <si>
    <t>YOLANDA</t>
  </si>
  <si>
    <t>1223</t>
  </si>
  <si>
    <t xml:space="preserve">OFFICE SPECIALIST 2 </t>
  </si>
  <si>
    <t>01239</t>
  </si>
  <si>
    <t>GOMM, ANNA T.</t>
  </si>
  <si>
    <t>GOMM</t>
  </si>
  <si>
    <t>ANNA</t>
  </si>
  <si>
    <t>THERESA</t>
  </si>
  <si>
    <t xml:space="preserve">HG   </t>
  </si>
  <si>
    <t>1009</t>
  </si>
  <si>
    <t>DOXTATOR, MICHAEL D.</t>
  </si>
  <si>
    <t>DOXTATOR</t>
  </si>
  <si>
    <t>D</t>
  </si>
  <si>
    <t>1222</t>
  </si>
  <si>
    <t xml:space="preserve">IT MANAGER I        </t>
  </si>
  <si>
    <t>01741</t>
  </si>
  <si>
    <t>ALLEX, NICHLAUS K.</t>
  </si>
  <si>
    <t>ALLEX</t>
  </si>
  <si>
    <t>NICHLAUS</t>
  </si>
  <si>
    <t>1791</t>
  </si>
  <si>
    <t xml:space="preserve">IT MANAGER IV       </t>
  </si>
  <si>
    <t>01744</t>
  </si>
  <si>
    <t xml:space="preserve">RICHARD, BRETT </t>
  </si>
  <si>
    <t>RICHARD</t>
  </si>
  <si>
    <t>BRETT</t>
  </si>
  <si>
    <t>1168</t>
  </si>
  <si>
    <t>BEVERAGE, ANDRE C.</t>
  </si>
  <si>
    <t>BEVERAGE</t>
  </si>
  <si>
    <t>ANDRE</t>
  </si>
  <si>
    <t>C</t>
  </si>
  <si>
    <t>1786</t>
  </si>
  <si>
    <t>FRENCH, MICHELLE E.</t>
  </si>
  <si>
    <t>FRENCH</t>
  </si>
  <si>
    <t>ELIZABETH</t>
  </si>
  <si>
    <t>1116</t>
  </si>
  <si>
    <t>PINTER, ELAINE M.</t>
  </si>
  <si>
    <t>PINTER</t>
  </si>
  <si>
    <t>ELAINE</t>
  </si>
  <si>
    <t>1761</t>
  </si>
  <si>
    <t xml:space="preserve">SANCHEZ  JR, MONICO </t>
  </si>
  <si>
    <t>SANCHEZ  JR</t>
  </si>
  <si>
    <t>MONICO</t>
  </si>
  <si>
    <t>1125</t>
  </si>
  <si>
    <t>1750</t>
  </si>
  <si>
    <t>PRATT, PHYLLIS A.</t>
  </si>
  <si>
    <t>PRATT</t>
  </si>
  <si>
    <t>PHYLLIS</t>
  </si>
  <si>
    <t>ANNE</t>
  </si>
  <si>
    <t>1098</t>
  </si>
  <si>
    <t>MYLES, KARINA D.</t>
  </si>
  <si>
    <t>MYLES</t>
  </si>
  <si>
    <t>KARINA</t>
  </si>
  <si>
    <t>DAWN</t>
  </si>
  <si>
    <t>1744</t>
  </si>
  <si>
    <t>ADMINISTRATIVE SUPRT</t>
  </si>
  <si>
    <t>08835</t>
  </si>
  <si>
    <t>BALDWIN, HENRY J.</t>
  </si>
  <si>
    <t>BALDWIN</t>
  </si>
  <si>
    <t>HENRY</t>
  </si>
  <si>
    <t>1088</t>
  </si>
  <si>
    <t xml:space="preserve">PROGRAM MANAGER     </t>
  </si>
  <si>
    <t>09047</t>
  </si>
  <si>
    <t>NASH, SARAH L.</t>
  </si>
  <si>
    <t>NASH</t>
  </si>
  <si>
    <t>SARAH</t>
  </si>
  <si>
    <t>1742</t>
  </si>
  <si>
    <t>WINKLE, WILLIAM J.</t>
  </si>
  <si>
    <t>WINKLE</t>
  </si>
  <si>
    <t>WILLIAM</t>
  </si>
  <si>
    <t>JOSEPH</t>
  </si>
  <si>
    <t>1079</t>
  </si>
  <si>
    <t>IT OPS &amp; SUPPORT TEC</t>
  </si>
  <si>
    <t>01707</t>
  </si>
  <si>
    <t>HANSEN, MARIAN J.</t>
  </si>
  <si>
    <t>HANSEN</t>
  </si>
  <si>
    <t>MARIAN</t>
  </si>
  <si>
    <t>1738</t>
  </si>
  <si>
    <t>AUSTIN, COLBY L.</t>
  </si>
  <si>
    <t>AUSTIN</t>
  </si>
  <si>
    <t>COLBY</t>
  </si>
  <si>
    <t>1078</t>
  </si>
  <si>
    <t>HINSHAW, JERRY L.</t>
  </si>
  <si>
    <t>HINSHAW</t>
  </si>
  <si>
    <t>JERRY</t>
  </si>
  <si>
    <t>1719</t>
  </si>
  <si>
    <t>MCKENZIE, NANCY A.</t>
  </si>
  <si>
    <t>MCKENZIE</t>
  </si>
  <si>
    <t>1077</t>
  </si>
  <si>
    <t xml:space="preserve">SONG, XIUHE </t>
  </si>
  <si>
    <t>SONG</t>
  </si>
  <si>
    <t>XIUHE</t>
  </si>
  <si>
    <t>1716</t>
  </si>
  <si>
    <t>KAISER, SHARI L.</t>
  </si>
  <si>
    <t>KAISER</t>
  </si>
  <si>
    <t>SHARI</t>
  </si>
  <si>
    <t>1069</t>
  </si>
  <si>
    <t>JANTZ, LARRY D.</t>
  </si>
  <si>
    <t>JANTZ</t>
  </si>
  <si>
    <t>LARRY</t>
  </si>
  <si>
    <t>DEAN</t>
  </si>
  <si>
    <t>1708</t>
  </si>
  <si>
    <t xml:space="preserve">BUSINESS ANALYST    </t>
  </si>
  <si>
    <t>05520</t>
  </si>
  <si>
    <t>WONG  JR, KENNETH G.</t>
  </si>
  <si>
    <t>WONG  JR</t>
  </si>
  <si>
    <t>KENNETH</t>
  </si>
  <si>
    <t>1067</t>
  </si>
  <si>
    <t>ARMENTROUT, GARY J.</t>
  </si>
  <si>
    <t>ARMENTROUT</t>
  </si>
  <si>
    <t>GARY</t>
  </si>
  <si>
    <t>1099</t>
  </si>
  <si>
    <t>1707</t>
  </si>
  <si>
    <t>EVANS, MONTY G.</t>
  </si>
  <si>
    <t>EVANS</t>
  </si>
  <si>
    <t>MONTY</t>
  </si>
  <si>
    <t>0349</t>
  </si>
  <si>
    <t>1057</t>
  </si>
  <si>
    <t>HUSLER, BRIAN D.</t>
  </si>
  <si>
    <t>HUSLER</t>
  </si>
  <si>
    <t>BRIAN</t>
  </si>
  <si>
    <t>0001</t>
  </si>
  <si>
    <t>EMAD</t>
  </si>
  <si>
    <t>1808</t>
  </si>
  <si>
    <t>CHALIFOUX, TERRI M.</t>
  </si>
  <si>
    <t>CHALIFOUX</t>
  </si>
  <si>
    <t>TERRI</t>
  </si>
  <si>
    <t>1807</t>
  </si>
  <si>
    <t>LABOR COMPLIANCE OFC</t>
  </si>
  <si>
    <t>08515</t>
  </si>
  <si>
    <t>WITHERS, PAUL T.</t>
  </si>
  <si>
    <t>WITHERS</t>
  </si>
  <si>
    <t>PAUL</t>
  </si>
  <si>
    <t>T</t>
  </si>
  <si>
    <t>1806</t>
  </si>
  <si>
    <t xml:space="preserve">REYNOSO, MARINA </t>
  </si>
  <si>
    <t>REYNOSO</t>
  </si>
  <si>
    <t>MARINA</t>
  </si>
  <si>
    <t>1804</t>
  </si>
  <si>
    <t>METRO, ANITA R.</t>
  </si>
  <si>
    <t>METRO</t>
  </si>
  <si>
    <t>ANITA</t>
  </si>
  <si>
    <t>08513</t>
  </si>
  <si>
    <t>1802</t>
  </si>
  <si>
    <t>BARKER, JEFFREY E.</t>
  </si>
  <si>
    <t>BARKER</t>
  </si>
  <si>
    <t>1801</t>
  </si>
  <si>
    <t xml:space="preserve">HEARING OFFICER     </t>
  </si>
  <si>
    <t>06006</t>
  </si>
  <si>
    <t>HARDY, JANET C.</t>
  </si>
  <si>
    <t>HARDY</t>
  </si>
  <si>
    <t>JANET</t>
  </si>
  <si>
    <t>1800</t>
  </si>
  <si>
    <t xml:space="preserve">PROGRAM SUPERVISOR  </t>
  </si>
  <si>
    <t>08990</t>
  </si>
  <si>
    <t>HOLMES, ARTIE L.</t>
  </si>
  <si>
    <t>HOLMES</t>
  </si>
  <si>
    <t>ARTIE</t>
  </si>
  <si>
    <t>1591</t>
  </si>
  <si>
    <t>7008</t>
  </si>
  <si>
    <t>EMAJ</t>
  </si>
  <si>
    <t>BADE, RENEE M.</t>
  </si>
  <si>
    <t>BADE</t>
  </si>
  <si>
    <t>RENEE</t>
  </si>
  <si>
    <t>7007</t>
  </si>
  <si>
    <t>UHI, HEATHER M.</t>
  </si>
  <si>
    <t>UHI</t>
  </si>
  <si>
    <t>HEATHER</t>
  </si>
  <si>
    <t>7011</t>
  </si>
  <si>
    <t>DE LOYOLA-CARKIN, MICAELA A.</t>
  </si>
  <si>
    <t>DE LOYOLA-CARKIN</t>
  </si>
  <si>
    <t>MICAELA</t>
  </si>
  <si>
    <t>7009</t>
  </si>
  <si>
    <t xml:space="preserve">GRANTS/CNTRCTS OFCR </t>
  </si>
  <si>
    <t>05310</t>
  </si>
  <si>
    <t>EMPEY, KIMBERLY S.</t>
  </si>
  <si>
    <t>EMPEY</t>
  </si>
  <si>
    <t>KIMBERLY</t>
  </si>
  <si>
    <t>SHANTEL</t>
  </si>
  <si>
    <t>EMAR</t>
  </si>
  <si>
    <t>8883</t>
  </si>
  <si>
    <t xml:space="preserve">ADMINISTRATOR       </t>
  </si>
  <si>
    <t>29000</t>
  </si>
  <si>
    <t>EARWICKER, BENJAMIN J.</t>
  </si>
  <si>
    <t>EARWICKER</t>
  </si>
  <si>
    <t>BENJAMIN</t>
  </si>
  <si>
    <t>4014</t>
  </si>
  <si>
    <t>HARDY, THERESA E.</t>
  </si>
  <si>
    <t>ELLA</t>
  </si>
  <si>
    <t>4013</t>
  </si>
  <si>
    <t xml:space="preserve">CIVIL RTS INVSTGR   </t>
  </si>
  <si>
    <t>05927</t>
  </si>
  <si>
    <t>MARTIN LEE, MONICA G.</t>
  </si>
  <si>
    <t>MARTIN LEE</t>
  </si>
  <si>
    <t>MONICA</t>
  </si>
  <si>
    <t>GAEL</t>
  </si>
  <si>
    <t>4012</t>
  </si>
  <si>
    <t>MCCONNEL, COLINE E.</t>
  </si>
  <si>
    <t>MCCONNEL</t>
  </si>
  <si>
    <t>COLINE</t>
  </si>
  <si>
    <t>4011</t>
  </si>
  <si>
    <t>GLICK, LINDSY R.</t>
  </si>
  <si>
    <t>GLICK</t>
  </si>
  <si>
    <t>LINDSY</t>
  </si>
  <si>
    <t>ROSE</t>
  </si>
  <si>
    <t>4010</t>
  </si>
  <si>
    <t>SCHELLHAAS, RICHARD R.</t>
  </si>
  <si>
    <t>SCHELLHAAS</t>
  </si>
  <si>
    <t>ROSS</t>
  </si>
  <si>
    <t>4009</t>
  </si>
  <si>
    <t>MAIER, STEPHEN J.</t>
  </si>
  <si>
    <t>MAIER</t>
  </si>
  <si>
    <t>STEPHEN</t>
  </si>
  <si>
    <t>4007</t>
  </si>
  <si>
    <t>CIVIL RTS INVSTGR,SR</t>
  </si>
  <si>
    <t>05928</t>
  </si>
  <si>
    <t>RHODES, RICK R.</t>
  </si>
  <si>
    <t>RHODES</t>
  </si>
  <si>
    <t>RICK</t>
  </si>
  <si>
    <t>4006</t>
  </si>
  <si>
    <t>BARNEY, CARMEN K.</t>
  </si>
  <si>
    <t>BARNEY</t>
  </si>
  <si>
    <t>CARMEN</t>
  </si>
  <si>
    <t>KAY</t>
  </si>
  <si>
    <t>9911</t>
  </si>
  <si>
    <t xml:space="preserve">HUMAN RIGHTS COMM   </t>
  </si>
  <si>
    <t>50151</t>
  </si>
  <si>
    <t>NG</t>
  </si>
  <si>
    <t>EMLO</t>
  </si>
  <si>
    <t>1730</t>
  </si>
  <si>
    <t>PROGRAM OPERATIONS M</t>
  </si>
  <si>
    <t>08838</t>
  </si>
  <si>
    <t>2170</t>
  </si>
  <si>
    <t xml:space="preserve">MANAGER,LABOR       </t>
  </si>
  <si>
    <t>08849</t>
  </si>
  <si>
    <t>GARDNER, CONNIE J.</t>
  </si>
  <si>
    <t>GARDNER</t>
  </si>
  <si>
    <t>CONNIE</t>
  </si>
  <si>
    <t>2114</t>
  </si>
  <si>
    <t xml:space="preserve">SUPERVISOR, LABOR   </t>
  </si>
  <si>
    <t>08852</t>
  </si>
  <si>
    <t>KEELE, WINDY K.</t>
  </si>
  <si>
    <t>KEELE</t>
  </si>
  <si>
    <t>WINDY</t>
  </si>
  <si>
    <t>2107</t>
  </si>
  <si>
    <t>RUDD, KANDICE L.</t>
  </si>
  <si>
    <t>RUDD</t>
  </si>
  <si>
    <t>KANDICE</t>
  </si>
  <si>
    <t>2077</t>
  </si>
  <si>
    <t>HOLMES, DANIEL J.</t>
  </si>
  <si>
    <t>2073</t>
  </si>
  <si>
    <t xml:space="preserve">AREA MANAGER, LABOR </t>
  </si>
  <si>
    <t>08844</t>
  </si>
  <si>
    <t>SHARP, KELLYE L.</t>
  </si>
  <si>
    <t>SHARP</t>
  </si>
  <si>
    <t>KELLYE</t>
  </si>
  <si>
    <t>2062</t>
  </si>
  <si>
    <t>FLETCHER, DONNA R.</t>
  </si>
  <si>
    <t>FLETCHER</t>
  </si>
  <si>
    <t>DONNA</t>
  </si>
  <si>
    <t>1751</t>
  </si>
  <si>
    <t>SMART, CLARENCE L.</t>
  </si>
  <si>
    <t>SMART</t>
  </si>
  <si>
    <t>CLARENCE</t>
  </si>
  <si>
    <t>1538</t>
  </si>
  <si>
    <t>HAIRSTON, DIANE K.</t>
  </si>
  <si>
    <t>HAIRSTON</t>
  </si>
  <si>
    <t>DIANE</t>
  </si>
  <si>
    <t>1537</t>
  </si>
  <si>
    <t>9999</t>
  </si>
  <si>
    <t xml:space="preserve">GROUP POSITION      </t>
  </si>
  <si>
    <t>90000</t>
  </si>
  <si>
    <t>3147</t>
  </si>
  <si>
    <t>KLEIST, JILL L.</t>
  </si>
  <si>
    <t>KLEIST</t>
  </si>
  <si>
    <t>JILL</t>
  </si>
  <si>
    <t>2754</t>
  </si>
  <si>
    <t>SULLIVAN, MISTI L.</t>
  </si>
  <si>
    <t>SULLIVAN</t>
  </si>
  <si>
    <t>MISTI</t>
  </si>
  <si>
    <t>2753</t>
  </si>
  <si>
    <t>VETTER, ROBERT O.</t>
  </si>
  <si>
    <t>VETTER</t>
  </si>
  <si>
    <t>OSCAR</t>
  </si>
  <si>
    <t>2632</t>
  </si>
  <si>
    <t>DODD, JULIE A.</t>
  </si>
  <si>
    <t>DODD</t>
  </si>
  <si>
    <t>JULIE</t>
  </si>
  <si>
    <t>2340</t>
  </si>
  <si>
    <t xml:space="preserve">PAYNE, JO </t>
  </si>
  <si>
    <t>PAYNE</t>
  </si>
  <si>
    <t>2247</t>
  </si>
  <si>
    <t>DARROW, DAVE H.</t>
  </si>
  <si>
    <t>DARROW</t>
  </si>
  <si>
    <t>DAVE</t>
  </si>
  <si>
    <t>2200</t>
  </si>
  <si>
    <t>HANLON, STACEY M.</t>
  </si>
  <si>
    <t>HANLON</t>
  </si>
  <si>
    <t>STACEY</t>
  </si>
  <si>
    <t>2198</t>
  </si>
  <si>
    <t>BEYER, MEGAN B.</t>
  </si>
  <si>
    <t>BEYER</t>
  </si>
  <si>
    <t>MEGAN</t>
  </si>
  <si>
    <t>BETH</t>
  </si>
  <si>
    <t>2174</t>
  </si>
  <si>
    <t>OFFERMANN, JUSTIN L.</t>
  </si>
  <si>
    <t>OFFERMANN</t>
  </si>
  <si>
    <t>JUSTIN</t>
  </si>
  <si>
    <t>2776</t>
  </si>
  <si>
    <t>WORKFORCE CONSULTANT</t>
  </si>
  <si>
    <t>08854</t>
  </si>
  <si>
    <t>HASTINGS, AUTUMN L.</t>
  </si>
  <si>
    <t>HASTINGS</t>
  </si>
  <si>
    <t>AUTUMN</t>
  </si>
  <si>
    <t>0053</t>
  </si>
  <si>
    <t>DISABILITY CLMS AJCT</t>
  </si>
  <si>
    <t>09450</t>
  </si>
  <si>
    <t>WYLD, ERIN E.</t>
  </si>
  <si>
    <t>WYLD</t>
  </si>
  <si>
    <t>ERIN</t>
  </si>
  <si>
    <t>09454</t>
  </si>
  <si>
    <t>5700</t>
  </si>
  <si>
    <t>BUILDING SUPERINTEND</t>
  </si>
  <si>
    <t>06648</t>
  </si>
  <si>
    <t>CL</t>
  </si>
  <si>
    <t>NICHOLS, ROBERT C.</t>
  </si>
  <si>
    <t>NICHOLS</t>
  </si>
  <si>
    <t>1769</t>
  </si>
  <si>
    <t xml:space="preserve">UI AREA SUPERVISOR  </t>
  </si>
  <si>
    <t>08820</t>
  </si>
  <si>
    <t>ROGERS, KAREN A.</t>
  </si>
  <si>
    <t>ROGERS</t>
  </si>
  <si>
    <t>1017</t>
  </si>
  <si>
    <t>ROBISON, GINA M.</t>
  </si>
  <si>
    <t>ROBISON</t>
  </si>
  <si>
    <t>GINA</t>
  </si>
  <si>
    <t>MARIA</t>
  </si>
  <si>
    <t>2178</t>
  </si>
  <si>
    <t xml:space="preserve">PROJECT MANAGER 2   </t>
  </si>
  <si>
    <t>05568</t>
  </si>
  <si>
    <t>0042</t>
  </si>
  <si>
    <t>09452</t>
  </si>
  <si>
    <t>2091</t>
  </si>
  <si>
    <t>SCOTT, KENNETH M.</t>
  </si>
  <si>
    <t>2330</t>
  </si>
  <si>
    <t>RICKS, KYLE H.</t>
  </si>
  <si>
    <t>RICKS</t>
  </si>
  <si>
    <t>KYLE</t>
  </si>
  <si>
    <t>1178</t>
  </si>
  <si>
    <t>BOOS, BRADLEY A.</t>
  </si>
  <si>
    <t>BOOS</t>
  </si>
  <si>
    <t>BRADLEY</t>
  </si>
  <si>
    <t>0014</t>
  </si>
  <si>
    <t>GILGEN, CASSIDY D.</t>
  </si>
  <si>
    <t>GILGEN</t>
  </si>
  <si>
    <t>CASSIDY</t>
  </si>
  <si>
    <t>2765</t>
  </si>
  <si>
    <t>WEST, CHARLES D.</t>
  </si>
  <si>
    <t>WEST</t>
  </si>
  <si>
    <t>CHARLES</t>
  </si>
  <si>
    <t>0052</t>
  </si>
  <si>
    <t>JORDAN, JENNIFER L.</t>
  </si>
  <si>
    <t>JORDAN</t>
  </si>
  <si>
    <t>JENNIFER</t>
  </si>
  <si>
    <t>5079</t>
  </si>
  <si>
    <t>POLISHCHUK, INNA G.</t>
  </si>
  <si>
    <t>POLISHCHUK</t>
  </si>
  <si>
    <t>INNA</t>
  </si>
  <si>
    <t>1016</t>
  </si>
  <si>
    <t>SCHERER, MICHELLE J.</t>
  </si>
  <si>
    <t>SCHERER</t>
  </si>
  <si>
    <t>JEANNINE</t>
  </si>
  <si>
    <t>1174</t>
  </si>
  <si>
    <t>BURCH, AMY L.</t>
  </si>
  <si>
    <t>BURCH</t>
  </si>
  <si>
    <t>0013</t>
  </si>
  <si>
    <t>HUFF, RONNIE A.</t>
  </si>
  <si>
    <t>HUFF</t>
  </si>
  <si>
    <t>RONNIE</t>
  </si>
  <si>
    <t>AARON</t>
  </si>
  <si>
    <t>1185</t>
  </si>
  <si>
    <t>1533</t>
  </si>
  <si>
    <t xml:space="preserve">NIETO, MONICA </t>
  </si>
  <si>
    <t>NIETO</t>
  </si>
  <si>
    <t>0051</t>
  </si>
  <si>
    <t>RYAN, COLLEEN M.</t>
  </si>
  <si>
    <t>RYAN</t>
  </si>
  <si>
    <t>COLLEEN</t>
  </si>
  <si>
    <t>MAY</t>
  </si>
  <si>
    <t>5030</t>
  </si>
  <si>
    <t>HARRY, ALICIA L.</t>
  </si>
  <si>
    <t>HARRY</t>
  </si>
  <si>
    <t>ALICIA</t>
  </si>
  <si>
    <t>LOUISE</t>
  </si>
  <si>
    <t>1015</t>
  </si>
  <si>
    <t>MOFFAT, BRANDON E.</t>
  </si>
  <si>
    <t>MOFFAT</t>
  </si>
  <si>
    <t>BRANDON</t>
  </si>
  <si>
    <t>0026</t>
  </si>
  <si>
    <t>1061</t>
  </si>
  <si>
    <t>01732</t>
  </si>
  <si>
    <t>AULT, LESLIE C.</t>
  </si>
  <si>
    <t>AULT</t>
  </si>
  <si>
    <t>LESLIE</t>
  </si>
  <si>
    <t>1172</t>
  </si>
  <si>
    <t>MORRIS, BROCK E.</t>
  </si>
  <si>
    <t>MORRIS</t>
  </si>
  <si>
    <t>BROCK</t>
  </si>
  <si>
    <t>0010</t>
  </si>
  <si>
    <t>SCOTT, SUSAN G.</t>
  </si>
  <si>
    <t>SUSAN</t>
  </si>
  <si>
    <t>GAYLE</t>
  </si>
  <si>
    <t>0050</t>
  </si>
  <si>
    <t>TAKAGI, KIMBERLY A.</t>
  </si>
  <si>
    <t>TAKAGI</t>
  </si>
  <si>
    <t>1014</t>
  </si>
  <si>
    <t>ESPELAND, SARA J.</t>
  </si>
  <si>
    <t>ESPELAND</t>
  </si>
  <si>
    <t>SARA</t>
  </si>
  <si>
    <t>JANE</t>
  </si>
  <si>
    <t>1060</t>
  </si>
  <si>
    <t>UI CLAIMS ADJUDICATO</t>
  </si>
  <si>
    <t>08831</t>
  </si>
  <si>
    <t>TORRES, MARIA V.</t>
  </si>
  <si>
    <t>TORRES</t>
  </si>
  <si>
    <t>VERONICA</t>
  </si>
  <si>
    <t>2284</t>
  </si>
  <si>
    <t>JENKINS, BRIAN L.</t>
  </si>
  <si>
    <t>JENKINS</t>
  </si>
  <si>
    <t>0009</t>
  </si>
  <si>
    <t>WOLF, ELISHA M.</t>
  </si>
  <si>
    <t>WOLF</t>
  </si>
  <si>
    <t>ELISHA</t>
  </si>
  <si>
    <t>1180</t>
  </si>
  <si>
    <t>2748</t>
  </si>
  <si>
    <t>SHAFFER, AMANDA J.</t>
  </si>
  <si>
    <t>SHAFFER</t>
  </si>
  <si>
    <t>AMANDA</t>
  </si>
  <si>
    <t>0047</t>
  </si>
  <si>
    <t>DISABILITY PROGRAM S</t>
  </si>
  <si>
    <t>09447</t>
  </si>
  <si>
    <t>OSTOLASA, CHERE R.</t>
  </si>
  <si>
    <t>OSTOLASA</t>
  </si>
  <si>
    <t>CHERE</t>
  </si>
  <si>
    <t>1616</t>
  </si>
  <si>
    <t>PROGRAM SYSTEM SPEC-</t>
  </si>
  <si>
    <t>09062</t>
  </si>
  <si>
    <t>1749</t>
  </si>
  <si>
    <t>ACKERMAN, SHIRLEY H.</t>
  </si>
  <si>
    <t>ACKERMAN</t>
  </si>
  <si>
    <t>SHIRLEY</t>
  </si>
  <si>
    <t>1013</t>
  </si>
  <si>
    <t>GAMMEL, TERRY D.</t>
  </si>
  <si>
    <t>GAMMEL</t>
  </si>
  <si>
    <t>TERRY</t>
  </si>
  <si>
    <t>2137</t>
  </si>
  <si>
    <t>0012</t>
  </si>
  <si>
    <t>2072</t>
  </si>
  <si>
    <t xml:space="preserve">PATINO, ALEJANDRO </t>
  </si>
  <si>
    <t>PATINO</t>
  </si>
  <si>
    <t>ALEJANDRO</t>
  </si>
  <si>
    <t>2276</t>
  </si>
  <si>
    <t>ZITO, CARLOTTA P.</t>
  </si>
  <si>
    <t>ZITO</t>
  </si>
  <si>
    <t>CARLOTTA</t>
  </si>
  <si>
    <t>PIA</t>
  </si>
  <si>
    <t>1153</t>
  </si>
  <si>
    <t>JENKINS, ALAN J.</t>
  </si>
  <si>
    <t>0008</t>
  </si>
  <si>
    <t>BLOCK, VALERIE M.</t>
  </si>
  <si>
    <t>BLOCK</t>
  </si>
  <si>
    <t>VALERIE</t>
  </si>
  <si>
    <t>2746</t>
  </si>
  <si>
    <t>ZIRTZMAN, LAWRENCE J.</t>
  </si>
  <si>
    <t>ZIRTZMAN</t>
  </si>
  <si>
    <t>LAWRENCE</t>
  </si>
  <si>
    <t>0046</t>
  </si>
  <si>
    <t>WHITNEY, CARI D.</t>
  </si>
  <si>
    <t>WHITNEY</t>
  </si>
  <si>
    <t>CARI</t>
  </si>
  <si>
    <t>2070</t>
  </si>
  <si>
    <t>OLTROGGE, KENT J.</t>
  </si>
  <si>
    <t>OLTROGGE</t>
  </si>
  <si>
    <t>KENT</t>
  </si>
  <si>
    <t>JEFFERY</t>
  </si>
  <si>
    <t>2806</t>
  </si>
  <si>
    <t>2269</t>
  </si>
  <si>
    <t>ELLIOTT, JASON M.</t>
  </si>
  <si>
    <t>ELLIOTT</t>
  </si>
  <si>
    <t>JASON</t>
  </si>
  <si>
    <t>1151</t>
  </si>
  <si>
    <t>SHELBY, JOSEPH R.</t>
  </si>
  <si>
    <t>SHELBY</t>
  </si>
  <si>
    <t>0007</t>
  </si>
  <si>
    <t>RICHARD, ANTHONY L.</t>
  </si>
  <si>
    <t>ANTHONY</t>
  </si>
  <si>
    <t>LYLE</t>
  </si>
  <si>
    <t>1173</t>
  </si>
  <si>
    <t>2731</t>
  </si>
  <si>
    <t>OLSON, CINDY K.</t>
  </si>
  <si>
    <t>OLSON</t>
  </si>
  <si>
    <t>CINDY</t>
  </si>
  <si>
    <t>KARLSEN</t>
  </si>
  <si>
    <t>0045</t>
  </si>
  <si>
    <t>SPEISER, JON J.</t>
  </si>
  <si>
    <t>SPEISER</t>
  </si>
  <si>
    <t>JON</t>
  </si>
  <si>
    <t>0011</t>
  </si>
  <si>
    <t xml:space="preserve">DISABILITY CE COORD </t>
  </si>
  <si>
    <t>09459</t>
  </si>
  <si>
    <t>2067</t>
  </si>
  <si>
    <t>SPRING, DENISE M.</t>
  </si>
  <si>
    <t>SPRING</t>
  </si>
  <si>
    <t>DENISE</t>
  </si>
  <si>
    <t>MICHELE</t>
  </si>
  <si>
    <t>1056</t>
  </si>
  <si>
    <t xml:space="preserve">MARTINEZ-VERA, RAMON </t>
  </si>
  <si>
    <t>MARTINEZ-VERA</t>
  </si>
  <si>
    <t>RAMON</t>
  </si>
  <si>
    <t>2258</t>
  </si>
  <si>
    <t>TIDWELL, NEILS M.</t>
  </si>
  <si>
    <t>TIDWELL</t>
  </si>
  <si>
    <t>NEILS</t>
  </si>
  <si>
    <t>1146</t>
  </si>
  <si>
    <t>SHOEMAKER, SUSAN K.</t>
  </si>
  <si>
    <t>SHOEMAKER</t>
  </si>
  <si>
    <t>0006</t>
  </si>
  <si>
    <t>HARWOOD, DAIN R.</t>
  </si>
  <si>
    <t>HARWOOD</t>
  </si>
  <si>
    <t>DAIN</t>
  </si>
  <si>
    <t>2709</t>
  </si>
  <si>
    <t>GALWAY, DAVID C.</t>
  </si>
  <si>
    <t>GALWAY</t>
  </si>
  <si>
    <t>CALVERT</t>
  </si>
  <si>
    <t>0044</t>
  </si>
  <si>
    <t>DISABILITY PROGRAM M</t>
  </si>
  <si>
    <t>09446</t>
  </si>
  <si>
    <t>JONES, MICAELA L.</t>
  </si>
  <si>
    <t>JONES</t>
  </si>
  <si>
    <t>1740</t>
  </si>
  <si>
    <t>BETZOLD, JAMY L.</t>
  </si>
  <si>
    <t>BETZOLD</t>
  </si>
  <si>
    <t>JAMY</t>
  </si>
  <si>
    <t>1008</t>
  </si>
  <si>
    <t>JORDAN, ZACHARY L.</t>
  </si>
  <si>
    <t>ZACHARY</t>
  </si>
  <si>
    <t>2064</t>
  </si>
  <si>
    <t>SANDOVAL, ESMERALDA G.</t>
  </si>
  <si>
    <t>SANDOVAL</t>
  </si>
  <si>
    <t>ESMERALDA</t>
  </si>
  <si>
    <t>1144</t>
  </si>
  <si>
    <t>HAGGARD, JODY D.</t>
  </si>
  <si>
    <t>HAGGARD</t>
  </si>
  <si>
    <t>JODY</t>
  </si>
  <si>
    <t>0005</t>
  </si>
  <si>
    <t>GREEN, PEGGY S.</t>
  </si>
  <si>
    <t>GREEN</t>
  </si>
  <si>
    <t>PEGGY</t>
  </si>
  <si>
    <t>6181</t>
  </si>
  <si>
    <t>CS</t>
  </si>
  <si>
    <t>2686</t>
  </si>
  <si>
    <t>MYERS, MICHAEL S.</t>
  </si>
  <si>
    <t>MYERS</t>
  </si>
  <si>
    <t>0043</t>
  </si>
  <si>
    <t>JOHNSON, SHELDON E.</t>
  </si>
  <si>
    <t>SHELDON</t>
  </si>
  <si>
    <t>1003</t>
  </si>
  <si>
    <t>FENNELL, GLINDA C.</t>
  </si>
  <si>
    <t>FENNELL</t>
  </si>
  <si>
    <t>GLINDA</t>
  </si>
  <si>
    <t>2225</t>
  </si>
  <si>
    <t xml:space="preserve">WORKFORCE DEV PRGMS </t>
  </si>
  <si>
    <t>08823</t>
  </si>
  <si>
    <t>REED, WILLIAM D.</t>
  </si>
  <si>
    <t>REED</t>
  </si>
  <si>
    <t>1140</t>
  </si>
  <si>
    <t>HEIDEMANN, JULIE L.</t>
  </si>
  <si>
    <t>HEIDEMANN</t>
  </si>
  <si>
    <t>0004</t>
  </si>
  <si>
    <t>MARLOW, KEVIN D.</t>
  </si>
  <si>
    <t>MARLOW</t>
  </si>
  <si>
    <t>2684</t>
  </si>
  <si>
    <t>GREGOIRE, APRIL R.</t>
  </si>
  <si>
    <t>GREGOIRE</t>
  </si>
  <si>
    <t>APRIL</t>
  </si>
  <si>
    <t>1236</t>
  </si>
  <si>
    <t>BEUMELER, MEGAN M.</t>
  </si>
  <si>
    <t>BEUMELER</t>
  </si>
  <si>
    <t>0041</t>
  </si>
  <si>
    <t>CARTER, STEVEN J.</t>
  </si>
  <si>
    <t>CARTER</t>
  </si>
  <si>
    <t>STEVEN</t>
  </si>
  <si>
    <t>JAY ANONUEVO</t>
  </si>
  <si>
    <t>1733</t>
  </si>
  <si>
    <t>MARTIN, MARIA G.</t>
  </si>
  <si>
    <t>MARTIN</t>
  </si>
  <si>
    <t>GUADALUPE</t>
  </si>
  <si>
    <t>1001</t>
  </si>
  <si>
    <t xml:space="preserve">BARRERA  III, RICARDO </t>
  </si>
  <si>
    <t>BARRERA  III</t>
  </si>
  <si>
    <t>RICARDO</t>
  </si>
  <si>
    <t>2061</t>
  </si>
  <si>
    <t xml:space="preserve">HOLM, MARGARITA </t>
  </si>
  <si>
    <t>HOLM</t>
  </si>
  <si>
    <t>MARGARITA</t>
  </si>
  <si>
    <t>2793</t>
  </si>
  <si>
    <t>2221</t>
  </si>
  <si>
    <t>STOUT, MICHELLE L.</t>
  </si>
  <si>
    <t>STOUT</t>
  </si>
  <si>
    <t>LYN</t>
  </si>
  <si>
    <t>1139</t>
  </si>
  <si>
    <t xml:space="preserve">SOTO, ELIZERIA </t>
  </si>
  <si>
    <t>SOTO</t>
  </si>
  <si>
    <t>ELIZERIA</t>
  </si>
  <si>
    <t>0003</t>
  </si>
  <si>
    <t>PROF RELATIONS OFCR,</t>
  </si>
  <si>
    <t>09458</t>
  </si>
  <si>
    <t>BEARD, STEPHEN L.</t>
  </si>
  <si>
    <t>BEARD</t>
  </si>
  <si>
    <t>5900</t>
  </si>
  <si>
    <t>2668</t>
  </si>
  <si>
    <t>HOLLINGER, WHITNEY M.</t>
  </si>
  <si>
    <t>HOLLINGER</t>
  </si>
  <si>
    <t>1231</t>
  </si>
  <si>
    <t>ALEXANDER, ALTA C.</t>
  </si>
  <si>
    <t>ALEXANDER</t>
  </si>
  <si>
    <t>ALTA</t>
  </si>
  <si>
    <t>CHER'E</t>
  </si>
  <si>
    <t>0040</t>
  </si>
  <si>
    <t>WADE, ABBY S.</t>
  </si>
  <si>
    <t>WADE</t>
  </si>
  <si>
    <t>ABBY</t>
  </si>
  <si>
    <t>SUE</t>
  </si>
  <si>
    <t>3202</t>
  </si>
  <si>
    <t>MACDONALD, JOLINE K.</t>
  </si>
  <si>
    <t>MACDONALD</t>
  </si>
  <si>
    <t>JOLINE</t>
  </si>
  <si>
    <t>0094</t>
  </si>
  <si>
    <t>BURKETT  JR, DONALD E.</t>
  </si>
  <si>
    <t>BURKETT  JR</t>
  </si>
  <si>
    <t>DONALD</t>
  </si>
  <si>
    <t>EUGENE</t>
  </si>
  <si>
    <t>5725</t>
  </si>
  <si>
    <t>KAMINSKY, STEPHEN M.</t>
  </si>
  <si>
    <t>KAMINSKY</t>
  </si>
  <si>
    <t>2049</t>
  </si>
  <si>
    <t>TAYLOR, KATIE N.</t>
  </si>
  <si>
    <t>KATIE</t>
  </si>
  <si>
    <t>NORITA</t>
  </si>
  <si>
    <t>1050</t>
  </si>
  <si>
    <t>TORRES, ELIZABETH A.</t>
  </si>
  <si>
    <t>ANN TENORIO</t>
  </si>
  <si>
    <t>2214</t>
  </si>
  <si>
    <t>MACDONALD, SUMMER L.</t>
  </si>
  <si>
    <t>SUMMER</t>
  </si>
  <si>
    <t>1138</t>
  </si>
  <si>
    <t>RANGEL, RUBY A.</t>
  </si>
  <si>
    <t>RANGEL</t>
  </si>
  <si>
    <t>RUBY</t>
  </si>
  <si>
    <t>0002</t>
  </si>
  <si>
    <t>FRIEL, JEFFERY T.</t>
  </si>
  <si>
    <t>FRIEL</t>
  </si>
  <si>
    <t>5723</t>
  </si>
  <si>
    <t>NURSE, LICENSED PRAC</t>
  </si>
  <si>
    <t>07676</t>
  </si>
  <si>
    <t>1230</t>
  </si>
  <si>
    <t xml:space="preserve">HULME, MELANIE </t>
  </si>
  <si>
    <t>HULME</t>
  </si>
  <si>
    <t>MELANIE</t>
  </si>
  <si>
    <t>0039</t>
  </si>
  <si>
    <t>HUST, JOHN L.</t>
  </si>
  <si>
    <t>HUST</t>
  </si>
  <si>
    <t>LEONARD</t>
  </si>
  <si>
    <t>3201</t>
  </si>
  <si>
    <t>SMITH, CONSUELO M.</t>
  </si>
  <si>
    <t>CONSUELO</t>
  </si>
  <si>
    <t>0093</t>
  </si>
  <si>
    <t>WESTMORELAND, VICKIE L.</t>
  </si>
  <si>
    <t>WESTMORELAND</t>
  </si>
  <si>
    <t>VICKIE</t>
  </si>
  <si>
    <t>2019</t>
  </si>
  <si>
    <t>5724</t>
  </si>
  <si>
    <t>HUDNALL, COURTNEY R.</t>
  </si>
  <si>
    <t>HUDNALL</t>
  </si>
  <si>
    <t>COURTNEY</t>
  </si>
  <si>
    <t>RAE</t>
  </si>
  <si>
    <t>2046</t>
  </si>
  <si>
    <t>BIGGS, LISA J.</t>
  </si>
  <si>
    <t>BIGGS</t>
  </si>
  <si>
    <t>LISA</t>
  </si>
  <si>
    <t>1049</t>
  </si>
  <si>
    <t>MILAN, LIESL A.</t>
  </si>
  <si>
    <t>MILAN</t>
  </si>
  <si>
    <t>LIESL</t>
  </si>
  <si>
    <t>ALLYN</t>
  </si>
  <si>
    <t>2209</t>
  </si>
  <si>
    <t xml:space="preserve">MONITOR ADVOCATE    </t>
  </si>
  <si>
    <t>08808</t>
  </si>
  <si>
    <t>APLICANO, DUNNIA E.</t>
  </si>
  <si>
    <t>APLICANO</t>
  </si>
  <si>
    <t>DUNNIA</t>
  </si>
  <si>
    <t>1137</t>
  </si>
  <si>
    <t xml:space="preserve">WELCH, ALMA </t>
  </si>
  <si>
    <t>WELCH</t>
  </si>
  <si>
    <t>ALMA</t>
  </si>
  <si>
    <t>WILLIAMS, TERRY P.</t>
  </si>
  <si>
    <t>WILLIAMS</t>
  </si>
  <si>
    <t>5722</t>
  </si>
  <si>
    <t xml:space="preserve">COOK                </t>
  </si>
  <si>
    <t>02182</t>
  </si>
  <si>
    <t>2641</t>
  </si>
  <si>
    <t>MCPARTLAND, MELISSA K.</t>
  </si>
  <si>
    <t>MCPARTLAND</t>
  </si>
  <si>
    <t>MELISSA</t>
  </si>
  <si>
    <t>1229</t>
  </si>
  <si>
    <t>SHECKELLS, RUTH A.</t>
  </si>
  <si>
    <t>SHECKELLS</t>
  </si>
  <si>
    <t>ANN</t>
  </si>
  <si>
    <t>0038</t>
  </si>
  <si>
    <t xml:space="preserve">HINNENKAMP, ROXANNE </t>
  </si>
  <si>
    <t>HINNENKAMP</t>
  </si>
  <si>
    <t>ROXANNE</t>
  </si>
  <si>
    <t>0092</t>
  </si>
  <si>
    <t xml:space="preserve">SANTIAGO-FONSECA, MIRIAM </t>
  </si>
  <si>
    <t>SANTIAGO-FONSECA</t>
  </si>
  <si>
    <t>MIRIAM</t>
  </si>
  <si>
    <t>5721</t>
  </si>
  <si>
    <t>RESIDENTIAL ASSISTAN</t>
  </si>
  <si>
    <t>07762</t>
  </si>
  <si>
    <t>ALDERSON, DEE DEE D.</t>
  </si>
  <si>
    <t>ALDERSON</t>
  </si>
  <si>
    <t>DEE DEE</t>
  </si>
  <si>
    <t>DELORIS</t>
  </si>
  <si>
    <t>2045</t>
  </si>
  <si>
    <t xml:space="preserve">MACIAS, PAULA </t>
  </si>
  <si>
    <t>MACIAS</t>
  </si>
  <si>
    <t>PAULA</t>
  </si>
  <si>
    <t>1047</t>
  </si>
  <si>
    <t>CLAGG, SHARON R.</t>
  </si>
  <si>
    <t>CLAGG</t>
  </si>
  <si>
    <t>SHARON</t>
  </si>
  <si>
    <t>2716</t>
  </si>
  <si>
    <t>1136</t>
  </si>
  <si>
    <t xml:space="preserve">MORALES, OFELIA </t>
  </si>
  <si>
    <t>MORALES</t>
  </si>
  <si>
    <t>OFELIA</t>
  </si>
  <si>
    <t>5718</t>
  </si>
  <si>
    <t>1150</t>
  </si>
  <si>
    <t>2637</t>
  </si>
  <si>
    <t>JOHNSON, KIMBERLEY A.</t>
  </si>
  <si>
    <t>KIMBERLEY</t>
  </si>
  <si>
    <t>0037</t>
  </si>
  <si>
    <t>OLSEN, JERRY R.</t>
  </si>
  <si>
    <t>OLSEN</t>
  </si>
  <si>
    <t>RAY</t>
  </si>
  <si>
    <t>3181</t>
  </si>
  <si>
    <t>GARCIA, MARIA D.</t>
  </si>
  <si>
    <t>GARCIA</t>
  </si>
  <si>
    <t>DEL ROSARIO</t>
  </si>
  <si>
    <t>0090</t>
  </si>
  <si>
    <t>REIMER, JENNIFER R.</t>
  </si>
  <si>
    <t>REIMER</t>
  </si>
  <si>
    <t>REGINA</t>
  </si>
  <si>
    <t>2018</t>
  </si>
  <si>
    <t>5720</t>
  </si>
  <si>
    <t>HAYES, EUGENE F.</t>
  </si>
  <si>
    <t>HAYES</t>
  </si>
  <si>
    <t>FRANCIS</t>
  </si>
  <si>
    <t>2042</t>
  </si>
  <si>
    <t>ANDERSON, BRENDA L.</t>
  </si>
  <si>
    <t>ANDERSON</t>
  </si>
  <si>
    <t>BRENDA</t>
  </si>
  <si>
    <t>1046</t>
  </si>
  <si>
    <t>UI TAX REPRESENTATIV</t>
  </si>
  <si>
    <t>08826</t>
  </si>
  <si>
    <t>MCFADDEN, DANIELLE S.</t>
  </si>
  <si>
    <t>MCFADDEN</t>
  </si>
  <si>
    <t>DANIELLE</t>
  </si>
  <si>
    <t>SHEA</t>
  </si>
  <si>
    <t>1134</t>
  </si>
  <si>
    <t>DUNNING, KATHERINE M.</t>
  </si>
  <si>
    <t>DUNNING</t>
  </si>
  <si>
    <t>KATHERINE</t>
  </si>
  <si>
    <t>1228</t>
  </si>
  <si>
    <t xml:space="preserve">PLAYER, HOLLY </t>
  </si>
  <si>
    <t>PLAYER</t>
  </si>
  <si>
    <t>HOLLY</t>
  </si>
  <si>
    <t>0036</t>
  </si>
  <si>
    <t>FRENCH, REBECCA M.</t>
  </si>
  <si>
    <t>REBECCA</t>
  </si>
  <si>
    <t>1534</t>
  </si>
  <si>
    <t>APPEALS/HEARINGS TEC</t>
  </si>
  <si>
    <t>06008</t>
  </si>
  <si>
    <t>3167</t>
  </si>
  <si>
    <t>BURGESS, LISA L.</t>
  </si>
  <si>
    <t>BURGESS</t>
  </si>
  <si>
    <t>0089</t>
  </si>
  <si>
    <t>HOOD, JAMES M.</t>
  </si>
  <si>
    <t>HOOD</t>
  </si>
  <si>
    <t>5719</t>
  </si>
  <si>
    <t>RITTER, CHERYL M.</t>
  </si>
  <si>
    <t>RITTER</t>
  </si>
  <si>
    <t>MAUREEN</t>
  </si>
  <si>
    <t>2039</t>
  </si>
  <si>
    <t>KALDOR, LANCE P.</t>
  </si>
  <si>
    <t>KALDOR</t>
  </si>
  <si>
    <t>LANCE</t>
  </si>
  <si>
    <t>1062</t>
  </si>
  <si>
    <t>2194</t>
  </si>
  <si>
    <t>WITT, BRANDY A.</t>
  </si>
  <si>
    <t>WITT</t>
  </si>
  <si>
    <t>BRANDY</t>
  </si>
  <si>
    <t>1133</t>
  </si>
  <si>
    <t>ENRIQUEZ, VIRGINIA R.</t>
  </si>
  <si>
    <t>ENRIQUEZ</t>
  </si>
  <si>
    <t>VIRGINIA</t>
  </si>
  <si>
    <t>2623</t>
  </si>
  <si>
    <t>WILLIS, GAYLA J.</t>
  </si>
  <si>
    <t>WILLIS</t>
  </si>
  <si>
    <t>GAYLA</t>
  </si>
  <si>
    <t>0088</t>
  </si>
  <si>
    <t>SHIELDS-LUNDQUIST, TARA L.</t>
  </si>
  <si>
    <t>SHIELDS-LUNDQUIST</t>
  </si>
  <si>
    <t>TARA</t>
  </si>
  <si>
    <t>5717</t>
  </si>
  <si>
    <t xml:space="preserve">DEJESUS, FRANCISCA </t>
  </si>
  <si>
    <t>DEJESUS</t>
  </si>
  <si>
    <t>FRANCISCA</t>
  </si>
  <si>
    <t>2032</t>
  </si>
  <si>
    <t>WHITING, KEITH R.</t>
  </si>
  <si>
    <t>WHITING</t>
  </si>
  <si>
    <t>KEITH</t>
  </si>
  <si>
    <t>2690</t>
  </si>
  <si>
    <t>1132</t>
  </si>
  <si>
    <t>LEWIS, BENJAMIN D.</t>
  </si>
  <si>
    <t>LEWIS</t>
  </si>
  <si>
    <t>5091</t>
  </si>
  <si>
    <t>1145</t>
  </si>
  <si>
    <t>2609</t>
  </si>
  <si>
    <t>ORCUTT, LESLEY E.</t>
  </si>
  <si>
    <t>ORCUTT</t>
  </si>
  <si>
    <t>LESLEY</t>
  </si>
  <si>
    <t>EDITH</t>
  </si>
  <si>
    <t>0035</t>
  </si>
  <si>
    <t>SCHRICK, DAVID M.</t>
  </si>
  <si>
    <t>SCHRICK</t>
  </si>
  <si>
    <t>3145</t>
  </si>
  <si>
    <t>NESMITH, KATHY A.</t>
  </si>
  <si>
    <t>NESMITH</t>
  </si>
  <si>
    <t>KATHY</t>
  </si>
  <si>
    <t>0085</t>
  </si>
  <si>
    <t>PENROD, SHANE T.</t>
  </si>
  <si>
    <t>PENROD</t>
  </si>
  <si>
    <t>SHANE</t>
  </si>
  <si>
    <t>5716</t>
  </si>
  <si>
    <t>RICHARDS, LESSIL E.</t>
  </si>
  <si>
    <t>RICHARDS</t>
  </si>
  <si>
    <t>LESSIL</t>
  </si>
  <si>
    <t>ELDRIDGE</t>
  </si>
  <si>
    <t>2030</t>
  </si>
  <si>
    <t>GUZMAN, MARIBEL T.</t>
  </si>
  <si>
    <t>GUZMAN</t>
  </si>
  <si>
    <t>MARIBEL</t>
  </si>
  <si>
    <t>1131</t>
  </si>
  <si>
    <t>BLESSINGER, OLEVA M.</t>
  </si>
  <si>
    <t>BLESSINGER</t>
  </si>
  <si>
    <t>OLEVA</t>
  </si>
  <si>
    <t>2606</t>
  </si>
  <si>
    <t>MOWATT, CASEY A.</t>
  </si>
  <si>
    <t>MOWATT</t>
  </si>
  <si>
    <t>CASEY</t>
  </si>
  <si>
    <t>ANDREW</t>
  </si>
  <si>
    <t>1221</t>
  </si>
  <si>
    <t>CATES, LINDA M.</t>
  </si>
  <si>
    <t>CATES</t>
  </si>
  <si>
    <t>0034</t>
  </si>
  <si>
    <t>PERMAN, MELISA S.</t>
  </si>
  <si>
    <t>PERMAN</t>
  </si>
  <si>
    <t>MELISA</t>
  </si>
  <si>
    <t>SOBO</t>
  </si>
  <si>
    <t>3130</t>
  </si>
  <si>
    <t>POST, MITCHELL L.</t>
  </si>
  <si>
    <t>POST</t>
  </si>
  <si>
    <t>MITCHELL</t>
  </si>
  <si>
    <t>0082</t>
  </si>
  <si>
    <t>ETHINGTON, DEBORAH V.</t>
  </si>
  <si>
    <t>ETHINGTON</t>
  </si>
  <si>
    <t>DEBORAH</t>
  </si>
  <si>
    <t>VERDE</t>
  </si>
  <si>
    <t>2007</t>
  </si>
  <si>
    <t>5715</t>
  </si>
  <si>
    <t xml:space="preserve">CLINICIAN           </t>
  </si>
  <si>
    <t>06820</t>
  </si>
  <si>
    <t>MATHER, KELLY JAVIN D.</t>
  </si>
  <si>
    <t>MATHER</t>
  </si>
  <si>
    <t>KELLY JAVIN</t>
  </si>
  <si>
    <t>DON</t>
  </si>
  <si>
    <t>ALMANZA, LOUIS J.</t>
  </si>
  <si>
    <t>ALMANZA</t>
  </si>
  <si>
    <t>LOUIS</t>
  </si>
  <si>
    <t>1130</t>
  </si>
  <si>
    <t>PRUDHOMME, THOMAS C.</t>
  </si>
  <si>
    <t>PRUDHOMME</t>
  </si>
  <si>
    <t>THOMAS</t>
  </si>
  <si>
    <t>1143</t>
  </si>
  <si>
    <t>2604</t>
  </si>
  <si>
    <t>HOMA, MARZENA M.</t>
  </si>
  <si>
    <t>HOMA</t>
  </si>
  <si>
    <t>MARZENA</t>
  </si>
  <si>
    <t>1220</t>
  </si>
  <si>
    <t>BOWMAN, MALISSA M.</t>
  </si>
  <si>
    <t>BOWMAN</t>
  </si>
  <si>
    <t>MALISSA</t>
  </si>
  <si>
    <t>0031</t>
  </si>
  <si>
    <t>DUKE, DAVID C.</t>
  </si>
  <si>
    <t>DUKE</t>
  </si>
  <si>
    <t>0080</t>
  </si>
  <si>
    <t>01710</t>
  </si>
  <si>
    <t>BARRETT, THANE W.</t>
  </si>
  <si>
    <t>BARRETT</t>
  </si>
  <si>
    <t>THANE</t>
  </si>
  <si>
    <t>W S</t>
  </si>
  <si>
    <t>5714</t>
  </si>
  <si>
    <t xml:space="preserve">PROGRAM SPECIALIST  </t>
  </si>
  <si>
    <t>05274</t>
  </si>
  <si>
    <t>PAYNE, FRED A.</t>
  </si>
  <si>
    <t>FRED</t>
  </si>
  <si>
    <t>2020</t>
  </si>
  <si>
    <t>HEISLER, JENNIFER L.</t>
  </si>
  <si>
    <t>HEISLER</t>
  </si>
  <si>
    <t>1039</t>
  </si>
  <si>
    <t>WENDT, STACEY L.</t>
  </si>
  <si>
    <t>WENDT</t>
  </si>
  <si>
    <t>2665</t>
  </si>
  <si>
    <t>1045</t>
  </si>
  <si>
    <t>1123</t>
  </si>
  <si>
    <t xml:space="preserve">WALKER, RUTH </t>
  </si>
  <si>
    <t>WALKER</t>
  </si>
  <si>
    <t>2603</t>
  </si>
  <si>
    <t>GILBERT, HAYDEN L.</t>
  </si>
  <si>
    <t>GILBERT</t>
  </si>
  <si>
    <t>HAYDEN</t>
  </si>
  <si>
    <t>1218</t>
  </si>
  <si>
    <t>DARDIS, JENNIFER G.</t>
  </si>
  <si>
    <t>DARDIS</t>
  </si>
  <si>
    <t>GRACE</t>
  </si>
  <si>
    <t>0030</t>
  </si>
  <si>
    <t>TITMUS, JAMES L.</t>
  </si>
  <si>
    <t>TITMUS</t>
  </si>
  <si>
    <t>LEROY</t>
  </si>
  <si>
    <t>1224</t>
  </si>
  <si>
    <t>0079</t>
  </si>
  <si>
    <t>STEWART, BRIAN L.</t>
  </si>
  <si>
    <t>STEWART</t>
  </si>
  <si>
    <t>5713</t>
  </si>
  <si>
    <t xml:space="preserve">COOK, SENIOR        </t>
  </si>
  <si>
    <t>02180</t>
  </si>
  <si>
    <t>OLLET, NATHANIEL R.</t>
  </si>
  <si>
    <t>OLLET</t>
  </si>
  <si>
    <t>NATHANIEL</t>
  </si>
  <si>
    <t>REYES</t>
  </si>
  <si>
    <t>2013</t>
  </si>
  <si>
    <t>ESTLUND, SHANNON E.</t>
  </si>
  <si>
    <t>ESTLUND</t>
  </si>
  <si>
    <t>SHANNON</t>
  </si>
  <si>
    <t>EMILY</t>
  </si>
  <si>
    <t>2156</t>
  </si>
  <si>
    <t>MILLER, ZAKARI C.</t>
  </si>
  <si>
    <t>MILLER</t>
  </si>
  <si>
    <t>ZAKARI</t>
  </si>
  <si>
    <t>5083</t>
  </si>
  <si>
    <t>2589</t>
  </si>
  <si>
    <t>DEMAREE, WILLIAM T.</t>
  </si>
  <si>
    <t>DEMAREE</t>
  </si>
  <si>
    <t>1217</t>
  </si>
  <si>
    <t>HUXOLL, ANDREA D.</t>
  </si>
  <si>
    <t>HUXOLL</t>
  </si>
  <si>
    <t>ANDREA</t>
  </si>
  <si>
    <t>0029</t>
  </si>
  <si>
    <t>HOFLAND, SAMANTHA K.</t>
  </si>
  <si>
    <t>HOFLAND</t>
  </si>
  <si>
    <t>SAMANTHA</t>
  </si>
  <si>
    <t>KRISTINA</t>
  </si>
  <si>
    <t>3068</t>
  </si>
  <si>
    <t>MCNEAL, TOBY D.</t>
  </si>
  <si>
    <t>MCNEAL</t>
  </si>
  <si>
    <t>TOBY</t>
  </si>
  <si>
    <t>1648</t>
  </si>
  <si>
    <t>HANCHETT, DAVID W.</t>
  </si>
  <si>
    <t>HANCHETT</t>
  </si>
  <si>
    <t>0077</t>
  </si>
  <si>
    <t>GARRETSON, STEPHANIE L.</t>
  </si>
  <si>
    <t>GARRETSON</t>
  </si>
  <si>
    <t>STEPHANIE</t>
  </si>
  <si>
    <t>5712</t>
  </si>
  <si>
    <t xml:space="preserve">INSTRUCTOR          </t>
  </si>
  <si>
    <t>07808</t>
  </si>
  <si>
    <t>BROWN, SCOTT A.</t>
  </si>
  <si>
    <t>BROWN</t>
  </si>
  <si>
    <t>2011</t>
  </si>
  <si>
    <t>FINE, SHERRI L.</t>
  </si>
  <si>
    <t>FINE</t>
  </si>
  <si>
    <t>SHERRI</t>
  </si>
  <si>
    <t>1035</t>
  </si>
  <si>
    <t>BLANCO, GRICELDA S.</t>
  </si>
  <si>
    <t>BLANCO</t>
  </si>
  <si>
    <t>GRICELDA</t>
  </si>
  <si>
    <t>1111</t>
  </si>
  <si>
    <t>ALSLEBEN, HOLLY Y.</t>
  </si>
  <si>
    <t>ALSLEBEN</t>
  </si>
  <si>
    <t>5065</t>
  </si>
  <si>
    <t>1135</t>
  </si>
  <si>
    <t>2588</t>
  </si>
  <si>
    <t>BADILLO, RICHARD A.</t>
  </si>
  <si>
    <t>BADILLO</t>
  </si>
  <si>
    <t>1212</t>
  </si>
  <si>
    <t>MACMILLAN, JESSICA L.</t>
  </si>
  <si>
    <t>MACMILLAN</t>
  </si>
  <si>
    <t>JESSICA</t>
  </si>
  <si>
    <t>0028</t>
  </si>
  <si>
    <t xml:space="preserve">ADMINISTRATIVE SVCS </t>
  </si>
  <si>
    <t>02914</t>
  </si>
  <si>
    <t>SMITH, JOHANNA K.</t>
  </si>
  <si>
    <t>JOHANNA</t>
  </si>
  <si>
    <t>0072</t>
  </si>
  <si>
    <t>ALLEN-GENTILMAN, PEBBLES O.</t>
  </si>
  <si>
    <t>ALLEN-GENTILMAN</t>
  </si>
  <si>
    <t>PEBBLES</t>
  </si>
  <si>
    <t>ORILEE</t>
  </si>
  <si>
    <t>5711</t>
  </si>
  <si>
    <t xml:space="preserve">MOTOR VEH OPER 2    </t>
  </si>
  <si>
    <t>06334</t>
  </si>
  <si>
    <t>HAGGERTY, JOHN A.</t>
  </si>
  <si>
    <t>HAGGERTY</t>
  </si>
  <si>
    <t>ALBERT</t>
  </si>
  <si>
    <t xml:space="preserve">HF   </t>
  </si>
  <si>
    <t>2008</t>
  </si>
  <si>
    <t>LEDUC, DAVID J.</t>
  </si>
  <si>
    <t>LEDUC</t>
  </si>
  <si>
    <t>2590</t>
  </si>
  <si>
    <t xml:space="preserve">CUSTOMER SVC REP 1  </t>
  </si>
  <si>
    <t>01121</t>
  </si>
  <si>
    <t>2152</t>
  </si>
  <si>
    <t>MATULIS, ROBERTTA D.</t>
  </si>
  <si>
    <t>MATULIS</t>
  </si>
  <si>
    <t>ROBERTTA</t>
  </si>
  <si>
    <t>1110</t>
  </si>
  <si>
    <t>GETZ, MICHELLE A.</t>
  </si>
  <si>
    <t>GETZ</t>
  </si>
  <si>
    <t>5050</t>
  </si>
  <si>
    <t>GOITIANDIA, JOSE L.</t>
  </si>
  <si>
    <t>GOITIANDIA</t>
  </si>
  <si>
    <t>JOSE</t>
  </si>
  <si>
    <t>1208</t>
  </si>
  <si>
    <t>HUDSON, CHARLES E.</t>
  </si>
  <si>
    <t>HUDSON</t>
  </si>
  <si>
    <t>0027</t>
  </si>
  <si>
    <t>TORRES, KAREN A.</t>
  </si>
  <si>
    <t>3034</t>
  </si>
  <si>
    <t xml:space="preserve">RODRIGUEZ-MARTINEZ, SANDRA </t>
  </si>
  <si>
    <t>RODRIGUEZ-MARTINEZ</t>
  </si>
  <si>
    <t>0064</t>
  </si>
  <si>
    <t>PERKINS, TAMMY R.</t>
  </si>
  <si>
    <t>PERKINS</t>
  </si>
  <si>
    <t>TAMMY</t>
  </si>
  <si>
    <t>5710</t>
  </si>
  <si>
    <t xml:space="preserve">FOOD SVC OPERATIONS </t>
  </si>
  <si>
    <t>02142</t>
  </si>
  <si>
    <t>PAUL, JONATHAN J.</t>
  </si>
  <si>
    <t>JONATHAN</t>
  </si>
  <si>
    <t>2001</t>
  </si>
  <si>
    <t xml:space="preserve">QUINTANA, RHONDA </t>
  </si>
  <si>
    <t>QUINTANA</t>
  </si>
  <si>
    <t>RHONDA</t>
  </si>
  <si>
    <t>2147</t>
  </si>
  <si>
    <t>JONES, MONICA J.</t>
  </si>
  <si>
    <t>5016</t>
  </si>
  <si>
    <t>2561</t>
  </si>
  <si>
    <t>GUERRA, BLAS P.</t>
  </si>
  <si>
    <t>GUERRA</t>
  </si>
  <si>
    <t>BLAS</t>
  </si>
  <si>
    <t>1204</t>
  </si>
  <si>
    <t>HOPKINS, RAINIE B.</t>
  </si>
  <si>
    <t>HOPKINS</t>
  </si>
  <si>
    <t>RAINIE</t>
  </si>
  <si>
    <t>BENNETT</t>
  </si>
  <si>
    <t>0025</t>
  </si>
  <si>
    <t>WIELAND, MELISSA A.</t>
  </si>
  <si>
    <t>WIELAND</t>
  </si>
  <si>
    <t>ARLENE</t>
  </si>
  <si>
    <t>9995</t>
  </si>
  <si>
    <t>1205</t>
  </si>
  <si>
    <t>0063</t>
  </si>
  <si>
    <t>BREUER, MICHAEL F.</t>
  </si>
  <si>
    <t>BREUER</t>
  </si>
  <si>
    <t>1779</t>
  </si>
  <si>
    <t>5709</t>
  </si>
  <si>
    <t>HEALTH EDUCATION SPE</t>
  </si>
  <si>
    <t>02355</t>
  </si>
  <si>
    <t>CURRAN, MINDY R.</t>
  </si>
  <si>
    <t>CURRAN</t>
  </si>
  <si>
    <t>MINDY</t>
  </si>
  <si>
    <t>1918</t>
  </si>
  <si>
    <t>REBENSTEIGER, MARTIN T.</t>
  </si>
  <si>
    <t>REBENSTEIGER</t>
  </si>
  <si>
    <t>2552</t>
  </si>
  <si>
    <t>2142</t>
  </si>
  <si>
    <t xml:space="preserve">ROBLES, JOSEFINA </t>
  </si>
  <si>
    <t>ROBLES</t>
  </si>
  <si>
    <t>JOSEFINA</t>
  </si>
  <si>
    <t>2559</t>
  </si>
  <si>
    <t xml:space="preserve">ANZALDUA, ELIZABETH </t>
  </si>
  <si>
    <t>ANZALDUA</t>
  </si>
  <si>
    <t>1201</t>
  </si>
  <si>
    <t>GLENN, GINA M.</t>
  </si>
  <si>
    <t>GLENN</t>
  </si>
  <si>
    <t>0023</t>
  </si>
  <si>
    <t>MCCASLIN, RENEE J.</t>
  </si>
  <si>
    <t>MCCASLIN</t>
  </si>
  <si>
    <t>1632</t>
  </si>
  <si>
    <t>LYCKLAMA, BRIDGETTE J.</t>
  </si>
  <si>
    <t>LYCKLAMA</t>
  </si>
  <si>
    <t>BRIDGETTE</t>
  </si>
  <si>
    <t>0062</t>
  </si>
  <si>
    <t>SULLIVAN, DANIEL R.</t>
  </si>
  <si>
    <t>5708</t>
  </si>
  <si>
    <t>EDUCATION PROGRAM SU</t>
  </si>
  <si>
    <t>07816</t>
  </si>
  <si>
    <t>HALL, NICHOLE K.</t>
  </si>
  <si>
    <t>HALL</t>
  </si>
  <si>
    <t>NICHOLE</t>
  </si>
  <si>
    <t>1903</t>
  </si>
  <si>
    <t>SHERRY, JULIE M.</t>
  </si>
  <si>
    <t>SHERRY</t>
  </si>
  <si>
    <t>0091</t>
  </si>
  <si>
    <t>2133</t>
  </si>
  <si>
    <t>BALLESTEROS, LUCY B.</t>
  </si>
  <si>
    <t>BALLESTEROS</t>
  </si>
  <si>
    <t>LUCY</t>
  </si>
  <si>
    <t>B</t>
  </si>
  <si>
    <t>1090</t>
  </si>
  <si>
    <t xml:space="preserve">ANDRADE, AGUEDA </t>
  </si>
  <si>
    <t>ANDRADE</t>
  </si>
  <si>
    <t>AGUEDA</t>
  </si>
  <si>
    <t>2543</t>
  </si>
  <si>
    <t>LOZANO, JOSE D.</t>
  </si>
  <si>
    <t>LOZANO</t>
  </si>
  <si>
    <t>1200</t>
  </si>
  <si>
    <t>BOURGET  III, JOSEPH F.</t>
  </si>
  <si>
    <t>BOURGET  III</t>
  </si>
  <si>
    <t>FELIX</t>
  </si>
  <si>
    <t>0022</t>
  </si>
  <si>
    <t>CROFT, LAURA M.</t>
  </si>
  <si>
    <t>CROFT</t>
  </si>
  <si>
    <t>LAURA</t>
  </si>
  <si>
    <t>M E</t>
  </si>
  <si>
    <t>2816</t>
  </si>
  <si>
    <t>WOHLSCHLEGEL, DARLA G.</t>
  </si>
  <si>
    <t>WOHLSCHLEGEL</t>
  </si>
  <si>
    <t>DARLA</t>
  </si>
  <si>
    <t>GAE</t>
  </si>
  <si>
    <t>0061</t>
  </si>
  <si>
    <t>IRIONDO, DAVID L.</t>
  </si>
  <si>
    <t>IRIONDO</t>
  </si>
  <si>
    <t>5707</t>
  </si>
  <si>
    <t xml:space="preserve">COMMUNITY RSRC DVMT </t>
  </si>
  <si>
    <t>09024</t>
  </si>
  <si>
    <t>LEWIS, SAVANNAH F.</t>
  </si>
  <si>
    <t>SAVANNAH</t>
  </si>
  <si>
    <t>FAYE</t>
  </si>
  <si>
    <t>1803</t>
  </si>
  <si>
    <t xml:space="preserve">HERNANDEZ, CARLOS </t>
  </si>
  <si>
    <t>HERNANDEZ</t>
  </si>
  <si>
    <t>CARLOS</t>
  </si>
  <si>
    <t>2116</t>
  </si>
  <si>
    <t xml:space="preserve">ESCOBEDO, OSCAR </t>
  </si>
  <si>
    <t>ESCOBEDO</t>
  </si>
  <si>
    <t>1089</t>
  </si>
  <si>
    <t xml:space="preserve">ANDRADE, CHEYNEY </t>
  </si>
  <si>
    <t>CHEYNEY</t>
  </si>
  <si>
    <t>5013</t>
  </si>
  <si>
    <t>2530</t>
  </si>
  <si>
    <t>RANDOLPH, KAREN D.</t>
  </si>
  <si>
    <t>RANDOLPH</t>
  </si>
  <si>
    <t>1196</t>
  </si>
  <si>
    <t>BOGER, LA ANN R.</t>
  </si>
  <si>
    <t>BOGER</t>
  </si>
  <si>
    <t>LA ANN</t>
  </si>
  <si>
    <t>0021</t>
  </si>
  <si>
    <t>LADNER, LAURA J.</t>
  </si>
  <si>
    <t>LADNER</t>
  </si>
  <si>
    <t>2812</t>
  </si>
  <si>
    <t>GUILLEN, ELSA J.</t>
  </si>
  <si>
    <t>GUILLEN</t>
  </si>
  <si>
    <t>ELSA</t>
  </si>
  <si>
    <t>JUAREZ</t>
  </si>
  <si>
    <t>0060</t>
  </si>
  <si>
    <t>FORDHAM, ADDISON W.</t>
  </si>
  <si>
    <t>FORDHAM</t>
  </si>
  <si>
    <t>ADDISON</t>
  </si>
  <si>
    <t>1759</t>
  </si>
  <si>
    <t>5706</t>
  </si>
  <si>
    <t>HILTON, JEAN R.</t>
  </si>
  <si>
    <t>HILTON</t>
  </si>
  <si>
    <t>1027</t>
  </si>
  <si>
    <t>CABRERA, DANILO M.</t>
  </si>
  <si>
    <t>CABRERA</t>
  </si>
  <si>
    <t>DANILO</t>
  </si>
  <si>
    <t>1122</t>
  </si>
  <si>
    <t>2526</t>
  </si>
  <si>
    <t>JEPPESEN, CHET G.</t>
  </si>
  <si>
    <t>JEPPESEN</t>
  </si>
  <si>
    <t>CHET</t>
  </si>
  <si>
    <t>1193</t>
  </si>
  <si>
    <t>UI BENEFIT OVRPMT SP</t>
  </si>
  <si>
    <t>08830</t>
  </si>
  <si>
    <t>KIGER, KRISHNA A.</t>
  </si>
  <si>
    <t>KIGER</t>
  </si>
  <si>
    <t>KRISHNA</t>
  </si>
  <si>
    <t>0020</t>
  </si>
  <si>
    <t>COLLINS, CARLEEN K.</t>
  </si>
  <si>
    <t>COLLINS</t>
  </si>
  <si>
    <t>CARLEEN</t>
  </si>
  <si>
    <t>9986</t>
  </si>
  <si>
    <t>2810</t>
  </si>
  <si>
    <t>DEVILLE, ANTHONY E.</t>
  </si>
  <si>
    <t>DEVILLE</t>
  </si>
  <si>
    <t>1603</t>
  </si>
  <si>
    <t>LOWTHER, CRYSTAL N.</t>
  </si>
  <si>
    <t>LOWTHER</t>
  </si>
  <si>
    <t>CRYSTAL</t>
  </si>
  <si>
    <t>0058</t>
  </si>
  <si>
    <t>RIDGE, LAURA L.</t>
  </si>
  <si>
    <t>RIDGE</t>
  </si>
  <si>
    <t>5705</t>
  </si>
  <si>
    <t>LUCAS, KIMBERLI D.</t>
  </si>
  <si>
    <t>LUCAS</t>
  </si>
  <si>
    <t>KIMBERLI</t>
  </si>
  <si>
    <t>0068</t>
  </si>
  <si>
    <t>2112</t>
  </si>
  <si>
    <t>BOOZER, VIRGINIA A.</t>
  </si>
  <si>
    <t>BOOZER</t>
  </si>
  <si>
    <t>5002</t>
  </si>
  <si>
    <t>2518</t>
  </si>
  <si>
    <t>SMOTHERS, SONIA I.</t>
  </si>
  <si>
    <t>SMOTHERS</t>
  </si>
  <si>
    <t>SONIA</t>
  </si>
  <si>
    <t>ISABEL</t>
  </si>
  <si>
    <t>1190</t>
  </si>
  <si>
    <t>HOFLAND, CASEY J.</t>
  </si>
  <si>
    <t>0019</t>
  </si>
  <si>
    <t>NEPTUNE, CHRISTINA M.</t>
  </si>
  <si>
    <t>NEPTUNE</t>
  </si>
  <si>
    <t>CHRISTINA</t>
  </si>
  <si>
    <t>1192</t>
  </si>
  <si>
    <t>2809</t>
  </si>
  <si>
    <t>MENDOZA, CHANDREA B.</t>
  </si>
  <si>
    <t>MENDOZA</t>
  </si>
  <si>
    <t>CHANDREA</t>
  </si>
  <si>
    <t>1580</t>
  </si>
  <si>
    <t>TUCKETT, AARRON M.</t>
  </si>
  <si>
    <t>TUCKETT</t>
  </si>
  <si>
    <t>AARRON</t>
  </si>
  <si>
    <t>MASON</t>
  </si>
  <si>
    <t>0057</t>
  </si>
  <si>
    <t>PROVOST, EMILY J.</t>
  </si>
  <si>
    <t>PROVOST</t>
  </si>
  <si>
    <t>JEANETTE</t>
  </si>
  <si>
    <t>1755</t>
  </si>
  <si>
    <t>5704</t>
  </si>
  <si>
    <t>HALE, GREGORY W.</t>
  </si>
  <si>
    <t>HALE</t>
  </si>
  <si>
    <t>GREGORY</t>
  </si>
  <si>
    <t>1790</t>
  </si>
  <si>
    <t xml:space="preserve">ARCINIEGA HERNANDEZ, DAVID </t>
  </si>
  <si>
    <t>ARCINIEGA HERNANDEZ</t>
  </si>
  <si>
    <t>2210</t>
  </si>
  <si>
    <t>2413</t>
  </si>
  <si>
    <t>HOWERTON, DAVE W.</t>
  </si>
  <si>
    <t>HOWERTON</t>
  </si>
  <si>
    <t>1186</t>
  </si>
  <si>
    <t>BURNS, JOSEPH J.</t>
  </si>
  <si>
    <t>BURNS</t>
  </si>
  <si>
    <t>0018</t>
  </si>
  <si>
    <t>KING, AMY J.</t>
  </si>
  <si>
    <t>KING</t>
  </si>
  <si>
    <t>9984</t>
  </si>
  <si>
    <t xml:space="preserve">TEMPORARY EMPLOYEES </t>
  </si>
  <si>
    <t>95000</t>
  </si>
  <si>
    <t>2804</t>
  </si>
  <si>
    <t xml:space="preserve">KERBS, JEANNE </t>
  </si>
  <si>
    <t>KERBS</t>
  </si>
  <si>
    <t>JEANNE</t>
  </si>
  <si>
    <t>1572</t>
  </si>
  <si>
    <t>RIDENOUR, LORI J.</t>
  </si>
  <si>
    <t>RIDENOUR</t>
  </si>
  <si>
    <t>LORI</t>
  </si>
  <si>
    <t>JUNE</t>
  </si>
  <si>
    <t>0056</t>
  </si>
  <si>
    <t>REYNOLDS, MENDY L.</t>
  </si>
  <si>
    <t>REYNOLDS</t>
  </si>
  <si>
    <t>MENDY</t>
  </si>
  <si>
    <t>5703</t>
  </si>
  <si>
    <t>HUGGINS, SHANDA L.</t>
  </si>
  <si>
    <t>HUGGINS</t>
  </si>
  <si>
    <t>SHANDA</t>
  </si>
  <si>
    <t>8896</t>
  </si>
  <si>
    <t xml:space="preserve">IUS ADMINISTRATOR   </t>
  </si>
  <si>
    <t>21415</t>
  </si>
  <si>
    <t>MAYFIELD, MARK A.</t>
  </si>
  <si>
    <t>MAYFIELD</t>
  </si>
  <si>
    <t>2108</t>
  </si>
  <si>
    <t>BENNETT, MATT E.</t>
  </si>
  <si>
    <t>MATT</t>
  </si>
  <si>
    <t>1109</t>
  </si>
  <si>
    <t>2409</t>
  </si>
  <si>
    <t>SHEETS, TERRY D.</t>
  </si>
  <si>
    <t>SHEETS</t>
  </si>
  <si>
    <t>1183</t>
  </si>
  <si>
    <t>BRUCE, RHONDA K.</t>
  </si>
  <si>
    <t>BRUCE</t>
  </si>
  <si>
    <t>0017</t>
  </si>
  <si>
    <t>GECK, KEVIN J.</t>
  </si>
  <si>
    <t>GECK</t>
  </si>
  <si>
    <t>1188</t>
  </si>
  <si>
    <t>2792</t>
  </si>
  <si>
    <t>NEERDAELS, RANDALL D.</t>
  </si>
  <si>
    <t>NEERDAELS</t>
  </si>
  <si>
    <t>RANDALL</t>
  </si>
  <si>
    <t>0055</t>
  </si>
  <si>
    <t>HARDING, JOHN K.</t>
  </si>
  <si>
    <t>HARDING</t>
  </si>
  <si>
    <t>5702</t>
  </si>
  <si>
    <t xml:space="preserve">CUSTODIAN           </t>
  </si>
  <si>
    <t>02010</t>
  </si>
  <si>
    <t>VANCE, DAVID L.</t>
  </si>
  <si>
    <t>VANCE</t>
  </si>
  <si>
    <t xml:space="preserve">HE   </t>
  </si>
  <si>
    <t>1780</t>
  </si>
  <si>
    <t>KUNZ, VICTORIA M.</t>
  </si>
  <si>
    <t>KUNZ</t>
  </si>
  <si>
    <t>VICTORIA</t>
  </si>
  <si>
    <t>MARLENE</t>
  </si>
  <si>
    <t>0048</t>
  </si>
  <si>
    <t>1075</t>
  </si>
  <si>
    <t>MCCARTY, SARAH B.</t>
  </si>
  <si>
    <t>MCCARTY</t>
  </si>
  <si>
    <t>BETHANY</t>
  </si>
  <si>
    <t>3177</t>
  </si>
  <si>
    <t>2406</t>
  </si>
  <si>
    <t xml:space="preserve">BENNETT KING, BROOKE </t>
  </si>
  <si>
    <t>BENNETT KING</t>
  </si>
  <si>
    <t>BROOKE</t>
  </si>
  <si>
    <t>1182</t>
  </si>
  <si>
    <t>BARILLAS, RAUL F.</t>
  </si>
  <si>
    <t>BARILLAS</t>
  </si>
  <si>
    <t>RAUL</t>
  </si>
  <si>
    <t>FERNANDO</t>
  </si>
  <si>
    <t>0016</t>
  </si>
  <si>
    <t>MANCERA, TARYN A.</t>
  </si>
  <si>
    <t>MANCERA</t>
  </si>
  <si>
    <t>TARYN</t>
  </si>
  <si>
    <t>2788</t>
  </si>
  <si>
    <t>LEDUC, MICHAEL G.</t>
  </si>
  <si>
    <t>G.</t>
  </si>
  <si>
    <t>0054</t>
  </si>
  <si>
    <t>SHAW, LAWRENCE M.</t>
  </si>
  <si>
    <t>SHAW</t>
  </si>
  <si>
    <t>5701</t>
  </si>
  <si>
    <t xml:space="preserve">IT OPS &amp; SUPPORT SR </t>
  </si>
  <si>
    <t>01708</t>
  </si>
  <si>
    <t>GAFFORD, ROBERT A.</t>
  </si>
  <si>
    <t>GAFFORD</t>
  </si>
  <si>
    <t>1775</t>
  </si>
  <si>
    <t xml:space="preserve">KAJDIC, DIJANA </t>
  </si>
  <si>
    <t>KAJDIC</t>
  </si>
  <si>
    <t>DIJANA</t>
  </si>
  <si>
    <t>8889</t>
  </si>
  <si>
    <t xml:space="preserve">DDS DIV ADMIN       </t>
  </si>
  <si>
    <t>21404</t>
  </si>
  <si>
    <t>HERNANDEZ, WILLIAM E.</t>
  </si>
  <si>
    <t>2104</t>
  </si>
  <si>
    <t>MONTGOMERY, LAURELLEE M.</t>
  </si>
  <si>
    <t>MONTGOMERY</t>
  </si>
  <si>
    <t>LAURELLEE</t>
  </si>
  <si>
    <t>1179</t>
  </si>
  <si>
    <t>HECK, KIMBERLY A.</t>
  </si>
  <si>
    <t>HECK</t>
  </si>
  <si>
    <t>0015</t>
  </si>
  <si>
    <t>EASON, COLLEEN M.</t>
  </si>
  <si>
    <t>EASON</t>
  </si>
  <si>
    <t>1187</t>
  </si>
  <si>
    <t>EMUI</t>
  </si>
  <si>
    <t>1097</t>
  </si>
  <si>
    <t>1063</t>
  </si>
  <si>
    <t>3139</t>
  </si>
  <si>
    <t>UI TECHNICAL SVCS SP</t>
  </si>
  <si>
    <t>08893</t>
  </si>
  <si>
    <t>SMITH, TYLER J.</t>
  </si>
  <si>
    <t>TYLER</t>
  </si>
  <si>
    <t>2824</t>
  </si>
  <si>
    <t>ADAMS, RANDALL P.</t>
  </si>
  <si>
    <t>ADAMS</t>
  </si>
  <si>
    <t>2815</t>
  </si>
  <si>
    <t xml:space="preserve">UI OPERATIONS MGR   </t>
  </si>
  <si>
    <t>08825</t>
  </si>
  <si>
    <t>LANGFORD, RICHARD F.</t>
  </si>
  <si>
    <t>LANGFORD</t>
  </si>
  <si>
    <t>1006</t>
  </si>
  <si>
    <t>1758</t>
  </si>
  <si>
    <t xml:space="preserve">LUNA, NOELIA </t>
  </si>
  <si>
    <t>LUNA</t>
  </si>
  <si>
    <t>NOELIA</t>
  </si>
  <si>
    <t>1085</t>
  </si>
  <si>
    <t>TINGSTROM, ELLEN L.</t>
  </si>
  <si>
    <t>TINGSTROM</t>
  </si>
  <si>
    <t>ELLEN</t>
  </si>
  <si>
    <t>1080</t>
  </si>
  <si>
    <t>TEETS, KIERON F.</t>
  </si>
  <si>
    <t>TEETS</t>
  </si>
  <si>
    <t>KIERON</t>
  </si>
  <si>
    <t>1048</t>
  </si>
  <si>
    <t>PRUDENT, CHARLES L.</t>
  </si>
  <si>
    <t>PRUDENT</t>
  </si>
  <si>
    <t>1037</t>
  </si>
  <si>
    <t>COTA, RICARDO F.</t>
  </si>
  <si>
    <t>COTA</t>
  </si>
  <si>
    <t>FREDRICK</t>
  </si>
  <si>
    <t>2512</t>
  </si>
  <si>
    <t>BRANDON, SCOTT M.</t>
  </si>
  <si>
    <t>2687</t>
  </si>
  <si>
    <t>ALLEN, JOHNY L.</t>
  </si>
  <si>
    <t>ALLEN</t>
  </si>
  <si>
    <t>JOHNY</t>
  </si>
  <si>
    <t>1747</t>
  </si>
  <si>
    <t>KIME, PAUL F.</t>
  </si>
  <si>
    <t>KIME</t>
  </si>
  <si>
    <t>3052</t>
  </si>
  <si>
    <t xml:space="preserve">UI BENEFITS BUR CHF </t>
  </si>
  <si>
    <t>08882</t>
  </si>
  <si>
    <t>MCKENNA, JOSHUA M.</t>
  </si>
  <si>
    <t>MCKENNA</t>
  </si>
  <si>
    <t>JOSHUA</t>
  </si>
  <si>
    <t>2004</t>
  </si>
  <si>
    <t>HANCOCK, JON P.</t>
  </si>
  <si>
    <t>HANCOCK</t>
  </si>
  <si>
    <t>PATRICK</t>
  </si>
  <si>
    <t>1184</t>
  </si>
  <si>
    <t>TOMKINSON, JASON P.</t>
  </si>
  <si>
    <t>TOMKINSON</t>
  </si>
  <si>
    <t>2161</t>
  </si>
  <si>
    <t>1743</t>
  </si>
  <si>
    <t>STEVENS, GREGORY B.</t>
  </si>
  <si>
    <t>STEVENS</t>
  </si>
  <si>
    <t>1073</t>
  </si>
  <si>
    <t>INGRAM, TONYA T.</t>
  </si>
  <si>
    <t>INGRAM</t>
  </si>
  <si>
    <t>TONYA</t>
  </si>
  <si>
    <t>TIFFANY</t>
  </si>
  <si>
    <t>3048</t>
  </si>
  <si>
    <t>MCKINLEY, LISA J.</t>
  </si>
  <si>
    <t>MCKINLEY</t>
  </si>
  <si>
    <t>2003</t>
  </si>
  <si>
    <t xml:space="preserve">LLOYD, MARY </t>
  </si>
  <si>
    <t>LLOYD</t>
  </si>
  <si>
    <t>MARY</t>
  </si>
  <si>
    <t>1741</t>
  </si>
  <si>
    <t>DELOYOLA, PAMELA J.</t>
  </si>
  <si>
    <t>DELOYOLA</t>
  </si>
  <si>
    <t>PAMELA</t>
  </si>
  <si>
    <t>1068</t>
  </si>
  <si>
    <t>BEARD, MICHAEL K.</t>
  </si>
  <si>
    <t>2002</t>
  </si>
  <si>
    <t>GRESS, NICOLE S.</t>
  </si>
  <si>
    <t>GRESS</t>
  </si>
  <si>
    <t>NICOLE</t>
  </si>
  <si>
    <t>SUZANNE</t>
  </si>
  <si>
    <t>1227</t>
  </si>
  <si>
    <t>DURAN, KAREN E.</t>
  </si>
  <si>
    <t>DURAN</t>
  </si>
  <si>
    <t>ELEANA</t>
  </si>
  <si>
    <t>1010</t>
  </si>
  <si>
    <t>KAMINSKI, NATHAN R.</t>
  </si>
  <si>
    <t>KAMINSKI</t>
  </si>
  <si>
    <t>NATHAN</t>
  </si>
  <si>
    <t>3011</t>
  </si>
  <si>
    <t>1082</t>
  </si>
  <si>
    <t>3033</t>
  </si>
  <si>
    <t>BAKER, SANDRA K.</t>
  </si>
  <si>
    <t>BAKER</t>
  </si>
  <si>
    <t>KIM</t>
  </si>
  <si>
    <t>5080</t>
  </si>
  <si>
    <t>CUEVAS, MARIAN K.</t>
  </si>
  <si>
    <t>CUEVAS</t>
  </si>
  <si>
    <t>KATHLEEN</t>
  </si>
  <si>
    <t>1181</t>
  </si>
  <si>
    <t xml:space="preserve">SUMMERS, NAOKO </t>
  </si>
  <si>
    <t>SUMMERS</t>
  </si>
  <si>
    <t>NAOKO</t>
  </si>
  <si>
    <t>1226</t>
  </si>
  <si>
    <t>WHITTET, CINDI M.</t>
  </si>
  <si>
    <t>WHITTET</t>
  </si>
  <si>
    <t>CINDI</t>
  </si>
  <si>
    <t>3029</t>
  </si>
  <si>
    <t>MURPHY, WENDY J.</t>
  </si>
  <si>
    <t>MURPHY</t>
  </si>
  <si>
    <t>WENDY</t>
  </si>
  <si>
    <t>2000</t>
  </si>
  <si>
    <t>BROWN, SUZETTE E.</t>
  </si>
  <si>
    <t>SUZETTE</t>
  </si>
  <si>
    <t>5061</t>
  </si>
  <si>
    <t>MELTON, MATTHEW K.</t>
  </si>
  <si>
    <t>MELTON</t>
  </si>
  <si>
    <t>KELLY</t>
  </si>
  <si>
    <t>2122</t>
  </si>
  <si>
    <t>1732</t>
  </si>
  <si>
    <t>CROWE, PAMELA J.</t>
  </si>
  <si>
    <t>CROWE</t>
  </si>
  <si>
    <t>3022</t>
  </si>
  <si>
    <t>HALE, CARRIE L.</t>
  </si>
  <si>
    <t>1921</t>
  </si>
  <si>
    <t xml:space="preserve">DEL BOSQUE, AMERICA </t>
  </si>
  <si>
    <t>DEL BOSQUE</t>
  </si>
  <si>
    <t>AMERICA</t>
  </si>
  <si>
    <t>1007</t>
  </si>
  <si>
    <t>JORDAN, TAYLOR L.</t>
  </si>
  <si>
    <t>2105</t>
  </si>
  <si>
    <t>1724</t>
  </si>
  <si>
    <t>EIDEN, KATHERINE A.</t>
  </si>
  <si>
    <t>EIDEN</t>
  </si>
  <si>
    <t>2795</t>
  </si>
  <si>
    <t>1070</t>
  </si>
  <si>
    <t>3018</t>
  </si>
  <si>
    <t xml:space="preserve">EVERITT, MARLENE </t>
  </si>
  <si>
    <t>EVERITT</t>
  </si>
  <si>
    <t>PB</t>
  </si>
  <si>
    <t>1917</t>
  </si>
  <si>
    <t>TRACADAS, DUANE P.</t>
  </si>
  <si>
    <t>TRACADAS</t>
  </si>
  <si>
    <t>DUANE</t>
  </si>
  <si>
    <t>1167</t>
  </si>
  <si>
    <t>3203</t>
  </si>
  <si>
    <t>TRIPPE, MARILYN S.</t>
  </si>
  <si>
    <t>TRIPPE</t>
  </si>
  <si>
    <t>MARILYN</t>
  </si>
  <si>
    <t>SAGE</t>
  </si>
  <si>
    <t>2047</t>
  </si>
  <si>
    <t>HILL, MATTHEW H.</t>
  </si>
  <si>
    <t>HERBERT</t>
  </si>
  <si>
    <t>1219</t>
  </si>
  <si>
    <t>GRAHAM, KELLY E.</t>
  </si>
  <si>
    <t>GRAHAM</t>
  </si>
  <si>
    <t>1005</t>
  </si>
  <si>
    <t xml:space="preserve">DE LUNA, ADRIANA </t>
  </si>
  <si>
    <t>DE LUNA</t>
  </si>
  <si>
    <t>ADRIANA</t>
  </si>
  <si>
    <t>2063</t>
  </si>
  <si>
    <t>1721</t>
  </si>
  <si>
    <t>ROSENBERGER, KEVIN R.</t>
  </si>
  <si>
    <t>ROSENBERGER</t>
  </si>
  <si>
    <t>3017</t>
  </si>
  <si>
    <t>UI COMPLIANCE BUR CH</t>
  </si>
  <si>
    <t>08824</t>
  </si>
  <si>
    <t>WAUHOB, KEVIN C.</t>
  </si>
  <si>
    <t>WAUHOB</t>
  </si>
  <si>
    <t>1914</t>
  </si>
  <si>
    <t>DIXON, JOEL T.</t>
  </si>
  <si>
    <t>DIXON</t>
  </si>
  <si>
    <t>JOEL</t>
  </si>
  <si>
    <t>1163</t>
  </si>
  <si>
    <t>1176</t>
  </si>
  <si>
    <t>SCHIERS, PATRICIA E.</t>
  </si>
  <si>
    <t>SCHIERS</t>
  </si>
  <si>
    <t>PATRICIA</t>
  </si>
  <si>
    <t>1004</t>
  </si>
  <si>
    <t>HEATH, MAUREEN C.</t>
  </si>
  <si>
    <t>HEATH</t>
  </si>
  <si>
    <t>CATHERINE</t>
  </si>
  <si>
    <t>2057</t>
  </si>
  <si>
    <t>3014</t>
  </si>
  <si>
    <t>KIRBY, KAREN L.</t>
  </si>
  <si>
    <t>LORRAINE</t>
  </si>
  <si>
    <t>1910</t>
  </si>
  <si>
    <t>UI TECHNICAL SVCS SU</t>
  </si>
  <si>
    <t>08884</t>
  </si>
  <si>
    <t>FONTAINE, GRETCHEN R.</t>
  </si>
  <si>
    <t>FONTAINE</t>
  </si>
  <si>
    <t>GRETCHEN</t>
  </si>
  <si>
    <t>6164</t>
  </si>
  <si>
    <t>1161</t>
  </si>
  <si>
    <t>1175</t>
  </si>
  <si>
    <t>JOHNSON, KAITLYN B.</t>
  </si>
  <si>
    <t>KAITLYN</t>
  </si>
  <si>
    <t>BRIANNA</t>
  </si>
  <si>
    <t>2021</t>
  </si>
  <si>
    <t>1127</t>
  </si>
  <si>
    <t>HOLMES, JULIA A.</t>
  </si>
  <si>
    <t>JULIA</t>
  </si>
  <si>
    <t>1160</t>
  </si>
  <si>
    <t>1216</t>
  </si>
  <si>
    <t>BAKER, ELIZABETH D.</t>
  </si>
  <si>
    <t>DEE</t>
  </si>
  <si>
    <t>1002</t>
  </si>
  <si>
    <t>CLAY, MAIA S.</t>
  </si>
  <si>
    <t>CLAY</t>
  </si>
  <si>
    <t>MAIA</t>
  </si>
  <si>
    <t>1805</t>
  </si>
  <si>
    <t>ERICKSON, ERIC L.</t>
  </si>
  <si>
    <t>ERICKSON</t>
  </si>
  <si>
    <t>ERIC</t>
  </si>
  <si>
    <t>1126</t>
  </si>
  <si>
    <t>JONES, MERVIN W.</t>
  </si>
  <si>
    <t>MERVIN</t>
  </si>
  <si>
    <t>WESLEY</t>
  </si>
  <si>
    <t>1156</t>
  </si>
  <si>
    <t>1215</t>
  </si>
  <si>
    <t>RICE, BECKY J.</t>
  </si>
  <si>
    <t>RICE</t>
  </si>
  <si>
    <t>BECKY</t>
  </si>
  <si>
    <t>1051</t>
  </si>
  <si>
    <t xml:space="preserve">UI CLAIMS INVSTGR   </t>
  </si>
  <si>
    <t>08828</t>
  </si>
  <si>
    <t>DICKESON, JENNIFER L.</t>
  </si>
  <si>
    <t>DICKESON</t>
  </si>
  <si>
    <t>3180</t>
  </si>
  <si>
    <t>LUNA, BLANCA R.</t>
  </si>
  <si>
    <t>BLANCA</t>
  </si>
  <si>
    <t>ROSA</t>
  </si>
  <si>
    <t>1171</t>
  </si>
  <si>
    <t>BROWN, CODY C.</t>
  </si>
  <si>
    <t>CODY</t>
  </si>
  <si>
    <t>1214</t>
  </si>
  <si>
    <t>HARTMAN, SHERRY L.</t>
  </si>
  <si>
    <t>HARTMAN</t>
  </si>
  <si>
    <t>2817</t>
  </si>
  <si>
    <t>LITTLE, STEPHANIE L.</t>
  </si>
  <si>
    <t>LITTLE</t>
  </si>
  <si>
    <t>1120</t>
  </si>
  <si>
    <t>GIFFIN, RYAN M.</t>
  </si>
  <si>
    <t>GIFFIN</t>
  </si>
  <si>
    <t>MCCLURE</t>
  </si>
  <si>
    <t>1170</t>
  </si>
  <si>
    <t>SHARETTE, CRYSTAL K.</t>
  </si>
  <si>
    <t>SHARETTE</t>
  </si>
  <si>
    <t>1213</t>
  </si>
  <si>
    <t>LORENZANA, MARIA O.</t>
  </si>
  <si>
    <t>LORENZANA</t>
  </si>
  <si>
    <t>1119</t>
  </si>
  <si>
    <t>JAMES, JAMIE L.</t>
  </si>
  <si>
    <t>JAMIE</t>
  </si>
  <si>
    <t>5109</t>
  </si>
  <si>
    <t>3153</t>
  </si>
  <si>
    <t>PETERSON, CAROLYNN J.</t>
  </si>
  <si>
    <t>PETERSON</t>
  </si>
  <si>
    <t>CAROLYNN</t>
  </si>
  <si>
    <t>2028</t>
  </si>
  <si>
    <t>THOMPSON, ALICIA L.</t>
  </si>
  <si>
    <t>THOMPSON</t>
  </si>
  <si>
    <t>1169</t>
  </si>
  <si>
    <t xml:space="preserve">CARRETE, LAURA </t>
  </si>
  <si>
    <t>CARRETE</t>
  </si>
  <si>
    <t>2015</t>
  </si>
  <si>
    <t>1797</t>
  </si>
  <si>
    <t>ALDRICH, JULIE M.</t>
  </si>
  <si>
    <t>ALDRICH</t>
  </si>
  <si>
    <t>1118</t>
  </si>
  <si>
    <t>VILLATORO DIAZ, JULIETTE M.</t>
  </si>
  <si>
    <t>VILLATORO DIAZ</t>
  </si>
  <si>
    <t>JULIETTE</t>
  </si>
  <si>
    <t>3152</t>
  </si>
  <si>
    <t>UI REVENUE QUAL CTRL</t>
  </si>
  <si>
    <t>08899</t>
  </si>
  <si>
    <t xml:space="preserve">CLINK, PENNY </t>
  </si>
  <si>
    <t>CLINK</t>
  </si>
  <si>
    <t>PENNY</t>
  </si>
  <si>
    <t>2027</t>
  </si>
  <si>
    <t>KRACKENBERGER, MEGAN L.</t>
  </si>
  <si>
    <t>KRACKENBERGER</t>
  </si>
  <si>
    <t>1166</t>
  </si>
  <si>
    <t>FISHER, LYNN C.</t>
  </si>
  <si>
    <t>FISHER</t>
  </si>
  <si>
    <t>1238</t>
  </si>
  <si>
    <t>1211</t>
  </si>
  <si>
    <t>LASUEN, MARY A.</t>
  </si>
  <si>
    <t>LASUEN</t>
  </si>
  <si>
    <t>2586</t>
  </si>
  <si>
    <t>SALINAS, GUADALUPE V.</t>
  </si>
  <si>
    <t>SALINAS</t>
  </si>
  <si>
    <t>1059</t>
  </si>
  <si>
    <t>1115</t>
  </si>
  <si>
    <t xml:space="preserve">YOUNAN, ODET </t>
  </si>
  <si>
    <t>YOUNAN</t>
  </si>
  <si>
    <t>ODET</t>
  </si>
  <si>
    <t>3151</t>
  </si>
  <si>
    <t>GARDNER, CAROLEE M.</t>
  </si>
  <si>
    <t>CAROLEE</t>
  </si>
  <si>
    <t>MITTON</t>
  </si>
  <si>
    <t>2026</t>
  </si>
  <si>
    <t>MARTINEZ, JACQUELINE R.</t>
  </si>
  <si>
    <t>MARTINEZ</t>
  </si>
  <si>
    <t>JACQUELINE</t>
  </si>
  <si>
    <t>REBBECCA</t>
  </si>
  <si>
    <t>1165</t>
  </si>
  <si>
    <t>MADRIGAL, CRYSTAL M.</t>
  </si>
  <si>
    <t>MADRIGAL</t>
  </si>
  <si>
    <t>1237</t>
  </si>
  <si>
    <t>1209</t>
  </si>
  <si>
    <t>EISENBARTH, KIMBERLY A.</t>
  </si>
  <si>
    <t>EISENBARTH</t>
  </si>
  <si>
    <t>2585</t>
  </si>
  <si>
    <t xml:space="preserve">FIGUEROA, PAULITA </t>
  </si>
  <si>
    <t>FIGUEROA</t>
  </si>
  <si>
    <t>PAULITA</t>
  </si>
  <si>
    <t>1114</t>
  </si>
  <si>
    <t>JUNCKER, LAURA M.</t>
  </si>
  <si>
    <t>JUNCKER</t>
  </si>
  <si>
    <t>5088</t>
  </si>
  <si>
    <t>2025</t>
  </si>
  <si>
    <t>BROWN, KAY L.</t>
  </si>
  <si>
    <t>1164</t>
  </si>
  <si>
    <t>BROWN, JENNIFER A.</t>
  </si>
  <si>
    <t>1225</t>
  </si>
  <si>
    <t>2582</t>
  </si>
  <si>
    <t>MAYO, DUSTIN T.</t>
  </si>
  <si>
    <t>MAYO</t>
  </si>
  <si>
    <t>DUSTIN</t>
  </si>
  <si>
    <t>TODD</t>
  </si>
  <si>
    <t>1789</t>
  </si>
  <si>
    <t>WHITAKER, SHELBE D.</t>
  </si>
  <si>
    <t>WHITAKER</t>
  </si>
  <si>
    <t>SHELBE</t>
  </si>
  <si>
    <t>3140</t>
  </si>
  <si>
    <t>REEDER, LEAH M.</t>
  </si>
  <si>
    <t>REEDER</t>
  </si>
  <si>
    <t>LEAH</t>
  </si>
  <si>
    <t>2024</t>
  </si>
  <si>
    <t>GUILLEN, FATIMA P.</t>
  </si>
  <si>
    <t>FATIMA</t>
  </si>
  <si>
    <t>1162</t>
  </si>
  <si>
    <t>PRESCOTT, JOANNE B.</t>
  </si>
  <si>
    <t>PRESCOTT</t>
  </si>
  <si>
    <t>JOANNE</t>
  </si>
  <si>
    <t>BETTY</t>
  </si>
  <si>
    <t>2163</t>
  </si>
  <si>
    <t>METZGER, JOHN T.</t>
  </si>
  <si>
    <t>METZGER</t>
  </si>
  <si>
    <t>1207</t>
  </si>
  <si>
    <t xml:space="preserve">SPANTON, MEGAN </t>
  </si>
  <si>
    <t>SPANTON</t>
  </si>
  <si>
    <t>2580</t>
  </si>
  <si>
    <t>MURPHY, BEA L.</t>
  </si>
  <si>
    <t>BEA</t>
  </si>
  <si>
    <t>1784</t>
  </si>
  <si>
    <t>COOKE, LARAE I.</t>
  </si>
  <si>
    <t>COOKE</t>
  </si>
  <si>
    <t>LARAE</t>
  </si>
  <si>
    <t>2023</t>
  </si>
  <si>
    <t>TRENGOVE, KRISTEN S.</t>
  </si>
  <si>
    <t>TRENGOVE</t>
  </si>
  <si>
    <t>KRISTEN</t>
  </si>
  <si>
    <t>1159</t>
  </si>
  <si>
    <t>AULT, LAUREN E.</t>
  </si>
  <si>
    <t>LAUREN</t>
  </si>
  <si>
    <t>1206</t>
  </si>
  <si>
    <t>TEW, EMILY M.</t>
  </si>
  <si>
    <t>TEW</t>
  </si>
  <si>
    <t>2576</t>
  </si>
  <si>
    <t>BENNETT, DANETTE E.</t>
  </si>
  <si>
    <t>DANETTE</t>
  </si>
  <si>
    <t>2650</t>
  </si>
  <si>
    <t>1096</t>
  </si>
  <si>
    <t xml:space="preserve">MADRIGAL, ALEJANDRA </t>
  </si>
  <si>
    <t>ALEJANDRA</t>
  </si>
  <si>
    <t>3136</t>
  </si>
  <si>
    <t>ROGERS, PAMELA K.</t>
  </si>
  <si>
    <t>1158</t>
  </si>
  <si>
    <t>NELSON, MIRANDA J.</t>
  </si>
  <si>
    <t>NELSON</t>
  </si>
  <si>
    <t>MIRANDA</t>
  </si>
  <si>
    <t>2153</t>
  </si>
  <si>
    <t>RAASS, VICKI L.</t>
  </si>
  <si>
    <t>RAASS</t>
  </si>
  <si>
    <t>VICKI</t>
  </si>
  <si>
    <t>1783</t>
  </si>
  <si>
    <t>2575</t>
  </si>
  <si>
    <t>HUYCK OLSEN, MELISA A.</t>
  </si>
  <si>
    <t>HUYCK OLSEN</t>
  </si>
  <si>
    <t>1536</t>
  </si>
  <si>
    <t>GLOECKLE, ELAINE H.</t>
  </si>
  <si>
    <t>GLOECKLE</t>
  </si>
  <si>
    <t>HOPE</t>
  </si>
  <si>
    <t>1040</t>
  </si>
  <si>
    <t xml:space="preserve">WARNE, STAR </t>
  </si>
  <si>
    <t>WARNE</t>
  </si>
  <si>
    <t>STAR</t>
  </si>
  <si>
    <t>2612</t>
  </si>
  <si>
    <t>1032</t>
  </si>
  <si>
    <t>1776</t>
  </si>
  <si>
    <t>PRICE, VICTORIA L.</t>
  </si>
  <si>
    <t>PRICE</t>
  </si>
  <si>
    <t>1095</t>
  </si>
  <si>
    <t>HENRY, JOANNA J.</t>
  </si>
  <si>
    <t>3132</t>
  </si>
  <si>
    <t>PATERA, ERIC R.</t>
  </si>
  <si>
    <t>PATERA</t>
  </si>
  <si>
    <t>1157</t>
  </si>
  <si>
    <t>WEEKS, STACIE L.</t>
  </si>
  <si>
    <t>WEEKS</t>
  </si>
  <si>
    <t>STACIE</t>
  </si>
  <si>
    <t>LYNETTE</t>
  </si>
  <si>
    <t>1210</t>
  </si>
  <si>
    <t>1202</t>
  </si>
  <si>
    <t>MORGAN, JEANNIE M.</t>
  </si>
  <si>
    <t>MORGAN</t>
  </si>
  <si>
    <t>JEANNIE</t>
  </si>
  <si>
    <t>MARRIE</t>
  </si>
  <si>
    <t>2574</t>
  </si>
  <si>
    <t xml:space="preserve">SOUZA, JENNIFER </t>
  </si>
  <si>
    <t>SOUZA</t>
  </si>
  <si>
    <t>1535</t>
  </si>
  <si>
    <t>SHIELDS, MARY S.</t>
  </si>
  <si>
    <t>SHIELDS</t>
  </si>
  <si>
    <t>1091</t>
  </si>
  <si>
    <t>MIDDLEKOOP, DEBI L.</t>
  </si>
  <si>
    <t>MIDDLEKOOP</t>
  </si>
  <si>
    <t>DEBI</t>
  </si>
  <si>
    <t>1128</t>
  </si>
  <si>
    <t>3131</t>
  </si>
  <si>
    <t xml:space="preserve">BARTHLOME, LEYLA </t>
  </si>
  <si>
    <t>BARTHLOME</t>
  </si>
  <si>
    <t>LEYLA</t>
  </si>
  <si>
    <t>2017</t>
  </si>
  <si>
    <t xml:space="preserve">DE LA TORRE-HOGAN, SAMANTHA </t>
  </si>
  <si>
    <t>DE LA TORRE-HOGAN</t>
  </si>
  <si>
    <t>1155</t>
  </si>
  <si>
    <t>CLAUS, RACHEL E.</t>
  </si>
  <si>
    <t>CLAUS</t>
  </si>
  <si>
    <t>RACHEL</t>
  </si>
  <si>
    <t>2573</t>
  </si>
  <si>
    <t>ELLIS, BRENDA L.</t>
  </si>
  <si>
    <t>ELLIS</t>
  </si>
  <si>
    <t>1773</t>
  </si>
  <si>
    <t>TIDWELL, BOBBI J.</t>
  </si>
  <si>
    <t>BOBBI</t>
  </si>
  <si>
    <t>2016</t>
  </si>
  <si>
    <t>ORTHMAN, LESLIE S.</t>
  </si>
  <si>
    <t>ORTHMAN</t>
  </si>
  <si>
    <t>1154</t>
  </si>
  <si>
    <t>HOHNSTEIN, NICOLE M.</t>
  </si>
  <si>
    <t>2572</t>
  </si>
  <si>
    <t>PAGE, PHYLLIS P.</t>
  </si>
  <si>
    <t>PAGE</t>
  </si>
  <si>
    <t>2014</t>
  </si>
  <si>
    <t>KILMER, BRITTANY L.</t>
  </si>
  <si>
    <t>KILMER</t>
  </si>
  <si>
    <t>BRITTANY</t>
  </si>
  <si>
    <t>9988</t>
  </si>
  <si>
    <t>1203</t>
  </si>
  <si>
    <t>2131</t>
  </si>
  <si>
    <t>BAIR, WENDY J.</t>
  </si>
  <si>
    <t>BAIR</t>
  </si>
  <si>
    <t>1197</t>
  </si>
  <si>
    <t xml:space="preserve">MANUEL MARTINEZ, IRENE </t>
  </si>
  <si>
    <t>MANUEL MARTINEZ</t>
  </si>
  <si>
    <t>IRENE</t>
  </si>
  <si>
    <t>0066</t>
  </si>
  <si>
    <t>GAMA VALENCIA, FEDRA S.</t>
  </si>
  <si>
    <t>GAMA VALENCIA</t>
  </si>
  <si>
    <t>FEDRA</t>
  </si>
  <si>
    <t>SULEN</t>
  </si>
  <si>
    <t>1777</t>
  </si>
  <si>
    <t>2571</t>
  </si>
  <si>
    <t>TAYLOR, DEBRA A.</t>
  </si>
  <si>
    <t>DEBRA</t>
  </si>
  <si>
    <t>1509</t>
  </si>
  <si>
    <t>ANDERSEN, PAUL R.</t>
  </si>
  <si>
    <t>ANDERSEN</t>
  </si>
  <si>
    <t>2301</t>
  </si>
  <si>
    <t>2740</t>
  </si>
  <si>
    <t>AGUEROS, SARA B.</t>
  </si>
  <si>
    <t>AGUEROS</t>
  </si>
  <si>
    <t>1766</t>
  </si>
  <si>
    <t>UI PRG REVIEW ANALYS</t>
  </si>
  <si>
    <t>08898</t>
  </si>
  <si>
    <t>PINTER, JUSTIN J.</t>
  </si>
  <si>
    <t>1087</t>
  </si>
  <si>
    <t>MARTINEZ  JR, SALVADOR O.</t>
  </si>
  <si>
    <t>MARTINEZ  JR</t>
  </si>
  <si>
    <t>3115</t>
  </si>
  <si>
    <t>DELEON GUERRERO, MARISSA T.</t>
  </si>
  <si>
    <t>DELEON GUERRERO</t>
  </si>
  <si>
    <t>MARISSA</t>
  </si>
  <si>
    <t>TOVES</t>
  </si>
  <si>
    <t>1152</t>
  </si>
  <si>
    <t>PHILLIPS, CATHERINE M.</t>
  </si>
  <si>
    <t>PHILLIPS</t>
  </si>
  <si>
    <t>9987</t>
  </si>
  <si>
    <t>1199</t>
  </si>
  <si>
    <t>2117</t>
  </si>
  <si>
    <t>MATTSON, ELAINE R.</t>
  </si>
  <si>
    <t>MATTSON</t>
  </si>
  <si>
    <t>2570</t>
  </si>
  <si>
    <t>ROOP, JENNIFER D.</t>
  </si>
  <si>
    <t>ROOP</t>
  </si>
  <si>
    <t>2264</t>
  </si>
  <si>
    <t>0087</t>
  </si>
  <si>
    <t>2737</t>
  </si>
  <si>
    <t>HOWARD, ASHLEY F.</t>
  </si>
  <si>
    <t>HOWARD</t>
  </si>
  <si>
    <t>ASHLEY</t>
  </si>
  <si>
    <t>1086</t>
  </si>
  <si>
    <t>GERDES, DIXIE L.</t>
  </si>
  <si>
    <t>GERDES</t>
  </si>
  <si>
    <t>DIXIE</t>
  </si>
  <si>
    <t>2012</t>
  </si>
  <si>
    <t xml:space="preserve">CEJA JUAREZ, MARINA </t>
  </si>
  <si>
    <t>CEJA JUAREZ</t>
  </si>
  <si>
    <t>1149</t>
  </si>
  <si>
    <t>WAGNER, DENA D.</t>
  </si>
  <si>
    <t>WAGNER</t>
  </si>
  <si>
    <t>DENA</t>
  </si>
  <si>
    <t>1198</t>
  </si>
  <si>
    <t>1195</t>
  </si>
  <si>
    <t>ALEXANDER, CONNOR S.</t>
  </si>
  <si>
    <t>CONNOR</t>
  </si>
  <si>
    <t>1031</t>
  </si>
  <si>
    <t>CASSEL, JAIMIE L.</t>
  </si>
  <si>
    <t>CASSEL</t>
  </si>
  <si>
    <t>JAIMIE</t>
  </si>
  <si>
    <t>2736</t>
  </si>
  <si>
    <t>ROTH, MICHELE K.</t>
  </si>
  <si>
    <t>ROTH</t>
  </si>
  <si>
    <t>1760</t>
  </si>
  <si>
    <t>THOMAS, ANNA G.</t>
  </si>
  <si>
    <t>3088</t>
  </si>
  <si>
    <t>WAUHOB, JUDY A.</t>
  </si>
  <si>
    <t>JUDY</t>
  </si>
  <si>
    <t>1148</t>
  </si>
  <si>
    <t>POURZAMANI, SHAREN M.</t>
  </si>
  <si>
    <t>POURZAMANI</t>
  </si>
  <si>
    <t>SHAREN</t>
  </si>
  <si>
    <t>2093</t>
  </si>
  <si>
    <t>FREILE, FAUSTO W.</t>
  </si>
  <si>
    <t>FREILE</t>
  </si>
  <si>
    <t>FAUSTO</t>
  </si>
  <si>
    <t>1194</t>
  </si>
  <si>
    <t xml:space="preserve">STERR, CARMEN </t>
  </si>
  <si>
    <t>STERR</t>
  </si>
  <si>
    <t>1084</t>
  </si>
  <si>
    <t>KINNEY, WILLIAM A.</t>
  </si>
  <si>
    <t>KINNEY</t>
  </si>
  <si>
    <t>1117</t>
  </si>
  <si>
    <t>3087</t>
  </si>
  <si>
    <t>DOWNEY, DORSEY L.</t>
  </si>
  <si>
    <t>DOWNEY</t>
  </si>
  <si>
    <t>DORSEY</t>
  </si>
  <si>
    <t>2010</t>
  </si>
  <si>
    <t>MORGAN, DAWN R.</t>
  </si>
  <si>
    <t>1147</t>
  </si>
  <si>
    <t>HOUSTON, CAROLINE D.</t>
  </si>
  <si>
    <t>HOUSTON</t>
  </si>
  <si>
    <t>CAROLINE</t>
  </si>
  <si>
    <t>2089</t>
  </si>
  <si>
    <t>RENNER-ROBY, KIMBERLY M.</t>
  </si>
  <si>
    <t>RENNER-ROBY</t>
  </si>
  <si>
    <t>1235</t>
  </si>
  <si>
    <t>KIMBALL, JAMES D.</t>
  </si>
  <si>
    <t>KIMBALL</t>
  </si>
  <si>
    <t>DOUGLAS</t>
  </si>
  <si>
    <t>1023</t>
  </si>
  <si>
    <t xml:space="preserve">BEGGS, JOLEEN </t>
  </si>
  <si>
    <t>BEGGS</t>
  </si>
  <si>
    <t>JOLEEN</t>
  </si>
  <si>
    <t>0065</t>
  </si>
  <si>
    <t>2727</t>
  </si>
  <si>
    <t>VOSS, SHARON A.</t>
  </si>
  <si>
    <t>VOSS</t>
  </si>
  <si>
    <t>1757</t>
  </si>
  <si>
    <t>SLACK, DARRIN J.</t>
  </si>
  <si>
    <t>SLACK</t>
  </si>
  <si>
    <t>DARRIN</t>
  </si>
  <si>
    <t>1083</t>
  </si>
  <si>
    <t>FELICIANO, JULIE J.</t>
  </si>
  <si>
    <t>FELICIANO</t>
  </si>
  <si>
    <t>3179</t>
  </si>
  <si>
    <t>3076</t>
  </si>
  <si>
    <t>SHEFFLER, CHARLENE L.</t>
  </si>
  <si>
    <t>SHEFFLER</t>
  </si>
  <si>
    <t>CHARLENE</t>
  </si>
  <si>
    <t>2009</t>
  </si>
  <si>
    <t>ANDRADE, IVY L.</t>
  </si>
  <si>
    <t>IVY</t>
  </si>
  <si>
    <t>1191</t>
  </si>
  <si>
    <t>LOWE, DEBORAH A.</t>
  </si>
  <si>
    <t>LOWE</t>
  </si>
  <si>
    <t>1234</t>
  </si>
  <si>
    <t>DOUTHIT, EMERALD A.</t>
  </si>
  <si>
    <t>DOUTHIT</t>
  </si>
  <si>
    <t>EMERALD</t>
  </si>
  <si>
    <t>2723</t>
  </si>
  <si>
    <t>DINGELDEIN, REGINA A.</t>
  </si>
  <si>
    <t>DINGELDEIN</t>
  </si>
  <si>
    <t>1754</t>
  </si>
  <si>
    <t>BERNAL-HALL, ERIKA A.</t>
  </si>
  <si>
    <t>BERNAL-HALL</t>
  </si>
  <si>
    <t>ERIKA</t>
  </si>
  <si>
    <t>1081</t>
  </si>
  <si>
    <t>SMITH, NICHOLAS J.</t>
  </si>
  <si>
    <t>NICHOLAS</t>
  </si>
  <si>
    <t>1233</t>
  </si>
  <si>
    <t>GERRO, MICHAEL A.</t>
  </si>
  <si>
    <t>GERRO</t>
  </si>
  <si>
    <t>1021</t>
  </si>
  <si>
    <t>TODD, MARGARET M.</t>
  </si>
  <si>
    <t>MARGARET</t>
  </si>
  <si>
    <t>2721</t>
  </si>
  <si>
    <t>PEDUZI, GREGORY J.</t>
  </si>
  <si>
    <t>PEDUZI</t>
  </si>
  <si>
    <t>3066</t>
  </si>
  <si>
    <t>DEVEREUX, CAROLINE J.</t>
  </si>
  <si>
    <t>DEVEREUX</t>
  </si>
  <si>
    <t>2006</t>
  </si>
  <si>
    <t>HAYES, TYRA C.</t>
  </si>
  <si>
    <t>TYRA</t>
  </si>
  <si>
    <t>1142</t>
  </si>
  <si>
    <t xml:space="preserve">SMITH, JOELLEN </t>
  </si>
  <si>
    <t>JOELLEN</t>
  </si>
  <si>
    <t>1189</t>
  </si>
  <si>
    <t xml:space="preserve">HAWKINS, AMY </t>
  </si>
  <si>
    <t>HAWKINS</t>
  </si>
  <si>
    <t>3166</t>
  </si>
  <si>
    <t>2005</t>
  </si>
  <si>
    <t xml:space="preserve">CALDERON, NORMA </t>
  </si>
  <si>
    <t>CALDERON</t>
  </si>
  <si>
    <t>NORMA</t>
  </si>
  <si>
    <t>1141</t>
  </si>
  <si>
    <t>RUSHTON, BRANDY L.</t>
  </si>
  <si>
    <t>RUSHTON</t>
  </si>
  <si>
    <t>ÿÿÿÿ</t>
  </si>
  <si>
    <t>ÿÿ</t>
  </si>
  <si>
    <t>INC_FTI</t>
  </si>
  <si>
    <t>INDICATOR</t>
  </si>
  <si>
    <t>TOTAL_PERM_PCN_FTI</t>
  </si>
  <si>
    <t>TOTAL_ELECT_PCN_FTI</t>
  </si>
  <si>
    <t>ROWS_PER_PCN</t>
  </si>
  <si>
    <t>FTI_SALARY_SSDI</t>
  </si>
  <si>
    <t>FTI_SALARY_PERM</t>
  </si>
  <si>
    <t>FTI_SALARY_ELECT</t>
  </si>
  <si>
    <t>SALARY_CHG</t>
  </si>
  <si>
    <t>HEALTH_PERM</t>
  </si>
  <si>
    <t>HEALTH_ELECT</t>
  </si>
  <si>
    <t>SSDI</t>
  </si>
  <si>
    <t>SSHI</t>
  </si>
  <si>
    <t>RETIREMENT</t>
  </si>
  <si>
    <t>LIFE_INS</t>
  </si>
  <si>
    <t>UNEMP_INS</t>
  </si>
  <si>
    <t>DHR</t>
  </si>
  <si>
    <t>WORKERS_COMP</t>
  </si>
  <si>
    <t>SICK</t>
  </si>
  <si>
    <t>TOT_VB_PERM</t>
  </si>
  <si>
    <t>TOT_VB_ELECT</t>
  </si>
  <si>
    <t>HEALTH_PERM_BY</t>
  </si>
  <si>
    <t>HEALTH_ELECT_BY</t>
  </si>
  <si>
    <t>SSDI_BY</t>
  </si>
  <si>
    <t>SSHI_BY</t>
  </si>
  <si>
    <t>RETIREMENT_BY</t>
  </si>
  <si>
    <t>LIFE_INS_BY</t>
  </si>
  <si>
    <t>UNEMP_INS_BY</t>
  </si>
  <si>
    <t>DHR_BY</t>
  </si>
  <si>
    <t>WORKERS_COMP_BY</t>
  </si>
  <si>
    <t>SICK_BY</t>
  </si>
  <si>
    <t>TOT_VB_PERM_BY</t>
  </si>
  <si>
    <t>TOT_VB_ELECT_BY</t>
  </si>
  <si>
    <t>HEALTH_PERM_CHG</t>
  </si>
  <si>
    <t>HEALTH_ELECT_CHG</t>
  </si>
  <si>
    <t>SSDI_CHG</t>
  </si>
  <si>
    <t>SSHI_CHG</t>
  </si>
  <si>
    <t>RETIREMENT_CHG</t>
  </si>
  <si>
    <t>LIFE_INS_CHG</t>
  </si>
  <si>
    <t>UNEMP_INS_CHG</t>
  </si>
  <si>
    <t>DHR_CHG</t>
  </si>
  <si>
    <t>WORKERS_COMP_CHG</t>
  </si>
  <si>
    <t>SICK_CHG</t>
  </si>
  <si>
    <t>TOT_VB_PERM_CHG</t>
  </si>
  <si>
    <t>TOT_VB_ELECT_CHG</t>
  </si>
  <si>
    <t>Group_Salary</t>
  </si>
  <si>
    <t>Group_Ben</t>
  </si>
  <si>
    <t>col_Fund</t>
  </si>
  <si>
    <t>EMAA 0001-00</t>
  </si>
  <si>
    <t>EMAA 0001</t>
  </si>
  <si>
    <t>Department of Labor</t>
  </si>
  <si>
    <t>Administrative Services</t>
  </si>
  <si>
    <t>General</t>
  </si>
  <si>
    <t>0001-00</t>
  </si>
  <si>
    <t>10000</t>
  </si>
  <si>
    <t>Administrative Services, General   EMAA-0001-00</t>
  </si>
  <si>
    <t>EMAA 0302-00</t>
  </si>
  <si>
    <t>EMAA 0302</t>
  </si>
  <si>
    <t>Unemployment Penalty and Interest</t>
  </si>
  <si>
    <t>0302-00</t>
  </si>
  <si>
    <t>30200</t>
  </si>
  <si>
    <t>Administrative Services, Unemployment Penalty and Interest   EMAA-0302-00</t>
  </si>
  <si>
    <t>EMAA 0303-00</t>
  </si>
  <si>
    <t>EMAA 0303</t>
  </si>
  <si>
    <t>Employment Security Special Administration</t>
  </si>
  <si>
    <t>0303-00</t>
  </si>
  <si>
    <t>30300</t>
  </si>
  <si>
    <t>Administrative Services, Employment Security Special Administration   EMAA-0303-00</t>
  </si>
  <si>
    <t>EMAA 0348-00</t>
  </si>
  <si>
    <t>EMAA 0348-31</t>
  </si>
  <si>
    <t>EMAA 0348</t>
  </si>
  <si>
    <t>Federal Grant</t>
  </si>
  <si>
    <t>0348-00</t>
  </si>
  <si>
    <t>34800</t>
  </si>
  <si>
    <t>Administrative Services, Federal Grant   EMAA-0348-00</t>
  </si>
  <si>
    <t>EMAA 0349-00</t>
  </si>
  <si>
    <t>EMAA 0349-31</t>
  </si>
  <si>
    <t>EMAA 0349</t>
  </si>
  <si>
    <t>Miscellaneous Revenue</t>
  </si>
  <si>
    <t>0349-00</t>
  </si>
  <si>
    <t>34900</t>
  </si>
  <si>
    <t>Administrative Services, Miscellaneous Revenue   EMAA-0349-00</t>
  </si>
  <si>
    <t>EMAD 0001-00</t>
  </si>
  <si>
    <t>EMAD 0001</t>
  </si>
  <si>
    <t>EMAJ 0302-00</t>
  </si>
  <si>
    <t>EMAJ 0302</t>
  </si>
  <si>
    <t>EMAJ 0348-31</t>
  </si>
  <si>
    <t>EMAJ 0348</t>
  </si>
  <si>
    <t>EMAR 0303-00</t>
  </si>
  <si>
    <t>EMAR 0303</t>
  </si>
  <si>
    <t>EMAR 0348-31</t>
  </si>
  <si>
    <t>EMAR 0348</t>
  </si>
  <si>
    <t>EMLO 0001-00</t>
  </si>
  <si>
    <t>EMLO 0001</t>
  </si>
  <si>
    <t>Workforce and Commissions</t>
  </si>
  <si>
    <t>Workforce and Commissions, General   EMLO-0001-00</t>
  </si>
  <si>
    <t>EMLO 0302-00</t>
  </si>
  <si>
    <t>EMLO 0302</t>
  </si>
  <si>
    <t>Workforce and Commissions, Unemployment Penalty and Interest   EMLO-0302-00</t>
  </si>
  <si>
    <t>EMLO 0303-00</t>
  </si>
  <si>
    <t>EMLO 0303</t>
  </si>
  <si>
    <t>Workforce and Commissions, Employment Security Special Administration   EMLO-0303-00</t>
  </si>
  <si>
    <t>EMLO 0348-00</t>
  </si>
  <si>
    <t>EMLO 0348-31</t>
  </si>
  <si>
    <t>EMLO 0348</t>
  </si>
  <si>
    <t>Workforce and Commissions, Federal Grant   EMLO-0348-00</t>
  </si>
  <si>
    <t>EMLO 0349-00</t>
  </si>
  <si>
    <t>EMLO 0349-31</t>
  </si>
  <si>
    <t>EMLO 0349</t>
  </si>
  <si>
    <t>Workforce and Commissions, Miscellaneous Revenue   EMLO-0349-00</t>
  </si>
  <si>
    <t>EMUI 0001-00</t>
  </si>
  <si>
    <t>EMUI 0001</t>
  </si>
  <si>
    <t>Determinations</t>
  </si>
  <si>
    <t>Determinations, General   EMUI-0001-00</t>
  </si>
  <si>
    <t>EMUI 0302-00</t>
  </si>
  <si>
    <t>EMUI 0302</t>
  </si>
  <si>
    <t>Determinations, Unemployment Penalty and Interest   EMUI-0302-00</t>
  </si>
  <si>
    <t>EMUI 0348-00</t>
  </si>
  <si>
    <t>EMUI 0348-31</t>
  </si>
  <si>
    <t>EMUI 0348</t>
  </si>
  <si>
    <t>Determinations, Federal Grant   EMUI-0348-00</t>
  </si>
  <si>
    <t>EMUI 0349-00</t>
  </si>
  <si>
    <t>EMUI 0349-31</t>
  </si>
  <si>
    <t>EMUI 0349</t>
  </si>
  <si>
    <t>Determinations, Miscellaneous Revenue   EMUI-0349-00</t>
  </si>
  <si>
    <t>Totals by Budget Unit and Fund</t>
  </si>
  <si>
    <t>Est. FY22_x000D_
Salary</t>
  </si>
  <si>
    <t>Proj. FY23_x000D_
Salary</t>
  </si>
  <si>
    <t>Actual FY 2021</t>
  </si>
  <si>
    <t>Estimate FY 2022</t>
  </si>
  <si>
    <t>Projection FY 2023</t>
  </si>
  <si>
    <t>Filled Permanent/Elected</t>
  </si>
  <si>
    <t>Fund-0001</t>
  </si>
  <si>
    <t>Fund-0302</t>
  </si>
  <si>
    <t>Fund-0303</t>
  </si>
  <si>
    <t>0348-31</t>
  </si>
  <si>
    <t>Fund-0348</t>
  </si>
  <si>
    <t>0349-31</t>
  </si>
  <si>
    <t>Fund-0349</t>
  </si>
  <si>
    <t>Permanent Total</t>
  </si>
  <si>
    <t>Group</t>
  </si>
  <si>
    <t>Group Total</t>
  </si>
  <si>
    <t>Agency Fund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</si>
</sst>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4">
    <numFmt numFmtId="6" formatCode="&quot;$&quot;#,##0_);[Red]\(&quot;$&quot;#,##0\)"/>
    <numFmt numFmtId="8" formatCode="&quot;$&quot;#,##0.00_);[Red]\(&quot;$&quot;#,##0.00\)"/>
    <numFmt numFmtId="43" formatCode="_(* #,##0.00_);_(* \(#,##0.00\);_(* &quot;-&quot;??_);_(@_)"/>
    <numFmt numFmtId="164" formatCode="0.00000"/>
    <numFmt numFmtId="165" formatCode="&quot;$&quot;#,##0"/>
    <numFmt numFmtId="166" formatCode="0_)"/>
    <numFmt numFmtId="167" formatCode="0.0000"/>
    <numFmt numFmtId="168" formatCode="0000;;"/>
    <numFmt numFmtId="169" formatCode="00;;"/>
    <numFmt numFmtId="170" formatCode="00000;;00000"/>
    <numFmt numFmtId="171" formatCode="0000\-00;;"/>
    <numFmt numFmtId="172" formatCode="0.00\ ;\(0.00\);0.0\ "/>
    <numFmt numFmtId="173" formatCode="#,##0.000_);[Red]\(#,##0.000\)"/>
    <numFmt numFmtId="174" formatCode="0\ ;\(0\);0\ "/>
    <numFmt numFmtId="175" formatCode="#,##0_);[Red]\(#,##0\);0\ "/>
    <numFmt numFmtId="176" formatCode="0.0%"/>
    <numFmt numFmtId="177" formatCode="#,##0.00000000_);[Red]\(#,##0.00000000\)"/>
    <numFmt numFmtId="178" formatCode="#,##0.000000000_);[Red]\(#,##0.000000000\)"/>
    <numFmt numFmtId="179" formatCode="0.00000_);[Red]\(0.00000\)"/>
    <numFmt numFmtId="180" formatCode="0.000"/>
    <numFmt numFmtId="181" formatCode="0.000000"/>
    <numFmt numFmtId="182" formatCode="0.0000_);[Red]\(0.0000\)"/>
    <numFmt numFmtId="183" formatCode="#0"/>
    <numFmt numFmtId="184" formatCode="#0.########"/>
  </numFmts>
  <fonts count="5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Helv"/>
    </font>
    <font>
      <sz val="10"/>
      <name val="Arial"/>
      <family val="2"/>
    </font>
    <font>
      <b/>
      <sz val="15"/>
      <name val="Times New Roman"/>
      <family val="1"/>
    </font>
    <font>
      <sz val="15"/>
      <color theme="1"/>
      <name val="Times New Roman"/>
      <family val="1"/>
    </font>
    <font>
      <sz val="15"/>
      <name val="Times New Roman"/>
      <family val="1"/>
    </font>
    <font>
      <b/>
      <sz val="15"/>
      <color theme="1"/>
      <name val="Times New Roman"/>
      <family val="1"/>
    </font>
    <font>
      <sz val="12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b/>
      <sz val="12"/>
      <name val="Arial"/>
      <family val="2"/>
    </font>
    <font>
      <sz val="9"/>
      <name val="Arial"/>
      <family val="2"/>
    </font>
    <font>
      <b/>
      <sz val="16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9"/>
      <color rgb="FF002060"/>
      <name val="Arial"/>
      <family val="2"/>
    </font>
    <font>
      <sz val="9"/>
      <color indexed="10"/>
      <name val="Arial"/>
      <family val="2"/>
    </font>
    <font>
      <sz val="10"/>
      <color indexed="10"/>
      <name val="Arial"/>
      <family val="2"/>
    </font>
    <font>
      <b/>
      <sz val="10"/>
      <color rgb="FF002060"/>
      <name val="Arial"/>
      <family val="2"/>
    </font>
    <font>
      <b/>
      <sz val="8"/>
      <name val="Arial"/>
      <family val="2"/>
    </font>
    <font>
      <sz val="8"/>
      <color indexed="81"/>
      <name val="Tahoma"/>
      <family val="2"/>
    </font>
    <font>
      <sz val="9"/>
      <color indexed="81"/>
      <name val="Tahoma"/>
      <family val="2"/>
    </font>
    <font>
      <sz val="9"/>
      <color indexed="81"/>
      <name val="Arial"/>
      <family val="2"/>
    </font>
    <font>
      <sz val="10"/>
      <color indexed="81"/>
      <name val="Tahoma"/>
      <family val="2"/>
    </font>
    <font>
      <sz val="12"/>
      <color theme="1"/>
      <name val="Times New Roman"/>
      <family val="1"/>
    </font>
    <font>
      <sz val="9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b/>
      <sz val="10"/>
      <color theme="1"/>
      <name val="Arial"/>
      <family val="2"/>
    </font>
    <font>
      <b/>
      <sz val="8"/>
      <color theme="0"/>
      <name val="Arial"/>
      <family val="2"/>
    </font>
    <font>
      <sz val="10"/>
      <color theme="1"/>
      <name val="Times New Roman"/>
      <family val="1"/>
    </font>
    <font>
      <sz val="10"/>
      <color theme="0"/>
      <name val="Arial"/>
      <family val="2"/>
    </font>
    <font>
      <sz val="12"/>
      <color theme="0"/>
      <name val="Arial"/>
      <family val="2"/>
    </font>
    <font>
      <sz val="12"/>
      <color theme="0"/>
      <name val="Helv"/>
    </font>
    <font>
      <sz val="12"/>
      <color theme="0"/>
      <name val="Times New Roman"/>
      <family val="1"/>
    </font>
    <font>
      <sz val="11"/>
      <color theme="0"/>
      <name val="Calibri"/>
      <family val="2"/>
      <scheme val="minor"/>
    </font>
    <font>
      <b/>
      <sz val="9"/>
      <color indexed="81"/>
      <name val="Tahoma"/>
      <family val="2"/>
    </font>
    <font>
      <sz val="8"/>
      <color theme="0"/>
      <name val="Arial"/>
      <family val="2"/>
    </font>
    <font>
      <b/>
      <sz val="10"/>
      <color theme="0"/>
      <name val="Arial"/>
      <family val="2"/>
    </font>
    <font>
      <sz val="8"/>
      <color rgb="FF333333"/>
      <name val="Arial"/>
      <family val="2"/>
    </font>
    <font>
      <sz val="8"/>
      <color rgb="FF454545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gray125">
        <bgColor theme="1"/>
      </patternFill>
    </fill>
    <fill>
      <patternFill patternType="solid">
        <fgColor theme="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E7E5E5"/>
      </patternFill>
    </fill>
    <fill>
      <patternFill patternType="solid">
        <fgColor rgb="FFB8CCE4"/>
        <bgColor indexed="64"/>
      </patternFill>
    </fill>
    <fill>
      <patternFill patternType="solid">
        <fgColor rgb="FFE6B8B8"/>
        <bgColor indexed="64"/>
      </patternFill>
    </fill>
    <fill>
      <patternFill patternType="solid">
        <fgColor rgb="FF9BBB59"/>
        <bgColor indexed="64"/>
      </patternFill>
    </fill>
    <fill>
      <patternFill patternType="solid">
        <fgColor rgb="FFE8AE27"/>
        <bgColor indexed="64"/>
      </patternFill>
    </fill>
    <fill>
      <patternFill patternType="solid">
        <fgColor rgb="FFC4BD97"/>
        <bgColor indexed="64"/>
      </patternFill>
    </fill>
    <fill>
      <patternFill patternType="solid">
        <fgColor rgb="FFC88700"/>
        <bgColor indexed="64"/>
      </patternFill>
    </fill>
    <fill>
      <patternFill patternType="solid">
        <fgColor rgb="FFEDDE11"/>
        <bgColor indexed="64"/>
      </patternFill>
    </fill>
    <fill>
      <patternFill patternType="solid">
        <fgColor rgb="FFDCDCDC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rgb="FF92CDDC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medium">
        <color rgb="FFC0C0C0"/>
      </left>
      <right style="medium">
        <color rgb="FFC0C0C0"/>
      </right>
      <top style="medium">
        <color rgb="FFC0C0C0"/>
      </top>
      <bottom style="medium">
        <color rgb="FFC0C0C0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/>
      <right/>
      <top style="medium">
        <color indexed="64"/>
      </top>
      <bottom/>
      <diagonal/>
    </border>
  </borders>
  <cellStyleXfs count="8">
    <xf numFmtId="0" fontId="0" fillId="0" borderId="0"/>
    <xf numFmtId="166" fontId="2" fillId="0" borderId="0"/>
    <xf numFmtId="43" fontId="3" fillId="0" borderId="0" applyFont="0" applyFill="0" applyBorder="0" applyAlignment="0" applyProtection="0"/>
    <xf numFmtId="0" fontId="1" fillId="0" borderId="0"/>
    <xf numFmtId="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</cellStyleXfs>
  <cellXfs count="480">
    <xf numFmtId="0" fontId="0" fillId="0" borderId="0" xfId="0"/>
    <xf numFmtId="0" fontId="5" fillId="0" borderId="0" xfId="0" applyFont="1"/>
    <xf numFmtId="0" fontId="4" fillId="2" borderId="0" xfId="0" applyNumberFormat="1" applyFont="1" applyFill="1" applyAlignment="1">
      <alignment horizontal="left" vertical="top"/>
    </xf>
    <xf numFmtId="0" fontId="6" fillId="0" borderId="0" xfId="0" applyNumberFormat="1" applyFont="1"/>
    <xf numFmtId="0" fontId="6" fillId="0" borderId="0" xfId="0" applyNumberFormat="1" applyFont="1" applyAlignment="1">
      <alignment horizontal="center"/>
    </xf>
    <xf numFmtId="0" fontId="4" fillId="0" borderId="1" xfId="0" applyNumberFormat="1" applyFont="1" applyBorder="1" applyAlignment="1">
      <alignment horizontal="center"/>
    </xf>
    <xf numFmtId="0" fontId="4" fillId="0" borderId="1" xfId="0" applyNumberFormat="1" applyFont="1" applyFill="1" applyBorder="1" applyAlignment="1">
      <alignment horizontal="center"/>
    </xf>
    <xf numFmtId="0" fontId="4" fillId="0" borderId="2" xfId="0" applyNumberFormat="1" applyFont="1" applyBorder="1" applyAlignment="1">
      <alignment horizontal="center" wrapText="1"/>
    </xf>
    <xf numFmtId="164" fontId="5" fillId="0" borderId="0" xfId="0" applyNumberFormat="1" applyFont="1"/>
    <xf numFmtId="167" fontId="5" fillId="0" borderId="0" xfId="0" applyNumberFormat="1" applyFont="1"/>
    <xf numFmtId="0" fontId="7" fillId="0" borderId="1" xfId="0" applyFont="1" applyBorder="1" applyAlignment="1">
      <alignment horizontal="left"/>
    </xf>
    <xf numFmtId="0" fontId="7" fillId="0" borderId="1" xfId="0" applyFont="1" applyBorder="1" applyAlignment="1">
      <alignment horizontal="center" wrapText="1"/>
    </xf>
    <xf numFmtId="166" fontId="8" fillId="4" borderId="6" xfId="1" applyFont="1" applyFill="1" applyBorder="1" applyAlignment="1">
      <alignment horizontal="left" vertical="center"/>
    </xf>
    <xf numFmtId="166" fontId="8" fillId="4" borderId="7" xfId="1" applyFont="1" applyFill="1" applyBorder="1" applyAlignment="1">
      <alignment horizontal="left" vertical="center"/>
    </xf>
    <xf numFmtId="168" fontId="9" fillId="4" borderId="5" xfId="7" applyNumberFormat="1" applyFont="1" applyFill="1" applyBorder="1" applyAlignment="1" applyProtection="1">
      <alignment horizontal="left" vertical="center"/>
    </xf>
    <xf numFmtId="168" fontId="10" fillId="4" borderId="7" xfId="7" applyNumberFormat="1" applyFont="1" applyFill="1" applyBorder="1" applyAlignment="1" applyProtection="1">
      <alignment horizontal="center" vertical="center"/>
    </xf>
    <xf numFmtId="166" fontId="8" fillId="4" borderId="7" xfId="1" applyFont="1" applyFill="1" applyBorder="1" applyAlignment="1">
      <alignment horizontal="right" vertical="center"/>
    </xf>
    <xf numFmtId="166" fontId="2" fillId="0" borderId="0" xfId="1" applyFont="1" applyBorder="1"/>
    <xf numFmtId="166" fontId="2" fillId="0" borderId="0" xfId="1" applyFont="1"/>
    <xf numFmtId="166" fontId="8" fillId="4" borderId="9" xfId="1" applyFont="1" applyFill="1" applyBorder="1" applyAlignment="1">
      <alignment vertical="center"/>
    </xf>
    <xf numFmtId="166" fontId="8" fillId="4" borderId="0" xfId="1" applyFont="1" applyFill="1" applyBorder="1" applyAlignment="1">
      <alignment vertical="center"/>
    </xf>
    <xf numFmtId="168" fontId="10" fillId="4" borderId="0" xfId="7" applyNumberFormat="1" applyFont="1" applyFill="1" applyBorder="1" applyAlignment="1" applyProtection="1">
      <alignment horizontal="center" vertical="center"/>
    </xf>
    <xf numFmtId="166" fontId="8" fillId="4" borderId="0" xfId="1" applyFont="1" applyFill="1" applyBorder="1" applyAlignment="1">
      <alignment horizontal="right" vertical="center"/>
    </xf>
    <xf numFmtId="0" fontId="9" fillId="4" borderId="5" xfId="7" applyFont="1" applyFill="1" applyBorder="1" applyAlignment="1" applyProtection="1">
      <alignment horizontal="left" vertical="center"/>
    </xf>
    <xf numFmtId="0" fontId="12" fillId="4" borderId="0" xfId="7" applyFont="1" applyFill="1" applyBorder="1" applyAlignment="1" applyProtection="1">
      <alignment horizontal="center" vertical="center"/>
    </xf>
    <xf numFmtId="0" fontId="12" fillId="4" borderId="0" xfId="7" applyFont="1" applyFill="1" applyBorder="1" applyAlignment="1" applyProtection="1">
      <alignment horizontal="right" vertical="center"/>
    </xf>
    <xf numFmtId="0" fontId="12" fillId="4" borderId="0" xfId="7" applyFont="1" applyFill="1" applyBorder="1" applyAlignment="1" applyProtection="1">
      <alignment vertical="center"/>
    </xf>
    <xf numFmtId="0" fontId="8" fillId="4" borderId="0" xfId="7" applyFont="1" applyFill="1" applyBorder="1" applyAlignment="1" applyProtection="1">
      <alignment vertical="center"/>
    </xf>
    <xf numFmtId="2" fontId="12" fillId="4" borderId="0" xfId="7" applyNumberFormat="1" applyFont="1" applyFill="1" applyBorder="1" applyAlignment="1" applyProtection="1">
      <alignment vertical="center"/>
    </xf>
    <xf numFmtId="14" fontId="11" fillId="4" borderId="1" xfId="7" applyNumberFormat="1" applyFont="1" applyFill="1" applyBorder="1" applyAlignment="1" applyProtection="1">
      <alignment horizontal="left" vertical="center"/>
    </xf>
    <xf numFmtId="0" fontId="8" fillId="4" borderId="0" xfId="7" applyFont="1" applyFill="1" applyBorder="1" applyAlignment="1" applyProtection="1">
      <alignment horizontal="right" vertical="center"/>
    </xf>
    <xf numFmtId="2" fontId="8" fillId="4" borderId="0" xfId="7" applyNumberFormat="1" applyFont="1" applyFill="1" applyBorder="1" applyAlignment="1" applyProtection="1">
      <alignment horizontal="right" vertical="center"/>
    </xf>
    <xf numFmtId="49" fontId="13" fillId="5" borderId="2" xfId="1" applyNumberFormat="1" applyFont="1" applyFill="1" applyBorder="1" applyAlignment="1">
      <alignment horizontal="center" vertical="center" shrinkToFit="1"/>
    </xf>
    <xf numFmtId="166" fontId="2" fillId="0" borderId="0" xfId="1" applyFont="1" applyBorder="1" applyAlignment="1"/>
    <xf numFmtId="166" fontId="2" fillId="0" borderId="0" xfId="1" applyFont="1" applyAlignment="1"/>
    <xf numFmtId="0" fontId="8" fillId="4" borderId="0" xfId="7" applyFont="1" applyFill="1" applyBorder="1" applyAlignment="1" applyProtection="1">
      <alignment horizontal="left" vertical="center"/>
    </xf>
    <xf numFmtId="0" fontId="11" fillId="4" borderId="1" xfId="7" applyNumberFormat="1" applyFont="1" applyFill="1" applyBorder="1" applyAlignment="1" applyProtection="1">
      <alignment horizontal="left" vertical="center"/>
    </xf>
    <xf numFmtId="38" fontId="12" fillId="4" borderId="0" xfId="7" applyNumberFormat="1" applyFont="1" applyFill="1" applyBorder="1" applyAlignment="1" applyProtection="1">
      <alignment vertical="center"/>
    </xf>
    <xf numFmtId="169" fontId="14" fillId="0" borderId="9" xfId="7" applyNumberFormat="1" applyFont="1" applyBorder="1" applyProtection="1"/>
    <xf numFmtId="0" fontId="14" fillId="0" borderId="1" xfId="7" applyFont="1" applyBorder="1" applyAlignment="1" applyProtection="1">
      <alignment horizontal="center"/>
    </xf>
    <xf numFmtId="0" fontId="14" fillId="0" borderId="0" xfId="7" applyFont="1" applyBorder="1" applyAlignment="1" applyProtection="1">
      <alignment horizontal="center"/>
    </xf>
    <xf numFmtId="0" fontId="14" fillId="0" borderId="0" xfId="7" applyFont="1" applyBorder="1" applyProtection="1"/>
    <xf numFmtId="170" fontId="14" fillId="0" borderId="1" xfId="7" applyNumberFormat="1" applyFont="1" applyBorder="1" applyAlignment="1" applyProtection="1">
      <alignment horizontal="center"/>
    </xf>
    <xf numFmtId="0" fontId="14" fillId="0" borderId="1" xfId="7" applyFont="1" applyBorder="1" applyAlignment="1" applyProtection="1">
      <alignment horizontal="right"/>
    </xf>
    <xf numFmtId="0" fontId="14" fillId="0" borderId="0" xfId="7" applyFont="1" applyBorder="1" applyAlignment="1" applyProtection="1">
      <alignment horizontal="right"/>
    </xf>
    <xf numFmtId="171" fontId="14" fillId="0" borderId="0" xfId="7" applyNumberFormat="1" applyFont="1" applyBorder="1" applyProtection="1"/>
    <xf numFmtId="38" fontId="14" fillId="0" borderId="0" xfId="7" applyNumberFormat="1" applyFont="1" applyBorder="1" applyProtection="1"/>
    <xf numFmtId="172" fontId="14" fillId="0" borderId="10" xfId="7" applyNumberFormat="1" applyFont="1" applyBorder="1" applyProtection="1"/>
    <xf numFmtId="168" fontId="15" fillId="0" borderId="2" xfId="7" applyNumberFormat="1" applyFont="1" applyBorder="1" applyAlignment="1" applyProtection="1">
      <alignment horizontal="center" wrapText="1"/>
    </xf>
    <xf numFmtId="172" fontId="15" fillId="0" borderId="2" xfId="7" applyNumberFormat="1" applyFont="1" applyBorder="1" applyAlignment="1" applyProtection="1">
      <alignment horizontal="center" wrapText="1"/>
    </xf>
    <xf numFmtId="38" fontId="15" fillId="0" borderId="2" xfId="7" applyNumberFormat="1" applyFont="1" applyBorder="1" applyAlignment="1" applyProtection="1">
      <alignment horizontal="center" wrapText="1"/>
    </xf>
    <xf numFmtId="166" fontId="2" fillId="0" borderId="0" xfId="1" applyFont="1" applyBorder="1" applyAlignment="1">
      <alignment wrapText="1"/>
    </xf>
    <xf numFmtId="166" fontId="2" fillId="0" borderId="0" xfId="1" applyFont="1" applyAlignment="1">
      <alignment wrapText="1"/>
    </xf>
    <xf numFmtId="0" fontId="14" fillId="0" borderId="0" xfId="7" applyFont="1" applyProtection="1"/>
    <xf numFmtId="168" fontId="15" fillId="0" borderId="6" xfId="7" applyNumberFormat="1" applyFont="1" applyBorder="1" applyAlignment="1" applyProtection="1"/>
    <xf numFmtId="40" fontId="15" fillId="3" borderId="2" xfId="7" applyNumberFormat="1" applyFont="1" applyFill="1" applyBorder="1" applyAlignment="1" applyProtection="1">
      <alignment horizontal="center"/>
    </xf>
    <xf numFmtId="168" fontId="16" fillId="3" borderId="4" xfId="7" applyNumberFormat="1" applyFont="1" applyFill="1" applyBorder="1" applyAlignment="1" applyProtection="1">
      <alignment vertical="center"/>
      <protection locked="0"/>
    </xf>
    <xf numFmtId="49" fontId="3" fillId="6" borderId="2" xfId="7" applyNumberFormat="1" applyFont="1" applyFill="1" applyBorder="1" applyAlignment="1" applyProtection="1">
      <alignment horizontal="center"/>
    </xf>
    <xf numFmtId="40" fontId="3" fillId="6" borderId="2" xfId="7" applyNumberFormat="1" applyFont="1" applyFill="1" applyBorder="1" applyAlignment="1" applyProtection="1">
      <alignment horizontal="center"/>
    </xf>
    <xf numFmtId="40" fontId="3" fillId="0" borderId="3" xfId="7" applyNumberFormat="1" applyFont="1" applyFill="1" applyBorder="1" applyAlignment="1" applyProtection="1">
      <alignment horizontal="center"/>
    </xf>
    <xf numFmtId="38" fontId="3" fillId="0" borderId="10" xfId="7" applyNumberFormat="1" applyFont="1" applyFill="1" applyBorder="1" applyProtection="1"/>
    <xf numFmtId="38" fontId="3" fillId="0" borderId="3" xfId="7" applyNumberFormat="1" applyFont="1" applyFill="1" applyBorder="1" applyProtection="1"/>
    <xf numFmtId="38" fontId="3" fillId="0" borderId="0" xfId="7" applyNumberFormat="1" applyFont="1" applyFill="1" applyBorder="1" applyProtection="1"/>
    <xf numFmtId="49" fontId="3" fillId="7" borderId="11" xfId="7" applyNumberFormat="1" applyFont="1" applyFill="1" applyBorder="1" applyAlignment="1" applyProtection="1">
      <alignment horizontal="center"/>
    </xf>
    <xf numFmtId="49" fontId="3" fillId="7" borderId="0" xfId="7" applyNumberFormat="1" applyFont="1" applyFill="1" applyBorder="1" applyAlignment="1" applyProtection="1">
      <alignment horizontal="center"/>
    </xf>
    <xf numFmtId="49" fontId="3" fillId="7" borderId="1" xfId="7" applyNumberFormat="1" applyFont="1" applyFill="1" applyBorder="1" applyAlignment="1" applyProtection="1">
      <alignment horizontal="center"/>
    </xf>
    <xf numFmtId="49" fontId="3" fillId="7" borderId="14" xfId="7" applyNumberFormat="1" applyFont="1" applyFill="1" applyBorder="1" applyAlignment="1" applyProtection="1">
      <alignment horizontal="center"/>
    </xf>
    <xf numFmtId="49" fontId="3" fillId="7" borderId="10" xfId="7" applyNumberFormat="1" applyFont="1" applyFill="1" applyBorder="1" applyAlignment="1" applyProtection="1">
      <alignment horizontal="center"/>
    </xf>
    <xf numFmtId="40" fontId="3" fillId="7" borderId="10" xfId="7" applyNumberFormat="1" applyFont="1" applyFill="1" applyBorder="1" applyAlignment="1" applyProtection="1"/>
    <xf numFmtId="168" fontId="18" fillId="8" borderId="0" xfId="7" applyNumberFormat="1" applyFont="1" applyFill="1" applyBorder="1" applyAlignment="1" applyProtection="1">
      <alignment horizontal="left" vertical="top" wrapText="1"/>
      <protection locked="0"/>
    </xf>
    <xf numFmtId="168" fontId="18" fillId="8" borderId="10" xfId="7" applyNumberFormat="1" applyFont="1" applyFill="1" applyBorder="1" applyAlignment="1" applyProtection="1">
      <alignment horizontal="left" vertical="top" wrapText="1"/>
      <protection locked="0"/>
    </xf>
    <xf numFmtId="0" fontId="14" fillId="0" borderId="2" xfId="7" applyFont="1" applyBorder="1" applyProtection="1"/>
    <xf numFmtId="0" fontId="20" fillId="0" borderId="2" xfId="7" applyFont="1" applyBorder="1" applyAlignment="1" applyProtection="1">
      <alignment horizontal="center" wrapText="1"/>
    </xf>
    <xf numFmtId="40" fontId="20" fillId="0" borderId="2" xfId="7" applyNumberFormat="1" applyFont="1" applyBorder="1" applyAlignment="1" applyProtection="1">
      <alignment horizontal="center" wrapText="1"/>
    </xf>
    <xf numFmtId="3" fontId="20" fillId="0" borderId="2" xfId="7" applyNumberFormat="1" applyFont="1" applyBorder="1" applyAlignment="1" applyProtection="1">
      <alignment horizontal="center" wrapText="1"/>
    </xf>
    <xf numFmtId="2" fontId="15" fillId="0" borderId="13" xfId="7" applyNumberFormat="1" applyFont="1" applyBorder="1" applyProtection="1"/>
    <xf numFmtId="49" fontId="3" fillId="0" borderId="15" xfId="7" applyNumberFormat="1" applyFont="1" applyBorder="1" applyAlignment="1" applyProtection="1">
      <alignment horizontal="center"/>
    </xf>
    <xf numFmtId="168" fontId="15" fillId="0" borderId="15" xfId="7" applyNumberFormat="1" applyFont="1" applyBorder="1" applyAlignment="1" applyProtection="1"/>
    <xf numFmtId="175" fontId="15" fillId="3" borderId="14" xfId="7" applyNumberFormat="1" applyFont="1" applyFill="1" applyBorder="1" applyAlignment="1" applyProtection="1">
      <alignment horizontal="center"/>
    </xf>
    <xf numFmtId="38" fontId="15" fillId="3" borderId="8" xfId="7" applyNumberFormat="1" applyFont="1" applyFill="1" applyBorder="1" applyProtection="1"/>
    <xf numFmtId="38" fontId="15" fillId="3" borderId="2" xfId="7" applyNumberFormat="1" applyFont="1" applyFill="1" applyBorder="1" applyProtection="1"/>
    <xf numFmtId="38" fontId="3" fillId="0" borderId="3" xfId="7" applyNumberFormat="1" applyFont="1" applyBorder="1" applyProtection="1"/>
    <xf numFmtId="2" fontId="15" fillId="0" borderId="3" xfId="7" applyNumberFormat="1" applyFont="1" applyBorder="1" applyProtection="1"/>
    <xf numFmtId="49" fontId="3" fillId="0" borderId="10" xfId="7" applyNumberFormat="1" applyFont="1" applyBorder="1" applyAlignment="1" applyProtection="1">
      <alignment horizontal="center"/>
    </xf>
    <xf numFmtId="168" fontId="15" fillId="0" borderId="9" xfId="7" applyNumberFormat="1" applyFont="1" applyBorder="1" applyAlignment="1" applyProtection="1"/>
    <xf numFmtId="2" fontId="3" fillId="0" borderId="3" xfId="7" applyNumberFormat="1" applyFont="1" applyBorder="1" applyProtection="1"/>
    <xf numFmtId="38" fontId="14" fillId="0" borderId="3" xfId="7" applyNumberFormat="1" applyFont="1" applyBorder="1" applyProtection="1"/>
    <xf numFmtId="0" fontId="3" fillId="6" borderId="2" xfId="7" applyFont="1" applyFill="1" applyBorder="1" applyAlignment="1" applyProtection="1">
      <alignment horizontal="center"/>
    </xf>
    <xf numFmtId="38" fontId="3" fillId="6" borderId="2" xfId="7" applyNumberFormat="1" applyFont="1" applyFill="1" applyBorder="1" applyProtection="1"/>
    <xf numFmtId="38" fontId="3" fillId="3" borderId="2" xfId="7" applyNumberFormat="1" applyFont="1" applyFill="1" applyBorder="1" applyProtection="1"/>
    <xf numFmtId="38" fontId="15" fillId="3" borderId="13" xfId="7" applyNumberFormat="1" applyFont="1" applyFill="1" applyBorder="1" applyProtection="1"/>
    <xf numFmtId="38" fontId="3" fillId="6" borderId="13" xfId="7" applyNumberFormat="1" applyFont="1" applyFill="1" applyBorder="1" applyProtection="1"/>
    <xf numFmtId="38" fontId="3" fillId="6" borderId="3" xfId="7" applyNumberFormat="1" applyFont="1" applyFill="1" applyBorder="1" applyProtection="1"/>
    <xf numFmtId="0" fontId="3" fillId="0" borderId="16" xfId="7" applyFont="1" applyBorder="1" applyProtection="1"/>
    <xf numFmtId="0" fontId="3" fillId="8" borderId="3" xfId="7" applyFont="1" applyFill="1" applyBorder="1" applyProtection="1"/>
    <xf numFmtId="0" fontId="3" fillId="8" borderId="10" xfId="7" applyFont="1" applyFill="1" applyBorder="1" applyProtection="1"/>
    <xf numFmtId="0" fontId="3" fillId="8" borderId="3" xfId="7" applyFont="1" applyFill="1" applyBorder="1" applyAlignment="1" applyProtection="1">
      <alignment horizontal="center"/>
    </xf>
    <xf numFmtId="40" fontId="3" fillId="8" borderId="3" xfId="7" applyNumberFormat="1" applyFont="1" applyFill="1" applyBorder="1" applyAlignment="1" applyProtection="1">
      <alignment horizontal="center"/>
    </xf>
    <xf numFmtId="38" fontId="15" fillId="8" borderId="3" xfId="7" applyNumberFormat="1" applyFont="1" applyFill="1" applyBorder="1" applyProtection="1"/>
    <xf numFmtId="0" fontId="3" fillId="8" borderId="9" xfId="7" applyFont="1" applyFill="1" applyBorder="1" applyProtection="1"/>
    <xf numFmtId="0" fontId="3" fillId="0" borderId="3" xfId="7" applyFont="1" applyFill="1" applyBorder="1" applyProtection="1"/>
    <xf numFmtId="0" fontId="3" fillId="0" borderId="10" xfId="7" applyFont="1" applyFill="1" applyBorder="1" applyProtection="1"/>
    <xf numFmtId="0" fontId="3" fillId="0" borderId="3" xfId="7" applyFont="1" applyFill="1" applyBorder="1" applyAlignment="1" applyProtection="1">
      <alignment horizontal="center"/>
    </xf>
    <xf numFmtId="40" fontId="20" fillId="0" borderId="13" xfId="7" applyNumberFormat="1" applyFont="1" applyBorder="1" applyAlignment="1" applyProtection="1">
      <alignment horizontal="center"/>
    </xf>
    <xf numFmtId="0" fontId="20" fillId="0" borderId="0" xfId="7" applyFont="1" applyBorder="1" applyAlignment="1" applyProtection="1">
      <alignment horizontal="center"/>
    </xf>
    <xf numFmtId="0" fontId="3" fillId="0" borderId="0" xfId="7" applyFont="1" applyFill="1" applyBorder="1" applyProtection="1"/>
    <xf numFmtId="0" fontId="14" fillId="0" borderId="0" xfId="7" applyFont="1" applyFill="1" applyBorder="1" applyProtection="1"/>
    <xf numFmtId="0" fontId="14" fillId="0" borderId="0" xfId="7" applyFont="1" applyFill="1" applyProtection="1"/>
    <xf numFmtId="168" fontId="15" fillId="0" borderId="10" xfId="7" applyNumberFormat="1" applyFont="1" applyBorder="1" applyAlignment="1" applyProtection="1"/>
    <xf numFmtId="0" fontId="3" fillId="0" borderId="3" xfId="7" applyFont="1" applyBorder="1" applyAlignment="1" applyProtection="1">
      <alignment horizontal="center"/>
    </xf>
    <xf numFmtId="0" fontId="3" fillId="0" borderId="0" xfId="7" applyFont="1" applyBorder="1" applyProtection="1"/>
    <xf numFmtId="0" fontId="3" fillId="0" borderId="10" xfId="7" applyFont="1" applyBorder="1" applyProtection="1"/>
    <xf numFmtId="0" fontId="3" fillId="0" borderId="9" xfId="7" applyFont="1" applyBorder="1" applyAlignment="1" applyProtection="1">
      <alignment horizontal="center"/>
    </xf>
    <xf numFmtId="38" fontId="15" fillId="3" borderId="3" xfId="7" applyNumberFormat="1" applyFont="1" applyFill="1" applyBorder="1" applyProtection="1"/>
    <xf numFmtId="168" fontId="3" fillId="0" borderId="9" xfId="7" applyNumberFormat="1" applyFont="1" applyBorder="1" applyAlignment="1" applyProtection="1">
      <alignment horizontal="left" indent="2"/>
    </xf>
    <xf numFmtId="168" fontId="3" fillId="0" borderId="10" xfId="7" applyNumberFormat="1" applyFont="1" applyBorder="1" applyAlignment="1" applyProtection="1">
      <alignment horizontal="left" indent="2"/>
    </xf>
    <xf numFmtId="2" fontId="3" fillId="6" borderId="2" xfId="7" applyNumberFormat="1" applyFont="1" applyFill="1" applyBorder="1" applyProtection="1"/>
    <xf numFmtId="2" fontId="15" fillId="0" borderId="2" xfId="7" applyNumberFormat="1" applyFont="1" applyBorder="1" applyProtection="1"/>
    <xf numFmtId="49" fontId="3" fillId="0" borderId="8" xfId="7" applyNumberFormat="1" applyFont="1" applyBorder="1" applyAlignment="1" applyProtection="1">
      <alignment horizontal="center"/>
    </xf>
    <xf numFmtId="168" fontId="15" fillId="0" borderId="4" xfId="7" applyNumberFormat="1" applyFont="1" applyBorder="1" applyAlignment="1" applyProtection="1"/>
    <xf numFmtId="168" fontId="15" fillId="0" borderId="8" xfId="7" applyNumberFormat="1" applyFont="1" applyBorder="1" applyAlignment="1" applyProtection="1"/>
    <xf numFmtId="0" fontId="3" fillId="0" borderId="11" xfId="7" applyFont="1" applyBorder="1" applyAlignment="1" applyProtection="1">
      <alignment horizontal="center"/>
    </xf>
    <xf numFmtId="0" fontId="3" fillId="0" borderId="1" xfId="7" applyFont="1" applyBorder="1" applyProtection="1"/>
    <xf numFmtId="0" fontId="3" fillId="0" borderId="14" xfId="7" applyFont="1" applyBorder="1" applyProtection="1"/>
    <xf numFmtId="2" fontId="14" fillId="0" borderId="0" xfId="7" applyNumberFormat="1" applyFont="1" applyProtection="1"/>
    <xf numFmtId="168" fontId="14" fillId="0" borderId="0" xfId="7" applyNumberFormat="1" applyFont="1" applyAlignment="1" applyProtection="1">
      <alignment horizontal="center"/>
    </xf>
    <xf numFmtId="170" fontId="14" fillId="0" borderId="0" xfId="7" applyNumberFormat="1" applyFont="1" applyAlignment="1" applyProtection="1">
      <alignment horizontal="center"/>
    </xf>
    <xf numFmtId="0" fontId="14" fillId="0" borderId="0" xfId="7" applyFont="1" applyAlignment="1" applyProtection="1">
      <alignment horizontal="center"/>
    </xf>
    <xf numFmtId="172" fontId="14" fillId="0" borderId="0" xfId="7" applyNumberFormat="1" applyFont="1" applyProtection="1"/>
    <xf numFmtId="38" fontId="14" fillId="0" borderId="0" xfId="7" applyNumberFormat="1" applyFont="1" applyProtection="1"/>
    <xf numFmtId="0" fontId="6" fillId="0" borderId="0" xfId="0" applyNumberFormat="1" applyFont="1" applyFill="1" applyBorder="1"/>
    <xf numFmtId="168" fontId="15" fillId="0" borderId="7" xfId="7" applyNumberFormat="1" applyFont="1" applyBorder="1" applyAlignment="1" applyProtection="1"/>
    <xf numFmtId="168" fontId="15" fillId="0" borderId="0" xfId="7" applyNumberFormat="1" applyFont="1" applyBorder="1" applyAlignment="1" applyProtection="1">
      <alignment horizontal="right"/>
    </xf>
    <xf numFmtId="175" fontId="15" fillId="0" borderId="13" xfId="7" applyNumberFormat="1" applyFont="1" applyFill="1" applyBorder="1" applyProtection="1"/>
    <xf numFmtId="0" fontId="3" fillId="0" borderId="12" xfId="7" applyFont="1" applyFill="1" applyBorder="1" applyAlignment="1" applyProtection="1">
      <alignment horizontal="center"/>
    </xf>
    <xf numFmtId="0" fontId="3" fillId="0" borderId="13" xfId="7" applyFont="1" applyFill="1" applyBorder="1" applyAlignment="1" applyProtection="1">
      <alignment horizontal="center"/>
    </xf>
    <xf numFmtId="168" fontId="15" fillId="0" borderId="1" xfId="7" applyNumberFormat="1" applyFont="1" applyFill="1" applyBorder="1" applyAlignment="1" applyProtection="1">
      <alignment horizontal="center" vertical="center" wrapText="1"/>
    </xf>
    <xf numFmtId="38" fontId="19" fillId="0" borderId="0" xfId="7" applyNumberFormat="1" applyFont="1" applyFill="1" applyBorder="1" applyAlignment="1" applyProtection="1">
      <alignment horizontal="center" vertical="center"/>
      <protection locked="0"/>
    </xf>
    <xf numFmtId="38" fontId="19" fillId="0" borderId="0" xfId="7" applyNumberFormat="1" applyFont="1" applyFill="1" applyBorder="1" applyAlignment="1" applyProtection="1">
      <alignment horizontal="center" vertical="center"/>
    </xf>
    <xf numFmtId="49" fontId="3" fillId="1" borderId="9" xfId="7" applyNumberFormat="1" applyFont="1" applyFill="1" applyBorder="1" applyAlignment="1" applyProtection="1">
      <alignment horizontal="center" vertical="center"/>
    </xf>
    <xf numFmtId="49" fontId="3" fillId="1" borderId="6" xfId="7" applyNumberFormat="1" applyFont="1" applyFill="1" applyBorder="1" applyAlignment="1" applyProtection="1">
      <alignment horizontal="center" vertical="center"/>
    </xf>
    <xf numFmtId="1" fontId="3" fillId="0" borderId="13" xfId="7" applyNumberFormat="1" applyFont="1" applyBorder="1" applyAlignment="1" applyProtection="1">
      <alignment horizontal="center" vertical="center"/>
    </xf>
    <xf numFmtId="172" fontId="3" fillId="0" borderId="13" xfId="7" applyNumberFormat="1" applyFont="1" applyBorder="1" applyAlignment="1" applyProtection="1">
      <alignment horizontal="center" vertical="center"/>
    </xf>
    <xf numFmtId="173" fontId="3" fillId="0" borderId="13" xfId="7" applyNumberFormat="1" applyFont="1" applyBorder="1" applyAlignment="1" applyProtection="1">
      <alignment horizontal="right" vertical="center"/>
    </xf>
    <xf numFmtId="38" fontId="3" fillId="0" borderId="13" xfId="7" applyNumberFormat="1" applyFont="1" applyBorder="1" applyAlignment="1" applyProtection="1">
      <alignment horizontal="right" vertical="center"/>
    </xf>
    <xf numFmtId="172" fontId="3" fillId="0" borderId="13" xfId="7" applyNumberFormat="1" applyFont="1" applyBorder="1" applyAlignment="1" applyProtection="1">
      <alignment horizontal="right" vertical="center"/>
    </xf>
    <xf numFmtId="174" fontId="3" fillId="0" borderId="13" xfId="7" applyNumberFormat="1" applyFont="1" applyBorder="1" applyAlignment="1" applyProtection="1">
      <alignment horizontal="right" vertical="center"/>
    </xf>
    <xf numFmtId="0" fontId="14" fillId="0" borderId="0" xfId="7" applyFont="1" applyBorder="1" applyAlignment="1" applyProtection="1">
      <alignment vertical="center"/>
    </xf>
    <xf numFmtId="166" fontId="2" fillId="0" borderId="0" xfId="1" applyFont="1" applyBorder="1" applyAlignment="1">
      <alignment vertical="center"/>
    </xf>
    <xf numFmtId="166" fontId="2" fillId="0" borderId="0" xfId="1" applyFont="1" applyAlignment="1">
      <alignment vertical="center"/>
    </xf>
    <xf numFmtId="1" fontId="15" fillId="0" borderId="3" xfId="7" applyNumberFormat="1" applyFont="1" applyBorder="1" applyAlignment="1" applyProtection="1">
      <alignment horizontal="center" vertical="center"/>
    </xf>
    <xf numFmtId="40" fontId="3" fillId="3" borderId="3" xfId="7" applyNumberFormat="1" applyFont="1" applyFill="1" applyBorder="1" applyAlignment="1" applyProtection="1">
      <alignment horizontal="center" vertical="center"/>
    </xf>
    <xf numFmtId="38" fontId="3" fillId="3" borderId="3" xfId="7" applyNumberFormat="1" applyFont="1" applyFill="1" applyBorder="1" applyAlignment="1" applyProtection="1">
      <alignment horizontal="right" vertical="center"/>
    </xf>
    <xf numFmtId="0" fontId="14" fillId="0" borderId="0" xfId="7" applyFont="1" applyAlignment="1" applyProtection="1">
      <alignment vertical="center"/>
    </xf>
    <xf numFmtId="168" fontId="3" fillId="0" borderId="9" xfId="7" applyNumberFormat="1" applyFont="1" applyBorder="1" applyAlignment="1" applyProtection="1">
      <alignment horizontal="left" vertical="center"/>
    </xf>
    <xf numFmtId="168" fontId="3" fillId="0" borderId="0" xfId="7" applyNumberFormat="1" applyFont="1" applyBorder="1" applyAlignment="1" applyProtection="1">
      <alignment horizontal="left" vertical="center"/>
    </xf>
    <xf numFmtId="49" fontId="3" fillId="1" borderId="3" xfId="7" applyNumberFormat="1" applyFont="1" applyFill="1" applyBorder="1" applyAlignment="1" applyProtection="1">
      <alignment horizontal="center" vertical="center"/>
    </xf>
    <xf numFmtId="168" fontId="15" fillId="0" borderId="6" xfId="7" applyNumberFormat="1" applyFont="1" applyBorder="1" applyAlignment="1" applyProtection="1">
      <alignment vertical="center"/>
    </xf>
    <xf numFmtId="168" fontId="15" fillId="0" borderId="5" xfId="7" applyNumberFormat="1" applyFont="1" applyBorder="1" applyAlignment="1" applyProtection="1">
      <alignment vertical="center"/>
    </xf>
    <xf numFmtId="38" fontId="15" fillId="3" borderId="2" xfId="7" applyNumberFormat="1" applyFont="1" applyFill="1" applyBorder="1" applyAlignment="1" applyProtection="1">
      <alignment horizontal="right" vertical="center"/>
    </xf>
    <xf numFmtId="1" fontId="12" fillId="0" borderId="12" xfId="7" applyNumberFormat="1" applyFont="1" applyBorder="1" applyAlignment="1" applyProtection="1">
      <alignment horizontal="right" vertical="center"/>
    </xf>
    <xf numFmtId="40" fontId="15" fillId="3" borderId="12" xfId="7" applyNumberFormat="1" applyFont="1" applyFill="1" applyBorder="1" applyAlignment="1" applyProtection="1">
      <alignment horizontal="center" vertical="center"/>
    </xf>
    <xf numFmtId="38" fontId="15" fillId="3" borderId="12" xfId="7" applyNumberFormat="1" applyFont="1" applyFill="1" applyBorder="1" applyAlignment="1" applyProtection="1">
      <alignment horizontal="right" vertical="center"/>
    </xf>
    <xf numFmtId="168" fontId="17" fillId="3" borderId="5" xfId="7" applyNumberFormat="1" applyFont="1" applyFill="1" applyBorder="1" applyAlignment="1" applyProtection="1">
      <alignment vertical="center" wrapText="1"/>
      <protection locked="0"/>
    </xf>
    <xf numFmtId="168" fontId="17" fillId="3" borderId="8" xfId="7" applyNumberFormat="1" applyFont="1" applyFill="1" applyBorder="1" applyAlignment="1" applyProtection="1">
      <alignment vertical="center" wrapText="1"/>
      <protection locked="0"/>
    </xf>
    <xf numFmtId="40" fontId="3" fillId="0" borderId="3" xfId="7" applyNumberFormat="1" applyFont="1" applyBorder="1" applyAlignment="1" applyProtection="1">
      <alignment horizontal="center" vertical="center"/>
    </xf>
    <xf numFmtId="38" fontId="3" fillId="0" borderId="3" xfId="7" applyNumberFormat="1" applyFont="1" applyBorder="1" applyAlignment="1" applyProtection="1">
      <alignment horizontal="right" vertical="center"/>
    </xf>
    <xf numFmtId="176" fontId="3" fillId="0" borderId="3" xfId="6" applyNumberFormat="1" applyFont="1" applyBorder="1" applyAlignment="1" applyProtection="1">
      <alignment horizontal="right" vertical="center"/>
    </xf>
    <xf numFmtId="49" fontId="3" fillId="1" borderId="11" xfId="7" applyNumberFormat="1" applyFont="1" applyFill="1" applyBorder="1" applyAlignment="1" applyProtection="1">
      <alignment horizontal="center" vertical="center"/>
    </xf>
    <xf numFmtId="38" fontId="3" fillId="0" borderId="3" xfId="7" applyNumberFormat="1" applyFont="1" applyBorder="1" applyAlignment="1" applyProtection="1">
      <alignment horizontal="left" vertical="center"/>
    </xf>
    <xf numFmtId="177" fontId="3" fillId="0" borderId="3" xfId="7" applyNumberFormat="1" applyFont="1" applyBorder="1" applyAlignment="1" applyProtection="1">
      <alignment horizontal="left" vertical="center"/>
    </xf>
    <xf numFmtId="49" fontId="3" fillId="6" borderId="2" xfId="7" applyNumberFormat="1" applyFont="1" applyFill="1" applyBorder="1" applyAlignment="1" applyProtection="1">
      <alignment vertical="center"/>
    </xf>
    <xf numFmtId="49" fontId="3" fillId="6" borderId="2" xfId="7" applyNumberFormat="1" applyFont="1" applyFill="1" applyBorder="1" applyAlignment="1" applyProtection="1">
      <alignment horizontal="center" vertical="center"/>
    </xf>
    <xf numFmtId="1" fontId="15" fillId="6" borderId="2" xfId="7" applyNumberFormat="1" applyFont="1" applyFill="1" applyBorder="1" applyAlignment="1" applyProtection="1">
      <alignment horizontal="center" vertical="center"/>
    </xf>
    <xf numFmtId="40" fontId="3" fillId="6" borderId="2" xfId="7" applyNumberFormat="1" applyFont="1" applyFill="1" applyBorder="1" applyAlignment="1" applyProtection="1">
      <alignment horizontal="center" vertical="center"/>
    </xf>
    <xf numFmtId="38" fontId="3" fillId="6" borderId="2" xfId="7" applyNumberFormat="1" applyFont="1" applyFill="1" applyBorder="1" applyAlignment="1" applyProtection="1">
      <alignment horizontal="right" vertical="center"/>
    </xf>
    <xf numFmtId="38" fontId="3" fillId="3" borderId="2" xfId="7" applyNumberFormat="1" applyFont="1" applyFill="1" applyBorder="1" applyAlignment="1" applyProtection="1">
      <alignment horizontal="right" vertical="center"/>
    </xf>
    <xf numFmtId="0" fontId="14" fillId="0" borderId="1" xfId="7" applyFont="1" applyBorder="1" applyAlignment="1" applyProtection="1">
      <alignment vertical="center"/>
    </xf>
    <xf numFmtId="49" fontId="3" fillId="6" borderId="12" xfId="7" applyNumberFormat="1" applyFont="1" applyFill="1" applyBorder="1" applyAlignment="1" applyProtection="1">
      <alignment vertical="center"/>
    </xf>
    <xf numFmtId="49" fontId="3" fillId="6" borderId="12" xfId="7" applyNumberFormat="1" applyFont="1" applyFill="1" applyBorder="1" applyAlignment="1" applyProtection="1">
      <alignment horizontal="center" vertical="center"/>
    </xf>
    <xf numFmtId="1" fontId="15" fillId="6" borderId="12" xfId="7" applyNumberFormat="1" applyFont="1" applyFill="1" applyBorder="1" applyAlignment="1" applyProtection="1">
      <alignment horizontal="center" vertical="center"/>
    </xf>
    <xf numFmtId="40" fontId="3" fillId="6" borderId="12" xfId="7" applyNumberFormat="1" applyFont="1" applyFill="1" applyBorder="1" applyAlignment="1" applyProtection="1">
      <alignment horizontal="center" vertical="center"/>
    </xf>
    <xf numFmtId="38" fontId="3" fillId="6" borderId="12" xfId="7" applyNumberFormat="1" applyFont="1" applyFill="1" applyBorder="1" applyAlignment="1" applyProtection="1">
      <alignment horizontal="right" vertical="center"/>
    </xf>
    <xf numFmtId="38" fontId="3" fillId="3" borderId="12" xfId="7" applyNumberFormat="1" applyFont="1" applyFill="1" applyBorder="1" applyAlignment="1" applyProtection="1">
      <alignment horizontal="right" vertical="center"/>
    </xf>
    <xf numFmtId="49" fontId="3" fillId="6" borderId="1" xfId="7" applyNumberFormat="1" applyFont="1" applyFill="1" applyBorder="1" applyAlignment="1" applyProtection="1">
      <alignment horizontal="center" vertical="center"/>
    </xf>
    <xf numFmtId="49" fontId="3" fillId="6" borderId="2" xfId="7" applyNumberFormat="1" applyFont="1" applyFill="1" applyBorder="1" applyAlignment="1" applyProtection="1">
      <alignment horizontal="left" vertical="center"/>
    </xf>
    <xf numFmtId="49" fontId="3" fillId="6" borderId="12" xfId="7" applyNumberFormat="1" applyFont="1" applyFill="1" applyBorder="1" applyAlignment="1" applyProtection="1">
      <alignment horizontal="left" vertical="center"/>
    </xf>
    <xf numFmtId="49" fontId="3" fillId="6" borderId="14" xfId="7" applyNumberFormat="1" applyFont="1" applyFill="1" applyBorder="1" applyAlignment="1" applyProtection="1">
      <alignment horizontal="left" vertical="center"/>
    </xf>
    <xf numFmtId="49" fontId="3" fillId="1" borderId="10" xfId="7" applyNumberFormat="1" applyFont="1" applyFill="1" applyBorder="1" applyAlignment="1" applyProtection="1">
      <alignment horizontal="center" vertical="center"/>
    </xf>
    <xf numFmtId="1" fontId="15" fillId="0" borderId="9" xfId="7" applyNumberFormat="1" applyFont="1" applyBorder="1" applyAlignment="1" applyProtection="1">
      <alignment horizontal="center" vertical="center"/>
    </xf>
    <xf numFmtId="40" fontId="3" fillId="3" borderId="13" xfId="7" applyNumberFormat="1" applyFont="1" applyFill="1" applyBorder="1" applyAlignment="1" applyProtection="1">
      <alignment horizontal="center" vertical="center"/>
    </xf>
    <xf numFmtId="38" fontId="3" fillId="3" borderId="15" xfId="7" applyNumberFormat="1" applyFont="1" applyFill="1" applyBorder="1" applyAlignment="1" applyProtection="1">
      <alignment horizontal="right" vertical="center"/>
    </xf>
    <xf numFmtId="38" fontId="3" fillId="3" borderId="13" xfId="7" applyNumberFormat="1" applyFont="1" applyFill="1" applyBorder="1" applyAlignment="1" applyProtection="1">
      <alignment horizontal="right" vertical="center"/>
    </xf>
    <xf numFmtId="38" fontId="3" fillId="3" borderId="10" xfId="7" applyNumberFormat="1" applyFont="1" applyFill="1" applyBorder="1" applyAlignment="1" applyProtection="1">
      <alignment horizontal="right" vertical="center"/>
    </xf>
    <xf numFmtId="168" fontId="3" fillId="0" borderId="10" xfId="7" applyNumberFormat="1" applyFont="1" applyBorder="1" applyAlignment="1" applyProtection="1">
      <alignment horizontal="left" vertical="center"/>
    </xf>
    <xf numFmtId="38" fontId="15" fillId="3" borderId="14" xfId="7" applyNumberFormat="1" applyFont="1" applyFill="1" applyBorder="1" applyAlignment="1" applyProtection="1">
      <alignment horizontal="right" vertical="center"/>
    </xf>
    <xf numFmtId="1" fontId="3" fillId="0" borderId="9" xfId="7" applyNumberFormat="1" applyFont="1" applyBorder="1" applyAlignment="1" applyProtection="1">
      <alignment horizontal="center" vertical="center"/>
    </xf>
    <xf numFmtId="40" fontId="3" fillId="0" borderId="3" xfId="7" applyNumberFormat="1" applyFont="1" applyFill="1" applyBorder="1" applyAlignment="1" applyProtection="1">
      <alignment horizontal="center" vertical="center"/>
    </xf>
    <xf numFmtId="38" fontId="3" fillId="0" borderId="10" xfId="7" applyNumberFormat="1" applyFont="1" applyFill="1" applyBorder="1" applyAlignment="1" applyProtection="1">
      <alignment vertical="center"/>
    </xf>
    <xf numFmtId="38" fontId="3" fillId="0" borderId="3" xfId="7" applyNumberFormat="1" applyFont="1" applyFill="1" applyBorder="1" applyAlignment="1" applyProtection="1">
      <alignment vertical="center"/>
    </xf>
    <xf numFmtId="38" fontId="3" fillId="0" borderId="9" xfId="7" applyNumberFormat="1" applyFont="1" applyFill="1" applyBorder="1" applyAlignment="1" applyProtection="1">
      <alignment vertical="center"/>
    </xf>
    <xf numFmtId="38" fontId="3" fillId="0" borderId="10" xfId="7" applyNumberFormat="1" applyFont="1" applyBorder="1" applyAlignment="1" applyProtection="1">
      <alignment vertical="center"/>
    </xf>
    <xf numFmtId="49" fontId="3" fillId="1" borderId="0" xfId="7" applyNumberFormat="1" applyFont="1" applyFill="1" applyBorder="1" applyAlignment="1" applyProtection="1">
      <alignment horizontal="center" vertical="center"/>
    </xf>
    <xf numFmtId="1" fontId="12" fillId="0" borderId="4" xfId="7" applyNumberFormat="1" applyFont="1" applyFill="1" applyBorder="1" applyAlignment="1" applyProtection="1">
      <alignment horizontal="right" vertical="center"/>
    </xf>
    <xf numFmtId="1" fontId="12" fillId="0" borderId="11" xfId="7" applyNumberFormat="1" applyFont="1" applyFill="1" applyBorder="1" applyAlignment="1" applyProtection="1">
      <alignment horizontal="right" vertical="center"/>
    </xf>
    <xf numFmtId="40" fontId="3" fillId="3" borderId="2" xfId="7" applyNumberFormat="1" applyFont="1" applyFill="1" applyBorder="1" applyAlignment="1" applyProtection="1">
      <alignment horizontal="center" vertical="center"/>
    </xf>
    <xf numFmtId="38" fontId="15" fillId="3" borderId="8" xfId="7" applyNumberFormat="1" applyFont="1" applyFill="1" applyBorder="1" applyAlignment="1" applyProtection="1">
      <alignment horizontal="right" vertical="center"/>
    </xf>
    <xf numFmtId="49" fontId="3" fillId="0" borderId="9" xfId="7" applyNumberFormat="1" applyFont="1" applyFill="1" applyBorder="1" applyAlignment="1" applyProtection="1">
      <alignment horizontal="center" vertical="center"/>
    </xf>
    <xf numFmtId="49" fontId="3" fillId="0" borderId="0" xfId="7" applyNumberFormat="1" applyFont="1" applyFill="1" applyBorder="1" applyAlignment="1" applyProtection="1">
      <alignment horizontal="center" vertical="center"/>
    </xf>
    <xf numFmtId="1" fontId="12" fillId="0" borderId="0" xfId="7" applyNumberFormat="1" applyFont="1" applyFill="1" applyBorder="1" applyAlignment="1" applyProtection="1">
      <alignment horizontal="center" vertical="center"/>
    </xf>
    <xf numFmtId="1" fontId="12" fillId="0" borderId="10" xfId="7" applyNumberFormat="1" applyFont="1" applyFill="1" applyBorder="1" applyAlignment="1" applyProtection="1">
      <alignment horizontal="center" vertical="center"/>
    </xf>
    <xf numFmtId="38" fontId="15" fillId="0" borderId="0" xfId="7" applyNumberFormat="1" applyFont="1" applyFill="1" applyBorder="1" applyAlignment="1" applyProtection="1">
      <alignment horizontal="right" vertical="center"/>
    </xf>
    <xf numFmtId="38" fontId="19" fillId="0" borderId="10" xfId="7" applyNumberFormat="1" applyFont="1" applyFill="1" applyBorder="1" applyAlignment="1" applyProtection="1">
      <alignment vertical="center" wrapText="1"/>
      <protection locked="0"/>
    </xf>
    <xf numFmtId="0" fontId="14" fillId="0" borderId="0" xfId="7" applyFont="1" applyFill="1" applyBorder="1" applyAlignment="1" applyProtection="1">
      <alignment vertical="center"/>
    </xf>
    <xf numFmtId="0" fontId="14" fillId="0" borderId="0" xfId="7" applyFont="1" applyFill="1" applyAlignment="1" applyProtection="1">
      <alignment vertical="center"/>
    </xf>
    <xf numFmtId="168" fontId="15" fillId="0" borderId="0" xfId="7" applyNumberFormat="1" applyFont="1" applyBorder="1" applyAlignment="1" applyProtection="1">
      <alignment horizontal="center" vertical="center" wrapText="1"/>
    </xf>
    <xf numFmtId="0" fontId="5" fillId="0" borderId="0" xfId="0" applyFont="1" applyBorder="1" applyAlignment="1">
      <alignment horizontal="left"/>
    </xf>
    <xf numFmtId="1" fontId="15" fillId="0" borderId="3" xfId="7" applyNumberFormat="1" applyFont="1" applyBorder="1" applyAlignment="1" applyProtection="1">
      <alignment horizontal="center"/>
    </xf>
    <xf numFmtId="38" fontId="3" fillId="3" borderId="3" xfId="7" applyNumberFormat="1" applyFont="1" applyFill="1" applyBorder="1" applyAlignment="1" applyProtection="1">
      <alignment horizontal="right"/>
    </xf>
    <xf numFmtId="38" fontId="15" fillId="3" borderId="3" xfId="7" applyNumberFormat="1" applyFont="1" applyFill="1" applyBorder="1" applyAlignment="1" applyProtection="1">
      <alignment horizontal="right"/>
    </xf>
    <xf numFmtId="40" fontId="15" fillId="3" borderId="3" xfId="7" applyNumberFormat="1" applyFont="1" applyFill="1" applyBorder="1" applyAlignment="1" applyProtection="1">
      <alignment horizontal="center"/>
    </xf>
    <xf numFmtId="38" fontId="15" fillId="3" borderId="3" xfId="7" applyNumberFormat="1" applyFont="1" applyFill="1" applyBorder="1" applyAlignment="1" applyProtection="1"/>
    <xf numFmtId="38" fontId="15" fillId="3" borderId="10" xfId="7" applyNumberFormat="1" applyFont="1" applyFill="1" applyBorder="1" applyAlignment="1" applyProtection="1">
      <alignment horizontal="right"/>
    </xf>
    <xf numFmtId="38" fontId="15" fillId="3" borderId="2" xfId="7" applyNumberFormat="1" applyFont="1" applyFill="1" applyBorder="1" applyAlignment="1" applyProtection="1">
      <alignment horizontal="right"/>
    </xf>
    <xf numFmtId="3" fontId="3" fillId="3" borderId="3" xfId="7" applyNumberFormat="1" applyFont="1" applyFill="1" applyBorder="1" applyProtection="1"/>
    <xf numFmtId="0" fontId="6" fillId="0" borderId="1" xfId="0" applyNumberFormat="1" applyFont="1" applyBorder="1"/>
    <xf numFmtId="164" fontId="6" fillId="3" borderId="0" xfId="0" applyNumberFormat="1" applyFont="1" applyFill="1" applyBorder="1" applyAlignment="1">
      <alignment horizontal="right" indent="4"/>
    </xf>
    <xf numFmtId="0" fontId="7" fillId="0" borderId="1" xfId="0" applyFont="1" applyBorder="1" applyAlignment="1">
      <alignment horizontal="center"/>
    </xf>
    <xf numFmtId="165" fontId="6" fillId="3" borderId="0" xfId="0" applyNumberFormat="1" applyFont="1" applyFill="1" applyBorder="1" applyAlignment="1">
      <alignment horizontal="right" indent="4"/>
    </xf>
    <xf numFmtId="165" fontId="5" fillId="3" borderId="0" xfId="0" applyNumberFormat="1" applyFont="1" applyFill="1" applyBorder="1" applyAlignment="1">
      <alignment horizontal="right" indent="4"/>
    </xf>
    <xf numFmtId="0" fontId="6" fillId="0" borderId="0" xfId="0" applyFont="1" applyFill="1"/>
    <xf numFmtId="0" fontId="6" fillId="0" borderId="0" xfId="0" applyNumberFormat="1" applyFont="1" applyFill="1" applyBorder="1" applyAlignment="1">
      <alignment horizontal="left" indent="4"/>
    </xf>
    <xf numFmtId="0" fontId="6" fillId="0" borderId="0" xfId="0" applyFont="1" applyFill="1" applyBorder="1" applyAlignment="1">
      <alignment horizontal="left" indent="4"/>
    </xf>
    <xf numFmtId="0" fontId="6" fillId="0" borderId="5" xfId="0" applyNumberFormat="1" applyFont="1" applyFill="1" applyBorder="1" applyAlignment="1">
      <alignment horizontal="left" indent="4"/>
    </xf>
    <xf numFmtId="164" fontId="6" fillId="3" borderId="5" xfId="0" applyNumberFormat="1" applyFont="1" applyFill="1" applyBorder="1" applyAlignment="1">
      <alignment horizontal="right" indent="4"/>
    </xf>
    <xf numFmtId="164" fontId="6" fillId="3" borderId="4" xfId="0" applyNumberFormat="1" applyFont="1" applyFill="1" applyBorder="1" applyAlignment="1">
      <alignment horizontal="right" indent="4"/>
    </xf>
    <xf numFmtId="0" fontId="3" fillId="9" borderId="13" xfId="7" applyFont="1" applyFill="1" applyBorder="1" applyAlignment="1" applyProtection="1">
      <alignment horizontal="center"/>
    </xf>
    <xf numFmtId="0" fontId="3" fillId="6" borderId="12" xfId="7" applyFont="1" applyFill="1" applyBorder="1" applyAlignment="1" applyProtection="1">
      <alignment horizontal="center"/>
    </xf>
    <xf numFmtId="49" fontId="3" fillId="1" borderId="12" xfId="7" applyNumberFormat="1" applyFont="1" applyFill="1" applyBorder="1" applyAlignment="1" applyProtection="1">
      <alignment horizontal="center" vertical="center"/>
    </xf>
    <xf numFmtId="168" fontId="15" fillId="11" borderId="2" xfId="7" applyNumberFormat="1" applyFont="1" applyFill="1" applyBorder="1" applyAlignment="1" applyProtection="1">
      <alignment horizontal="left" vertical="center" wrapText="1"/>
    </xf>
    <xf numFmtId="168" fontId="15" fillId="0" borderId="2" xfId="7" applyNumberFormat="1" applyFont="1" applyFill="1" applyBorder="1" applyAlignment="1" applyProtection="1">
      <alignment horizontal="left" vertical="center" wrapText="1" indent="1"/>
    </xf>
    <xf numFmtId="1" fontId="15" fillId="0" borderId="10" xfId="7" applyNumberFormat="1" applyFont="1" applyBorder="1" applyAlignment="1" applyProtection="1">
      <alignment horizontal="center" vertical="center"/>
    </xf>
    <xf numFmtId="168" fontId="3" fillId="6" borderId="8" xfId="7" applyNumberFormat="1" applyFont="1" applyFill="1" applyBorder="1" applyAlignment="1" applyProtection="1">
      <alignment vertical="center"/>
    </xf>
    <xf numFmtId="49" fontId="3" fillId="6" borderId="8" xfId="7" applyNumberFormat="1" applyFont="1" applyFill="1" applyBorder="1" applyAlignment="1" applyProtection="1">
      <alignment vertical="center"/>
    </xf>
    <xf numFmtId="168" fontId="3" fillId="6" borderId="2" xfId="7" applyNumberFormat="1" applyFont="1" applyFill="1" applyBorder="1" applyAlignment="1" applyProtection="1">
      <alignment vertical="center"/>
    </xf>
    <xf numFmtId="168" fontId="3" fillId="0" borderId="5" xfId="7" applyNumberFormat="1" applyFont="1" applyFill="1" applyBorder="1" applyAlignment="1" applyProtection="1">
      <alignment vertical="center"/>
    </xf>
    <xf numFmtId="168" fontId="15" fillId="0" borderId="5" xfId="7" applyNumberFormat="1" applyFont="1" applyFill="1" applyBorder="1" applyAlignment="1" applyProtection="1">
      <alignment horizontal="left" vertical="center" indent="1"/>
    </xf>
    <xf numFmtId="0" fontId="25" fillId="0" borderId="0" xfId="0" applyFont="1"/>
    <xf numFmtId="165" fontId="5" fillId="0" borderId="0" xfId="0" applyNumberFormat="1" applyFont="1"/>
    <xf numFmtId="0" fontId="0" fillId="0" borderId="0" xfId="0" applyFont="1"/>
    <xf numFmtId="0" fontId="26" fillId="0" borderId="0" xfId="0" applyFont="1"/>
    <xf numFmtId="0" fontId="27" fillId="0" borderId="0" xfId="0" applyFont="1"/>
    <xf numFmtId="0" fontId="28" fillId="0" borderId="0" xfId="0" applyFont="1"/>
    <xf numFmtId="0" fontId="29" fillId="0" borderId="0" xfId="0" applyFont="1" applyAlignment="1">
      <alignment horizontal="center"/>
    </xf>
    <xf numFmtId="40" fontId="29" fillId="0" borderId="0" xfId="0" applyNumberFormat="1" applyFont="1" applyFill="1" applyAlignment="1">
      <alignment horizontal="center"/>
    </xf>
    <xf numFmtId="0" fontId="29" fillId="0" borderId="0" xfId="0" applyFont="1" applyAlignment="1">
      <alignment horizontal="center"/>
    </xf>
    <xf numFmtId="0" fontId="15" fillId="0" borderId="4" xfId="7" applyFont="1" applyBorder="1" applyAlignment="1" applyProtection="1">
      <alignment horizontal="center" wrapText="1"/>
    </xf>
    <xf numFmtId="2" fontId="3" fillId="0" borderId="2" xfId="7" applyNumberFormat="1" applyFont="1" applyBorder="1" applyAlignment="1" applyProtection="1">
      <alignment horizontal="center" wrapText="1"/>
    </xf>
    <xf numFmtId="0" fontId="14" fillId="0" borderId="13" xfId="7" applyFont="1" applyBorder="1" applyAlignment="1" applyProtection="1">
      <alignment vertical="center"/>
    </xf>
    <xf numFmtId="38" fontId="3" fillId="0" borderId="3" xfId="7" applyNumberFormat="1" applyFont="1" applyFill="1" applyBorder="1" applyAlignment="1" applyProtection="1">
      <alignment horizontal="right" vertical="center"/>
    </xf>
    <xf numFmtId="38" fontId="15" fillId="3" borderId="4" xfId="7" applyNumberFormat="1" applyFont="1" applyFill="1" applyBorder="1" applyProtection="1"/>
    <xf numFmtId="38" fontId="3" fillId="6" borderId="8" xfId="7" applyNumberFormat="1" applyFont="1" applyFill="1" applyBorder="1" applyProtection="1"/>
    <xf numFmtId="38" fontId="3" fillId="6" borderId="15" xfId="7" applyNumberFormat="1" applyFont="1" applyFill="1" applyBorder="1" applyProtection="1"/>
    <xf numFmtId="38" fontId="15" fillId="0" borderId="0" xfId="7" applyNumberFormat="1" applyFont="1" applyFill="1" applyBorder="1" applyProtection="1"/>
    <xf numFmtId="38" fontId="3" fillId="6" borderId="9" xfId="7" applyNumberFormat="1" applyFont="1" applyFill="1" applyBorder="1" applyProtection="1"/>
    <xf numFmtId="38" fontId="3" fillId="6" borderId="4" xfId="7" applyNumberFormat="1" applyFont="1" applyFill="1" applyBorder="1" applyProtection="1"/>
    <xf numFmtId="38" fontId="15" fillId="3" borderId="5" xfId="7" applyNumberFormat="1" applyFont="1" applyFill="1" applyBorder="1" applyProtection="1"/>
    <xf numFmtId="38" fontId="3" fillId="3" borderId="13" xfId="7" applyNumberFormat="1" applyFont="1" applyFill="1" applyBorder="1" applyProtection="1"/>
    <xf numFmtId="38" fontId="15" fillId="0" borderId="3" xfId="7" applyNumberFormat="1" applyFont="1" applyFill="1" applyBorder="1" applyAlignment="1" applyProtection="1">
      <alignment horizontal="right"/>
    </xf>
    <xf numFmtId="38" fontId="15" fillId="0" borderId="11" xfId="7" applyNumberFormat="1" applyFont="1" applyFill="1" applyBorder="1" applyAlignment="1" applyProtection="1">
      <alignment horizontal="right" vertical="center"/>
    </xf>
    <xf numFmtId="38" fontId="15" fillId="0" borderId="1" xfId="7" applyNumberFormat="1" applyFont="1" applyFill="1" applyBorder="1" applyProtection="1"/>
    <xf numFmtId="40" fontId="3" fillId="0" borderId="9" xfId="7" applyNumberFormat="1" applyFont="1" applyFill="1" applyBorder="1" applyAlignment="1" applyProtection="1">
      <alignment horizontal="center"/>
    </xf>
    <xf numFmtId="40" fontId="15" fillId="3" borderId="10" xfId="7" applyNumberFormat="1" applyFont="1" applyFill="1" applyBorder="1" applyAlignment="1" applyProtection="1">
      <alignment horizontal="center"/>
    </xf>
    <xf numFmtId="40" fontId="3" fillId="0" borderId="0" xfId="7" applyNumberFormat="1" applyFont="1" applyFill="1" applyBorder="1" applyAlignment="1" applyProtection="1">
      <alignment horizontal="center"/>
    </xf>
    <xf numFmtId="38" fontId="15" fillId="3" borderId="15" xfId="7" applyNumberFormat="1" applyFont="1" applyFill="1" applyBorder="1" applyProtection="1"/>
    <xf numFmtId="38" fontId="15" fillId="3" borderId="7" xfId="7" applyNumberFormat="1" applyFont="1" applyFill="1" applyBorder="1" applyProtection="1"/>
    <xf numFmtId="38" fontId="3" fillId="6" borderId="6" xfId="7" applyNumberFormat="1" applyFont="1" applyFill="1" applyBorder="1" applyProtection="1"/>
    <xf numFmtId="40" fontId="3" fillId="6" borderId="10" xfId="7" applyNumberFormat="1" applyFont="1" applyFill="1" applyBorder="1" applyAlignment="1" applyProtection="1">
      <alignment horizontal="center"/>
    </xf>
    <xf numFmtId="0" fontId="29" fillId="0" borderId="0" xfId="0" applyFont="1" applyAlignment="1">
      <alignment horizontal="center"/>
    </xf>
    <xf numFmtId="38" fontId="15" fillId="3" borderId="4" xfId="7" applyNumberFormat="1" applyFont="1" applyFill="1" applyBorder="1" applyAlignment="1" applyProtection="1">
      <alignment horizontal="right" vertical="center"/>
    </xf>
    <xf numFmtId="38" fontId="15" fillId="0" borderId="3" xfId="7" applyNumberFormat="1" applyFont="1" applyFill="1" applyBorder="1" applyAlignment="1" applyProtection="1">
      <alignment horizontal="right" vertical="center"/>
    </xf>
    <xf numFmtId="49" fontId="3" fillId="0" borderId="9" xfId="7" applyNumberFormat="1" applyFont="1" applyFill="1" applyBorder="1" applyAlignment="1" applyProtection="1">
      <alignment horizontal="left" vertical="center"/>
    </xf>
    <xf numFmtId="49" fontId="3" fillId="0" borderId="10" xfId="7" applyNumberFormat="1" applyFont="1" applyFill="1" applyBorder="1" applyAlignment="1" applyProtection="1">
      <alignment horizontal="left" vertical="center"/>
    </xf>
    <xf numFmtId="168" fontId="3" fillId="0" borderId="9" xfId="7" applyNumberFormat="1" applyFont="1" applyFill="1" applyBorder="1" applyAlignment="1" applyProtection="1">
      <alignment vertical="center"/>
    </xf>
    <xf numFmtId="168" fontId="3" fillId="0" borderId="10" xfId="7" applyNumberFormat="1" applyFont="1" applyFill="1" applyBorder="1" applyAlignment="1" applyProtection="1">
      <alignment vertical="center"/>
    </xf>
    <xf numFmtId="1" fontId="15" fillId="0" borderId="3" xfId="7" applyNumberFormat="1" applyFont="1" applyFill="1" applyBorder="1" applyAlignment="1" applyProtection="1">
      <alignment horizontal="center" vertical="center"/>
    </xf>
    <xf numFmtId="38" fontId="15" fillId="0" borderId="9" xfId="7" applyNumberFormat="1" applyFont="1" applyFill="1" applyBorder="1" applyAlignment="1" applyProtection="1">
      <alignment horizontal="right" vertical="center"/>
    </xf>
    <xf numFmtId="38" fontId="3" fillId="3" borderId="3" xfId="7" applyNumberFormat="1" applyFont="1" applyFill="1" applyBorder="1" applyProtection="1"/>
    <xf numFmtId="40" fontId="3" fillId="3" borderId="3" xfId="7" applyNumberFormat="1" applyFont="1" applyFill="1" applyBorder="1" applyAlignment="1" applyProtection="1">
      <alignment horizontal="center"/>
    </xf>
    <xf numFmtId="10" fontId="3" fillId="9" borderId="2" xfId="6" applyNumberFormat="1" applyFont="1" applyFill="1" applyBorder="1" applyAlignment="1" applyProtection="1">
      <alignment horizontal="center"/>
    </xf>
    <xf numFmtId="10" fontId="3" fillId="9" borderId="13" xfId="6" applyNumberFormat="1" applyFont="1" applyFill="1" applyBorder="1" applyAlignment="1" applyProtection="1">
      <alignment horizontal="center" vertical="center"/>
    </xf>
    <xf numFmtId="38" fontId="31" fillId="0" borderId="0" xfId="7" applyNumberFormat="1" applyFont="1" applyFill="1" applyBorder="1" applyProtection="1"/>
    <xf numFmtId="0" fontId="31" fillId="0" borderId="0" xfId="7" applyFont="1" applyBorder="1" applyProtection="1"/>
    <xf numFmtId="0" fontId="31" fillId="0" borderId="10" xfId="7" applyFont="1" applyBorder="1" applyProtection="1"/>
    <xf numFmtId="0" fontId="32" fillId="0" borderId="0" xfId="7" applyFont="1" applyBorder="1" applyProtection="1"/>
    <xf numFmtId="0" fontId="32" fillId="0" borderId="10" xfId="7" applyFont="1" applyBorder="1" applyProtection="1"/>
    <xf numFmtId="38" fontId="33" fillId="0" borderId="0" xfId="7" applyNumberFormat="1" applyFont="1" applyFill="1" applyBorder="1" applyProtection="1"/>
    <xf numFmtId="38" fontId="32" fillId="0" borderId="0" xfId="7" applyNumberFormat="1" applyFont="1" applyBorder="1" applyProtection="1"/>
    <xf numFmtId="38" fontId="32" fillId="0" borderId="0" xfId="7" applyNumberFormat="1" applyFont="1" applyFill="1" applyBorder="1" applyProtection="1"/>
    <xf numFmtId="0" fontId="32" fillId="0" borderId="0" xfId="7" applyFont="1" applyFill="1" applyBorder="1" applyProtection="1"/>
    <xf numFmtId="0" fontId="32" fillId="0" borderId="10" xfId="7" applyFont="1" applyFill="1" applyBorder="1" applyProtection="1"/>
    <xf numFmtId="38" fontId="33" fillId="0" borderId="0" xfId="7" applyNumberFormat="1" applyFont="1" applyFill="1" applyBorder="1" applyAlignment="1" applyProtection="1">
      <alignment vertical="center"/>
    </xf>
    <xf numFmtId="38" fontId="31" fillId="0" borderId="0" xfId="7" applyNumberFormat="1" applyFont="1" applyFill="1" applyBorder="1" applyAlignment="1" applyProtection="1">
      <alignment horizontal="right" indent="4"/>
    </xf>
    <xf numFmtId="38" fontId="31" fillId="0" borderId="0" xfId="7" applyNumberFormat="1" applyFont="1" applyFill="1" applyBorder="1" applyAlignment="1" applyProtection="1">
      <alignment horizontal="right" indent="3"/>
    </xf>
    <xf numFmtId="38" fontId="33" fillId="0" borderId="10" xfId="7" applyNumberFormat="1" applyFont="1" applyFill="1" applyBorder="1" applyAlignment="1" applyProtection="1">
      <alignment horizontal="right" indent="3"/>
    </xf>
    <xf numFmtId="175" fontId="31" fillId="0" borderId="0" xfId="7" applyNumberFormat="1" applyFont="1" applyBorder="1" applyProtection="1"/>
    <xf numFmtId="0" fontId="3" fillId="10" borderId="8" xfId="7" applyFont="1" applyFill="1" applyBorder="1" applyAlignment="1" applyProtection="1">
      <alignment horizontal="center" vertical="center"/>
    </xf>
    <xf numFmtId="0" fontId="34" fillId="0" borderId="2" xfId="7" applyFont="1" applyBorder="1" applyAlignment="1" applyProtection="1">
      <alignment horizontal="center" wrapText="1"/>
    </xf>
    <xf numFmtId="9" fontId="3" fillId="0" borderId="0" xfId="6" applyFont="1" applyFill="1" applyBorder="1" applyProtection="1"/>
    <xf numFmtId="9" fontId="15" fillId="0" borderId="12" xfId="6" applyFont="1" applyFill="1" applyBorder="1" applyAlignment="1" applyProtection="1">
      <alignment horizontal="right" vertical="center"/>
    </xf>
    <xf numFmtId="38" fontId="3" fillId="3" borderId="4" xfId="7" applyNumberFormat="1" applyFont="1" applyFill="1" applyBorder="1" applyProtection="1"/>
    <xf numFmtId="6" fontId="6" fillId="3" borderId="0" xfId="0" applyNumberFormat="1" applyFont="1" applyFill="1" applyBorder="1" applyAlignment="1">
      <alignment horizontal="right" indent="4"/>
    </xf>
    <xf numFmtId="6" fontId="5" fillId="3" borderId="0" xfId="0" applyNumberFormat="1" applyFont="1" applyFill="1" applyBorder="1" applyAlignment="1">
      <alignment horizontal="right" indent="4"/>
    </xf>
    <xf numFmtId="179" fontId="6" fillId="3" borderId="0" xfId="0" applyNumberFormat="1" applyFont="1" applyFill="1" applyBorder="1" applyAlignment="1">
      <alignment horizontal="right" indent="3"/>
    </xf>
    <xf numFmtId="179" fontId="6" fillId="3" borderId="8" xfId="0" applyNumberFormat="1" applyFont="1" applyFill="1" applyBorder="1" applyAlignment="1">
      <alignment horizontal="right" indent="3"/>
    </xf>
    <xf numFmtId="179" fontId="6" fillId="3" borderId="5" xfId="0" applyNumberFormat="1" applyFont="1" applyFill="1" applyBorder="1" applyAlignment="1">
      <alignment horizontal="right" indent="3"/>
    </xf>
    <xf numFmtId="0" fontId="35" fillId="0" borderId="0" xfId="0" applyFont="1"/>
    <xf numFmtId="0" fontId="25" fillId="0" borderId="6" xfId="0" applyFont="1" applyBorder="1"/>
    <xf numFmtId="9" fontId="25" fillId="5" borderId="15" xfId="0" applyNumberFormat="1" applyFont="1" applyFill="1" applyBorder="1" applyAlignment="1">
      <alignment horizontal="center"/>
    </xf>
    <xf numFmtId="180" fontId="5" fillId="0" borderId="0" xfId="0" applyNumberFormat="1" applyFont="1"/>
    <xf numFmtId="1" fontId="5" fillId="0" borderId="0" xfId="0" applyNumberFormat="1" applyFont="1"/>
    <xf numFmtId="38" fontId="3" fillId="0" borderId="13" xfId="7" applyNumberFormat="1" applyFont="1" applyFill="1" applyBorder="1" applyAlignment="1" applyProtection="1">
      <alignment horizontal="right" vertical="center"/>
    </xf>
    <xf numFmtId="38" fontId="3" fillId="0" borderId="9" xfId="7" applyNumberFormat="1" applyFont="1" applyBorder="1" applyAlignment="1" applyProtection="1">
      <alignment horizontal="right" vertical="center"/>
    </xf>
    <xf numFmtId="38" fontId="3" fillId="0" borderId="8" xfId="7" applyNumberFormat="1" applyFont="1" applyFill="1" applyBorder="1" applyAlignment="1" applyProtection="1">
      <alignment vertical="center"/>
    </xf>
    <xf numFmtId="38" fontId="3" fillId="0" borderId="2" xfId="7" applyNumberFormat="1" applyFont="1" applyFill="1" applyBorder="1" applyAlignment="1" applyProtection="1">
      <alignment vertical="center"/>
    </xf>
    <xf numFmtId="166" fontId="3" fillId="0" borderId="0" xfId="1" applyFont="1" applyBorder="1"/>
    <xf numFmtId="166" fontId="3" fillId="0" borderId="0" xfId="1" applyFont="1" applyBorder="1" applyAlignment="1"/>
    <xf numFmtId="166" fontId="3" fillId="0" borderId="0" xfId="1" applyFont="1" applyBorder="1" applyAlignment="1">
      <alignment wrapText="1"/>
    </xf>
    <xf numFmtId="166" fontId="3" fillId="0" borderId="0" xfId="1" applyFont="1" applyBorder="1" applyAlignment="1">
      <alignment vertical="center"/>
    </xf>
    <xf numFmtId="0" fontId="3" fillId="0" borderId="0" xfId="7" applyFont="1" applyBorder="1" applyAlignment="1" applyProtection="1">
      <alignment vertical="center"/>
    </xf>
    <xf numFmtId="0" fontId="3" fillId="0" borderId="0" xfId="7" applyFont="1" applyFill="1" applyBorder="1" applyAlignment="1" applyProtection="1">
      <alignment vertical="center"/>
    </xf>
    <xf numFmtId="0" fontId="3" fillId="0" borderId="9" xfId="7" applyFont="1" applyFill="1" applyBorder="1" applyAlignment="1" applyProtection="1">
      <alignment horizontal="center"/>
    </xf>
    <xf numFmtId="0" fontId="15" fillId="0" borderId="4" xfId="7" applyFont="1" applyBorder="1" applyAlignment="1" applyProtection="1">
      <alignment horizontal="center" wrapText="1"/>
    </xf>
    <xf numFmtId="166" fontId="36" fillId="0" borderId="0" xfId="1" applyFont="1" applyBorder="1" applyAlignment="1">
      <alignment horizontal="center" vertical="center"/>
    </xf>
    <xf numFmtId="38" fontId="36" fillId="0" borderId="0" xfId="7" applyNumberFormat="1" applyFont="1" applyBorder="1" applyAlignment="1" applyProtection="1">
      <alignment horizontal="center" vertical="center"/>
    </xf>
    <xf numFmtId="6" fontId="36" fillId="0" borderId="0" xfId="1" applyNumberFormat="1" applyFont="1" applyBorder="1" applyAlignment="1">
      <alignment horizontal="center" vertical="center"/>
    </xf>
    <xf numFmtId="166" fontId="38" fillId="0" borderId="0" xfId="1" applyFont="1" applyBorder="1" applyAlignment="1">
      <alignment horizontal="center" vertical="center"/>
    </xf>
    <xf numFmtId="0" fontId="36" fillId="0" borderId="0" xfId="7" applyFont="1" applyBorder="1" applyAlignment="1" applyProtection="1">
      <alignment horizontal="center" vertical="center"/>
    </xf>
    <xf numFmtId="6" fontId="36" fillId="0" borderId="0" xfId="7" applyNumberFormat="1" applyFont="1" applyBorder="1" applyAlignment="1" applyProtection="1">
      <alignment horizontal="center" vertical="center"/>
    </xf>
    <xf numFmtId="0" fontId="36" fillId="0" borderId="0" xfId="7" applyFont="1" applyFill="1" applyBorder="1" applyAlignment="1" applyProtection="1">
      <alignment horizontal="center" vertical="center"/>
    </xf>
    <xf numFmtId="9" fontId="25" fillId="13" borderId="10" xfId="0" applyNumberFormat="1" applyFont="1" applyFill="1" applyBorder="1" applyAlignment="1">
      <alignment horizontal="center"/>
    </xf>
    <xf numFmtId="0" fontId="25" fillId="0" borderId="9" xfId="0" applyFont="1" applyBorder="1"/>
    <xf numFmtId="0" fontId="39" fillId="0" borderId="7" xfId="0" applyFont="1" applyBorder="1"/>
    <xf numFmtId="9" fontId="39" fillId="0" borderId="7" xfId="0" applyNumberFormat="1" applyFont="1" applyFill="1" applyBorder="1" applyAlignment="1">
      <alignment horizontal="center"/>
    </xf>
    <xf numFmtId="0" fontId="0" fillId="0" borderId="0" xfId="0" applyBorder="1"/>
    <xf numFmtId="178" fontId="36" fillId="0" borderId="0" xfId="7" applyNumberFormat="1" applyFont="1" applyBorder="1" applyAlignment="1" applyProtection="1">
      <alignment horizontal="center" vertical="center"/>
    </xf>
    <xf numFmtId="43" fontId="36" fillId="0" borderId="0" xfId="5" applyFont="1" applyBorder="1" applyAlignment="1" applyProtection="1">
      <alignment horizontal="center" vertical="center"/>
    </xf>
    <xf numFmtId="43" fontId="36" fillId="0" borderId="0" xfId="7" applyNumberFormat="1" applyFont="1" applyBorder="1" applyAlignment="1" applyProtection="1">
      <alignment horizontal="center" vertical="center"/>
    </xf>
    <xf numFmtId="181" fontId="6" fillId="3" borderId="0" xfId="0" applyNumberFormat="1" applyFont="1" applyFill="1" applyBorder="1" applyAlignment="1">
      <alignment horizontal="right" indent="4"/>
    </xf>
    <xf numFmtId="0" fontId="42" fillId="0" borderId="0" xfId="7" applyFont="1" applyBorder="1" applyProtection="1"/>
    <xf numFmtId="0" fontId="42" fillId="0" borderId="0" xfId="7" applyFont="1" applyFill="1" applyBorder="1" applyProtection="1"/>
    <xf numFmtId="14" fontId="11" fillId="4" borderId="1" xfId="7" applyNumberFormat="1" applyFont="1" applyFill="1" applyBorder="1" applyAlignment="1" applyProtection="1">
      <alignment horizontal="center" vertical="center"/>
    </xf>
    <xf numFmtId="166" fontId="3" fillId="4" borderId="2" xfId="1" applyFont="1" applyFill="1" applyBorder="1" applyAlignment="1">
      <alignment horizontal="center" vertical="center"/>
    </xf>
    <xf numFmtId="0" fontId="3" fillId="10" borderId="4" xfId="7" applyFont="1" applyFill="1" applyBorder="1" applyAlignment="1" applyProtection="1">
      <alignment horizontal="center" vertical="center"/>
    </xf>
    <xf numFmtId="0" fontId="8" fillId="4" borderId="5" xfId="7" applyFont="1" applyFill="1" applyBorder="1" applyAlignment="1" applyProtection="1">
      <alignment horizontal="center" vertical="center"/>
    </xf>
    <xf numFmtId="175" fontId="15" fillId="3" borderId="2" xfId="7" applyNumberFormat="1" applyFont="1" applyFill="1" applyBorder="1" applyAlignment="1">
      <alignment horizontal="center" vertical="center"/>
    </xf>
    <xf numFmtId="38" fontId="3" fillId="3" borderId="3" xfId="7" quotePrefix="1" applyNumberFormat="1" applyFont="1" applyFill="1" applyBorder="1" applyProtection="1"/>
    <xf numFmtId="0" fontId="42" fillId="0" borderId="10" xfId="7" applyFont="1" applyBorder="1" applyProtection="1"/>
    <xf numFmtId="0" fontId="40" fillId="0" borderId="0" xfId="0" applyFont="1"/>
    <xf numFmtId="0" fontId="42" fillId="0" borderId="10" xfId="7" applyFont="1" applyFill="1" applyBorder="1" applyProtection="1"/>
    <xf numFmtId="38" fontId="36" fillId="0" borderId="0" xfId="7" applyNumberFormat="1" applyFont="1" applyFill="1" applyBorder="1" applyAlignment="1" applyProtection="1">
      <alignment horizontal="right" indent="3"/>
    </xf>
    <xf numFmtId="38" fontId="43" fillId="0" borderId="10" xfId="7" applyNumberFormat="1" applyFont="1" applyFill="1" applyBorder="1" applyAlignment="1" applyProtection="1">
      <alignment horizontal="right" indent="3"/>
    </xf>
    <xf numFmtId="182" fontId="5" fillId="0" borderId="0" xfId="0" applyNumberFormat="1" applyFont="1" applyAlignment="1">
      <alignment horizontal="right" indent="4"/>
    </xf>
    <xf numFmtId="182" fontId="5" fillId="0" borderId="0" xfId="0" applyNumberFormat="1" applyFont="1" applyAlignment="1">
      <alignment horizontal="right" indent="3"/>
    </xf>
    <xf numFmtId="0" fontId="36" fillId="0" borderId="0" xfId="7" applyFont="1" applyBorder="1" applyAlignment="1" applyProtection="1">
      <alignment horizontal="center" vertical="center"/>
    </xf>
    <xf numFmtId="168" fontId="3" fillId="0" borderId="9" xfId="7" applyNumberFormat="1" applyFont="1" applyBorder="1" applyAlignment="1" applyProtection="1">
      <alignment horizontal="left" vertical="center"/>
    </xf>
    <xf numFmtId="168" fontId="3" fillId="0" borderId="10" xfId="7" applyNumberFormat="1" applyFont="1" applyBorder="1" applyAlignment="1" applyProtection="1">
      <alignment horizontal="left" vertical="center"/>
    </xf>
    <xf numFmtId="168" fontId="3" fillId="0" borderId="9" xfId="7" applyNumberFormat="1" applyFont="1" applyBorder="1" applyAlignment="1" applyProtection="1">
      <alignment horizontal="left" indent="2"/>
    </xf>
    <xf numFmtId="0" fontId="3" fillId="0" borderId="9" xfId="7" applyFont="1" applyFill="1" applyBorder="1" applyAlignment="1" applyProtection="1">
      <alignment horizontal="center"/>
    </xf>
    <xf numFmtId="168" fontId="3" fillId="0" borderId="10" xfId="7" applyNumberFormat="1" applyFont="1" applyBorder="1" applyAlignment="1" applyProtection="1">
      <alignment horizontal="left" indent="2"/>
    </xf>
    <xf numFmtId="0" fontId="15" fillId="0" borderId="4" xfId="7" applyFont="1" applyBorder="1" applyAlignment="1" applyProtection="1">
      <alignment horizontal="center" wrapText="1"/>
    </xf>
    <xf numFmtId="168" fontId="3" fillId="0" borderId="0" xfId="7" applyNumberFormat="1" applyFont="1" applyBorder="1" applyAlignment="1" applyProtection="1">
      <alignment horizontal="left" vertical="center"/>
    </xf>
    <xf numFmtId="40" fontId="29" fillId="0" borderId="0" xfId="0" applyNumberFormat="1" applyFont="1" applyFill="1" applyAlignment="1">
      <alignment horizontal="center"/>
    </xf>
    <xf numFmtId="0" fontId="29" fillId="0" borderId="0" xfId="0" applyFont="1" applyAlignment="1">
      <alignment horizontal="center"/>
    </xf>
    <xf numFmtId="0" fontId="44" fillId="14" borderId="17" xfId="0" applyFont="1" applyFill="1" applyBorder="1" applyAlignment="1">
      <alignment horizontal="center" vertical="top"/>
    </xf>
    <xf numFmtId="49" fontId="44" fillId="14" borderId="17" xfId="0" applyNumberFormat="1" applyFont="1" applyFill="1" applyBorder="1" applyAlignment="1">
      <alignment horizontal="center" vertical="top"/>
    </xf>
    <xf numFmtId="0" fontId="45" fillId="0" borderId="18" xfId="0" applyFont="1" applyBorder="1" applyAlignment="1">
      <alignment vertical="top"/>
    </xf>
    <xf numFmtId="49" fontId="0" fillId="0" borderId="18" xfId="0" applyNumberFormat="1" applyBorder="1"/>
    <xf numFmtId="0" fontId="0" fillId="0" borderId="18" xfId="0" applyBorder="1"/>
    <xf numFmtId="183" fontId="45" fillId="0" borderId="18" xfId="0" applyNumberFormat="1" applyFont="1" applyBorder="1" applyAlignment="1">
      <alignment vertical="top"/>
    </xf>
    <xf numFmtId="4" fontId="45" fillId="0" borderId="18" xfId="0" applyNumberFormat="1" applyFont="1" applyBorder="1" applyAlignment="1">
      <alignment vertical="top"/>
    </xf>
    <xf numFmtId="184" fontId="45" fillId="0" borderId="18" xfId="0" applyNumberFormat="1" applyFont="1" applyBorder="1" applyAlignment="1">
      <alignment vertical="top"/>
    </xf>
    <xf numFmtId="49" fontId="45" fillId="0" borderId="18" xfId="0" applyNumberFormat="1" applyFont="1" applyBorder="1" applyAlignment="1">
      <alignment vertical="top"/>
    </xf>
    <xf numFmtId="0" fontId="45" fillId="0" borderId="18" xfId="0" applyNumberFormat="1" applyFont="1" applyBorder="1" applyAlignment="1">
      <alignment vertical="top"/>
    </xf>
    <xf numFmtId="0" fontId="0" fillId="0" borderId="18" xfId="0" applyNumberFormat="1" applyBorder="1"/>
    <xf numFmtId="40" fontId="45" fillId="0" borderId="18" xfId="0" applyNumberFormat="1" applyFont="1" applyBorder="1" applyAlignment="1">
      <alignment vertical="top"/>
    </xf>
    <xf numFmtId="0" fontId="0" fillId="15" borderId="0" xfId="0" applyFill="1" applyAlignment="1">
      <alignment horizontal="center"/>
    </xf>
    <xf numFmtId="40" fontId="0" fillId="0" borderId="0" xfId="0" applyNumberFormat="1"/>
    <xf numFmtId="0" fontId="0" fillId="16" borderId="0" xfId="0" applyFill="1" applyAlignment="1">
      <alignment horizontal="center"/>
    </xf>
    <xf numFmtId="0" fontId="0" fillId="17" borderId="0" xfId="0" applyFill="1" applyAlignment="1">
      <alignment horizontal="center"/>
    </xf>
    <xf numFmtId="0" fontId="0" fillId="18" borderId="0" xfId="0" applyFill="1" applyAlignment="1">
      <alignment horizontal="center"/>
    </xf>
    <xf numFmtId="0" fontId="0" fillId="19" borderId="0" xfId="0" applyFill="1" applyAlignment="1">
      <alignment horizontal="center"/>
    </xf>
    <xf numFmtId="0" fontId="46" fillId="0" borderId="0" xfId="0" applyFont="1"/>
    <xf numFmtId="0" fontId="47" fillId="0" borderId="0" xfId="0" applyFont="1"/>
    <xf numFmtId="40" fontId="29" fillId="20" borderId="19" xfId="0" applyNumberFormat="1" applyFont="1" applyFill="1" applyBorder="1"/>
    <xf numFmtId="0" fontId="46" fillId="21" borderId="0" xfId="0" applyFont="1" applyFill="1"/>
    <xf numFmtId="0" fontId="48" fillId="0" borderId="0" xfId="0" applyFont="1"/>
    <xf numFmtId="0" fontId="49" fillId="0" borderId="0" xfId="0" applyFont="1"/>
    <xf numFmtId="40" fontId="0" fillId="22" borderId="0" xfId="0" applyNumberFormat="1" applyFill="1"/>
    <xf numFmtId="40" fontId="0" fillId="23" borderId="0" xfId="0" applyNumberFormat="1" applyFill="1"/>
    <xf numFmtId="40" fontId="46" fillId="24" borderId="0" xfId="0" applyNumberFormat="1" applyFont="1" applyFill="1"/>
    <xf numFmtId="8" fontId="46" fillId="24" borderId="0" xfId="0" applyNumberFormat="1" applyFont="1" applyFill="1"/>
    <xf numFmtId="43" fontId="0" fillId="0" borderId="0" xfId="0" applyNumberFormat="1"/>
    <xf numFmtId="43" fontId="0" fillId="22" borderId="0" xfId="0" applyNumberFormat="1" applyFill="1"/>
    <xf numFmtId="43" fontId="0" fillId="23" borderId="0" xfId="0" applyNumberFormat="1" applyFill="1"/>
    <xf numFmtId="49" fontId="3" fillId="6" borderId="4" xfId="7" applyNumberFormat="1" applyFont="1" applyFill="1" applyBorder="1" applyAlignment="1" applyProtection="1">
      <alignment horizontal="left"/>
    </xf>
    <xf numFmtId="49" fontId="3" fillId="6" borderId="8" xfId="7" applyNumberFormat="1" applyFont="1" applyFill="1" applyBorder="1" applyAlignment="1" applyProtection="1">
      <alignment horizontal="left"/>
    </xf>
    <xf numFmtId="49" fontId="3" fillId="0" borderId="9" xfId="7" applyNumberFormat="1" applyFont="1" applyBorder="1" applyAlignment="1" applyProtection="1">
      <alignment horizontal="left"/>
    </xf>
    <xf numFmtId="49" fontId="3" fillId="0" borderId="10" xfId="7" applyNumberFormat="1" applyFont="1" applyBorder="1" applyAlignment="1" applyProtection="1">
      <alignment horizontal="left"/>
    </xf>
    <xf numFmtId="168" fontId="3" fillId="0" borderId="9" xfId="7" applyNumberFormat="1" applyFont="1" applyBorder="1" applyAlignment="1" applyProtection="1">
      <alignment horizontal="left" indent="2"/>
    </xf>
    <xf numFmtId="168" fontId="3" fillId="0" borderId="0" xfId="7" applyNumberFormat="1" applyFont="1" applyBorder="1" applyAlignment="1" applyProtection="1">
      <alignment horizontal="left" indent="2"/>
    </xf>
    <xf numFmtId="168" fontId="3" fillId="0" borderId="10" xfId="7" applyNumberFormat="1" applyFont="1" applyBorder="1" applyAlignment="1" applyProtection="1">
      <alignment horizontal="left" indent="2"/>
    </xf>
    <xf numFmtId="168" fontId="3" fillId="0" borderId="11" xfId="7" applyNumberFormat="1" applyFont="1" applyBorder="1" applyAlignment="1" applyProtection="1">
      <alignment horizontal="left" indent="1"/>
    </xf>
    <xf numFmtId="168" fontId="3" fillId="0" borderId="14" xfId="7" applyNumberFormat="1" applyFont="1" applyBorder="1" applyAlignment="1" applyProtection="1">
      <alignment horizontal="left" indent="1"/>
    </xf>
    <xf numFmtId="0" fontId="3" fillId="0" borderId="11" xfId="7" applyFont="1" applyBorder="1" applyAlignment="1" applyProtection="1">
      <alignment horizontal="left" indent="2"/>
    </xf>
    <xf numFmtId="0" fontId="3" fillId="0" borderId="1" xfId="7" applyFont="1" applyBorder="1" applyAlignment="1" applyProtection="1">
      <alignment horizontal="left" indent="2"/>
    </xf>
    <xf numFmtId="0" fontId="3" fillId="8" borderId="9" xfId="7" applyFont="1" applyFill="1" applyBorder="1" applyAlignment="1" applyProtection="1">
      <alignment horizontal="center"/>
    </xf>
    <xf numFmtId="0" fontId="3" fillId="8" borderId="10" xfId="7" applyFont="1" applyFill="1" applyBorder="1" applyAlignment="1" applyProtection="1">
      <alignment horizontal="center"/>
    </xf>
    <xf numFmtId="0" fontId="3" fillId="0" borderId="9" xfId="7" applyFont="1" applyFill="1" applyBorder="1" applyAlignment="1" applyProtection="1">
      <alignment horizontal="center"/>
    </xf>
    <xf numFmtId="0" fontId="3" fillId="0" borderId="10" xfId="7" applyFont="1" applyFill="1" applyBorder="1" applyAlignment="1" applyProtection="1">
      <alignment horizontal="center"/>
    </xf>
    <xf numFmtId="168" fontId="3" fillId="0" borderId="9" xfId="7" applyNumberFormat="1" applyFont="1" applyBorder="1" applyAlignment="1" applyProtection="1">
      <alignment horizontal="left" indent="1"/>
    </xf>
    <xf numFmtId="168" fontId="3" fillId="0" borderId="10" xfId="7" applyNumberFormat="1" applyFont="1" applyBorder="1" applyAlignment="1" applyProtection="1">
      <alignment horizontal="left" indent="1"/>
    </xf>
    <xf numFmtId="168" fontId="3" fillId="0" borderId="11" xfId="7" applyNumberFormat="1" applyFont="1" applyBorder="1" applyAlignment="1" applyProtection="1">
      <alignment horizontal="left" indent="2"/>
    </xf>
    <xf numFmtId="168" fontId="3" fillId="0" borderId="1" xfId="7" applyNumberFormat="1" applyFont="1" applyBorder="1" applyAlignment="1" applyProtection="1">
      <alignment horizontal="left" indent="2"/>
    </xf>
    <xf numFmtId="168" fontId="3" fillId="0" borderId="0" xfId="7" applyNumberFormat="1" applyFont="1" applyBorder="1" applyAlignment="1" applyProtection="1">
      <alignment horizontal="left" indent="1"/>
    </xf>
    <xf numFmtId="168" fontId="16" fillId="3" borderId="4" xfId="7" applyNumberFormat="1" applyFont="1" applyFill="1" applyBorder="1" applyAlignment="1" applyProtection="1">
      <alignment horizontal="left" vertical="center" indent="1"/>
      <protection locked="0"/>
    </xf>
    <xf numFmtId="168" fontId="16" fillId="3" borderId="5" xfId="7" applyNumberFormat="1" applyFont="1" applyFill="1" applyBorder="1" applyAlignment="1" applyProtection="1">
      <alignment horizontal="left" vertical="center" indent="1"/>
      <protection locked="0"/>
    </xf>
    <xf numFmtId="168" fontId="16" fillId="3" borderId="8" xfId="7" applyNumberFormat="1" applyFont="1" applyFill="1" applyBorder="1" applyAlignment="1" applyProtection="1">
      <alignment horizontal="left" vertical="center" indent="1"/>
      <protection locked="0"/>
    </xf>
    <xf numFmtId="0" fontId="30" fillId="0" borderId="6" xfId="7" applyFont="1" applyBorder="1" applyAlignment="1" applyProtection="1">
      <alignment horizontal="center" vertical="center"/>
    </xf>
    <xf numFmtId="0" fontId="30" fillId="0" borderId="7" xfId="7" applyFont="1" applyBorder="1" applyAlignment="1" applyProtection="1">
      <alignment horizontal="center" vertical="center"/>
    </xf>
    <xf numFmtId="0" fontId="30" fillId="0" borderId="15" xfId="7" applyFont="1" applyBorder="1" applyAlignment="1" applyProtection="1">
      <alignment horizontal="center" vertical="center"/>
    </xf>
    <xf numFmtId="0" fontId="30" fillId="0" borderId="11" xfId="7" applyFont="1" applyBorder="1" applyAlignment="1" applyProtection="1">
      <alignment horizontal="center" vertical="center"/>
    </xf>
    <xf numFmtId="0" fontId="30" fillId="0" borderId="1" xfId="7" applyFont="1" applyBorder="1" applyAlignment="1" applyProtection="1">
      <alignment horizontal="center" vertical="center"/>
    </xf>
    <xf numFmtId="0" fontId="30" fillId="0" borderId="14" xfId="7" applyFont="1" applyBorder="1" applyAlignment="1" applyProtection="1">
      <alignment horizontal="center" vertical="center"/>
    </xf>
    <xf numFmtId="38" fontId="15" fillId="12" borderId="6" xfId="7" applyNumberFormat="1" applyFont="1" applyFill="1" applyBorder="1" applyAlignment="1" applyProtection="1">
      <alignment horizontal="center" vertical="center" wrapText="1"/>
    </xf>
    <xf numFmtId="38" fontId="15" fillId="12" borderId="7" xfId="7" applyNumberFormat="1" applyFont="1" applyFill="1" applyBorder="1" applyAlignment="1" applyProtection="1">
      <alignment horizontal="center" vertical="center" wrapText="1"/>
    </xf>
    <xf numFmtId="38" fontId="15" fillId="12" borderId="15" xfId="7" applyNumberFormat="1" applyFont="1" applyFill="1" applyBorder="1" applyAlignment="1" applyProtection="1">
      <alignment horizontal="center" vertical="center" wrapText="1"/>
    </xf>
    <xf numFmtId="38" fontId="15" fillId="12" borderId="11" xfId="7" applyNumberFormat="1" applyFont="1" applyFill="1" applyBorder="1" applyAlignment="1" applyProtection="1">
      <alignment horizontal="center" vertical="center" wrapText="1"/>
    </xf>
    <xf numFmtId="38" fontId="15" fillId="12" borderId="1" xfId="7" applyNumberFormat="1" applyFont="1" applyFill="1" applyBorder="1" applyAlignment="1" applyProtection="1">
      <alignment horizontal="center" vertical="center" wrapText="1"/>
    </xf>
    <xf numFmtId="38" fontId="15" fillId="12" borderId="14" xfId="7" applyNumberFormat="1" applyFont="1" applyFill="1" applyBorder="1" applyAlignment="1" applyProtection="1">
      <alignment horizontal="center" vertical="center" wrapText="1"/>
    </xf>
    <xf numFmtId="0" fontId="14" fillId="0" borderId="7" xfId="7" applyFont="1" applyBorder="1" applyAlignment="1" applyProtection="1">
      <alignment horizontal="center"/>
    </xf>
    <xf numFmtId="0" fontId="14" fillId="0" borderId="15" xfId="7" applyFont="1" applyBorder="1" applyAlignment="1" applyProtection="1">
      <alignment horizontal="center"/>
    </xf>
    <xf numFmtId="0" fontId="3" fillId="0" borderId="9" xfId="7" applyFont="1" applyBorder="1" applyAlignment="1" applyProtection="1">
      <alignment horizontal="left" indent="1"/>
    </xf>
    <xf numFmtId="0" fontId="3" fillId="0" borderId="0" xfId="7" applyFont="1" applyBorder="1" applyAlignment="1" applyProtection="1">
      <alignment horizontal="left" indent="1"/>
    </xf>
    <xf numFmtId="168" fontId="3" fillId="0" borderId="9" xfId="7" applyNumberFormat="1" applyFont="1" applyBorder="1" applyAlignment="1" applyProtection="1">
      <alignment horizontal="left" vertical="center"/>
    </xf>
    <xf numFmtId="168" fontId="3" fillId="0" borderId="10" xfId="7" applyNumberFormat="1" applyFont="1" applyBorder="1" applyAlignment="1" applyProtection="1">
      <alignment horizontal="left" vertical="center"/>
    </xf>
    <xf numFmtId="49" fontId="3" fillId="0" borderId="9" xfId="7" applyNumberFormat="1" applyFont="1" applyBorder="1" applyAlignment="1" applyProtection="1">
      <alignment horizontal="left" vertical="center"/>
    </xf>
    <xf numFmtId="49" fontId="3" fillId="0" borderId="10" xfId="7" applyNumberFormat="1" applyFont="1" applyBorder="1" applyAlignment="1" applyProtection="1">
      <alignment horizontal="left" vertical="center"/>
    </xf>
    <xf numFmtId="168" fontId="15" fillId="0" borderId="6" xfId="7" applyNumberFormat="1" applyFont="1" applyBorder="1" applyAlignment="1" applyProtection="1">
      <alignment horizontal="center" vertical="center" wrapText="1"/>
    </xf>
    <xf numFmtId="168" fontId="15" fillId="0" borderId="15" xfId="7" applyNumberFormat="1" applyFont="1" applyBorder="1" applyAlignment="1" applyProtection="1">
      <alignment horizontal="center" vertical="center" wrapText="1"/>
    </xf>
    <xf numFmtId="168" fontId="15" fillId="0" borderId="11" xfId="7" applyNumberFormat="1" applyFont="1" applyBorder="1" applyAlignment="1" applyProtection="1">
      <alignment horizontal="center" vertical="center" wrapText="1"/>
    </xf>
    <xf numFmtId="168" fontId="15" fillId="0" borderId="14" xfId="7" applyNumberFormat="1" applyFont="1" applyBorder="1" applyAlignment="1" applyProtection="1">
      <alignment horizontal="center" vertical="center" wrapText="1"/>
    </xf>
    <xf numFmtId="0" fontId="36" fillId="0" borderId="9" xfId="7" applyFont="1" applyBorder="1" applyAlignment="1" applyProtection="1">
      <alignment horizontal="center" vertical="center"/>
    </xf>
    <xf numFmtId="0" fontId="36" fillId="0" borderId="0" xfId="7" applyFont="1" applyBorder="1" applyAlignment="1" applyProtection="1">
      <alignment horizontal="center" vertical="center"/>
    </xf>
    <xf numFmtId="168" fontId="15" fillId="0" borderId="4" xfId="7" applyNumberFormat="1" applyFont="1" applyBorder="1" applyAlignment="1" applyProtection="1">
      <alignment horizontal="center" vertical="center" wrapText="1"/>
    </xf>
    <xf numFmtId="168" fontId="15" fillId="0" borderId="1" xfId="7" applyNumberFormat="1" applyFont="1" applyBorder="1" applyAlignment="1" applyProtection="1">
      <alignment horizontal="center" vertical="center" wrapText="1"/>
    </xf>
    <xf numFmtId="168" fontId="15" fillId="0" borderId="9" xfId="7" applyNumberFormat="1" applyFont="1" applyBorder="1" applyAlignment="1" applyProtection="1">
      <alignment horizontal="left" vertical="center"/>
    </xf>
    <xf numFmtId="168" fontId="15" fillId="0" borderId="10" xfId="7" applyNumberFormat="1" applyFont="1" applyBorder="1" applyAlignment="1" applyProtection="1">
      <alignment horizontal="left" vertical="center"/>
    </xf>
    <xf numFmtId="168" fontId="3" fillId="0" borderId="1" xfId="7" applyNumberFormat="1" applyFont="1" applyFill="1" applyBorder="1" applyAlignment="1" applyProtection="1">
      <alignment horizontal="left" vertical="center" wrapText="1"/>
    </xf>
    <xf numFmtId="168" fontId="3" fillId="0" borderId="14" xfId="7" applyNumberFormat="1" applyFont="1" applyFill="1" applyBorder="1" applyAlignment="1" applyProtection="1">
      <alignment horizontal="left" vertical="center" wrapText="1"/>
    </xf>
    <xf numFmtId="0" fontId="15" fillId="0" borderId="9" xfId="7" applyFont="1" applyBorder="1" applyAlignment="1" applyProtection="1">
      <alignment horizontal="left" vertical="center"/>
    </xf>
    <xf numFmtId="0" fontId="15" fillId="0" borderId="10" xfId="7" applyFont="1" applyBorder="1" applyAlignment="1" applyProtection="1">
      <alignment horizontal="left" vertical="center"/>
    </xf>
    <xf numFmtId="0" fontId="37" fillId="0" borderId="9" xfId="7" applyFont="1" applyBorder="1" applyAlignment="1" applyProtection="1">
      <alignment horizontal="center" vertical="center"/>
    </xf>
    <xf numFmtId="0" fontId="37" fillId="0" borderId="0" xfId="7" applyFont="1" applyBorder="1" applyAlignment="1" applyProtection="1">
      <alignment horizontal="center" vertical="center"/>
    </xf>
    <xf numFmtId="0" fontId="37" fillId="0" borderId="0" xfId="7" applyFont="1" applyBorder="1" applyAlignment="1" applyProtection="1">
      <alignment horizontal="center" vertical="center" wrapText="1"/>
    </xf>
    <xf numFmtId="168" fontId="15" fillId="0" borderId="6" xfId="7" applyNumberFormat="1" applyFont="1" applyBorder="1" applyAlignment="1" applyProtection="1">
      <alignment horizontal="left" vertical="center"/>
    </xf>
    <xf numFmtId="168" fontId="15" fillId="0" borderId="7" xfId="7" applyNumberFormat="1" applyFont="1" applyBorder="1" applyAlignment="1" applyProtection="1">
      <alignment horizontal="left" vertical="center"/>
    </xf>
    <xf numFmtId="168" fontId="3" fillId="0" borderId="0" xfId="7" applyNumberFormat="1" applyFont="1" applyBorder="1" applyAlignment="1" applyProtection="1">
      <alignment horizontal="left" vertical="center"/>
    </xf>
    <xf numFmtId="0" fontId="11" fillId="4" borderId="4" xfId="7" applyNumberFormat="1" applyFont="1" applyFill="1" applyBorder="1" applyAlignment="1" applyProtection="1">
      <alignment horizontal="left" vertical="center" indent="2"/>
    </xf>
    <xf numFmtId="0" fontId="11" fillId="4" borderId="8" xfId="7" applyNumberFormat="1" applyFont="1" applyFill="1" applyBorder="1" applyAlignment="1" applyProtection="1">
      <alignment horizontal="left" vertical="center" indent="2"/>
    </xf>
    <xf numFmtId="49" fontId="13" fillId="5" borderId="4" xfId="1" applyNumberFormat="1" applyFont="1" applyFill="1" applyBorder="1" applyAlignment="1">
      <alignment horizontal="center" vertical="center" shrinkToFit="1"/>
    </xf>
    <xf numFmtId="49" fontId="13" fillId="5" borderId="8" xfId="1" applyNumberFormat="1" applyFont="1" applyFill="1" applyBorder="1" applyAlignment="1">
      <alignment horizontal="center" vertical="center" shrinkToFit="1"/>
    </xf>
    <xf numFmtId="49" fontId="13" fillId="5" borderId="5" xfId="1" applyNumberFormat="1" applyFont="1" applyFill="1" applyBorder="1" applyAlignment="1">
      <alignment horizontal="center" vertical="center" shrinkToFit="1"/>
    </xf>
    <xf numFmtId="0" fontId="15" fillId="0" borderId="4" xfId="7" applyFont="1" applyBorder="1" applyAlignment="1" applyProtection="1">
      <alignment horizontal="center" wrapText="1"/>
    </xf>
    <xf numFmtId="0" fontId="15" fillId="0" borderId="8" xfId="7" applyFont="1" applyBorder="1" applyAlignment="1" applyProtection="1">
      <alignment horizontal="center" wrapText="1"/>
    </xf>
    <xf numFmtId="40" fontId="29" fillId="0" borderId="0" xfId="0" applyNumberFormat="1" applyFont="1" applyFill="1" applyAlignment="1">
      <alignment horizontal="center"/>
    </xf>
    <xf numFmtId="0" fontId="29" fillId="0" borderId="0" xfId="0" applyFont="1" applyAlignment="1">
      <alignment horizontal="center" wrapText="1"/>
    </xf>
    <xf numFmtId="0" fontId="29" fillId="0" borderId="0" xfId="0" applyFont="1" applyAlignment="1">
      <alignment horizontal="center"/>
    </xf>
    <xf numFmtId="0" fontId="4" fillId="2" borderId="0" xfId="0" applyNumberFormat="1" applyFont="1" applyFill="1" applyAlignment="1">
      <alignment horizontal="left" vertical="top" wrapText="1"/>
    </xf>
    <xf numFmtId="0" fontId="25" fillId="0" borderId="0" xfId="0" applyFont="1" applyAlignment="1">
      <alignment horizontal="left" indent="1"/>
    </xf>
  </cellXfs>
  <cellStyles count="8">
    <cellStyle name="Comma" xfId="5" builtinId="3"/>
    <cellStyle name="Comma 2" xfId="2" xr:uid="{00000000-0005-0000-0000-000001000000}"/>
    <cellStyle name="Normal" xfId="0" builtinId="0"/>
    <cellStyle name="Normal 2" xfId="3" xr:uid="{00000000-0005-0000-0000-000003000000}"/>
    <cellStyle name="Normal 3" xfId="1" xr:uid="{00000000-0005-0000-0000-000004000000}"/>
    <cellStyle name="Normal_Revised B-6" xfId="7" xr:uid="{00000000-0005-0000-0000-000005000000}"/>
    <cellStyle name="Percent" xfId="6" builtinId="5"/>
    <cellStyle name="Percent 2" xfId="4" xr:uid="{00000000-0005-0000-0000-000007000000}"/>
  </cellStyles>
  <dxfs count="91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 xr9:uid="{00000000-0011-0000-FFFF-FFFF00000000}">
      <tableStyleElement type="wholeTable" dxfId="90"/>
      <tableStyleElement type="headerRow" dxfId="89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7DF8E0-20C0-47B4-9682-BA43A34F2909}">
  <sheetPr>
    <tabColor rgb="FF92D050"/>
    <pageSetUpPr fitToPage="1"/>
  </sheetPr>
  <dimension ref="A1:CP80"/>
  <sheetViews>
    <sheetView showGridLines="0" tabSelected="1" zoomScaleNormal="100" workbookViewId="0">
      <selection activeCell="C8" sqref="C8:N16"/>
    </sheetView>
  </sheetViews>
  <sheetFormatPr defaultColWidth="9.140625" defaultRowHeight="15.75" x14ac:dyDescent="0.25"/>
  <cols>
    <col min="1" max="1" width="7.85546875" style="124" customWidth="1"/>
    <col min="2" max="2" width="7.7109375" style="125" customWidth="1"/>
    <col min="3" max="3" width="9" style="125" customWidth="1"/>
    <col min="4" max="4" width="39.28515625" style="53" customWidth="1"/>
    <col min="5" max="5" width="13" style="126" customWidth="1"/>
    <col min="6" max="6" width="12.28515625" style="127" customWidth="1"/>
    <col min="7" max="7" width="12.140625" style="127" bestFit="1" customWidth="1"/>
    <col min="8" max="8" width="14.5703125" style="127" customWidth="1"/>
    <col min="9" max="9" width="19.5703125" style="128" bestFit="1" customWidth="1"/>
    <col min="10" max="10" width="13.7109375" style="129" customWidth="1"/>
    <col min="11" max="11" width="13.7109375" style="129" hidden="1" customWidth="1"/>
    <col min="12" max="12" width="18.42578125" style="129" customWidth="1"/>
    <col min="13" max="13" width="16.42578125" style="129" customWidth="1"/>
    <col min="14" max="14" width="16.140625" style="128" customWidth="1"/>
    <col min="15" max="25" width="16.140625" customWidth="1"/>
    <col min="26" max="26" width="16.140625" style="344" customWidth="1"/>
    <col min="27" max="27" width="22.140625" style="334" bestFit="1" customWidth="1"/>
    <col min="28" max="28" width="31.140625" style="334" bestFit="1" customWidth="1"/>
    <col min="29" max="29" width="7.85546875" style="334" bestFit="1" customWidth="1"/>
    <col min="30" max="30" width="9.140625" style="110" customWidth="1"/>
    <col min="31" max="94" width="9.140625" style="17"/>
    <col min="95" max="16384" width="9.140625" style="18"/>
  </cols>
  <sheetData>
    <row r="1" spans="1:94" x14ac:dyDescent="0.25">
      <c r="A1" s="12" t="s">
        <v>13</v>
      </c>
      <c r="B1" s="13"/>
      <c r="C1" s="13"/>
      <c r="D1" s="14" t="s">
        <v>2643</v>
      </c>
      <c r="E1" s="15"/>
      <c r="F1" s="15"/>
      <c r="G1" s="15"/>
      <c r="H1" s="15"/>
      <c r="I1" s="15"/>
      <c r="J1" s="15"/>
      <c r="K1" s="15"/>
      <c r="L1" s="16" t="s">
        <v>14</v>
      </c>
      <c r="M1" s="468">
        <v>240</v>
      </c>
      <c r="N1" s="469"/>
      <c r="AA1" s="364"/>
      <c r="AB1" s="333"/>
      <c r="AC1" s="333"/>
      <c r="AD1" s="325"/>
    </row>
    <row r="2" spans="1:94" ht="20.25" x14ac:dyDescent="0.25">
      <c r="A2" s="19" t="s">
        <v>116</v>
      </c>
      <c r="B2" s="20"/>
      <c r="C2" s="20"/>
      <c r="D2" s="14" t="s">
        <v>2643</v>
      </c>
      <c r="E2" s="21"/>
      <c r="F2" s="21"/>
      <c r="G2" s="21"/>
      <c r="H2" s="21"/>
      <c r="I2" s="21"/>
      <c r="J2" s="20"/>
      <c r="K2" s="20"/>
      <c r="L2" s="22" t="s">
        <v>113</v>
      </c>
      <c r="M2" s="470" t="s">
        <v>2647</v>
      </c>
      <c r="N2" s="471"/>
      <c r="AA2" s="333"/>
      <c r="AB2" s="333"/>
      <c r="AC2" s="333"/>
      <c r="AD2" s="325"/>
    </row>
    <row r="3" spans="1:94" x14ac:dyDescent="0.25">
      <c r="A3" s="19" t="s">
        <v>117</v>
      </c>
      <c r="B3" s="20"/>
      <c r="C3" s="20"/>
      <c r="D3" s="23" t="s">
        <v>2644</v>
      </c>
      <c r="E3" s="24"/>
      <c r="F3" s="25"/>
      <c r="G3" s="25"/>
      <c r="H3" s="25"/>
      <c r="I3" s="26"/>
      <c r="J3" s="20"/>
      <c r="K3" s="20"/>
      <c r="L3" s="22" t="s">
        <v>114</v>
      </c>
      <c r="M3" s="468" t="s">
        <v>167</v>
      </c>
      <c r="N3" s="469"/>
      <c r="AA3" s="364"/>
      <c r="AB3" s="333"/>
      <c r="AC3" s="333"/>
      <c r="AD3" s="325"/>
    </row>
    <row r="4" spans="1:94" x14ac:dyDescent="0.25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68">
        <v>2023</v>
      </c>
      <c r="N4" s="469"/>
      <c r="AA4" s="364"/>
      <c r="AB4" s="333"/>
      <c r="AC4" s="333"/>
      <c r="AD4" s="325"/>
    </row>
    <row r="5" spans="1:94" s="34" customFormat="1" ht="18" customHeight="1" x14ac:dyDescent="0.25">
      <c r="A5" s="19" t="s">
        <v>16</v>
      </c>
      <c r="B5" s="20"/>
      <c r="C5" s="20"/>
      <c r="D5" s="351">
        <v>44440</v>
      </c>
      <c r="E5" s="27"/>
      <c r="F5" s="30"/>
      <c r="G5" s="31"/>
      <c r="H5" s="31" t="s">
        <v>17</v>
      </c>
      <c r="I5" s="470" t="s">
        <v>2645</v>
      </c>
      <c r="J5" s="472"/>
      <c r="K5" s="472"/>
      <c r="L5" s="471"/>
      <c r="M5" s="352" t="s">
        <v>115</v>
      </c>
      <c r="N5" s="32" t="s">
        <v>2646</v>
      </c>
      <c r="O5"/>
      <c r="P5"/>
      <c r="Q5"/>
      <c r="R5"/>
      <c r="S5"/>
      <c r="T5"/>
      <c r="U5"/>
      <c r="V5"/>
      <c r="W5"/>
      <c r="X5"/>
      <c r="Y5"/>
      <c r="Z5" s="344"/>
      <c r="AA5" s="364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25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84</v>
      </c>
      <c r="K6" s="31"/>
      <c r="L6" s="353"/>
      <c r="M6" s="354" t="s">
        <v>85</v>
      </c>
      <c r="N6" s="306"/>
      <c r="AA6" s="364"/>
      <c r="AB6" s="333"/>
      <c r="AC6" s="333"/>
      <c r="AD6" s="325"/>
    </row>
    <row r="7" spans="1:94" x14ac:dyDescent="0.25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25">
      <c r="A8" s="48" t="s">
        <v>20</v>
      </c>
      <c r="B8" s="370" t="s">
        <v>21</v>
      </c>
      <c r="C8" s="473" t="s">
        <v>22</v>
      </c>
      <c r="D8" s="474"/>
      <c r="E8" s="370" t="s">
        <v>23</v>
      </c>
      <c r="F8" s="49" t="s">
        <v>24</v>
      </c>
      <c r="G8" s="50" t="str">
        <f>"FY "&amp;'EMAA|0001-00'!FiscalYear-1&amp;" SALARY"</f>
        <v>FY 2022 SALARY</v>
      </c>
      <c r="H8" s="50" t="str">
        <f>"FY "&amp;'EMAA|0001-00'!FiscalYear-1&amp;" HEALTH BENEFITS"</f>
        <v>FY 2022 HEALTH BENEFITS</v>
      </c>
      <c r="I8" s="50" t="str">
        <f>"FY "&amp;'EMAA|0001-00'!FiscalYear-1&amp;" VAR BENEFITS"</f>
        <v>FY 2022 VAR BENEFITS</v>
      </c>
      <c r="J8" s="50" t="str">
        <f>"FY "&amp;'EMAA|0001-00'!FiscalYear-1&amp;" TOTAL"</f>
        <v>FY 2022 TOTAL</v>
      </c>
      <c r="K8" s="50" t="str">
        <f>"FY "&amp;'EMAA|0001-00'!FiscalYear&amp;" SALARY CHANGE"</f>
        <v>FY 2023 SALARY CHANGE</v>
      </c>
      <c r="L8" s="50" t="str">
        <f>"FY "&amp;'EMAA|0001-00'!FiscalYear&amp;" CHG HEALTH BENEFITS"</f>
        <v>FY 2023 CHG HEALTH BENEFITS</v>
      </c>
      <c r="M8" s="50" t="str">
        <f>"FY "&amp;'EMAA|0001-00'!FiscalYear&amp;" CHG VAR BENEFITS"</f>
        <v>FY 2023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64" t="s">
        <v>105</v>
      </c>
      <c r="AB8" s="464"/>
      <c r="AC8" s="464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25">
      <c r="A9" s="139"/>
      <c r="B9" s="140"/>
      <c r="C9" s="465" t="s">
        <v>26</v>
      </c>
      <c r="D9" s="466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4" t="s">
        <v>94</v>
      </c>
      <c r="AB9" s="333" t="s">
        <v>95</v>
      </c>
      <c r="AC9" s="333" t="s">
        <v>106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25">
      <c r="A10" s="139"/>
      <c r="B10" s="139"/>
      <c r="C10" s="444" t="s">
        <v>27</v>
      </c>
      <c r="D10" s="467"/>
      <c r="E10" s="217">
        <v>1</v>
      </c>
      <c r="F10" s="288">
        <f>[0]!EMAA000100col_INC_FTI</f>
        <v>0</v>
      </c>
      <c r="G10" s="218">
        <f>[0]!EMAA000100col_FTI_SALARY_PERM</f>
        <v>0</v>
      </c>
      <c r="H10" s="218">
        <f>[0]!EMAA000100col_HEALTH_PERM</f>
        <v>0</v>
      </c>
      <c r="I10" s="218">
        <f>[0]!EMAA000100col_TOT_VB_PERM</f>
        <v>0</v>
      </c>
      <c r="J10" s="219">
        <f>SUM(G10:I10)</f>
        <v>0</v>
      </c>
      <c r="K10" s="219">
        <f>[0]!EMAA000100col_1_27TH_PP</f>
        <v>0</v>
      </c>
      <c r="L10" s="218">
        <f>[0]!EMAA000100col_HEALTH_PERM_CHG</f>
        <v>0</v>
      </c>
      <c r="M10" s="218">
        <f>[0]!EMAA000100col_TOT_VB_PERM_CHG</f>
        <v>0</v>
      </c>
      <c r="N10" s="218">
        <f>SUM(L10:M10)</f>
        <v>0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0</v>
      </c>
      <c r="AB10" s="335">
        <f>ROUND(PermVarBen*CECPerm+(CECPerm*PermVarBenChg),-2)</f>
        <v>0</v>
      </c>
      <c r="AC10" s="335">
        <f>SUM(AA10:AB10)</f>
        <v>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25">
      <c r="A11" s="139"/>
      <c r="B11" s="139"/>
      <c r="C11" s="444" t="s">
        <v>28</v>
      </c>
      <c r="D11" s="467"/>
      <c r="E11" s="217">
        <v>2</v>
      </c>
      <c r="F11" s="288"/>
      <c r="G11" s="218">
        <f>[0]!EMAA000100col_Group_Salary</f>
        <v>0</v>
      </c>
      <c r="H11" s="218">
        <v>0</v>
      </c>
      <c r="I11" s="218">
        <f>[0]!EMAA000100col_Group_Ben</f>
        <v>0</v>
      </c>
      <c r="J11" s="219">
        <f>SUM(G11:I11)</f>
        <v>0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0</v>
      </c>
      <c r="AB11" s="335">
        <f>ROUND((GroupSalary*GroupVBBY)*CECGroup,-2)</f>
        <v>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25">
      <c r="A12" s="139"/>
      <c r="B12" s="139"/>
      <c r="C12" s="444" t="s">
        <v>29</v>
      </c>
      <c r="D12" s="445"/>
      <c r="E12" s="217">
        <v>3</v>
      </c>
      <c r="F12" s="288">
        <f>[0]!EMAA000100col_TOTAL_ELECT_PCN_FTI</f>
        <v>0</v>
      </c>
      <c r="G12" s="218">
        <f>[0]!EMAA000100col_FTI_SALARY_ELECT</f>
        <v>0</v>
      </c>
      <c r="H12" s="218">
        <f>[0]!EMAA000100col_HEALTH_ELECT</f>
        <v>0</v>
      </c>
      <c r="I12" s="218">
        <f>[0]!EMAA000100col_TOT_VB_ELECT</f>
        <v>0</v>
      </c>
      <c r="J12" s="219">
        <f>SUM(G12:I12)</f>
        <v>0</v>
      </c>
      <c r="K12" s="268"/>
      <c r="L12" s="218">
        <f>[0]!EMAA000100col_HEALTH_ELECT_CHG</f>
        <v>0</v>
      </c>
      <c r="M12" s="218">
        <f>[0]!EMAA000100col_TOT_VB_ELECT_CHG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25">
      <c r="A13" s="139"/>
      <c r="B13" s="139"/>
      <c r="C13" s="444" t="s">
        <v>30</v>
      </c>
      <c r="D13" s="467"/>
      <c r="E13" s="217"/>
      <c r="F13" s="220">
        <f>SUM(F10:F12)</f>
        <v>0</v>
      </c>
      <c r="G13" s="221">
        <f>SUM(G10:G12)</f>
        <v>0</v>
      </c>
      <c r="H13" s="221">
        <f>SUM(H10:H12)</f>
        <v>0</v>
      </c>
      <c r="I13" s="221">
        <f>SUM(I10:I12)</f>
        <v>0</v>
      </c>
      <c r="J13" s="219">
        <f>SUM(G13:I13)</f>
        <v>0</v>
      </c>
      <c r="K13" s="268"/>
      <c r="L13" s="219">
        <f>SUM(L10:L12)</f>
        <v>0</v>
      </c>
      <c r="M13" s="219">
        <f>SUM(M10:M12)</f>
        <v>0</v>
      </c>
      <c r="N13" s="219">
        <f>SUM(N10:N12)</f>
        <v>0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5" customHeight="1" x14ac:dyDescent="0.25">
      <c r="A14" s="139"/>
      <c r="B14" s="139"/>
      <c r="C14" s="365"/>
      <c r="D14" s="371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25">
      <c r="A15" s="139"/>
      <c r="B15" s="156"/>
      <c r="C15" s="157" t="str">
        <f>"FY "&amp;'EMAA|0001-00'!FiscalYear-1</f>
        <v>FY 2022</v>
      </c>
      <c r="D15" s="158" t="s">
        <v>31</v>
      </c>
      <c r="E15" s="355">
        <v>85000</v>
      </c>
      <c r="F15" s="55">
        <v>0</v>
      </c>
      <c r="G15" s="223" t="e">
        <f>IF(OrigApprop=0,0,(G13/$J$13)*OrigApprop)</f>
        <v>#DIV/0!</v>
      </c>
      <c r="H15" s="223" t="e">
        <f>IF(OrigApprop=0,0,(H13/$J$13)*OrigApprop)</f>
        <v>#DIV/0!</v>
      </c>
      <c r="I15" s="223" t="e">
        <f>IF(G15=0,0,(I13/$J$13)*OrigApprop)</f>
        <v>#DIV/0!</v>
      </c>
      <c r="J15" s="223" t="e">
        <f>SUM(G15:I15)</f>
        <v>#DIV/0!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25">
      <c r="A16" s="139"/>
      <c r="B16" s="139"/>
      <c r="C16" s="454" t="s">
        <v>32</v>
      </c>
      <c r="D16" s="455"/>
      <c r="E16" s="160" t="s">
        <v>33</v>
      </c>
      <c r="F16" s="161">
        <f>F15-F13</f>
        <v>0</v>
      </c>
      <c r="G16" s="162" t="e">
        <f>G15-G13</f>
        <v>#DIV/0!</v>
      </c>
      <c r="H16" s="162" t="e">
        <f>H15-H13</f>
        <v>#DIV/0!</v>
      </c>
      <c r="I16" s="162" t="e">
        <f>I15-I13</f>
        <v>#DIV/0!</v>
      </c>
      <c r="J16" s="162" t="e">
        <f>J15-J13</f>
        <v>#DIV/0!</v>
      </c>
      <c r="K16" s="269"/>
      <c r="L16" s="56" t="e">
        <f>IF('EMAA|0001-00'!OrigApprop=0,"ERROR! Enter Original Appropriation amount in DU 3.00!","Calculated "&amp;IF('EMAA|0001-00'!AdjustedTotal&gt;0,"overfunding ","underfunding ")&amp;"is "&amp;TEXT('EMAA|0001-00'!AdjustedTotal/'EMAA|0001-00'!AppropTotal,"#.0%;(#.0% );0% ;")&amp;" of Original Appropriation")</f>
        <v>#DIV/0!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25">
      <c r="A17" s="139"/>
      <c r="B17" s="139"/>
      <c r="C17" s="456" t="s">
        <v>34</v>
      </c>
      <c r="D17" s="457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25">
      <c r="A18" s="139"/>
      <c r="B18" s="168"/>
      <c r="C18" s="458" t="s">
        <v>35</v>
      </c>
      <c r="D18" s="459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5.5" x14ac:dyDescent="0.25">
      <c r="A19" s="238"/>
      <c r="B19" s="202"/>
      <c r="C19" s="239" t="s">
        <v>86</v>
      </c>
      <c r="D19" s="240" t="s">
        <v>87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4"/>
      <c r="AB19" s="364"/>
      <c r="AC19" s="364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5" x14ac:dyDescent="0.25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4"/>
      <c r="AB20" s="364"/>
      <c r="AC20" s="364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5" x14ac:dyDescent="0.25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4"/>
      <c r="AB21" s="364"/>
      <c r="AC21" s="364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5" x14ac:dyDescent="0.25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4"/>
      <c r="AB22" s="364"/>
      <c r="AC22" s="364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5" x14ac:dyDescent="0.25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4"/>
      <c r="AB23" s="364"/>
      <c r="AC23" s="364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5" x14ac:dyDescent="0.25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4"/>
      <c r="AC24" s="364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5" x14ac:dyDescent="0.25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4"/>
      <c r="AC25" s="364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5" x14ac:dyDescent="0.25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4"/>
      <c r="AC26" s="364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5" x14ac:dyDescent="0.25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4"/>
      <c r="AB27" s="364"/>
      <c r="AC27" s="364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5" x14ac:dyDescent="0.25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4"/>
      <c r="AB28" s="364"/>
      <c r="AC28" s="364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5" x14ac:dyDescent="0.25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4"/>
      <c r="AB29" s="364"/>
      <c r="AC29" s="364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5" x14ac:dyDescent="0.25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4"/>
      <c r="AB30" s="364"/>
      <c r="AC30" s="364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5" x14ac:dyDescent="0.25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4"/>
      <c r="AB31" s="364"/>
      <c r="AC31" s="364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5" x14ac:dyDescent="0.25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4"/>
      <c r="AB32" s="364"/>
      <c r="AC32" s="364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5" x14ac:dyDescent="0.25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4"/>
      <c r="AB33" s="364"/>
      <c r="AC33" s="364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5" x14ac:dyDescent="0.25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4"/>
      <c r="AB34" s="364"/>
      <c r="AC34" s="364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5" x14ac:dyDescent="0.25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4"/>
      <c r="AB35" s="364"/>
      <c r="AC35" s="364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5" x14ac:dyDescent="0.25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4" t="s">
        <v>94</v>
      </c>
      <c r="AB36" s="333" t="s">
        <v>95</v>
      </c>
      <c r="AC36" s="333" t="s">
        <v>106</v>
      </c>
      <c r="AD36" s="330"/>
    </row>
    <row r="37" spans="1:94" s="153" customFormat="1" ht="17.25" customHeight="1" x14ac:dyDescent="0.25">
      <c r="A37" s="139"/>
      <c r="B37" s="188"/>
      <c r="C37" s="460" t="s">
        <v>37</v>
      </c>
      <c r="D37" s="461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62" t="s">
        <v>107</v>
      </c>
      <c r="AB37" s="463"/>
      <c r="AC37" s="463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5" x14ac:dyDescent="0.25">
      <c r="A38" s="139"/>
      <c r="B38" s="188"/>
      <c r="C38" s="444" t="str">
        <f>perm_name</f>
        <v>Permanent Positions</v>
      </c>
      <c r="D38" s="445"/>
      <c r="E38" s="189">
        <v>1</v>
      </c>
      <c r="F38" s="190">
        <f>SUMIF($E9:$E35,$E38,$F9:$F35)</f>
        <v>0</v>
      </c>
      <c r="G38" s="191">
        <f>SUMIF($E10:$E35,$E38,$G10:$G35)</f>
        <v>0</v>
      </c>
      <c r="H38" s="192">
        <f>SUMIF($E10:$E35,$E38,$H10:$H35)</f>
        <v>0</v>
      </c>
      <c r="I38" s="192">
        <f>SUMIF($E10:$E35,$E38,$I10:$I35)</f>
        <v>0</v>
      </c>
      <c r="J38" s="192">
        <f>SUM(G38:I38)</f>
        <v>0</v>
      </c>
      <c r="K38" s="166"/>
      <c r="L38" s="191">
        <f>SUMIF($E10:$E35,$E38,$L10:$L35)</f>
        <v>0</v>
      </c>
      <c r="M38" s="192">
        <f>SUMIF($E10:$E35,$E38,$M10:$M35)</f>
        <v>0</v>
      </c>
      <c r="N38" s="192">
        <f>SUM(L38:M38)</f>
        <v>0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0</v>
      </c>
      <c r="AB38" s="338">
        <f>ROUND((AdjPermVB*CECPerm+AdjPermVBBY*CECPerm),-2)</f>
        <v>0</v>
      </c>
      <c r="AC38" s="338">
        <f>SUM(AA38:AB38)</f>
        <v>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5" x14ac:dyDescent="0.25">
      <c r="A39" s="139"/>
      <c r="B39" s="188"/>
      <c r="C39" s="444" t="str">
        <f>Group_name</f>
        <v>Board &amp; Group Positions</v>
      </c>
      <c r="D39" s="445"/>
      <c r="E39" s="189">
        <v>2</v>
      </c>
      <c r="F39" s="151">
        <f>SUMIF($E9:$E35,$E39,$F9:$F35)</f>
        <v>0</v>
      </c>
      <c r="G39" s="193">
        <f>SUMIF($E10:$E35,$E39,$G10:$G35)</f>
        <v>0</v>
      </c>
      <c r="H39" s="152">
        <f>SUMIF($E10:$E35,$E39,$H10:$H35)</f>
        <v>0</v>
      </c>
      <c r="I39" s="152">
        <f>SUMIF($E10:$E35,$E39,$I10:$I35)</f>
        <v>0</v>
      </c>
      <c r="J39" s="152">
        <f>SUM(G39:I39)</f>
        <v>0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0</v>
      </c>
      <c r="AB39" s="338">
        <f>ROUND(AdjGroupVB*CECGroup,-2)</f>
        <v>0</v>
      </c>
      <c r="AC39" s="338">
        <f>SUM(AA39:AB39)</f>
        <v>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5" x14ac:dyDescent="0.25">
      <c r="A40" s="139"/>
      <c r="B40" s="188"/>
      <c r="C40" s="365" t="str">
        <f>Elect_name</f>
        <v>Elected Officials &amp; Full Time Commissioners</v>
      </c>
      <c r="D40" s="366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4"/>
      <c r="AB40" s="364"/>
      <c r="AC40" s="364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5" x14ac:dyDescent="0.25">
      <c r="A41" s="139"/>
      <c r="B41" s="188"/>
      <c r="C41" s="444" t="s">
        <v>38</v>
      </c>
      <c r="D41" s="445"/>
      <c r="E41" s="189"/>
      <c r="F41" s="161">
        <f>SUM(F38:F40)</f>
        <v>0</v>
      </c>
      <c r="G41" s="195">
        <f>SUM($G$38:$G$40)</f>
        <v>0</v>
      </c>
      <c r="H41" s="162">
        <f>SUM($H$38:$H$40)</f>
        <v>0</v>
      </c>
      <c r="I41" s="162">
        <f>SUM($I$38:$I$40)</f>
        <v>0</v>
      </c>
      <c r="J41" s="162">
        <f>SUM($J$38:$J$40)</f>
        <v>0</v>
      </c>
      <c r="K41" s="259"/>
      <c r="L41" s="195">
        <f>SUM($L$38:$L$40)</f>
        <v>0</v>
      </c>
      <c r="M41" s="162">
        <f>SUM($M$38:$M$40)</f>
        <v>0</v>
      </c>
      <c r="N41" s="162">
        <f>SUM(L41:M41)</f>
        <v>0</v>
      </c>
      <c r="O41"/>
      <c r="P41"/>
      <c r="Q41"/>
      <c r="R41"/>
      <c r="S41"/>
      <c r="T41"/>
      <c r="U41"/>
      <c r="V41"/>
      <c r="W41"/>
      <c r="X41"/>
      <c r="Y41"/>
      <c r="Z41" s="344"/>
      <c r="AA41" s="364" t="s">
        <v>94</v>
      </c>
      <c r="AB41" s="333" t="s">
        <v>95</v>
      </c>
      <c r="AC41" s="333" t="s">
        <v>106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25">
      <c r="A42" s="139"/>
      <c r="B42" s="188"/>
      <c r="C42" s="446"/>
      <c r="D42" s="447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4"/>
      <c r="AB42" s="364"/>
      <c r="AC42" s="364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25">
      <c r="A43" s="139"/>
      <c r="B43" s="202"/>
      <c r="C43" s="448" t="s">
        <v>39</v>
      </c>
      <c r="D43" s="449"/>
      <c r="E43" s="203" t="s">
        <v>40</v>
      </c>
      <c r="F43" s="205">
        <f>ROUND(F51-F41,2)</f>
        <v>0</v>
      </c>
      <c r="G43" s="206" t="e">
        <f>ROUND(G51-G41,-2)</f>
        <v>#DIV/0!</v>
      </c>
      <c r="H43" s="159" t="e">
        <f>ROUND(H51-H41,-2)</f>
        <v>#DIV/0!</v>
      </c>
      <c r="I43" s="159" t="e">
        <f>ROUND(I51-I41,-2)</f>
        <v>#DIV/0!</v>
      </c>
      <c r="J43" s="159" t="e">
        <f>SUM(G43:I43)</f>
        <v>#DIV/0!</v>
      </c>
      <c r="K43" s="425" t="e">
        <f>IF(E51=0,"ERROR! Enter Original Appropriation amount in DU 3.00!","Calculated "&amp;IF(J43&gt;0,"overfunding ","underfunding ")&amp;"is "&amp;TEXT(J43/J51,"#.0%;(#.0% );0% ;")&amp;" of Original Appropriation")</f>
        <v>#DIV/0!</v>
      </c>
      <c r="L43" s="426"/>
      <c r="M43" s="426"/>
      <c r="N43" s="427"/>
      <c r="O43"/>
      <c r="P43"/>
      <c r="Q43"/>
      <c r="R43"/>
      <c r="S43"/>
      <c r="T43"/>
      <c r="U43"/>
      <c r="V43"/>
      <c r="W43"/>
      <c r="X43"/>
      <c r="Y43"/>
      <c r="Z43" s="344"/>
      <c r="AA43" s="452" t="s">
        <v>108</v>
      </c>
      <c r="AB43" s="453"/>
      <c r="AC43" s="453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25">
      <c r="A44" s="139"/>
      <c r="B44" s="202"/>
      <c r="C44" s="450"/>
      <c r="D44" s="451"/>
      <c r="E44" s="204" t="s">
        <v>41</v>
      </c>
      <c r="F44" s="205">
        <f>ROUND(F60-F41,2)</f>
        <v>0</v>
      </c>
      <c r="G44" s="206" t="e">
        <f>ROUND(G60-G41,-2)</f>
        <v>#DIV/0!</v>
      </c>
      <c r="H44" s="159" t="e">
        <f>ROUND(H60-H41,-2)</f>
        <v>#DIV/0!</v>
      </c>
      <c r="I44" s="159" t="e">
        <f>ROUND(I60-I41,-2)</f>
        <v>#DIV/0!</v>
      </c>
      <c r="J44" s="159" t="e">
        <f>SUM(G44:I44)</f>
        <v>#DIV/0!</v>
      </c>
      <c r="K44" s="425" t="e">
        <f>IF(E51=0,"ERROR! Enter Original Appropriation amount in DU 3.00!","Calculated "&amp;IF(J44&gt;0,"overfunding ","underfunding ")&amp;"is "&amp;TEXT(J44/J60,"#.0%;(#.0% );0% ;")&amp;" of Estimated Expenditures")</f>
        <v>#DIV/0!</v>
      </c>
      <c r="L44" s="426"/>
      <c r="M44" s="426"/>
      <c r="N44" s="427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25">
      <c r="A45" s="139"/>
      <c r="B45" s="202"/>
      <c r="C45" s="215"/>
      <c r="D45" s="215"/>
      <c r="E45" s="204" t="s">
        <v>99</v>
      </c>
      <c r="F45" s="205">
        <f>ROUND(F67-F41-F63,2)</f>
        <v>0</v>
      </c>
      <c r="G45" s="206" t="e">
        <f>ROUND(G67-G41-G63,-2)</f>
        <v>#DIV/0!</v>
      </c>
      <c r="H45" s="206" t="e">
        <f>ROUND(H67-H41-H63,-2)</f>
        <v>#DIV/0!</v>
      </c>
      <c r="I45" s="206" t="e">
        <f>ROUND(I67-I41-I63,-2)</f>
        <v>#DIV/0!</v>
      </c>
      <c r="J45" s="159" t="e">
        <f>SUM(G45:I45)</f>
        <v>#DIV/0!</v>
      </c>
      <c r="K45" s="425" t="e">
        <f>IF(J67=0,"Program has a zero base",IF(E51=0,"ERROR! Enter Original Appropriation amount in DU 3.00!","Calculated "&amp;IF(J45&gt;0,"overfunding ","underfunding ")&amp;"is "&amp;TEXT(J45/J67,"#.0%;(#.0% );0% ;")&amp;" of the Base"))</f>
        <v>#DIV/0!</v>
      </c>
      <c r="L45" s="426"/>
      <c r="M45" s="426"/>
      <c r="N45" s="427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0</v>
      </c>
      <c r="AC45" s="338">
        <f>SUM(AA45:AB45)</f>
        <v>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25">
      <c r="A46" s="139"/>
      <c r="B46" s="202"/>
      <c r="C46" s="215"/>
      <c r="D46" s="215"/>
      <c r="E46" s="428" t="s">
        <v>100</v>
      </c>
      <c r="F46" s="429"/>
      <c r="G46" s="429"/>
      <c r="H46" s="429"/>
      <c r="I46" s="429"/>
      <c r="J46" s="430"/>
      <c r="K46" s="434" t="e">
        <f>IF(OR(J45&lt;0,F45&lt;0),"You may not have sufficient funding or authorized FTP, and may need to make additional adjustments to finalize this form.  Please contact both your DFM and LSO analysts.","")</f>
        <v>#DIV/0!</v>
      </c>
      <c r="L46" s="435"/>
      <c r="M46" s="435"/>
      <c r="N46" s="436"/>
      <c r="O46"/>
      <c r="P46"/>
      <c r="Q46"/>
      <c r="R46"/>
      <c r="S46"/>
      <c r="T46"/>
      <c r="U46"/>
      <c r="V46"/>
      <c r="W46"/>
      <c r="X46"/>
      <c r="Y46"/>
      <c r="Z46" s="344"/>
      <c r="AA46" s="364"/>
      <c r="AB46" s="364"/>
      <c r="AC46" s="364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25">
      <c r="A47" s="139"/>
      <c r="B47" s="202"/>
      <c r="C47" s="215"/>
      <c r="D47" s="215"/>
      <c r="E47" s="431"/>
      <c r="F47" s="432"/>
      <c r="G47" s="432"/>
      <c r="H47" s="432"/>
      <c r="I47" s="432"/>
      <c r="J47" s="433"/>
      <c r="K47" s="437"/>
      <c r="L47" s="438"/>
      <c r="M47" s="438"/>
      <c r="N47" s="439"/>
      <c r="O47"/>
      <c r="P47"/>
      <c r="Q47"/>
      <c r="R47"/>
      <c r="S47"/>
      <c r="T47"/>
      <c r="U47"/>
      <c r="V47"/>
      <c r="W47"/>
      <c r="X47"/>
      <c r="Y47"/>
      <c r="Z47" s="344"/>
      <c r="AA47" s="364"/>
      <c r="AB47" s="364"/>
      <c r="AC47" s="364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25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25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4"/>
      <c r="AB49" s="364"/>
      <c r="AC49" s="364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25">
      <c r="A50" s="257" t="s">
        <v>42</v>
      </c>
      <c r="B50" s="71"/>
      <c r="C50" s="440"/>
      <c r="D50" s="441"/>
      <c r="E50" s="72" t="s">
        <v>43</v>
      </c>
      <c r="F50" s="73" t="s">
        <v>24</v>
      </c>
      <c r="G50" s="72" t="str">
        <f>"FY "&amp;M4-2001&amp;" Salary"</f>
        <v>FY 22 Salary</v>
      </c>
      <c r="H50" s="72" t="str">
        <f>"FY "&amp;M4-2001&amp;" Health Ben"</f>
        <v>FY 22 Health Ben</v>
      </c>
      <c r="I50" s="72" t="str">
        <f>"FY "&amp;M4-2001&amp;" Var Ben"</f>
        <v>FY 22 Var Ben</v>
      </c>
      <c r="J50" s="72" t="str">
        <f>"FY "&amp;M4-1&amp;" Total"</f>
        <v>FY 2022 Total</v>
      </c>
      <c r="K50" s="307" t="str">
        <f>"FY "&amp;FiscalYear&amp;" SALARY CHG"</f>
        <v>FY 2023 SALARY CHG</v>
      </c>
      <c r="L50" s="74" t="str">
        <f>"FY "&amp;M4-2000&amp;" Chg Health Bens"</f>
        <v>FY 23 Chg Health Bens</v>
      </c>
      <c r="M50" s="74" t="str">
        <f>"FY "&amp;M4-2000&amp;" Chg Var Bens"</f>
        <v>FY 23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4"/>
      <c r="AB50" s="364"/>
      <c r="AC50" s="364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25">
      <c r="A51" s="75">
        <v>3</v>
      </c>
      <c r="B51" s="76" t="s">
        <v>45</v>
      </c>
      <c r="C51" s="54" t="str">
        <f>"FY "&amp;M4-1</f>
        <v>FY 2022</v>
      </c>
      <c r="D51" s="77" t="s">
        <v>31</v>
      </c>
      <c r="E51" s="78">
        <f>OrigApprop</f>
        <v>85000</v>
      </c>
      <c r="F51" s="272">
        <f>AppropFTP</f>
        <v>0</v>
      </c>
      <c r="G51" s="274" t="e">
        <f>IF(E51=0,0,(G41/$J$41)*$E$51)</f>
        <v>#DIV/0!</v>
      </c>
      <c r="H51" s="274" t="e">
        <f>IF(E51=0,0,(H41/$J$41)*$E$51)</f>
        <v>#DIV/0!</v>
      </c>
      <c r="I51" s="275" t="e">
        <f>IF(E51=0,0,(I41/$J$41)*$E$51)</f>
        <v>#DIV/0!</v>
      </c>
      <c r="J51" s="90" t="e">
        <f>SUM(G51:I51)</f>
        <v>#DIV/0!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4"/>
      <c r="AC51" s="364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25">
      <c r="A52" s="82"/>
      <c r="B52" s="83"/>
      <c r="C52" s="84"/>
      <c r="D52" s="132" t="s">
        <v>46</v>
      </c>
      <c r="E52" s="133"/>
      <c r="F52" s="55">
        <f>F51</f>
        <v>0</v>
      </c>
      <c r="G52" s="79" t="e">
        <f>ROUND(G51,-2)</f>
        <v>#DIV/0!</v>
      </c>
      <c r="H52" s="79" t="e">
        <f>ROUND(H51,-2)</f>
        <v>#DIV/0!</v>
      </c>
      <c r="I52" s="266" t="e">
        <f>ROUND(I51,-2)</f>
        <v>#DIV/0!</v>
      </c>
      <c r="J52" s="80" t="e">
        <f>ROUND(J51,-2)</f>
        <v>#DIV/0!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4"/>
      <c r="AC52" s="364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5" x14ac:dyDescent="0.25">
      <c r="A53" s="85"/>
      <c r="B53" s="83"/>
      <c r="C53" s="442" t="s">
        <v>47</v>
      </c>
      <c r="D53" s="443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4"/>
      <c r="AB53" s="364"/>
      <c r="AC53" s="364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25">
      <c r="A54" s="85">
        <v>4.1100000000000003</v>
      </c>
      <c r="B54" s="83"/>
      <c r="C54" s="409" t="s">
        <v>48</v>
      </c>
      <c r="D54" s="410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4"/>
      <c r="AB54" s="364"/>
      <c r="AC54" s="364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25">
      <c r="A55" s="85">
        <v>4.3099999999999996</v>
      </c>
      <c r="B55" s="83"/>
      <c r="C55" s="422" t="s">
        <v>49</v>
      </c>
      <c r="D55" s="423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4"/>
      <c r="AB55" s="364"/>
      <c r="AC55" s="364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25">
      <c r="A56" s="75">
        <v>5</v>
      </c>
      <c r="B56" s="76"/>
      <c r="C56" s="54" t="str">
        <f>"FY "&amp;M4-1</f>
        <v>FY 2022</v>
      </c>
      <c r="D56" s="131" t="s">
        <v>50</v>
      </c>
      <c r="E56" s="135"/>
      <c r="F56" s="55">
        <f>SUM(F52:F55)</f>
        <v>0</v>
      </c>
      <c r="G56" s="80" t="e">
        <f>SUM(G52:G55)</f>
        <v>#DIV/0!</v>
      </c>
      <c r="H56" s="80" t="e">
        <f>SUM(H52:H55)</f>
        <v>#DIV/0!</v>
      </c>
      <c r="I56" s="260" t="e">
        <f>SUM(I52:I55)</f>
        <v>#DIV/0!</v>
      </c>
      <c r="J56" s="80" t="e">
        <f>SUM(J52:J55)</f>
        <v>#DIV/0!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4"/>
      <c r="AB56" s="364"/>
      <c r="AC56" s="364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25">
      <c r="A57" s="85"/>
      <c r="B57" s="83"/>
      <c r="C57" s="420" t="s">
        <v>51</v>
      </c>
      <c r="D57" s="424"/>
      <c r="E57" s="368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4"/>
      <c r="AB57" s="364"/>
      <c r="AC57" s="364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25">
      <c r="A58" s="85">
        <v>6.31</v>
      </c>
      <c r="B58" s="83"/>
      <c r="C58" s="409" t="s">
        <v>52</v>
      </c>
      <c r="D58" s="410"/>
      <c r="E58" s="102"/>
      <c r="F58" s="58">
        <v>0</v>
      </c>
      <c r="G58" s="88">
        <v>0</v>
      </c>
      <c r="H58" s="88">
        <v>0</v>
      </c>
      <c r="I58" s="265">
        <v>0</v>
      </c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4"/>
      <c r="AB58" s="364"/>
      <c r="AC58" s="364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25">
      <c r="A59" s="85">
        <v>6.51</v>
      </c>
      <c r="B59" s="83"/>
      <c r="C59" s="422" t="s">
        <v>66</v>
      </c>
      <c r="D59" s="423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4"/>
      <c r="AB59" s="364"/>
      <c r="AC59" s="364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25">
      <c r="A60" s="75">
        <v>7</v>
      </c>
      <c r="B60" s="76"/>
      <c r="C60" s="54" t="str">
        <f>"FY "&amp;M4-1</f>
        <v>FY 2022</v>
      </c>
      <c r="D60" s="131" t="s">
        <v>53</v>
      </c>
      <c r="E60" s="135"/>
      <c r="F60" s="55">
        <f>SUM(F56:F59)</f>
        <v>0</v>
      </c>
      <c r="G60" s="80" t="e">
        <f>SUM(G56:G59)</f>
        <v>#DIV/0!</v>
      </c>
      <c r="H60" s="80" t="e">
        <f>SUM(H56:H59)</f>
        <v>#DIV/0!</v>
      </c>
      <c r="I60" s="260" t="e">
        <f>SUM(I56:I59)</f>
        <v>#DIV/0!</v>
      </c>
      <c r="J60" s="80" t="e">
        <f>SUM(J56:J59)</f>
        <v>#DIV/0!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4"/>
      <c r="AB60" s="364"/>
      <c r="AC60" s="364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25">
      <c r="A61" s="85"/>
      <c r="B61" s="83"/>
      <c r="C61" s="420" t="s">
        <v>54</v>
      </c>
      <c r="D61" s="424"/>
      <c r="E61" s="368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4"/>
      <c r="AB61" s="364"/>
      <c r="AC61" s="364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25">
      <c r="A62" s="85">
        <v>8.31</v>
      </c>
      <c r="B62" s="83"/>
      <c r="C62" s="409" t="s">
        <v>67</v>
      </c>
      <c r="D62" s="410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4"/>
      <c r="AB62" s="364"/>
      <c r="AC62" s="364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25">
      <c r="A63" s="85">
        <v>8.41</v>
      </c>
      <c r="B63" s="83"/>
      <c r="C63" s="409" t="s">
        <v>55</v>
      </c>
      <c r="D63" s="410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4"/>
      <c r="AB63" s="364"/>
      <c r="AC63" s="364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">
      <c r="A64" s="93">
        <v>8.51</v>
      </c>
      <c r="B64" s="93"/>
      <c r="C64" s="414" t="s">
        <v>56</v>
      </c>
      <c r="D64" s="415"/>
      <c r="E64" s="134"/>
      <c r="F64" s="58">
        <v>0</v>
      </c>
      <c r="G64" s="88"/>
      <c r="H64" s="88">
        <v>0</v>
      </c>
      <c r="I64" s="265"/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4"/>
      <c r="AB64" s="364"/>
      <c r="AC64" s="364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25">
      <c r="A65" s="94"/>
      <c r="B65" s="95"/>
      <c r="C65" s="416"/>
      <c r="D65" s="417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4"/>
      <c r="AB65" s="364"/>
      <c r="AC65" s="364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5" x14ac:dyDescent="0.25">
      <c r="A66" s="100"/>
      <c r="B66" s="101"/>
      <c r="C66" s="418"/>
      <c r="D66" s="419"/>
      <c r="E66" s="102"/>
      <c r="F66" s="103" t="s">
        <v>24</v>
      </c>
      <c r="G66" s="104" t="str">
        <f>"FY "&amp;M4-2000&amp;" Salary"</f>
        <v>FY 23 Salary</v>
      </c>
      <c r="H66" s="104" t="str">
        <f>"FY"&amp;M4-2000&amp;" Health Ben"</f>
        <v>FY23 Health Ben</v>
      </c>
      <c r="I66" s="104" t="str">
        <f>"FY "&amp;M4-2000&amp;" Var Ben"</f>
        <v>FY 23 Var Ben</v>
      </c>
      <c r="J66" s="104" t="str">
        <f>"FY "&amp;M4&amp;" Total"</f>
        <v>FY 2023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5" x14ac:dyDescent="0.25">
      <c r="A67" s="82">
        <v>9</v>
      </c>
      <c r="B67" s="83"/>
      <c r="C67" s="84" t="str">
        <f>"FY "&amp;M4</f>
        <v>FY 2023</v>
      </c>
      <c r="D67" s="108" t="s">
        <v>57</v>
      </c>
      <c r="E67" s="109"/>
      <c r="F67" s="55">
        <f>SUM(F60:F64)</f>
        <v>0</v>
      </c>
      <c r="G67" s="80" t="e">
        <f>SUM(G60:G64)</f>
        <v>#DIV/0!</v>
      </c>
      <c r="H67" s="80" t="e">
        <f>SUM(H60:H64)</f>
        <v>#DIV/0!</v>
      </c>
      <c r="I67" s="80" t="e">
        <f>SUM(I60:I64)</f>
        <v>#DIV/0!</v>
      </c>
      <c r="J67" s="80" t="e">
        <f>SUM(J60:J64)</f>
        <v>#DIV/0!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4"/>
      <c r="AB67" s="364"/>
      <c r="AC67" s="364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25">
      <c r="A68" s="85">
        <v>10.11</v>
      </c>
      <c r="B68" s="83"/>
      <c r="C68" s="420" t="s">
        <v>58</v>
      </c>
      <c r="D68" s="421"/>
      <c r="E68" s="112"/>
      <c r="F68" s="288"/>
      <c r="G68" s="287"/>
      <c r="H68" s="113" t="e">
        <f>IF(DUNine=0,0,ROUND(SUM(L41:L65),-2))</f>
        <v>#DIV/0!</v>
      </c>
      <c r="I68" s="113"/>
      <c r="J68" s="287" t="e">
        <f>SUM(G68:I68)</f>
        <v>#DIV/0!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4"/>
      <c r="AB68" s="364"/>
      <c r="AC68" s="364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5" x14ac:dyDescent="0.25">
      <c r="A69" s="85">
        <v>10.119999999999999</v>
      </c>
      <c r="B69" s="83"/>
      <c r="C69" s="420" t="s">
        <v>59</v>
      </c>
      <c r="D69" s="421"/>
      <c r="E69" s="112"/>
      <c r="F69" s="288"/>
      <c r="G69" s="113"/>
      <c r="H69" s="113"/>
      <c r="I69" s="113" t="e">
        <f>IF(DUNine=0,0,ROUND(SUM(M41:M64),-2))</f>
        <v>#DIV/0!</v>
      </c>
      <c r="J69" s="287" t="e">
        <f>SUM(G69:I69)</f>
        <v>#DIV/0!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4"/>
      <c r="AB69" s="364"/>
      <c r="AC69" s="364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5" x14ac:dyDescent="0.25">
      <c r="A70" s="85"/>
      <c r="B70" s="83"/>
      <c r="C70" s="407"/>
      <c r="D70" s="408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4"/>
      <c r="AB70" s="364"/>
      <c r="AC70" s="364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25">
      <c r="A71" s="85">
        <v>10.51</v>
      </c>
      <c r="B71" s="83"/>
      <c r="C71" s="409" t="s">
        <v>60</v>
      </c>
      <c r="D71" s="410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112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64"/>
      <c r="AB71" s="364"/>
      <c r="AC71" s="364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25">
      <c r="A72" s="85">
        <v>10.61</v>
      </c>
      <c r="B72" s="83"/>
      <c r="C72" s="409" t="s">
        <v>101</v>
      </c>
      <c r="D72" s="411"/>
      <c r="E72" s="290">
        <f>CECPerm</f>
        <v>0.01</v>
      </c>
      <c r="F72" s="288"/>
      <c r="G72" s="356" t="e">
        <f>IF(DUNine=0,0,IF(DUNine&lt;0,0,ROUND(AdjPermSalary*CECPerm,-2)))</f>
        <v>#DIV/0!</v>
      </c>
      <c r="H72" s="287"/>
      <c r="I72" s="287" t="e">
        <f>ROUND(($G72*PermVBBY+$G72*Retire1BY),-2)</f>
        <v>#DIV/0!</v>
      </c>
      <c r="J72" s="113" t="e">
        <f>SUM(G72:I72)</f>
        <v>#DIV/0!</v>
      </c>
      <c r="K72" s="296"/>
      <c r="L72" s="298"/>
      <c r="M72" s="350" t="e">
        <f>IF(DUNine=0,0,IF(((#REF!-G39-G40)*E72)&lt;0,0,ROUND(((#REF!-G39-G40)*E72),-2)))</f>
        <v>#DIV/0!</v>
      </c>
      <c r="N72" s="359"/>
      <c r="O72" s="358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#DIV/0!</v>
      </c>
      <c r="P72" s="358"/>
      <c r="Q72"/>
      <c r="R72"/>
      <c r="S72"/>
      <c r="T72"/>
      <c r="U72"/>
      <c r="V72"/>
      <c r="W72"/>
      <c r="X72"/>
      <c r="Y72"/>
      <c r="Z72" s="344"/>
      <c r="AA72" s="364"/>
      <c r="AB72" s="364"/>
      <c r="AC72" s="364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25">
      <c r="A73" s="85">
        <v>10.62</v>
      </c>
      <c r="B73" s="83"/>
      <c r="C73" s="409" t="s">
        <v>61</v>
      </c>
      <c r="D73" s="411"/>
      <c r="E73" s="289">
        <f>CECGroup</f>
        <v>0.01</v>
      </c>
      <c r="F73" s="288"/>
      <c r="G73" s="356" t="e">
        <f>IF(DUNine=0,0,IF(DUNine&lt;0,0,ROUND(AdjGroupSalary*CECGroup,-2)))</f>
        <v>#DIV/0!</v>
      </c>
      <c r="H73" s="287"/>
      <c r="I73" s="287" t="e">
        <f>ROUND(($G73*GroupVBBY),-2)</f>
        <v>#DIV/0!</v>
      </c>
      <c r="J73" s="113" t="e">
        <f t="shared" si="11"/>
        <v>#DIV/0!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64"/>
      <c r="AB73" s="364"/>
      <c r="AC73" s="364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25">
      <c r="A74" s="85">
        <v>10.63</v>
      </c>
      <c r="B74" s="83"/>
      <c r="C74" s="367" t="s">
        <v>62</v>
      </c>
      <c r="D74" s="369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4"/>
      <c r="AB74" s="364"/>
      <c r="AC74" s="364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25">
      <c r="A75" s="75">
        <v>11</v>
      </c>
      <c r="B75" s="76"/>
      <c r="C75" s="54" t="str">
        <f>"FY "&amp;M4</f>
        <v>FY 2023</v>
      </c>
      <c r="D75" s="77" t="s">
        <v>63</v>
      </c>
      <c r="E75" s="112"/>
      <c r="F75" s="55">
        <f>SUM(F67:F74)</f>
        <v>0</v>
      </c>
      <c r="G75" s="80" t="e">
        <f>SUM(G67:G74)</f>
        <v>#DIV/0!</v>
      </c>
      <c r="H75" s="80" t="e">
        <f>SUM(H67:H74)</f>
        <v>#DIV/0!</v>
      </c>
      <c r="I75" s="80" t="e">
        <f>SUM(I67:I74)</f>
        <v>#DIV/0!</v>
      </c>
      <c r="J75" s="80" t="e">
        <f>SUM(J67:K74)</f>
        <v>#DIV/0!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4"/>
      <c r="AB75" s="364"/>
      <c r="AC75" s="364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25">
      <c r="A76" s="85"/>
      <c r="B76" s="83"/>
      <c r="C76" s="412" t="s">
        <v>64</v>
      </c>
      <c r="D76" s="413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4"/>
      <c r="AB76" s="364"/>
      <c r="AC76" s="364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5" x14ac:dyDescent="0.25">
      <c r="A77" s="116">
        <v>12.01</v>
      </c>
      <c r="B77" s="57"/>
      <c r="C77" s="405"/>
      <c r="D77" s="406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4"/>
      <c r="AB77" s="364"/>
      <c r="AC77" s="364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5" x14ac:dyDescent="0.25">
      <c r="A78" s="116">
        <v>12.02</v>
      </c>
      <c r="B78" s="57"/>
      <c r="C78" s="405"/>
      <c r="D78" s="406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4"/>
      <c r="AB78" s="364"/>
      <c r="AC78" s="364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5" x14ac:dyDescent="0.25">
      <c r="A79" s="116">
        <v>12.03</v>
      </c>
      <c r="B79" s="57" t="s">
        <v>45</v>
      </c>
      <c r="C79" s="405"/>
      <c r="D79" s="406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4"/>
      <c r="AB79" s="364"/>
      <c r="AC79" s="364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25">
      <c r="A80" s="117">
        <v>13</v>
      </c>
      <c r="B80" s="118"/>
      <c r="C80" s="119" t="str">
        <f>"FY "&amp;M4</f>
        <v>FY 2023</v>
      </c>
      <c r="D80" s="120" t="s">
        <v>65</v>
      </c>
      <c r="E80" s="121"/>
      <c r="F80" s="55">
        <f>SUM(F75:F79)</f>
        <v>0</v>
      </c>
      <c r="G80" s="80" t="e">
        <f>SUM(G75:G79)</f>
        <v>#DIV/0!</v>
      </c>
      <c r="H80" s="80" t="e">
        <f>SUM(H75:H79)</f>
        <v>#DIV/0!</v>
      </c>
      <c r="I80" s="80" t="e">
        <f>SUM(I75:I79)</f>
        <v>#DIV/0!</v>
      </c>
      <c r="J80" s="80" t="e">
        <f>SUM(J75:J79)</f>
        <v>#DIV/0!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4"/>
      <c r="AB80" s="364"/>
      <c r="AC80" s="364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13:D13"/>
    <mergeCell ref="M1:N1"/>
    <mergeCell ref="M2:N2"/>
    <mergeCell ref="M3:N3"/>
    <mergeCell ref="M4:N4"/>
    <mergeCell ref="I5:L5"/>
    <mergeCell ref="C8:D8"/>
    <mergeCell ref="AA8:AC8"/>
    <mergeCell ref="C9:D9"/>
    <mergeCell ref="C10:D10"/>
    <mergeCell ref="C11:D11"/>
    <mergeCell ref="C12:D12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C54:D54"/>
    <mergeCell ref="C39:D39"/>
    <mergeCell ref="C41:D41"/>
    <mergeCell ref="C42:D42"/>
    <mergeCell ref="C43:D44"/>
    <mergeCell ref="K45:N45"/>
    <mergeCell ref="E46:J47"/>
    <mergeCell ref="K46:N47"/>
    <mergeCell ref="C50:D50"/>
    <mergeCell ref="C53:D53"/>
    <mergeCell ref="C69:D69"/>
    <mergeCell ref="C55:D55"/>
    <mergeCell ref="C57:D57"/>
    <mergeCell ref="C58:D58"/>
    <mergeCell ref="C59:D59"/>
    <mergeCell ref="C61:D61"/>
    <mergeCell ref="C62:D62"/>
    <mergeCell ref="C63:D63"/>
    <mergeCell ref="C64:D64"/>
    <mergeCell ref="C65:D65"/>
    <mergeCell ref="C66:D66"/>
    <mergeCell ref="C68:D68"/>
    <mergeCell ref="C78:D78"/>
    <mergeCell ref="C79:D79"/>
    <mergeCell ref="C70:D70"/>
    <mergeCell ref="C71:D71"/>
    <mergeCell ref="C72:D72"/>
    <mergeCell ref="C73:D73"/>
    <mergeCell ref="C76:D76"/>
    <mergeCell ref="C77:D77"/>
  </mergeCells>
  <conditionalFormatting sqref="K44">
    <cfRule type="expression" dxfId="88" priority="5">
      <formula>$J$44&lt;0</formula>
    </cfRule>
  </conditionalFormatting>
  <conditionalFormatting sqref="K43">
    <cfRule type="expression" dxfId="87" priority="4">
      <formula>$J$43&lt;0</formula>
    </cfRule>
  </conditionalFormatting>
  <conditionalFormatting sqref="L16">
    <cfRule type="expression" dxfId="86" priority="3">
      <formula>$J$16&lt;0</formula>
    </cfRule>
  </conditionalFormatting>
  <conditionalFormatting sqref="K45">
    <cfRule type="expression" dxfId="85" priority="2">
      <formula>$J$44&lt;0</formula>
    </cfRule>
  </conditionalFormatting>
  <conditionalFormatting sqref="K43:N45">
    <cfRule type="containsText" dxfId="84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852209E-69CA-4C53-8018-66433FA872B9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56CD30-977D-4852-8C41-16D189C5A46D}">
  <sheetPr>
    <tabColor rgb="FFFF0000"/>
    <pageSetUpPr fitToPage="1"/>
  </sheetPr>
  <dimension ref="A1:CP80"/>
  <sheetViews>
    <sheetView showGridLines="0" zoomScaleNormal="100" workbookViewId="0">
      <selection activeCell="C8" sqref="C8:N16"/>
    </sheetView>
  </sheetViews>
  <sheetFormatPr defaultColWidth="9.140625" defaultRowHeight="15.75" x14ac:dyDescent="0.25"/>
  <cols>
    <col min="1" max="1" width="7.85546875" style="124" customWidth="1"/>
    <col min="2" max="2" width="7.7109375" style="125" customWidth="1"/>
    <col min="3" max="3" width="9" style="125" customWidth="1"/>
    <col min="4" max="4" width="39.28515625" style="53" customWidth="1"/>
    <col min="5" max="5" width="13" style="126" customWidth="1"/>
    <col min="6" max="6" width="12.28515625" style="127" customWidth="1"/>
    <col min="7" max="7" width="12.140625" style="127" bestFit="1" customWidth="1"/>
    <col min="8" max="8" width="14.5703125" style="127" customWidth="1"/>
    <col min="9" max="9" width="19.5703125" style="128" bestFit="1" customWidth="1"/>
    <col min="10" max="10" width="13.7109375" style="129" customWidth="1"/>
    <col min="11" max="11" width="13.7109375" style="129" hidden="1" customWidth="1"/>
    <col min="12" max="12" width="18.42578125" style="129" customWidth="1"/>
    <col min="13" max="13" width="16.42578125" style="129" customWidth="1"/>
    <col min="14" max="14" width="16.140625" style="128" customWidth="1"/>
    <col min="15" max="25" width="16.140625" customWidth="1"/>
    <col min="26" max="26" width="16.140625" style="344" customWidth="1"/>
    <col min="27" max="27" width="22.140625" style="334" bestFit="1" customWidth="1"/>
    <col min="28" max="28" width="31.140625" style="334" bestFit="1" customWidth="1"/>
    <col min="29" max="29" width="7.85546875" style="334" bestFit="1" customWidth="1"/>
    <col min="30" max="30" width="9.140625" style="110" customWidth="1"/>
    <col min="31" max="94" width="9.140625" style="17"/>
    <col min="95" max="16384" width="9.140625" style="18"/>
  </cols>
  <sheetData>
    <row r="1" spans="1:94" x14ac:dyDescent="0.25">
      <c r="A1" s="12" t="s">
        <v>13</v>
      </c>
      <c r="B1" s="13"/>
      <c r="C1" s="13"/>
      <c r="D1" s="14" t="s">
        <v>2643</v>
      </c>
      <c r="E1" s="15"/>
      <c r="F1" s="15"/>
      <c r="G1" s="15"/>
      <c r="H1" s="15"/>
      <c r="I1" s="15"/>
      <c r="J1" s="15"/>
      <c r="K1" s="15"/>
      <c r="L1" s="16" t="s">
        <v>14</v>
      </c>
      <c r="M1" s="468">
        <v>240</v>
      </c>
      <c r="N1" s="469"/>
      <c r="AA1" s="364"/>
      <c r="AB1" s="333"/>
      <c r="AC1" s="333"/>
      <c r="AD1" s="325"/>
    </row>
    <row r="2" spans="1:94" ht="20.25" x14ac:dyDescent="0.25">
      <c r="A2" s="19" t="s">
        <v>116</v>
      </c>
      <c r="B2" s="20"/>
      <c r="C2" s="20"/>
      <c r="D2" s="14" t="s">
        <v>2643</v>
      </c>
      <c r="E2" s="21"/>
      <c r="F2" s="21"/>
      <c r="G2" s="21"/>
      <c r="H2" s="21"/>
      <c r="I2" s="21"/>
      <c r="J2" s="20"/>
      <c r="K2" s="20"/>
      <c r="L2" s="22" t="s">
        <v>113</v>
      </c>
      <c r="M2" s="470" t="s">
        <v>2673</v>
      </c>
      <c r="N2" s="471"/>
      <c r="AA2" s="333"/>
      <c r="AB2" s="333"/>
      <c r="AC2" s="333"/>
      <c r="AD2" s="325"/>
    </row>
    <row r="3" spans="1:94" x14ac:dyDescent="0.25">
      <c r="A3" s="19" t="s">
        <v>117</v>
      </c>
      <c r="B3" s="20"/>
      <c r="C3" s="20"/>
      <c r="D3" s="23" t="s">
        <v>2687</v>
      </c>
      <c r="E3" s="24"/>
      <c r="F3" s="25"/>
      <c r="G3" s="25"/>
      <c r="H3" s="25"/>
      <c r="I3" s="26"/>
      <c r="J3" s="20"/>
      <c r="K3" s="20"/>
      <c r="L3" s="22" t="s">
        <v>114</v>
      </c>
      <c r="M3" s="468" t="s">
        <v>781</v>
      </c>
      <c r="N3" s="469"/>
      <c r="AA3" s="364"/>
      <c r="AB3" s="333"/>
      <c r="AC3" s="333"/>
      <c r="AD3" s="325"/>
    </row>
    <row r="4" spans="1:94" x14ac:dyDescent="0.25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68">
        <v>2023</v>
      </c>
      <c r="N4" s="469"/>
      <c r="AA4" s="364"/>
      <c r="AB4" s="333"/>
      <c r="AC4" s="333"/>
      <c r="AD4" s="325"/>
    </row>
    <row r="5" spans="1:94" s="34" customFormat="1" ht="18" customHeight="1" x14ac:dyDescent="0.25">
      <c r="A5" s="19" t="s">
        <v>16</v>
      </c>
      <c r="B5" s="20"/>
      <c r="C5" s="20"/>
      <c r="D5" s="351">
        <v>44440</v>
      </c>
      <c r="E5" s="27"/>
      <c r="F5" s="30"/>
      <c r="G5" s="31"/>
      <c r="H5" s="31" t="s">
        <v>17</v>
      </c>
      <c r="I5" s="470" t="s">
        <v>2671</v>
      </c>
      <c r="J5" s="472"/>
      <c r="K5" s="472"/>
      <c r="L5" s="471"/>
      <c r="M5" s="352" t="s">
        <v>115</v>
      </c>
      <c r="N5" s="32" t="s">
        <v>2672</v>
      </c>
      <c r="O5"/>
      <c r="P5"/>
      <c r="Q5"/>
      <c r="R5"/>
      <c r="S5"/>
      <c r="T5"/>
      <c r="U5"/>
      <c r="V5"/>
      <c r="W5"/>
      <c r="X5"/>
      <c r="Y5"/>
      <c r="Z5" s="344"/>
      <c r="AA5" s="364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25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84</v>
      </c>
      <c r="K6" s="31"/>
      <c r="L6" s="353"/>
      <c r="M6" s="354" t="s">
        <v>85</v>
      </c>
      <c r="N6" s="306"/>
      <c r="AA6" s="364"/>
      <c r="AB6" s="333"/>
      <c r="AC6" s="333"/>
      <c r="AD6" s="325"/>
    </row>
    <row r="7" spans="1:94" x14ac:dyDescent="0.25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25">
      <c r="A8" s="48" t="s">
        <v>20</v>
      </c>
      <c r="B8" s="370" t="s">
        <v>21</v>
      </c>
      <c r="C8" s="473" t="s">
        <v>22</v>
      </c>
      <c r="D8" s="474"/>
      <c r="E8" s="370" t="s">
        <v>23</v>
      </c>
      <c r="F8" s="49" t="s">
        <v>24</v>
      </c>
      <c r="G8" s="50" t="str">
        <f>"FY "&amp;'EMLO|0349-00'!FiscalYear-1&amp;" SALARY"</f>
        <v>FY 2022 SALARY</v>
      </c>
      <c r="H8" s="50" t="str">
        <f>"FY "&amp;'EMLO|0349-00'!FiscalYear-1&amp;" HEALTH BENEFITS"</f>
        <v>FY 2022 HEALTH BENEFITS</v>
      </c>
      <c r="I8" s="50" t="str">
        <f>"FY "&amp;'EMLO|0349-00'!FiscalYear-1&amp;" VAR BENEFITS"</f>
        <v>FY 2022 VAR BENEFITS</v>
      </c>
      <c r="J8" s="50" t="str">
        <f>"FY "&amp;'EMLO|0349-00'!FiscalYear-1&amp;" TOTAL"</f>
        <v>FY 2022 TOTAL</v>
      </c>
      <c r="K8" s="50" t="str">
        <f>"FY "&amp;'EMLO|0349-00'!FiscalYear&amp;" SALARY CHANGE"</f>
        <v>FY 2023 SALARY CHANGE</v>
      </c>
      <c r="L8" s="50" t="str">
        <f>"FY "&amp;'EMLO|0349-00'!FiscalYear&amp;" CHG HEALTH BENEFITS"</f>
        <v>FY 2023 CHG HEALTH BENEFITS</v>
      </c>
      <c r="M8" s="50" t="str">
        <f>"FY "&amp;'EMLO|0349-00'!FiscalYear&amp;" CHG VAR BENEFITS"</f>
        <v>FY 2023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64" t="s">
        <v>105</v>
      </c>
      <c r="AB8" s="464"/>
      <c r="AC8" s="464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25">
      <c r="A9" s="139"/>
      <c r="B9" s="140"/>
      <c r="C9" s="465" t="s">
        <v>26</v>
      </c>
      <c r="D9" s="466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4" t="s">
        <v>94</v>
      </c>
      <c r="AB9" s="333" t="s">
        <v>95</v>
      </c>
      <c r="AC9" s="333" t="s">
        <v>106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25">
      <c r="A10" s="139"/>
      <c r="B10" s="139"/>
      <c r="C10" s="444" t="s">
        <v>27</v>
      </c>
      <c r="D10" s="467"/>
      <c r="E10" s="217">
        <v>1</v>
      </c>
      <c r="F10" s="288">
        <f>[0]!EMLO034900col_INC_FTI</f>
        <v>0</v>
      </c>
      <c r="G10" s="218">
        <f>[0]!EMLO034900col_FTI_SALARY_PERM</f>
        <v>0</v>
      </c>
      <c r="H10" s="218">
        <f>[0]!EMLO034900col_HEALTH_PERM</f>
        <v>0</v>
      </c>
      <c r="I10" s="218">
        <f>[0]!EMLO034900col_TOT_VB_PERM</f>
        <v>0</v>
      </c>
      <c r="J10" s="219">
        <f>SUM(G10:I10)</f>
        <v>0</v>
      </c>
      <c r="K10" s="219">
        <f>[0]!EMLO034900col_1_27TH_PP</f>
        <v>0</v>
      </c>
      <c r="L10" s="218">
        <f>[0]!EMLO034900col_HEALTH_PERM_CHG</f>
        <v>0</v>
      </c>
      <c r="M10" s="218">
        <f>[0]!EMLO034900col_TOT_VB_PERM_CHG</f>
        <v>0</v>
      </c>
      <c r="N10" s="218">
        <f>SUM(L10:M10)</f>
        <v>0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0</v>
      </c>
      <c r="AB10" s="335">
        <f>ROUND(PermVarBen*CECPerm+(CECPerm*PermVarBenChg),-2)</f>
        <v>0</v>
      </c>
      <c r="AC10" s="335">
        <f>SUM(AA10:AB10)</f>
        <v>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25">
      <c r="A11" s="139"/>
      <c r="B11" s="139"/>
      <c r="C11" s="444" t="s">
        <v>28</v>
      </c>
      <c r="D11" s="467"/>
      <c r="E11" s="217">
        <v>2</v>
      </c>
      <c r="F11" s="288"/>
      <c r="G11" s="218">
        <f>[0]!EMLO034900col_Group_Salary</f>
        <v>0</v>
      </c>
      <c r="H11" s="218">
        <v>0</v>
      </c>
      <c r="I11" s="218">
        <f>[0]!EMLO034900col_Group_Ben</f>
        <v>0</v>
      </c>
      <c r="J11" s="219">
        <f>SUM(G11:I11)</f>
        <v>0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0</v>
      </c>
      <c r="AB11" s="335">
        <f>ROUND((GroupSalary*GroupVBBY)*CECGroup,-2)</f>
        <v>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25">
      <c r="A12" s="139"/>
      <c r="B12" s="139"/>
      <c r="C12" s="444" t="s">
        <v>29</v>
      </c>
      <c r="D12" s="445"/>
      <c r="E12" s="217">
        <v>3</v>
      </c>
      <c r="F12" s="288">
        <f>[0]!EMLO034900col_TOTAL_ELECT_PCN_FTI</f>
        <v>0</v>
      </c>
      <c r="G12" s="218">
        <f>[0]!EMLO034900col_FTI_SALARY_ELECT</f>
        <v>0</v>
      </c>
      <c r="H12" s="218">
        <f>[0]!EMLO034900col_HEALTH_ELECT</f>
        <v>0</v>
      </c>
      <c r="I12" s="218">
        <f>[0]!EMLO034900col_TOT_VB_ELECT</f>
        <v>0</v>
      </c>
      <c r="J12" s="219">
        <f>SUM(G12:I12)</f>
        <v>0</v>
      </c>
      <c r="K12" s="268"/>
      <c r="L12" s="218">
        <f>[0]!EMLO034900col_HEALTH_ELECT_CHG</f>
        <v>0</v>
      </c>
      <c r="M12" s="218">
        <f>[0]!EMLO034900col_TOT_VB_ELECT_CHG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25">
      <c r="A13" s="139"/>
      <c r="B13" s="139"/>
      <c r="C13" s="444" t="s">
        <v>30</v>
      </c>
      <c r="D13" s="467"/>
      <c r="E13" s="217"/>
      <c r="F13" s="220">
        <f>SUM(F10:F12)</f>
        <v>0</v>
      </c>
      <c r="G13" s="221">
        <f>SUM(G10:G12)</f>
        <v>0</v>
      </c>
      <c r="H13" s="221">
        <f>SUM(H10:H12)</f>
        <v>0</v>
      </c>
      <c r="I13" s="221">
        <f>SUM(I10:I12)</f>
        <v>0</v>
      </c>
      <c r="J13" s="219">
        <f>SUM(G13:I13)</f>
        <v>0</v>
      </c>
      <c r="K13" s="268"/>
      <c r="L13" s="219">
        <f>SUM(L10:L12)</f>
        <v>0</v>
      </c>
      <c r="M13" s="219">
        <f>SUM(M10:M12)</f>
        <v>0</v>
      </c>
      <c r="N13" s="219">
        <f>SUM(N10:N12)</f>
        <v>0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5" customHeight="1" x14ac:dyDescent="0.25">
      <c r="A14" s="139"/>
      <c r="B14" s="139"/>
      <c r="C14" s="365"/>
      <c r="D14" s="371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25">
      <c r="A15" s="139"/>
      <c r="B15" s="156"/>
      <c r="C15" s="157" t="str">
        <f>"FY "&amp;'EMLO|0349-00'!FiscalYear-1</f>
        <v>FY 2022</v>
      </c>
      <c r="D15" s="158" t="s">
        <v>31</v>
      </c>
      <c r="E15" s="355">
        <v>220100</v>
      </c>
      <c r="F15" s="55">
        <v>7.98</v>
      </c>
      <c r="G15" s="223" t="e">
        <f>IF(OrigApprop=0,0,(G13/$J$13)*OrigApprop)</f>
        <v>#DIV/0!</v>
      </c>
      <c r="H15" s="223" t="e">
        <f>IF(OrigApprop=0,0,(H13/$J$13)*OrigApprop)</f>
        <v>#DIV/0!</v>
      </c>
      <c r="I15" s="223" t="e">
        <f>IF(G15=0,0,(I13/$J$13)*OrigApprop)</f>
        <v>#DIV/0!</v>
      </c>
      <c r="J15" s="223" t="e">
        <f>SUM(G15:I15)</f>
        <v>#DIV/0!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25">
      <c r="A16" s="139"/>
      <c r="B16" s="139"/>
      <c r="C16" s="454" t="s">
        <v>32</v>
      </c>
      <c r="D16" s="455"/>
      <c r="E16" s="160" t="s">
        <v>33</v>
      </c>
      <c r="F16" s="161">
        <f>F15-F13</f>
        <v>7.98</v>
      </c>
      <c r="G16" s="162" t="e">
        <f>G15-G13</f>
        <v>#DIV/0!</v>
      </c>
      <c r="H16" s="162" t="e">
        <f>H15-H13</f>
        <v>#DIV/0!</v>
      </c>
      <c r="I16" s="162" t="e">
        <f>I15-I13</f>
        <v>#DIV/0!</v>
      </c>
      <c r="J16" s="162" t="e">
        <f>J15-J13</f>
        <v>#DIV/0!</v>
      </c>
      <c r="K16" s="269"/>
      <c r="L16" s="56" t="e">
        <f>IF('EMLO|0349-00'!OrigApprop=0,"ERROR! Enter Original Appropriation amount in DU 3.00!","Calculated "&amp;IF('EMLO|0349-00'!AdjustedTotal&gt;0,"overfunding ","underfunding ")&amp;"is "&amp;TEXT('EMLO|0349-00'!AdjustedTotal/'EMLO|0349-00'!AppropTotal,"#.0%;(#.0% );0% ;")&amp;" of Original Appropriation")</f>
        <v>#DIV/0!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25">
      <c r="A17" s="139"/>
      <c r="B17" s="139"/>
      <c r="C17" s="456" t="s">
        <v>34</v>
      </c>
      <c r="D17" s="457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25">
      <c r="A18" s="139"/>
      <c r="B18" s="168"/>
      <c r="C18" s="458" t="s">
        <v>35</v>
      </c>
      <c r="D18" s="459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5.5" x14ac:dyDescent="0.25">
      <c r="A19" s="238"/>
      <c r="B19" s="202"/>
      <c r="C19" s="239" t="s">
        <v>86</v>
      </c>
      <c r="D19" s="240" t="s">
        <v>87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4"/>
      <c r="AB19" s="364"/>
      <c r="AC19" s="364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5" x14ac:dyDescent="0.25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4"/>
      <c r="AB20" s="364"/>
      <c r="AC20" s="364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5" x14ac:dyDescent="0.25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4"/>
      <c r="AB21" s="364"/>
      <c r="AC21" s="364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5" x14ac:dyDescent="0.25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4"/>
      <c r="AB22" s="364"/>
      <c r="AC22" s="364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5" x14ac:dyDescent="0.25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4"/>
      <c r="AB23" s="364"/>
      <c r="AC23" s="364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5" x14ac:dyDescent="0.25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4"/>
      <c r="AC24" s="364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5" x14ac:dyDescent="0.25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4"/>
      <c r="AC25" s="364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5" x14ac:dyDescent="0.25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4"/>
      <c r="AC26" s="364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5" x14ac:dyDescent="0.25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4"/>
      <c r="AB27" s="364"/>
      <c r="AC27" s="364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5" x14ac:dyDescent="0.25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4"/>
      <c r="AB28" s="364"/>
      <c r="AC28" s="364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5" x14ac:dyDescent="0.25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4"/>
      <c r="AB29" s="364"/>
      <c r="AC29" s="364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5" x14ac:dyDescent="0.25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4"/>
      <c r="AB30" s="364"/>
      <c r="AC30" s="364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5" x14ac:dyDescent="0.25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4"/>
      <c r="AB31" s="364"/>
      <c r="AC31" s="364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5" x14ac:dyDescent="0.25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4"/>
      <c r="AB32" s="364"/>
      <c r="AC32" s="364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5" x14ac:dyDescent="0.25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4"/>
      <c r="AB33" s="364"/>
      <c r="AC33" s="364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5" x14ac:dyDescent="0.25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4"/>
      <c r="AB34" s="364"/>
      <c r="AC34" s="364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5" x14ac:dyDescent="0.25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4"/>
      <c r="AB35" s="364"/>
      <c r="AC35" s="364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5" x14ac:dyDescent="0.25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4" t="s">
        <v>94</v>
      </c>
      <c r="AB36" s="333" t="s">
        <v>95</v>
      </c>
      <c r="AC36" s="333" t="s">
        <v>106</v>
      </c>
      <c r="AD36" s="330"/>
    </row>
    <row r="37" spans="1:94" s="153" customFormat="1" ht="17.25" customHeight="1" x14ac:dyDescent="0.25">
      <c r="A37" s="139"/>
      <c r="B37" s="188"/>
      <c r="C37" s="460" t="s">
        <v>37</v>
      </c>
      <c r="D37" s="461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62" t="s">
        <v>107</v>
      </c>
      <c r="AB37" s="463"/>
      <c r="AC37" s="463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5" x14ac:dyDescent="0.25">
      <c r="A38" s="139"/>
      <c r="B38" s="188"/>
      <c r="C38" s="444" t="str">
        <f>perm_name</f>
        <v>Permanent Positions</v>
      </c>
      <c r="D38" s="445"/>
      <c r="E38" s="189">
        <v>1</v>
      </c>
      <c r="F38" s="190">
        <f>SUMIF($E9:$E35,$E38,$F9:$F35)</f>
        <v>0</v>
      </c>
      <c r="G38" s="191">
        <f>SUMIF($E10:$E35,$E38,$G10:$G35)</f>
        <v>0</v>
      </c>
      <c r="H38" s="192">
        <f>SUMIF($E10:$E35,$E38,$H10:$H35)</f>
        <v>0</v>
      </c>
      <c r="I38" s="192">
        <f>SUMIF($E10:$E35,$E38,$I10:$I35)</f>
        <v>0</v>
      </c>
      <c r="J38" s="192">
        <f>SUM(G38:I38)</f>
        <v>0</v>
      </c>
      <c r="K38" s="166"/>
      <c r="L38" s="191">
        <f>SUMIF($E10:$E35,$E38,$L10:$L35)</f>
        <v>0</v>
      </c>
      <c r="M38" s="192">
        <f>SUMIF($E10:$E35,$E38,$M10:$M35)</f>
        <v>0</v>
      </c>
      <c r="N38" s="192">
        <f>SUM(L38:M38)</f>
        <v>0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0</v>
      </c>
      <c r="AB38" s="338">
        <f>ROUND((AdjPermVB*CECPerm+AdjPermVBBY*CECPerm),-2)</f>
        <v>0</v>
      </c>
      <c r="AC38" s="338">
        <f>SUM(AA38:AB38)</f>
        <v>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5" x14ac:dyDescent="0.25">
      <c r="A39" s="139"/>
      <c r="B39" s="188"/>
      <c r="C39" s="444" t="str">
        <f>Group_name</f>
        <v>Board &amp; Group Positions</v>
      </c>
      <c r="D39" s="445"/>
      <c r="E39" s="189">
        <v>2</v>
      </c>
      <c r="F39" s="151">
        <f>SUMIF($E9:$E35,$E39,$F9:$F35)</f>
        <v>0</v>
      </c>
      <c r="G39" s="193">
        <f>SUMIF($E10:$E35,$E39,$G10:$G35)</f>
        <v>0</v>
      </c>
      <c r="H39" s="152">
        <f>SUMIF($E10:$E35,$E39,$H10:$H35)</f>
        <v>0</v>
      </c>
      <c r="I39" s="152">
        <f>SUMIF($E10:$E35,$E39,$I10:$I35)</f>
        <v>0</v>
      </c>
      <c r="J39" s="152">
        <f>SUM(G39:I39)</f>
        <v>0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0</v>
      </c>
      <c r="AB39" s="338">
        <f>ROUND(AdjGroupVB*CECGroup,-2)</f>
        <v>0</v>
      </c>
      <c r="AC39" s="338">
        <f>SUM(AA39:AB39)</f>
        <v>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5" x14ac:dyDescent="0.25">
      <c r="A40" s="139"/>
      <c r="B40" s="188"/>
      <c r="C40" s="365" t="str">
        <f>Elect_name</f>
        <v>Elected Officials &amp; Full Time Commissioners</v>
      </c>
      <c r="D40" s="366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4"/>
      <c r="AB40" s="364"/>
      <c r="AC40" s="364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5" x14ac:dyDescent="0.25">
      <c r="A41" s="139"/>
      <c r="B41" s="188"/>
      <c r="C41" s="444" t="s">
        <v>38</v>
      </c>
      <c r="D41" s="445"/>
      <c r="E41" s="189"/>
      <c r="F41" s="161">
        <f>SUM(F38:F40)</f>
        <v>0</v>
      </c>
      <c r="G41" s="195">
        <f>SUM($G$38:$G$40)</f>
        <v>0</v>
      </c>
      <c r="H41" s="162">
        <f>SUM($H$38:$H$40)</f>
        <v>0</v>
      </c>
      <c r="I41" s="162">
        <f>SUM($I$38:$I$40)</f>
        <v>0</v>
      </c>
      <c r="J41" s="162">
        <f>SUM($J$38:$J$40)</f>
        <v>0</v>
      </c>
      <c r="K41" s="259"/>
      <c r="L41" s="195">
        <f>SUM($L$38:$L$40)</f>
        <v>0</v>
      </c>
      <c r="M41" s="162">
        <f>SUM($M$38:$M$40)</f>
        <v>0</v>
      </c>
      <c r="N41" s="162">
        <f>SUM(L41:M41)</f>
        <v>0</v>
      </c>
      <c r="O41"/>
      <c r="P41"/>
      <c r="Q41"/>
      <c r="R41"/>
      <c r="S41"/>
      <c r="T41"/>
      <c r="U41"/>
      <c r="V41"/>
      <c r="W41"/>
      <c r="X41"/>
      <c r="Y41"/>
      <c r="Z41" s="344"/>
      <c r="AA41" s="364" t="s">
        <v>94</v>
      </c>
      <c r="AB41" s="333" t="s">
        <v>95</v>
      </c>
      <c r="AC41" s="333" t="s">
        <v>106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25">
      <c r="A42" s="139"/>
      <c r="B42" s="188"/>
      <c r="C42" s="446"/>
      <c r="D42" s="447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4"/>
      <c r="AB42" s="364"/>
      <c r="AC42" s="364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25">
      <c r="A43" s="139"/>
      <c r="B43" s="202"/>
      <c r="C43" s="448" t="s">
        <v>39</v>
      </c>
      <c r="D43" s="449"/>
      <c r="E43" s="203" t="s">
        <v>40</v>
      </c>
      <c r="F43" s="205">
        <f>ROUND(F51-F41,2)</f>
        <v>7.98</v>
      </c>
      <c r="G43" s="206" t="e">
        <f>ROUND(G51-G41,-2)</f>
        <v>#DIV/0!</v>
      </c>
      <c r="H43" s="159" t="e">
        <f>ROUND(H51-H41,-2)</f>
        <v>#DIV/0!</v>
      </c>
      <c r="I43" s="159" t="e">
        <f>ROUND(I51-I41,-2)</f>
        <v>#DIV/0!</v>
      </c>
      <c r="J43" s="159" t="e">
        <f>SUM(G43:I43)</f>
        <v>#DIV/0!</v>
      </c>
      <c r="K43" s="425" t="e">
        <f>IF(E51=0,"ERROR! Enter Original Appropriation amount in DU 3.00!","Calculated "&amp;IF(J43&gt;0,"overfunding ","underfunding ")&amp;"is "&amp;TEXT(J43/J51,"#.0%;(#.0% );0% ;")&amp;" of Original Appropriation")</f>
        <v>#DIV/0!</v>
      </c>
      <c r="L43" s="426"/>
      <c r="M43" s="426"/>
      <c r="N43" s="427"/>
      <c r="O43"/>
      <c r="P43"/>
      <c r="Q43"/>
      <c r="R43"/>
      <c r="S43"/>
      <c r="T43"/>
      <c r="U43"/>
      <c r="V43"/>
      <c r="W43"/>
      <c r="X43"/>
      <c r="Y43"/>
      <c r="Z43" s="344"/>
      <c r="AA43" s="452" t="s">
        <v>108</v>
      </c>
      <c r="AB43" s="453"/>
      <c r="AC43" s="453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25">
      <c r="A44" s="139"/>
      <c r="B44" s="202"/>
      <c r="C44" s="450"/>
      <c r="D44" s="451"/>
      <c r="E44" s="204" t="s">
        <v>41</v>
      </c>
      <c r="F44" s="205">
        <f>ROUND(F60-F41,2)</f>
        <v>7.98</v>
      </c>
      <c r="G44" s="206" t="e">
        <f>ROUND(G60-G41,-2)</f>
        <v>#DIV/0!</v>
      </c>
      <c r="H44" s="159" t="e">
        <f>ROUND(H60-H41,-2)</f>
        <v>#DIV/0!</v>
      </c>
      <c r="I44" s="159" t="e">
        <f>ROUND(I60-I41,-2)</f>
        <v>#DIV/0!</v>
      </c>
      <c r="J44" s="159" t="e">
        <f>SUM(G44:I44)</f>
        <v>#DIV/0!</v>
      </c>
      <c r="K44" s="425" t="e">
        <f>IF(E51=0,"ERROR! Enter Original Appropriation amount in DU 3.00!","Calculated "&amp;IF(J44&gt;0,"overfunding ","underfunding ")&amp;"is "&amp;TEXT(J44/J60,"#.0%;(#.0% );0% ;")&amp;" of Estimated Expenditures")</f>
        <v>#DIV/0!</v>
      </c>
      <c r="L44" s="426"/>
      <c r="M44" s="426"/>
      <c r="N44" s="427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25">
      <c r="A45" s="139"/>
      <c r="B45" s="202"/>
      <c r="C45" s="215"/>
      <c r="D45" s="215"/>
      <c r="E45" s="204" t="s">
        <v>99</v>
      </c>
      <c r="F45" s="205">
        <f>ROUND(F67-F41-F63,2)</f>
        <v>7.98</v>
      </c>
      <c r="G45" s="206" t="e">
        <f>ROUND(G67-G41-G63,-2)</f>
        <v>#DIV/0!</v>
      </c>
      <c r="H45" s="206" t="e">
        <f>ROUND(H67-H41-H63,-2)</f>
        <v>#DIV/0!</v>
      </c>
      <c r="I45" s="206" t="e">
        <f>ROUND(I67-I41-I63,-2)</f>
        <v>#DIV/0!</v>
      </c>
      <c r="J45" s="159" t="e">
        <f>SUM(G45:I45)</f>
        <v>#DIV/0!</v>
      </c>
      <c r="K45" s="425" t="e">
        <f>IF(J67=0,"Program has a zero base",IF(E51=0,"ERROR! Enter Original Appropriation amount in DU 3.00!","Calculated "&amp;IF(J45&gt;0,"overfunding ","underfunding ")&amp;"is "&amp;TEXT(J45/J67,"#.0%;(#.0% );0% ;")&amp;" of the Base"))</f>
        <v>#DIV/0!</v>
      </c>
      <c r="L45" s="426"/>
      <c r="M45" s="426"/>
      <c r="N45" s="427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0</v>
      </c>
      <c r="AC45" s="338">
        <f>SUM(AA45:AB45)</f>
        <v>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25">
      <c r="A46" s="139"/>
      <c r="B46" s="202"/>
      <c r="C46" s="215"/>
      <c r="D46" s="215"/>
      <c r="E46" s="428" t="s">
        <v>100</v>
      </c>
      <c r="F46" s="429"/>
      <c r="G46" s="429"/>
      <c r="H46" s="429"/>
      <c r="I46" s="429"/>
      <c r="J46" s="430"/>
      <c r="K46" s="434" t="e">
        <f>IF(OR(J45&lt;0,F45&lt;0),"You may not have sufficient funding or authorized FTP, and may need to make additional adjustments to finalize this form.  Please contact both your DFM and LSO analysts.","")</f>
        <v>#DIV/0!</v>
      </c>
      <c r="L46" s="435"/>
      <c r="M46" s="435"/>
      <c r="N46" s="436"/>
      <c r="O46"/>
      <c r="P46"/>
      <c r="Q46"/>
      <c r="R46"/>
      <c r="S46"/>
      <c r="T46"/>
      <c r="U46"/>
      <c r="V46"/>
      <c r="W46"/>
      <c r="X46"/>
      <c r="Y46"/>
      <c r="Z46" s="344"/>
      <c r="AA46" s="364"/>
      <c r="AB46" s="364"/>
      <c r="AC46" s="364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25">
      <c r="A47" s="139"/>
      <c r="B47" s="202"/>
      <c r="C47" s="215"/>
      <c r="D47" s="215"/>
      <c r="E47" s="431"/>
      <c r="F47" s="432"/>
      <c r="G47" s="432"/>
      <c r="H47" s="432"/>
      <c r="I47" s="432"/>
      <c r="J47" s="433"/>
      <c r="K47" s="437"/>
      <c r="L47" s="438"/>
      <c r="M47" s="438"/>
      <c r="N47" s="439"/>
      <c r="O47"/>
      <c r="P47"/>
      <c r="Q47"/>
      <c r="R47"/>
      <c r="S47"/>
      <c r="T47"/>
      <c r="U47"/>
      <c r="V47"/>
      <c r="W47"/>
      <c r="X47"/>
      <c r="Y47"/>
      <c r="Z47" s="344"/>
      <c r="AA47" s="364"/>
      <c r="AB47" s="364"/>
      <c r="AC47" s="364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25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25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4"/>
      <c r="AB49" s="364"/>
      <c r="AC49" s="364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25">
      <c r="A50" s="257" t="s">
        <v>42</v>
      </c>
      <c r="B50" s="71"/>
      <c r="C50" s="440"/>
      <c r="D50" s="441"/>
      <c r="E50" s="72" t="s">
        <v>43</v>
      </c>
      <c r="F50" s="73" t="s">
        <v>24</v>
      </c>
      <c r="G50" s="72" t="str">
        <f>"FY "&amp;M4-2001&amp;" Salary"</f>
        <v>FY 22 Salary</v>
      </c>
      <c r="H50" s="72" t="str">
        <f>"FY "&amp;M4-2001&amp;" Health Ben"</f>
        <v>FY 22 Health Ben</v>
      </c>
      <c r="I50" s="72" t="str">
        <f>"FY "&amp;M4-2001&amp;" Var Ben"</f>
        <v>FY 22 Var Ben</v>
      </c>
      <c r="J50" s="72" t="str">
        <f>"FY "&amp;M4-1&amp;" Total"</f>
        <v>FY 2022 Total</v>
      </c>
      <c r="K50" s="307" t="str">
        <f>"FY "&amp;FiscalYear&amp;" SALARY CHG"</f>
        <v>FY 2023 SALARY CHG</v>
      </c>
      <c r="L50" s="74" t="str">
        <f>"FY "&amp;M4-2000&amp;" Chg Health Bens"</f>
        <v>FY 23 Chg Health Bens</v>
      </c>
      <c r="M50" s="74" t="str">
        <f>"FY "&amp;M4-2000&amp;" Chg Var Bens"</f>
        <v>FY 23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4"/>
      <c r="AB50" s="364"/>
      <c r="AC50" s="364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25">
      <c r="A51" s="75">
        <v>3</v>
      </c>
      <c r="B51" s="76" t="s">
        <v>45</v>
      </c>
      <c r="C51" s="54" t="str">
        <f>"FY "&amp;M4-1</f>
        <v>FY 2022</v>
      </c>
      <c r="D51" s="77" t="s">
        <v>31</v>
      </c>
      <c r="E51" s="78">
        <f>OrigApprop</f>
        <v>220100</v>
      </c>
      <c r="F51" s="272">
        <f>AppropFTP</f>
        <v>7.98</v>
      </c>
      <c r="G51" s="274" t="e">
        <f>IF(E51=0,0,(G41/$J$41)*$E$51)</f>
        <v>#DIV/0!</v>
      </c>
      <c r="H51" s="274" t="e">
        <f>IF(E51=0,0,(H41/$J$41)*$E$51)</f>
        <v>#DIV/0!</v>
      </c>
      <c r="I51" s="275" t="e">
        <f>IF(E51=0,0,(I41/$J$41)*$E$51)</f>
        <v>#DIV/0!</v>
      </c>
      <c r="J51" s="90" t="e">
        <f>SUM(G51:I51)</f>
        <v>#DIV/0!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4"/>
      <c r="AC51" s="364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25">
      <c r="A52" s="82"/>
      <c r="B52" s="83"/>
      <c r="C52" s="84"/>
      <c r="D52" s="132" t="s">
        <v>46</v>
      </c>
      <c r="E52" s="133"/>
      <c r="F52" s="55">
        <f>F51</f>
        <v>7.98</v>
      </c>
      <c r="G52" s="79" t="e">
        <f>ROUND(G51,-2)</f>
        <v>#DIV/0!</v>
      </c>
      <c r="H52" s="79" t="e">
        <f>ROUND(H51,-2)</f>
        <v>#DIV/0!</v>
      </c>
      <c r="I52" s="266" t="e">
        <f>ROUND(I51,-2)</f>
        <v>#DIV/0!</v>
      </c>
      <c r="J52" s="80" t="e">
        <f>ROUND(J51,-2)</f>
        <v>#DIV/0!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4"/>
      <c r="AC52" s="364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5" x14ac:dyDescent="0.25">
      <c r="A53" s="85"/>
      <c r="B53" s="83"/>
      <c r="C53" s="442" t="s">
        <v>47</v>
      </c>
      <c r="D53" s="443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4"/>
      <c r="AB53" s="364"/>
      <c r="AC53" s="364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25">
      <c r="A54" s="85">
        <v>4.1100000000000003</v>
      </c>
      <c r="B54" s="83"/>
      <c r="C54" s="409" t="s">
        <v>48</v>
      </c>
      <c r="D54" s="410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4"/>
      <c r="AB54" s="364"/>
      <c r="AC54" s="364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25">
      <c r="A55" s="85">
        <v>4.3099999999999996</v>
      </c>
      <c r="B55" s="83"/>
      <c r="C55" s="422" t="s">
        <v>49</v>
      </c>
      <c r="D55" s="423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4"/>
      <c r="AB55" s="364"/>
      <c r="AC55" s="364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25">
      <c r="A56" s="75">
        <v>5</v>
      </c>
      <c r="B56" s="76"/>
      <c r="C56" s="54" t="str">
        <f>"FY "&amp;M4-1</f>
        <v>FY 2022</v>
      </c>
      <c r="D56" s="131" t="s">
        <v>50</v>
      </c>
      <c r="E56" s="135"/>
      <c r="F56" s="55">
        <f>SUM(F52:F55)</f>
        <v>7.98</v>
      </c>
      <c r="G56" s="80" t="e">
        <f>SUM(G52:G55)</f>
        <v>#DIV/0!</v>
      </c>
      <c r="H56" s="80" t="e">
        <f>SUM(H52:H55)</f>
        <v>#DIV/0!</v>
      </c>
      <c r="I56" s="260" t="e">
        <f>SUM(I52:I55)</f>
        <v>#DIV/0!</v>
      </c>
      <c r="J56" s="80" t="e">
        <f>SUM(J52:J55)</f>
        <v>#DIV/0!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4"/>
      <c r="AB56" s="364"/>
      <c r="AC56" s="364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25">
      <c r="A57" s="85"/>
      <c r="B57" s="83"/>
      <c r="C57" s="420" t="s">
        <v>51</v>
      </c>
      <c r="D57" s="424"/>
      <c r="E57" s="368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4"/>
      <c r="AB57" s="364"/>
      <c r="AC57" s="364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25">
      <c r="A58" s="85">
        <v>6.31</v>
      </c>
      <c r="B58" s="83"/>
      <c r="C58" s="409" t="s">
        <v>52</v>
      </c>
      <c r="D58" s="410"/>
      <c r="E58" s="102"/>
      <c r="F58" s="58">
        <v>0</v>
      </c>
      <c r="G58" s="88">
        <v>0</v>
      </c>
      <c r="H58" s="88">
        <v>0</v>
      </c>
      <c r="I58" s="265">
        <v>0</v>
      </c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4"/>
      <c r="AB58" s="364"/>
      <c r="AC58" s="364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25">
      <c r="A59" s="85">
        <v>6.51</v>
      </c>
      <c r="B59" s="83"/>
      <c r="C59" s="422" t="s">
        <v>66</v>
      </c>
      <c r="D59" s="423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4"/>
      <c r="AB59" s="364"/>
      <c r="AC59" s="364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25">
      <c r="A60" s="75">
        <v>7</v>
      </c>
      <c r="B60" s="76"/>
      <c r="C60" s="54" t="str">
        <f>"FY "&amp;M4-1</f>
        <v>FY 2022</v>
      </c>
      <c r="D60" s="131" t="s">
        <v>53</v>
      </c>
      <c r="E60" s="135"/>
      <c r="F60" s="55">
        <f>SUM(F56:F59)</f>
        <v>7.98</v>
      </c>
      <c r="G60" s="80" t="e">
        <f>SUM(G56:G59)</f>
        <v>#DIV/0!</v>
      </c>
      <c r="H60" s="80" t="e">
        <f>SUM(H56:H59)</f>
        <v>#DIV/0!</v>
      </c>
      <c r="I60" s="260" t="e">
        <f>SUM(I56:I59)</f>
        <v>#DIV/0!</v>
      </c>
      <c r="J60" s="80" t="e">
        <f>SUM(J56:J59)</f>
        <v>#DIV/0!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4"/>
      <c r="AB60" s="364"/>
      <c r="AC60" s="364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25">
      <c r="A61" s="85"/>
      <c r="B61" s="83"/>
      <c r="C61" s="420" t="s">
        <v>54</v>
      </c>
      <c r="D61" s="424"/>
      <c r="E61" s="368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4"/>
      <c r="AB61" s="364"/>
      <c r="AC61" s="364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25">
      <c r="A62" s="85">
        <v>8.31</v>
      </c>
      <c r="B62" s="83"/>
      <c r="C62" s="409" t="s">
        <v>67</v>
      </c>
      <c r="D62" s="410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4"/>
      <c r="AB62" s="364"/>
      <c r="AC62" s="364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25">
      <c r="A63" s="85">
        <v>8.41</v>
      </c>
      <c r="B63" s="83"/>
      <c r="C63" s="409" t="s">
        <v>55</v>
      </c>
      <c r="D63" s="410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4"/>
      <c r="AB63" s="364"/>
      <c r="AC63" s="364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">
      <c r="A64" s="93">
        <v>8.51</v>
      </c>
      <c r="B64" s="93"/>
      <c r="C64" s="414" t="s">
        <v>56</v>
      </c>
      <c r="D64" s="415"/>
      <c r="E64" s="134"/>
      <c r="F64" s="58">
        <v>0</v>
      </c>
      <c r="G64" s="88"/>
      <c r="H64" s="88">
        <v>0</v>
      </c>
      <c r="I64" s="265"/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4"/>
      <c r="AB64" s="364"/>
      <c r="AC64" s="364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25">
      <c r="A65" s="94"/>
      <c r="B65" s="95"/>
      <c r="C65" s="416"/>
      <c r="D65" s="417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4"/>
      <c r="AB65" s="364"/>
      <c r="AC65" s="364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5" x14ac:dyDescent="0.25">
      <c r="A66" s="100"/>
      <c r="B66" s="101"/>
      <c r="C66" s="418"/>
      <c r="D66" s="419"/>
      <c r="E66" s="102"/>
      <c r="F66" s="103" t="s">
        <v>24</v>
      </c>
      <c r="G66" s="104" t="str">
        <f>"FY "&amp;M4-2000&amp;" Salary"</f>
        <v>FY 23 Salary</v>
      </c>
      <c r="H66" s="104" t="str">
        <f>"FY"&amp;M4-2000&amp;" Health Ben"</f>
        <v>FY23 Health Ben</v>
      </c>
      <c r="I66" s="104" t="str">
        <f>"FY "&amp;M4-2000&amp;" Var Ben"</f>
        <v>FY 23 Var Ben</v>
      </c>
      <c r="J66" s="104" t="str">
        <f>"FY "&amp;M4&amp;" Total"</f>
        <v>FY 2023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5" x14ac:dyDescent="0.25">
      <c r="A67" s="82">
        <v>9</v>
      </c>
      <c r="B67" s="83"/>
      <c r="C67" s="84" t="str">
        <f>"FY "&amp;M4</f>
        <v>FY 2023</v>
      </c>
      <c r="D67" s="108" t="s">
        <v>57</v>
      </c>
      <c r="E67" s="109"/>
      <c r="F67" s="55">
        <f>SUM(F60:F64)</f>
        <v>7.98</v>
      </c>
      <c r="G67" s="80" t="e">
        <f>SUM(G60:G64)</f>
        <v>#DIV/0!</v>
      </c>
      <c r="H67" s="80" t="e">
        <f>SUM(H60:H64)</f>
        <v>#DIV/0!</v>
      </c>
      <c r="I67" s="80" t="e">
        <f>SUM(I60:I64)</f>
        <v>#DIV/0!</v>
      </c>
      <c r="J67" s="80" t="e">
        <f>SUM(J60:J64)</f>
        <v>#DIV/0!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4"/>
      <c r="AB67" s="364"/>
      <c r="AC67" s="364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25">
      <c r="A68" s="85">
        <v>10.11</v>
      </c>
      <c r="B68" s="83"/>
      <c r="C68" s="420" t="s">
        <v>58</v>
      </c>
      <c r="D68" s="421"/>
      <c r="E68" s="112"/>
      <c r="F68" s="288"/>
      <c r="G68" s="287"/>
      <c r="H68" s="113" t="e">
        <f>IF(DUNine=0,0,ROUND(SUM(L41:L65),-2))</f>
        <v>#DIV/0!</v>
      </c>
      <c r="I68" s="113"/>
      <c r="J68" s="287" t="e">
        <f>SUM(G68:I68)</f>
        <v>#DIV/0!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4"/>
      <c r="AB68" s="364"/>
      <c r="AC68" s="364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5" x14ac:dyDescent="0.25">
      <c r="A69" s="85">
        <v>10.119999999999999</v>
      </c>
      <c r="B69" s="83"/>
      <c r="C69" s="420" t="s">
        <v>59</v>
      </c>
      <c r="D69" s="421"/>
      <c r="E69" s="112"/>
      <c r="F69" s="288"/>
      <c r="G69" s="113"/>
      <c r="H69" s="113"/>
      <c r="I69" s="113" t="e">
        <f>IF(DUNine=0,0,ROUND(SUM(M41:M64),-2))</f>
        <v>#DIV/0!</v>
      </c>
      <c r="J69" s="287" t="e">
        <f>SUM(G69:I69)</f>
        <v>#DIV/0!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4"/>
      <c r="AB69" s="364"/>
      <c r="AC69" s="364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5" x14ac:dyDescent="0.25">
      <c r="A70" s="85"/>
      <c r="B70" s="83"/>
      <c r="C70" s="407"/>
      <c r="D70" s="408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4"/>
      <c r="AB70" s="364"/>
      <c r="AC70" s="364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25">
      <c r="A71" s="85">
        <v>10.51</v>
      </c>
      <c r="B71" s="83"/>
      <c r="C71" s="409" t="s">
        <v>60</v>
      </c>
      <c r="D71" s="410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112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64"/>
      <c r="AB71" s="364"/>
      <c r="AC71" s="364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25">
      <c r="A72" s="85">
        <v>10.61</v>
      </c>
      <c r="B72" s="83"/>
      <c r="C72" s="409" t="s">
        <v>101</v>
      </c>
      <c r="D72" s="411"/>
      <c r="E72" s="290">
        <f>CECPerm</f>
        <v>0.01</v>
      </c>
      <c r="F72" s="288"/>
      <c r="G72" s="356" t="e">
        <f>IF(DUNine=0,0,IF(DUNine&lt;0,0,ROUND(AdjPermSalary*CECPerm,-2)))</f>
        <v>#DIV/0!</v>
      </c>
      <c r="H72" s="287"/>
      <c r="I72" s="287" t="e">
        <f>ROUND(($G72*PermVBBY+$G72*Retire1BY),-2)</f>
        <v>#DIV/0!</v>
      </c>
      <c r="J72" s="113" t="e">
        <f>SUM(G72:I72)</f>
        <v>#DIV/0!</v>
      </c>
      <c r="K72" s="296"/>
      <c r="L72" s="298"/>
      <c r="M72" s="350" t="e">
        <f>IF(DUNine=0,0,IF(((#REF!-G39-G40)*E72)&lt;0,0,ROUND(((#REF!-G39-G40)*E72),-2)))</f>
        <v>#DIV/0!</v>
      </c>
      <c r="N72" s="359"/>
      <c r="O72" s="358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#DIV/0!</v>
      </c>
      <c r="P72" s="358"/>
      <c r="Q72"/>
      <c r="R72"/>
      <c r="S72"/>
      <c r="T72"/>
      <c r="U72"/>
      <c r="V72"/>
      <c r="W72"/>
      <c r="X72"/>
      <c r="Y72"/>
      <c r="Z72" s="344"/>
      <c r="AA72" s="364"/>
      <c r="AB72" s="364"/>
      <c r="AC72" s="364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25">
      <c r="A73" s="85">
        <v>10.62</v>
      </c>
      <c r="B73" s="83"/>
      <c r="C73" s="409" t="s">
        <v>61</v>
      </c>
      <c r="D73" s="411"/>
      <c r="E73" s="289">
        <f>CECGroup</f>
        <v>0.01</v>
      </c>
      <c r="F73" s="288"/>
      <c r="G73" s="356" t="e">
        <f>IF(DUNine=0,0,IF(DUNine&lt;0,0,ROUND(AdjGroupSalary*CECGroup,-2)))</f>
        <v>#DIV/0!</v>
      </c>
      <c r="H73" s="287"/>
      <c r="I73" s="287" t="e">
        <f>ROUND(($G73*GroupVBBY),-2)</f>
        <v>#DIV/0!</v>
      </c>
      <c r="J73" s="113" t="e">
        <f t="shared" si="11"/>
        <v>#DIV/0!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64"/>
      <c r="AB73" s="364"/>
      <c r="AC73" s="364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25">
      <c r="A74" s="85">
        <v>10.63</v>
      </c>
      <c r="B74" s="83"/>
      <c r="C74" s="367" t="s">
        <v>62</v>
      </c>
      <c r="D74" s="369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4"/>
      <c r="AB74" s="364"/>
      <c r="AC74" s="364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25">
      <c r="A75" s="75">
        <v>11</v>
      </c>
      <c r="B75" s="76"/>
      <c r="C75" s="54" t="str">
        <f>"FY "&amp;M4</f>
        <v>FY 2023</v>
      </c>
      <c r="D75" s="77" t="s">
        <v>63</v>
      </c>
      <c r="E75" s="112"/>
      <c r="F75" s="55">
        <f>SUM(F67:F74)</f>
        <v>7.98</v>
      </c>
      <c r="G75" s="80" t="e">
        <f>SUM(G67:G74)</f>
        <v>#DIV/0!</v>
      </c>
      <c r="H75" s="80" t="e">
        <f>SUM(H67:H74)</f>
        <v>#DIV/0!</v>
      </c>
      <c r="I75" s="80" t="e">
        <f>SUM(I67:I74)</f>
        <v>#DIV/0!</v>
      </c>
      <c r="J75" s="80" t="e">
        <f>SUM(J67:K74)</f>
        <v>#DIV/0!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4"/>
      <c r="AB75" s="364"/>
      <c r="AC75" s="364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25">
      <c r="A76" s="85"/>
      <c r="B76" s="83"/>
      <c r="C76" s="412" t="s">
        <v>64</v>
      </c>
      <c r="D76" s="413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4"/>
      <c r="AB76" s="364"/>
      <c r="AC76" s="364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5" x14ac:dyDescent="0.25">
      <c r="A77" s="116">
        <v>12.01</v>
      </c>
      <c r="B77" s="57"/>
      <c r="C77" s="405"/>
      <c r="D77" s="406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4"/>
      <c r="AB77" s="364"/>
      <c r="AC77" s="364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5" x14ac:dyDescent="0.25">
      <c r="A78" s="116">
        <v>12.02</v>
      </c>
      <c r="B78" s="57"/>
      <c r="C78" s="405"/>
      <c r="D78" s="406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4"/>
      <c r="AB78" s="364"/>
      <c r="AC78" s="364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5" x14ac:dyDescent="0.25">
      <c r="A79" s="116">
        <v>12.03</v>
      </c>
      <c r="B79" s="57" t="s">
        <v>45</v>
      </c>
      <c r="C79" s="405"/>
      <c r="D79" s="406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4"/>
      <c r="AB79" s="364"/>
      <c r="AC79" s="364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25">
      <c r="A80" s="117">
        <v>13</v>
      </c>
      <c r="B80" s="118"/>
      <c r="C80" s="119" t="str">
        <f>"FY "&amp;M4</f>
        <v>FY 2023</v>
      </c>
      <c r="D80" s="120" t="s">
        <v>65</v>
      </c>
      <c r="E80" s="121"/>
      <c r="F80" s="55">
        <f>SUM(F75:F79)</f>
        <v>7.98</v>
      </c>
      <c r="G80" s="80" t="e">
        <f>SUM(G75:G79)</f>
        <v>#DIV/0!</v>
      </c>
      <c r="H80" s="80" t="e">
        <f>SUM(H75:H79)</f>
        <v>#DIV/0!</v>
      </c>
      <c r="I80" s="80" t="e">
        <f>SUM(I75:I79)</f>
        <v>#DIV/0!</v>
      </c>
      <c r="J80" s="80" t="e">
        <f>SUM(J75:J79)</f>
        <v>#DIV/0!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4"/>
      <c r="AB80" s="364"/>
      <c r="AC80" s="364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13:D13"/>
    <mergeCell ref="M1:N1"/>
    <mergeCell ref="M2:N2"/>
    <mergeCell ref="M3:N3"/>
    <mergeCell ref="M4:N4"/>
    <mergeCell ref="I5:L5"/>
    <mergeCell ref="C8:D8"/>
    <mergeCell ref="AA8:AC8"/>
    <mergeCell ref="C9:D9"/>
    <mergeCell ref="C10:D10"/>
    <mergeCell ref="C11:D11"/>
    <mergeCell ref="C12:D12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C54:D54"/>
    <mergeCell ref="C39:D39"/>
    <mergeCell ref="C41:D41"/>
    <mergeCell ref="C42:D42"/>
    <mergeCell ref="C43:D44"/>
    <mergeCell ref="K45:N45"/>
    <mergeCell ref="E46:J47"/>
    <mergeCell ref="K46:N47"/>
    <mergeCell ref="C50:D50"/>
    <mergeCell ref="C53:D53"/>
    <mergeCell ref="C69:D69"/>
    <mergeCell ref="C55:D55"/>
    <mergeCell ref="C57:D57"/>
    <mergeCell ref="C58:D58"/>
    <mergeCell ref="C59:D59"/>
    <mergeCell ref="C61:D61"/>
    <mergeCell ref="C62:D62"/>
    <mergeCell ref="C63:D63"/>
    <mergeCell ref="C64:D64"/>
    <mergeCell ref="C65:D65"/>
    <mergeCell ref="C66:D66"/>
    <mergeCell ref="C68:D68"/>
    <mergeCell ref="C78:D78"/>
    <mergeCell ref="C79:D79"/>
    <mergeCell ref="C70:D70"/>
    <mergeCell ref="C71:D71"/>
    <mergeCell ref="C72:D72"/>
    <mergeCell ref="C73:D73"/>
    <mergeCell ref="C76:D76"/>
    <mergeCell ref="C77:D77"/>
  </mergeCells>
  <conditionalFormatting sqref="K44">
    <cfRule type="expression" dxfId="43" priority="5">
      <formula>$J$44&lt;0</formula>
    </cfRule>
  </conditionalFormatting>
  <conditionalFormatting sqref="K43">
    <cfRule type="expression" dxfId="42" priority="4">
      <formula>$J$43&lt;0</formula>
    </cfRule>
  </conditionalFormatting>
  <conditionalFormatting sqref="L16">
    <cfRule type="expression" dxfId="41" priority="3">
      <formula>$J$16&lt;0</formula>
    </cfRule>
  </conditionalFormatting>
  <conditionalFormatting sqref="K45">
    <cfRule type="expression" dxfId="40" priority="2">
      <formula>$J$44&lt;0</formula>
    </cfRule>
  </conditionalFormatting>
  <conditionalFormatting sqref="K43:N45">
    <cfRule type="containsText" dxfId="39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A903989-BE94-4100-BF62-B997317C7C01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4F699A-A37F-48C9-AA31-E94AAE0D74FC}">
  <sheetPr>
    <tabColor rgb="FF7030A0"/>
    <pageSetUpPr fitToPage="1"/>
  </sheetPr>
  <dimension ref="A1:CP80"/>
  <sheetViews>
    <sheetView showGridLines="0" zoomScaleNormal="100" workbookViewId="0">
      <selection activeCell="C8" sqref="C8:N16"/>
    </sheetView>
  </sheetViews>
  <sheetFormatPr defaultColWidth="9.140625" defaultRowHeight="15.75" x14ac:dyDescent="0.25"/>
  <cols>
    <col min="1" max="1" width="7.85546875" style="124" customWidth="1"/>
    <col min="2" max="2" width="7.7109375" style="125" customWidth="1"/>
    <col min="3" max="3" width="9" style="125" customWidth="1"/>
    <col min="4" max="4" width="39.28515625" style="53" customWidth="1"/>
    <col min="5" max="5" width="13" style="126" customWidth="1"/>
    <col min="6" max="6" width="12.28515625" style="127" customWidth="1"/>
    <col min="7" max="7" width="12.140625" style="127" bestFit="1" customWidth="1"/>
    <col min="8" max="8" width="14.5703125" style="127" customWidth="1"/>
    <col min="9" max="9" width="19.5703125" style="128" bestFit="1" customWidth="1"/>
    <col min="10" max="10" width="13.7109375" style="129" customWidth="1"/>
    <col min="11" max="11" width="13.7109375" style="129" hidden="1" customWidth="1"/>
    <col min="12" max="12" width="18.42578125" style="129" customWidth="1"/>
    <col min="13" max="13" width="16.42578125" style="129" customWidth="1"/>
    <col min="14" max="14" width="16.140625" style="128" customWidth="1"/>
    <col min="15" max="25" width="16.140625" customWidth="1"/>
    <col min="26" max="26" width="16.140625" style="344" customWidth="1"/>
    <col min="27" max="27" width="22.140625" style="334" bestFit="1" customWidth="1"/>
    <col min="28" max="28" width="31.140625" style="334" bestFit="1" customWidth="1"/>
    <col min="29" max="29" width="7.85546875" style="334" bestFit="1" customWidth="1"/>
    <col min="30" max="30" width="9.140625" style="110" customWidth="1"/>
    <col min="31" max="94" width="9.140625" style="17"/>
    <col min="95" max="16384" width="9.140625" style="18"/>
  </cols>
  <sheetData>
    <row r="1" spans="1:94" x14ac:dyDescent="0.25">
      <c r="A1" s="12" t="s">
        <v>13</v>
      </c>
      <c r="B1" s="13"/>
      <c r="C1" s="13"/>
      <c r="D1" s="14" t="s">
        <v>2643</v>
      </c>
      <c r="E1" s="15"/>
      <c r="F1" s="15"/>
      <c r="G1" s="15"/>
      <c r="H1" s="15"/>
      <c r="I1" s="15"/>
      <c r="J1" s="15"/>
      <c r="K1" s="15"/>
      <c r="L1" s="16" t="s">
        <v>14</v>
      </c>
      <c r="M1" s="468">
        <v>240</v>
      </c>
      <c r="N1" s="469"/>
      <c r="AA1" s="364"/>
      <c r="AB1" s="333"/>
      <c r="AC1" s="333"/>
      <c r="AD1" s="325"/>
    </row>
    <row r="2" spans="1:94" ht="20.25" x14ac:dyDescent="0.25">
      <c r="A2" s="19" t="s">
        <v>116</v>
      </c>
      <c r="B2" s="20"/>
      <c r="C2" s="20"/>
      <c r="D2" s="14" t="s">
        <v>2643</v>
      </c>
      <c r="E2" s="21"/>
      <c r="F2" s="21"/>
      <c r="G2" s="21"/>
      <c r="H2" s="21"/>
      <c r="I2" s="21"/>
      <c r="J2" s="20"/>
      <c r="K2" s="20"/>
      <c r="L2" s="22" t="s">
        <v>113</v>
      </c>
      <c r="M2" s="470" t="s">
        <v>2647</v>
      </c>
      <c r="N2" s="471"/>
      <c r="AA2" s="333"/>
      <c r="AB2" s="333"/>
      <c r="AC2" s="333"/>
      <c r="AD2" s="325"/>
    </row>
    <row r="3" spans="1:94" x14ac:dyDescent="0.25">
      <c r="A3" s="19" t="s">
        <v>117</v>
      </c>
      <c r="B3" s="20"/>
      <c r="C3" s="20"/>
      <c r="D3" s="23" t="s">
        <v>2705</v>
      </c>
      <c r="E3" s="24"/>
      <c r="F3" s="25"/>
      <c r="G3" s="25"/>
      <c r="H3" s="25"/>
      <c r="I3" s="26"/>
      <c r="J3" s="20"/>
      <c r="K3" s="20"/>
      <c r="L3" s="22" t="s">
        <v>114</v>
      </c>
      <c r="M3" s="468" t="s">
        <v>1945</v>
      </c>
      <c r="N3" s="469"/>
      <c r="AA3" s="364"/>
      <c r="AB3" s="333"/>
      <c r="AC3" s="333"/>
      <c r="AD3" s="325"/>
    </row>
    <row r="4" spans="1:94" x14ac:dyDescent="0.25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68">
        <v>2023</v>
      </c>
      <c r="N4" s="469"/>
      <c r="AA4" s="364"/>
      <c r="AB4" s="333"/>
      <c r="AC4" s="333"/>
      <c r="AD4" s="325"/>
    </row>
    <row r="5" spans="1:94" s="34" customFormat="1" ht="18" customHeight="1" x14ac:dyDescent="0.25">
      <c r="A5" s="19" t="s">
        <v>16</v>
      </c>
      <c r="B5" s="20"/>
      <c r="C5" s="20"/>
      <c r="D5" s="351">
        <v>44440</v>
      </c>
      <c r="E5" s="27"/>
      <c r="F5" s="30"/>
      <c r="G5" s="31"/>
      <c r="H5" s="31" t="s">
        <v>17</v>
      </c>
      <c r="I5" s="470" t="s">
        <v>2645</v>
      </c>
      <c r="J5" s="472"/>
      <c r="K5" s="472"/>
      <c r="L5" s="471"/>
      <c r="M5" s="352" t="s">
        <v>115</v>
      </c>
      <c r="N5" s="32" t="s">
        <v>2646</v>
      </c>
      <c r="O5"/>
      <c r="P5"/>
      <c r="Q5"/>
      <c r="R5"/>
      <c r="S5"/>
      <c r="T5"/>
      <c r="U5"/>
      <c r="V5"/>
      <c r="W5"/>
      <c r="X5"/>
      <c r="Y5"/>
      <c r="Z5" s="344"/>
      <c r="AA5" s="364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25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84</v>
      </c>
      <c r="K6" s="31"/>
      <c r="L6" s="353"/>
      <c r="M6" s="354" t="s">
        <v>85</v>
      </c>
      <c r="N6" s="306"/>
      <c r="AA6" s="364"/>
      <c r="AB6" s="333"/>
      <c r="AC6" s="333"/>
      <c r="AD6" s="325"/>
    </row>
    <row r="7" spans="1:94" x14ac:dyDescent="0.25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25">
      <c r="A8" s="48" t="s">
        <v>20</v>
      </c>
      <c r="B8" s="370" t="s">
        <v>21</v>
      </c>
      <c r="C8" s="473" t="s">
        <v>22</v>
      </c>
      <c r="D8" s="474"/>
      <c r="E8" s="370" t="s">
        <v>23</v>
      </c>
      <c r="F8" s="49" t="s">
        <v>24</v>
      </c>
      <c r="G8" s="50" t="str">
        <f>"FY "&amp;'EMUI|0001-00'!FiscalYear-1&amp;" SALARY"</f>
        <v>FY 2022 SALARY</v>
      </c>
      <c r="H8" s="50" t="str">
        <f>"FY "&amp;'EMUI|0001-00'!FiscalYear-1&amp;" HEALTH BENEFITS"</f>
        <v>FY 2022 HEALTH BENEFITS</v>
      </c>
      <c r="I8" s="50" t="str">
        <f>"FY "&amp;'EMUI|0001-00'!FiscalYear-1&amp;" VAR BENEFITS"</f>
        <v>FY 2022 VAR BENEFITS</v>
      </c>
      <c r="J8" s="50" t="str">
        <f>"FY "&amp;'EMUI|0001-00'!FiscalYear-1&amp;" TOTAL"</f>
        <v>FY 2022 TOTAL</v>
      </c>
      <c r="K8" s="50" t="str">
        <f>"FY "&amp;'EMUI|0001-00'!FiscalYear&amp;" SALARY CHANGE"</f>
        <v>FY 2023 SALARY CHANGE</v>
      </c>
      <c r="L8" s="50" t="str">
        <f>"FY "&amp;'EMUI|0001-00'!FiscalYear&amp;" CHG HEALTH BENEFITS"</f>
        <v>FY 2023 CHG HEALTH BENEFITS</v>
      </c>
      <c r="M8" s="50" t="str">
        <f>"FY "&amp;'EMUI|0001-00'!FiscalYear&amp;" CHG VAR BENEFITS"</f>
        <v>FY 2023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64" t="s">
        <v>105</v>
      </c>
      <c r="AB8" s="464"/>
      <c r="AC8" s="464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25">
      <c r="A9" s="139"/>
      <c r="B9" s="140"/>
      <c r="C9" s="465" t="s">
        <v>26</v>
      </c>
      <c r="D9" s="466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4" t="s">
        <v>94</v>
      </c>
      <c r="AB9" s="333" t="s">
        <v>95</v>
      </c>
      <c r="AC9" s="333" t="s">
        <v>106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25">
      <c r="A10" s="139"/>
      <c r="B10" s="139"/>
      <c r="C10" s="444" t="s">
        <v>27</v>
      </c>
      <c r="D10" s="467"/>
      <c r="E10" s="217">
        <v>1</v>
      </c>
      <c r="F10" s="288">
        <f>[0]!EMUI000100col_INC_FTI</f>
        <v>5.9</v>
      </c>
      <c r="G10" s="218">
        <f>[0]!EMUI000100col_FTI_SALARY_PERM</f>
        <v>287260.48</v>
      </c>
      <c r="H10" s="218">
        <f>[0]!EMUI000100col_HEALTH_PERM</f>
        <v>68735</v>
      </c>
      <c r="I10" s="218">
        <f>[0]!EMUI000100col_TOT_VB_PERM</f>
        <v>62118.642497600005</v>
      </c>
      <c r="J10" s="219">
        <f>SUM(G10:I10)</f>
        <v>418114.12249759998</v>
      </c>
      <c r="K10" s="219">
        <f>[0]!EMUI000100col_1_27TH_PP</f>
        <v>0</v>
      </c>
      <c r="L10" s="218">
        <f>[0]!EMUI000100col_HEALTH_PERM_CHG</f>
        <v>0</v>
      </c>
      <c r="M10" s="218">
        <f>[0]!EMUI000100col_TOT_VB_PERM_CHG</f>
        <v>-1206.4940160000001</v>
      </c>
      <c r="N10" s="218">
        <f>SUM(L10:M10)</f>
        <v>-1206.4940160000001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2900</v>
      </c>
      <c r="AB10" s="335">
        <f>ROUND(PermVarBen*CECPerm+(CECPerm*PermVarBenChg),-2)</f>
        <v>600</v>
      </c>
      <c r="AC10" s="335">
        <f>SUM(AA10:AB10)</f>
        <v>3500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25">
      <c r="A11" s="139"/>
      <c r="B11" s="139"/>
      <c r="C11" s="444" t="s">
        <v>28</v>
      </c>
      <c r="D11" s="467"/>
      <c r="E11" s="217">
        <v>2</v>
      </c>
      <c r="F11" s="288"/>
      <c r="G11" s="218">
        <f>[0]!EMUI000100col_Group_Salary</f>
        <v>0</v>
      </c>
      <c r="H11" s="218">
        <v>0</v>
      </c>
      <c r="I11" s="218">
        <f>[0]!EMUI000100col_Group_Ben</f>
        <v>0</v>
      </c>
      <c r="J11" s="219">
        <f>SUM(G11:I11)</f>
        <v>0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0</v>
      </c>
      <c r="AB11" s="335">
        <f>ROUND((GroupSalary*GroupVBBY)*CECGroup,-2)</f>
        <v>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25">
      <c r="A12" s="139"/>
      <c r="B12" s="139"/>
      <c r="C12" s="444" t="s">
        <v>29</v>
      </c>
      <c r="D12" s="445"/>
      <c r="E12" s="217">
        <v>3</v>
      </c>
      <c r="F12" s="288">
        <f>[0]!EMUI000100col_TOTAL_ELECT_PCN_FTI</f>
        <v>0</v>
      </c>
      <c r="G12" s="218">
        <f>[0]!EMUI000100col_FTI_SALARY_ELECT</f>
        <v>0</v>
      </c>
      <c r="H12" s="218">
        <f>[0]!EMUI000100col_HEALTH_ELECT</f>
        <v>0</v>
      </c>
      <c r="I12" s="218">
        <f>[0]!EMUI000100col_TOT_VB_ELECT</f>
        <v>0</v>
      </c>
      <c r="J12" s="219">
        <f>SUM(G12:I12)</f>
        <v>0</v>
      </c>
      <c r="K12" s="268"/>
      <c r="L12" s="218">
        <f>[0]!EMUI000100col_HEALTH_ELECT_CHG</f>
        <v>0</v>
      </c>
      <c r="M12" s="218">
        <f>[0]!EMUI000100col_TOT_VB_ELECT_CHG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25">
      <c r="A13" s="139"/>
      <c r="B13" s="139"/>
      <c r="C13" s="444" t="s">
        <v>30</v>
      </c>
      <c r="D13" s="467"/>
      <c r="E13" s="217"/>
      <c r="F13" s="220">
        <f>SUM(F10:F12)</f>
        <v>5.9</v>
      </c>
      <c r="G13" s="221">
        <f>SUM(G10:G12)</f>
        <v>287260.48</v>
      </c>
      <c r="H13" s="221">
        <f>SUM(H10:H12)</f>
        <v>68735</v>
      </c>
      <c r="I13" s="221">
        <f>SUM(I10:I12)</f>
        <v>62118.642497600005</v>
      </c>
      <c r="J13" s="219">
        <f>SUM(G13:I13)</f>
        <v>418114.12249759998</v>
      </c>
      <c r="K13" s="268"/>
      <c r="L13" s="219">
        <f>SUM(L10:L12)</f>
        <v>0</v>
      </c>
      <c r="M13" s="219">
        <f>SUM(M10:M12)</f>
        <v>-1206.4940160000001</v>
      </c>
      <c r="N13" s="219">
        <f>SUM(N10:N12)</f>
        <v>-1206.4940160000001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5" customHeight="1" x14ac:dyDescent="0.25">
      <c r="A14" s="139"/>
      <c r="B14" s="139"/>
      <c r="C14" s="365"/>
      <c r="D14" s="371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25">
      <c r="A15" s="139"/>
      <c r="B15" s="156"/>
      <c r="C15" s="157" t="str">
        <f>"FY "&amp;'EMUI|0001-00'!FiscalYear-1</f>
        <v>FY 2022</v>
      </c>
      <c r="D15" s="158" t="s">
        <v>31</v>
      </c>
      <c r="E15" s="355">
        <v>334400</v>
      </c>
      <c r="F15" s="55">
        <v>6</v>
      </c>
      <c r="G15" s="223">
        <f>IF(OrigApprop=0,0,(G13/$J$13)*OrigApprop)</f>
        <v>229745.6587646149</v>
      </c>
      <c r="H15" s="223">
        <f>IF(OrigApprop=0,0,(H13/$J$13)*OrigApprop)</f>
        <v>54972.991255830959</v>
      </c>
      <c r="I15" s="223">
        <f>IF(G15=0,0,(I13/$J$13)*OrigApprop)</f>
        <v>49681.34997955415</v>
      </c>
      <c r="J15" s="223">
        <f>SUM(G15:I15)</f>
        <v>334400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25">
      <c r="A16" s="139"/>
      <c r="B16" s="139"/>
      <c r="C16" s="454" t="s">
        <v>32</v>
      </c>
      <c r="D16" s="455"/>
      <c r="E16" s="160" t="s">
        <v>33</v>
      </c>
      <c r="F16" s="161">
        <f>F15-F13</f>
        <v>9.9999999999999645E-2</v>
      </c>
      <c r="G16" s="162">
        <f>G15-G13</f>
        <v>-57514.821235385083</v>
      </c>
      <c r="H16" s="162">
        <f>H15-H13</f>
        <v>-13762.008744169041</v>
      </c>
      <c r="I16" s="162">
        <f>I15-I13</f>
        <v>-12437.292518045855</v>
      </c>
      <c r="J16" s="162">
        <f>J15-J13</f>
        <v>-83714.122497599979</v>
      </c>
      <c r="K16" s="269"/>
      <c r="L16" s="56" t="str">
        <f>IF('EMUI|0001-00'!OrigApprop=0,"ERROR! Enter Original Appropriation amount in DU 3.00!","Calculated "&amp;IF('EMUI|0001-00'!AdjustedTotal&gt;0,"overfunding ","underfunding ")&amp;"is "&amp;TEXT('EMUI|0001-00'!AdjustedTotal/'EMUI|0001-00'!AppropTotal,"#.0%;(#.0% );0% ;")&amp;" of Original Appropriation")</f>
        <v>Calculated underfunding is (25.0% ) of Original Appropriation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25">
      <c r="A17" s="139"/>
      <c r="B17" s="139"/>
      <c r="C17" s="456" t="s">
        <v>34</v>
      </c>
      <c r="D17" s="457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25">
      <c r="A18" s="139"/>
      <c r="B18" s="168"/>
      <c r="C18" s="458" t="s">
        <v>35</v>
      </c>
      <c r="D18" s="459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5.5" x14ac:dyDescent="0.25">
      <c r="A19" s="238"/>
      <c r="B19" s="202"/>
      <c r="C19" s="239" t="s">
        <v>86</v>
      </c>
      <c r="D19" s="240" t="s">
        <v>87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4"/>
      <c r="AB19" s="364"/>
      <c r="AC19" s="364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5" x14ac:dyDescent="0.25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4"/>
      <c r="AB20" s="364"/>
      <c r="AC20" s="364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5" x14ac:dyDescent="0.25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4"/>
      <c r="AB21" s="364"/>
      <c r="AC21" s="364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5" x14ac:dyDescent="0.25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4"/>
      <c r="AB22" s="364"/>
      <c r="AC22" s="364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5" x14ac:dyDescent="0.25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4"/>
      <c r="AB23" s="364"/>
      <c r="AC23" s="364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5" x14ac:dyDescent="0.25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4"/>
      <c r="AC24" s="364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5" x14ac:dyDescent="0.25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4"/>
      <c r="AC25" s="364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5" x14ac:dyDescent="0.25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4"/>
      <c r="AC26" s="364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5" x14ac:dyDescent="0.25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4"/>
      <c r="AB27" s="364"/>
      <c r="AC27" s="364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5" x14ac:dyDescent="0.25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4"/>
      <c r="AB28" s="364"/>
      <c r="AC28" s="364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5" x14ac:dyDescent="0.25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4"/>
      <c r="AB29" s="364"/>
      <c r="AC29" s="364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5" x14ac:dyDescent="0.25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4"/>
      <c r="AB30" s="364"/>
      <c r="AC30" s="364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5" x14ac:dyDescent="0.25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4"/>
      <c r="AB31" s="364"/>
      <c r="AC31" s="364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5" x14ac:dyDescent="0.25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4"/>
      <c r="AB32" s="364"/>
      <c r="AC32" s="364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5" x14ac:dyDescent="0.25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4"/>
      <c r="AB33" s="364"/>
      <c r="AC33" s="364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5" x14ac:dyDescent="0.25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4"/>
      <c r="AB34" s="364"/>
      <c r="AC34" s="364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5" x14ac:dyDescent="0.25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4"/>
      <c r="AB35" s="364"/>
      <c r="AC35" s="364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5" x14ac:dyDescent="0.25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4" t="s">
        <v>94</v>
      </c>
      <c r="AB36" s="333" t="s">
        <v>95</v>
      </c>
      <c r="AC36" s="333" t="s">
        <v>106</v>
      </c>
      <c r="AD36" s="330"/>
    </row>
    <row r="37" spans="1:94" s="153" customFormat="1" ht="17.25" customHeight="1" x14ac:dyDescent="0.25">
      <c r="A37" s="139"/>
      <c r="B37" s="188"/>
      <c r="C37" s="460" t="s">
        <v>37</v>
      </c>
      <c r="D37" s="461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62" t="s">
        <v>107</v>
      </c>
      <c r="AB37" s="463"/>
      <c r="AC37" s="463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5" x14ac:dyDescent="0.25">
      <c r="A38" s="139"/>
      <c r="B38" s="188"/>
      <c r="C38" s="444" t="str">
        <f>perm_name</f>
        <v>Permanent Positions</v>
      </c>
      <c r="D38" s="445"/>
      <c r="E38" s="189">
        <v>1</v>
      </c>
      <c r="F38" s="190">
        <f>SUMIF($E9:$E35,$E38,$F9:$F35)</f>
        <v>5.9</v>
      </c>
      <c r="G38" s="191">
        <f>SUMIF($E10:$E35,$E38,$G10:$G35)</f>
        <v>287260.48</v>
      </c>
      <c r="H38" s="192">
        <f>SUMIF($E10:$E35,$E38,$H10:$H35)</f>
        <v>68735</v>
      </c>
      <c r="I38" s="192">
        <f>SUMIF($E10:$E35,$E38,$I10:$I35)</f>
        <v>62118.642497600005</v>
      </c>
      <c r="J38" s="192">
        <f>SUM(G38:I38)</f>
        <v>418114.12249759998</v>
      </c>
      <c r="K38" s="166"/>
      <c r="L38" s="191">
        <f>SUMIF($E10:$E35,$E38,$L10:$L35)</f>
        <v>0</v>
      </c>
      <c r="M38" s="192">
        <f>SUMIF($E10:$E35,$E38,$M10:$M35)</f>
        <v>-1206.4940160000001</v>
      </c>
      <c r="N38" s="192">
        <f>SUM(L38:M38)</f>
        <v>-1206.4940160000001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2900</v>
      </c>
      <c r="AB38" s="338">
        <f>ROUND((AdjPermVB*CECPerm+AdjPermVBBY*CECPerm),-2)</f>
        <v>600</v>
      </c>
      <c r="AC38" s="338">
        <f>SUM(AA38:AB38)</f>
        <v>3500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5" x14ac:dyDescent="0.25">
      <c r="A39" s="139"/>
      <c r="B39" s="188"/>
      <c r="C39" s="444" t="str">
        <f>Group_name</f>
        <v>Board &amp; Group Positions</v>
      </c>
      <c r="D39" s="445"/>
      <c r="E39" s="189">
        <v>2</v>
      </c>
      <c r="F39" s="151">
        <f>SUMIF($E9:$E35,$E39,$F9:$F35)</f>
        <v>0</v>
      </c>
      <c r="G39" s="193">
        <f>SUMIF($E10:$E35,$E39,$G10:$G35)</f>
        <v>0</v>
      </c>
      <c r="H39" s="152">
        <f>SUMIF($E10:$E35,$E39,$H10:$H35)</f>
        <v>0</v>
      </c>
      <c r="I39" s="152">
        <f>SUMIF($E10:$E35,$E39,$I10:$I35)</f>
        <v>0</v>
      </c>
      <c r="J39" s="152">
        <f>SUM(G39:I39)</f>
        <v>0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0</v>
      </c>
      <c r="AB39" s="338">
        <f>ROUND(AdjGroupVB*CECGroup,-2)</f>
        <v>0</v>
      </c>
      <c r="AC39" s="338">
        <f>SUM(AA39:AB39)</f>
        <v>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5" x14ac:dyDescent="0.25">
      <c r="A40" s="139"/>
      <c r="B40" s="188"/>
      <c r="C40" s="365" t="str">
        <f>Elect_name</f>
        <v>Elected Officials &amp; Full Time Commissioners</v>
      </c>
      <c r="D40" s="366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4"/>
      <c r="AB40" s="364"/>
      <c r="AC40" s="364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5" x14ac:dyDescent="0.25">
      <c r="A41" s="139"/>
      <c r="B41" s="188"/>
      <c r="C41" s="444" t="s">
        <v>38</v>
      </c>
      <c r="D41" s="445"/>
      <c r="E41" s="189"/>
      <c r="F41" s="161">
        <f>SUM(F38:F40)</f>
        <v>5.9</v>
      </c>
      <c r="G41" s="195">
        <f>SUM($G$38:$G$40)</f>
        <v>287260.48</v>
      </c>
      <c r="H41" s="162">
        <f>SUM($H$38:$H$40)</f>
        <v>68735</v>
      </c>
      <c r="I41" s="162">
        <f>SUM($I$38:$I$40)</f>
        <v>62118.642497600005</v>
      </c>
      <c r="J41" s="162">
        <f>SUM($J$38:$J$40)</f>
        <v>418114.12249759998</v>
      </c>
      <c r="K41" s="259"/>
      <c r="L41" s="195">
        <f>SUM($L$38:$L$40)</f>
        <v>0</v>
      </c>
      <c r="M41" s="162">
        <f>SUM($M$38:$M$40)</f>
        <v>-1206.4940160000001</v>
      </c>
      <c r="N41" s="162">
        <f>SUM(L41:M41)</f>
        <v>-1206.4940160000001</v>
      </c>
      <c r="O41"/>
      <c r="P41"/>
      <c r="Q41"/>
      <c r="R41"/>
      <c r="S41"/>
      <c r="T41"/>
      <c r="U41"/>
      <c r="V41"/>
      <c r="W41"/>
      <c r="X41"/>
      <c r="Y41"/>
      <c r="Z41" s="344"/>
      <c r="AA41" s="364" t="s">
        <v>94</v>
      </c>
      <c r="AB41" s="333" t="s">
        <v>95</v>
      </c>
      <c r="AC41" s="333" t="s">
        <v>106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25">
      <c r="A42" s="139"/>
      <c r="B42" s="188"/>
      <c r="C42" s="446"/>
      <c r="D42" s="447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4"/>
      <c r="AB42" s="364"/>
      <c r="AC42" s="364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25">
      <c r="A43" s="139"/>
      <c r="B43" s="202"/>
      <c r="C43" s="448" t="s">
        <v>39</v>
      </c>
      <c r="D43" s="449"/>
      <c r="E43" s="203" t="s">
        <v>40</v>
      </c>
      <c r="F43" s="205">
        <f>ROUND(F51-F41,2)</f>
        <v>0.1</v>
      </c>
      <c r="G43" s="206">
        <f>ROUND(G51-G41,-2)</f>
        <v>-57500</v>
      </c>
      <c r="H43" s="159">
        <f>ROUND(H51-H41,-2)</f>
        <v>-13800</v>
      </c>
      <c r="I43" s="159">
        <f>ROUND(I51-I41,-2)</f>
        <v>-12400</v>
      </c>
      <c r="J43" s="159">
        <f>SUM(G43:I43)</f>
        <v>-83700</v>
      </c>
      <c r="K43" s="425" t="str">
        <f>IF(E51=0,"ERROR! Enter Original Appropriation amount in DU 3.00!","Calculated "&amp;IF(J43&gt;0,"overfunding ","underfunding ")&amp;"is "&amp;TEXT(J43/J51,"#.0%;(#.0% );0% ;")&amp;" of Original Appropriation")</f>
        <v>Calculated underfunding is (25.0% ) of Original Appropriation</v>
      </c>
      <c r="L43" s="426"/>
      <c r="M43" s="426"/>
      <c r="N43" s="427"/>
      <c r="O43"/>
      <c r="P43"/>
      <c r="Q43"/>
      <c r="R43"/>
      <c r="S43"/>
      <c r="T43"/>
      <c r="U43"/>
      <c r="V43"/>
      <c r="W43"/>
      <c r="X43"/>
      <c r="Y43"/>
      <c r="Z43" s="344"/>
      <c r="AA43" s="452" t="s">
        <v>108</v>
      </c>
      <c r="AB43" s="453"/>
      <c r="AC43" s="453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25">
      <c r="A44" s="139"/>
      <c r="B44" s="202"/>
      <c r="C44" s="450"/>
      <c r="D44" s="451"/>
      <c r="E44" s="204" t="s">
        <v>41</v>
      </c>
      <c r="F44" s="205">
        <f>ROUND(F60-F41,2)</f>
        <v>0.1</v>
      </c>
      <c r="G44" s="206">
        <f>ROUND(G60-G41,-2)</f>
        <v>-57600</v>
      </c>
      <c r="H44" s="159">
        <f>ROUND(H60-H41,-2)</f>
        <v>-13700</v>
      </c>
      <c r="I44" s="159">
        <f>ROUND(I60-I41,-2)</f>
        <v>-12400</v>
      </c>
      <c r="J44" s="159">
        <f>SUM(G44:I44)</f>
        <v>-83700</v>
      </c>
      <c r="K44" s="425" t="str">
        <f>IF(E51=0,"ERROR! Enter Original Appropriation amount in DU 3.00!","Calculated "&amp;IF(J44&gt;0,"overfunding ","underfunding ")&amp;"is "&amp;TEXT(J44/J60,"#.0%;(#.0% );0% ;")&amp;" of Estimated Expenditures")</f>
        <v>Calculated underfunding is (25.0% ) of Estimated Expenditures</v>
      </c>
      <c r="L44" s="426"/>
      <c r="M44" s="426"/>
      <c r="N44" s="427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25">
      <c r="A45" s="139"/>
      <c r="B45" s="202"/>
      <c r="C45" s="215"/>
      <c r="D45" s="215"/>
      <c r="E45" s="204" t="s">
        <v>99</v>
      </c>
      <c r="F45" s="205">
        <f>ROUND(F67-F41-F63,2)</f>
        <v>0.1</v>
      </c>
      <c r="G45" s="206">
        <f>ROUND(G67-G41-G63,-2)</f>
        <v>-57600</v>
      </c>
      <c r="H45" s="206">
        <f>ROUND(H67-H41-H63,-2)</f>
        <v>-13700</v>
      </c>
      <c r="I45" s="206">
        <f>ROUND(I67-I41-I63,-2)</f>
        <v>-12400</v>
      </c>
      <c r="J45" s="159">
        <f>SUM(G45:I45)</f>
        <v>-83700</v>
      </c>
      <c r="K45" s="425" t="str">
        <f>IF(J67=0,"Program has a zero base",IF(E51=0,"ERROR! Enter Original Appropriation amount in DU 3.00!","Calculated "&amp;IF(J45&gt;0,"overfunding ","underfunding ")&amp;"is "&amp;TEXT(J45/J67,"#.0%;(#.0% );0% ;")&amp;" of the Base"))</f>
        <v>Calculated underfunding is (25.0% ) of the Base</v>
      </c>
      <c r="L45" s="426"/>
      <c r="M45" s="426"/>
      <c r="N45" s="427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0</v>
      </c>
      <c r="AC45" s="338">
        <f>SUM(AA45:AB45)</f>
        <v>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25">
      <c r="A46" s="139"/>
      <c r="B46" s="202"/>
      <c r="C46" s="215"/>
      <c r="D46" s="215"/>
      <c r="E46" s="428" t="s">
        <v>100</v>
      </c>
      <c r="F46" s="429"/>
      <c r="G46" s="429"/>
      <c r="H46" s="429"/>
      <c r="I46" s="429"/>
      <c r="J46" s="430"/>
      <c r="K46" s="434" t="str">
        <f>IF(OR(J45&lt;0,F45&lt;0),"You may not have sufficient funding or authorized FTP, and may need to make additional adjustments to finalize this form.  Please contact both your DFM and LSO analysts.","")</f>
        <v>You may not have sufficient funding or authorized FTP, and may need to make additional adjustments to finalize this form.  Please contact both your DFM and LSO analysts.</v>
      </c>
      <c r="L46" s="435"/>
      <c r="M46" s="435"/>
      <c r="N46" s="436"/>
      <c r="O46"/>
      <c r="P46"/>
      <c r="Q46"/>
      <c r="R46"/>
      <c r="S46"/>
      <c r="T46"/>
      <c r="U46"/>
      <c r="V46"/>
      <c r="W46"/>
      <c r="X46"/>
      <c r="Y46"/>
      <c r="Z46" s="344"/>
      <c r="AA46" s="364"/>
      <c r="AB46" s="364"/>
      <c r="AC46" s="364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25">
      <c r="A47" s="139"/>
      <c r="B47" s="202"/>
      <c r="C47" s="215"/>
      <c r="D47" s="215"/>
      <c r="E47" s="431"/>
      <c r="F47" s="432"/>
      <c r="G47" s="432"/>
      <c r="H47" s="432"/>
      <c r="I47" s="432"/>
      <c r="J47" s="433"/>
      <c r="K47" s="437"/>
      <c r="L47" s="438"/>
      <c r="M47" s="438"/>
      <c r="N47" s="439"/>
      <c r="O47"/>
      <c r="P47"/>
      <c r="Q47"/>
      <c r="R47"/>
      <c r="S47"/>
      <c r="T47"/>
      <c r="U47"/>
      <c r="V47"/>
      <c r="W47"/>
      <c r="X47"/>
      <c r="Y47"/>
      <c r="Z47" s="344"/>
      <c r="AA47" s="364"/>
      <c r="AB47" s="364"/>
      <c r="AC47" s="364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25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25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4"/>
      <c r="AB49" s="364"/>
      <c r="AC49" s="364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25">
      <c r="A50" s="257" t="s">
        <v>42</v>
      </c>
      <c r="B50" s="71"/>
      <c r="C50" s="440"/>
      <c r="D50" s="441"/>
      <c r="E50" s="72" t="s">
        <v>43</v>
      </c>
      <c r="F50" s="73" t="s">
        <v>24</v>
      </c>
      <c r="G50" s="72" t="str">
        <f>"FY "&amp;M4-2001&amp;" Salary"</f>
        <v>FY 22 Salary</v>
      </c>
      <c r="H50" s="72" t="str">
        <f>"FY "&amp;M4-2001&amp;" Health Ben"</f>
        <v>FY 22 Health Ben</v>
      </c>
      <c r="I50" s="72" t="str">
        <f>"FY "&amp;M4-2001&amp;" Var Ben"</f>
        <v>FY 22 Var Ben</v>
      </c>
      <c r="J50" s="72" t="str">
        <f>"FY "&amp;M4-1&amp;" Total"</f>
        <v>FY 2022 Total</v>
      </c>
      <c r="K50" s="307" t="str">
        <f>"FY "&amp;FiscalYear&amp;" SALARY CHG"</f>
        <v>FY 2023 SALARY CHG</v>
      </c>
      <c r="L50" s="74" t="str">
        <f>"FY "&amp;M4-2000&amp;" Chg Health Bens"</f>
        <v>FY 23 Chg Health Bens</v>
      </c>
      <c r="M50" s="74" t="str">
        <f>"FY "&amp;M4-2000&amp;" Chg Var Bens"</f>
        <v>FY 23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4"/>
      <c r="AB50" s="364"/>
      <c r="AC50" s="364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25">
      <c r="A51" s="75">
        <v>3</v>
      </c>
      <c r="B51" s="76" t="s">
        <v>45</v>
      </c>
      <c r="C51" s="54" t="str">
        <f>"FY "&amp;M4-1</f>
        <v>FY 2022</v>
      </c>
      <c r="D51" s="77" t="s">
        <v>31</v>
      </c>
      <c r="E51" s="78">
        <f>OrigApprop</f>
        <v>334400</v>
      </c>
      <c r="F51" s="272">
        <f>AppropFTP</f>
        <v>6</v>
      </c>
      <c r="G51" s="274">
        <f>IF(E51=0,0,(G41/$J$41)*$E$51)</f>
        <v>229745.6587646149</v>
      </c>
      <c r="H51" s="274">
        <f>IF(E51=0,0,(H41/$J$41)*$E$51)</f>
        <v>54972.991255830959</v>
      </c>
      <c r="I51" s="275">
        <f>IF(E51=0,0,(I41/$J$41)*$E$51)</f>
        <v>49681.34997955415</v>
      </c>
      <c r="J51" s="90">
        <f>SUM(G51:I51)</f>
        <v>334400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4"/>
      <c r="AC51" s="364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25">
      <c r="A52" s="82"/>
      <c r="B52" s="83"/>
      <c r="C52" s="84"/>
      <c r="D52" s="132" t="s">
        <v>46</v>
      </c>
      <c r="E52" s="133"/>
      <c r="F52" s="55">
        <f>F51</f>
        <v>6</v>
      </c>
      <c r="G52" s="79">
        <f>ROUND(G51,-2)</f>
        <v>229700</v>
      </c>
      <c r="H52" s="79">
        <f>ROUND(H51,-2)</f>
        <v>55000</v>
      </c>
      <c r="I52" s="266">
        <f>ROUND(I51,-2)</f>
        <v>49700</v>
      </c>
      <c r="J52" s="80">
        <f>ROUND(J51,-2)</f>
        <v>334400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4"/>
      <c r="AC52" s="364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5" x14ac:dyDescent="0.25">
      <c r="A53" s="85"/>
      <c r="B53" s="83"/>
      <c r="C53" s="442" t="s">
        <v>47</v>
      </c>
      <c r="D53" s="443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4"/>
      <c r="AB53" s="364"/>
      <c r="AC53" s="364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25">
      <c r="A54" s="85">
        <v>4.1100000000000003</v>
      </c>
      <c r="B54" s="83"/>
      <c r="C54" s="409" t="s">
        <v>48</v>
      </c>
      <c r="D54" s="410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4"/>
      <c r="AB54" s="364"/>
      <c r="AC54" s="364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25">
      <c r="A55" s="85">
        <v>4.3099999999999996</v>
      </c>
      <c r="B55" s="83"/>
      <c r="C55" s="422" t="s">
        <v>49</v>
      </c>
      <c r="D55" s="423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4"/>
      <c r="AB55" s="364"/>
      <c r="AC55" s="364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25">
      <c r="A56" s="75">
        <v>5</v>
      </c>
      <c r="B56" s="76"/>
      <c r="C56" s="54" t="str">
        <f>"FY "&amp;M4-1</f>
        <v>FY 2022</v>
      </c>
      <c r="D56" s="131" t="s">
        <v>50</v>
      </c>
      <c r="E56" s="135"/>
      <c r="F56" s="55">
        <f>SUM(F52:F55)</f>
        <v>6</v>
      </c>
      <c r="G56" s="80">
        <f>SUM(G52:G55)</f>
        <v>229700</v>
      </c>
      <c r="H56" s="80">
        <f>SUM(H52:H55)</f>
        <v>55000</v>
      </c>
      <c r="I56" s="260">
        <f>SUM(I52:I55)</f>
        <v>49700</v>
      </c>
      <c r="J56" s="80">
        <f>SUM(J52:J55)</f>
        <v>334400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4"/>
      <c r="AB56" s="364"/>
      <c r="AC56" s="364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25">
      <c r="A57" s="85"/>
      <c r="B57" s="83"/>
      <c r="C57" s="420" t="s">
        <v>51</v>
      </c>
      <c r="D57" s="424"/>
      <c r="E57" s="368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4"/>
      <c r="AB57" s="364"/>
      <c r="AC57" s="364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25">
      <c r="A58" s="85">
        <v>6.31</v>
      </c>
      <c r="B58" s="83"/>
      <c r="C58" s="409" t="s">
        <v>52</v>
      </c>
      <c r="D58" s="410"/>
      <c r="E58" s="102"/>
      <c r="F58" s="58">
        <v>0</v>
      </c>
      <c r="G58" s="88">
        <v>0</v>
      </c>
      <c r="H58" s="88">
        <v>0</v>
      </c>
      <c r="I58" s="265">
        <v>0</v>
      </c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4"/>
      <c r="AB58" s="364"/>
      <c r="AC58" s="364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25">
      <c r="A59" s="85">
        <v>6.51</v>
      </c>
      <c r="B59" s="83"/>
      <c r="C59" s="422" t="s">
        <v>66</v>
      </c>
      <c r="D59" s="423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4"/>
      <c r="AB59" s="364"/>
      <c r="AC59" s="364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25">
      <c r="A60" s="75">
        <v>7</v>
      </c>
      <c r="B60" s="76"/>
      <c r="C60" s="54" t="str">
        <f>"FY "&amp;M4-1</f>
        <v>FY 2022</v>
      </c>
      <c r="D60" s="131" t="s">
        <v>53</v>
      </c>
      <c r="E60" s="135"/>
      <c r="F60" s="55">
        <f>SUM(F56:F59)</f>
        <v>6</v>
      </c>
      <c r="G60" s="80">
        <f>SUM(G56:G59)</f>
        <v>229700</v>
      </c>
      <c r="H60" s="80">
        <f>SUM(H56:H59)</f>
        <v>55000</v>
      </c>
      <c r="I60" s="260">
        <f>SUM(I56:I59)</f>
        <v>49700</v>
      </c>
      <c r="J60" s="80">
        <f>SUM(J56:J59)</f>
        <v>334400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4"/>
      <c r="AB60" s="364"/>
      <c r="AC60" s="364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25">
      <c r="A61" s="85"/>
      <c r="B61" s="83"/>
      <c r="C61" s="420" t="s">
        <v>54</v>
      </c>
      <c r="D61" s="424"/>
      <c r="E61" s="368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4"/>
      <c r="AB61" s="364"/>
      <c r="AC61" s="364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25">
      <c r="A62" s="85">
        <v>8.31</v>
      </c>
      <c r="B62" s="83"/>
      <c r="C62" s="409" t="s">
        <v>67</v>
      </c>
      <c r="D62" s="410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4"/>
      <c r="AB62" s="364"/>
      <c r="AC62" s="364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25">
      <c r="A63" s="85">
        <v>8.41</v>
      </c>
      <c r="B63" s="83"/>
      <c r="C63" s="409" t="s">
        <v>55</v>
      </c>
      <c r="D63" s="410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4"/>
      <c r="AB63" s="364"/>
      <c r="AC63" s="364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">
      <c r="A64" s="93">
        <v>8.51</v>
      </c>
      <c r="B64" s="93"/>
      <c r="C64" s="414" t="s">
        <v>56</v>
      </c>
      <c r="D64" s="415"/>
      <c r="E64" s="134"/>
      <c r="F64" s="58">
        <v>0</v>
      </c>
      <c r="G64" s="88"/>
      <c r="H64" s="88">
        <v>0</v>
      </c>
      <c r="I64" s="265"/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4"/>
      <c r="AB64" s="364"/>
      <c r="AC64" s="364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25">
      <c r="A65" s="94"/>
      <c r="B65" s="95"/>
      <c r="C65" s="416"/>
      <c r="D65" s="417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4"/>
      <c r="AB65" s="364"/>
      <c r="AC65" s="364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5" x14ac:dyDescent="0.25">
      <c r="A66" s="100"/>
      <c r="B66" s="101"/>
      <c r="C66" s="418"/>
      <c r="D66" s="419"/>
      <c r="E66" s="102"/>
      <c r="F66" s="103" t="s">
        <v>24</v>
      </c>
      <c r="G66" s="104" t="str">
        <f>"FY "&amp;M4-2000&amp;" Salary"</f>
        <v>FY 23 Salary</v>
      </c>
      <c r="H66" s="104" t="str">
        <f>"FY"&amp;M4-2000&amp;" Health Ben"</f>
        <v>FY23 Health Ben</v>
      </c>
      <c r="I66" s="104" t="str">
        <f>"FY "&amp;M4-2000&amp;" Var Ben"</f>
        <v>FY 23 Var Ben</v>
      </c>
      <c r="J66" s="104" t="str">
        <f>"FY "&amp;M4&amp;" Total"</f>
        <v>FY 2023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5" x14ac:dyDescent="0.25">
      <c r="A67" s="82">
        <v>9</v>
      </c>
      <c r="B67" s="83"/>
      <c r="C67" s="84" t="str">
        <f>"FY "&amp;M4</f>
        <v>FY 2023</v>
      </c>
      <c r="D67" s="108" t="s">
        <v>57</v>
      </c>
      <c r="E67" s="109"/>
      <c r="F67" s="55">
        <f>SUM(F60:F64)</f>
        <v>6</v>
      </c>
      <c r="G67" s="80">
        <f>SUM(G60:G64)</f>
        <v>229700</v>
      </c>
      <c r="H67" s="80">
        <f>SUM(H60:H64)</f>
        <v>55000</v>
      </c>
      <c r="I67" s="80">
        <f>SUM(I60:I64)</f>
        <v>49700</v>
      </c>
      <c r="J67" s="80">
        <f>SUM(J60:J64)</f>
        <v>334400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4"/>
      <c r="AB67" s="364"/>
      <c r="AC67" s="364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25">
      <c r="A68" s="85">
        <v>10.11</v>
      </c>
      <c r="B68" s="83"/>
      <c r="C68" s="420" t="s">
        <v>58</v>
      </c>
      <c r="D68" s="421"/>
      <c r="E68" s="112"/>
      <c r="F68" s="288"/>
      <c r="G68" s="287"/>
      <c r="H68" s="113">
        <f>IF(DUNine=0,0,ROUND(SUM(L41:L65),-2))</f>
        <v>0</v>
      </c>
      <c r="I68" s="113"/>
      <c r="J68" s="287">
        <f>SUM(G68:I68)</f>
        <v>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4"/>
      <c r="AB68" s="364"/>
      <c r="AC68" s="364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5" x14ac:dyDescent="0.25">
      <c r="A69" s="85">
        <v>10.119999999999999</v>
      </c>
      <c r="B69" s="83"/>
      <c r="C69" s="420" t="s">
        <v>59</v>
      </c>
      <c r="D69" s="421"/>
      <c r="E69" s="112"/>
      <c r="F69" s="288"/>
      <c r="G69" s="113"/>
      <c r="H69" s="113"/>
      <c r="I69" s="113">
        <f>IF(DUNine=0,0,ROUND(SUM(M41:M64),-2))</f>
        <v>-1200</v>
      </c>
      <c r="J69" s="287">
        <f>SUM(G69:I69)</f>
        <v>-1200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4"/>
      <c r="AB69" s="364"/>
      <c r="AC69" s="364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5" x14ac:dyDescent="0.25">
      <c r="A70" s="85"/>
      <c r="B70" s="83"/>
      <c r="C70" s="407"/>
      <c r="D70" s="408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4"/>
      <c r="AB70" s="364"/>
      <c r="AC70" s="364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25">
      <c r="A71" s="85">
        <v>10.51</v>
      </c>
      <c r="B71" s="83"/>
      <c r="C71" s="409" t="s">
        <v>60</v>
      </c>
      <c r="D71" s="410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112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64"/>
      <c r="AB71" s="364"/>
      <c r="AC71" s="364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25">
      <c r="A72" s="85">
        <v>10.61</v>
      </c>
      <c r="B72" s="83"/>
      <c r="C72" s="409" t="s">
        <v>101</v>
      </c>
      <c r="D72" s="411"/>
      <c r="E72" s="290">
        <f>CECPerm</f>
        <v>0.01</v>
      </c>
      <c r="F72" s="288"/>
      <c r="G72" s="356">
        <f>IF(DUNine=0,0,IF(DUNine&lt;0,0,ROUND(AdjPermSalary*CECPerm,-2)))</f>
        <v>2900</v>
      </c>
      <c r="H72" s="287"/>
      <c r="I72" s="287">
        <f>ROUND(($G72*PermVBBY+$G72*Retire1BY),-2)</f>
        <v>600</v>
      </c>
      <c r="J72" s="113">
        <f>SUM(G72:I72)</f>
        <v>3500</v>
      </c>
      <c r="K72" s="296"/>
      <c r="L72" s="298"/>
      <c r="M72" s="350" t="e">
        <f>IF(DUNine=0,0,IF(((#REF!-G39-G40)*E72)&lt;0,0,ROUND(((#REF!-G39-G40)*E72),-2)))</f>
        <v>#REF!</v>
      </c>
      <c r="N72" s="359"/>
      <c r="O72" s="358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#REF!</v>
      </c>
      <c r="P72" s="358"/>
      <c r="Q72"/>
      <c r="R72"/>
      <c r="S72"/>
      <c r="T72"/>
      <c r="U72"/>
      <c r="V72"/>
      <c r="W72"/>
      <c r="X72"/>
      <c r="Y72"/>
      <c r="Z72" s="344"/>
      <c r="AA72" s="364"/>
      <c r="AB72" s="364"/>
      <c r="AC72" s="364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25">
      <c r="A73" s="85">
        <v>10.62</v>
      </c>
      <c r="B73" s="83"/>
      <c r="C73" s="409" t="s">
        <v>61</v>
      </c>
      <c r="D73" s="411"/>
      <c r="E73" s="289">
        <f>CECGroup</f>
        <v>0.01</v>
      </c>
      <c r="F73" s="288"/>
      <c r="G73" s="356">
        <f>IF(DUNine=0,0,IF(DUNine&lt;0,0,ROUND(AdjGroupSalary*CECGroup,-2)))</f>
        <v>0</v>
      </c>
      <c r="H73" s="287"/>
      <c r="I73" s="287">
        <f>ROUND(($G73*GroupVBBY),-2)</f>
        <v>0</v>
      </c>
      <c r="J73" s="113">
        <f t="shared" si="11"/>
        <v>0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64"/>
      <c r="AB73" s="364"/>
      <c r="AC73" s="364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25">
      <c r="A74" s="85">
        <v>10.63</v>
      </c>
      <c r="B74" s="83"/>
      <c r="C74" s="367" t="s">
        <v>62</v>
      </c>
      <c r="D74" s="369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4"/>
      <c r="AB74" s="364"/>
      <c r="AC74" s="364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25">
      <c r="A75" s="75">
        <v>11</v>
      </c>
      <c r="B75" s="76"/>
      <c r="C75" s="54" t="str">
        <f>"FY "&amp;M4</f>
        <v>FY 2023</v>
      </c>
      <c r="D75" s="77" t="s">
        <v>63</v>
      </c>
      <c r="E75" s="112"/>
      <c r="F75" s="55">
        <f>SUM(F67:F74)</f>
        <v>6</v>
      </c>
      <c r="G75" s="80">
        <f>SUM(G67:G74)</f>
        <v>232600</v>
      </c>
      <c r="H75" s="80">
        <f>SUM(H67:H74)</f>
        <v>55000</v>
      </c>
      <c r="I75" s="80">
        <f>SUM(I67:I74)</f>
        <v>49100</v>
      </c>
      <c r="J75" s="80">
        <f>SUM(J67:K74)</f>
        <v>336700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4"/>
      <c r="AB75" s="364"/>
      <c r="AC75" s="364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25">
      <c r="A76" s="85"/>
      <c r="B76" s="83"/>
      <c r="C76" s="412" t="s">
        <v>64</v>
      </c>
      <c r="D76" s="413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4"/>
      <c r="AB76" s="364"/>
      <c r="AC76" s="364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5" x14ac:dyDescent="0.25">
      <c r="A77" s="116">
        <v>12.01</v>
      </c>
      <c r="B77" s="57"/>
      <c r="C77" s="405"/>
      <c r="D77" s="406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4"/>
      <c r="AB77" s="364"/>
      <c r="AC77" s="364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5" x14ac:dyDescent="0.25">
      <c r="A78" s="116">
        <v>12.02</v>
      </c>
      <c r="B78" s="57"/>
      <c r="C78" s="405"/>
      <c r="D78" s="406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4"/>
      <c r="AB78" s="364"/>
      <c r="AC78" s="364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5" x14ac:dyDescent="0.25">
      <c r="A79" s="116">
        <v>12.03</v>
      </c>
      <c r="B79" s="57" t="s">
        <v>45</v>
      </c>
      <c r="C79" s="405"/>
      <c r="D79" s="406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4"/>
      <c r="AB79" s="364"/>
      <c r="AC79" s="364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25">
      <c r="A80" s="117">
        <v>13</v>
      </c>
      <c r="B80" s="118"/>
      <c r="C80" s="119" t="str">
        <f>"FY "&amp;M4</f>
        <v>FY 2023</v>
      </c>
      <c r="D80" s="120" t="s">
        <v>65</v>
      </c>
      <c r="E80" s="121"/>
      <c r="F80" s="55">
        <f>SUM(F75:F79)</f>
        <v>6</v>
      </c>
      <c r="G80" s="80">
        <f>SUM(G75:G79)</f>
        <v>232600</v>
      </c>
      <c r="H80" s="80">
        <f>SUM(H75:H79)</f>
        <v>55000</v>
      </c>
      <c r="I80" s="80">
        <f>SUM(I75:I79)</f>
        <v>49100</v>
      </c>
      <c r="J80" s="80">
        <f>SUM(J75:J79)</f>
        <v>336700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4"/>
      <c r="AB80" s="364"/>
      <c r="AC80" s="364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13:D13"/>
    <mergeCell ref="M1:N1"/>
    <mergeCell ref="M2:N2"/>
    <mergeCell ref="M3:N3"/>
    <mergeCell ref="M4:N4"/>
    <mergeCell ref="I5:L5"/>
    <mergeCell ref="C8:D8"/>
    <mergeCell ref="AA8:AC8"/>
    <mergeCell ref="C9:D9"/>
    <mergeCell ref="C10:D10"/>
    <mergeCell ref="C11:D11"/>
    <mergeCell ref="C12:D12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C54:D54"/>
    <mergeCell ref="C39:D39"/>
    <mergeCell ref="C41:D41"/>
    <mergeCell ref="C42:D42"/>
    <mergeCell ref="C43:D44"/>
    <mergeCell ref="K45:N45"/>
    <mergeCell ref="E46:J47"/>
    <mergeCell ref="K46:N47"/>
    <mergeCell ref="C50:D50"/>
    <mergeCell ref="C53:D53"/>
    <mergeCell ref="C69:D69"/>
    <mergeCell ref="C55:D55"/>
    <mergeCell ref="C57:D57"/>
    <mergeCell ref="C58:D58"/>
    <mergeCell ref="C59:D59"/>
    <mergeCell ref="C61:D61"/>
    <mergeCell ref="C62:D62"/>
    <mergeCell ref="C63:D63"/>
    <mergeCell ref="C64:D64"/>
    <mergeCell ref="C65:D65"/>
    <mergeCell ref="C66:D66"/>
    <mergeCell ref="C68:D68"/>
    <mergeCell ref="C78:D78"/>
    <mergeCell ref="C79:D79"/>
    <mergeCell ref="C70:D70"/>
    <mergeCell ref="C71:D71"/>
    <mergeCell ref="C72:D72"/>
    <mergeCell ref="C73:D73"/>
    <mergeCell ref="C76:D76"/>
    <mergeCell ref="C77:D77"/>
  </mergeCells>
  <conditionalFormatting sqref="K44">
    <cfRule type="expression" dxfId="38" priority="5">
      <formula>$J$44&lt;0</formula>
    </cfRule>
  </conditionalFormatting>
  <conditionalFormatting sqref="K43">
    <cfRule type="expression" dxfId="37" priority="4">
      <formula>$J$43&lt;0</formula>
    </cfRule>
  </conditionalFormatting>
  <conditionalFormatting sqref="L16">
    <cfRule type="expression" dxfId="36" priority="3">
      <formula>$J$16&lt;0</formula>
    </cfRule>
  </conditionalFormatting>
  <conditionalFormatting sqref="K45">
    <cfRule type="expression" dxfId="35" priority="2">
      <formula>$J$44&lt;0</formula>
    </cfRule>
  </conditionalFormatting>
  <conditionalFormatting sqref="K43:N45">
    <cfRule type="containsText" dxfId="34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B2F426E-84CE-4EA5-AADB-6BB55F90D41C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C8DE92-07E5-405C-B315-4CBC40B3A08D}">
  <sheetPr>
    <tabColor rgb="FF7030A0"/>
    <pageSetUpPr fitToPage="1"/>
  </sheetPr>
  <dimension ref="A1:CP80"/>
  <sheetViews>
    <sheetView showGridLines="0" zoomScaleNormal="100" workbookViewId="0">
      <selection activeCell="C8" sqref="C8:N16"/>
    </sheetView>
  </sheetViews>
  <sheetFormatPr defaultColWidth="9.140625" defaultRowHeight="15.75" x14ac:dyDescent="0.25"/>
  <cols>
    <col min="1" max="1" width="7.85546875" style="124" customWidth="1"/>
    <col min="2" max="2" width="7.7109375" style="125" customWidth="1"/>
    <col min="3" max="3" width="9" style="125" customWidth="1"/>
    <col min="4" max="4" width="39.28515625" style="53" customWidth="1"/>
    <col min="5" max="5" width="13" style="126" customWidth="1"/>
    <col min="6" max="6" width="12.28515625" style="127" customWidth="1"/>
    <col min="7" max="7" width="12.140625" style="127" bestFit="1" customWidth="1"/>
    <col min="8" max="8" width="14.5703125" style="127" customWidth="1"/>
    <col min="9" max="9" width="19.5703125" style="128" bestFit="1" customWidth="1"/>
    <col min="10" max="10" width="13.7109375" style="129" customWidth="1"/>
    <col min="11" max="11" width="13.7109375" style="129" hidden="1" customWidth="1"/>
    <col min="12" max="12" width="18.42578125" style="129" customWidth="1"/>
    <col min="13" max="13" width="16.42578125" style="129" customWidth="1"/>
    <col min="14" max="14" width="16.140625" style="128" customWidth="1"/>
    <col min="15" max="25" width="16.140625" customWidth="1"/>
    <col min="26" max="26" width="16.140625" style="344" customWidth="1"/>
    <col min="27" max="27" width="22.140625" style="334" bestFit="1" customWidth="1"/>
    <col min="28" max="28" width="31.140625" style="334" bestFit="1" customWidth="1"/>
    <col min="29" max="29" width="7.85546875" style="334" bestFit="1" customWidth="1"/>
    <col min="30" max="30" width="9.140625" style="110" customWidth="1"/>
    <col min="31" max="94" width="9.140625" style="17"/>
    <col min="95" max="16384" width="9.140625" style="18"/>
  </cols>
  <sheetData>
    <row r="1" spans="1:94" x14ac:dyDescent="0.25">
      <c r="A1" s="12" t="s">
        <v>13</v>
      </c>
      <c r="B1" s="13"/>
      <c r="C1" s="13"/>
      <c r="D1" s="14" t="s">
        <v>2643</v>
      </c>
      <c r="E1" s="15"/>
      <c r="F1" s="15"/>
      <c r="G1" s="15"/>
      <c r="H1" s="15"/>
      <c r="I1" s="15"/>
      <c r="J1" s="15"/>
      <c r="K1" s="15"/>
      <c r="L1" s="16" t="s">
        <v>14</v>
      </c>
      <c r="M1" s="468">
        <v>240</v>
      </c>
      <c r="N1" s="469"/>
      <c r="AA1" s="364"/>
      <c r="AB1" s="333"/>
      <c r="AC1" s="333"/>
      <c r="AD1" s="325"/>
    </row>
    <row r="2" spans="1:94" ht="20.25" x14ac:dyDescent="0.25">
      <c r="A2" s="19" t="s">
        <v>116</v>
      </c>
      <c r="B2" s="20"/>
      <c r="C2" s="20"/>
      <c r="D2" s="14" t="s">
        <v>2643</v>
      </c>
      <c r="E2" s="21"/>
      <c r="F2" s="21"/>
      <c r="G2" s="21"/>
      <c r="H2" s="21"/>
      <c r="I2" s="21"/>
      <c r="J2" s="20"/>
      <c r="K2" s="20"/>
      <c r="L2" s="22" t="s">
        <v>113</v>
      </c>
      <c r="M2" s="470" t="s">
        <v>2653</v>
      </c>
      <c r="N2" s="471"/>
      <c r="AA2" s="333"/>
      <c r="AB2" s="333"/>
      <c r="AC2" s="333"/>
      <c r="AD2" s="325"/>
    </row>
    <row r="3" spans="1:94" x14ac:dyDescent="0.25">
      <c r="A3" s="19" t="s">
        <v>117</v>
      </c>
      <c r="B3" s="20"/>
      <c r="C3" s="20"/>
      <c r="D3" s="23" t="s">
        <v>2705</v>
      </c>
      <c r="E3" s="24"/>
      <c r="F3" s="25"/>
      <c r="G3" s="25"/>
      <c r="H3" s="25"/>
      <c r="I3" s="26"/>
      <c r="J3" s="20"/>
      <c r="K3" s="20"/>
      <c r="L3" s="22" t="s">
        <v>114</v>
      </c>
      <c r="M3" s="468" t="s">
        <v>1945</v>
      </c>
      <c r="N3" s="469"/>
      <c r="AA3" s="364"/>
      <c r="AB3" s="333"/>
      <c r="AC3" s="333"/>
      <c r="AD3" s="325"/>
    </row>
    <row r="4" spans="1:94" x14ac:dyDescent="0.25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68">
        <v>2023</v>
      </c>
      <c r="N4" s="469"/>
      <c r="AA4" s="364"/>
      <c r="AB4" s="333"/>
      <c r="AC4" s="333"/>
      <c r="AD4" s="325"/>
    </row>
    <row r="5" spans="1:94" s="34" customFormat="1" ht="18" customHeight="1" x14ac:dyDescent="0.25">
      <c r="A5" s="19" t="s">
        <v>16</v>
      </c>
      <c r="B5" s="20"/>
      <c r="C5" s="20"/>
      <c r="D5" s="351">
        <v>44440</v>
      </c>
      <c r="E5" s="27"/>
      <c r="F5" s="30"/>
      <c r="G5" s="31"/>
      <c r="H5" s="31" t="s">
        <v>17</v>
      </c>
      <c r="I5" s="470" t="s">
        <v>2651</v>
      </c>
      <c r="J5" s="472"/>
      <c r="K5" s="472"/>
      <c r="L5" s="471"/>
      <c r="M5" s="352" t="s">
        <v>115</v>
      </c>
      <c r="N5" s="32" t="s">
        <v>2652</v>
      </c>
      <c r="O5"/>
      <c r="P5"/>
      <c r="Q5"/>
      <c r="R5"/>
      <c r="S5"/>
      <c r="T5"/>
      <c r="U5"/>
      <c r="V5"/>
      <c r="W5"/>
      <c r="X5"/>
      <c r="Y5"/>
      <c r="Z5" s="344"/>
      <c r="AA5" s="364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25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84</v>
      </c>
      <c r="K6" s="31"/>
      <c r="L6" s="353"/>
      <c r="M6" s="354" t="s">
        <v>85</v>
      </c>
      <c r="N6" s="306"/>
      <c r="AA6" s="364"/>
      <c r="AB6" s="333"/>
      <c r="AC6" s="333"/>
      <c r="AD6" s="325"/>
    </row>
    <row r="7" spans="1:94" x14ac:dyDescent="0.25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25">
      <c r="A8" s="48" t="s">
        <v>20</v>
      </c>
      <c r="B8" s="370" t="s">
        <v>21</v>
      </c>
      <c r="C8" s="473" t="s">
        <v>22</v>
      </c>
      <c r="D8" s="474"/>
      <c r="E8" s="370" t="s">
        <v>23</v>
      </c>
      <c r="F8" s="49" t="s">
        <v>24</v>
      </c>
      <c r="G8" s="50" t="str">
        <f>"FY "&amp;'EMUI|0302-00'!FiscalYear-1&amp;" SALARY"</f>
        <v>FY 2022 SALARY</v>
      </c>
      <c r="H8" s="50" t="str">
        <f>"FY "&amp;'EMUI|0302-00'!FiscalYear-1&amp;" HEALTH BENEFITS"</f>
        <v>FY 2022 HEALTH BENEFITS</v>
      </c>
      <c r="I8" s="50" t="str">
        <f>"FY "&amp;'EMUI|0302-00'!FiscalYear-1&amp;" VAR BENEFITS"</f>
        <v>FY 2022 VAR BENEFITS</v>
      </c>
      <c r="J8" s="50" t="str">
        <f>"FY "&amp;'EMUI|0302-00'!FiscalYear-1&amp;" TOTAL"</f>
        <v>FY 2022 TOTAL</v>
      </c>
      <c r="K8" s="50" t="str">
        <f>"FY "&amp;'EMUI|0302-00'!FiscalYear&amp;" SALARY CHANGE"</f>
        <v>FY 2023 SALARY CHANGE</v>
      </c>
      <c r="L8" s="50" t="str">
        <f>"FY "&amp;'EMUI|0302-00'!FiscalYear&amp;" CHG HEALTH BENEFITS"</f>
        <v>FY 2023 CHG HEALTH BENEFITS</v>
      </c>
      <c r="M8" s="50" t="str">
        <f>"FY "&amp;'EMUI|0302-00'!FiscalYear&amp;" CHG VAR BENEFITS"</f>
        <v>FY 2023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64" t="s">
        <v>105</v>
      </c>
      <c r="AB8" s="464"/>
      <c r="AC8" s="464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25">
      <c r="A9" s="139"/>
      <c r="B9" s="140"/>
      <c r="C9" s="465" t="s">
        <v>26</v>
      </c>
      <c r="D9" s="466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4" t="s">
        <v>94</v>
      </c>
      <c r="AB9" s="333" t="s">
        <v>95</v>
      </c>
      <c r="AC9" s="333" t="s">
        <v>106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25">
      <c r="A10" s="139"/>
      <c r="B10" s="139"/>
      <c r="C10" s="444" t="s">
        <v>27</v>
      </c>
      <c r="D10" s="467"/>
      <c r="E10" s="217">
        <v>1</v>
      </c>
      <c r="F10" s="288">
        <f>[0]!EMUI030200col_INC_FTI</f>
        <v>0</v>
      </c>
      <c r="G10" s="218">
        <f>[0]!EMUI030200col_FTI_SALARY_PERM</f>
        <v>0</v>
      </c>
      <c r="H10" s="218">
        <f>[0]!EMUI030200col_HEALTH_PERM</f>
        <v>0</v>
      </c>
      <c r="I10" s="218">
        <f>[0]!EMUI030200col_TOT_VB_PERM</f>
        <v>0</v>
      </c>
      <c r="J10" s="219">
        <f>SUM(G10:I10)</f>
        <v>0</v>
      </c>
      <c r="K10" s="219">
        <f>[0]!EMUI030200col_1_27TH_PP</f>
        <v>0</v>
      </c>
      <c r="L10" s="218">
        <f>[0]!EMUI030200col_HEALTH_PERM_CHG</f>
        <v>0</v>
      </c>
      <c r="M10" s="218">
        <f>[0]!EMUI030200col_TOT_VB_PERM_CHG</f>
        <v>0</v>
      </c>
      <c r="N10" s="218">
        <f>SUM(L10:M10)</f>
        <v>0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0</v>
      </c>
      <c r="AB10" s="335">
        <f>ROUND(PermVarBen*CECPerm+(CECPerm*PermVarBenChg),-2)</f>
        <v>0</v>
      </c>
      <c r="AC10" s="335">
        <f>SUM(AA10:AB10)</f>
        <v>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25">
      <c r="A11" s="139"/>
      <c r="B11" s="139"/>
      <c r="C11" s="444" t="s">
        <v>28</v>
      </c>
      <c r="D11" s="467"/>
      <c r="E11" s="217">
        <v>2</v>
      </c>
      <c r="F11" s="288"/>
      <c r="G11" s="218">
        <f>[0]!EMUI030200col_Group_Salary</f>
        <v>0</v>
      </c>
      <c r="H11" s="218">
        <v>0</v>
      </c>
      <c r="I11" s="218">
        <f>[0]!EMUI030200col_Group_Ben</f>
        <v>0</v>
      </c>
      <c r="J11" s="219">
        <f>SUM(G11:I11)</f>
        <v>0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0</v>
      </c>
      <c r="AB11" s="335">
        <f>ROUND((GroupSalary*GroupVBBY)*CECGroup,-2)</f>
        <v>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25">
      <c r="A12" s="139"/>
      <c r="B12" s="139"/>
      <c r="C12" s="444" t="s">
        <v>29</v>
      </c>
      <c r="D12" s="445"/>
      <c r="E12" s="217">
        <v>3</v>
      </c>
      <c r="F12" s="288">
        <f>[0]!EMUI030200col_TOTAL_ELECT_PCN_FTI</f>
        <v>0</v>
      </c>
      <c r="G12" s="218">
        <f>[0]!EMUI030200col_FTI_SALARY_ELECT</f>
        <v>0</v>
      </c>
      <c r="H12" s="218">
        <f>[0]!EMUI030200col_HEALTH_ELECT</f>
        <v>0</v>
      </c>
      <c r="I12" s="218">
        <f>[0]!EMUI030200col_TOT_VB_ELECT</f>
        <v>0</v>
      </c>
      <c r="J12" s="219">
        <f>SUM(G12:I12)</f>
        <v>0</v>
      </c>
      <c r="K12" s="268"/>
      <c r="L12" s="218">
        <f>[0]!EMUI030200col_HEALTH_ELECT_CHG</f>
        <v>0</v>
      </c>
      <c r="M12" s="218">
        <f>[0]!EMUI030200col_TOT_VB_ELECT_CHG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25">
      <c r="A13" s="139"/>
      <c r="B13" s="139"/>
      <c r="C13" s="444" t="s">
        <v>30</v>
      </c>
      <c r="D13" s="467"/>
      <c r="E13" s="217"/>
      <c r="F13" s="220">
        <f>SUM(F10:F12)</f>
        <v>0</v>
      </c>
      <c r="G13" s="221">
        <f>SUM(G10:G12)</f>
        <v>0</v>
      </c>
      <c r="H13" s="221">
        <f>SUM(H10:H12)</f>
        <v>0</v>
      </c>
      <c r="I13" s="221">
        <f>SUM(I10:I12)</f>
        <v>0</v>
      </c>
      <c r="J13" s="219">
        <f>SUM(G13:I13)</f>
        <v>0</v>
      </c>
      <c r="K13" s="268"/>
      <c r="L13" s="219">
        <f>SUM(L10:L12)</f>
        <v>0</v>
      </c>
      <c r="M13" s="219">
        <f>SUM(M10:M12)</f>
        <v>0</v>
      </c>
      <c r="N13" s="219">
        <f>SUM(N10:N12)</f>
        <v>0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5" customHeight="1" x14ac:dyDescent="0.25">
      <c r="A14" s="139"/>
      <c r="B14" s="139"/>
      <c r="C14" s="365"/>
      <c r="D14" s="371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25">
      <c r="A15" s="139"/>
      <c r="B15" s="156"/>
      <c r="C15" s="157" t="str">
        <f>"FY "&amp;'EMUI|0302-00'!FiscalYear-1</f>
        <v>FY 2022</v>
      </c>
      <c r="D15" s="158" t="s">
        <v>31</v>
      </c>
      <c r="E15" s="355">
        <v>2280800</v>
      </c>
      <c r="F15" s="55">
        <v>19.73</v>
      </c>
      <c r="G15" s="223" t="e">
        <f>IF(OrigApprop=0,0,(G13/$J$13)*OrigApprop)</f>
        <v>#DIV/0!</v>
      </c>
      <c r="H15" s="223" t="e">
        <f>IF(OrigApprop=0,0,(H13/$J$13)*OrigApprop)</f>
        <v>#DIV/0!</v>
      </c>
      <c r="I15" s="223" t="e">
        <f>IF(G15=0,0,(I13/$J$13)*OrigApprop)</f>
        <v>#DIV/0!</v>
      </c>
      <c r="J15" s="223" t="e">
        <f>SUM(G15:I15)</f>
        <v>#DIV/0!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25">
      <c r="A16" s="139"/>
      <c r="B16" s="139"/>
      <c r="C16" s="454" t="s">
        <v>32</v>
      </c>
      <c r="D16" s="455"/>
      <c r="E16" s="160" t="s">
        <v>33</v>
      </c>
      <c r="F16" s="161">
        <f>F15-F13</f>
        <v>19.73</v>
      </c>
      <c r="G16" s="162" t="e">
        <f>G15-G13</f>
        <v>#DIV/0!</v>
      </c>
      <c r="H16" s="162" t="e">
        <f>H15-H13</f>
        <v>#DIV/0!</v>
      </c>
      <c r="I16" s="162" t="e">
        <f>I15-I13</f>
        <v>#DIV/0!</v>
      </c>
      <c r="J16" s="162" t="e">
        <f>J15-J13</f>
        <v>#DIV/0!</v>
      </c>
      <c r="K16" s="269"/>
      <c r="L16" s="56" t="e">
        <f>IF('EMUI|0302-00'!OrigApprop=0,"ERROR! Enter Original Appropriation amount in DU 3.00!","Calculated "&amp;IF('EMUI|0302-00'!AdjustedTotal&gt;0,"overfunding ","underfunding ")&amp;"is "&amp;TEXT('EMUI|0302-00'!AdjustedTotal/'EMUI|0302-00'!AppropTotal,"#.0%;(#.0% );0% ;")&amp;" of Original Appropriation")</f>
        <v>#DIV/0!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25">
      <c r="A17" s="139"/>
      <c r="B17" s="139"/>
      <c r="C17" s="456" t="s">
        <v>34</v>
      </c>
      <c r="D17" s="457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25">
      <c r="A18" s="139"/>
      <c r="B18" s="168"/>
      <c r="C18" s="458" t="s">
        <v>35</v>
      </c>
      <c r="D18" s="459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5.5" x14ac:dyDescent="0.25">
      <c r="A19" s="238"/>
      <c r="B19" s="202"/>
      <c r="C19" s="239" t="s">
        <v>86</v>
      </c>
      <c r="D19" s="240" t="s">
        <v>87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4"/>
      <c r="AB19" s="364"/>
      <c r="AC19" s="364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5" x14ac:dyDescent="0.25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4"/>
      <c r="AB20" s="364"/>
      <c r="AC20" s="364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5" x14ac:dyDescent="0.25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4"/>
      <c r="AB21" s="364"/>
      <c r="AC21" s="364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5" x14ac:dyDescent="0.25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4"/>
      <c r="AB22" s="364"/>
      <c r="AC22" s="364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5" x14ac:dyDescent="0.25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4"/>
      <c r="AB23" s="364"/>
      <c r="AC23" s="364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5" x14ac:dyDescent="0.25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4"/>
      <c r="AC24" s="364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5" x14ac:dyDescent="0.25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4"/>
      <c r="AC25" s="364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5" x14ac:dyDescent="0.25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4"/>
      <c r="AC26" s="364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5" x14ac:dyDescent="0.25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4"/>
      <c r="AB27" s="364"/>
      <c r="AC27" s="364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5" x14ac:dyDescent="0.25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4"/>
      <c r="AB28" s="364"/>
      <c r="AC28" s="364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5" x14ac:dyDescent="0.25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4"/>
      <c r="AB29" s="364"/>
      <c r="AC29" s="364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5" x14ac:dyDescent="0.25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4"/>
      <c r="AB30" s="364"/>
      <c r="AC30" s="364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5" x14ac:dyDescent="0.25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4"/>
      <c r="AB31" s="364"/>
      <c r="AC31" s="364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5" x14ac:dyDescent="0.25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4"/>
      <c r="AB32" s="364"/>
      <c r="AC32" s="364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5" x14ac:dyDescent="0.25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4"/>
      <c r="AB33" s="364"/>
      <c r="AC33" s="364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5" x14ac:dyDescent="0.25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4"/>
      <c r="AB34" s="364"/>
      <c r="AC34" s="364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5" x14ac:dyDescent="0.25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4"/>
      <c r="AB35" s="364"/>
      <c r="AC35" s="364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5" x14ac:dyDescent="0.25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4" t="s">
        <v>94</v>
      </c>
      <c r="AB36" s="333" t="s">
        <v>95</v>
      </c>
      <c r="AC36" s="333" t="s">
        <v>106</v>
      </c>
      <c r="AD36" s="330"/>
    </row>
    <row r="37" spans="1:94" s="153" customFormat="1" ht="17.25" customHeight="1" x14ac:dyDescent="0.25">
      <c r="A37" s="139"/>
      <c r="B37" s="188"/>
      <c r="C37" s="460" t="s">
        <v>37</v>
      </c>
      <c r="D37" s="461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62" t="s">
        <v>107</v>
      </c>
      <c r="AB37" s="463"/>
      <c r="AC37" s="463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5" x14ac:dyDescent="0.25">
      <c r="A38" s="139"/>
      <c r="B38" s="188"/>
      <c r="C38" s="444" t="str">
        <f>perm_name</f>
        <v>Permanent Positions</v>
      </c>
      <c r="D38" s="445"/>
      <c r="E38" s="189">
        <v>1</v>
      </c>
      <c r="F38" s="190">
        <f>SUMIF($E9:$E35,$E38,$F9:$F35)</f>
        <v>0</v>
      </c>
      <c r="G38" s="191">
        <f>SUMIF($E10:$E35,$E38,$G10:$G35)</f>
        <v>0</v>
      </c>
      <c r="H38" s="192">
        <f>SUMIF($E10:$E35,$E38,$H10:$H35)</f>
        <v>0</v>
      </c>
      <c r="I38" s="192">
        <f>SUMIF($E10:$E35,$E38,$I10:$I35)</f>
        <v>0</v>
      </c>
      <c r="J38" s="192">
        <f>SUM(G38:I38)</f>
        <v>0</v>
      </c>
      <c r="K38" s="166"/>
      <c r="L38" s="191">
        <f>SUMIF($E10:$E35,$E38,$L10:$L35)</f>
        <v>0</v>
      </c>
      <c r="M38" s="192">
        <f>SUMIF($E10:$E35,$E38,$M10:$M35)</f>
        <v>0</v>
      </c>
      <c r="N38" s="192">
        <f>SUM(L38:M38)</f>
        <v>0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0</v>
      </c>
      <c r="AB38" s="338">
        <f>ROUND((AdjPermVB*CECPerm+AdjPermVBBY*CECPerm),-2)</f>
        <v>0</v>
      </c>
      <c r="AC38" s="338">
        <f>SUM(AA38:AB38)</f>
        <v>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5" x14ac:dyDescent="0.25">
      <c r="A39" s="139"/>
      <c r="B39" s="188"/>
      <c r="C39" s="444" t="str">
        <f>Group_name</f>
        <v>Board &amp; Group Positions</v>
      </c>
      <c r="D39" s="445"/>
      <c r="E39" s="189">
        <v>2</v>
      </c>
      <c r="F39" s="151">
        <f>SUMIF($E9:$E35,$E39,$F9:$F35)</f>
        <v>0</v>
      </c>
      <c r="G39" s="193">
        <f>SUMIF($E10:$E35,$E39,$G10:$G35)</f>
        <v>0</v>
      </c>
      <c r="H39" s="152">
        <f>SUMIF($E10:$E35,$E39,$H10:$H35)</f>
        <v>0</v>
      </c>
      <c r="I39" s="152">
        <f>SUMIF($E10:$E35,$E39,$I10:$I35)</f>
        <v>0</v>
      </c>
      <c r="J39" s="152">
        <f>SUM(G39:I39)</f>
        <v>0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0</v>
      </c>
      <c r="AB39" s="338">
        <f>ROUND(AdjGroupVB*CECGroup,-2)</f>
        <v>0</v>
      </c>
      <c r="AC39" s="338">
        <f>SUM(AA39:AB39)</f>
        <v>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5" x14ac:dyDescent="0.25">
      <c r="A40" s="139"/>
      <c r="B40" s="188"/>
      <c r="C40" s="365" t="str">
        <f>Elect_name</f>
        <v>Elected Officials &amp; Full Time Commissioners</v>
      </c>
      <c r="D40" s="366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4"/>
      <c r="AB40" s="364"/>
      <c r="AC40" s="364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5" x14ac:dyDescent="0.25">
      <c r="A41" s="139"/>
      <c r="B41" s="188"/>
      <c r="C41" s="444" t="s">
        <v>38</v>
      </c>
      <c r="D41" s="445"/>
      <c r="E41" s="189"/>
      <c r="F41" s="161">
        <f>SUM(F38:F40)</f>
        <v>0</v>
      </c>
      <c r="G41" s="195">
        <f>SUM($G$38:$G$40)</f>
        <v>0</v>
      </c>
      <c r="H41" s="162">
        <f>SUM($H$38:$H$40)</f>
        <v>0</v>
      </c>
      <c r="I41" s="162">
        <f>SUM($I$38:$I$40)</f>
        <v>0</v>
      </c>
      <c r="J41" s="162">
        <f>SUM($J$38:$J$40)</f>
        <v>0</v>
      </c>
      <c r="K41" s="259"/>
      <c r="L41" s="195">
        <f>SUM($L$38:$L$40)</f>
        <v>0</v>
      </c>
      <c r="M41" s="162">
        <f>SUM($M$38:$M$40)</f>
        <v>0</v>
      </c>
      <c r="N41" s="162">
        <f>SUM(L41:M41)</f>
        <v>0</v>
      </c>
      <c r="O41"/>
      <c r="P41"/>
      <c r="Q41"/>
      <c r="R41"/>
      <c r="S41"/>
      <c r="T41"/>
      <c r="U41"/>
      <c r="V41"/>
      <c r="W41"/>
      <c r="X41"/>
      <c r="Y41"/>
      <c r="Z41" s="344"/>
      <c r="AA41" s="364" t="s">
        <v>94</v>
      </c>
      <c r="AB41" s="333" t="s">
        <v>95</v>
      </c>
      <c r="AC41" s="333" t="s">
        <v>106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25">
      <c r="A42" s="139"/>
      <c r="B42" s="188"/>
      <c r="C42" s="446"/>
      <c r="D42" s="447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4"/>
      <c r="AB42" s="364"/>
      <c r="AC42" s="364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25">
      <c r="A43" s="139"/>
      <c r="B43" s="202"/>
      <c r="C43" s="448" t="s">
        <v>39</v>
      </c>
      <c r="D43" s="449"/>
      <c r="E43" s="203" t="s">
        <v>40</v>
      </c>
      <c r="F43" s="205">
        <f>ROUND(F51-F41,2)</f>
        <v>19.73</v>
      </c>
      <c r="G43" s="206" t="e">
        <f>ROUND(G51-G41,-2)</f>
        <v>#DIV/0!</v>
      </c>
      <c r="H43" s="159" t="e">
        <f>ROUND(H51-H41,-2)</f>
        <v>#DIV/0!</v>
      </c>
      <c r="I43" s="159" t="e">
        <f>ROUND(I51-I41,-2)</f>
        <v>#DIV/0!</v>
      </c>
      <c r="J43" s="159" t="e">
        <f>SUM(G43:I43)</f>
        <v>#DIV/0!</v>
      </c>
      <c r="K43" s="425" t="e">
        <f>IF(E51=0,"ERROR! Enter Original Appropriation amount in DU 3.00!","Calculated "&amp;IF(J43&gt;0,"overfunding ","underfunding ")&amp;"is "&amp;TEXT(J43/J51,"#.0%;(#.0% );0% ;")&amp;" of Original Appropriation")</f>
        <v>#DIV/0!</v>
      </c>
      <c r="L43" s="426"/>
      <c r="M43" s="426"/>
      <c r="N43" s="427"/>
      <c r="O43"/>
      <c r="P43"/>
      <c r="Q43"/>
      <c r="R43"/>
      <c r="S43"/>
      <c r="T43"/>
      <c r="U43"/>
      <c r="V43"/>
      <c r="W43"/>
      <c r="X43"/>
      <c r="Y43"/>
      <c r="Z43" s="344"/>
      <c r="AA43" s="452" t="s">
        <v>108</v>
      </c>
      <c r="AB43" s="453"/>
      <c r="AC43" s="453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25">
      <c r="A44" s="139"/>
      <c r="B44" s="202"/>
      <c r="C44" s="450"/>
      <c r="D44" s="451"/>
      <c r="E44" s="204" t="s">
        <v>41</v>
      </c>
      <c r="F44" s="205">
        <f>ROUND(F60-F41,2)</f>
        <v>19.73</v>
      </c>
      <c r="G44" s="206" t="e">
        <f>ROUND(G60-G41,-2)</f>
        <v>#DIV/0!</v>
      </c>
      <c r="H44" s="159" t="e">
        <f>ROUND(H60-H41,-2)</f>
        <v>#DIV/0!</v>
      </c>
      <c r="I44" s="159" t="e">
        <f>ROUND(I60-I41,-2)</f>
        <v>#DIV/0!</v>
      </c>
      <c r="J44" s="159" t="e">
        <f>SUM(G44:I44)</f>
        <v>#DIV/0!</v>
      </c>
      <c r="K44" s="425" t="e">
        <f>IF(E51=0,"ERROR! Enter Original Appropriation amount in DU 3.00!","Calculated "&amp;IF(J44&gt;0,"overfunding ","underfunding ")&amp;"is "&amp;TEXT(J44/J60,"#.0%;(#.0% );0% ;")&amp;" of Estimated Expenditures")</f>
        <v>#DIV/0!</v>
      </c>
      <c r="L44" s="426"/>
      <c r="M44" s="426"/>
      <c r="N44" s="427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25">
      <c r="A45" s="139"/>
      <c r="B45" s="202"/>
      <c r="C45" s="215"/>
      <c r="D45" s="215"/>
      <c r="E45" s="204" t="s">
        <v>99</v>
      </c>
      <c r="F45" s="205">
        <f>ROUND(F67-F41-F63,2)</f>
        <v>19.73</v>
      </c>
      <c r="G45" s="206" t="e">
        <f>ROUND(G67-G41-G63,-2)</f>
        <v>#DIV/0!</v>
      </c>
      <c r="H45" s="206" t="e">
        <f>ROUND(H67-H41-H63,-2)</f>
        <v>#DIV/0!</v>
      </c>
      <c r="I45" s="206" t="e">
        <f>ROUND(I67-I41-I63,-2)</f>
        <v>#DIV/0!</v>
      </c>
      <c r="J45" s="159" t="e">
        <f>SUM(G45:I45)</f>
        <v>#DIV/0!</v>
      </c>
      <c r="K45" s="425" t="e">
        <f>IF(J67=0,"Program has a zero base",IF(E51=0,"ERROR! Enter Original Appropriation amount in DU 3.00!","Calculated "&amp;IF(J45&gt;0,"overfunding ","underfunding ")&amp;"is "&amp;TEXT(J45/J67,"#.0%;(#.0% );0% ;")&amp;" of the Base"))</f>
        <v>#DIV/0!</v>
      </c>
      <c r="L45" s="426"/>
      <c r="M45" s="426"/>
      <c r="N45" s="427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0</v>
      </c>
      <c r="AC45" s="338">
        <f>SUM(AA45:AB45)</f>
        <v>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25">
      <c r="A46" s="139"/>
      <c r="B46" s="202"/>
      <c r="C46" s="215"/>
      <c r="D46" s="215"/>
      <c r="E46" s="428" t="s">
        <v>100</v>
      </c>
      <c r="F46" s="429"/>
      <c r="G46" s="429"/>
      <c r="H46" s="429"/>
      <c r="I46" s="429"/>
      <c r="J46" s="430"/>
      <c r="K46" s="434" t="e">
        <f>IF(OR(J45&lt;0,F45&lt;0),"You may not have sufficient funding or authorized FTP, and may need to make additional adjustments to finalize this form.  Please contact both your DFM and LSO analysts.","")</f>
        <v>#DIV/0!</v>
      </c>
      <c r="L46" s="435"/>
      <c r="M46" s="435"/>
      <c r="N46" s="436"/>
      <c r="O46"/>
      <c r="P46"/>
      <c r="Q46"/>
      <c r="R46"/>
      <c r="S46"/>
      <c r="T46"/>
      <c r="U46"/>
      <c r="V46"/>
      <c r="W46"/>
      <c r="X46"/>
      <c r="Y46"/>
      <c r="Z46" s="344"/>
      <c r="AA46" s="364"/>
      <c r="AB46" s="364"/>
      <c r="AC46" s="364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25">
      <c r="A47" s="139"/>
      <c r="B47" s="202"/>
      <c r="C47" s="215"/>
      <c r="D47" s="215"/>
      <c r="E47" s="431"/>
      <c r="F47" s="432"/>
      <c r="G47" s="432"/>
      <c r="H47" s="432"/>
      <c r="I47" s="432"/>
      <c r="J47" s="433"/>
      <c r="K47" s="437"/>
      <c r="L47" s="438"/>
      <c r="M47" s="438"/>
      <c r="N47" s="439"/>
      <c r="O47"/>
      <c r="P47"/>
      <c r="Q47"/>
      <c r="R47"/>
      <c r="S47"/>
      <c r="T47"/>
      <c r="U47"/>
      <c r="V47"/>
      <c r="W47"/>
      <c r="X47"/>
      <c r="Y47"/>
      <c r="Z47" s="344"/>
      <c r="AA47" s="364"/>
      <c r="AB47" s="364"/>
      <c r="AC47" s="364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25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25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4"/>
      <c r="AB49" s="364"/>
      <c r="AC49" s="364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25">
      <c r="A50" s="257" t="s">
        <v>42</v>
      </c>
      <c r="B50" s="71"/>
      <c r="C50" s="440"/>
      <c r="D50" s="441"/>
      <c r="E50" s="72" t="s">
        <v>43</v>
      </c>
      <c r="F50" s="73" t="s">
        <v>24</v>
      </c>
      <c r="G50" s="72" t="str">
        <f>"FY "&amp;M4-2001&amp;" Salary"</f>
        <v>FY 22 Salary</v>
      </c>
      <c r="H50" s="72" t="str">
        <f>"FY "&amp;M4-2001&amp;" Health Ben"</f>
        <v>FY 22 Health Ben</v>
      </c>
      <c r="I50" s="72" t="str">
        <f>"FY "&amp;M4-2001&amp;" Var Ben"</f>
        <v>FY 22 Var Ben</v>
      </c>
      <c r="J50" s="72" t="str">
        <f>"FY "&amp;M4-1&amp;" Total"</f>
        <v>FY 2022 Total</v>
      </c>
      <c r="K50" s="307" t="str">
        <f>"FY "&amp;FiscalYear&amp;" SALARY CHG"</f>
        <v>FY 2023 SALARY CHG</v>
      </c>
      <c r="L50" s="74" t="str">
        <f>"FY "&amp;M4-2000&amp;" Chg Health Bens"</f>
        <v>FY 23 Chg Health Bens</v>
      </c>
      <c r="M50" s="74" t="str">
        <f>"FY "&amp;M4-2000&amp;" Chg Var Bens"</f>
        <v>FY 23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4"/>
      <c r="AB50" s="364"/>
      <c r="AC50" s="364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25">
      <c r="A51" s="75">
        <v>3</v>
      </c>
      <c r="B51" s="76" t="s">
        <v>45</v>
      </c>
      <c r="C51" s="54" t="str">
        <f>"FY "&amp;M4-1</f>
        <v>FY 2022</v>
      </c>
      <c r="D51" s="77" t="s">
        <v>31</v>
      </c>
      <c r="E51" s="78">
        <f>OrigApprop</f>
        <v>2280800</v>
      </c>
      <c r="F51" s="272">
        <f>AppropFTP</f>
        <v>19.73</v>
      </c>
      <c r="G51" s="274" t="e">
        <f>IF(E51=0,0,(G41/$J$41)*$E$51)</f>
        <v>#DIV/0!</v>
      </c>
      <c r="H51" s="274" t="e">
        <f>IF(E51=0,0,(H41/$J$41)*$E$51)</f>
        <v>#DIV/0!</v>
      </c>
      <c r="I51" s="275" t="e">
        <f>IF(E51=0,0,(I41/$J$41)*$E$51)</f>
        <v>#DIV/0!</v>
      </c>
      <c r="J51" s="90" t="e">
        <f>SUM(G51:I51)</f>
        <v>#DIV/0!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4"/>
      <c r="AC51" s="364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25">
      <c r="A52" s="82"/>
      <c r="B52" s="83"/>
      <c r="C52" s="84"/>
      <c r="D52" s="132" t="s">
        <v>46</v>
      </c>
      <c r="E52" s="133"/>
      <c r="F52" s="55">
        <f>F51</f>
        <v>19.73</v>
      </c>
      <c r="G52" s="79" t="e">
        <f>ROUND(G51,-2)</f>
        <v>#DIV/0!</v>
      </c>
      <c r="H52" s="79" t="e">
        <f>ROUND(H51,-2)</f>
        <v>#DIV/0!</v>
      </c>
      <c r="I52" s="266" t="e">
        <f>ROUND(I51,-2)</f>
        <v>#DIV/0!</v>
      </c>
      <c r="J52" s="80" t="e">
        <f>ROUND(J51,-2)</f>
        <v>#DIV/0!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4"/>
      <c r="AC52" s="364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5" x14ac:dyDescent="0.25">
      <c r="A53" s="85"/>
      <c r="B53" s="83"/>
      <c r="C53" s="442" t="s">
        <v>47</v>
      </c>
      <c r="D53" s="443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4"/>
      <c r="AB53" s="364"/>
      <c r="AC53" s="364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25">
      <c r="A54" s="85">
        <v>4.1100000000000003</v>
      </c>
      <c r="B54" s="83"/>
      <c r="C54" s="409" t="s">
        <v>48</v>
      </c>
      <c r="D54" s="410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4"/>
      <c r="AB54" s="364"/>
      <c r="AC54" s="364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25">
      <c r="A55" s="85">
        <v>4.3099999999999996</v>
      </c>
      <c r="B55" s="83"/>
      <c r="C55" s="422" t="s">
        <v>49</v>
      </c>
      <c r="D55" s="423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4"/>
      <c r="AB55" s="364"/>
      <c r="AC55" s="364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25">
      <c r="A56" s="75">
        <v>5</v>
      </c>
      <c r="B56" s="76"/>
      <c r="C56" s="54" t="str">
        <f>"FY "&amp;M4-1</f>
        <v>FY 2022</v>
      </c>
      <c r="D56" s="131" t="s">
        <v>50</v>
      </c>
      <c r="E56" s="135"/>
      <c r="F56" s="55">
        <f>SUM(F52:F55)</f>
        <v>19.73</v>
      </c>
      <c r="G56" s="80" t="e">
        <f>SUM(G52:G55)</f>
        <v>#DIV/0!</v>
      </c>
      <c r="H56" s="80" t="e">
        <f>SUM(H52:H55)</f>
        <v>#DIV/0!</v>
      </c>
      <c r="I56" s="260" t="e">
        <f>SUM(I52:I55)</f>
        <v>#DIV/0!</v>
      </c>
      <c r="J56" s="80" t="e">
        <f>SUM(J52:J55)</f>
        <v>#DIV/0!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4"/>
      <c r="AB56" s="364"/>
      <c r="AC56" s="364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25">
      <c r="A57" s="85"/>
      <c r="B57" s="83"/>
      <c r="C57" s="420" t="s">
        <v>51</v>
      </c>
      <c r="D57" s="424"/>
      <c r="E57" s="368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4"/>
      <c r="AB57" s="364"/>
      <c r="AC57" s="364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25">
      <c r="A58" s="85">
        <v>6.31</v>
      </c>
      <c r="B58" s="83"/>
      <c r="C58" s="409" t="s">
        <v>52</v>
      </c>
      <c r="D58" s="410"/>
      <c r="E58" s="102"/>
      <c r="F58" s="58">
        <v>0</v>
      </c>
      <c r="G58" s="88">
        <v>0</v>
      </c>
      <c r="H58" s="88">
        <v>0</v>
      </c>
      <c r="I58" s="265">
        <v>0</v>
      </c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4"/>
      <c r="AB58" s="364"/>
      <c r="AC58" s="364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25">
      <c r="A59" s="85">
        <v>6.51</v>
      </c>
      <c r="B59" s="83"/>
      <c r="C59" s="422" t="s">
        <v>66</v>
      </c>
      <c r="D59" s="423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4"/>
      <c r="AB59" s="364"/>
      <c r="AC59" s="364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25">
      <c r="A60" s="75">
        <v>7</v>
      </c>
      <c r="B60" s="76"/>
      <c r="C60" s="54" t="str">
        <f>"FY "&amp;M4-1</f>
        <v>FY 2022</v>
      </c>
      <c r="D60" s="131" t="s">
        <v>53</v>
      </c>
      <c r="E60" s="135"/>
      <c r="F60" s="55">
        <f>SUM(F56:F59)</f>
        <v>19.73</v>
      </c>
      <c r="G60" s="80" t="e">
        <f>SUM(G56:G59)</f>
        <v>#DIV/0!</v>
      </c>
      <c r="H60" s="80" t="e">
        <f>SUM(H56:H59)</f>
        <v>#DIV/0!</v>
      </c>
      <c r="I60" s="260" t="e">
        <f>SUM(I56:I59)</f>
        <v>#DIV/0!</v>
      </c>
      <c r="J60" s="80" t="e">
        <f>SUM(J56:J59)</f>
        <v>#DIV/0!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4"/>
      <c r="AB60" s="364"/>
      <c r="AC60" s="364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25">
      <c r="A61" s="85"/>
      <c r="B61" s="83"/>
      <c r="C61" s="420" t="s">
        <v>54</v>
      </c>
      <c r="D61" s="424"/>
      <c r="E61" s="368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4"/>
      <c r="AB61" s="364"/>
      <c r="AC61" s="364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25">
      <c r="A62" s="85">
        <v>8.31</v>
      </c>
      <c r="B62" s="83"/>
      <c r="C62" s="409" t="s">
        <v>67</v>
      </c>
      <c r="D62" s="410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4"/>
      <c r="AB62" s="364"/>
      <c r="AC62" s="364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25">
      <c r="A63" s="85">
        <v>8.41</v>
      </c>
      <c r="B63" s="83"/>
      <c r="C63" s="409" t="s">
        <v>55</v>
      </c>
      <c r="D63" s="410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4"/>
      <c r="AB63" s="364"/>
      <c r="AC63" s="364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">
      <c r="A64" s="93">
        <v>8.51</v>
      </c>
      <c r="B64" s="93"/>
      <c r="C64" s="414" t="s">
        <v>56</v>
      </c>
      <c r="D64" s="415"/>
      <c r="E64" s="134"/>
      <c r="F64" s="58">
        <v>0</v>
      </c>
      <c r="G64" s="88"/>
      <c r="H64" s="88">
        <v>0</v>
      </c>
      <c r="I64" s="265"/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4"/>
      <c r="AB64" s="364"/>
      <c r="AC64" s="364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25">
      <c r="A65" s="94"/>
      <c r="B65" s="95"/>
      <c r="C65" s="416"/>
      <c r="D65" s="417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4"/>
      <c r="AB65" s="364"/>
      <c r="AC65" s="364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5" x14ac:dyDescent="0.25">
      <c r="A66" s="100"/>
      <c r="B66" s="101"/>
      <c r="C66" s="418"/>
      <c r="D66" s="419"/>
      <c r="E66" s="102"/>
      <c r="F66" s="103" t="s">
        <v>24</v>
      </c>
      <c r="G66" s="104" t="str">
        <f>"FY "&amp;M4-2000&amp;" Salary"</f>
        <v>FY 23 Salary</v>
      </c>
      <c r="H66" s="104" t="str">
        <f>"FY"&amp;M4-2000&amp;" Health Ben"</f>
        <v>FY23 Health Ben</v>
      </c>
      <c r="I66" s="104" t="str">
        <f>"FY "&amp;M4-2000&amp;" Var Ben"</f>
        <v>FY 23 Var Ben</v>
      </c>
      <c r="J66" s="104" t="str">
        <f>"FY "&amp;M4&amp;" Total"</f>
        <v>FY 2023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5" x14ac:dyDescent="0.25">
      <c r="A67" s="82">
        <v>9</v>
      </c>
      <c r="B67" s="83"/>
      <c r="C67" s="84" t="str">
        <f>"FY "&amp;M4</f>
        <v>FY 2023</v>
      </c>
      <c r="D67" s="108" t="s">
        <v>57</v>
      </c>
      <c r="E67" s="109"/>
      <c r="F67" s="55">
        <f>SUM(F60:F64)</f>
        <v>19.73</v>
      </c>
      <c r="G67" s="80" t="e">
        <f>SUM(G60:G64)</f>
        <v>#DIV/0!</v>
      </c>
      <c r="H67" s="80" t="e">
        <f>SUM(H60:H64)</f>
        <v>#DIV/0!</v>
      </c>
      <c r="I67" s="80" t="e">
        <f>SUM(I60:I64)</f>
        <v>#DIV/0!</v>
      </c>
      <c r="J67" s="80" t="e">
        <f>SUM(J60:J64)</f>
        <v>#DIV/0!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4"/>
      <c r="AB67" s="364"/>
      <c r="AC67" s="364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25">
      <c r="A68" s="85">
        <v>10.11</v>
      </c>
      <c r="B68" s="83"/>
      <c r="C68" s="420" t="s">
        <v>58</v>
      </c>
      <c r="D68" s="421"/>
      <c r="E68" s="112"/>
      <c r="F68" s="288"/>
      <c r="G68" s="287"/>
      <c r="H68" s="113" t="e">
        <f>IF(DUNine=0,0,ROUND(SUM(L41:L65),-2))</f>
        <v>#DIV/0!</v>
      </c>
      <c r="I68" s="113"/>
      <c r="J68" s="287" t="e">
        <f>SUM(G68:I68)</f>
        <v>#DIV/0!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4"/>
      <c r="AB68" s="364"/>
      <c r="AC68" s="364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5" x14ac:dyDescent="0.25">
      <c r="A69" s="85">
        <v>10.119999999999999</v>
      </c>
      <c r="B69" s="83"/>
      <c r="C69" s="420" t="s">
        <v>59</v>
      </c>
      <c r="D69" s="421"/>
      <c r="E69" s="112"/>
      <c r="F69" s="288"/>
      <c r="G69" s="113"/>
      <c r="H69" s="113"/>
      <c r="I69" s="113" t="e">
        <f>IF(DUNine=0,0,ROUND(SUM(M41:M64),-2))</f>
        <v>#DIV/0!</v>
      </c>
      <c r="J69" s="287" t="e">
        <f>SUM(G69:I69)</f>
        <v>#DIV/0!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4"/>
      <c r="AB69" s="364"/>
      <c r="AC69" s="364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5" x14ac:dyDescent="0.25">
      <c r="A70" s="85"/>
      <c r="B70" s="83"/>
      <c r="C70" s="407"/>
      <c r="D70" s="408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4"/>
      <c r="AB70" s="364"/>
      <c r="AC70" s="364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25">
      <c r="A71" s="85">
        <v>10.51</v>
      </c>
      <c r="B71" s="83"/>
      <c r="C71" s="409" t="s">
        <v>60</v>
      </c>
      <c r="D71" s="410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112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64"/>
      <c r="AB71" s="364"/>
      <c r="AC71" s="364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25">
      <c r="A72" s="85">
        <v>10.61</v>
      </c>
      <c r="B72" s="83"/>
      <c r="C72" s="409" t="s">
        <v>101</v>
      </c>
      <c r="D72" s="411"/>
      <c r="E72" s="290">
        <f>CECPerm</f>
        <v>0.01</v>
      </c>
      <c r="F72" s="288"/>
      <c r="G72" s="356" t="e">
        <f>IF(DUNine=0,0,IF(DUNine&lt;0,0,ROUND(AdjPermSalary*CECPerm,-2)))</f>
        <v>#DIV/0!</v>
      </c>
      <c r="H72" s="287"/>
      <c r="I72" s="287" t="e">
        <f>ROUND(($G72*PermVBBY+$G72*Retire1BY),-2)</f>
        <v>#DIV/0!</v>
      </c>
      <c r="J72" s="113" t="e">
        <f>SUM(G72:I72)</f>
        <v>#DIV/0!</v>
      </c>
      <c r="K72" s="296"/>
      <c r="L72" s="298"/>
      <c r="M72" s="350" t="e">
        <f>IF(DUNine=0,0,IF(((#REF!-G39-G40)*E72)&lt;0,0,ROUND(((#REF!-G39-G40)*E72),-2)))</f>
        <v>#DIV/0!</v>
      </c>
      <c r="N72" s="359"/>
      <c r="O72" s="358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#DIV/0!</v>
      </c>
      <c r="P72" s="358"/>
      <c r="Q72"/>
      <c r="R72"/>
      <c r="S72"/>
      <c r="T72"/>
      <c r="U72"/>
      <c r="V72"/>
      <c r="W72"/>
      <c r="X72"/>
      <c r="Y72"/>
      <c r="Z72" s="344"/>
      <c r="AA72" s="364"/>
      <c r="AB72" s="364"/>
      <c r="AC72" s="364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25">
      <c r="A73" s="85">
        <v>10.62</v>
      </c>
      <c r="B73" s="83"/>
      <c r="C73" s="409" t="s">
        <v>61</v>
      </c>
      <c r="D73" s="411"/>
      <c r="E73" s="289">
        <f>CECGroup</f>
        <v>0.01</v>
      </c>
      <c r="F73" s="288"/>
      <c r="G73" s="356" t="e">
        <f>IF(DUNine=0,0,IF(DUNine&lt;0,0,ROUND(AdjGroupSalary*CECGroup,-2)))</f>
        <v>#DIV/0!</v>
      </c>
      <c r="H73" s="287"/>
      <c r="I73" s="287" t="e">
        <f>ROUND(($G73*GroupVBBY),-2)</f>
        <v>#DIV/0!</v>
      </c>
      <c r="J73" s="113" t="e">
        <f t="shared" si="11"/>
        <v>#DIV/0!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64"/>
      <c r="AB73" s="364"/>
      <c r="AC73" s="364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25">
      <c r="A74" s="85">
        <v>10.63</v>
      </c>
      <c r="B74" s="83"/>
      <c r="C74" s="367" t="s">
        <v>62</v>
      </c>
      <c r="D74" s="369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4"/>
      <c r="AB74" s="364"/>
      <c r="AC74" s="364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25">
      <c r="A75" s="75">
        <v>11</v>
      </c>
      <c r="B75" s="76"/>
      <c r="C75" s="54" t="str">
        <f>"FY "&amp;M4</f>
        <v>FY 2023</v>
      </c>
      <c r="D75" s="77" t="s">
        <v>63</v>
      </c>
      <c r="E75" s="112"/>
      <c r="F75" s="55">
        <f>SUM(F67:F74)</f>
        <v>19.73</v>
      </c>
      <c r="G75" s="80" t="e">
        <f>SUM(G67:G74)</f>
        <v>#DIV/0!</v>
      </c>
      <c r="H75" s="80" t="e">
        <f>SUM(H67:H74)</f>
        <v>#DIV/0!</v>
      </c>
      <c r="I75" s="80" t="e">
        <f>SUM(I67:I74)</f>
        <v>#DIV/0!</v>
      </c>
      <c r="J75" s="80" t="e">
        <f>SUM(J67:K74)</f>
        <v>#DIV/0!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4"/>
      <c r="AB75" s="364"/>
      <c r="AC75" s="364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25">
      <c r="A76" s="85"/>
      <c r="B76" s="83"/>
      <c r="C76" s="412" t="s">
        <v>64</v>
      </c>
      <c r="D76" s="413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4"/>
      <c r="AB76" s="364"/>
      <c r="AC76" s="364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5" x14ac:dyDescent="0.25">
      <c r="A77" s="116">
        <v>12.01</v>
      </c>
      <c r="B77" s="57"/>
      <c r="C77" s="405"/>
      <c r="D77" s="406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4"/>
      <c r="AB77" s="364"/>
      <c r="AC77" s="364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5" x14ac:dyDescent="0.25">
      <c r="A78" s="116">
        <v>12.02</v>
      </c>
      <c r="B78" s="57"/>
      <c r="C78" s="405"/>
      <c r="D78" s="406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4"/>
      <c r="AB78" s="364"/>
      <c r="AC78" s="364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5" x14ac:dyDescent="0.25">
      <c r="A79" s="116">
        <v>12.03</v>
      </c>
      <c r="B79" s="57" t="s">
        <v>45</v>
      </c>
      <c r="C79" s="405"/>
      <c r="D79" s="406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4"/>
      <c r="AB79" s="364"/>
      <c r="AC79" s="364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25">
      <c r="A80" s="117">
        <v>13</v>
      </c>
      <c r="B80" s="118"/>
      <c r="C80" s="119" t="str">
        <f>"FY "&amp;M4</f>
        <v>FY 2023</v>
      </c>
      <c r="D80" s="120" t="s">
        <v>65</v>
      </c>
      <c r="E80" s="121"/>
      <c r="F80" s="55">
        <f>SUM(F75:F79)</f>
        <v>19.73</v>
      </c>
      <c r="G80" s="80" t="e">
        <f>SUM(G75:G79)</f>
        <v>#DIV/0!</v>
      </c>
      <c r="H80" s="80" t="e">
        <f>SUM(H75:H79)</f>
        <v>#DIV/0!</v>
      </c>
      <c r="I80" s="80" t="e">
        <f>SUM(I75:I79)</f>
        <v>#DIV/0!</v>
      </c>
      <c r="J80" s="80" t="e">
        <f>SUM(J75:J79)</f>
        <v>#DIV/0!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4"/>
      <c r="AB80" s="364"/>
      <c r="AC80" s="364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13:D13"/>
    <mergeCell ref="M1:N1"/>
    <mergeCell ref="M2:N2"/>
    <mergeCell ref="M3:N3"/>
    <mergeCell ref="M4:N4"/>
    <mergeCell ref="I5:L5"/>
    <mergeCell ref="C8:D8"/>
    <mergeCell ref="AA8:AC8"/>
    <mergeCell ref="C9:D9"/>
    <mergeCell ref="C10:D10"/>
    <mergeCell ref="C11:D11"/>
    <mergeCell ref="C12:D12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C54:D54"/>
    <mergeCell ref="C39:D39"/>
    <mergeCell ref="C41:D41"/>
    <mergeCell ref="C42:D42"/>
    <mergeCell ref="C43:D44"/>
    <mergeCell ref="K45:N45"/>
    <mergeCell ref="E46:J47"/>
    <mergeCell ref="K46:N47"/>
    <mergeCell ref="C50:D50"/>
    <mergeCell ref="C53:D53"/>
    <mergeCell ref="C69:D69"/>
    <mergeCell ref="C55:D55"/>
    <mergeCell ref="C57:D57"/>
    <mergeCell ref="C58:D58"/>
    <mergeCell ref="C59:D59"/>
    <mergeCell ref="C61:D61"/>
    <mergeCell ref="C62:D62"/>
    <mergeCell ref="C63:D63"/>
    <mergeCell ref="C64:D64"/>
    <mergeCell ref="C65:D65"/>
    <mergeCell ref="C66:D66"/>
    <mergeCell ref="C68:D68"/>
    <mergeCell ref="C78:D78"/>
    <mergeCell ref="C79:D79"/>
    <mergeCell ref="C70:D70"/>
    <mergeCell ref="C71:D71"/>
    <mergeCell ref="C72:D72"/>
    <mergeCell ref="C73:D73"/>
    <mergeCell ref="C76:D76"/>
    <mergeCell ref="C77:D77"/>
  </mergeCells>
  <conditionalFormatting sqref="K44">
    <cfRule type="expression" dxfId="33" priority="5">
      <formula>$J$44&lt;0</formula>
    </cfRule>
  </conditionalFormatting>
  <conditionalFormatting sqref="K43">
    <cfRule type="expression" dxfId="32" priority="4">
      <formula>$J$43&lt;0</formula>
    </cfRule>
  </conditionalFormatting>
  <conditionalFormatting sqref="L16">
    <cfRule type="expression" dxfId="31" priority="3">
      <formula>$J$16&lt;0</formula>
    </cfRule>
  </conditionalFormatting>
  <conditionalFormatting sqref="K45">
    <cfRule type="expression" dxfId="30" priority="2">
      <formula>$J$44&lt;0</formula>
    </cfRule>
  </conditionalFormatting>
  <conditionalFormatting sqref="K43:N45">
    <cfRule type="containsText" dxfId="29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580C8CD-94DA-4896-8F90-58FD803BAF73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8AA38F-8038-4A5D-90BF-79E1B69AB717}">
  <sheetPr>
    <tabColor rgb="FF7030A0"/>
    <pageSetUpPr fitToPage="1"/>
  </sheetPr>
  <dimension ref="A1:CP80"/>
  <sheetViews>
    <sheetView showGridLines="0" topLeftCell="A13" zoomScaleNormal="100" workbookViewId="0">
      <selection activeCell="C8" sqref="C8:N16"/>
    </sheetView>
  </sheetViews>
  <sheetFormatPr defaultColWidth="9.140625" defaultRowHeight="15.75" x14ac:dyDescent="0.25"/>
  <cols>
    <col min="1" max="1" width="7.85546875" style="124" customWidth="1"/>
    <col min="2" max="2" width="7.7109375" style="125" customWidth="1"/>
    <col min="3" max="3" width="9" style="125" customWidth="1"/>
    <col min="4" max="4" width="39.28515625" style="53" customWidth="1"/>
    <col min="5" max="5" width="13" style="126" customWidth="1"/>
    <col min="6" max="6" width="12.28515625" style="127" customWidth="1"/>
    <col min="7" max="7" width="12.140625" style="127" bestFit="1" customWidth="1"/>
    <col min="8" max="8" width="14.5703125" style="127" customWidth="1"/>
    <col min="9" max="9" width="19.5703125" style="128" bestFit="1" customWidth="1"/>
    <col min="10" max="10" width="13.7109375" style="129" customWidth="1"/>
    <col min="11" max="11" width="13.7109375" style="129" hidden="1" customWidth="1"/>
    <col min="12" max="12" width="18.42578125" style="129" customWidth="1"/>
    <col min="13" max="13" width="16.42578125" style="129" customWidth="1"/>
    <col min="14" max="14" width="16.140625" style="128" customWidth="1"/>
    <col min="15" max="25" width="16.140625" customWidth="1"/>
    <col min="26" max="26" width="16.140625" style="344" customWidth="1"/>
    <col min="27" max="27" width="22.140625" style="334" bestFit="1" customWidth="1"/>
    <col min="28" max="28" width="31.140625" style="334" bestFit="1" customWidth="1"/>
    <col min="29" max="29" width="7.85546875" style="334" bestFit="1" customWidth="1"/>
    <col min="30" max="30" width="9.140625" style="110" customWidth="1"/>
    <col min="31" max="94" width="9.140625" style="17"/>
    <col min="95" max="16384" width="9.140625" style="18"/>
  </cols>
  <sheetData>
    <row r="1" spans="1:94" x14ac:dyDescent="0.25">
      <c r="A1" s="12" t="s">
        <v>13</v>
      </c>
      <c r="B1" s="13"/>
      <c r="C1" s="13"/>
      <c r="D1" s="14" t="s">
        <v>2643</v>
      </c>
      <c r="E1" s="15"/>
      <c r="F1" s="15"/>
      <c r="G1" s="15"/>
      <c r="H1" s="15"/>
      <c r="I1" s="15"/>
      <c r="J1" s="15"/>
      <c r="K1" s="15"/>
      <c r="L1" s="16" t="s">
        <v>14</v>
      </c>
      <c r="M1" s="468">
        <v>240</v>
      </c>
      <c r="N1" s="469"/>
      <c r="AA1" s="364"/>
      <c r="AB1" s="333"/>
      <c r="AC1" s="333"/>
      <c r="AD1" s="325"/>
    </row>
    <row r="2" spans="1:94" ht="20.25" x14ac:dyDescent="0.25">
      <c r="A2" s="19" t="s">
        <v>116</v>
      </c>
      <c r="B2" s="20"/>
      <c r="C2" s="20"/>
      <c r="D2" s="14" t="s">
        <v>2643</v>
      </c>
      <c r="E2" s="21"/>
      <c r="F2" s="21"/>
      <c r="G2" s="21"/>
      <c r="H2" s="21"/>
      <c r="I2" s="21"/>
      <c r="J2" s="20"/>
      <c r="K2" s="20"/>
      <c r="L2" s="22" t="s">
        <v>113</v>
      </c>
      <c r="M2" s="470" t="s">
        <v>2666</v>
      </c>
      <c r="N2" s="471"/>
      <c r="AA2" s="333"/>
      <c r="AB2" s="333"/>
      <c r="AC2" s="333"/>
      <c r="AD2" s="325"/>
    </row>
    <row r="3" spans="1:94" x14ac:dyDescent="0.25">
      <c r="A3" s="19" t="s">
        <v>117</v>
      </c>
      <c r="B3" s="20"/>
      <c r="C3" s="20"/>
      <c r="D3" s="23" t="s">
        <v>2705</v>
      </c>
      <c r="E3" s="24"/>
      <c r="F3" s="25"/>
      <c r="G3" s="25"/>
      <c r="H3" s="25"/>
      <c r="I3" s="26"/>
      <c r="J3" s="20"/>
      <c r="K3" s="20"/>
      <c r="L3" s="22" t="s">
        <v>114</v>
      </c>
      <c r="M3" s="468" t="s">
        <v>1945</v>
      </c>
      <c r="N3" s="469"/>
      <c r="AA3" s="364"/>
      <c r="AB3" s="333"/>
      <c r="AC3" s="333"/>
      <c r="AD3" s="325"/>
    </row>
    <row r="4" spans="1:94" x14ac:dyDescent="0.25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68">
        <v>2023</v>
      </c>
      <c r="N4" s="469"/>
      <c r="AA4" s="364"/>
      <c r="AB4" s="333"/>
      <c r="AC4" s="333"/>
      <c r="AD4" s="325"/>
    </row>
    <row r="5" spans="1:94" s="34" customFormat="1" ht="18" customHeight="1" x14ac:dyDescent="0.25">
      <c r="A5" s="19" t="s">
        <v>16</v>
      </c>
      <c r="B5" s="20"/>
      <c r="C5" s="20"/>
      <c r="D5" s="351">
        <v>44440</v>
      </c>
      <c r="E5" s="27"/>
      <c r="F5" s="30"/>
      <c r="G5" s="31"/>
      <c r="H5" s="31" t="s">
        <v>17</v>
      </c>
      <c r="I5" s="470" t="s">
        <v>2664</v>
      </c>
      <c r="J5" s="472"/>
      <c r="K5" s="472"/>
      <c r="L5" s="471"/>
      <c r="M5" s="352" t="s">
        <v>115</v>
      </c>
      <c r="N5" s="32" t="s">
        <v>2665</v>
      </c>
      <c r="O5"/>
      <c r="P5"/>
      <c r="Q5"/>
      <c r="R5"/>
      <c r="S5"/>
      <c r="T5"/>
      <c r="U5"/>
      <c r="V5"/>
      <c r="W5"/>
      <c r="X5"/>
      <c r="Y5"/>
      <c r="Z5" s="344"/>
      <c r="AA5" s="364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25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84</v>
      </c>
      <c r="K6" s="31"/>
      <c r="L6" s="353"/>
      <c r="M6" s="354" t="s">
        <v>85</v>
      </c>
      <c r="N6" s="306"/>
      <c r="AA6" s="364"/>
      <c r="AB6" s="333"/>
      <c r="AC6" s="333"/>
      <c r="AD6" s="325"/>
    </row>
    <row r="7" spans="1:94" x14ac:dyDescent="0.25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25">
      <c r="A8" s="48" t="s">
        <v>20</v>
      </c>
      <c r="B8" s="370" t="s">
        <v>21</v>
      </c>
      <c r="C8" s="473" t="s">
        <v>22</v>
      </c>
      <c r="D8" s="474"/>
      <c r="E8" s="370" t="s">
        <v>23</v>
      </c>
      <c r="F8" s="49" t="s">
        <v>24</v>
      </c>
      <c r="G8" s="50" t="str">
        <f>"FY "&amp;'EMUI|0348-00'!FiscalYear-1&amp;" SALARY"</f>
        <v>FY 2022 SALARY</v>
      </c>
      <c r="H8" s="50" t="str">
        <f>"FY "&amp;'EMUI|0348-00'!FiscalYear-1&amp;" HEALTH BENEFITS"</f>
        <v>FY 2022 HEALTH BENEFITS</v>
      </c>
      <c r="I8" s="50" t="str">
        <f>"FY "&amp;'EMUI|0348-00'!FiscalYear-1&amp;" VAR BENEFITS"</f>
        <v>FY 2022 VAR BENEFITS</v>
      </c>
      <c r="J8" s="50" t="str">
        <f>"FY "&amp;'EMUI|0348-00'!FiscalYear-1&amp;" TOTAL"</f>
        <v>FY 2022 TOTAL</v>
      </c>
      <c r="K8" s="50" t="str">
        <f>"FY "&amp;'EMUI|0348-00'!FiscalYear&amp;" SALARY CHANGE"</f>
        <v>FY 2023 SALARY CHANGE</v>
      </c>
      <c r="L8" s="50" t="str">
        <f>"FY "&amp;'EMUI|0348-00'!FiscalYear&amp;" CHG HEALTH BENEFITS"</f>
        <v>FY 2023 CHG HEALTH BENEFITS</v>
      </c>
      <c r="M8" s="50" t="str">
        <f>"FY "&amp;'EMUI|0348-00'!FiscalYear&amp;" CHG VAR BENEFITS"</f>
        <v>FY 2023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64" t="s">
        <v>105</v>
      </c>
      <c r="AB8" s="464"/>
      <c r="AC8" s="464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25">
      <c r="A9" s="139"/>
      <c r="B9" s="140"/>
      <c r="C9" s="465" t="s">
        <v>26</v>
      </c>
      <c r="D9" s="466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4" t="s">
        <v>94</v>
      </c>
      <c r="AB9" s="333" t="s">
        <v>95</v>
      </c>
      <c r="AC9" s="333" t="s">
        <v>106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25">
      <c r="A10" s="139"/>
      <c r="B10" s="139"/>
      <c r="C10" s="444" t="s">
        <v>27</v>
      </c>
      <c r="D10" s="467"/>
      <c r="E10" s="217">
        <v>1</v>
      </c>
      <c r="F10" s="288">
        <f>[0]!EMUI034800col_INC_FTI</f>
        <v>325.18000000000012</v>
      </c>
      <c r="G10" s="218">
        <f>[0]!EMUI034800col_FTI_SALARY_PERM</f>
        <v>16498508.820000008</v>
      </c>
      <c r="H10" s="218">
        <f>[0]!EMUI034800col_HEALTH_PERM</f>
        <v>3792774</v>
      </c>
      <c r="I10" s="218">
        <f>[0]!EMUI034800col_TOT_VB_PERM</f>
        <v>3565671.8511062479</v>
      </c>
      <c r="J10" s="219">
        <f>SUM(G10:I10)</f>
        <v>23856954.671106257</v>
      </c>
      <c r="K10" s="219">
        <f>[0]!EMUI034800col_1_27TH_PP</f>
        <v>0</v>
      </c>
      <c r="L10" s="218">
        <f>[0]!EMUI034800col_HEALTH_PERM_CHG</f>
        <v>0</v>
      </c>
      <c r="M10" s="218">
        <f>[0]!EMUI034800col_TOT_VB_PERM_CHG</f>
        <v>-69290.575043999997</v>
      </c>
      <c r="N10" s="218">
        <f>SUM(L10:M10)</f>
        <v>-69290.575043999997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165000</v>
      </c>
      <c r="AB10" s="335">
        <f>ROUND(PermVarBen*CECPerm+(CECPerm*PermVarBenChg),-2)</f>
        <v>35000</v>
      </c>
      <c r="AC10" s="335">
        <f>SUM(AA10:AB10)</f>
        <v>200000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25">
      <c r="A11" s="139"/>
      <c r="B11" s="139"/>
      <c r="C11" s="444" t="s">
        <v>28</v>
      </c>
      <c r="D11" s="467"/>
      <c r="E11" s="217">
        <v>2</v>
      </c>
      <c r="F11" s="288"/>
      <c r="G11" s="218">
        <f>[0]!EMUI034800col_Group_Salary</f>
        <v>145845.62999999998</v>
      </c>
      <c r="H11" s="218">
        <v>0</v>
      </c>
      <c r="I11" s="218">
        <f>[0]!EMUI034800col_Group_Ben</f>
        <v>41062.789999999994</v>
      </c>
      <c r="J11" s="219">
        <f>SUM(G11:I11)</f>
        <v>186908.41999999998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1500</v>
      </c>
      <c r="AB11" s="335">
        <f>ROUND((GroupSalary*GroupVBBY)*CECGroup,-2)</f>
        <v>100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25">
      <c r="A12" s="139"/>
      <c r="B12" s="139"/>
      <c r="C12" s="444" t="s">
        <v>29</v>
      </c>
      <c r="D12" s="445"/>
      <c r="E12" s="217">
        <v>3</v>
      </c>
      <c r="F12" s="288">
        <f>[0]!EMUI034800col_TOTAL_ELECT_PCN_FTI</f>
        <v>0</v>
      </c>
      <c r="G12" s="218">
        <f>[0]!EMUI034800col_FTI_SALARY_ELECT</f>
        <v>0</v>
      </c>
      <c r="H12" s="218">
        <f>[0]!EMUI034800col_HEALTH_ELECT</f>
        <v>0</v>
      </c>
      <c r="I12" s="218">
        <f>[0]!EMUI034800col_TOT_VB_ELECT</f>
        <v>0</v>
      </c>
      <c r="J12" s="219">
        <f>SUM(G12:I12)</f>
        <v>0</v>
      </c>
      <c r="K12" s="268"/>
      <c r="L12" s="218">
        <f>[0]!EMUI034800col_HEALTH_ELECT_CHG</f>
        <v>0</v>
      </c>
      <c r="M12" s="218">
        <f>[0]!EMUI034800col_TOT_VB_ELECT_CHG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25">
      <c r="A13" s="139"/>
      <c r="B13" s="139"/>
      <c r="C13" s="444" t="s">
        <v>30</v>
      </c>
      <c r="D13" s="467"/>
      <c r="E13" s="217"/>
      <c r="F13" s="220">
        <f>SUM(F10:F12)</f>
        <v>325.18000000000012</v>
      </c>
      <c r="G13" s="221">
        <f>SUM(G10:G12)</f>
        <v>16644354.450000009</v>
      </c>
      <c r="H13" s="221">
        <f>SUM(H10:H12)</f>
        <v>3792774</v>
      </c>
      <c r="I13" s="221">
        <f>SUM(I10:I12)</f>
        <v>3606734.6411062479</v>
      </c>
      <c r="J13" s="219">
        <f>SUM(G13:I13)</f>
        <v>24043863.091106258</v>
      </c>
      <c r="K13" s="268"/>
      <c r="L13" s="219">
        <f>SUM(L10:L12)</f>
        <v>0</v>
      </c>
      <c r="M13" s="219">
        <f>SUM(M10:M12)</f>
        <v>-69290.575043999997</v>
      </c>
      <c r="N13" s="219">
        <f>SUM(N10:N12)</f>
        <v>-69290.575043999997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5" customHeight="1" x14ac:dyDescent="0.25">
      <c r="A14" s="139"/>
      <c r="B14" s="139"/>
      <c r="C14" s="365"/>
      <c r="D14" s="371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25">
      <c r="A15" s="139"/>
      <c r="B15" s="156"/>
      <c r="C15" s="157" t="str">
        <f>"FY "&amp;'EMUI|0348-00'!FiscalYear-1</f>
        <v>FY 2022</v>
      </c>
      <c r="D15" s="158" t="s">
        <v>31</v>
      </c>
      <c r="E15" s="355">
        <v>25691900</v>
      </c>
      <c r="F15" s="55">
        <v>336.19</v>
      </c>
      <c r="G15" s="223">
        <f>IF(OrigApprop=0,0,(G13/$J$13)*OrigApprop)</f>
        <v>17785207.330186982</v>
      </c>
      <c r="H15" s="223">
        <f>IF(OrigApprop=0,0,(H13/$J$13)*OrigApprop)</f>
        <v>4052741.8560557365</v>
      </c>
      <c r="I15" s="223">
        <f>IF(G15=0,0,(I13/$J$13)*OrigApprop)</f>
        <v>3853950.8137572804</v>
      </c>
      <c r="J15" s="223">
        <f>SUM(G15:I15)</f>
        <v>25691900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25">
      <c r="A16" s="139"/>
      <c r="B16" s="139"/>
      <c r="C16" s="454" t="s">
        <v>32</v>
      </c>
      <c r="D16" s="455"/>
      <c r="E16" s="160" t="s">
        <v>33</v>
      </c>
      <c r="F16" s="161">
        <f>F15-F13</f>
        <v>11.009999999999877</v>
      </c>
      <c r="G16" s="162">
        <f>G15-G13</f>
        <v>1140852.8801869731</v>
      </c>
      <c r="H16" s="162">
        <f>H15-H13</f>
        <v>259967.85605573654</v>
      </c>
      <c r="I16" s="162">
        <f>I15-I13</f>
        <v>247216.17265103245</v>
      </c>
      <c r="J16" s="162">
        <f>J15-J13</f>
        <v>1648036.9088937417</v>
      </c>
      <c r="K16" s="269"/>
      <c r="L16" s="56" t="str">
        <f>IF('EMUI|0348-00'!OrigApprop=0,"ERROR! Enter Original Appropriation amount in DU 3.00!","Calculated "&amp;IF('EMUI|0348-00'!AdjustedTotal&gt;0,"overfunding ","underfunding ")&amp;"is "&amp;TEXT('EMUI|0348-00'!AdjustedTotal/'EMUI|0348-00'!AppropTotal,"#.0%;(#.0% );0% ;")&amp;" of Original Appropriation")</f>
        <v>Calculated overfunding is 6.4% of Original Appropriation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25">
      <c r="A17" s="139"/>
      <c r="B17" s="139"/>
      <c r="C17" s="456" t="s">
        <v>34</v>
      </c>
      <c r="D17" s="457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25">
      <c r="A18" s="139"/>
      <c r="B18" s="168"/>
      <c r="C18" s="458" t="s">
        <v>35</v>
      </c>
      <c r="D18" s="459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5.5" x14ac:dyDescent="0.25">
      <c r="A19" s="238"/>
      <c r="B19" s="202"/>
      <c r="C19" s="239" t="s">
        <v>86</v>
      </c>
      <c r="D19" s="240" t="s">
        <v>87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4"/>
      <c r="AB19" s="364"/>
      <c r="AC19" s="364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5" x14ac:dyDescent="0.25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4"/>
      <c r="AB20" s="364"/>
      <c r="AC20" s="364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5" x14ac:dyDescent="0.25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4"/>
      <c r="AB21" s="364"/>
      <c r="AC21" s="364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5" x14ac:dyDescent="0.25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4"/>
      <c r="AB22" s="364"/>
      <c r="AC22" s="364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5" x14ac:dyDescent="0.25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4"/>
      <c r="AB23" s="364"/>
      <c r="AC23" s="364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5" x14ac:dyDescent="0.25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4"/>
      <c r="AC24" s="364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5" x14ac:dyDescent="0.25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4"/>
      <c r="AC25" s="364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5" x14ac:dyDescent="0.25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4"/>
      <c r="AC26" s="364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5" x14ac:dyDescent="0.25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4"/>
      <c r="AB27" s="364"/>
      <c r="AC27" s="364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5" x14ac:dyDescent="0.25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4"/>
      <c r="AB28" s="364"/>
      <c r="AC28" s="364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5" x14ac:dyDescent="0.25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4"/>
      <c r="AB29" s="364"/>
      <c r="AC29" s="364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5" x14ac:dyDescent="0.25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4"/>
      <c r="AB30" s="364"/>
      <c r="AC30" s="364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5" x14ac:dyDescent="0.25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4"/>
      <c r="AB31" s="364"/>
      <c r="AC31" s="364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5" x14ac:dyDescent="0.25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4"/>
      <c r="AB32" s="364"/>
      <c r="AC32" s="364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5" x14ac:dyDescent="0.25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4"/>
      <c r="AB33" s="364"/>
      <c r="AC33" s="364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5" x14ac:dyDescent="0.25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4"/>
      <c r="AB34" s="364"/>
      <c r="AC34" s="364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5" x14ac:dyDescent="0.25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4"/>
      <c r="AB35" s="364"/>
      <c r="AC35" s="364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5" x14ac:dyDescent="0.25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4" t="s">
        <v>94</v>
      </c>
      <c r="AB36" s="333" t="s">
        <v>95</v>
      </c>
      <c r="AC36" s="333" t="s">
        <v>106</v>
      </c>
      <c r="AD36" s="330"/>
    </row>
    <row r="37" spans="1:94" s="153" customFormat="1" ht="17.25" customHeight="1" x14ac:dyDescent="0.25">
      <c r="A37" s="139"/>
      <c r="B37" s="188"/>
      <c r="C37" s="460" t="s">
        <v>37</v>
      </c>
      <c r="D37" s="461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62" t="s">
        <v>107</v>
      </c>
      <c r="AB37" s="463"/>
      <c r="AC37" s="463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5" x14ac:dyDescent="0.25">
      <c r="A38" s="139"/>
      <c r="B38" s="188"/>
      <c r="C38" s="444" t="str">
        <f>perm_name</f>
        <v>Permanent Positions</v>
      </c>
      <c r="D38" s="445"/>
      <c r="E38" s="189">
        <v>1</v>
      </c>
      <c r="F38" s="190">
        <f>SUMIF($E9:$E35,$E38,$F9:$F35)</f>
        <v>325.18000000000012</v>
      </c>
      <c r="G38" s="191">
        <f>SUMIF($E10:$E35,$E38,$G10:$G35)</f>
        <v>16498508.820000008</v>
      </c>
      <c r="H38" s="192">
        <f>SUMIF($E10:$E35,$E38,$H10:$H35)</f>
        <v>3792774</v>
      </c>
      <c r="I38" s="192">
        <f>SUMIF($E10:$E35,$E38,$I10:$I35)</f>
        <v>3565671.8511062479</v>
      </c>
      <c r="J38" s="192">
        <f>SUM(G38:I38)</f>
        <v>23856954.671106257</v>
      </c>
      <c r="K38" s="166"/>
      <c r="L38" s="191">
        <f>SUMIF($E10:$E35,$E38,$L10:$L35)</f>
        <v>0</v>
      </c>
      <c r="M38" s="192">
        <f>SUMIF($E10:$E35,$E38,$M10:$M35)</f>
        <v>-69290.575043999997</v>
      </c>
      <c r="N38" s="192">
        <f>SUM(L38:M38)</f>
        <v>-69290.575043999997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165000</v>
      </c>
      <c r="AB38" s="338">
        <f>ROUND((AdjPermVB*CECPerm+AdjPermVBBY*CECPerm),-2)</f>
        <v>35000</v>
      </c>
      <c r="AC38" s="338">
        <f>SUM(AA38:AB38)</f>
        <v>200000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5" x14ac:dyDescent="0.25">
      <c r="A39" s="139"/>
      <c r="B39" s="188"/>
      <c r="C39" s="444" t="str">
        <f>Group_name</f>
        <v>Board &amp; Group Positions</v>
      </c>
      <c r="D39" s="445"/>
      <c r="E39" s="189">
        <v>2</v>
      </c>
      <c r="F39" s="151">
        <f>SUMIF($E9:$E35,$E39,$F9:$F35)</f>
        <v>0</v>
      </c>
      <c r="G39" s="193">
        <f>SUMIF($E10:$E35,$E39,$G10:$G35)</f>
        <v>145845.62999999998</v>
      </c>
      <c r="H39" s="152">
        <f>SUMIF($E10:$E35,$E39,$H10:$H35)</f>
        <v>0</v>
      </c>
      <c r="I39" s="152">
        <f>SUMIF($E10:$E35,$E39,$I10:$I35)</f>
        <v>41062.789999999994</v>
      </c>
      <c r="J39" s="152">
        <f>SUM(G39:I39)</f>
        <v>186908.41999999998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1500</v>
      </c>
      <c r="AB39" s="338">
        <f>ROUND(AdjGroupVB*CECGroup,-2)</f>
        <v>400</v>
      </c>
      <c r="AC39" s="338">
        <f>SUM(AA39:AB39)</f>
        <v>1900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5" x14ac:dyDescent="0.25">
      <c r="A40" s="139"/>
      <c r="B40" s="188"/>
      <c r="C40" s="365" t="str">
        <f>Elect_name</f>
        <v>Elected Officials &amp; Full Time Commissioners</v>
      </c>
      <c r="D40" s="366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4"/>
      <c r="AB40" s="364"/>
      <c r="AC40" s="364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5" x14ac:dyDescent="0.25">
      <c r="A41" s="139"/>
      <c r="B41" s="188"/>
      <c r="C41" s="444" t="s">
        <v>38</v>
      </c>
      <c r="D41" s="445"/>
      <c r="E41" s="189"/>
      <c r="F41" s="161">
        <f>SUM(F38:F40)</f>
        <v>325.18000000000012</v>
      </c>
      <c r="G41" s="195">
        <f>SUM($G$38:$G$40)</f>
        <v>16644354.450000009</v>
      </c>
      <c r="H41" s="162">
        <f>SUM($H$38:$H$40)</f>
        <v>3792774</v>
      </c>
      <c r="I41" s="162">
        <f>SUM($I$38:$I$40)</f>
        <v>3606734.6411062479</v>
      </c>
      <c r="J41" s="162">
        <f>SUM($J$38:$J$40)</f>
        <v>24043863.091106258</v>
      </c>
      <c r="K41" s="259"/>
      <c r="L41" s="195">
        <f>SUM($L$38:$L$40)</f>
        <v>0</v>
      </c>
      <c r="M41" s="162">
        <f>SUM($M$38:$M$40)</f>
        <v>-69290.575043999997</v>
      </c>
      <c r="N41" s="162">
        <f>SUM(L41:M41)</f>
        <v>-69290.575043999997</v>
      </c>
      <c r="O41"/>
      <c r="P41"/>
      <c r="Q41"/>
      <c r="R41"/>
      <c r="S41"/>
      <c r="T41"/>
      <c r="U41"/>
      <c r="V41"/>
      <c r="W41"/>
      <c r="X41"/>
      <c r="Y41"/>
      <c r="Z41" s="344"/>
      <c r="AA41" s="364" t="s">
        <v>94</v>
      </c>
      <c r="AB41" s="333" t="s">
        <v>95</v>
      </c>
      <c r="AC41" s="333" t="s">
        <v>106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25">
      <c r="A42" s="139"/>
      <c r="B42" s="188"/>
      <c r="C42" s="446"/>
      <c r="D42" s="447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4"/>
      <c r="AB42" s="364"/>
      <c r="AC42" s="364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25">
      <c r="A43" s="139"/>
      <c r="B43" s="202"/>
      <c r="C43" s="448" t="s">
        <v>39</v>
      </c>
      <c r="D43" s="449"/>
      <c r="E43" s="203" t="s">
        <v>40</v>
      </c>
      <c r="F43" s="205">
        <f>ROUND(F51-F41,2)</f>
        <v>11.01</v>
      </c>
      <c r="G43" s="206">
        <f>ROUND(G51-G41,-2)</f>
        <v>1140900</v>
      </c>
      <c r="H43" s="159">
        <f>ROUND(H51-H41,-2)</f>
        <v>260000</v>
      </c>
      <c r="I43" s="159">
        <f>ROUND(I51-I41,-2)</f>
        <v>247200</v>
      </c>
      <c r="J43" s="159">
        <f>SUM(G43:I43)</f>
        <v>1648100</v>
      </c>
      <c r="K43" s="425" t="str">
        <f>IF(E51=0,"ERROR! Enter Original Appropriation amount in DU 3.00!","Calculated "&amp;IF(J43&gt;0,"overfunding ","underfunding ")&amp;"is "&amp;TEXT(J43/J51,"#.0%;(#.0% );0% ;")&amp;" of Original Appropriation")</f>
        <v>Calculated overfunding is 6.4% of Original Appropriation</v>
      </c>
      <c r="L43" s="426"/>
      <c r="M43" s="426"/>
      <c r="N43" s="427"/>
      <c r="O43"/>
      <c r="P43"/>
      <c r="Q43"/>
      <c r="R43"/>
      <c r="S43"/>
      <c r="T43"/>
      <c r="U43"/>
      <c r="V43"/>
      <c r="W43"/>
      <c r="X43"/>
      <c r="Y43"/>
      <c r="Z43" s="344"/>
      <c r="AA43" s="452" t="s">
        <v>108</v>
      </c>
      <c r="AB43" s="453"/>
      <c r="AC43" s="453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25">
      <c r="A44" s="139"/>
      <c r="B44" s="202"/>
      <c r="C44" s="450"/>
      <c r="D44" s="451"/>
      <c r="E44" s="204" t="s">
        <v>41</v>
      </c>
      <c r="F44" s="205">
        <f>ROUND(F60-F41,2)</f>
        <v>11.01</v>
      </c>
      <c r="G44" s="206">
        <f>ROUND(G60-G41,-2)</f>
        <v>1140800</v>
      </c>
      <c r="H44" s="159">
        <f>ROUND(H60-H41,-2)</f>
        <v>259900</v>
      </c>
      <c r="I44" s="159">
        <f>ROUND(I60-I41,-2)</f>
        <v>247300</v>
      </c>
      <c r="J44" s="159">
        <f>SUM(G44:I44)</f>
        <v>1648000</v>
      </c>
      <c r="K44" s="425" t="str">
        <f>IF(E51=0,"ERROR! Enter Original Appropriation amount in DU 3.00!","Calculated "&amp;IF(J44&gt;0,"overfunding ","underfunding ")&amp;"is "&amp;TEXT(J44/J60,"#.0%;(#.0% );0% ;")&amp;" of Estimated Expenditures")</f>
        <v>Calculated overfunding is 6.4% of Estimated Expenditures</v>
      </c>
      <c r="L44" s="426"/>
      <c r="M44" s="426"/>
      <c r="N44" s="427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25">
      <c r="A45" s="139"/>
      <c r="B45" s="202"/>
      <c r="C45" s="215"/>
      <c r="D45" s="215"/>
      <c r="E45" s="204" t="s">
        <v>99</v>
      </c>
      <c r="F45" s="205">
        <f>ROUND(F67-F41-F63,2)</f>
        <v>11.01</v>
      </c>
      <c r="G45" s="206">
        <f>ROUND(G67-G41-G63,-2)</f>
        <v>1140800</v>
      </c>
      <c r="H45" s="206">
        <f>ROUND(H67-H41-H63,-2)</f>
        <v>259900</v>
      </c>
      <c r="I45" s="206">
        <f>ROUND(I67-I41-I63,-2)</f>
        <v>247300</v>
      </c>
      <c r="J45" s="159">
        <f>SUM(G45:I45)</f>
        <v>1648000</v>
      </c>
      <c r="K45" s="425" t="str">
        <f>IF(J67=0,"Program has a zero base",IF(E51=0,"ERROR! Enter Original Appropriation amount in DU 3.00!","Calculated "&amp;IF(J45&gt;0,"overfunding ","underfunding ")&amp;"is "&amp;TEXT(J45/J67,"#.0%;(#.0% );0% ;")&amp;" of the Base"))</f>
        <v>Calculated overfunding is 7.3% of the Base</v>
      </c>
      <c r="L45" s="426"/>
      <c r="M45" s="426"/>
      <c r="N45" s="427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300</v>
      </c>
      <c r="AC45" s="338">
        <f>SUM(AA45:AB45)</f>
        <v>300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25">
      <c r="A46" s="139"/>
      <c r="B46" s="202"/>
      <c r="C46" s="215"/>
      <c r="D46" s="215"/>
      <c r="E46" s="428" t="s">
        <v>100</v>
      </c>
      <c r="F46" s="429"/>
      <c r="G46" s="429"/>
      <c r="H46" s="429"/>
      <c r="I46" s="429"/>
      <c r="J46" s="430"/>
      <c r="K46" s="434" t="str">
        <f>IF(OR(J45&lt;0,F45&lt;0),"You may not have sufficient funding or authorized FTP, and may need to make additional adjustments to finalize this form.  Please contact both your DFM and LSO analysts.","")</f>
        <v/>
      </c>
      <c r="L46" s="435"/>
      <c r="M46" s="435"/>
      <c r="N46" s="436"/>
      <c r="O46"/>
      <c r="P46"/>
      <c r="Q46"/>
      <c r="R46"/>
      <c r="S46"/>
      <c r="T46"/>
      <c r="U46"/>
      <c r="V46"/>
      <c r="W46"/>
      <c r="X46"/>
      <c r="Y46"/>
      <c r="Z46" s="344"/>
      <c r="AA46" s="364"/>
      <c r="AB46" s="364"/>
      <c r="AC46" s="364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25">
      <c r="A47" s="139"/>
      <c r="B47" s="202"/>
      <c r="C47" s="215"/>
      <c r="D47" s="215"/>
      <c r="E47" s="431"/>
      <c r="F47" s="432"/>
      <c r="G47" s="432"/>
      <c r="H47" s="432"/>
      <c r="I47" s="432"/>
      <c r="J47" s="433"/>
      <c r="K47" s="437"/>
      <c r="L47" s="438"/>
      <c r="M47" s="438"/>
      <c r="N47" s="439"/>
      <c r="O47"/>
      <c r="P47"/>
      <c r="Q47"/>
      <c r="R47"/>
      <c r="S47"/>
      <c r="T47"/>
      <c r="U47"/>
      <c r="V47"/>
      <c r="W47"/>
      <c r="X47"/>
      <c r="Y47"/>
      <c r="Z47" s="344"/>
      <c r="AA47" s="364"/>
      <c r="AB47" s="364"/>
      <c r="AC47" s="364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25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25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4"/>
      <c r="AB49" s="364"/>
      <c r="AC49" s="364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25">
      <c r="A50" s="257" t="s">
        <v>42</v>
      </c>
      <c r="B50" s="71"/>
      <c r="C50" s="440"/>
      <c r="D50" s="441"/>
      <c r="E50" s="72" t="s">
        <v>43</v>
      </c>
      <c r="F50" s="73" t="s">
        <v>24</v>
      </c>
      <c r="G50" s="72" t="str">
        <f>"FY "&amp;M4-2001&amp;" Salary"</f>
        <v>FY 22 Salary</v>
      </c>
      <c r="H50" s="72" t="str">
        <f>"FY "&amp;M4-2001&amp;" Health Ben"</f>
        <v>FY 22 Health Ben</v>
      </c>
      <c r="I50" s="72" t="str">
        <f>"FY "&amp;M4-2001&amp;" Var Ben"</f>
        <v>FY 22 Var Ben</v>
      </c>
      <c r="J50" s="72" t="str">
        <f>"FY "&amp;M4-1&amp;" Total"</f>
        <v>FY 2022 Total</v>
      </c>
      <c r="K50" s="307" t="str">
        <f>"FY "&amp;FiscalYear&amp;" SALARY CHG"</f>
        <v>FY 2023 SALARY CHG</v>
      </c>
      <c r="L50" s="74" t="str">
        <f>"FY "&amp;M4-2000&amp;" Chg Health Bens"</f>
        <v>FY 23 Chg Health Bens</v>
      </c>
      <c r="M50" s="74" t="str">
        <f>"FY "&amp;M4-2000&amp;" Chg Var Bens"</f>
        <v>FY 23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4"/>
      <c r="AB50" s="364"/>
      <c r="AC50" s="364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25">
      <c r="A51" s="75">
        <v>3</v>
      </c>
      <c r="B51" s="76" t="s">
        <v>45</v>
      </c>
      <c r="C51" s="54" t="str">
        <f>"FY "&amp;M4-1</f>
        <v>FY 2022</v>
      </c>
      <c r="D51" s="77" t="s">
        <v>31</v>
      </c>
      <c r="E51" s="78">
        <f>OrigApprop</f>
        <v>25691900</v>
      </c>
      <c r="F51" s="272">
        <f>AppropFTP</f>
        <v>336.19</v>
      </c>
      <c r="G51" s="274">
        <f>IF(E51=0,0,(G41/$J$41)*$E$51)</f>
        <v>17785207.330186982</v>
      </c>
      <c r="H51" s="274">
        <f>IF(E51=0,0,(H41/$J$41)*$E$51)</f>
        <v>4052741.8560557365</v>
      </c>
      <c r="I51" s="275">
        <f>IF(E51=0,0,(I41/$J$41)*$E$51)</f>
        <v>3853950.8137572804</v>
      </c>
      <c r="J51" s="90">
        <f>SUM(G51:I51)</f>
        <v>25691900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4"/>
      <c r="AC51" s="364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25">
      <c r="A52" s="82"/>
      <c r="B52" s="83"/>
      <c r="C52" s="84"/>
      <c r="D52" s="132" t="s">
        <v>46</v>
      </c>
      <c r="E52" s="133"/>
      <c r="F52" s="55">
        <f>F51</f>
        <v>336.19</v>
      </c>
      <c r="G52" s="79">
        <f>ROUND(G51,-2)</f>
        <v>17785200</v>
      </c>
      <c r="H52" s="79">
        <f>ROUND(H51,-2)</f>
        <v>4052700</v>
      </c>
      <c r="I52" s="266">
        <f>ROUND(I51,-2)</f>
        <v>3854000</v>
      </c>
      <c r="J52" s="80">
        <f>ROUND(J51,-2)</f>
        <v>25691900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4"/>
      <c r="AC52" s="364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5" x14ac:dyDescent="0.25">
      <c r="A53" s="85"/>
      <c r="B53" s="83"/>
      <c r="C53" s="442" t="s">
        <v>47</v>
      </c>
      <c r="D53" s="443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4"/>
      <c r="AB53" s="364"/>
      <c r="AC53" s="364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25">
      <c r="A54" s="85">
        <v>4.1100000000000003</v>
      </c>
      <c r="B54" s="83"/>
      <c r="C54" s="409" t="s">
        <v>48</v>
      </c>
      <c r="D54" s="410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4"/>
      <c r="AB54" s="364"/>
      <c r="AC54" s="364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25">
      <c r="A55" s="85">
        <v>4.3099999999999996</v>
      </c>
      <c r="B55" s="83"/>
      <c r="C55" s="422" t="s">
        <v>49</v>
      </c>
      <c r="D55" s="423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4"/>
      <c r="AB55" s="364"/>
      <c r="AC55" s="364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25">
      <c r="A56" s="75">
        <v>5</v>
      </c>
      <c r="B56" s="76"/>
      <c r="C56" s="54" t="str">
        <f>"FY "&amp;M4-1</f>
        <v>FY 2022</v>
      </c>
      <c r="D56" s="131" t="s">
        <v>50</v>
      </c>
      <c r="E56" s="135"/>
      <c r="F56" s="55">
        <f>SUM(F52:F55)</f>
        <v>336.19</v>
      </c>
      <c r="G56" s="80">
        <f>SUM(G52:G55)</f>
        <v>17785200</v>
      </c>
      <c r="H56" s="80">
        <f>SUM(H52:H55)</f>
        <v>4052700</v>
      </c>
      <c r="I56" s="260">
        <f>SUM(I52:I55)</f>
        <v>3854000</v>
      </c>
      <c r="J56" s="80">
        <f>SUM(J52:J55)</f>
        <v>25691900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4"/>
      <c r="AB56" s="364"/>
      <c r="AC56" s="364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25">
      <c r="A57" s="85"/>
      <c r="B57" s="83"/>
      <c r="C57" s="420" t="s">
        <v>51</v>
      </c>
      <c r="D57" s="424"/>
      <c r="E57" s="368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4"/>
      <c r="AB57" s="364"/>
      <c r="AC57" s="364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25">
      <c r="A58" s="85">
        <v>6.31</v>
      </c>
      <c r="B58" s="83"/>
      <c r="C58" s="409" t="s">
        <v>52</v>
      </c>
      <c r="D58" s="410"/>
      <c r="E58" s="102"/>
      <c r="F58" s="58">
        <v>0</v>
      </c>
      <c r="G58" s="88">
        <v>0</v>
      </c>
      <c r="H58" s="88">
        <v>0</v>
      </c>
      <c r="I58" s="265">
        <v>0</v>
      </c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4"/>
      <c r="AB58" s="364"/>
      <c r="AC58" s="364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25">
      <c r="A59" s="85">
        <v>6.51</v>
      </c>
      <c r="B59" s="83"/>
      <c r="C59" s="422" t="s">
        <v>66</v>
      </c>
      <c r="D59" s="423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4"/>
      <c r="AB59" s="364"/>
      <c r="AC59" s="364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25">
      <c r="A60" s="75">
        <v>7</v>
      </c>
      <c r="B60" s="76"/>
      <c r="C60" s="54" t="str">
        <f>"FY "&amp;M4-1</f>
        <v>FY 2022</v>
      </c>
      <c r="D60" s="131" t="s">
        <v>53</v>
      </c>
      <c r="E60" s="135"/>
      <c r="F60" s="55">
        <f>SUM(F56:F59)</f>
        <v>336.19</v>
      </c>
      <c r="G60" s="80">
        <f>SUM(G56:G59)</f>
        <v>17785200</v>
      </c>
      <c r="H60" s="80">
        <f>SUM(H56:H59)</f>
        <v>4052700</v>
      </c>
      <c r="I60" s="260">
        <f>SUM(I56:I59)</f>
        <v>3854000</v>
      </c>
      <c r="J60" s="80">
        <f>SUM(J56:J59)</f>
        <v>25691900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4"/>
      <c r="AB60" s="364"/>
      <c r="AC60" s="364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25">
      <c r="A61" s="85"/>
      <c r="B61" s="83"/>
      <c r="C61" s="420" t="s">
        <v>54</v>
      </c>
      <c r="D61" s="424"/>
      <c r="E61" s="368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4"/>
      <c r="AB61" s="364"/>
      <c r="AC61" s="364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25">
      <c r="A62" s="85">
        <v>8.31</v>
      </c>
      <c r="B62" s="83"/>
      <c r="C62" s="409" t="s">
        <v>67</v>
      </c>
      <c r="D62" s="410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4"/>
      <c r="AB62" s="364"/>
      <c r="AC62" s="364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25">
      <c r="A63" s="85">
        <v>8.41</v>
      </c>
      <c r="B63" s="83"/>
      <c r="C63" s="409" t="s">
        <v>55</v>
      </c>
      <c r="D63" s="410"/>
      <c r="E63" s="102"/>
      <c r="F63" s="58">
        <v>0</v>
      </c>
      <c r="G63" s="89">
        <f>ROUND((OneTimePC_Total-H63)/(1+(PermVB+Retire1)),-2)</f>
        <v>-2466600</v>
      </c>
      <c r="H63" s="89">
        <f>ROUND(IF(AND(F63&lt;0,OneTimePC_Total&lt;0),F63*Health,0),-2)</f>
        <v>0</v>
      </c>
      <c r="I63" s="310">
        <f>OneTimePC_Total-G63-H63</f>
        <v>-533400</v>
      </c>
      <c r="J63" s="89">
        <v>-3000000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4"/>
      <c r="AB63" s="364"/>
      <c r="AC63" s="364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">
      <c r="A64" s="93">
        <v>8.51</v>
      </c>
      <c r="B64" s="93"/>
      <c r="C64" s="414" t="s">
        <v>56</v>
      </c>
      <c r="D64" s="415"/>
      <c r="E64" s="134"/>
      <c r="F64" s="58">
        <v>0</v>
      </c>
      <c r="G64" s="88"/>
      <c r="H64" s="88">
        <v>0</v>
      </c>
      <c r="I64" s="265"/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4"/>
      <c r="AB64" s="364"/>
      <c r="AC64" s="364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25">
      <c r="A65" s="94"/>
      <c r="B65" s="95"/>
      <c r="C65" s="416"/>
      <c r="D65" s="417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4"/>
      <c r="AB65" s="364"/>
      <c r="AC65" s="364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5" x14ac:dyDescent="0.25">
      <c r="A66" s="100"/>
      <c r="B66" s="101"/>
      <c r="C66" s="418"/>
      <c r="D66" s="419"/>
      <c r="E66" s="102"/>
      <c r="F66" s="103" t="s">
        <v>24</v>
      </c>
      <c r="G66" s="104" t="str">
        <f>"FY "&amp;M4-2000&amp;" Salary"</f>
        <v>FY 23 Salary</v>
      </c>
      <c r="H66" s="104" t="str">
        <f>"FY"&amp;M4-2000&amp;" Health Ben"</f>
        <v>FY23 Health Ben</v>
      </c>
      <c r="I66" s="104" t="str">
        <f>"FY "&amp;M4-2000&amp;" Var Ben"</f>
        <v>FY 23 Var Ben</v>
      </c>
      <c r="J66" s="104" t="str">
        <f>"FY "&amp;M4&amp;" Total"</f>
        <v>FY 2023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5" x14ac:dyDescent="0.25">
      <c r="A67" s="82">
        <v>9</v>
      </c>
      <c r="B67" s="83"/>
      <c r="C67" s="84" t="str">
        <f>"FY "&amp;M4</f>
        <v>FY 2023</v>
      </c>
      <c r="D67" s="108" t="s">
        <v>57</v>
      </c>
      <c r="E67" s="109"/>
      <c r="F67" s="55">
        <f>SUM(F60:F64)</f>
        <v>336.19</v>
      </c>
      <c r="G67" s="80">
        <f>SUM(G60:G64)</f>
        <v>15318600</v>
      </c>
      <c r="H67" s="80">
        <f>SUM(H60:H64)</f>
        <v>4052700</v>
      </c>
      <c r="I67" s="80">
        <f>SUM(I60:I64)</f>
        <v>3320600</v>
      </c>
      <c r="J67" s="80">
        <f>SUM(J60:J64)</f>
        <v>22691900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4"/>
      <c r="AB67" s="364"/>
      <c r="AC67" s="364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25">
      <c r="A68" s="85">
        <v>10.11</v>
      </c>
      <c r="B68" s="83"/>
      <c r="C68" s="420" t="s">
        <v>58</v>
      </c>
      <c r="D68" s="421"/>
      <c r="E68" s="112"/>
      <c r="F68" s="288"/>
      <c r="G68" s="287"/>
      <c r="H68" s="113">
        <f>IF(DUNine=0,0,ROUND(SUM(L41:L65),-2))</f>
        <v>0</v>
      </c>
      <c r="I68" s="113"/>
      <c r="J68" s="287">
        <f>SUM(G68:I68)</f>
        <v>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4"/>
      <c r="AB68" s="364"/>
      <c r="AC68" s="364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5" x14ac:dyDescent="0.25">
      <c r="A69" s="85">
        <v>10.119999999999999</v>
      </c>
      <c r="B69" s="83"/>
      <c r="C69" s="420" t="s">
        <v>59</v>
      </c>
      <c r="D69" s="421"/>
      <c r="E69" s="112"/>
      <c r="F69" s="288"/>
      <c r="G69" s="113"/>
      <c r="H69" s="113"/>
      <c r="I69" s="113">
        <f>IF(DUNine=0,0,ROUND(SUM(M41:M64),-2))</f>
        <v>-69300</v>
      </c>
      <c r="J69" s="287">
        <f>SUM(G69:I69)</f>
        <v>-69300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4"/>
      <c r="AB69" s="364"/>
      <c r="AC69" s="364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5" x14ac:dyDescent="0.25">
      <c r="A70" s="85"/>
      <c r="B70" s="83"/>
      <c r="C70" s="407"/>
      <c r="D70" s="408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4"/>
      <c r="AB70" s="364"/>
      <c r="AC70" s="364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25">
      <c r="A71" s="85">
        <v>10.51</v>
      </c>
      <c r="B71" s="83"/>
      <c r="C71" s="409" t="s">
        <v>60</v>
      </c>
      <c r="D71" s="410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112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64"/>
      <c r="AB71" s="364"/>
      <c r="AC71" s="364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25">
      <c r="A72" s="85">
        <v>10.61</v>
      </c>
      <c r="B72" s="83"/>
      <c r="C72" s="409" t="s">
        <v>101</v>
      </c>
      <c r="D72" s="411"/>
      <c r="E72" s="290">
        <f>CECPerm</f>
        <v>0.01</v>
      </c>
      <c r="F72" s="288"/>
      <c r="G72" s="356">
        <f>IF(DUNine=0,0,IF(DUNine&lt;0,0,ROUND(AdjPermSalary*CECPerm,-2)))</f>
        <v>165000</v>
      </c>
      <c r="H72" s="287"/>
      <c r="I72" s="287">
        <f>ROUND(($G72*PermVBBY+$G72*Retire1BY),-2)</f>
        <v>35000</v>
      </c>
      <c r="J72" s="113">
        <f>SUM(G72:I72)</f>
        <v>200000</v>
      </c>
      <c r="K72" s="296"/>
      <c r="L72" s="298"/>
      <c r="M72" s="350" t="e">
        <f>IF(DUNine=0,0,IF(((#REF!-G39-G40)*E72)&lt;0,0,ROUND(((#REF!-G39-G40)*E72),-2)))</f>
        <v>#REF!</v>
      </c>
      <c r="N72" s="359"/>
      <c r="O72" s="358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#REF!</v>
      </c>
      <c r="P72" s="358"/>
      <c r="Q72"/>
      <c r="R72"/>
      <c r="S72"/>
      <c r="T72"/>
      <c r="U72"/>
      <c r="V72"/>
      <c r="W72"/>
      <c r="X72"/>
      <c r="Y72"/>
      <c r="Z72" s="344"/>
      <c r="AA72" s="364"/>
      <c r="AB72" s="364"/>
      <c r="AC72" s="364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25">
      <c r="A73" s="85">
        <v>10.62</v>
      </c>
      <c r="B73" s="83"/>
      <c r="C73" s="409" t="s">
        <v>61</v>
      </c>
      <c r="D73" s="411"/>
      <c r="E73" s="289">
        <f>CECGroup</f>
        <v>0.01</v>
      </c>
      <c r="F73" s="288"/>
      <c r="G73" s="356">
        <f>IF(DUNine=0,0,IF(DUNine&lt;0,0,ROUND(AdjGroupSalary*CECGroup,-2)))</f>
        <v>1500</v>
      </c>
      <c r="H73" s="287"/>
      <c r="I73" s="287">
        <f>ROUND(($G73*GroupVBBY),-2)</f>
        <v>100</v>
      </c>
      <c r="J73" s="113">
        <f t="shared" si="11"/>
        <v>1600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64"/>
      <c r="AB73" s="364"/>
      <c r="AC73" s="364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25">
      <c r="A74" s="85">
        <v>10.63</v>
      </c>
      <c r="B74" s="83"/>
      <c r="C74" s="367" t="s">
        <v>62</v>
      </c>
      <c r="D74" s="369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4"/>
      <c r="AB74" s="364"/>
      <c r="AC74" s="364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25">
      <c r="A75" s="75">
        <v>11</v>
      </c>
      <c r="B75" s="76"/>
      <c r="C75" s="54" t="str">
        <f>"FY "&amp;M4</f>
        <v>FY 2023</v>
      </c>
      <c r="D75" s="77" t="s">
        <v>63</v>
      </c>
      <c r="E75" s="112"/>
      <c r="F75" s="55">
        <f>SUM(F67:F74)</f>
        <v>336.19</v>
      </c>
      <c r="G75" s="80">
        <f>SUM(G67:G74)</f>
        <v>15485100</v>
      </c>
      <c r="H75" s="80">
        <f>SUM(H67:H74)</f>
        <v>4052700</v>
      </c>
      <c r="I75" s="80">
        <f>SUM(I67:I74)</f>
        <v>3286400</v>
      </c>
      <c r="J75" s="80">
        <f>SUM(J67:K74)</f>
        <v>22824200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4"/>
      <c r="AB75" s="364"/>
      <c r="AC75" s="364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25">
      <c r="A76" s="85"/>
      <c r="B76" s="83"/>
      <c r="C76" s="412" t="s">
        <v>64</v>
      </c>
      <c r="D76" s="413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4"/>
      <c r="AB76" s="364"/>
      <c r="AC76" s="364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5" x14ac:dyDescent="0.25">
      <c r="A77" s="116">
        <v>12.01</v>
      </c>
      <c r="B77" s="57"/>
      <c r="C77" s="405"/>
      <c r="D77" s="406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4"/>
      <c r="AB77" s="364"/>
      <c r="AC77" s="364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5" x14ac:dyDescent="0.25">
      <c r="A78" s="116">
        <v>12.02</v>
      </c>
      <c r="B78" s="57"/>
      <c r="C78" s="405"/>
      <c r="D78" s="406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4"/>
      <c r="AB78" s="364"/>
      <c r="AC78" s="364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5" x14ac:dyDescent="0.25">
      <c r="A79" s="116">
        <v>12.03</v>
      </c>
      <c r="B79" s="57" t="s">
        <v>45</v>
      </c>
      <c r="C79" s="405"/>
      <c r="D79" s="406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4"/>
      <c r="AB79" s="364"/>
      <c r="AC79" s="364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25">
      <c r="A80" s="117">
        <v>13</v>
      </c>
      <c r="B80" s="118"/>
      <c r="C80" s="119" t="str">
        <f>"FY "&amp;M4</f>
        <v>FY 2023</v>
      </c>
      <c r="D80" s="120" t="s">
        <v>65</v>
      </c>
      <c r="E80" s="121"/>
      <c r="F80" s="55">
        <f>SUM(F75:F79)</f>
        <v>336.19</v>
      </c>
      <c r="G80" s="80">
        <f>SUM(G75:G79)</f>
        <v>15485100</v>
      </c>
      <c r="H80" s="80">
        <f>SUM(H75:H79)</f>
        <v>4052700</v>
      </c>
      <c r="I80" s="80">
        <f>SUM(I75:I79)</f>
        <v>3286400</v>
      </c>
      <c r="J80" s="80">
        <f>SUM(J75:J79)</f>
        <v>22824200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4"/>
      <c r="AB80" s="364"/>
      <c r="AC80" s="364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13:D13"/>
    <mergeCell ref="M1:N1"/>
    <mergeCell ref="M2:N2"/>
    <mergeCell ref="M3:N3"/>
    <mergeCell ref="M4:N4"/>
    <mergeCell ref="I5:L5"/>
    <mergeCell ref="C8:D8"/>
    <mergeCell ref="AA8:AC8"/>
    <mergeCell ref="C9:D9"/>
    <mergeCell ref="C10:D10"/>
    <mergeCell ref="C11:D11"/>
    <mergeCell ref="C12:D12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C54:D54"/>
    <mergeCell ref="C39:D39"/>
    <mergeCell ref="C41:D41"/>
    <mergeCell ref="C42:D42"/>
    <mergeCell ref="C43:D44"/>
    <mergeCell ref="K45:N45"/>
    <mergeCell ref="E46:J47"/>
    <mergeCell ref="K46:N47"/>
    <mergeCell ref="C50:D50"/>
    <mergeCell ref="C53:D53"/>
    <mergeCell ref="C69:D69"/>
    <mergeCell ref="C55:D55"/>
    <mergeCell ref="C57:D57"/>
    <mergeCell ref="C58:D58"/>
    <mergeCell ref="C59:D59"/>
    <mergeCell ref="C61:D61"/>
    <mergeCell ref="C62:D62"/>
    <mergeCell ref="C63:D63"/>
    <mergeCell ref="C64:D64"/>
    <mergeCell ref="C65:D65"/>
    <mergeCell ref="C66:D66"/>
    <mergeCell ref="C68:D68"/>
    <mergeCell ref="C78:D78"/>
    <mergeCell ref="C79:D79"/>
    <mergeCell ref="C70:D70"/>
    <mergeCell ref="C71:D71"/>
    <mergeCell ref="C72:D72"/>
    <mergeCell ref="C73:D73"/>
    <mergeCell ref="C76:D76"/>
    <mergeCell ref="C77:D77"/>
  </mergeCells>
  <conditionalFormatting sqref="K44">
    <cfRule type="expression" dxfId="28" priority="5">
      <formula>$J$44&lt;0</formula>
    </cfRule>
  </conditionalFormatting>
  <conditionalFormatting sqref="K43">
    <cfRule type="expression" dxfId="27" priority="4">
      <formula>$J$43&lt;0</formula>
    </cfRule>
  </conditionalFormatting>
  <conditionalFormatting sqref="L16">
    <cfRule type="expression" dxfId="26" priority="3">
      <formula>$J$16&lt;0</formula>
    </cfRule>
  </conditionalFormatting>
  <conditionalFormatting sqref="K45">
    <cfRule type="expression" dxfId="25" priority="2">
      <formula>$J$44&lt;0</formula>
    </cfRule>
  </conditionalFormatting>
  <conditionalFormatting sqref="K43:N45">
    <cfRule type="containsText" dxfId="24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BE22284-CED6-44C8-B328-C5E2AEF6F978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88BC70-4B64-4629-91BC-808947758627}">
  <sheetPr>
    <tabColor rgb="FF7030A0"/>
    <pageSetUpPr fitToPage="1"/>
  </sheetPr>
  <dimension ref="A1:CP80"/>
  <sheetViews>
    <sheetView showGridLines="0" zoomScaleNormal="100" workbookViewId="0">
      <selection activeCell="C8" sqref="C8:N16"/>
    </sheetView>
  </sheetViews>
  <sheetFormatPr defaultColWidth="9.140625" defaultRowHeight="15.75" x14ac:dyDescent="0.25"/>
  <cols>
    <col min="1" max="1" width="7.85546875" style="124" customWidth="1"/>
    <col min="2" max="2" width="7.7109375" style="125" customWidth="1"/>
    <col min="3" max="3" width="9" style="125" customWidth="1"/>
    <col min="4" max="4" width="39.28515625" style="53" customWidth="1"/>
    <col min="5" max="5" width="13" style="126" customWidth="1"/>
    <col min="6" max="6" width="12.28515625" style="127" customWidth="1"/>
    <col min="7" max="7" width="12.140625" style="127" bestFit="1" customWidth="1"/>
    <col min="8" max="8" width="14.5703125" style="127" customWidth="1"/>
    <col min="9" max="9" width="19.5703125" style="128" bestFit="1" customWidth="1"/>
    <col min="10" max="10" width="13.7109375" style="129" customWidth="1"/>
    <col min="11" max="11" width="13.7109375" style="129" hidden="1" customWidth="1"/>
    <col min="12" max="12" width="18.42578125" style="129" customWidth="1"/>
    <col min="13" max="13" width="16.42578125" style="129" customWidth="1"/>
    <col min="14" max="14" width="16.140625" style="128" customWidth="1"/>
    <col min="15" max="25" width="16.140625" customWidth="1"/>
    <col min="26" max="26" width="16.140625" style="344" customWidth="1"/>
    <col min="27" max="27" width="22.140625" style="334" bestFit="1" customWidth="1"/>
    <col min="28" max="28" width="31.140625" style="334" bestFit="1" customWidth="1"/>
    <col min="29" max="29" width="7.85546875" style="334" bestFit="1" customWidth="1"/>
    <col min="30" max="30" width="9.140625" style="110" customWidth="1"/>
    <col min="31" max="94" width="9.140625" style="17"/>
    <col min="95" max="16384" width="9.140625" style="18"/>
  </cols>
  <sheetData>
    <row r="1" spans="1:94" x14ac:dyDescent="0.25">
      <c r="A1" s="12" t="s">
        <v>13</v>
      </c>
      <c r="B1" s="13"/>
      <c r="C1" s="13"/>
      <c r="D1" s="14" t="s">
        <v>2643</v>
      </c>
      <c r="E1" s="15"/>
      <c r="F1" s="15"/>
      <c r="G1" s="15"/>
      <c r="H1" s="15"/>
      <c r="I1" s="15"/>
      <c r="J1" s="15"/>
      <c r="K1" s="15"/>
      <c r="L1" s="16" t="s">
        <v>14</v>
      </c>
      <c r="M1" s="468">
        <v>240</v>
      </c>
      <c r="N1" s="469"/>
      <c r="AA1" s="364"/>
      <c r="AB1" s="333"/>
      <c r="AC1" s="333"/>
      <c r="AD1" s="325"/>
    </row>
    <row r="2" spans="1:94" ht="20.25" x14ac:dyDescent="0.25">
      <c r="A2" s="19" t="s">
        <v>116</v>
      </c>
      <c r="B2" s="20"/>
      <c r="C2" s="20"/>
      <c r="D2" s="14" t="s">
        <v>2643</v>
      </c>
      <c r="E2" s="21"/>
      <c r="F2" s="21"/>
      <c r="G2" s="21"/>
      <c r="H2" s="21"/>
      <c r="I2" s="21"/>
      <c r="J2" s="20"/>
      <c r="K2" s="20"/>
      <c r="L2" s="22" t="s">
        <v>113</v>
      </c>
      <c r="M2" s="470" t="s">
        <v>2673</v>
      </c>
      <c r="N2" s="471"/>
      <c r="AA2" s="333"/>
      <c r="AB2" s="333"/>
      <c r="AC2" s="333"/>
      <c r="AD2" s="325"/>
    </row>
    <row r="3" spans="1:94" x14ac:dyDescent="0.25">
      <c r="A3" s="19" t="s">
        <v>117</v>
      </c>
      <c r="B3" s="20"/>
      <c r="C3" s="20"/>
      <c r="D3" s="23" t="s">
        <v>2705</v>
      </c>
      <c r="E3" s="24"/>
      <c r="F3" s="25"/>
      <c r="G3" s="25"/>
      <c r="H3" s="25"/>
      <c r="I3" s="26"/>
      <c r="J3" s="20"/>
      <c r="K3" s="20"/>
      <c r="L3" s="22" t="s">
        <v>114</v>
      </c>
      <c r="M3" s="468" t="s">
        <v>1945</v>
      </c>
      <c r="N3" s="469"/>
      <c r="AA3" s="364"/>
      <c r="AB3" s="333"/>
      <c r="AC3" s="333"/>
      <c r="AD3" s="325"/>
    </row>
    <row r="4" spans="1:94" x14ac:dyDescent="0.25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68">
        <v>2023</v>
      </c>
      <c r="N4" s="469"/>
      <c r="AA4" s="364"/>
      <c r="AB4" s="333"/>
      <c r="AC4" s="333"/>
      <c r="AD4" s="325"/>
    </row>
    <row r="5" spans="1:94" s="34" customFormat="1" ht="18" customHeight="1" x14ac:dyDescent="0.25">
      <c r="A5" s="19" t="s">
        <v>16</v>
      </c>
      <c r="B5" s="20"/>
      <c r="C5" s="20"/>
      <c r="D5" s="351">
        <v>44440</v>
      </c>
      <c r="E5" s="27"/>
      <c r="F5" s="30"/>
      <c r="G5" s="31"/>
      <c r="H5" s="31" t="s">
        <v>17</v>
      </c>
      <c r="I5" s="470" t="s">
        <v>2671</v>
      </c>
      <c r="J5" s="472"/>
      <c r="K5" s="472"/>
      <c r="L5" s="471"/>
      <c r="M5" s="352" t="s">
        <v>115</v>
      </c>
      <c r="N5" s="32" t="s">
        <v>2672</v>
      </c>
      <c r="O5"/>
      <c r="P5"/>
      <c r="Q5"/>
      <c r="R5"/>
      <c r="S5"/>
      <c r="T5"/>
      <c r="U5"/>
      <c r="V5"/>
      <c r="W5"/>
      <c r="X5"/>
      <c r="Y5"/>
      <c r="Z5" s="344"/>
      <c r="AA5" s="364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25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84</v>
      </c>
      <c r="K6" s="31"/>
      <c r="L6" s="353"/>
      <c r="M6" s="354" t="s">
        <v>85</v>
      </c>
      <c r="N6" s="306"/>
      <c r="AA6" s="364"/>
      <c r="AB6" s="333"/>
      <c r="AC6" s="333"/>
      <c r="AD6" s="325"/>
    </row>
    <row r="7" spans="1:94" x14ac:dyDescent="0.25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25">
      <c r="A8" s="48" t="s">
        <v>20</v>
      </c>
      <c r="B8" s="370" t="s">
        <v>21</v>
      </c>
      <c r="C8" s="473" t="s">
        <v>22</v>
      </c>
      <c r="D8" s="474"/>
      <c r="E8" s="370" t="s">
        <v>23</v>
      </c>
      <c r="F8" s="49" t="s">
        <v>24</v>
      </c>
      <c r="G8" s="50" t="str">
        <f>"FY "&amp;'EMUI|0349-00'!FiscalYear-1&amp;" SALARY"</f>
        <v>FY 2022 SALARY</v>
      </c>
      <c r="H8" s="50" t="str">
        <f>"FY "&amp;'EMUI|0349-00'!FiscalYear-1&amp;" HEALTH BENEFITS"</f>
        <v>FY 2022 HEALTH BENEFITS</v>
      </c>
      <c r="I8" s="50" t="str">
        <f>"FY "&amp;'EMUI|0349-00'!FiscalYear-1&amp;" VAR BENEFITS"</f>
        <v>FY 2022 VAR BENEFITS</v>
      </c>
      <c r="J8" s="50" t="str">
        <f>"FY "&amp;'EMUI|0349-00'!FiscalYear-1&amp;" TOTAL"</f>
        <v>FY 2022 TOTAL</v>
      </c>
      <c r="K8" s="50" t="str">
        <f>"FY "&amp;'EMUI|0349-00'!FiscalYear&amp;" SALARY CHANGE"</f>
        <v>FY 2023 SALARY CHANGE</v>
      </c>
      <c r="L8" s="50" t="str">
        <f>"FY "&amp;'EMUI|0349-00'!FiscalYear&amp;" CHG HEALTH BENEFITS"</f>
        <v>FY 2023 CHG HEALTH BENEFITS</v>
      </c>
      <c r="M8" s="50" t="str">
        <f>"FY "&amp;'EMUI|0349-00'!FiscalYear&amp;" CHG VAR BENEFITS"</f>
        <v>FY 2023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64" t="s">
        <v>105</v>
      </c>
      <c r="AB8" s="464"/>
      <c r="AC8" s="464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25">
      <c r="A9" s="139"/>
      <c r="B9" s="140"/>
      <c r="C9" s="465" t="s">
        <v>26</v>
      </c>
      <c r="D9" s="466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4" t="s">
        <v>94</v>
      </c>
      <c r="AB9" s="333" t="s">
        <v>95</v>
      </c>
      <c r="AC9" s="333" t="s">
        <v>106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25">
      <c r="A10" s="139"/>
      <c r="B10" s="139"/>
      <c r="C10" s="444" t="s">
        <v>27</v>
      </c>
      <c r="D10" s="467"/>
      <c r="E10" s="217">
        <v>1</v>
      </c>
      <c r="F10" s="288">
        <f>[0]!EMUI034900col_INC_FTI</f>
        <v>1.5</v>
      </c>
      <c r="G10" s="218">
        <f>[0]!EMUI034900col_FTI_SALARY_PERM</f>
        <v>53996.800000000003</v>
      </c>
      <c r="H10" s="218">
        <f>[0]!EMUI034900col_HEALTH_PERM</f>
        <v>17475</v>
      </c>
      <c r="I10" s="218">
        <f>[0]!EMUI034900col_TOT_VB_PERM</f>
        <v>11676.538015999999</v>
      </c>
      <c r="J10" s="219">
        <f>SUM(G10:I10)</f>
        <v>83148.338015999994</v>
      </c>
      <c r="K10" s="219">
        <f>[0]!EMUI034900col_1_27TH_PP</f>
        <v>0</v>
      </c>
      <c r="L10" s="218">
        <f>[0]!EMUI034900col_HEALTH_PERM_CHG</f>
        <v>0</v>
      </c>
      <c r="M10" s="218">
        <f>[0]!EMUI034900col_TOT_VB_PERM_CHG</f>
        <v>-226.78656000000001</v>
      </c>
      <c r="N10" s="218">
        <f>SUM(L10:M10)</f>
        <v>-226.78656000000001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500</v>
      </c>
      <c r="AB10" s="335">
        <f>ROUND(PermVarBen*CECPerm+(CECPerm*PermVarBenChg),-2)</f>
        <v>100</v>
      </c>
      <c r="AC10" s="335">
        <f>SUM(AA10:AB10)</f>
        <v>600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25">
      <c r="A11" s="139"/>
      <c r="B11" s="139"/>
      <c r="C11" s="444" t="s">
        <v>28</v>
      </c>
      <c r="D11" s="467"/>
      <c r="E11" s="217">
        <v>2</v>
      </c>
      <c r="F11" s="288"/>
      <c r="G11" s="218">
        <f>[0]!EMUI034900col_Group_Salary</f>
        <v>0</v>
      </c>
      <c r="H11" s="218">
        <v>0</v>
      </c>
      <c r="I11" s="218">
        <f>[0]!EMUI034900col_Group_Ben</f>
        <v>0</v>
      </c>
      <c r="J11" s="219">
        <f>SUM(G11:I11)</f>
        <v>0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0</v>
      </c>
      <c r="AB11" s="335">
        <f>ROUND((GroupSalary*GroupVBBY)*CECGroup,-2)</f>
        <v>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25">
      <c r="A12" s="139"/>
      <c r="B12" s="139"/>
      <c r="C12" s="444" t="s">
        <v>29</v>
      </c>
      <c r="D12" s="445"/>
      <c r="E12" s="217">
        <v>3</v>
      </c>
      <c r="F12" s="288">
        <f>[0]!EMUI034900col_TOTAL_ELECT_PCN_FTI</f>
        <v>0</v>
      </c>
      <c r="G12" s="218">
        <f>[0]!EMUI034900col_FTI_SALARY_ELECT</f>
        <v>0</v>
      </c>
      <c r="H12" s="218">
        <f>[0]!EMUI034900col_HEALTH_ELECT</f>
        <v>0</v>
      </c>
      <c r="I12" s="218">
        <f>[0]!EMUI034900col_TOT_VB_ELECT</f>
        <v>0</v>
      </c>
      <c r="J12" s="219">
        <f>SUM(G12:I12)</f>
        <v>0</v>
      </c>
      <c r="K12" s="268"/>
      <c r="L12" s="218">
        <f>[0]!EMUI034900col_HEALTH_ELECT_CHG</f>
        <v>0</v>
      </c>
      <c r="M12" s="218">
        <f>[0]!EMUI034900col_TOT_VB_ELECT_CHG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25">
      <c r="A13" s="139"/>
      <c r="B13" s="139"/>
      <c r="C13" s="444" t="s">
        <v>30</v>
      </c>
      <c r="D13" s="467"/>
      <c r="E13" s="217"/>
      <c r="F13" s="220">
        <f>SUM(F10:F12)</f>
        <v>1.5</v>
      </c>
      <c r="G13" s="221">
        <f>SUM(G10:G12)</f>
        <v>53996.800000000003</v>
      </c>
      <c r="H13" s="221">
        <f>SUM(H10:H12)</f>
        <v>17475</v>
      </c>
      <c r="I13" s="221">
        <f>SUM(I10:I12)</f>
        <v>11676.538015999999</v>
      </c>
      <c r="J13" s="219">
        <f>SUM(G13:I13)</f>
        <v>83148.338015999994</v>
      </c>
      <c r="K13" s="268"/>
      <c r="L13" s="219">
        <f>SUM(L10:L12)</f>
        <v>0</v>
      </c>
      <c r="M13" s="219">
        <f>SUM(M10:M12)</f>
        <v>-226.78656000000001</v>
      </c>
      <c r="N13" s="219">
        <f>SUM(N10:N12)</f>
        <v>-226.78656000000001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5" customHeight="1" x14ac:dyDescent="0.25">
      <c r="A14" s="139"/>
      <c r="B14" s="139"/>
      <c r="C14" s="365"/>
      <c r="D14" s="371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25">
      <c r="A15" s="139"/>
      <c r="B15" s="156"/>
      <c r="C15" s="157" t="str">
        <f>"FY "&amp;'EMUI|0349-00'!FiscalYear-1</f>
        <v>FY 2022</v>
      </c>
      <c r="D15" s="158" t="s">
        <v>31</v>
      </c>
      <c r="E15" s="355">
        <v>2365500</v>
      </c>
      <c r="F15" s="55">
        <v>16</v>
      </c>
      <c r="G15" s="223">
        <f>IF(OrigApprop=0,0,(G13/$J$13)*OrigApprop)</f>
        <v>1536163.361141643</v>
      </c>
      <c r="H15" s="223">
        <f>IF(OrigApprop=0,0,(H13/$J$13)*OrigApprop)</f>
        <v>497148.99282828259</v>
      </c>
      <c r="I15" s="223">
        <f>IF(G15=0,0,(I13/$J$13)*OrigApprop)</f>
        <v>332187.64603007457</v>
      </c>
      <c r="J15" s="223">
        <f>SUM(G15:I15)</f>
        <v>2365500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25">
      <c r="A16" s="139"/>
      <c r="B16" s="139"/>
      <c r="C16" s="454" t="s">
        <v>32</v>
      </c>
      <c r="D16" s="455"/>
      <c r="E16" s="160" t="s">
        <v>33</v>
      </c>
      <c r="F16" s="161">
        <f>F15-F13</f>
        <v>14.5</v>
      </c>
      <c r="G16" s="162">
        <f>G15-G13</f>
        <v>1482166.561141643</v>
      </c>
      <c r="H16" s="162">
        <f>H15-H13</f>
        <v>479673.99282828259</v>
      </c>
      <c r="I16" s="162">
        <f>I15-I13</f>
        <v>320511.10801407456</v>
      </c>
      <c r="J16" s="162">
        <f>J15-J13</f>
        <v>2282351.6619839999</v>
      </c>
      <c r="K16" s="269"/>
      <c r="L16" s="56" t="str">
        <f>IF('EMUI|0349-00'!OrigApprop=0,"ERROR! Enter Original Appropriation amount in DU 3.00!","Calculated "&amp;IF('EMUI|0349-00'!AdjustedTotal&gt;0,"overfunding ","underfunding ")&amp;"is "&amp;TEXT('EMUI|0349-00'!AdjustedTotal/'EMUI|0349-00'!AppropTotal,"#.0%;(#.0% );0% ;")&amp;" of Original Appropriation")</f>
        <v>Calculated overfunding is 96.5% of Original Appropriation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25">
      <c r="A17" s="139"/>
      <c r="B17" s="139"/>
      <c r="C17" s="456" t="s">
        <v>34</v>
      </c>
      <c r="D17" s="457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25">
      <c r="A18" s="139"/>
      <c r="B18" s="168"/>
      <c r="C18" s="458" t="s">
        <v>35</v>
      </c>
      <c r="D18" s="459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5.5" x14ac:dyDescent="0.25">
      <c r="A19" s="238"/>
      <c r="B19" s="202"/>
      <c r="C19" s="239" t="s">
        <v>86</v>
      </c>
      <c r="D19" s="240" t="s">
        <v>87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4"/>
      <c r="AB19" s="364"/>
      <c r="AC19" s="364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5" x14ac:dyDescent="0.25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4"/>
      <c r="AB20" s="364"/>
      <c r="AC20" s="364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5" x14ac:dyDescent="0.25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4"/>
      <c r="AB21" s="364"/>
      <c r="AC21" s="364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5" x14ac:dyDescent="0.25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4"/>
      <c r="AB22" s="364"/>
      <c r="AC22" s="364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5" x14ac:dyDescent="0.25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4"/>
      <c r="AB23" s="364"/>
      <c r="AC23" s="364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5" x14ac:dyDescent="0.25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4"/>
      <c r="AC24" s="364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5" x14ac:dyDescent="0.25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4"/>
      <c r="AC25" s="364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5" x14ac:dyDescent="0.25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4"/>
      <c r="AC26" s="364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5" x14ac:dyDescent="0.25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4"/>
      <c r="AB27" s="364"/>
      <c r="AC27" s="364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5" x14ac:dyDescent="0.25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4"/>
      <c r="AB28" s="364"/>
      <c r="AC28" s="364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5" x14ac:dyDescent="0.25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4"/>
      <c r="AB29" s="364"/>
      <c r="AC29" s="364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5" x14ac:dyDescent="0.25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4"/>
      <c r="AB30" s="364"/>
      <c r="AC30" s="364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5" x14ac:dyDescent="0.25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4"/>
      <c r="AB31" s="364"/>
      <c r="AC31" s="364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5" x14ac:dyDescent="0.25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4"/>
      <c r="AB32" s="364"/>
      <c r="AC32" s="364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5" x14ac:dyDescent="0.25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4"/>
      <c r="AB33" s="364"/>
      <c r="AC33" s="364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5" x14ac:dyDescent="0.25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4"/>
      <c r="AB34" s="364"/>
      <c r="AC34" s="364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5" x14ac:dyDescent="0.25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4"/>
      <c r="AB35" s="364"/>
      <c r="AC35" s="364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5" x14ac:dyDescent="0.25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4" t="s">
        <v>94</v>
      </c>
      <c r="AB36" s="333" t="s">
        <v>95</v>
      </c>
      <c r="AC36" s="333" t="s">
        <v>106</v>
      </c>
      <c r="AD36" s="330"/>
    </row>
    <row r="37" spans="1:94" s="153" customFormat="1" ht="17.25" customHeight="1" x14ac:dyDescent="0.25">
      <c r="A37" s="139"/>
      <c r="B37" s="188"/>
      <c r="C37" s="460" t="s">
        <v>37</v>
      </c>
      <c r="D37" s="461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62" t="s">
        <v>107</v>
      </c>
      <c r="AB37" s="463"/>
      <c r="AC37" s="463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5" x14ac:dyDescent="0.25">
      <c r="A38" s="139"/>
      <c r="B38" s="188"/>
      <c r="C38" s="444" t="str">
        <f>perm_name</f>
        <v>Permanent Positions</v>
      </c>
      <c r="D38" s="445"/>
      <c r="E38" s="189">
        <v>1</v>
      </c>
      <c r="F38" s="190">
        <f>SUMIF($E9:$E35,$E38,$F9:$F35)</f>
        <v>1.5</v>
      </c>
      <c r="G38" s="191">
        <f>SUMIF($E10:$E35,$E38,$G10:$G35)</f>
        <v>53996.800000000003</v>
      </c>
      <c r="H38" s="192">
        <f>SUMIF($E10:$E35,$E38,$H10:$H35)</f>
        <v>17475</v>
      </c>
      <c r="I38" s="192">
        <f>SUMIF($E10:$E35,$E38,$I10:$I35)</f>
        <v>11676.538015999999</v>
      </c>
      <c r="J38" s="192">
        <f>SUM(G38:I38)</f>
        <v>83148.338015999994</v>
      </c>
      <c r="K38" s="166"/>
      <c r="L38" s="191">
        <f>SUMIF($E10:$E35,$E38,$L10:$L35)</f>
        <v>0</v>
      </c>
      <c r="M38" s="192">
        <f>SUMIF($E10:$E35,$E38,$M10:$M35)</f>
        <v>-226.78656000000001</v>
      </c>
      <c r="N38" s="192">
        <f>SUM(L38:M38)</f>
        <v>-226.78656000000001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500</v>
      </c>
      <c r="AB38" s="338">
        <f>ROUND((AdjPermVB*CECPerm+AdjPermVBBY*CECPerm),-2)</f>
        <v>100</v>
      </c>
      <c r="AC38" s="338">
        <f>SUM(AA38:AB38)</f>
        <v>600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5" x14ac:dyDescent="0.25">
      <c r="A39" s="139"/>
      <c r="B39" s="188"/>
      <c r="C39" s="444" t="str">
        <f>Group_name</f>
        <v>Board &amp; Group Positions</v>
      </c>
      <c r="D39" s="445"/>
      <c r="E39" s="189">
        <v>2</v>
      </c>
      <c r="F39" s="151">
        <f>SUMIF($E9:$E35,$E39,$F9:$F35)</f>
        <v>0</v>
      </c>
      <c r="G39" s="193">
        <f>SUMIF($E10:$E35,$E39,$G10:$G35)</f>
        <v>0</v>
      </c>
      <c r="H39" s="152">
        <f>SUMIF($E10:$E35,$E39,$H10:$H35)</f>
        <v>0</v>
      </c>
      <c r="I39" s="152">
        <f>SUMIF($E10:$E35,$E39,$I10:$I35)</f>
        <v>0</v>
      </c>
      <c r="J39" s="152">
        <f>SUM(G39:I39)</f>
        <v>0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0</v>
      </c>
      <c r="AB39" s="338">
        <f>ROUND(AdjGroupVB*CECGroup,-2)</f>
        <v>0</v>
      </c>
      <c r="AC39" s="338">
        <f>SUM(AA39:AB39)</f>
        <v>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5" x14ac:dyDescent="0.25">
      <c r="A40" s="139"/>
      <c r="B40" s="188"/>
      <c r="C40" s="365" t="str">
        <f>Elect_name</f>
        <v>Elected Officials &amp; Full Time Commissioners</v>
      </c>
      <c r="D40" s="366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4"/>
      <c r="AB40" s="364"/>
      <c r="AC40" s="364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5" x14ac:dyDescent="0.25">
      <c r="A41" s="139"/>
      <c r="B41" s="188"/>
      <c r="C41" s="444" t="s">
        <v>38</v>
      </c>
      <c r="D41" s="445"/>
      <c r="E41" s="189"/>
      <c r="F41" s="161">
        <f>SUM(F38:F40)</f>
        <v>1.5</v>
      </c>
      <c r="G41" s="195">
        <f>SUM($G$38:$G$40)</f>
        <v>53996.800000000003</v>
      </c>
      <c r="H41" s="162">
        <f>SUM($H$38:$H$40)</f>
        <v>17475</v>
      </c>
      <c r="I41" s="162">
        <f>SUM($I$38:$I$40)</f>
        <v>11676.538015999999</v>
      </c>
      <c r="J41" s="162">
        <f>SUM($J$38:$J$40)</f>
        <v>83148.338015999994</v>
      </c>
      <c r="K41" s="259"/>
      <c r="L41" s="195">
        <f>SUM($L$38:$L$40)</f>
        <v>0</v>
      </c>
      <c r="M41" s="162">
        <f>SUM($M$38:$M$40)</f>
        <v>-226.78656000000001</v>
      </c>
      <c r="N41" s="162">
        <f>SUM(L41:M41)</f>
        <v>-226.78656000000001</v>
      </c>
      <c r="O41"/>
      <c r="P41"/>
      <c r="Q41"/>
      <c r="R41"/>
      <c r="S41"/>
      <c r="T41"/>
      <c r="U41"/>
      <c r="V41"/>
      <c r="W41"/>
      <c r="X41"/>
      <c r="Y41"/>
      <c r="Z41" s="344"/>
      <c r="AA41" s="364" t="s">
        <v>94</v>
      </c>
      <c r="AB41" s="333" t="s">
        <v>95</v>
      </c>
      <c r="AC41" s="333" t="s">
        <v>106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25">
      <c r="A42" s="139"/>
      <c r="B42" s="188"/>
      <c r="C42" s="446"/>
      <c r="D42" s="447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4"/>
      <c r="AB42" s="364"/>
      <c r="AC42" s="364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25">
      <c r="A43" s="139"/>
      <c r="B43" s="202"/>
      <c r="C43" s="448" t="s">
        <v>39</v>
      </c>
      <c r="D43" s="449"/>
      <c r="E43" s="203" t="s">
        <v>40</v>
      </c>
      <c r="F43" s="205">
        <f>ROUND(F51-F41,2)</f>
        <v>14.5</v>
      </c>
      <c r="G43" s="206">
        <f>ROUND(G51-G41,-2)</f>
        <v>1482200</v>
      </c>
      <c r="H43" s="159">
        <f>ROUND(H51-H41,-2)</f>
        <v>479700</v>
      </c>
      <c r="I43" s="159">
        <f>ROUND(I51-I41,-2)</f>
        <v>320500</v>
      </c>
      <c r="J43" s="159">
        <f>SUM(G43:I43)</f>
        <v>2282400</v>
      </c>
      <c r="K43" s="425" t="str">
        <f>IF(E51=0,"ERROR! Enter Original Appropriation amount in DU 3.00!","Calculated "&amp;IF(J43&gt;0,"overfunding ","underfunding ")&amp;"is "&amp;TEXT(J43/J51,"#.0%;(#.0% );0% ;")&amp;" of Original Appropriation")</f>
        <v>Calculated overfunding is 96.5% of Original Appropriation</v>
      </c>
      <c r="L43" s="426"/>
      <c r="M43" s="426"/>
      <c r="N43" s="427"/>
      <c r="O43"/>
      <c r="P43"/>
      <c r="Q43"/>
      <c r="R43"/>
      <c r="S43"/>
      <c r="T43"/>
      <c r="U43"/>
      <c r="V43"/>
      <c r="W43"/>
      <c r="X43"/>
      <c r="Y43"/>
      <c r="Z43" s="344"/>
      <c r="AA43" s="452" t="s">
        <v>108</v>
      </c>
      <c r="AB43" s="453"/>
      <c r="AC43" s="453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25">
      <c r="A44" s="139"/>
      <c r="B44" s="202"/>
      <c r="C44" s="450"/>
      <c r="D44" s="451"/>
      <c r="E44" s="204" t="s">
        <v>41</v>
      </c>
      <c r="F44" s="205">
        <f>ROUND(F60-F41,2)</f>
        <v>14.5</v>
      </c>
      <c r="G44" s="206">
        <f>ROUND(G60-G41,-2)</f>
        <v>1482200</v>
      </c>
      <c r="H44" s="159">
        <f>ROUND(H60-H41,-2)</f>
        <v>479600</v>
      </c>
      <c r="I44" s="159">
        <f>ROUND(I60-I41,-2)</f>
        <v>320500</v>
      </c>
      <c r="J44" s="159">
        <f>SUM(G44:I44)</f>
        <v>2282300</v>
      </c>
      <c r="K44" s="425" t="str">
        <f>IF(E51=0,"ERROR! Enter Original Appropriation amount in DU 3.00!","Calculated "&amp;IF(J44&gt;0,"overfunding ","underfunding ")&amp;"is "&amp;TEXT(J44/J60,"#.0%;(#.0% );0% ;")&amp;" of Estimated Expenditures")</f>
        <v>Calculated overfunding is 96.5% of Estimated Expenditures</v>
      </c>
      <c r="L44" s="426"/>
      <c r="M44" s="426"/>
      <c r="N44" s="427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25">
      <c r="A45" s="139"/>
      <c r="B45" s="202"/>
      <c r="C45" s="215"/>
      <c r="D45" s="215"/>
      <c r="E45" s="204" t="s">
        <v>99</v>
      </c>
      <c r="F45" s="205">
        <f>ROUND(F67-F41-F63,2)</f>
        <v>14.5</v>
      </c>
      <c r="G45" s="206">
        <f>ROUND(G67-G41-G63,-2)</f>
        <v>1482200</v>
      </c>
      <c r="H45" s="206">
        <f>ROUND(H67-H41-H63,-2)</f>
        <v>479600</v>
      </c>
      <c r="I45" s="206">
        <f>ROUND(I67-I41-I63,-2)</f>
        <v>320500</v>
      </c>
      <c r="J45" s="159">
        <f>SUM(G45:I45)</f>
        <v>2282300</v>
      </c>
      <c r="K45" s="425" t="str">
        <f>IF(J67=0,"Program has a zero base",IF(E51=0,"ERROR! Enter Original Appropriation amount in DU 3.00!","Calculated "&amp;IF(J45&gt;0,"overfunding ","underfunding ")&amp;"is "&amp;TEXT(J45/J67,"#.0%;(#.0% );0% ;")&amp;" of the Base"))</f>
        <v>Calculated overfunding is 96.5% of the Base</v>
      </c>
      <c r="L45" s="426"/>
      <c r="M45" s="426"/>
      <c r="N45" s="427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0</v>
      </c>
      <c r="AC45" s="338">
        <f>SUM(AA45:AB45)</f>
        <v>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25">
      <c r="A46" s="139"/>
      <c r="B46" s="202"/>
      <c r="C46" s="215"/>
      <c r="D46" s="215"/>
      <c r="E46" s="428" t="s">
        <v>100</v>
      </c>
      <c r="F46" s="429"/>
      <c r="G46" s="429"/>
      <c r="H46" s="429"/>
      <c r="I46" s="429"/>
      <c r="J46" s="430"/>
      <c r="K46" s="434" t="str">
        <f>IF(OR(J45&lt;0,F45&lt;0),"You may not have sufficient funding or authorized FTP, and may need to make additional adjustments to finalize this form.  Please contact both your DFM and LSO analysts.","")</f>
        <v/>
      </c>
      <c r="L46" s="435"/>
      <c r="M46" s="435"/>
      <c r="N46" s="436"/>
      <c r="O46"/>
      <c r="P46"/>
      <c r="Q46"/>
      <c r="R46"/>
      <c r="S46"/>
      <c r="T46"/>
      <c r="U46"/>
      <c r="V46"/>
      <c r="W46"/>
      <c r="X46"/>
      <c r="Y46"/>
      <c r="Z46" s="344"/>
      <c r="AA46" s="364"/>
      <c r="AB46" s="364"/>
      <c r="AC46" s="364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25">
      <c r="A47" s="139"/>
      <c r="B47" s="202"/>
      <c r="C47" s="215"/>
      <c r="D47" s="215"/>
      <c r="E47" s="431"/>
      <c r="F47" s="432"/>
      <c r="G47" s="432"/>
      <c r="H47" s="432"/>
      <c r="I47" s="432"/>
      <c r="J47" s="433"/>
      <c r="K47" s="437"/>
      <c r="L47" s="438"/>
      <c r="M47" s="438"/>
      <c r="N47" s="439"/>
      <c r="O47"/>
      <c r="P47"/>
      <c r="Q47"/>
      <c r="R47"/>
      <c r="S47"/>
      <c r="T47"/>
      <c r="U47"/>
      <c r="V47"/>
      <c r="W47"/>
      <c r="X47"/>
      <c r="Y47"/>
      <c r="Z47" s="344"/>
      <c r="AA47" s="364"/>
      <c r="AB47" s="364"/>
      <c r="AC47" s="364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25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25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4"/>
      <c r="AB49" s="364"/>
      <c r="AC49" s="364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25">
      <c r="A50" s="257" t="s">
        <v>42</v>
      </c>
      <c r="B50" s="71"/>
      <c r="C50" s="440"/>
      <c r="D50" s="441"/>
      <c r="E50" s="72" t="s">
        <v>43</v>
      </c>
      <c r="F50" s="73" t="s">
        <v>24</v>
      </c>
      <c r="G50" s="72" t="str">
        <f>"FY "&amp;M4-2001&amp;" Salary"</f>
        <v>FY 22 Salary</v>
      </c>
      <c r="H50" s="72" t="str">
        <f>"FY "&amp;M4-2001&amp;" Health Ben"</f>
        <v>FY 22 Health Ben</v>
      </c>
      <c r="I50" s="72" t="str">
        <f>"FY "&amp;M4-2001&amp;" Var Ben"</f>
        <v>FY 22 Var Ben</v>
      </c>
      <c r="J50" s="72" t="str">
        <f>"FY "&amp;M4-1&amp;" Total"</f>
        <v>FY 2022 Total</v>
      </c>
      <c r="K50" s="307" t="str">
        <f>"FY "&amp;FiscalYear&amp;" SALARY CHG"</f>
        <v>FY 2023 SALARY CHG</v>
      </c>
      <c r="L50" s="74" t="str">
        <f>"FY "&amp;M4-2000&amp;" Chg Health Bens"</f>
        <v>FY 23 Chg Health Bens</v>
      </c>
      <c r="M50" s="74" t="str">
        <f>"FY "&amp;M4-2000&amp;" Chg Var Bens"</f>
        <v>FY 23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4"/>
      <c r="AB50" s="364"/>
      <c r="AC50" s="364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25">
      <c r="A51" s="75">
        <v>3</v>
      </c>
      <c r="B51" s="76" t="s">
        <v>45</v>
      </c>
      <c r="C51" s="54" t="str">
        <f>"FY "&amp;M4-1</f>
        <v>FY 2022</v>
      </c>
      <c r="D51" s="77" t="s">
        <v>31</v>
      </c>
      <c r="E51" s="78">
        <f>OrigApprop</f>
        <v>2365500</v>
      </c>
      <c r="F51" s="272">
        <f>AppropFTP</f>
        <v>16</v>
      </c>
      <c r="G51" s="274">
        <f>IF(E51=0,0,(G41/$J$41)*$E$51)</f>
        <v>1536163.361141643</v>
      </c>
      <c r="H51" s="274">
        <f>IF(E51=0,0,(H41/$J$41)*$E$51)</f>
        <v>497148.99282828259</v>
      </c>
      <c r="I51" s="275">
        <f>IF(E51=0,0,(I41/$J$41)*$E$51)</f>
        <v>332187.64603007457</v>
      </c>
      <c r="J51" s="90">
        <f>SUM(G51:I51)</f>
        <v>2365500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4"/>
      <c r="AC51" s="364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25">
      <c r="A52" s="82"/>
      <c r="B52" s="83"/>
      <c r="C52" s="84"/>
      <c r="D52" s="132" t="s">
        <v>46</v>
      </c>
      <c r="E52" s="133"/>
      <c r="F52" s="55">
        <f>F51</f>
        <v>16</v>
      </c>
      <c r="G52" s="79">
        <f>ROUND(G51,-2)</f>
        <v>1536200</v>
      </c>
      <c r="H52" s="79">
        <f>ROUND(H51,-2)</f>
        <v>497100</v>
      </c>
      <c r="I52" s="266">
        <f>ROUND(I51,-2)</f>
        <v>332200</v>
      </c>
      <c r="J52" s="80">
        <f>ROUND(J51,-2)</f>
        <v>2365500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4"/>
      <c r="AC52" s="364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5" x14ac:dyDescent="0.25">
      <c r="A53" s="85"/>
      <c r="B53" s="83"/>
      <c r="C53" s="442" t="s">
        <v>47</v>
      </c>
      <c r="D53" s="443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4"/>
      <c r="AB53" s="364"/>
      <c r="AC53" s="364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25">
      <c r="A54" s="85">
        <v>4.1100000000000003</v>
      </c>
      <c r="B54" s="83"/>
      <c r="C54" s="409" t="s">
        <v>48</v>
      </c>
      <c r="D54" s="410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4"/>
      <c r="AB54" s="364"/>
      <c r="AC54" s="364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25">
      <c r="A55" s="85">
        <v>4.3099999999999996</v>
      </c>
      <c r="B55" s="83"/>
      <c r="C55" s="422" t="s">
        <v>49</v>
      </c>
      <c r="D55" s="423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4"/>
      <c r="AB55" s="364"/>
      <c r="AC55" s="364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25">
      <c r="A56" s="75">
        <v>5</v>
      </c>
      <c r="B56" s="76"/>
      <c r="C56" s="54" t="str">
        <f>"FY "&amp;M4-1</f>
        <v>FY 2022</v>
      </c>
      <c r="D56" s="131" t="s">
        <v>50</v>
      </c>
      <c r="E56" s="135"/>
      <c r="F56" s="55">
        <f>SUM(F52:F55)</f>
        <v>16</v>
      </c>
      <c r="G56" s="80">
        <f>SUM(G52:G55)</f>
        <v>1536200</v>
      </c>
      <c r="H56" s="80">
        <f>SUM(H52:H55)</f>
        <v>497100</v>
      </c>
      <c r="I56" s="260">
        <f>SUM(I52:I55)</f>
        <v>332200</v>
      </c>
      <c r="J56" s="80">
        <f>SUM(J52:J55)</f>
        <v>2365500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4"/>
      <c r="AB56" s="364"/>
      <c r="AC56" s="364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25">
      <c r="A57" s="85"/>
      <c r="B57" s="83"/>
      <c r="C57" s="420" t="s">
        <v>51</v>
      </c>
      <c r="D57" s="424"/>
      <c r="E57" s="368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4"/>
      <c r="AB57" s="364"/>
      <c r="AC57" s="364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25">
      <c r="A58" s="85">
        <v>6.31</v>
      </c>
      <c r="B58" s="83"/>
      <c r="C58" s="409" t="s">
        <v>52</v>
      </c>
      <c r="D58" s="410"/>
      <c r="E58" s="102"/>
      <c r="F58" s="58">
        <v>0</v>
      </c>
      <c r="G58" s="88">
        <v>0</v>
      </c>
      <c r="H58" s="88">
        <v>0</v>
      </c>
      <c r="I58" s="265">
        <v>0</v>
      </c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4"/>
      <c r="AB58" s="364"/>
      <c r="AC58" s="364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25">
      <c r="A59" s="85">
        <v>6.51</v>
      </c>
      <c r="B59" s="83"/>
      <c r="C59" s="422" t="s">
        <v>66</v>
      </c>
      <c r="D59" s="423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4"/>
      <c r="AB59" s="364"/>
      <c r="AC59" s="364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25">
      <c r="A60" s="75">
        <v>7</v>
      </c>
      <c r="B60" s="76"/>
      <c r="C60" s="54" t="str">
        <f>"FY "&amp;M4-1</f>
        <v>FY 2022</v>
      </c>
      <c r="D60" s="131" t="s">
        <v>53</v>
      </c>
      <c r="E60" s="135"/>
      <c r="F60" s="55">
        <f>SUM(F56:F59)</f>
        <v>16</v>
      </c>
      <c r="G60" s="80">
        <f>SUM(G56:G59)</f>
        <v>1536200</v>
      </c>
      <c r="H60" s="80">
        <f>SUM(H56:H59)</f>
        <v>497100</v>
      </c>
      <c r="I60" s="260">
        <f>SUM(I56:I59)</f>
        <v>332200</v>
      </c>
      <c r="J60" s="80">
        <f>SUM(J56:J59)</f>
        <v>2365500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4"/>
      <c r="AB60" s="364"/>
      <c r="AC60" s="364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25">
      <c r="A61" s="85"/>
      <c r="B61" s="83"/>
      <c r="C61" s="420" t="s">
        <v>54</v>
      </c>
      <c r="D61" s="424"/>
      <c r="E61" s="368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4"/>
      <c r="AB61" s="364"/>
      <c r="AC61" s="364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25">
      <c r="A62" s="85">
        <v>8.31</v>
      </c>
      <c r="B62" s="83"/>
      <c r="C62" s="409" t="s">
        <v>67</v>
      </c>
      <c r="D62" s="410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4"/>
      <c r="AB62" s="364"/>
      <c r="AC62" s="364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25">
      <c r="A63" s="85">
        <v>8.41</v>
      </c>
      <c r="B63" s="83"/>
      <c r="C63" s="409" t="s">
        <v>55</v>
      </c>
      <c r="D63" s="410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4"/>
      <c r="AB63" s="364"/>
      <c r="AC63" s="364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">
      <c r="A64" s="93">
        <v>8.51</v>
      </c>
      <c r="B64" s="93"/>
      <c r="C64" s="414" t="s">
        <v>56</v>
      </c>
      <c r="D64" s="415"/>
      <c r="E64" s="134"/>
      <c r="F64" s="58">
        <v>0</v>
      </c>
      <c r="G64" s="88"/>
      <c r="H64" s="88">
        <v>0</v>
      </c>
      <c r="I64" s="265"/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4"/>
      <c r="AB64" s="364"/>
      <c r="AC64" s="364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25">
      <c r="A65" s="94"/>
      <c r="B65" s="95"/>
      <c r="C65" s="416"/>
      <c r="D65" s="417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4"/>
      <c r="AB65" s="364"/>
      <c r="AC65" s="364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5" x14ac:dyDescent="0.25">
      <c r="A66" s="100"/>
      <c r="B66" s="101"/>
      <c r="C66" s="418"/>
      <c r="D66" s="419"/>
      <c r="E66" s="102"/>
      <c r="F66" s="103" t="s">
        <v>24</v>
      </c>
      <c r="G66" s="104" t="str">
        <f>"FY "&amp;M4-2000&amp;" Salary"</f>
        <v>FY 23 Salary</v>
      </c>
      <c r="H66" s="104" t="str">
        <f>"FY"&amp;M4-2000&amp;" Health Ben"</f>
        <v>FY23 Health Ben</v>
      </c>
      <c r="I66" s="104" t="str">
        <f>"FY "&amp;M4-2000&amp;" Var Ben"</f>
        <v>FY 23 Var Ben</v>
      </c>
      <c r="J66" s="104" t="str">
        <f>"FY "&amp;M4&amp;" Total"</f>
        <v>FY 2023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5" x14ac:dyDescent="0.25">
      <c r="A67" s="82">
        <v>9</v>
      </c>
      <c r="B67" s="83"/>
      <c r="C67" s="84" t="str">
        <f>"FY "&amp;M4</f>
        <v>FY 2023</v>
      </c>
      <c r="D67" s="108" t="s">
        <v>57</v>
      </c>
      <c r="E67" s="109"/>
      <c r="F67" s="55">
        <f>SUM(F60:F64)</f>
        <v>16</v>
      </c>
      <c r="G67" s="80">
        <f>SUM(G60:G64)</f>
        <v>1536200</v>
      </c>
      <c r="H67" s="80">
        <f>SUM(H60:H64)</f>
        <v>497100</v>
      </c>
      <c r="I67" s="80">
        <f>SUM(I60:I64)</f>
        <v>332200</v>
      </c>
      <c r="J67" s="80">
        <f>SUM(J60:J64)</f>
        <v>2365500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4"/>
      <c r="AB67" s="364"/>
      <c r="AC67" s="364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25">
      <c r="A68" s="85">
        <v>10.11</v>
      </c>
      <c r="B68" s="83"/>
      <c r="C68" s="420" t="s">
        <v>58</v>
      </c>
      <c r="D68" s="421"/>
      <c r="E68" s="112"/>
      <c r="F68" s="288"/>
      <c r="G68" s="287"/>
      <c r="H68" s="113">
        <f>IF(DUNine=0,0,ROUND(SUM(L41:L65),-2))</f>
        <v>0</v>
      </c>
      <c r="I68" s="113"/>
      <c r="J68" s="287">
        <f>SUM(G68:I68)</f>
        <v>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4"/>
      <c r="AB68" s="364"/>
      <c r="AC68" s="364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5" x14ac:dyDescent="0.25">
      <c r="A69" s="85">
        <v>10.119999999999999</v>
      </c>
      <c r="B69" s="83"/>
      <c r="C69" s="420" t="s">
        <v>59</v>
      </c>
      <c r="D69" s="421"/>
      <c r="E69" s="112"/>
      <c r="F69" s="288"/>
      <c r="G69" s="113"/>
      <c r="H69" s="113"/>
      <c r="I69" s="113">
        <f>IF(DUNine=0,0,ROUND(SUM(M41:M64),-2))</f>
        <v>-200</v>
      </c>
      <c r="J69" s="287">
        <f>SUM(G69:I69)</f>
        <v>-200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4"/>
      <c r="AB69" s="364"/>
      <c r="AC69" s="364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5" x14ac:dyDescent="0.25">
      <c r="A70" s="85"/>
      <c r="B70" s="83"/>
      <c r="C70" s="407"/>
      <c r="D70" s="408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4"/>
      <c r="AB70" s="364"/>
      <c r="AC70" s="364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25">
      <c r="A71" s="85">
        <v>10.51</v>
      </c>
      <c r="B71" s="83"/>
      <c r="C71" s="409" t="s">
        <v>60</v>
      </c>
      <c r="D71" s="410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112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64"/>
      <c r="AB71" s="364"/>
      <c r="AC71" s="364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25">
      <c r="A72" s="85">
        <v>10.61</v>
      </c>
      <c r="B72" s="83"/>
      <c r="C72" s="409" t="s">
        <v>101</v>
      </c>
      <c r="D72" s="411"/>
      <c r="E72" s="290">
        <f>CECPerm</f>
        <v>0.01</v>
      </c>
      <c r="F72" s="288"/>
      <c r="G72" s="356">
        <f>IF(DUNine=0,0,IF(DUNine&lt;0,0,ROUND(AdjPermSalary*CECPerm,-2)))</f>
        <v>500</v>
      </c>
      <c r="H72" s="287"/>
      <c r="I72" s="287">
        <f>ROUND(($G72*PermVBBY+$G72*Retire1BY),-2)</f>
        <v>100</v>
      </c>
      <c r="J72" s="113">
        <f>SUM(G72:I72)</f>
        <v>600</v>
      </c>
      <c r="K72" s="296"/>
      <c r="L72" s="298"/>
      <c r="M72" s="350" t="e">
        <f>IF(DUNine=0,0,IF(((#REF!-G39-G40)*E72)&lt;0,0,ROUND(((#REF!-G39-G40)*E72),-2)))</f>
        <v>#REF!</v>
      </c>
      <c r="N72" s="359"/>
      <c r="O72" s="358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#REF!</v>
      </c>
      <c r="P72" s="358"/>
      <c r="Q72"/>
      <c r="R72"/>
      <c r="S72"/>
      <c r="T72"/>
      <c r="U72"/>
      <c r="V72"/>
      <c r="W72"/>
      <c r="X72"/>
      <c r="Y72"/>
      <c r="Z72" s="344"/>
      <c r="AA72" s="364"/>
      <c r="AB72" s="364"/>
      <c r="AC72" s="364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25">
      <c r="A73" s="85">
        <v>10.62</v>
      </c>
      <c r="B73" s="83"/>
      <c r="C73" s="409" t="s">
        <v>61</v>
      </c>
      <c r="D73" s="411"/>
      <c r="E73" s="289">
        <f>CECGroup</f>
        <v>0.01</v>
      </c>
      <c r="F73" s="288"/>
      <c r="G73" s="356">
        <f>IF(DUNine=0,0,IF(DUNine&lt;0,0,ROUND(AdjGroupSalary*CECGroup,-2)))</f>
        <v>0</v>
      </c>
      <c r="H73" s="287"/>
      <c r="I73" s="287">
        <f>ROUND(($G73*GroupVBBY),-2)</f>
        <v>0</v>
      </c>
      <c r="J73" s="113">
        <f t="shared" si="11"/>
        <v>0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64"/>
      <c r="AB73" s="364"/>
      <c r="AC73" s="364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25">
      <c r="A74" s="85">
        <v>10.63</v>
      </c>
      <c r="B74" s="83"/>
      <c r="C74" s="367" t="s">
        <v>62</v>
      </c>
      <c r="D74" s="369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4"/>
      <c r="AB74" s="364"/>
      <c r="AC74" s="364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25">
      <c r="A75" s="75">
        <v>11</v>
      </c>
      <c r="B75" s="76"/>
      <c r="C75" s="54" t="str">
        <f>"FY "&amp;M4</f>
        <v>FY 2023</v>
      </c>
      <c r="D75" s="77" t="s">
        <v>63</v>
      </c>
      <c r="E75" s="112"/>
      <c r="F75" s="55">
        <f>SUM(F67:F74)</f>
        <v>16</v>
      </c>
      <c r="G75" s="80">
        <f>SUM(G67:G74)</f>
        <v>1536700</v>
      </c>
      <c r="H75" s="80">
        <f>SUM(H67:H74)</f>
        <v>497100</v>
      </c>
      <c r="I75" s="80">
        <f>SUM(I67:I74)</f>
        <v>332100</v>
      </c>
      <c r="J75" s="80">
        <f>SUM(J67:K74)</f>
        <v>2365900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4"/>
      <c r="AB75" s="364"/>
      <c r="AC75" s="364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25">
      <c r="A76" s="85"/>
      <c r="B76" s="83"/>
      <c r="C76" s="412" t="s">
        <v>64</v>
      </c>
      <c r="D76" s="413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4"/>
      <c r="AB76" s="364"/>
      <c r="AC76" s="364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5" x14ac:dyDescent="0.25">
      <c r="A77" s="116">
        <v>12.01</v>
      </c>
      <c r="B77" s="57"/>
      <c r="C77" s="405"/>
      <c r="D77" s="406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4"/>
      <c r="AB77" s="364"/>
      <c r="AC77" s="364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5" x14ac:dyDescent="0.25">
      <c r="A78" s="116">
        <v>12.02</v>
      </c>
      <c r="B78" s="57"/>
      <c r="C78" s="405"/>
      <c r="D78" s="406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4"/>
      <c r="AB78" s="364"/>
      <c r="AC78" s="364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5" x14ac:dyDescent="0.25">
      <c r="A79" s="116">
        <v>12.03</v>
      </c>
      <c r="B79" s="57" t="s">
        <v>45</v>
      </c>
      <c r="C79" s="405"/>
      <c r="D79" s="406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4"/>
      <c r="AB79" s="364"/>
      <c r="AC79" s="364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25">
      <c r="A80" s="117">
        <v>13</v>
      </c>
      <c r="B80" s="118"/>
      <c r="C80" s="119" t="str">
        <f>"FY "&amp;M4</f>
        <v>FY 2023</v>
      </c>
      <c r="D80" s="120" t="s">
        <v>65</v>
      </c>
      <c r="E80" s="121"/>
      <c r="F80" s="55">
        <f>SUM(F75:F79)</f>
        <v>16</v>
      </c>
      <c r="G80" s="80">
        <f>SUM(G75:G79)</f>
        <v>1536700</v>
      </c>
      <c r="H80" s="80">
        <f>SUM(H75:H79)</f>
        <v>497100</v>
      </c>
      <c r="I80" s="80">
        <f>SUM(I75:I79)</f>
        <v>332100</v>
      </c>
      <c r="J80" s="80">
        <f>SUM(J75:J79)</f>
        <v>2365900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4"/>
      <c r="AB80" s="364"/>
      <c r="AC80" s="364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13:D13"/>
    <mergeCell ref="M1:N1"/>
    <mergeCell ref="M2:N2"/>
    <mergeCell ref="M3:N3"/>
    <mergeCell ref="M4:N4"/>
    <mergeCell ref="I5:L5"/>
    <mergeCell ref="C8:D8"/>
    <mergeCell ref="AA8:AC8"/>
    <mergeCell ref="C9:D9"/>
    <mergeCell ref="C10:D10"/>
    <mergeCell ref="C11:D11"/>
    <mergeCell ref="C12:D12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C54:D54"/>
    <mergeCell ref="C39:D39"/>
    <mergeCell ref="C41:D41"/>
    <mergeCell ref="C42:D42"/>
    <mergeCell ref="C43:D44"/>
    <mergeCell ref="K45:N45"/>
    <mergeCell ref="E46:J47"/>
    <mergeCell ref="K46:N47"/>
    <mergeCell ref="C50:D50"/>
    <mergeCell ref="C53:D53"/>
    <mergeCell ref="C69:D69"/>
    <mergeCell ref="C55:D55"/>
    <mergeCell ref="C57:D57"/>
    <mergeCell ref="C58:D58"/>
    <mergeCell ref="C59:D59"/>
    <mergeCell ref="C61:D61"/>
    <mergeCell ref="C62:D62"/>
    <mergeCell ref="C63:D63"/>
    <mergeCell ref="C64:D64"/>
    <mergeCell ref="C65:D65"/>
    <mergeCell ref="C66:D66"/>
    <mergeCell ref="C68:D68"/>
    <mergeCell ref="C78:D78"/>
    <mergeCell ref="C79:D79"/>
    <mergeCell ref="C70:D70"/>
    <mergeCell ref="C71:D71"/>
    <mergeCell ref="C72:D72"/>
    <mergeCell ref="C73:D73"/>
    <mergeCell ref="C76:D76"/>
    <mergeCell ref="C77:D77"/>
  </mergeCells>
  <conditionalFormatting sqref="K44">
    <cfRule type="expression" dxfId="23" priority="5">
      <formula>$J$44&lt;0</formula>
    </cfRule>
  </conditionalFormatting>
  <conditionalFormatting sqref="K43">
    <cfRule type="expression" dxfId="22" priority="4">
      <formula>$J$43&lt;0</formula>
    </cfRule>
  </conditionalFormatting>
  <conditionalFormatting sqref="L16">
    <cfRule type="expression" dxfId="21" priority="3">
      <formula>$J$16&lt;0</formula>
    </cfRule>
  </conditionalFormatting>
  <conditionalFormatting sqref="K45">
    <cfRule type="expression" dxfId="20" priority="2">
      <formula>$J$44&lt;0</formula>
    </cfRule>
  </conditionalFormatting>
  <conditionalFormatting sqref="K43:N45">
    <cfRule type="containsText" dxfId="19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BA886CC-A213-40A1-9CCC-A96C7684DD74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4"/>
  <dimension ref="A1:BCV1409"/>
  <sheetViews>
    <sheetView workbookViewId="0">
      <pane xSplit="3" ySplit="1" topLeftCell="AM1381" activePane="bottomRight" state="frozen"/>
      <selection pane="topRight" activeCell="D1" sqref="D1"/>
      <selection pane="bottomLeft" activeCell="A2" sqref="A2"/>
      <selection pane="bottomRight" activeCell="AS1388" sqref="AS1388:BA1409"/>
    </sheetView>
  </sheetViews>
  <sheetFormatPr defaultRowHeight="15" x14ac:dyDescent="0.25"/>
  <cols>
    <col min="45" max="53" width="15.7109375" customWidth="1"/>
    <col min="54" max="54" width="13.5703125" bestFit="1" customWidth="1"/>
    <col min="55" max="55" width="9.28515625" bestFit="1" customWidth="1"/>
    <col min="56" max="56" width="13.42578125" bestFit="1" customWidth="1"/>
    <col min="57" max="57" width="11.7109375" bestFit="1" customWidth="1"/>
    <col min="58" max="58" width="13.42578125" bestFit="1" customWidth="1"/>
    <col min="59" max="59" width="11.7109375" bestFit="1" customWidth="1"/>
    <col min="60" max="62" width="10.7109375" bestFit="1" customWidth="1"/>
    <col min="63" max="63" width="9.28515625" bestFit="1" customWidth="1"/>
    <col min="64" max="64" width="13.5703125" bestFit="1" customWidth="1"/>
    <col min="65" max="65" width="9.28515625" bestFit="1" customWidth="1"/>
    <col min="66" max="66" width="13.5703125" bestFit="1" customWidth="1"/>
    <col min="67" max="67" width="9.28515625" bestFit="1" customWidth="1"/>
    <col min="68" max="68" width="13.42578125" bestFit="1" customWidth="1"/>
    <col min="69" max="69" width="11.7109375" bestFit="1" customWidth="1"/>
    <col min="70" max="70" width="13.42578125" bestFit="1" customWidth="1"/>
    <col min="71" max="71" width="11.7109375" bestFit="1" customWidth="1"/>
    <col min="72" max="72" width="9.28515625" bestFit="1" customWidth="1"/>
    <col min="73" max="74" width="10.7109375" bestFit="1" customWidth="1"/>
    <col min="75" max="75" width="9.28515625" bestFit="1" customWidth="1"/>
    <col min="76" max="76" width="13.5703125" bestFit="1" customWidth="1"/>
    <col min="77" max="83" width="9.28515625" bestFit="1" customWidth="1"/>
    <col min="84" max="84" width="11.42578125" bestFit="1" customWidth="1"/>
    <col min="85" max="85" width="9.28515625" bestFit="1" customWidth="1"/>
    <col min="86" max="86" width="10.5703125" bestFit="1" customWidth="1"/>
    <col min="87" max="87" width="9.28515625" bestFit="1" customWidth="1"/>
    <col min="88" max="88" width="11.42578125" bestFit="1" customWidth="1"/>
    <col min="89" max="89" width="9.28515625" bestFit="1" customWidth="1"/>
    <col min="90" max="90" width="11.7109375" bestFit="1" customWidth="1"/>
    <col min="91" max="91" width="10.5703125" bestFit="1" customWidth="1"/>
  </cols>
  <sheetData>
    <row r="1" spans="1:92" ht="12.75" customHeight="1" thickBot="1" x14ac:dyDescent="0.3">
      <c r="A1" s="374" t="s">
        <v>118</v>
      </c>
      <c r="B1" s="374" t="s">
        <v>119</v>
      </c>
      <c r="C1" s="374" t="s">
        <v>20</v>
      </c>
      <c r="D1" s="374" t="s">
        <v>120</v>
      </c>
      <c r="E1" s="374" t="s">
        <v>121</v>
      </c>
      <c r="F1" s="375" t="s">
        <v>122</v>
      </c>
      <c r="G1" s="374" t="s">
        <v>123</v>
      </c>
      <c r="H1" s="374" t="s">
        <v>124</v>
      </c>
      <c r="I1" s="374" t="s">
        <v>125</v>
      </c>
      <c r="J1" s="374" t="s">
        <v>126</v>
      </c>
      <c r="K1" s="374" t="s">
        <v>127</v>
      </c>
      <c r="L1" s="374" t="s">
        <v>128</v>
      </c>
      <c r="M1" s="374" t="s">
        <v>129</v>
      </c>
      <c r="N1" s="374" t="s">
        <v>130</v>
      </c>
      <c r="O1" s="374" t="s">
        <v>131</v>
      </c>
      <c r="P1" s="374" t="s">
        <v>132</v>
      </c>
      <c r="Q1" s="374" t="s">
        <v>133</v>
      </c>
      <c r="R1" s="374" t="s">
        <v>134</v>
      </c>
      <c r="S1" s="374" t="s">
        <v>135</v>
      </c>
      <c r="T1" s="374" t="s">
        <v>136</v>
      </c>
      <c r="U1" s="374" t="s">
        <v>137</v>
      </c>
      <c r="V1" s="374" t="s">
        <v>138</v>
      </c>
      <c r="W1" s="374" t="s">
        <v>139</v>
      </c>
      <c r="X1" s="374" t="s">
        <v>140</v>
      </c>
      <c r="Y1" s="374" t="s">
        <v>141</v>
      </c>
      <c r="Z1" s="374" t="s">
        <v>142</v>
      </c>
      <c r="AA1" s="374" t="s">
        <v>143</v>
      </c>
      <c r="AB1" s="374" t="s">
        <v>144</v>
      </c>
      <c r="AC1" s="374" t="s">
        <v>145</v>
      </c>
      <c r="AD1" s="374" t="s">
        <v>146</v>
      </c>
      <c r="AE1" s="374" t="s">
        <v>147</v>
      </c>
      <c r="AF1" s="374" t="s">
        <v>148</v>
      </c>
      <c r="AG1" s="374" t="s">
        <v>149</v>
      </c>
      <c r="AH1" s="374" t="s">
        <v>150</v>
      </c>
      <c r="AI1" s="374" t="s">
        <v>151</v>
      </c>
      <c r="AJ1" s="374" t="s">
        <v>152</v>
      </c>
      <c r="AK1" s="374" t="s">
        <v>153</v>
      </c>
      <c r="AL1" s="374" t="s">
        <v>154</v>
      </c>
      <c r="AM1" s="374" t="s">
        <v>155</v>
      </c>
      <c r="AN1" s="374" t="s">
        <v>156</v>
      </c>
      <c r="AO1" s="374" t="s">
        <v>157</v>
      </c>
      <c r="AP1" s="374" t="s">
        <v>158</v>
      </c>
      <c r="AQ1" s="374" t="s">
        <v>159</v>
      </c>
      <c r="AR1" s="374" t="s">
        <v>160</v>
      </c>
      <c r="AS1" s="386" t="s">
        <v>2593</v>
      </c>
      <c r="AT1" s="386" t="s">
        <v>2594</v>
      </c>
      <c r="AU1" s="386" t="s">
        <v>2595</v>
      </c>
      <c r="AV1" s="386" t="s">
        <v>2596</v>
      </c>
      <c r="AW1" s="386" t="s">
        <v>2597</v>
      </c>
      <c r="AX1" s="386" t="s">
        <v>2598</v>
      </c>
      <c r="AY1" s="386" t="s">
        <v>2599</v>
      </c>
      <c r="AZ1" s="386" t="s">
        <v>2600</v>
      </c>
      <c r="BA1" s="388" t="s">
        <v>2601</v>
      </c>
      <c r="BB1" s="389" t="s">
        <v>2602</v>
      </c>
      <c r="BC1" s="389" t="s">
        <v>2603</v>
      </c>
      <c r="BD1" s="389" t="s">
        <v>2604</v>
      </c>
      <c r="BE1" s="389" t="s">
        <v>2605</v>
      </c>
      <c r="BF1" s="389" t="s">
        <v>2606</v>
      </c>
      <c r="BG1" s="389" t="s">
        <v>2607</v>
      </c>
      <c r="BH1" s="389" t="s">
        <v>2608</v>
      </c>
      <c r="BI1" s="389" t="s">
        <v>2609</v>
      </c>
      <c r="BJ1" s="389" t="s">
        <v>2610</v>
      </c>
      <c r="BK1" s="389" t="s">
        <v>2611</v>
      </c>
      <c r="BL1" s="390" t="s">
        <v>2612</v>
      </c>
      <c r="BM1" s="390" t="s">
        <v>2613</v>
      </c>
      <c r="BN1" s="389" t="s">
        <v>2614</v>
      </c>
      <c r="BO1" s="389" t="s">
        <v>2615</v>
      </c>
      <c r="BP1" s="389" t="s">
        <v>2616</v>
      </c>
      <c r="BQ1" s="389" t="s">
        <v>2617</v>
      </c>
      <c r="BR1" s="389" t="s">
        <v>2618</v>
      </c>
      <c r="BS1" s="389" t="s">
        <v>2619</v>
      </c>
      <c r="BT1" s="389" t="s">
        <v>2620</v>
      </c>
      <c r="BU1" s="389" t="s">
        <v>2621</v>
      </c>
      <c r="BV1" s="389" t="s">
        <v>2622</v>
      </c>
      <c r="BW1" s="389" t="s">
        <v>2623</v>
      </c>
      <c r="BX1" s="390" t="s">
        <v>2624</v>
      </c>
      <c r="BY1" s="390" t="s">
        <v>2625</v>
      </c>
      <c r="BZ1" s="389" t="s">
        <v>2626</v>
      </c>
      <c r="CA1" s="389" t="s">
        <v>2627</v>
      </c>
      <c r="CB1" s="389" t="s">
        <v>2628</v>
      </c>
      <c r="CC1" s="389" t="s">
        <v>2629</v>
      </c>
      <c r="CD1" s="389" t="s">
        <v>2630</v>
      </c>
      <c r="CE1" s="389" t="s">
        <v>2631</v>
      </c>
      <c r="CF1" s="389" t="s">
        <v>2632</v>
      </c>
      <c r="CG1" s="389" t="s">
        <v>2633</v>
      </c>
      <c r="CH1" s="389" t="s">
        <v>2634</v>
      </c>
      <c r="CI1" s="389" t="s">
        <v>2635</v>
      </c>
      <c r="CJ1" s="390" t="s">
        <v>2636</v>
      </c>
      <c r="CK1" s="390" t="s">
        <v>2637</v>
      </c>
      <c r="CL1" s="391" t="s">
        <v>2638</v>
      </c>
      <c r="CM1" s="391" t="s">
        <v>2639</v>
      </c>
      <c r="CN1" s="391" t="s">
        <v>2640</v>
      </c>
    </row>
    <row r="2" spans="1:92" ht="15.75" thickBot="1" x14ac:dyDescent="0.3">
      <c r="A2" s="376" t="s">
        <v>161</v>
      </c>
      <c r="B2" s="376" t="s">
        <v>162</v>
      </c>
      <c r="C2" s="376" t="s">
        <v>163</v>
      </c>
      <c r="D2" s="376" t="s">
        <v>164</v>
      </c>
      <c r="E2" s="376" t="s">
        <v>165</v>
      </c>
      <c r="F2" s="377" t="s">
        <v>166</v>
      </c>
      <c r="G2" s="376" t="s">
        <v>167</v>
      </c>
      <c r="H2" s="378"/>
      <c r="I2" s="378"/>
      <c r="J2" s="376" t="s">
        <v>168</v>
      </c>
      <c r="K2" s="376" t="s">
        <v>169</v>
      </c>
      <c r="L2" s="376" t="s">
        <v>170</v>
      </c>
      <c r="M2" s="376" t="s">
        <v>171</v>
      </c>
      <c r="N2" s="376" t="s">
        <v>172</v>
      </c>
      <c r="O2" s="379">
        <v>1</v>
      </c>
      <c r="P2" s="385">
        <v>0.4</v>
      </c>
      <c r="Q2" s="385">
        <v>0.4</v>
      </c>
      <c r="R2" s="380">
        <v>80</v>
      </c>
      <c r="S2" s="385">
        <v>0.4</v>
      </c>
      <c r="T2" s="380">
        <v>0</v>
      </c>
      <c r="U2" s="380">
        <v>0</v>
      </c>
      <c r="V2" s="380">
        <v>0</v>
      </c>
      <c r="W2" s="380">
        <v>24211.200000000001</v>
      </c>
      <c r="X2" s="380">
        <v>9895.65</v>
      </c>
      <c r="Y2" s="380">
        <v>24211.200000000001</v>
      </c>
      <c r="Z2" s="380">
        <v>9793.9699999999993</v>
      </c>
      <c r="AA2" s="376" t="s">
        <v>173</v>
      </c>
      <c r="AB2" s="376" t="s">
        <v>174</v>
      </c>
      <c r="AC2" s="376" t="s">
        <v>175</v>
      </c>
      <c r="AD2" s="376" t="s">
        <v>176</v>
      </c>
      <c r="AE2" s="376" t="s">
        <v>169</v>
      </c>
      <c r="AF2" s="376" t="s">
        <v>177</v>
      </c>
      <c r="AG2" s="376" t="s">
        <v>178</v>
      </c>
      <c r="AH2" s="381">
        <v>29.1</v>
      </c>
      <c r="AI2" s="381">
        <v>12580.9</v>
      </c>
      <c r="AJ2" s="376" t="s">
        <v>179</v>
      </c>
      <c r="AK2" s="376" t="s">
        <v>180</v>
      </c>
      <c r="AL2" s="376" t="s">
        <v>181</v>
      </c>
      <c r="AM2" s="376" t="s">
        <v>182</v>
      </c>
      <c r="AN2" s="376" t="s">
        <v>68</v>
      </c>
      <c r="AO2" s="379">
        <v>80</v>
      </c>
      <c r="AP2" s="385">
        <v>1</v>
      </c>
      <c r="AQ2" s="385">
        <v>0.4</v>
      </c>
      <c r="AR2" s="383" t="s">
        <v>183</v>
      </c>
      <c r="AS2" s="387">
        <f>IF(((AO2/80)*AP2*P2)&gt;1,AQ2,((AO2/80)*AP2*P2))</f>
        <v>0.4</v>
      </c>
      <c r="AT2">
        <f>IF(AND(M2="F",N2&lt;&gt;"NG",AS2&lt;&gt;0,AND(AR2&lt;&gt;6,AR2&lt;&gt;36,AR2&lt;&gt;56),AG2&lt;&gt;"A",OR(AG2="H",AJ2="FS")),1,IF(AND(M2="F",N2&lt;&gt;"NG",AS2&lt;&gt;0,AG2="A"),3,0))</f>
        <v>1</v>
      </c>
      <c r="AU2" s="387">
        <f>IF(AT2=0,"",IF(AND(AT2=1,M2="F",SUMIF(C2:C1334,C2,AS2:AS1334)&lt;=1),SUMIF(C2:C1334,C2,AS2:AS1334),IF(AND(AT2=1,M2="F",SUMIF(C2:C1334,C2,AS2:AS1334)&gt;1),1,"")))</f>
        <v>1</v>
      </c>
      <c r="AV2" s="387" t="str">
        <f>IF(AT2=0,"",IF(AND(AT2=3,M2="F",SUMIF(C2:C1334,C2,AS2:AS1334)&lt;=1),SUMIF(C2:C1334,C2,AS2:AS1334),IF(AND(AT2=3,M2="F",SUMIF(C2:C1334,C2,AS2:AS1334)&gt;1),1,"")))</f>
        <v/>
      </c>
      <c r="AW2" s="387">
        <f>SUMIF(C2:C1334,C2,O2:O1334)</f>
        <v>4</v>
      </c>
      <c r="AX2" s="387">
        <f>IF(AND(M2="F",AS2&lt;&gt;0),SUMIF(C2:C1334,C2,W2:W1334),0)</f>
        <v>60528</v>
      </c>
      <c r="AY2" s="387">
        <f>IF(AT2=1,W2,"")</f>
        <v>24211.200000000001</v>
      </c>
      <c r="AZ2" s="387" t="str">
        <f>IF(AT2=3,W2,"")</f>
        <v/>
      </c>
      <c r="BA2" s="387">
        <f>IF(AT2=1,Y2-W2,0)</f>
        <v>0</v>
      </c>
      <c r="BB2" s="387">
        <f t="shared" ref="BB2:BB65" si="0">IF(AND(AT2=1,AK2="E",AU2&gt;=0.75,AW2=1),Health,IF(AND(AT2=1,AK2="E",AU2&gt;=0.75),Health*P2,IF(AND(AT2=1,AK2="E",AU2&gt;=0.5,AW2=1),PTHealth,IF(AND(AT2=1,AK2="E",AU2&gt;=0.5),PTHealth*P2,0))))</f>
        <v>4660</v>
      </c>
      <c r="BC2" s="387">
        <f t="shared" ref="BC2:BC65" si="1">IF(AND(AT2=3,AK2="E",AV2&gt;=0.75,AW2=1),Health,IF(AND(AT2=3,AK2="E",AV2&gt;=0.75),Health*P2,IF(AND(AT2=3,AK2="E",AV2&gt;=0.5,AW2=1),PTHealth,IF(AND(AT2=3,AK2="E",AV2&gt;=0.5),PTHealth*P2,0))))</f>
        <v>0</v>
      </c>
      <c r="BD2" s="387">
        <f t="shared" ref="BD2:BD65" si="2">IF(AND(AT2&lt;&gt;0,AX2&gt;=MAXSSDI),SSDI*MAXSSDI*P2,IF(AT2&lt;&gt;0,SSDI*W2,0))</f>
        <v>1501.0944</v>
      </c>
      <c r="BE2" s="387">
        <f t="shared" ref="BE2:BE65" si="3">IF(AT2&lt;&gt;0,SSHI*W2,0)</f>
        <v>351.06240000000003</v>
      </c>
      <c r="BF2" s="387">
        <f t="shared" ref="BF2:BF65" si="4">IF(AND(AT2&lt;&gt;0,AN2&lt;&gt;"NE"),VLOOKUP(AN2,Retirement_Rates,3,FALSE)*W2,0)</f>
        <v>2890.8172800000002</v>
      </c>
      <c r="BG2" s="387">
        <f t="shared" ref="BG2:BG65" si="5">IF(AND(AT2&lt;&gt;0,AJ2&lt;&gt;"PF"),Life*W2,0)</f>
        <v>174.56275200000002</v>
      </c>
      <c r="BH2" s="387">
        <f t="shared" ref="BH2:BH65" si="6">IF(AND(AT2&lt;&gt;0,AM2="Y"),UI*W2,0)</f>
        <v>118.63488</v>
      </c>
      <c r="BI2" s="387">
        <f t="shared" ref="BI2:BI65" si="7">IF(AND(AT2&lt;&gt;0,N2&lt;&gt;"NR"),DHR*W2,0)</f>
        <v>134.00899200000001</v>
      </c>
      <c r="BJ2" s="387">
        <f t="shared" ref="BJ2:BJ65" si="8">IF(AT2&lt;&gt;0,WC*W2,0)</f>
        <v>65.37024000000001</v>
      </c>
      <c r="BK2" s="387">
        <f t="shared" ref="BK2:BK65" si="9">IF(OR(AND(AT2&lt;&gt;0,AJ2&lt;&gt;"PF",AN2&lt;&gt;"NE",AG2&lt;&gt;"A"),AND(AL2="E",OR(AT2=1,AT2=3))),Sick*W2,0)</f>
        <v>0</v>
      </c>
      <c r="BL2" s="387">
        <f>IF(AT2=1,SUM(BD2:BK2),0)</f>
        <v>5235.5509439999996</v>
      </c>
      <c r="BM2" s="387">
        <f>IF(AT2=3,SUM(BD2:BK2),0)</f>
        <v>0</v>
      </c>
      <c r="BN2" s="387">
        <f t="shared" ref="BN2:BN65" si="10">IF(AND(AT2=1,AK2="E",AU2&gt;=0.75,AW2=1),HealthBY,IF(AND(AT2=1,AK2="E",AU2&gt;=0.75),HealthBY*P2,IF(AND(AT2=1,AK2="E",AU2&gt;=0.5,AW2=1),PTHealthBY,IF(AND(AT2=1,AK2="E",AU2&gt;=0.5),PTHealthBY*P2,0))))</f>
        <v>4660</v>
      </c>
      <c r="BO2" s="387">
        <f t="shared" ref="BO2:BO65" si="11">IF(AND(AT2=3,AK2="E",AV2&gt;=0.75,AW2=1),HealthBY,IF(AND(AT2=3,AK2="E",AV2&gt;=0.75),HealthBY*P2,IF(AND(AT2=3,AK2="E",AV2&gt;=0.5,AW2=1),PTHealthBY,IF(AND(AT2=3,AK2="E",AV2&gt;=0.5),PTHealthBY*P2,0))))</f>
        <v>0</v>
      </c>
      <c r="BP2" s="387">
        <f t="shared" ref="BP2:BP65" si="12">IF(AND(AT2&lt;&gt;0,(AX2+BA2)&gt;=MAXSSDIBY),SSDIBY*MAXSSDIBY*P2,IF(AT2&lt;&gt;0,SSDIBY*W2,0))</f>
        <v>1501.0944</v>
      </c>
      <c r="BQ2" s="387">
        <f t="shared" ref="BQ2:BQ65" si="13">IF(AT2&lt;&gt;0,SSHIBY*W2,0)</f>
        <v>351.06240000000003</v>
      </c>
      <c r="BR2" s="387">
        <f t="shared" ref="BR2:BR65" si="14">IF(AND(AT2&lt;&gt;0,AN2&lt;&gt;"NE"),VLOOKUP(AN2,Retirement_Rates,4,FALSE)*W2,0)</f>
        <v>2890.8172800000002</v>
      </c>
      <c r="BS2" s="387">
        <f t="shared" ref="BS2:BS65" si="15">IF(AND(AT2&lt;&gt;0,AJ2&lt;&gt;"PF"),LifeBY*W2,0)</f>
        <v>174.56275200000002</v>
      </c>
      <c r="BT2" s="387">
        <f t="shared" ref="BT2:BT65" si="16">IF(AND(AT2&lt;&gt;0,AM2="Y"),UIBY*W2,0)</f>
        <v>0</v>
      </c>
      <c r="BU2" s="387">
        <f t="shared" ref="BU2:BU65" si="17">IF(AND(AT2&lt;&gt;0,N2&lt;&gt;"NR"),DHRBY*W2,0)</f>
        <v>134.00899200000001</v>
      </c>
      <c r="BV2" s="387">
        <f t="shared" ref="BV2:BV65" si="18">IF(AT2&lt;&gt;0,WCBY*W2,0)</f>
        <v>82.318079999999995</v>
      </c>
      <c r="BW2" s="387">
        <f t="shared" ref="BW2:BW65" si="19">IF(OR(AND(AT2&lt;&gt;0,AJ2&lt;&gt;"PF",AN2&lt;&gt;"NE",AG2&lt;&gt;"A"),AND(AL2="E",OR(AT2=1,AT2=3))),SickBY*W2,0)</f>
        <v>0</v>
      </c>
      <c r="BX2" s="387">
        <f>IF(AT2=1,SUM(BP2:BW2),0)</f>
        <v>5133.8639039999998</v>
      </c>
      <c r="BY2" s="387">
        <f>IF(AT2=3,SUM(BP2:BW2),0)</f>
        <v>0</v>
      </c>
      <c r="BZ2" s="387">
        <f>IF(AT2=1,BN2-BB2,0)</f>
        <v>0</v>
      </c>
      <c r="CA2" s="387">
        <f>IF(AT2=3,BO2-BC2,0)</f>
        <v>0</v>
      </c>
      <c r="CB2" s="387">
        <f>BP2-BD2</f>
        <v>0</v>
      </c>
      <c r="CC2" s="387">
        <f t="shared" ref="CC2:CC65" si="20">IF(AT2&lt;&gt;0,SSHICHG*Y2,0)</f>
        <v>0</v>
      </c>
      <c r="CD2" s="387">
        <f t="shared" ref="CD2:CD65" si="21">IF(AND(AT2&lt;&gt;0,AN2&lt;&gt;"NE"),VLOOKUP(AN2,Retirement_Rates,5,FALSE)*Y2,0)</f>
        <v>0</v>
      </c>
      <c r="CE2" s="387">
        <f t="shared" ref="CE2:CE65" si="22">IF(AND(AT2&lt;&gt;0,AJ2&lt;&gt;"PF"),LifeCHG*Y2,0)</f>
        <v>0</v>
      </c>
      <c r="CF2" s="387">
        <f t="shared" ref="CF2:CF65" si="23">IF(AND(AT2&lt;&gt;0,AM2="Y"),UICHG*Y2,0)</f>
        <v>-118.63488</v>
      </c>
      <c r="CG2" s="387">
        <f t="shared" ref="CG2:CG65" si="24">IF(AND(AT2&lt;&gt;0,N2&lt;&gt;"NR"),DHRCHG*Y2,0)</f>
        <v>0</v>
      </c>
      <c r="CH2" s="387">
        <f t="shared" ref="CH2:CH65" si="25">IF(AT2&lt;&gt;0,WCCHG*Y2,0)</f>
        <v>16.947839999999992</v>
      </c>
      <c r="CI2" s="387">
        <f t="shared" ref="CI2:CI65" si="26">IF(OR(AND(AT2&lt;&gt;0,AJ2&lt;&gt;"PF",AN2&lt;&gt;"NE",AG2&lt;&gt;"A"),AND(AL2="E",OR(AT2=1,AT2=3))),SickCHG*Y2,0)</f>
        <v>0</v>
      </c>
      <c r="CJ2" s="387">
        <f>IF(AT2=1,SUM(CB2:CI2),0)</f>
        <v>-101.68704</v>
      </c>
      <c r="CK2" s="387" t="str">
        <f>IF(AT2=3,SUM(CB2:CI2),"")</f>
        <v/>
      </c>
      <c r="CL2" s="387" t="str">
        <f>IF(OR(N2="NG",AG2="D"),(T2+U2),"")</f>
        <v/>
      </c>
      <c r="CM2" s="387" t="str">
        <f>IF(OR(N2="NG",AG2="D"),V2,"")</f>
        <v/>
      </c>
      <c r="CN2" s="387" t="str">
        <f>E2 &amp; "-" &amp; F2</f>
        <v>0302-00</v>
      </c>
    </row>
    <row r="3" spans="1:92" ht="15.75" thickBot="1" x14ac:dyDescent="0.3">
      <c r="A3" s="376" t="s">
        <v>161</v>
      </c>
      <c r="B3" s="376" t="s">
        <v>162</v>
      </c>
      <c r="C3" s="376" t="s">
        <v>184</v>
      </c>
      <c r="D3" s="376" t="s">
        <v>164</v>
      </c>
      <c r="E3" s="376" t="s">
        <v>165</v>
      </c>
      <c r="F3" s="377" t="s">
        <v>166</v>
      </c>
      <c r="G3" s="376" t="s">
        <v>167</v>
      </c>
      <c r="H3" s="378"/>
      <c r="I3" s="378"/>
      <c r="J3" s="376" t="s">
        <v>168</v>
      </c>
      <c r="K3" s="376" t="s">
        <v>169</v>
      </c>
      <c r="L3" s="376" t="s">
        <v>170</v>
      </c>
      <c r="M3" s="376" t="s">
        <v>171</v>
      </c>
      <c r="N3" s="376" t="s">
        <v>172</v>
      </c>
      <c r="O3" s="379">
        <v>1</v>
      </c>
      <c r="P3" s="385">
        <v>0.25</v>
      </c>
      <c r="Q3" s="385">
        <v>0.25</v>
      </c>
      <c r="R3" s="380">
        <v>80</v>
      </c>
      <c r="S3" s="385">
        <v>0.25</v>
      </c>
      <c r="T3" s="380">
        <v>0</v>
      </c>
      <c r="U3" s="380">
        <v>0</v>
      </c>
      <c r="V3" s="380">
        <v>0</v>
      </c>
      <c r="W3" s="380">
        <v>15355.6</v>
      </c>
      <c r="X3" s="380">
        <v>6233.14</v>
      </c>
      <c r="Y3" s="380">
        <v>15355.6</v>
      </c>
      <c r="Z3" s="380">
        <v>6168.64</v>
      </c>
      <c r="AA3" s="376" t="s">
        <v>185</v>
      </c>
      <c r="AB3" s="376" t="s">
        <v>186</v>
      </c>
      <c r="AC3" s="376" t="s">
        <v>187</v>
      </c>
      <c r="AD3" s="376" t="s">
        <v>188</v>
      </c>
      <c r="AE3" s="376" t="s">
        <v>169</v>
      </c>
      <c r="AF3" s="376" t="s">
        <v>177</v>
      </c>
      <c r="AG3" s="376" t="s">
        <v>178</v>
      </c>
      <c r="AH3" s="381">
        <v>29.53</v>
      </c>
      <c r="AI3" s="381">
        <v>10657.6</v>
      </c>
      <c r="AJ3" s="376" t="s">
        <v>179</v>
      </c>
      <c r="AK3" s="376" t="s">
        <v>180</v>
      </c>
      <c r="AL3" s="376" t="s">
        <v>181</v>
      </c>
      <c r="AM3" s="376" t="s">
        <v>182</v>
      </c>
      <c r="AN3" s="376" t="s">
        <v>68</v>
      </c>
      <c r="AO3" s="379">
        <v>80</v>
      </c>
      <c r="AP3" s="385">
        <v>1</v>
      </c>
      <c r="AQ3" s="385">
        <v>0.25</v>
      </c>
      <c r="AR3" s="383" t="s">
        <v>183</v>
      </c>
      <c r="AS3" s="387">
        <f t="shared" ref="AS3:AS66" si="27">IF(((AO3/80)*AP3*P3)&gt;1,AQ3,((AO3/80)*AP3*P3))</f>
        <v>0.25</v>
      </c>
      <c r="AT3">
        <f t="shared" ref="AT3:AT66" si="28">IF(AND(M3="F",N3&lt;&gt;"NG",AS3&lt;&gt;0,AND(AR3&lt;&gt;6,AR3&lt;&gt;36,AR3&lt;&gt;56),AG3&lt;&gt;"A",OR(AG3="H",AJ3="FS")),1,IF(AND(M3="F",N3&lt;&gt;"NG",AS3&lt;&gt;0,AG3="A"),3,0))</f>
        <v>1</v>
      </c>
      <c r="AU3" s="387">
        <f>IF(AT3=0,"",IF(AND(AT3=1,M3="F",SUMIF(C2:C1334,C3,AS2:AS1334)&lt;=1),SUMIF(C2:C1334,C3,AS2:AS1334),IF(AND(AT3=1,M3="F",SUMIF(C2:C1334,C3,AS2:AS1334)&gt;1),1,"")))</f>
        <v>1</v>
      </c>
      <c r="AV3" s="387" t="str">
        <f>IF(AT3=0,"",IF(AND(AT3=3,M3="F",SUMIF(C2:C1334,C3,AS2:AS1334)&lt;=1),SUMIF(C2:C1334,C3,AS2:AS1334),IF(AND(AT3=3,M3="F",SUMIF(C2:C1334,C3,AS2:AS1334)&gt;1),1,"")))</f>
        <v/>
      </c>
      <c r="AW3" s="387">
        <f>SUMIF(C2:C1334,C3,O2:O1334)</f>
        <v>4</v>
      </c>
      <c r="AX3" s="387">
        <f>IF(AND(M3="F",AS3&lt;&gt;0),SUMIF(C2:C1334,C3,W2:W1334),0)</f>
        <v>61422.400000000001</v>
      </c>
      <c r="AY3" s="387">
        <f t="shared" ref="AY3:AY66" si="29">IF(AT3=1,W3,"")</f>
        <v>15355.6</v>
      </c>
      <c r="AZ3" s="387" t="str">
        <f t="shared" ref="AZ3:AZ66" si="30">IF(AT3=3,W3,"")</f>
        <v/>
      </c>
      <c r="BA3" s="387">
        <f t="shared" ref="BA3:BA66" si="31">IF(AT3=1,Y3-W3,0)</f>
        <v>0</v>
      </c>
      <c r="BB3" s="387">
        <f t="shared" si="0"/>
        <v>2912.5</v>
      </c>
      <c r="BC3" s="387">
        <f t="shared" si="1"/>
        <v>0</v>
      </c>
      <c r="BD3" s="387">
        <f t="shared" si="2"/>
        <v>952.04719999999998</v>
      </c>
      <c r="BE3" s="387">
        <f t="shared" si="3"/>
        <v>222.65620000000001</v>
      </c>
      <c r="BF3" s="387">
        <f t="shared" si="4"/>
        <v>1833.4586400000001</v>
      </c>
      <c r="BG3" s="387">
        <f t="shared" si="5"/>
        <v>110.71387600000001</v>
      </c>
      <c r="BH3" s="387">
        <f t="shared" si="6"/>
        <v>75.242440000000002</v>
      </c>
      <c r="BI3" s="387">
        <f t="shared" si="7"/>
        <v>84.993245999999999</v>
      </c>
      <c r="BJ3" s="387">
        <f t="shared" si="8"/>
        <v>41.460120000000003</v>
      </c>
      <c r="BK3" s="387">
        <f t="shared" si="9"/>
        <v>0</v>
      </c>
      <c r="BL3" s="387">
        <f t="shared" ref="BL3:BL66" si="32">IF(AT3=1,SUM(BD3:BK3),0)</f>
        <v>3320.5717220000001</v>
      </c>
      <c r="BM3" s="387">
        <f t="shared" ref="BM3:BM66" si="33">IF(AT3=3,SUM(BD3:BK3),0)</f>
        <v>0</v>
      </c>
      <c r="BN3" s="387">
        <f t="shared" si="10"/>
        <v>2912.5</v>
      </c>
      <c r="BO3" s="387">
        <f t="shared" si="11"/>
        <v>0</v>
      </c>
      <c r="BP3" s="387">
        <f t="shared" si="12"/>
        <v>952.04719999999998</v>
      </c>
      <c r="BQ3" s="387">
        <f t="shared" si="13"/>
        <v>222.65620000000001</v>
      </c>
      <c r="BR3" s="387">
        <f t="shared" si="14"/>
        <v>1833.4586400000001</v>
      </c>
      <c r="BS3" s="387">
        <f t="shared" si="15"/>
        <v>110.71387600000001</v>
      </c>
      <c r="BT3" s="387">
        <f t="shared" si="16"/>
        <v>0</v>
      </c>
      <c r="BU3" s="387">
        <f t="shared" si="17"/>
        <v>84.993245999999999</v>
      </c>
      <c r="BV3" s="387">
        <f t="shared" si="18"/>
        <v>52.209040000000002</v>
      </c>
      <c r="BW3" s="387">
        <f t="shared" si="19"/>
        <v>0</v>
      </c>
      <c r="BX3" s="387">
        <f t="shared" ref="BX3:BX66" si="34">IF(AT3=1,SUM(BP3:BW3),0)</f>
        <v>3256.0782020000001</v>
      </c>
      <c r="BY3" s="387">
        <f t="shared" ref="BY3:BY66" si="35">IF(AT3=3,SUM(BP3:BW3),0)</f>
        <v>0</v>
      </c>
      <c r="BZ3" s="387">
        <f t="shared" ref="BZ3:BZ66" si="36">IF(AT3=1,BN3-BB3,0)</f>
        <v>0</v>
      </c>
      <c r="CA3" s="387">
        <f t="shared" ref="CA3:CA66" si="37">IF(AT3=3,BO3-BC3,0)</f>
        <v>0</v>
      </c>
      <c r="CB3" s="387">
        <f t="shared" ref="CB3:CB66" si="38">BP3-BD3</f>
        <v>0</v>
      </c>
      <c r="CC3" s="387">
        <f t="shared" si="20"/>
        <v>0</v>
      </c>
      <c r="CD3" s="387">
        <f t="shared" si="21"/>
        <v>0</v>
      </c>
      <c r="CE3" s="387">
        <f t="shared" si="22"/>
        <v>0</v>
      </c>
      <c r="CF3" s="387">
        <f t="shared" si="23"/>
        <v>-75.242440000000002</v>
      </c>
      <c r="CG3" s="387">
        <f t="shared" si="24"/>
        <v>0</v>
      </c>
      <c r="CH3" s="387">
        <f t="shared" si="25"/>
        <v>10.748919999999995</v>
      </c>
      <c r="CI3" s="387">
        <f t="shared" si="26"/>
        <v>0</v>
      </c>
      <c r="CJ3" s="387">
        <f t="shared" ref="CJ3:CJ66" si="39">IF(AT3=1,SUM(CB3:CI3),0)</f>
        <v>-64.493520000000004</v>
      </c>
      <c r="CK3" s="387" t="str">
        <f t="shared" ref="CK3:CK66" si="40">IF(AT3=3,SUM(CB3:CI3),"")</f>
        <v/>
      </c>
      <c r="CL3" s="387" t="str">
        <f t="shared" ref="CL3:CL66" si="41">IF(OR(N3="NG",AG3="D"),(T3+U3),"")</f>
        <v/>
      </c>
      <c r="CM3" s="387" t="str">
        <f t="shared" ref="CM3:CM66" si="42">IF(OR(N3="NG",AG3="D"),V3,"")</f>
        <v/>
      </c>
      <c r="CN3" s="387" t="str">
        <f t="shared" ref="CN3:CN66" si="43">E3 &amp; "-" &amp; F3</f>
        <v>0302-00</v>
      </c>
    </row>
    <row r="4" spans="1:92" ht="15.75" thickBot="1" x14ac:dyDescent="0.3">
      <c r="A4" s="376" t="s">
        <v>161</v>
      </c>
      <c r="B4" s="376" t="s">
        <v>162</v>
      </c>
      <c r="C4" s="376" t="s">
        <v>189</v>
      </c>
      <c r="D4" s="376" t="s">
        <v>164</v>
      </c>
      <c r="E4" s="376" t="s">
        <v>165</v>
      </c>
      <c r="F4" s="377" t="s">
        <v>166</v>
      </c>
      <c r="G4" s="376" t="s">
        <v>167</v>
      </c>
      <c r="H4" s="378"/>
      <c r="I4" s="378"/>
      <c r="J4" s="376" t="s">
        <v>168</v>
      </c>
      <c r="K4" s="376" t="s">
        <v>169</v>
      </c>
      <c r="L4" s="376" t="s">
        <v>170</v>
      </c>
      <c r="M4" s="376" t="s">
        <v>171</v>
      </c>
      <c r="N4" s="376" t="s">
        <v>172</v>
      </c>
      <c r="O4" s="379">
        <v>1</v>
      </c>
      <c r="P4" s="385">
        <v>0.4</v>
      </c>
      <c r="Q4" s="385">
        <v>0.4</v>
      </c>
      <c r="R4" s="380">
        <v>80</v>
      </c>
      <c r="S4" s="385">
        <v>0.4</v>
      </c>
      <c r="T4" s="380">
        <v>0</v>
      </c>
      <c r="U4" s="380">
        <v>0</v>
      </c>
      <c r="V4" s="380">
        <v>0</v>
      </c>
      <c r="W4" s="380">
        <v>22771.84</v>
      </c>
      <c r="X4" s="380">
        <v>9584.39</v>
      </c>
      <c r="Y4" s="380">
        <v>22771.84</v>
      </c>
      <c r="Z4" s="380">
        <v>9488.75</v>
      </c>
      <c r="AA4" s="376" t="s">
        <v>190</v>
      </c>
      <c r="AB4" s="376" t="s">
        <v>191</v>
      </c>
      <c r="AC4" s="376" t="s">
        <v>192</v>
      </c>
      <c r="AD4" s="376" t="s">
        <v>193</v>
      </c>
      <c r="AE4" s="376" t="s">
        <v>169</v>
      </c>
      <c r="AF4" s="376" t="s">
        <v>177</v>
      </c>
      <c r="AG4" s="376" t="s">
        <v>178</v>
      </c>
      <c r="AH4" s="381">
        <v>27.37</v>
      </c>
      <c r="AI4" s="379">
        <v>1764</v>
      </c>
      <c r="AJ4" s="376" t="s">
        <v>179</v>
      </c>
      <c r="AK4" s="376" t="s">
        <v>180</v>
      </c>
      <c r="AL4" s="376" t="s">
        <v>181</v>
      </c>
      <c r="AM4" s="376" t="s">
        <v>182</v>
      </c>
      <c r="AN4" s="376" t="s">
        <v>68</v>
      </c>
      <c r="AO4" s="379">
        <v>80</v>
      </c>
      <c r="AP4" s="385">
        <v>1</v>
      </c>
      <c r="AQ4" s="385">
        <v>0.4</v>
      </c>
      <c r="AR4" s="383" t="s">
        <v>183</v>
      </c>
      <c r="AS4" s="387">
        <f t="shared" si="27"/>
        <v>0.4</v>
      </c>
      <c r="AT4">
        <f t="shared" si="28"/>
        <v>1</v>
      </c>
      <c r="AU4" s="387">
        <f>IF(AT4=0,"",IF(AND(AT4=1,M4="F",SUMIF(C2:C1334,C4,AS2:AS1334)&lt;=1),SUMIF(C2:C1334,C4,AS2:AS1334),IF(AND(AT4=1,M4="F",SUMIF(C2:C1334,C4,AS2:AS1334)&gt;1),1,"")))</f>
        <v>1</v>
      </c>
      <c r="AV4" s="387" t="str">
        <f>IF(AT4=0,"",IF(AND(AT4=3,M4="F",SUMIF(C2:C1334,C4,AS2:AS1334)&lt;=1),SUMIF(C2:C1334,C4,AS2:AS1334),IF(AND(AT4=3,M4="F",SUMIF(C2:C1334,C4,AS2:AS1334)&gt;1),1,"")))</f>
        <v/>
      </c>
      <c r="AW4" s="387">
        <f>SUMIF(C2:C1334,C4,O2:O1334)</f>
        <v>4</v>
      </c>
      <c r="AX4" s="387">
        <f>IF(AND(M4="F",AS4&lt;&gt;0),SUMIF(C2:C1334,C4,W2:W1334),0)</f>
        <v>56929.599999999999</v>
      </c>
      <c r="AY4" s="387">
        <f t="shared" si="29"/>
        <v>22771.84</v>
      </c>
      <c r="AZ4" s="387" t="str">
        <f t="shared" si="30"/>
        <v/>
      </c>
      <c r="BA4" s="387">
        <f t="shared" si="31"/>
        <v>0</v>
      </c>
      <c r="BB4" s="387">
        <f t="shared" si="0"/>
        <v>4660</v>
      </c>
      <c r="BC4" s="387">
        <f t="shared" si="1"/>
        <v>0</v>
      </c>
      <c r="BD4" s="387">
        <f t="shared" si="2"/>
        <v>1411.8540800000001</v>
      </c>
      <c r="BE4" s="387">
        <f t="shared" si="3"/>
        <v>330.19168000000002</v>
      </c>
      <c r="BF4" s="387">
        <f t="shared" si="4"/>
        <v>2718.9576959999999</v>
      </c>
      <c r="BG4" s="387">
        <f t="shared" si="5"/>
        <v>164.18496640000001</v>
      </c>
      <c r="BH4" s="387">
        <f t="shared" si="6"/>
        <v>111.582016</v>
      </c>
      <c r="BI4" s="387">
        <f t="shared" si="7"/>
        <v>126.04213439999999</v>
      </c>
      <c r="BJ4" s="387">
        <f t="shared" si="8"/>
        <v>61.483968000000004</v>
      </c>
      <c r="BK4" s="387">
        <f t="shared" si="9"/>
        <v>0</v>
      </c>
      <c r="BL4" s="387">
        <f t="shared" si="32"/>
        <v>4924.2965408</v>
      </c>
      <c r="BM4" s="387">
        <f t="shared" si="33"/>
        <v>0</v>
      </c>
      <c r="BN4" s="387">
        <f t="shared" si="10"/>
        <v>4660</v>
      </c>
      <c r="BO4" s="387">
        <f t="shared" si="11"/>
        <v>0</v>
      </c>
      <c r="BP4" s="387">
        <f t="shared" si="12"/>
        <v>1411.8540800000001</v>
      </c>
      <c r="BQ4" s="387">
        <f t="shared" si="13"/>
        <v>330.19168000000002</v>
      </c>
      <c r="BR4" s="387">
        <f t="shared" si="14"/>
        <v>2718.9576959999999</v>
      </c>
      <c r="BS4" s="387">
        <f t="shared" si="15"/>
        <v>164.18496640000001</v>
      </c>
      <c r="BT4" s="387">
        <f t="shared" si="16"/>
        <v>0</v>
      </c>
      <c r="BU4" s="387">
        <f t="shared" si="17"/>
        <v>126.04213439999999</v>
      </c>
      <c r="BV4" s="387">
        <f t="shared" si="18"/>
        <v>77.424256</v>
      </c>
      <c r="BW4" s="387">
        <f t="shared" si="19"/>
        <v>0</v>
      </c>
      <c r="BX4" s="387">
        <f t="shared" si="34"/>
        <v>4828.6548128000004</v>
      </c>
      <c r="BY4" s="387">
        <f t="shared" si="35"/>
        <v>0</v>
      </c>
      <c r="BZ4" s="387">
        <f t="shared" si="36"/>
        <v>0</v>
      </c>
      <c r="CA4" s="387">
        <f t="shared" si="37"/>
        <v>0</v>
      </c>
      <c r="CB4" s="387">
        <f t="shared" si="38"/>
        <v>0</v>
      </c>
      <c r="CC4" s="387">
        <f t="shared" si="20"/>
        <v>0</v>
      </c>
      <c r="CD4" s="387">
        <f t="shared" si="21"/>
        <v>0</v>
      </c>
      <c r="CE4" s="387">
        <f t="shared" si="22"/>
        <v>0</v>
      </c>
      <c r="CF4" s="387">
        <f t="shared" si="23"/>
        <v>-111.582016</v>
      </c>
      <c r="CG4" s="387">
        <f t="shared" si="24"/>
        <v>0</v>
      </c>
      <c r="CH4" s="387">
        <f t="shared" si="25"/>
        <v>15.940287999999992</v>
      </c>
      <c r="CI4" s="387">
        <f t="shared" si="26"/>
        <v>0</v>
      </c>
      <c r="CJ4" s="387">
        <f t="shared" si="39"/>
        <v>-95.641728000000001</v>
      </c>
      <c r="CK4" s="387" t="str">
        <f t="shared" si="40"/>
        <v/>
      </c>
      <c r="CL4" s="387" t="str">
        <f t="shared" si="41"/>
        <v/>
      </c>
      <c r="CM4" s="387" t="str">
        <f t="shared" si="42"/>
        <v/>
      </c>
      <c r="CN4" s="387" t="str">
        <f t="shared" si="43"/>
        <v>0302-00</v>
      </c>
    </row>
    <row r="5" spans="1:92" ht="15.75" thickBot="1" x14ac:dyDescent="0.3">
      <c r="A5" s="376" t="s">
        <v>161</v>
      </c>
      <c r="B5" s="376" t="s">
        <v>162</v>
      </c>
      <c r="C5" s="376" t="s">
        <v>194</v>
      </c>
      <c r="D5" s="376" t="s">
        <v>164</v>
      </c>
      <c r="E5" s="376" t="s">
        <v>165</v>
      </c>
      <c r="F5" s="377" t="s">
        <v>166</v>
      </c>
      <c r="G5" s="376" t="s">
        <v>167</v>
      </c>
      <c r="H5" s="378"/>
      <c r="I5" s="378"/>
      <c r="J5" s="376" t="s">
        <v>168</v>
      </c>
      <c r="K5" s="376" t="s">
        <v>169</v>
      </c>
      <c r="L5" s="376" t="s">
        <v>170</v>
      </c>
      <c r="M5" s="376" t="s">
        <v>171</v>
      </c>
      <c r="N5" s="376" t="s">
        <v>172</v>
      </c>
      <c r="O5" s="379">
        <v>1</v>
      </c>
      <c r="P5" s="385">
        <v>0.4</v>
      </c>
      <c r="Q5" s="385">
        <v>0.4</v>
      </c>
      <c r="R5" s="380">
        <v>80</v>
      </c>
      <c r="S5" s="385">
        <v>0.4</v>
      </c>
      <c r="T5" s="380">
        <v>0</v>
      </c>
      <c r="U5" s="380">
        <v>0</v>
      </c>
      <c r="V5" s="380">
        <v>0</v>
      </c>
      <c r="W5" s="380">
        <v>28845.439999999999</v>
      </c>
      <c r="X5" s="380">
        <v>10897.8</v>
      </c>
      <c r="Y5" s="380">
        <v>28845.439999999999</v>
      </c>
      <c r="Z5" s="380">
        <v>10776.66</v>
      </c>
      <c r="AA5" s="376" t="s">
        <v>195</v>
      </c>
      <c r="AB5" s="376" t="s">
        <v>196</v>
      </c>
      <c r="AC5" s="376" t="s">
        <v>197</v>
      </c>
      <c r="AD5" s="376" t="s">
        <v>198</v>
      </c>
      <c r="AE5" s="376" t="s">
        <v>169</v>
      </c>
      <c r="AF5" s="376" t="s">
        <v>177</v>
      </c>
      <c r="AG5" s="376" t="s">
        <v>178</v>
      </c>
      <c r="AH5" s="381">
        <v>34.67</v>
      </c>
      <c r="AI5" s="381">
        <v>75673.8</v>
      </c>
      <c r="AJ5" s="376" t="s">
        <v>179</v>
      </c>
      <c r="AK5" s="376" t="s">
        <v>180</v>
      </c>
      <c r="AL5" s="376" t="s">
        <v>181</v>
      </c>
      <c r="AM5" s="376" t="s">
        <v>182</v>
      </c>
      <c r="AN5" s="376" t="s">
        <v>68</v>
      </c>
      <c r="AO5" s="379">
        <v>80</v>
      </c>
      <c r="AP5" s="385">
        <v>1</v>
      </c>
      <c r="AQ5" s="385">
        <v>0.4</v>
      </c>
      <c r="AR5" s="383" t="s">
        <v>183</v>
      </c>
      <c r="AS5" s="387">
        <f t="shared" si="27"/>
        <v>0.4</v>
      </c>
      <c r="AT5">
        <f t="shared" si="28"/>
        <v>1</v>
      </c>
      <c r="AU5" s="387">
        <f>IF(AT5=0,"",IF(AND(AT5=1,M5="F",SUMIF(C2:C1334,C5,AS2:AS1334)&lt;=1),SUMIF(C2:C1334,C5,AS2:AS1334),IF(AND(AT5=1,M5="F",SUMIF(C2:C1334,C5,AS2:AS1334)&gt;1),1,"")))</f>
        <v>1</v>
      </c>
      <c r="AV5" s="387" t="str">
        <f>IF(AT5=0,"",IF(AND(AT5=3,M5="F",SUMIF(C2:C1334,C5,AS2:AS1334)&lt;=1),SUMIF(C2:C1334,C5,AS2:AS1334),IF(AND(AT5=3,M5="F",SUMIF(C2:C1334,C5,AS2:AS1334)&gt;1),1,"")))</f>
        <v/>
      </c>
      <c r="AW5" s="387">
        <f>SUMIF(C2:C1334,C5,O2:O1334)</f>
        <v>4</v>
      </c>
      <c r="AX5" s="387">
        <f>IF(AND(M5="F",AS5&lt;&gt;0),SUMIF(C2:C1334,C5,W2:W1334),0)</f>
        <v>72113.600000000006</v>
      </c>
      <c r="AY5" s="387">
        <f t="shared" si="29"/>
        <v>28845.439999999999</v>
      </c>
      <c r="AZ5" s="387" t="str">
        <f t="shared" si="30"/>
        <v/>
      </c>
      <c r="BA5" s="387">
        <f t="shared" si="31"/>
        <v>0</v>
      </c>
      <c r="BB5" s="387">
        <f t="shared" si="0"/>
        <v>4660</v>
      </c>
      <c r="BC5" s="387">
        <f t="shared" si="1"/>
        <v>0</v>
      </c>
      <c r="BD5" s="387">
        <f t="shared" si="2"/>
        <v>1788.4172799999999</v>
      </c>
      <c r="BE5" s="387">
        <f t="shared" si="3"/>
        <v>418.25887999999998</v>
      </c>
      <c r="BF5" s="387">
        <f t="shared" si="4"/>
        <v>3444.145536</v>
      </c>
      <c r="BG5" s="387">
        <f t="shared" si="5"/>
        <v>207.97562239999999</v>
      </c>
      <c r="BH5" s="387">
        <f t="shared" si="6"/>
        <v>141.34265599999998</v>
      </c>
      <c r="BI5" s="387">
        <f t="shared" si="7"/>
        <v>159.65951039999999</v>
      </c>
      <c r="BJ5" s="387">
        <f t="shared" si="8"/>
        <v>77.882688000000002</v>
      </c>
      <c r="BK5" s="387">
        <f t="shared" si="9"/>
        <v>0</v>
      </c>
      <c r="BL5" s="387">
        <f t="shared" si="32"/>
        <v>6237.6821727999995</v>
      </c>
      <c r="BM5" s="387">
        <f t="shared" si="33"/>
        <v>0</v>
      </c>
      <c r="BN5" s="387">
        <f t="shared" si="10"/>
        <v>4660</v>
      </c>
      <c r="BO5" s="387">
        <f t="shared" si="11"/>
        <v>0</v>
      </c>
      <c r="BP5" s="387">
        <f t="shared" si="12"/>
        <v>1788.4172799999999</v>
      </c>
      <c r="BQ5" s="387">
        <f t="shared" si="13"/>
        <v>418.25887999999998</v>
      </c>
      <c r="BR5" s="387">
        <f t="shared" si="14"/>
        <v>3444.145536</v>
      </c>
      <c r="BS5" s="387">
        <f t="shared" si="15"/>
        <v>207.97562239999999</v>
      </c>
      <c r="BT5" s="387">
        <f t="shared" si="16"/>
        <v>0</v>
      </c>
      <c r="BU5" s="387">
        <f t="shared" si="17"/>
        <v>159.65951039999999</v>
      </c>
      <c r="BV5" s="387">
        <f t="shared" si="18"/>
        <v>98.074495999999996</v>
      </c>
      <c r="BW5" s="387">
        <f t="shared" si="19"/>
        <v>0</v>
      </c>
      <c r="BX5" s="387">
        <f t="shared" si="34"/>
        <v>6116.5313248000002</v>
      </c>
      <c r="BY5" s="387">
        <f t="shared" si="35"/>
        <v>0</v>
      </c>
      <c r="BZ5" s="387">
        <f t="shared" si="36"/>
        <v>0</v>
      </c>
      <c r="CA5" s="387">
        <f t="shared" si="37"/>
        <v>0</v>
      </c>
      <c r="CB5" s="387">
        <f t="shared" si="38"/>
        <v>0</v>
      </c>
      <c r="CC5" s="387">
        <f t="shared" si="20"/>
        <v>0</v>
      </c>
      <c r="CD5" s="387">
        <f t="shared" si="21"/>
        <v>0</v>
      </c>
      <c r="CE5" s="387">
        <f t="shared" si="22"/>
        <v>0</v>
      </c>
      <c r="CF5" s="387">
        <f t="shared" si="23"/>
        <v>-141.34265599999998</v>
      </c>
      <c r="CG5" s="387">
        <f t="shared" si="24"/>
        <v>0</v>
      </c>
      <c r="CH5" s="387">
        <f t="shared" si="25"/>
        <v>20.191807999999991</v>
      </c>
      <c r="CI5" s="387">
        <f t="shared" si="26"/>
        <v>0</v>
      </c>
      <c r="CJ5" s="387">
        <f t="shared" si="39"/>
        <v>-121.15084799999998</v>
      </c>
      <c r="CK5" s="387" t="str">
        <f t="shared" si="40"/>
        <v/>
      </c>
      <c r="CL5" s="387" t="str">
        <f t="shared" si="41"/>
        <v/>
      </c>
      <c r="CM5" s="387" t="str">
        <f t="shared" si="42"/>
        <v/>
      </c>
      <c r="CN5" s="387" t="str">
        <f t="shared" si="43"/>
        <v>0302-00</v>
      </c>
    </row>
    <row r="6" spans="1:92" ht="15.75" thickBot="1" x14ac:dyDescent="0.3">
      <c r="A6" s="376" t="s">
        <v>161</v>
      </c>
      <c r="B6" s="376" t="s">
        <v>162</v>
      </c>
      <c r="C6" s="376" t="s">
        <v>199</v>
      </c>
      <c r="D6" s="376" t="s">
        <v>164</v>
      </c>
      <c r="E6" s="376" t="s">
        <v>165</v>
      </c>
      <c r="F6" s="377" t="s">
        <v>166</v>
      </c>
      <c r="G6" s="376" t="s">
        <v>167</v>
      </c>
      <c r="H6" s="378"/>
      <c r="I6" s="378"/>
      <c r="J6" s="376" t="s">
        <v>168</v>
      </c>
      <c r="K6" s="376" t="s">
        <v>169</v>
      </c>
      <c r="L6" s="376" t="s">
        <v>170</v>
      </c>
      <c r="M6" s="376" t="s">
        <v>171</v>
      </c>
      <c r="N6" s="376" t="s">
        <v>172</v>
      </c>
      <c r="O6" s="379">
        <v>1</v>
      </c>
      <c r="P6" s="385">
        <v>0.4</v>
      </c>
      <c r="Q6" s="385">
        <v>0.4</v>
      </c>
      <c r="R6" s="380">
        <v>80</v>
      </c>
      <c r="S6" s="385">
        <v>0.4</v>
      </c>
      <c r="T6" s="380">
        <v>0</v>
      </c>
      <c r="U6" s="380">
        <v>0</v>
      </c>
      <c r="V6" s="380">
        <v>0</v>
      </c>
      <c r="W6" s="380">
        <v>25958.400000000001</v>
      </c>
      <c r="X6" s="380">
        <v>10273.49</v>
      </c>
      <c r="Y6" s="380">
        <v>25958.400000000001</v>
      </c>
      <c r="Z6" s="380">
        <v>10164.469999999999</v>
      </c>
      <c r="AA6" s="376" t="s">
        <v>200</v>
      </c>
      <c r="AB6" s="376" t="s">
        <v>201</v>
      </c>
      <c r="AC6" s="376" t="s">
        <v>202</v>
      </c>
      <c r="AD6" s="376" t="s">
        <v>170</v>
      </c>
      <c r="AE6" s="376" t="s">
        <v>169</v>
      </c>
      <c r="AF6" s="376" t="s">
        <v>177</v>
      </c>
      <c r="AG6" s="376" t="s">
        <v>178</v>
      </c>
      <c r="AH6" s="381">
        <v>31.2</v>
      </c>
      <c r="AI6" s="381">
        <v>36521.800000000003</v>
      </c>
      <c r="AJ6" s="376" t="s">
        <v>179</v>
      </c>
      <c r="AK6" s="376" t="s">
        <v>180</v>
      </c>
      <c r="AL6" s="376" t="s">
        <v>181</v>
      </c>
      <c r="AM6" s="376" t="s">
        <v>182</v>
      </c>
      <c r="AN6" s="376" t="s">
        <v>68</v>
      </c>
      <c r="AO6" s="379">
        <v>80</v>
      </c>
      <c r="AP6" s="385">
        <v>1</v>
      </c>
      <c r="AQ6" s="385">
        <v>0.4</v>
      </c>
      <c r="AR6" s="383" t="s">
        <v>183</v>
      </c>
      <c r="AS6" s="387">
        <f t="shared" si="27"/>
        <v>0.4</v>
      </c>
      <c r="AT6">
        <f t="shared" si="28"/>
        <v>1</v>
      </c>
      <c r="AU6" s="387">
        <f>IF(AT6=0,"",IF(AND(AT6=1,M6="F",SUMIF(C2:C1334,C6,AS2:AS1334)&lt;=1),SUMIF(C2:C1334,C6,AS2:AS1334),IF(AND(AT6=1,M6="F",SUMIF(C2:C1334,C6,AS2:AS1334)&gt;1),1,"")))</f>
        <v>1</v>
      </c>
      <c r="AV6" s="387" t="str">
        <f>IF(AT6=0,"",IF(AND(AT6=3,M6="F",SUMIF(C2:C1334,C6,AS2:AS1334)&lt;=1),SUMIF(C2:C1334,C6,AS2:AS1334),IF(AND(AT6=3,M6="F",SUMIF(C2:C1334,C6,AS2:AS1334)&gt;1),1,"")))</f>
        <v/>
      </c>
      <c r="AW6" s="387">
        <f>SUMIF(C2:C1334,C6,O2:O1334)</f>
        <v>4</v>
      </c>
      <c r="AX6" s="387">
        <f>IF(AND(M6="F",AS6&lt;&gt;0),SUMIF(C2:C1334,C6,W2:W1334),0)</f>
        <v>64896</v>
      </c>
      <c r="AY6" s="387">
        <f t="shared" si="29"/>
        <v>25958.400000000001</v>
      </c>
      <c r="AZ6" s="387" t="str">
        <f t="shared" si="30"/>
        <v/>
      </c>
      <c r="BA6" s="387">
        <f t="shared" si="31"/>
        <v>0</v>
      </c>
      <c r="BB6" s="387">
        <f t="shared" si="0"/>
        <v>4660</v>
      </c>
      <c r="BC6" s="387">
        <f t="shared" si="1"/>
        <v>0</v>
      </c>
      <c r="BD6" s="387">
        <f t="shared" si="2"/>
        <v>1609.4208000000001</v>
      </c>
      <c r="BE6" s="387">
        <f t="shared" si="3"/>
        <v>376.39680000000004</v>
      </c>
      <c r="BF6" s="387">
        <f t="shared" si="4"/>
        <v>3099.4329600000005</v>
      </c>
      <c r="BG6" s="387">
        <f t="shared" si="5"/>
        <v>187.16006400000001</v>
      </c>
      <c r="BH6" s="387">
        <f t="shared" si="6"/>
        <v>127.19616000000001</v>
      </c>
      <c r="BI6" s="387">
        <f t="shared" si="7"/>
        <v>143.679744</v>
      </c>
      <c r="BJ6" s="387">
        <f t="shared" si="8"/>
        <v>70.087680000000006</v>
      </c>
      <c r="BK6" s="387">
        <f t="shared" si="9"/>
        <v>0</v>
      </c>
      <c r="BL6" s="387">
        <f t="shared" si="32"/>
        <v>5613.3742080000002</v>
      </c>
      <c r="BM6" s="387">
        <f t="shared" si="33"/>
        <v>0</v>
      </c>
      <c r="BN6" s="387">
        <f t="shared" si="10"/>
        <v>4660</v>
      </c>
      <c r="BO6" s="387">
        <f t="shared" si="11"/>
        <v>0</v>
      </c>
      <c r="BP6" s="387">
        <f t="shared" si="12"/>
        <v>1609.4208000000001</v>
      </c>
      <c r="BQ6" s="387">
        <f t="shared" si="13"/>
        <v>376.39680000000004</v>
      </c>
      <c r="BR6" s="387">
        <f t="shared" si="14"/>
        <v>3099.4329600000005</v>
      </c>
      <c r="BS6" s="387">
        <f t="shared" si="15"/>
        <v>187.16006400000001</v>
      </c>
      <c r="BT6" s="387">
        <f t="shared" si="16"/>
        <v>0</v>
      </c>
      <c r="BU6" s="387">
        <f t="shared" si="17"/>
        <v>143.679744</v>
      </c>
      <c r="BV6" s="387">
        <f t="shared" si="18"/>
        <v>88.258560000000003</v>
      </c>
      <c r="BW6" s="387">
        <f t="shared" si="19"/>
        <v>0</v>
      </c>
      <c r="BX6" s="387">
        <f t="shared" si="34"/>
        <v>5504.3489280000003</v>
      </c>
      <c r="BY6" s="387">
        <f t="shared" si="35"/>
        <v>0</v>
      </c>
      <c r="BZ6" s="387">
        <f t="shared" si="36"/>
        <v>0</v>
      </c>
      <c r="CA6" s="387">
        <f t="shared" si="37"/>
        <v>0</v>
      </c>
      <c r="CB6" s="387">
        <f t="shared" si="38"/>
        <v>0</v>
      </c>
      <c r="CC6" s="387">
        <f t="shared" si="20"/>
        <v>0</v>
      </c>
      <c r="CD6" s="387">
        <f t="shared" si="21"/>
        <v>0</v>
      </c>
      <c r="CE6" s="387">
        <f t="shared" si="22"/>
        <v>0</v>
      </c>
      <c r="CF6" s="387">
        <f t="shared" si="23"/>
        <v>-127.19616000000001</v>
      </c>
      <c r="CG6" s="387">
        <f t="shared" si="24"/>
        <v>0</v>
      </c>
      <c r="CH6" s="387">
        <f t="shared" si="25"/>
        <v>18.170879999999993</v>
      </c>
      <c r="CI6" s="387">
        <f t="shared" si="26"/>
        <v>0</v>
      </c>
      <c r="CJ6" s="387">
        <f t="shared" si="39"/>
        <v>-109.02528000000001</v>
      </c>
      <c r="CK6" s="387" t="str">
        <f t="shared" si="40"/>
        <v/>
      </c>
      <c r="CL6" s="387" t="str">
        <f t="shared" si="41"/>
        <v/>
      </c>
      <c r="CM6" s="387" t="str">
        <f t="shared" si="42"/>
        <v/>
      </c>
      <c r="CN6" s="387" t="str">
        <f t="shared" si="43"/>
        <v>0302-00</v>
      </c>
    </row>
    <row r="7" spans="1:92" ht="15.75" thickBot="1" x14ac:dyDescent="0.3">
      <c r="A7" s="376" t="s">
        <v>161</v>
      </c>
      <c r="B7" s="376" t="s">
        <v>162</v>
      </c>
      <c r="C7" s="376" t="s">
        <v>203</v>
      </c>
      <c r="D7" s="376" t="s">
        <v>204</v>
      </c>
      <c r="E7" s="376" t="s">
        <v>165</v>
      </c>
      <c r="F7" s="377" t="s">
        <v>166</v>
      </c>
      <c r="G7" s="376" t="s">
        <v>167</v>
      </c>
      <c r="H7" s="378"/>
      <c r="I7" s="378"/>
      <c r="J7" s="376" t="s">
        <v>205</v>
      </c>
      <c r="K7" s="376" t="s">
        <v>206</v>
      </c>
      <c r="L7" s="376" t="s">
        <v>181</v>
      </c>
      <c r="M7" s="376" t="s">
        <v>171</v>
      </c>
      <c r="N7" s="376" t="s">
        <v>172</v>
      </c>
      <c r="O7" s="379">
        <v>1</v>
      </c>
      <c r="P7" s="385">
        <v>0.35</v>
      </c>
      <c r="Q7" s="385">
        <v>0.35</v>
      </c>
      <c r="R7" s="380">
        <v>80</v>
      </c>
      <c r="S7" s="385">
        <v>0.35</v>
      </c>
      <c r="T7" s="380">
        <v>0</v>
      </c>
      <c r="U7" s="380">
        <v>0</v>
      </c>
      <c r="V7" s="380">
        <v>0</v>
      </c>
      <c r="W7" s="380">
        <v>28020.720000000001</v>
      </c>
      <c r="X7" s="380">
        <v>10136.959999999999</v>
      </c>
      <c r="Y7" s="380">
        <v>28020.720000000001</v>
      </c>
      <c r="Z7" s="380">
        <v>10019.280000000001</v>
      </c>
      <c r="AA7" s="376" t="s">
        <v>207</v>
      </c>
      <c r="AB7" s="376" t="s">
        <v>208</v>
      </c>
      <c r="AC7" s="376" t="s">
        <v>209</v>
      </c>
      <c r="AD7" s="376" t="s">
        <v>210</v>
      </c>
      <c r="AE7" s="376" t="s">
        <v>206</v>
      </c>
      <c r="AF7" s="376" t="s">
        <v>211</v>
      </c>
      <c r="AG7" s="376" t="s">
        <v>178</v>
      </c>
      <c r="AH7" s="381">
        <v>38.49</v>
      </c>
      <c r="AI7" s="379">
        <v>31638</v>
      </c>
      <c r="AJ7" s="376" t="s">
        <v>179</v>
      </c>
      <c r="AK7" s="376" t="s">
        <v>180</v>
      </c>
      <c r="AL7" s="376" t="s">
        <v>181</v>
      </c>
      <c r="AM7" s="376" t="s">
        <v>182</v>
      </c>
      <c r="AN7" s="376" t="s">
        <v>68</v>
      </c>
      <c r="AO7" s="379">
        <v>80</v>
      </c>
      <c r="AP7" s="385">
        <v>1</v>
      </c>
      <c r="AQ7" s="385">
        <v>0.35</v>
      </c>
      <c r="AR7" s="383" t="s">
        <v>183</v>
      </c>
      <c r="AS7" s="387">
        <f t="shared" si="27"/>
        <v>0.35</v>
      </c>
      <c r="AT7">
        <f t="shared" si="28"/>
        <v>1</v>
      </c>
      <c r="AU7" s="387">
        <f>IF(AT7=0,"",IF(AND(AT7=1,M7="F",SUMIF(C2:C1334,C7,AS2:AS1334)&lt;=1),SUMIF(C2:C1334,C7,AS2:AS1334),IF(AND(AT7=1,M7="F",SUMIF(C2:C1334,C7,AS2:AS1334)&gt;1),1,"")))</f>
        <v>1</v>
      </c>
      <c r="AV7" s="387" t="str">
        <f>IF(AT7=0,"",IF(AND(AT7=3,M7="F",SUMIF(C2:C1334,C7,AS2:AS1334)&lt;=1),SUMIF(C2:C1334,C7,AS2:AS1334),IF(AND(AT7=3,M7="F",SUMIF(C2:C1334,C7,AS2:AS1334)&gt;1),1,"")))</f>
        <v/>
      </c>
      <c r="AW7" s="387">
        <f>SUMIF(C2:C1334,C7,O2:O1334)</f>
        <v>4</v>
      </c>
      <c r="AX7" s="387">
        <f>IF(AND(M7="F",AS7&lt;&gt;0),SUMIF(C2:C1334,C7,W2:W1334),0)</f>
        <v>80059.199999999997</v>
      </c>
      <c r="AY7" s="387">
        <f t="shared" si="29"/>
        <v>28020.720000000001</v>
      </c>
      <c r="AZ7" s="387" t="str">
        <f t="shared" si="30"/>
        <v/>
      </c>
      <c r="BA7" s="387">
        <f t="shared" si="31"/>
        <v>0</v>
      </c>
      <c r="BB7" s="387">
        <f t="shared" si="0"/>
        <v>4077.4999999999995</v>
      </c>
      <c r="BC7" s="387">
        <f t="shared" si="1"/>
        <v>0</v>
      </c>
      <c r="BD7" s="387">
        <f t="shared" si="2"/>
        <v>1737.2846400000001</v>
      </c>
      <c r="BE7" s="387">
        <f t="shared" si="3"/>
        <v>406.30044000000004</v>
      </c>
      <c r="BF7" s="387">
        <f t="shared" si="4"/>
        <v>3345.6739680000005</v>
      </c>
      <c r="BG7" s="387">
        <f t="shared" si="5"/>
        <v>202.02939120000002</v>
      </c>
      <c r="BH7" s="387">
        <f t="shared" si="6"/>
        <v>137.30152799999999</v>
      </c>
      <c r="BI7" s="387">
        <f t="shared" si="7"/>
        <v>155.09468520000001</v>
      </c>
      <c r="BJ7" s="387">
        <f t="shared" si="8"/>
        <v>75.655944000000005</v>
      </c>
      <c r="BK7" s="387">
        <f t="shared" si="9"/>
        <v>0</v>
      </c>
      <c r="BL7" s="387">
        <f t="shared" si="32"/>
        <v>6059.3405964000003</v>
      </c>
      <c r="BM7" s="387">
        <f t="shared" si="33"/>
        <v>0</v>
      </c>
      <c r="BN7" s="387">
        <f t="shared" si="10"/>
        <v>4077.4999999999995</v>
      </c>
      <c r="BO7" s="387">
        <f t="shared" si="11"/>
        <v>0</v>
      </c>
      <c r="BP7" s="387">
        <f t="shared" si="12"/>
        <v>1737.2846400000001</v>
      </c>
      <c r="BQ7" s="387">
        <f t="shared" si="13"/>
        <v>406.30044000000004</v>
      </c>
      <c r="BR7" s="387">
        <f t="shared" si="14"/>
        <v>3345.6739680000005</v>
      </c>
      <c r="BS7" s="387">
        <f t="shared" si="15"/>
        <v>202.02939120000002</v>
      </c>
      <c r="BT7" s="387">
        <f t="shared" si="16"/>
        <v>0</v>
      </c>
      <c r="BU7" s="387">
        <f t="shared" si="17"/>
        <v>155.09468520000001</v>
      </c>
      <c r="BV7" s="387">
        <f t="shared" si="18"/>
        <v>95.270448000000002</v>
      </c>
      <c r="BW7" s="387">
        <f t="shared" si="19"/>
        <v>0</v>
      </c>
      <c r="BX7" s="387">
        <f t="shared" si="34"/>
        <v>5941.6535724000005</v>
      </c>
      <c r="BY7" s="387">
        <f t="shared" si="35"/>
        <v>0</v>
      </c>
      <c r="BZ7" s="387">
        <f t="shared" si="36"/>
        <v>0</v>
      </c>
      <c r="CA7" s="387">
        <f t="shared" si="37"/>
        <v>0</v>
      </c>
      <c r="CB7" s="387">
        <f t="shared" si="38"/>
        <v>0</v>
      </c>
      <c r="CC7" s="387">
        <f t="shared" si="20"/>
        <v>0</v>
      </c>
      <c r="CD7" s="387">
        <f t="shared" si="21"/>
        <v>0</v>
      </c>
      <c r="CE7" s="387">
        <f t="shared" si="22"/>
        <v>0</v>
      </c>
      <c r="CF7" s="387">
        <f t="shared" si="23"/>
        <v>-137.30152799999999</v>
      </c>
      <c r="CG7" s="387">
        <f t="shared" si="24"/>
        <v>0</v>
      </c>
      <c r="CH7" s="387">
        <f t="shared" si="25"/>
        <v>19.614503999999993</v>
      </c>
      <c r="CI7" s="387">
        <f t="shared" si="26"/>
        <v>0</v>
      </c>
      <c r="CJ7" s="387">
        <f t="shared" si="39"/>
        <v>-117.68702399999999</v>
      </c>
      <c r="CK7" s="387" t="str">
        <f t="shared" si="40"/>
        <v/>
      </c>
      <c r="CL7" s="387" t="str">
        <f t="shared" si="41"/>
        <v/>
      </c>
      <c r="CM7" s="387" t="str">
        <f t="shared" si="42"/>
        <v/>
      </c>
      <c r="CN7" s="387" t="str">
        <f t="shared" si="43"/>
        <v>0302-00</v>
      </c>
    </row>
    <row r="8" spans="1:92" ht="15.75" thickBot="1" x14ac:dyDescent="0.3">
      <c r="A8" s="376" t="s">
        <v>161</v>
      </c>
      <c r="B8" s="376" t="s">
        <v>162</v>
      </c>
      <c r="C8" s="376" t="s">
        <v>212</v>
      </c>
      <c r="D8" s="376" t="s">
        <v>213</v>
      </c>
      <c r="E8" s="376" t="s">
        <v>214</v>
      </c>
      <c r="F8" s="377" t="s">
        <v>166</v>
      </c>
      <c r="G8" s="376" t="s">
        <v>167</v>
      </c>
      <c r="H8" s="378"/>
      <c r="I8" s="378"/>
      <c r="J8" s="376" t="s">
        <v>215</v>
      </c>
      <c r="K8" s="376" t="s">
        <v>216</v>
      </c>
      <c r="L8" s="376" t="s">
        <v>217</v>
      </c>
      <c r="M8" s="376" t="s">
        <v>171</v>
      </c>
      <c r="N8" s="376" t="s">
        <v>172</v>
      </c>
      <c r="O8" s="379">
        <v>1</v>
      </c>
      <c r="P8" s="385">
        <v>1</v>
      </c>
      <c r="Q8" s="385">
        <v>1</v>
      </c>
      <c r="R8" s="380">
        <v>80</v>
      </c>
      <c r="S8" s="385">
        <v>1</v>
      </c>
      <c r="T8" s="380">
        <v>0</v>
      </c>
      <c r="U8" s="380">
        <v>0</v>
      </c>
      <c r="V8" s="380">
        <v>0</v>
      </c>
      <c r="W8" s="380">
        <v>38376</v>
      </c>
      <c r="X8" s="380">
        <v>19948.79</v>
      </c>
      <c r="Y8" s="380">
        <v>38376</v>
      </c>
      <c r="Z8" s="380">
        <v>19787.61</v>
      </c>
      <c r="AA8" s="376" t="s">
        <v>218</v>
      </c>
      <c r="AB8" s="376" t="s">
        <v>219</v>
      </c>
      <c r="AC8" s="376" t="s">
        <v>220</v>
      </c>
      <c r="AD8" s="376" t="s">
        <v>181</v>
      </c>
      <c r="AE8" s="376" t="s">
        <v>216</v>
      </c>
      <c r="AF8" s="376" t="s">
        <v>221</v>
      </c>
      <c r="AG8" s="376" t="s">
        <v>178</v>
      </c>
      <c r="AH8" s="381">
        <v>18.45</v>
      </c>
      <c r="AI8" s="381">
        <v>9585.2000000000007</v>
      </c>
      <c r="AJ8" s="376" t="s">
        <v>179</v>
      </c>
      <c r="AK8" s="376" t="s">
        <v>180</v>
      </c>
      <c r="AL8" s="376" t="s">
        <v>181</v>
      </c>
      <c r="AM8" s="376" t="s">
        <v>182</v>
      </c>
      <c r="AN8" s="376" t="s">
        <v>68</v>
      </c>
      <c r="AO8" s="379">
        <v>80</v>
      </c>
      <c r="AP8" s="385">
        <v>1</v>
      </c>
      <c r="AQ8" s="385">
        <v>1</v>
      </c>
      <c r="AR8" s="383" t="s">
        <v>183</v>
      </c>
      <c r="AS8" s="387">
        <f t="shared" si="27"/>
        <v>1</v>
      </c>
      <c r="AT8">
        <f t="shared" si="28"/>
        <v>1</v>
      </c>
      <c r="AU8" s="387">
        <f>IF(AT8=0,"",IF(AND(AT8=1,M8="F",SUMIF(C2:C1334,C8,AS2:AS1334)&lt;=1),SUMIF(C2:C1334,C8,AS2:AS1334),IF(AND(AT8=1,M8="F",SUMIF(C2:C1334,C8,AS2:AS1334)&gt;1),1,"")))</f>
        <v>1</v>
      </c>
      <c r="AV8" s="387" t="str">
        <f>IF(AT8=0,"",IF(AND(AT8=3,M8="F",SUMIF(C2:C1334,C8,AS2:AS1334)&lt;=1),SUMIF(C2:C1334,C8,AS2:AS1334),IF(AND(AT8=3,M8="F",SUMIF(C2:C1334,C8,AS2:AS1334)&gt;1),1,"")))</f>
        <v/>
      </c>
      <c r="AW8" s="387">
        <f>SUMIF(C2:C1334,C8,O2:O1334)</f>
        <v>3</v>
      </c>
      <c r="AX8" s="387">
        <f>IF(AND(M8="F",AS8&lt;&gt;0),SUMIF(C2:C1334,C8,W2:W1334),0)</f>
        <v>38376</v>
      </c>
      <c r="AY8" s="387">
        <f t="shared" si="29"/>
        <v>38376</v>
      </c>
      <c r="AZ8" s="387" t="str">
        <f t="shared" si="30"/>
        <v/>
      </c>
      <c r="BA8" s="387">
        <f t="shared" si="31"/>
        <v>0</v>
      </c>
      <c r="BB8" s="387">
        <f t="shared" si="0"/>
        <v>11650</v>
      </c>
      <c r="BC8" s="387">
        <f t="shared" si="1"/>
        <v>0</v>
      </c>
      <c r="BD8" s="387">
        <f t="shared" si="2"/>
        <v>2379.3119999999999</v>
      </c>
      <c r="BE8" s="387">
        <f t="shared" si="3"/>
        <v>556.452</v>
      </c>
      <c r="BF8" s="387">
        <f t="shared" si="4"/>
        <v>4582.0944</v>
      </c>
      <c r="BG8" s="387">
        <f t="shared" si="5"/>
        <v>276.69096000000002</v>
      </c>
      <c r="BH8" s="387">
        <f t="shared" si="6"/>
        <v>188.04239999999999</v>
      </c>
      <c r="BI8" s="387">
        <f t="shared" si="7"/>
        <v>212.41116</v>
      </c>
      <c r="BJ8" s="387">
        <f t="shared" si="8"/>
        <v>103.6152</v>
      </c>
      <c r="BK8" s="387">
        <f t="shared" si="9"/>
        <v>0</v>
      </c>
      <c r="BL8" s="387">
        <f t="shared" si="32"/>
        <v>8298.618120000001</v>
      </c>
      <c r="BM8" s="387">
        <f t="shared" si="33"/>
        <v>0</v>
      </c>
      <c r="BN8" s="387">
        <f t="shared" si="10"/>
        <v>11650</v>
      </c>
      <c r="BO8" s="387">
        <f t="shared" si="11"/>
        <v>0</v>
      </c>
      <c r="BP8" s="387">
        <f t="shared" si="12"/>
        <v>2379.3119999999999</v>
      </c>
      <c r="BQ8" s="387">
        <f t="shared" si="13"/>
        <v>556.452</v>
      </c>
      <c r="BR8" s="387">
        <f t="shared" si="14"/>
        <v>4582.0944</v>
      </c>
      <c r="BS8" s="387">
        <f t="shared" si="15"/>
        <v>276.69096000000002</v>
      </c>
      <c r="BT8" s="387">
        <f t="shared" si="16"/>
        <v>0</v>
      </c>
      <c r="BU8" s="387">
        <f t="shared" si="17"/>
        <v>212.41116</v>
      </c>
      <c r="BV8" s="387">
        <f t="shared" si="18"/>
        <v>130.47839999999999</v>
      </c>
      <c r="BW8" s="387">
        <f t="shared" si="19"/>
        <v>0</v>
      </c>
      <c r="BX8" s="387">
        <f t="shared" si="34"/>
        <v>8137.4389199999996</v>
      </c>
      <c r="BY8" s="387">
        <f t="shared" si="35"/>
        <v>0</v>
      </c>
      <c r="BZ8" s="387">
        <f t="shared" si="36"/>
        <v>0</v>
      </c>
      <c r="CA8" s="387">
        <f t="shared" si="37"/>
        <v>0</v>
      </c>
      <c r="CB8" s="387">
        <f t="shared" si="38"/>
        <v>0</v>
      </c>
      <c r="CC8" s="387">
        <f t="shared" si="20"/>
        <v>0</v>
      </c>
      <c r="CD8" s="387">
        <f t="shared" si="21"/>
        <v>0</v>
      </c>
      <c r="CE8" s="387">
        <f t="shared" si="22"/>
        <v>0</v>
      </c>
      <c r="CF8" s="387">
        <f t="shared" si="23"/>
        <v>-188.04239999999999</v>
      </c>
      <c r="CG8" s="387">
        <f t="shared" si="24"/>
        <v>0</v>
      </c>
      <c r="CH8" s="387">
        <f t="shared" si="25"/>
        <v>26.863199999999988</v>
      </c>
      <c r="CI8" s="387">
        <f t="shared" si="26"/>
        <v>0</v>
      </c>
      <c r="CJ8" s="387">
        <f t="shared" si="39"/>
        <v>-161.17920000000001</v>
      </c>
      <c r="CK8" s="387" t="str">
        <f t="shared" si="40"/>
        <v/>
      </c>
      <c r="CL8" s="387" t="str">
        <f t="shared" si="41"/>
        <v/>
      </c>
      <c r="CM8" s="387" t="str">
        <f t="shared" si="42"/>
        <v/>
      </c>
      <c r="CN8" s="387" t="str">
        <f t="shared" si="43"/>
        <v>0303-00</v>
      </c>
    </row>
    <row r="9" spans="1:92" ht="15.75" thickBot="1" x14ac:dyDescent="0.3">
      <c r="A9" s="376" t="s">
        <v>161</v>
      </c>
      <c r="B9" s="376" t="s">
        <v>162</v>
      </c>
      <c r="C9" s="376" t="s">
        <v>222</v>
      </c>
      <c r="D9" s="376" t="s">
        <v>223</v>
      </c>
      <c r="E9" s="376" t="s">
        <v>224</v>
      </c>
      <c r="F9" s="382" t="s">
        <v>225</v>
      </c>
      <c r="G9" s="376" t="s">
        <v>167</v>
      </c>
      <c r="H9" s="378"/>
      <c r="I9" s="378"/>
      <c r="J9" s="376" t="s">
        <v>215</v>
      </c>
      <c r="K9" s="376" t="s">
        <v>226</v>
      </c>
      <c r="L9" s="376" t="s">
        <v>170</v>
      </c>
      <c r="M9" s="376" t="s">
        <v>171</v>
      </c>
      <c r="N9" s="376" t="s">
        <v>172</v>
      </c>
      <c r="O9" s="379">
        <v>1</v>
      </c>
      <c r="P9" s="385">
        <v>1</v>
      </c>
      <c r="Q9" s="385">
        <v>1</v>
      </c>
      <c r="R9" s="380">
        <v>80</v>
      </c>
      <c r="S9" s="385">
        <v>1</v>
      </c>
      <c r="T9" s="380">
        <v>0</v>
      </c>
      <c r="U9" s="380">
        <v>0</v>
      </c>
      <c r="V9" s="380">
        <v>0</v>
      </c>
      <c r="W9" s="380">
        <v>56430.400000000001</v>
      </c>
      <c r="X9" s="380">
        <v>23853.040000000001</v>
      </c>
      <c r="Y9" s="380">
        <v>56430.400000000001</v>
      </c>
      <c r="Z9" s="380">
        <v>23616.04</v>
      </c>
      <c r="AA9" s="376" t="s">
        <v>227</v>
      </c>
      <c r="AB9" s="376" t="s">
        <v>228</v>
      </c>
      <c r="AC9" s="376" t="s">
        <v>229</v>
      </c>
      <c r="AD9" s="376" t="s">
        <v>180</v>
      </c>
      <c r="AE9" s="376" t="s">
        <v>226</v>
      </c>
      <c r="AF9" s="376" t="s">
        <v>177</v>
      </c>
      <c r="AG9" s="376" t="s">
        <v>178</v>
      </c>
      <c r="AH9" s="381">
        <v>27.13</v>
      </c>
      <c r="AI9" s="381">
        <v>51706.6</v>
      </c>
      <c r="AJ9" s="376" t="s">
        <v>179</v>
      </c>
      <c r="AK9" s="376" t="s">
        <v>180</v>
      </c>
      <c r="AL9" s="376" t="s">
        <v>181</v>
      </c>
      <c r="AM9" s="376" t="s">
        <v>182</v>
      </c>
      <c r="AN9" s="376" t="s">
        <v>68</v>
      </c>
      <c r="AO9" s="379">
        <v>80</v>
      </c>
      <c r="AP9" s="385">
        <v>1</v>
      </c>
      <c r="AQ9" s="385">
        <v>1</v>
      </c>
      <c r="AR9" s="383" t="s">
        <v>183</v>
      </c>
      <c r="AS9" s="387">
        <f t="shared" si="27"/>
        <v>1</v>
      </c>
      <c r="AT9">
        <f t="shared" si="28"/>
        <v>1</v>
      </c>
      <c r="AU9" s="387">
        <f>IF(AT9=0,"",IF(AND(AT9=1,M9="F",SUMIF(C2:C1334,C9,AS2:AS1334)&lt;=1),SUMIF(C2:C1334,C9,AS2:AS1334),IF(AND(AT9=1,M9="F",SUMIF(C2:C1334,C9,AS2:AS1334)&gt;1),1,"")))</f>
        <v>1</v>
      </c>
      <c r="AV9" s="387" t="str">
        <f>IF(AT9=0,"",IF(AND(AT9=3,M9="F",SUMIF(C2:C1334,C9,AS2:AS1334)&lt;=1),SUMIF(C2:C1334,C9,AS2:AS1334),IF(AND(AT9=3,M9="F",SUMIF(C2:C1334,C9,AS2:AS1334)&gt;1),1,"")))</f>
        <v/>
      </c>
      <c r="AW9" s="387">
        <f>SUMIF(C2:C1334,C9,O2:O1334)</f>
        <v>3</v>
      </c>
      <c r="AX9" s="387">
        <f>IF(AND(M9="F",AS9&lt;&gt;0),SUMIF(C2:C1334,C9,W2:W1334),0)</f>
        <v>56430.400000000001</v>
      </c>
      <c r="AY9" s="387">
        <f t="shared" si="29"/>
        <v>56430.400000000001</v>
      </c>
      <c r="AZ9" s="387" t="str">
        <f t="shared" si="30"/>
        <v/>
      </c>
      <c r="BA9" s="387">
        <f t="shared" si="31"/>
        <v>0</v>
      </c>
      <c r="BB9" s="387">
        <f t="shared" si="0"/>
        <v>11650</v>
      </c>
      <c r="BC9" s="387">
        <f t="shared" si="1"/>
        <v>0</v>
      </c>
      <c r="BD9" s="387">
        <f t="shared" si="2"/>
        <v>3498.6848</v>
      </c>
      <c r="BE9" s="387">
        <f t="shared" si="3"/>
        <v>818.24080000000004</v>
      </c>
      <c r="BF9" s="387">
        <f t="shared" si="4"/>
        <v>6737.7897600000006</v>
      </c>
      <c r="BG9" s="387">
        <f t="shared" si="5"/>
        <v>406.86318400000005</v>
      </c>
      <c r="BH9" s="387">
        <f t="shared" si="6"/>
        <v>276.50896</v>
      </c>
      <c r="BI9" s="387">
        <f t="shared" si="7"/>
        <v>312.342264</v>
      </c>
      <c r="BJ9" s="387">
        <f t="shared" si="8"/>
        <v>152.36208000000002</v>
      </c>
      <c r="BK9" s="387">
        <f t="shared" si="9"/>
        <v>0</v>
      </c>
      <c r="BL9" s="387">
        <f t="shared" si="32"/>
        <v>12202.791848000003</v>
      </c>
      <c r="BM9" s="387">
        <f t="shared" si="33"/>
        <v>0</v>
      </c>
      <c r="BN9" s="387">
        <f t="shared" si="10"/>
        <v>11650</v>
      </c>
      <c r="BO9" s="387">
        <f t="shared" si="11"/>
        <v>0</v>
      </c>
      <c r="BP9" s="387">
        <f t="shared" si="12"/>
        <v>3498.6848</v>
      </c>
      <c r="BQ9" s="387">
        <f t="shared" si="13"/>
        <v>818.24080000000004</v>
      </c>
      <c r="BR9" s="387">
        <f t="shared" si="14"/>
        <v>6737.7897600000006</v>
      </c>
      <c r="BS9" s="387">
        <f t="shared" si="15"/>
        <v>406.86318400000005</v>
      </c>
      <c r="BT9" s="387">
        <f t="shared" si="16"/>
        <v>0</v>
      </c>
      <c r="BU9" s="387">
        <f t="shared" si="17"/>
        <v>312.342264</v>
      </c>
      <c r="BV9" s="387">
        <f t="shared" si="18"/>
        <v>191.86336</v>
      </c>
      <c r="BW9" s="387">
        <f t="shared" si="19"/>
        <v>0</v>
      </c>
      <c r="BX9" s="387">
        <f t="shared" si="34"/>
        <v>11965.784168000002</v>
      </c>
      <c r="BY9" s="387">
        <f t="shared" si="35"/>
        <v>0</v>
      </c>
      <c r="BZ9" s="387">
        <f t="shared" si="36"/>
        <v>0</v>
      </c>
      <c r="CA9" s="387">
        <f t="shared" si="37"/>
        <v>0</v>
      </c>
      <c r="CB9" s="387">
        <f t="shared" si="38"/>
        <v>0</v>
      </c>
      <c r="CC9" s="387">
        <f t="shared" si="20"/>
        <v>0</v>
      </c>
      <c r="CD9" s="387">
        <f t="shared" si="21"/>
        <v>0</v>
      </c>
      <c r="CE9" s="387">
        <f t="shared" si="22"/>
        <v>0</v>
      </c>
      <c r="CF9" s="387">
        <f t="shared" si="23"/>
        <v>-276.50896</v>
      </c>
      <c r="CG9" s="387">
        <f t="shared" si="24"/>
        <v>0</v>
      </c>
      <c r="CH9" s="387">
        <f t="shared" si="25"/>
        <v>39.50127999999998</v>
      </c>
      <c r="CI9" s="387">
        <f t="shared" si="26"/>
        <v>0</v>
      </c>
      <c r="CJ9" s="387">
        <f t="shared" si="39"/>
        <v>-237.00768000000002</v>
      </c>
      <c r="CK9" s="387" t="str">
        <f t="shared" si="40"/>
        <v/>
      </c>
      <c r="CL9" s="387" t="str">
        <f t="shared" si="41"/>
        <v/>
      </c>
      <c r="CM9" s="387" t="str">
        <f t="shared" si="42"/>
        <v/>
      </c>
      <c r="CN9" s="387" t="str">
        <f t="shared" si="43"/>
        <v>0348-31</v>
      </c>
    </row>
    <row r="10" spans="1:92" ht="15.75" thickBot="1" x14ac:dyDescent="0.3">
      <c r="A10" s="376" t="s">
        <v>161</v>
      </c>
      <c r="B10" s="376" t="s">
        <v>162</v>
      </c>
      <c r="C10" s="376" t="s">
        <v>230</v>
      </c>
      <c r="D10" s="376" t="s">
        <v>231</v>
      </c>
      <c r="E10" s="376" t="s">
        <v>224</v>
      </c>
      <c r="F10" s="382" t="s">
        <v>225</v>
      </c>
      <c r="G10" s="376" t="s">
        <v>167</v>
      </c>
      <c r="H10" s="378"/>
      <c r="I10" s="378"/>
      <c r="J10" s="376" t="s">
        <v>215</v>
      </c>
      <c r="K10" s="376" t="s">
        <v>232</v>
      </c>
      <c r="L10" s="376" t="s">
        <v>217</v>
      </c>
      <c r="M10" s="376" t="s">
        <v>171</v>
      </c>
      <c r="N10" s="376" t="s">
        <v>172</v>
      </c>
      <c r="O10" s="379">
        <v>1</v>
      </c>
      <c r="P10" s="385">
        <v>1</v>
      </c>
      <c r="Q10" s="385">
        <v>1</v>
      </c>
      <c r="R10" s="380">
        <v>80</v>
      </c>
      <c r="S10" s="385">
        <v>1</v>
      </c>
      <c r="T10" s="380">
        <v>0</v>
      </c>
      <c r="U10" s="380">
        <v>0</v>
      </c>
      <c r="V10" s="380">
        <v>0</v>
      </c>
      <c r="W10" s="380">
        <v>44283.199999999997</v>
      </c>
      <c r="X10" s="380">
        <v>21226.2</v>
      </c>
      <c r="Y10" s="380">
        <v>44283.199999999997</v>
      </c>
      <c r="Z10" s="380">
        <v>21040.22</v>
      </c>
      <c r="AA10" s="376" t="s">
        <v>233</v>
      </c>
      <c r="AB10" s="376" t="s">
        <v>234</v>
      </c>
      <c r="AC10" s="376" t="s">
        <v>235</v>
      </c>
      <c r="AD10" s="376" t="s">
        <v>236</v>
      </c>
      <c r="AE10" s="376" t="s">
        <v>232</v>
      </c>
      <c r="AF10" s="376" t="s">
        <v>221</v>
      </c>
      <c r="AG10" s="376" t="s">
        <v>178</v>
      </c>
      <c r="AH10" s="381">
        <v>21.29</v>
      </c>
      <c r="AI10" s="381">
        <v>77435.7</v>
      </c>
      <c r="AJ10" s="376" t="s">
        <v>179</v>
      </c>
      <c r="AK10" s="376" t="s">
        <v>180</v>
      </c>
      <c r="AL10" s="376" t="s">
        <v>181</v>
      </c>
      <c r="AM10" s="376" t="s">
        <v>182</v>
      </c>
      <c r="AN10" s="376" t="s">
        <v>68</v>
      </c>
      <c r="AO10" s="379">
        <v>80</v>
      </c>
      <c r="AP10" s="385">
        <v>1</v>
      </c>
      <c r="AQ10" s="385">
        <v>1</v>
      </c>
      <c r="AR10" s="383" t="s">
        <v>183</v>
      </c>
      <c r="AS10" s="387">
        <f t="shared" si="27"/>
        <v>1</v>
      </c>
      <c r="AT10">
        <f t="shared" si="28"/>
        <v>1</v>
      </c>
      <c r="AU10" s="387">
        <f>IF(AT10=0,"",IF(AND(AT10=1,M10="F",SUMIF(C2:C1334,C10,AS2:AS1334)&lt;=1),SUMIF(C2:C1334,C10,AS2:AS1334),IF(AND(AT10=1,M10="F",SUMIF(C2:C1334,C10,AS2:AS1334)&gt;1),1,"")))</f>
        <v>1</v>
      </c>
      <c r="AV10" s="387" t="str">
        <f>IF(AT10=0,"",IF(AND(AT10=3,M10="F",SUMIF(C2:C1334,C10,AS2:AS1334)&lt;=1),SUMIF(C2:C1334,C10,AS2:AS1334),IF(AND(AT10=3,M10="F",SUMIF(C2:C1334,C10,AS2:AS1334)&gt;1),1,"")))</f>
        <v/>
      </c>
      <c r="AW10" s="387">
        <f>SUMIF(C2:C1334,C10,O2:O1334)</f>
        <v>2</v>
      </c>
      <c r="AX10" s="387">
        <f>IF(AND(M10="F",AS10&lt;&gt;0),SUMIF(C2:C1334,C10,W2:W1334),0)</f>
        <v>44283.199999999997</v>
      </c>
      <c r="AY10" s="387">
        <f t="shared" si="29"/>
        <v>44283.199999999997</v>
      </c>
      <c r="AZ10" s="387" t="str">
        <f t="shared" si="30"/>
        <v/>
      </c>
      <c r="BA10" s="387">
        <f t="shared" si="31"/>
        <v>0</v>
      </c>
      <c r="BB10" s="387">
        <f t="shared" si="0"/>
        <v>11650</v>
      </c>
      <c r="BC10" s="387">
        <f t="shared" si="1"/>
        <v>0</v>
      </c>
      <c r="BD10" s="387">
        <f t="shared" si="2"/>
        <v>2745.5583999999999</v>
      </c>
      <c r="BE10" s="387">
        <f t="shared" si="3"/>
        <v>642.10640000000001</v>
      </c>
      <c r="BF10" s="387">
        <f t="shared" si="4"/>
        <v>5287.4140799999996</v>
      </c>
      <c r="BG10" s="387">
        <f t="shared" si="5"/>
        <v>319.28187199999996</v>
      </c>
      <c r="BH10" s="387">
        <f t="shared" si="6"/>
        <v>216.98767999999998</v>
      </c>
      <c r="BI10" s="387">
        <f t="shared" si="7"/>
        <v>245.10751199999999</v>
      </c>
      <c r="BJ10" s="387">
        <f t="shared" si="8"/>
        <v>119.56464</v>
      </c>
      <c r="BK10" s="387">
        <f t="shared" si="9"/>
        <v>0</v>
      </c>
      <c r="BL10" s="387">
        <f t="shared" si="32"/>
        <v>9576.0205839999999</v>
      </c>
      <c r="BM10" s="387">
        <f t="shared" si="33"/>
        <v>0</v>
      </c>
      <c r="BN10" s="387">
        <f t="shared" si="10"/>
        <v>11650</v>
      </c>
      <c r="BO10" s="387">
        <f t="shared" si="11"/>
        <v>0</v>
      </c>
      <c r="BP10" s="387">
        <f t="shared" si="12"/>
        <v>2745.5583999999999</v>
      </c>
      <c r="BQ10" s="387">
        <f t="shared" si="13"/>
        <v>642.10640000000001</v>
      </c>
      <c r="BR10" s="387">
        <f t="shared" si="14"/>
        <v>5287.4140799999996</v>
      </c>
      <c r="BS10" s="387">
        <f t="shared" si="15"/>
        <v>319.28187199999996</v>
      </c>
      <c r="BT10" s="387">
        <f t="shared" si="16"/>
        <v>0</v>
      </c>
      <c r="BU10" s="387">
        <f t="shared" si="17"/>
        <v>245.10751199999999</v>
      </c>
      <c r="BV10" s="387">
        <f t="shared" si="18"/>
        <v>150.56287999999998</v>
      </c>
      <c r="BW10" s="387">
        <f t="shared" si="19"/>
        <v>0</v>
      </c>
      <c r="BX10" s="387">
        <f t="shared" si="34"/>
        <v>9390.0311439999987</v>
      </c>
      <c r="BY10" s="387">
        <f t="shared" si="35"/>
        <v>0</v>
      </c>
      <c r="BZ10" s="387">
        <f t="shared" si="36"/>
        <v>0</v>
      </c>
      <c r="CA10" s="387">
        <f t="shared" si="37"/>
        <v>0</v>
      </c>
      <c r="CB10" s="387">
        <f t="shared" si="38"/>
        <v>0</v>
      </c>
      <c r="CC10" s="387">
        <f t="shared" si="20"/>
        <v>0</v>
      </c>
      <c r="CD10" s="387">
        <f t="shared" si="21"/>
        <v>0</v>
      </c>
      <c r="CE10" s="387">
        <f t="shared" si="22"/>
        <v>0</v>
      </c>
      <c r="CF10" s="387">
        <f t="shared" si="23"/>
        <v>-216.98767999999998</v>
      </c>
      <c r="CG10" s="387">
        <f t="shared" si="24"/>
        <v>0</v>
      </c>
      <c r="CH10" s="387">
        <f t="shared" si="25"/>
        <v>30.998239999999985</v>
      </c>
      <c r="CI10" s="387">
        <f t="shared" si="26"/>
        <v>0</v>
      </c>
      <c r="CJ10" s="387">
        <f t="shared" si="39"/>
        <v>-185.98944</v>
      </c>
      <c r="CK10" s="387" t="str">
        <f t="shared" si="40"/>
        <v/>
      </c>
      <c r="CL10" s="387" t="str">
        <f t="shared" si="41"/>
        <v/>
      </c>
      <c r="CM10" s="387" t="str">
        <f t="shared" si="42"/>
        <v/>
      </c>
      <c r="CN10" s="387" t="str">
        <f t="shared" si="43"/>
        <v>0348-31</v>
      </c>
    </row>
    <row r="11" spans="1:92" ht="15.75" thickBot="1" x14ac:dyDescent="0.3">
      <c r="A11" s="376" t="s">
        <v>161</v>
      </c>
      <c r="B11" s="376" t="s">
        <v>162</v>
      </c>
      <c r="C11" s="376" t="s">
        <v>237</v>
      </c>
      <c r="D11" s="376" t="s">
        <v>238</v>
      </c>
      <c r="E11" s="376" t="s">
        <v>224</v>
      </c>
      <c r="F11" s="382" t="s">
        <v>225</v>
      </c>
      <c r="G11" s="376" t="s">
        <v>167</v>
      </c>
      <c r="H11" s="378"/>
      <c r="I11" s="378"/>
      <c r="J11" s="376" t="s">
        <v>239</v>
      </c>
      <c r="K11" s="376" t="s">
        <v>240</v>
      </c>
      <c r="L11" s="376" t="s">
        <v>210</v>
      </c>
      <c r="M11" s="376" t="s">
        <v>171</v>
      </c>
      <c r="N11" s="376" t="s">
        <v>172</v>
      </c>
      <c r="O11" s="379">
        <v>1</v>
      </c>
      <c r="P11" s="385">
        <v>0.7</v>
      </c>
      <c r="Q11" s="385">
        <v>0.7</v>
      </c>
      <c r="R11" s="380">
        <v>80</v>
      </c>
      <c r="S11" s="385">
        <v>0.7</v>
      </c>
      <c r="T11" s="380">
        <v>0</v>
      </c>
      <c r="U11" s="380">
        <v>0</v>
      </c>
      <c r="V11" s="380">
        <v>0</v>
      </c>
      <c r="W11" s="380">
        <v>48936.160000000003</v>
      </c>
      <c r="X11" s="380">
        <v>18737.419999999998</v>
      </c>
      <c r="Y11" s="380">
        <v>48936.160000000003</v>
      </c>
      <c r="Z11" s="380">
        <v>18531.89</v>
      </c>
      <c r="AA11" s="376" t="s">
        <v>241</v>
      </c>
      <c r="AB11" s="376" t="s">
        <v>242</v>
      </c>
      <c r="AC11" s="376" t="s">
        <v>243</v>
      </c>
      <c r="AD11" s="376" t="s">
        <v>244</v>
      </c>
      <c r="AE11" s="376" t="s">
        <v>240</v>
      </c>
      <c r="AF11" s="376" t="s">
        <v>245</v>
      </c>
      <c r="AG11" s="376" t="s">
        <v>178</v>
      </c>
      <c r="AH11" s="381">
        <v>33.61</v>
      </c>
      <c r="AI11" s="381">
        <v>17909.099999999999</v>
      </c>
      <c r="AJ11" s="376" t="s">
        <v>179</v>
      </c>
      <c r="AK11" s="376" t="s">
        <v>180</v>
      </c>
      <c r="AL11" s="376" t="s">
        <v>181</v>
      </c>
      <c r="AM11" s="376" t="s">
        <v>182</v>
      </c>
      <c r="AN11" s="376" t="s">
        <v>68</v>
      </c>
      <c r="AO11" s="379">
        <v>80</v>
      </c>
      <c r="AP11" s="385">
        <v>1</v>
      </c>
      <c r="AQ11" s="385">
        <v>0.7</v>
      </c>
      <c r="AR11" s="383" t="s">
        <v>183</v>
      </c>
      <c r="AS11" s="387">
        <f t="shared" si="27"/>
        <v>0.7</v>
      </c>
      <c r="AT11">
        <f t="shared" si="28"/>
        <v>1</v>
      </c>
      <c r="AU11" s="387">
        <f>IF(AT11=0,"",IF(AND(AT11=1,M11="F",SUMIF(C2:C1334,C11,AS2:AS1334)&lt;=1),SUMIF(C2:C1334,C11,AS2:AS1334),IF(AND(AT11=1,M11="F",SUMIF(C2:C1334,C11,AS2:AS1334)&gt;1),1,"")))</f>
        <v>1</v>
      </c>
      <c r="AV11" s="387" t="str">
        <f>IF(AT11=0,"",IF(AND(AT11=3,M11="F",SUMIF(C2:C1334,C11,AS2:AS1334)&lt;=1),SUMIF(C2:C1334,C11,AS2:AS1334),IF(AND(AT11=3,M11="F",SUMIF(C2:C1334,C11,AS2:AS1334)&gt;1),1,"")))</f>
        <v/>
      </c>
      <c r="AW11" s="387">
        <f>SUMIF(C2:C1334,C11,O2:O1334)</f>
        <v>6</v>
      </c>
      <c r="AX11" s="387">
        <f>IF(AND(M11="F",AS11&lt;&gt;0),SUMIF(C2:C1334,C11,W2:W1334),0)</f>
        <v>69908.800000000003</v>
      </c>
      <c r="AY11" s="387">
        <f t="shared" si="29"/>
        <v>48936.160000000003</v>
      </c>
      <c r="AZ11" s="387" t="str">
        <f t="shared" si="30"/>
        <v/>
      </c>
      <c r="BA11" s="387">
        <f t="shared" si="31"/>
        <v>0</v>
      </c>
      <c r="BB11" s="387">
        <f t="shared" si="0"/>
        <v>8154.9999999999991</v>
      </c>
      <c r="BC11" s="387">
        <f t="shared" si="1"/>
        <v>0</v>
      </c>
      <c r="BD11" s="387">
        <f t="shared" si="2"/>
        <v>3034.0419200000001</v>
      </c>
      <c r="BE11" s="387">
        <f t="shared" si="3"/>
        <v>709.57432000000006</v>
      </c>
      <c r="BF11" s="387">
        <f t="shared" si="4"/>
        <v>5842.9775040000004</v>
      </c>
      <c r="BG11" s="387">
        <f t="shared" si="5"/>
        <v>352.82971360000005</v>
      </c>
      <c r="BH11" s="387">
        <f t="shared" si="6"/>
        <v>239.787184</v>
      </c>
      <c r="BI11" s="387">
        <f t="shared" si="7"/>
        <v>270.86164560000003</v>
      </c>
      <c r="BJ11" s="387">
        <f t="shared" si="8"/>
        <v>132.12763200000001</v>
      </c>
      <c r="BK11" s="387">
        <f t="shared" si="9"/>
        <v>0</v>
      </c>
      <c r="BL11" s="387">
        <f t="shared" si="32"/>
        <v>10582.199919200002</v>
      </c>
      <c r="BM11" s="387">
        <f t="shared" si="33"/>
        <v>0</v>
      </c>
      <c r="BN11" s="387">
        <f t="shared" si="10"/>
        <v>8154.9999999999991</v>
      </c>
      <c r="BO11" s="387">
        <f t="shared" si="11"/>
        <v>0</v>
      </c>
      <c r="BP11" s="387">
        <f t="shared" si="12"/>
        <v>3034.0419200000001</v>
      </c>
      <c r="BQ11" s="387">
        <f t="shared" si="13"/>
        <v>709.57432000000006</v>
      </c>
      <c r="BR11" s="387">
        <f t="shared" si="14"/>
        <v>5842.9775040000004</v>
      </c>
      <c r="BS11" s="387">
        <f t="shared" si="15"/>
        <v>352.82971360000005</v>
      </c>
      <c r="BT11" s="387">
        <f t="shared" si="16"/>
        <v>0</v>
      </c>
      <c r="BU11" s="387">
        <f t="shared" si="17"/>
        <v>270.86164560000003</v>
      </c>
      <c r="BV11" s="387">
        <f t="shared" si="18"/>
        <v>166.38294400000001</v>
      </c>
      <c r="BW11" s="387">
        <f t="shared" si="19"/>
        <v>0</v>
      </c>
      <c r="BX11" s="387">
        <f t="shared" si="34"/>
        <v>10376.668047200003</v>
      </c>
      <c r="BY11" s="387">
        <f t="shared" si="35"/>
        <v>0</v>
      </c>
      <c r="BZ11" s="387">
        <f t="shared" si="36"/>
        <v>0</v>
      </c>
      <c r="CA11" s="387">
        <f t="shared" si="37"/>
        <v>0</v>
      </c>
      <c r="CB11" s="387">
        <f t="shared" si="38"/>
        <v>0</v>
      </c>
      <c r="CC11" s="387">
        <f t="shared" si="20"/>
        <v>0</v>
      </c>
      <c r="CD11" s="387">
        <f t="shared" si="21"/>
        <v>0</v>
      </c>
      <c r="CE11" s="387">
        <f t="shared" si="22"/>
        <v>0</v>
      </c>
      <c r="CF11" s="387">
        <f t="shared" si="23"/>
        <v>-239.787184</v>
      </c>
      <c r="CG11" s="387">
        <f t="shared" si="24"/>
        <v>0</v>
      </c>
      <c r="CH11" s="387">
        <f t="shared" si="25"/>
        <v>34.255311999999989</v>
      </c>
      <c r="CI11" s="387">
        <f t="shared" si="26"/>
        <v>0</v>
      </c>
      <c r="CJ11" s="387">
        <f t="shared" si="39"/>
        <v>-205.53187200000002</v>
      </c>
      <c r="CK11" s="387" t="str">
        <f t="shared" si="40"/>
        <v/>
      </c>
      <c r="CL11" s="387" t="str">
        <f t="shared" si="41"/>
        <v/>
      </c>
      <c r="CM11" s="387" t="str">
        <f t="shared" si="42"/>
        <v/>
      </c>
      <c r="CN11" s="387" t="str">
        <f t="shared" si="43"/>
        <v>0348-31</v>
      </c>
    </row>
    <row r="12" spans="1:92" ht="15.75" thickBot="1" x14ac:dyDescent="0.3">
      <c r="A12" s="376" t="s">
        <v>161</v>
      </c>
      <c r="B12" s="376" t="s">
        <v>162</v>
      </c>
      <c r="C12" s="376" t="s">
        <v>246</v>
      </c>
      <c r="D12" s="376" t="s">
        <v>247</v>
      </c>
      <c r="E12" s="376" t="s">
        <v>224</v>
      </c>
      <c r="F12" s="382" t="s">
        <v>225</v>
      </c>
      <c r="G12" s="376" t="s">
        <v>167</v>
      </c>
      <c r="H12" s="378"/>
      <c r="I12" s="378"/>
      <c r="J12" s="376" t="s">
        <v>215</v>
      </c>
      <c r="K12" s="376" t="s">
        <v>248</v>
      </c>
      <c r="L12" s="376" t="s">
        <v>178</v>
      </c>
      <c r="M12" s="376" t="s">
        <v>171</v>
      </c>
      <c r="N12" s="376" t="s">
        <v>172</v>
      </c>
      <c r="O12" s="379">
        <v>1</v>
      </c>
      <c r="P12" s="385">
        <v>1</v>
      </c>
      <c r="Q12" s="385">
        <v>1</v>
      </c>
      <c r="R12" s="380">
        <v>80</v>
      </c>
      <c r="S12" s="385">
        <v>1</v>
      </c>
      <c r="T12" s="380">
        <v>0</v>
      </c>
      <c r="U12" s="380">
        <v>0</v>
      </c>
      <c r="V12" s="380">
        <v>0</v>
      </c>
      <c r="W12" s="380">
        <v>31200</v>
      </c>
      <c r="X12" s="380">
        <v>18396.990000000002</v>
      </c>
      <c r="Y12" s="380">
        <v>31200</v>
      </c>
      <c r="Z12" s="380">
        <v>18265.95</v>
      </c>
      <c r="AA12" s="376" t="s">
        <v>249</v>
      </c>
      <c r="AB12" s="376" t="s">
        <v>250</v>
      </c>
      <c r="AC12" s="376" t="s">
        <v>251</v>
      </c>
      <c r="AD12" s="376" t="s">
        <v>252</v>
      </c>
      <c r="AE12" s="376" t="s">
        <v>248</v>
      </c>
      <c r="AF12" s="376" t="s">
        <v>253</v>
      </c>
      <c r="AG12" s="376" t="s">
        <v>178</v>
      </c>
      <c r="AH12" s="379">
        <v>15</v>
      </c>
      <c r="AI12" s="381">
        <v>1037.7</v>
      </c>
      <c r="AJ12" s="376" t="s">
        <v>179</v>
      </c>
      <c r="AK12" s="376" t="s">
        <v>180</v>
      </c>
      <c r="AL12" s="376" t="s">
        <v>181</v>
      </c>
      <c r="AM12" s="376" t="s">
        <v>182</v>
      </c>
      <c r="AN12" s="376" t="s">
        <v>68</v>
      </c>
      <c r="AO12" s="379">
        <v>80</v>
      </c>
      <c r="AP12" s="385">
        <v>1</v>
      </c>
      <c r="AQ12" s="385">
        <v>1</v>
      </c>
      <c r="AR12" s="383" t="s">
        <v>183</v>
      </c>
      <c r="AS12" s="387">
        <f t="shared" si="27"/>
        <v>1</v>
      </c>
      <c r="AT12">
        <f t="shared" si="28"/>
        <v>1</v>
      </c>
      <c r="AU12" s="387">
        <f>IF(AT12=0,"",IF(AND(AT12=1,M12="F",SUMIF(C2:C1334,C12,AS2:AS1334)&lt;=1),SUMIF(C2:C1334,C12,AS2:AS1334),IF(AND(AT12=1,M12="F",SUMIF(C2:C1334,C12,AS2:AS1334)&gt;1),1,"")))</f>
        <v>1</v>
      </c>
      <c r="AV12" s="387" t="str">
        <f>IF(AT12=0,"",IF(AND(AT12=3,M12="F",SUMIF(C2:C1334,C12,AS2:AS1334)&lt;=1),SUMIF(C2:C1334,C12,AS2:AS1334),IF(AND(AT12=3,M12="F",SUMIF(C2:C1334,C12,AS2:AS1334)&gt;1),1,"")))</f>
        <v/>
      </c>
      <c r="AW12" s="387">
        <f>SUMIF(C2:C1334,C12,O2:O1334)</f>
        <v>2</v>
      </c>
      <c r="AX12" s="387">
        <f>IF(AND(M12="F",AS12&lt;&gt;0),SUMIF(C2:C1334,C12,W2:W1334),0)</f>
        <v>31200</v>
      </c>
      <c r="AY12" s="387">
        <f t="shared" si="29"/>
        <v>31200</v>
      </c>
      <c r="AZ12" s="387" t="str">
        <f t="shared" si="30"/>
        <v/>
      </c>
      <c r="BA12" s="387">
        <f t="shared" si="31"/>
        <v>0</v>
      </c>
      <c r="BB12" s="387">
        <f t="shared" si="0"/>
        <v>11650</v>
      </c>
      <c r="BC12" s="387">
        <f t="shared" si="1"/>
        <v>0</v>
      </c>
      <c r="BD12" s="387">
        <f t="shared" si="2"/>
        <v>1934.4</v>
      </c>
      <c r="BE12" s="387">
        <f t="shared" si="3"/>
        <v>452.40000000000003</v>
      </c>
      <c r="BF12" s="387">
        <f t="shared" si="4"/>
        <v>3725.28</v>
      </c>
      <c r="BG12" s="387">
        <f t="shared" si="5"/>
        <v>224.952</v>
      </c>
      <c r="BH12" s="387">
        <f t="shared" si="6"/>
        <v>152.88</v>
      </c>
      <c r="BI12" s="387">
        <f t="shared" si="7"/>
        <v>172.69200000000001</v>
      </c>
      <c r="BJ12" s="387">
        <f t="shared" si="8"/>
        <v>84.240000000000009</v>
      </c>
      <c r="BK12" s="387">
        <f t="shared" si="9"/>
        <v>0</v>
      </c>
      <c r="BL12" s="387">
        <f t="shared" si="32"/>
        <v>6746.8440000000001</v>
      </c>
      <c r="BM12" s="387">
        <f t="shared" si="33"/>
        <v>0</v>
      </c>
      <c r="BN12" s="387">
        <f t="shared" si="10"/>
        <v>11650</v>
      </c>
      <c r="BO12" s="387">
        <f t="shared" si="11"/>
        <v>0</v>
      </c>
      <c r="BP12" s="387">
        <f t="shared" si="12"/>
        <v>1934.4</v>
      </c>
      <c r="BQ12" s="387">
        <f t="shared" si="13"/>
        <v>452.40000000000003</v>
      </c>
      <c r="BR12" s="387">
        <f t="shared" si="14"/>
        <v>3725.28</v>
      </c>
      <c r="BS12" s="387">
        <f t="shared" si="15"/>
        <v>224.952</v>
      </c>
      <c r="BT12" s="387">
        <f t="shared" si="16"/>
        <v>0</v>
      </c>
      <c r="BU12" s="387">
        <f t="shared" si="17"/>
        <v>172.69200000000001</v>
      </c>
      <c r="BV12" s="387">
        <f t="shared" si="18"/>
        <v>106.08</v>
      </c>
      <c r="BW12" s="387">
        <f t="shared" si="19"/>
        <v>0</v>
      </c>
      <c r="BX12" s="387">
        <f t="shared" si="34"/>
        <v>6615.8040000000001</v>
      </c>
      <c r="BY12" s="387">
        <f t="shared" si="35"/>
        <v>0</v>
      </c>
      <c r="BZ12" s="387">
        <f t="shared" si="36"/>
        <v>0</v>
      </c>
      <c r="CA12" s="387">
        <f t="shared" si="37"/>
        <v>0</v>
      </c>
      <c r="CB12" s="387">
        <f t="shared" si="38"/>
        <v>0</v>
      </c>
      <c r="CC12" s="387">
        <f t="shared" si="20"/>
        <v>0</v>
      </c>
      <c r="CD12" s="387">
        <f t="shared" si="21"/>
        <v>0</v>
      </c>
      <c r="CE12" s="387">
        <f t="shared" si="22"/>
        <v>0</v>
      </c>
      <c r="CF12" s="387">
        <f t="shared" si="23"/>
        <v>-152.88</v>
      </c>
      <c r="CG12" s="387">
        <f t="shared" si="24"/>
        <v>0</v>
      </c>
      <c r="CH12" s="387">
        <f t="shared" si="25"/>
        <v>21.839999999999989</v>
      </c>
      <c r="CI12" s="387">
        <f t="shared" si="26"/>
        <v>0</v>
      </c>
      <c r="CJ12" s="387">
        <f t="shared" si="39"/>
        <v>-131.04000000000002</v>
      </c>
      <c r="CK12" s="387" t="str">
        <f t="shared" si="40"/>
        <v/>
      </c>
      <c r="CL12" s="387" t="str">
        <f t="shared" si="41"/>
        <v/>
      </c>
      <c r="CM12" s="387" t="str">
        <f t="shared" si="42"/>
        <v/>
      </c>
      <c r="CN12" s="387" t="str">
        <f t="shared" si="43"/>
        <v>0348-31</v>
      </c>
    </row>
    <row r="13" spans="1:92" ht="15.75" thickBot="1" x14ac:dyDescent="0.3">
      <c r="A13" s="376" t="s">
        <v>161</v>
      </c>
      <c r="B13" s="376" t="s">
        <v>162</v>
      </c>
      <c r="C13" s="376" t="s">
        <v>254</v>
      </c>
      <c r="D13" s="376" t="s">
        <v>255</v>
      </c>
      <c r="E13" s="376" t="s">
        <v>224</v>
      </c>
      <c r="F13" s="382" t="s">
        <v>225</v>
      </c>
      <c r="G13" s="376" t="s">
        <v>167</v>
      </c>
      <c r="H13" s="378"/>
      <c r="I13" s="378"/>
      <c r="J13" s="376" t="s">
        <v>168</v>
      </c>
      <c r="K13" s="376" t="s">
        <v>256</v>
      </c>
      <c r="L13" s="376" t="s">
        <v>166</v>
      </c>
      <c r="M13" s="376" t="s">
        <v>171</v>
      </c>
      <c r="N13" s="376" t="s">
        <v>257</v>
      </c>
      <c r="O13" s="379">
        <v>1</v>
      </c>
      <c r="P13" s="385">
        <v>0.25</v>
      </c>
      <c r="Q13" s="385">
        <v>0.25</v>
      </c>
      <c r="R13" s="380">
        <v>80</v>
      </c>
      <c r="S13" s="385">
        <v>0.25</v>
      </c>
      <c r="T13" s="380">
        <v>0</v>
      </c>
      <c r="U13" s="380">
        <v>0</v>
      </c>
      <c r="V13" s="380">
        <v>0</v>
      </c>
      <c r="W13" s="380">
        <v>31012.799999999999</v>
      </c>
      <c r="X13" s="380">
        <v>9447.2000000000007</v>
      </c>
      <c r="Y13" s="380">
        <v>31012.799999999999</v>
      </c>
      <c r="Z13" s="380">
        <v>9316.94</v>
      </c>
      <c r="AA13" s="376" t="s">
        <v>258</v>
      </c>
      <c r="AB13" s="376" t="s">
        <v>259</v>
      </c>
      <c r="AC13" s="376" t="s">
        <v>260</v>
      </c>
      <c r="AD13" s="376" t="s">
        <v>198</v>
      </c>
      <c r="AE13" s="376" t="s">
        <v>256</v>
      </c>
      <c r="AF13" s="376" t="s">
        <v>261</v>
      </c>
      <c r="AG13" s="376" t="s">
        <v>178</v>
      </c>
      <c r="AH13" s="381">
        <v>59.64</v>
      </c>
      <c r="AI13" s="381">
        <v>60724.4</v>
      </c>
      <c r="AJ13" s="376" t="s">
        <v>179</v>
      </c>
      <c r="AK13" s="376" t="s">
        <v>180</v>
      </c>
      <c r="AL13" s="376" t="s">
        <v>181</v>
      </c>
      <c r="AM13" s="376" t="s">
        <v>182</v>
      </c>
      <c r="AN13" s="376" t="s">
        <v>68</v>
      </c>
      <c r="AO13" s="379">
        <v>80</v>
      </c>
      <c r="AP13" s="385">
        <v>1</v>
      </c>
      <c r="AQ13" s="385">
        <v>0.25</v>
      </c>
      <c r="AR13" s="383" t="s">
        <v>183</v>
      </c>
      <c r="AS13" s="387">
        <f t="shared" si="27"/>
        <v>0.25</v>
      </c>
      <c r="AT13">
        <f t="shared" si="28"/>
        <v>1</v>
      </c>
      <c r="AU13" s="387">
        <f>IF(AT13=0,"",IF(AND(AT13=1,M13="F",SUMIF(C2:C1334,C13,AS2:AS1334)&lt;=1),SUMIF(C2:C1334,C13,AS2:AS1334),IF(AND(AT13=1,M13="F",SUMIF(C2:C1334,C13,AS2:AS1334)&gt;1),1,"")))</f>
        <v>1</v>
      </c>
      <c r="AV13" s="387" t="str">
        <f>IF(AT13=0,"",IF(AND(AT13=3,M13="F",SUMIF(C2:C1334,C13,AS2:AS1334)&lt;=1),SUMIF(C2:C1334,C13,AS2:AS1334),IF(AND(AT13=3,M13="F",SUMIF(C2:C1334,C13,AS2:AS1334)&gt;1),1,"")))</f>
        <v/>
      </c>
      <c r="AW13" s="387">
        <f>SUMIF(C2:C1334,C13,O2:O1334)</f>
        <v>3</v>
      </c>
      <c r="AX13" s="387">
        <f>IF(AND(M13="F",AS13&lt;&gt;0),SUMIF(C2:C1334,C13,W2:W1334),0)</f>
        <v>124051.19</v>
      </c>
      <c r="AY13" s="387">
        <f t="shared" si="29"/>
        <v>31012.799999999999</v>
      </c>
      <c r="AZ13" s="387" t="str">
        <f t="shared" si="30"/>
        <v/>
      </c>
      <c r="BA13" s="387">
        <f t="shared" si="31"/>
        <v>0</v>
      </c>
      <c r="BB13" s="387">
        <f t="shared" si="0"/>
        <v>2912.5</v>
      </c>
      <c r="BC13" s="387">
        <f t="shared" si="1"/>
        <v>0</v>
      </c>
      <c r="BD13" s="387">
        <f t="shared" si="2"/>
        <v>1922.7936</v>
      </c>
      <c r="BE13" s="387">
        <f t="shared" si="3"/>
        <v>449.68560000000002</v>
      </c>
      <c r="BF13" s="387">
        <f t="shared" si="4"/>
        <v>3702.92832</v>
      </c>
      <c r="BG13" s="387">
        <f t="shared" si="5"/>
        <v>223.60228800000002</v>
      </c>
      <c r="BH13" s="387">
        <f t="shared" si="6"/>
        <v>151.96271999999999</v>
      </c>
      <c r="BI13" s="387">
        <f t="shared" si="7"/>
        <v>0</v>
      </c>
      <c r="BJ13" s="387">
        <f t="shared" si="8"/>
        <v>83.734560000000002</v>
      </c>
      <c r="BK13" s="387">
        <f t="shared" si="9"/>
        <v>0</v>
      </c>
      <c r="BL13" s="387">
        <f t="shared" si="32"/>
        <v>6534.7070880000001</v>
      </c>
      <c r="BM13" s="387">
        <f t="shared" si="33"/>
        <v>0</v>
      </c>
      <c r="BN13" s="387">
        <f t="shared" si="10"/>
        <v>2912.5</v>
      </c>
      <c r="BO13" s="387">
        <f t="shared" si="11"/>
        <v>0</v>
      </c>
      <c r="BP13" s="387">
        <f t="shared" si="12"/>
        <v>1922.7936</v>
      </c>
      <c r="BQ13" s="387">
        <f t="shared" si="13"/>
        <v>449.68560000000002</v>
      </c>
      <c r="BR13" s="387">
        <f t="shared" si="14"/>
        <v>3702.92832</v>
      </c>
      <c r="BS13" s="387">
        <f t="shared" si="15"/>
        <v>223.60228800000002</v>
      </c>
      <c r="BT13" s="387">
        <f t="shared" si="16"/>
        <v>0</v>
      </c>
      <c r="BU13" s="387">
        <f t="shared" si="17"/>
        <v>0</v>
      </c>
      <c r="BV13" s="387">
        <f t="shared" si="18"/>
        <v>105.44351999999999</v>
      </c>
      <c r="BW13" s="387">
        <f t="shared" si="19"/>
        <v>0</v>
      </c>
      <c r="BX13" s="387">
        <f t="shared" si="34"/>
        <v>6404.4533279999996</v>
      </c>
      <c r="BY13" s="387">
        <f t="shared" si="35"/>
        <v>0</v>
      </c>
      <c r="BZ13" s="387">
        <f t="shared" si="36"/>
        <v>0</v>
      </c>
      <c r="CA13" s="387">
        <f t="shared" si="37"/>
        <v>0</v>
      </c>
      <c r="CB13" s="387">
        <f t="shared" si="38"/>
        <v>0</v>
      </c>
      <c r="CC13" s="387">
        <f t="shared" si="20"/>
        <v>0</v>
      </c>
      <c r="CD13" s="387">
        <f t="shared" si="21"/>
        <v>0</v>
      </c>
      <c r="CE13" s="387">
        <f t="shared" si="22"/>
        <v>0</v>
      </c>
      <c r="CF13" s="387">
        <f t="shared" si="23"/>
        <v>-151.96271999999999</v>
      </c>
      <c r="CG13" s="387">
        <f t="shared" si="24"/>
        <v>0</v>
      </c>
      <c r="CH13" s="387">
        <f t="shared" si="25"/>
        <v>21.70895999999999</v>
      </c>
      <c r="CI13" s="387">
        <f t="shared" si="26"/>
        <v>0</v>
      </c>
      <c r="CJ13" s="387">
        <f t="shared" si="39"/>
        <v>-130.25376</v>
      </c>
      <c r="CK13" s="387" t="str">
        <f t="shared" si="40"/>
        <v/>
      </c>
      <c r="CL13" s="387" t="str">
        <f t="shared" si="41"/>
        <v/>
      </c>
      <c r="CM13" s="387" t="str">
        <f t="shared" si="42"/>
        <v/>
      </c>
      <c r="CN13" s="387" t="str">
        <f t="shared" si="43"/>
        <v>0348-31</v>
      </c>
    </row>
    <row r="14" spans="1:92" ht="15.75" thickBot="1" x14ac:dyDescent="0.3">
      <c r="A14" s="376" t="s">
        <v>161</v>
      </c>
      <c r="B14" s="376" t="s">
        <v>162</v>
      </c>
      <c r="C14" s="376" t="s">
        <v>262</v>
      </c>
      <c r="D14" s="376" t="s">
        <v>263</v>
      </c>
      <c r="E14" s="376" t="s">
        <v>224</v>
      </c>
      <c r="F14" s="382" t="s">
        <v>225</v>
      </c>
      <c r="G14" s="376" t="s">
        <v>167</v>
      </c>
      <c r="H14" s="378"/>
      <c r="I14" s="378"/>
      <c r="J14" s="376" t="s">
        <v>215</v>
      </c>
      <c r="K14" s="376" t="s">
        <v>264</v>
      </c>
      <c r="L14" s="376" t="s">
        <v>210</v>
      </c>
      <c r="M14" s="376" t="s">
        <v>171</v>
      </c>
      <c r="N14" s="376" t="s">
        <v>172</v>
      </c>
      <c r="O14" s="379">
        <v>1</v>
      </c>
      <c r="P14" s="385">
        <v>1</v>
      </c>
      <c r="Q14" s="385">
        <v>1</v>
      </c>
      <c r="R14" s="380">
        <v>80</v>
      </c>
      <c r="S14" s="385">
        <v>1</v>
      </c>
      <c r="T14" s="380">
        <v>0</v>
      </c>
      <c r="U14" s="380">
        <v>0</v>
      </c>
      <c r="V14" s="380">
        <v>0</v>
      </c>
      <c r="W14" s="380">
        <v>63460.800000000003</v>
      </c>
      <c r="X14" s="380">
        <v>25373.360000000001</v>
      </c>
      <c r="Y14" s="380">
        <v>63460.800000000003</v>
      </c>
      <c r="Z14" s="380">
        <v>25106.83</v>
      </c>
      <c r="AA14" s="376" t="s">
        <v>265</v>
      </c>
      <c r="AB14" s="376" t="s">
        <v>266</v>
      </c>
      <c r="AC14" s="376" t="s">
        <v>267</v>
      </c>
      <c r="AD14" s="376" t="s">
        <v>268</v>
      </c>
      <c r="AE14" s="376" t="s">
        <v>264</v>
      </c>
      <c r="AF14" s="376" t="s">
        <v>245</v>
      </c>
      <c r="AG14" s="376" t="s">
        <v>178</v>
      </c>
      <c r="AH14" s="381">
        <v>30.51</v>
      </c>
      <c r="AI14" s="381">
        <v>64040.6</v>
      </c>
      <c r="AJ14" s="376" t="s">
        <v>179</v>
      </c>
      <c r="AK14" s="376" t="s">
        <v>180</v>
      </c>
      <c r="AL14" s="376" t="s">
        <v>181</v>
      </c>
      <c r="AM14" s="376" t="s">
        <v>182</v>
      </c>
      <c r="AN14" s="376" t="s">
        <v>68</v>
      </c>
      <c r="AO14" s="379">
        <v>80</v>
      </c>
      <c r="AP14" s="385">
        <v>1</v>
      </c>
      <c r="AQ14" s="385">
        <v>1</v>
      </c>
      <c r="AR14" s="383" t="s">
        <v>183</v>
      </c>
      <c r="AS14" s="387">
        <f t="shared" si="27"/>
        <v>1</v>
      </c>
      <c r="AT14">
        <f t="shared" si="28"/>
        <v>1</v>
      </c>
      <c r="AU14" s="387">
        <f>IF(AT14=0,"",IF(AND(AT14=1,M14="F",SUMIF(C2:C1334,C14,AS2:AS1334)&lt;=1),SUMIF(C2:C1334,C14,AS2:AS1334),IF(AND(AT14=1,M14="F",SUMIF(C2:C1334,C14,AS2:AS1334)&gt;1),1,"")))</f>
        <v>1</v>
      </c>
      <c r="AV14" s="387" t="str">
        <f>IF(AT14=0,"",IF(AND(AT14=3,M14="F",SUMIF(C2:C1334,C14,AS2:AS1334)&lt;=1),SUMIF(C2:C1334,C14,AS2:AS1334),IF(AND(AT14=3,M14="F",SUMIF(C2:C1334,C14,AS2:AS1334)&gt;1),1,"")))</f>
        <v/>
      </c>
      <c r="AW14" s="387">
        <f>SUMIF(C2:C1334,C14,O2:O1334)</f>
        <v>2</v>
      </c>
      <c r="AX14" s="387">
        <f>IF(AND(M14="F",AS14&lt;&gt;0),SUMIF(C2:C1334,C14,W2:W1334),0)</f>
        <v>63460.800000000003</v>
      </c>
      <c r="AY14" s="387">
        <f t="shared" si="29"/>
        <v>63460.800000000003</v>
      </c>
      <c r="AZ14" s="387" t="str">
        <f t="shared" si="30"/>
        <v/>
      </c>
      <c r="BA14" s="387">
        <f t="shared" si="31"/>
        <v>0</v>
      </c>
      <c r="BB14" s="387">
        <f t="shared" si="0"/>
        <v>11650</v>
      </c>
      <c r="BC14" s="387">
        <f t="shared" si="1"/>
        <v>0</v>
      </c>
      <c r="BD14" s="387">
        <f t="shared" si="2"/>
        <v>3934.5696000000003</v>
      </c>
      <c r="BE14" s="387">
        <f t="shared" si="3"/>
        <v>920.18160000000012</v>
      </c>
      <c r="BF14" s="387">
        <f t="shared" si="4"/>
        <v>7577.2195200000006</v>
      </c>
      <c r="BG14" s="387">
        <f t="shared" si="5"/>
        <v>457.55236800000006</v>
      </c>
      <c r="BH14" s="387">
        <f t="shared" si="6"/>
        <v>310.95792</v>
      </c>
      <c r="BI14" s="387">
        <f t="shared" si="7"/>
        <v>351.25552800000003</v>
      </c>
      <c r="BJ14" s="387">
        <f t="shared" si="8"/>
        <v>171.34416000000002</v>
      </c>
      <c r="BK14" s="387">
        <f t="shared" si="9"/>
        <v>0</v>
      </c>
      <c r="BL14" s="387">
        <f t="shared" si="32"/>
        <v>13723.080696000003</v>
      </c>
      <c r="BM14" s="387">
        <f t="shared" si="33"/>
        <v>0</v>
      </c>
      <c r="BN14" s="387">
        <f t="shared" si="10"/>
        <v>11650</v>
      </c>
      <c r="BO14" s="387">
        <f t="shared" si="11"/>
        <v>0</v>
      </c>
      <c r="BP14" s="387">
        <f t="shared" si="12"/>
        <v>3934.5696000000003</v>
      </c>
      <c r="BQ14" s="387">
        <f t="shared" si="13"/>
        <v>920.18160000000012</v>
      </c>
      <c r="BR14" s="387">
        <f t="shared" si="14"/>
        <v>7577.2195200000006</v>
      </c>
      <c r="BS14" s="387">
        <f t="shared" si="15"/>
        <v>457.55236800000006</v>
      </c>
      <c r="BT14" s="387">
        <f t="shared" si="16"/>
        <v>0</v>
      </c>
      <c r="BU14" s="387">
        <f t="shared" si="17"/>
        <v>351.25552800000003</v>
      </c>
      <c r="BV14" s="387">
        <f t="shared" si="18"/>
        <v>215.76671999999999</v>
      </c>
      <c r="BW14" s="387">
        <f t="shared" si="19"/>
        <v>0</v>
      </c>
      <c r="BX14" s="387">
        <f t="shared" si="34"/>
        <v>13456.545336000001</v>
      </c>
      <c r="BY14" s="387">
        <f t="shared" si="35"/>
        <v>0</v>
      </c>
      <c r="BZ14" s="387">
        <f t="shared" si="36"/>
        <v>0</v>
      </c>
      <c r="CA14" s="387">
        <f t="shared" si="37"/>
        <v>0</v>
      </c>
      <c r="CB14" s="387">
        <f t="shared" si="38"/>
        <v>0</v>
      </c>
      <c r="CC14" s="387">
        <f t="shared" si="20"/>
        <v>0</v>
      </c>
      <c r="CD14" s="387">
        <f t="shared" si="21"/>
        <v>0</v>
      </c>
      <c r="CE14" s="387">
        <f t="shared" si="22"/>
        <v>0</v>
      </c>
      <c r="CF14" s="387">
        <f t="shared" si="23"/>
        <v>-310.95792</v>
      </c>
      <c r="CG14" s="387">
        <f t="shared" si="24"/>
        <v>0</v>
      </c>
      <c r="CH14" s="387">
        <f t="shared" si="25"/>
        <v>44.422559999999983</v>
      </c>
      <c r="CI14" s="387">
        <f t="shared" si="26"/>
        <v>0</v>
      </c>
      <c r="CJ14" s="387">
        <f t="shared" si="39"/>
        <v>-266.53536000000003</v>
      </c>
      <c r="CK14" s="387" t="str">
        <f t="shared" si="40"/>
        <v/>
      </c>
      <c r="CL14" s="387" t="str">
        <f t="shared" si="41"/>
        <v/>
      </c>
      <c r="CM14" s="387" t="str">
        <f t="shared" si="42"/>
        <v/>
      </c>
      <c r="CN14" s="387" t="str">
        <f t="shared" si="43"/>
        <v>0348-31</v>
      </c>
    </row>
    <row r="15" spans="1:92" ht="15.75" thickBot="1" x14ac:dyDescent="0.3">
      <c r="A15" s="376" t="s">
        <v>161</v>
      </c>
      <c r="B15" s="376" t="s">
        <v>162</v>
      </c>
      <c r="C15" s="376" t="s">
        <v>269</v>
      </c>
      <c r="D15" s="376" t="s">
        <v>270</v>
      </c>
      <c r="E15" s="376" t="s">
        <v>224</v>
      </c>
      <c r="F15" s="382" t="s">
        <v>225</v>
      </c>
      <c r="G15" s="376" t="s">
        <v>167</v>
      </c>
      <c r="H15" s="378"/>
      <c r="I15" s="378"/>
      <c r="J15" s="376" t="s">
        <v>239</v>
      </c>
      <c r="K15" s="376" t="s">
        <v>271</v>
      </c>
      <c r="L15" s="376" t="s">
        <v>217</v>
      </c>
      <c r="M15" s="376" t="s">
        <v>272</v>
      </c>
      <c r="N15" s="376" t="s">
        <v>172</v>
      </c>
      <c r="O15" s="379">
        <v>0</v>
      </c>
      <c r="P15" s="385">
        <v>0.9</v>
      </c>
      <c r="Q15" s="385">
        <v>0.9</v>
      </c>
      <c r="R15" s="380">
        <v>80</v>
      </c>
      <c r="S15" s="385">
        <v>0.9</v>
      </c>
      <c r="T15" s="380">
        <v>0</v>
      </c>
      <c r="U15" s="380">
        <v>0</v>
      </c>
      <c r="V15" s="380">
        <v>0</v>
      </c>
      <c r="W15" s="380">
        <v>33752.160000000003</v>
      </c>
      <c r="X15" s="380">
        <v>14783.44</v>
      </c>
      <c r="Y15" s="380">
        <v>33752.160000000003</v>
      </c>
      <c r="Z15" s="380">
        <v>14614.67</v>
      </c>
      <c r="AA15" s="378"/>
      <c r="AB15" s="376" t="s">
        <v>45</v>
      </c>
      <c r="AC15" s="376" t="s">
        <v>45</v>
      </c>
      <c r="AD15" s="378"/>
      <c r="AE15" s="378"/>
      <c r="AF15" s="378"/>
      <c r="AG15" s="378"/>
      <c r="AH15" s="379">
        <v>0</v>
      </c>
      <c r="AI15" s="379">
        <v>0</v>
      </c>
      <c r="AJ15" s="378"/>
      <c r="AK15" s="378"/>
      <c r="AL15" s="376" t="s">
        <v>181</v>
      </c>
      <c r="AM15" s="378"/>
      <c r="AN15" s="378"/>
      <c r="AO15" s="379">
        <v>0</v>
      </c>
      <c r="AP15" s="385">
        <v>0</v>
      </c>
      <c r="AQ15" s="385">
        <v>0</v>
      </c>
      <c r="AR15" s="384"/>
      <c r="AS15" s="387">
        <f t="shared" si="27"/>
        <v>0</v>
      </c>
      <c r="AT15">
        <f t="shared" si="28"/>
        <v>0</v>
      </c>
      <c r="AU15" s="387" t="str">
        <f>IF(AT15=0,"",IF(AND(AT15=1,M15="F",SUMIF(C2:C1334,C15,AS2:AS1334)&lt;=1),SUMIF(C2:C1334,C15,AS2:AS1334),IF(AND(AT15=1,M15="F",SUMIF(C2:C1334,C15,AS2:AS1334)&gt;1),1,"")))</f>
        <v/>
      </c>
      <c r="AV15" s="387" t="str">
        <f>IF(AT15=0,"",IF(AND(AT15=3,M15="F",SUMIF(C2:C1334,C15,AS2:AS1334)&lt;=1),SUMIF(C2:C1334,C15,AS2:AS1334),IF(AND(AT15=3,M15="F",SUMIF(C2:C1334,C15,AS2:AS1334)&gt;1),1,"")))</f>
        <v/>
      </c>
      <c r="AW15" s="387">
        <f>SUMIF(C2:C1334,C15,O2:O1334)</f>
        <v>0</v>
      </c>
      <c r="AX15" s="387">
        <f>IF(AND(M15="F",AS15&lt;&gt;0),SUMIF(C2:C1334,C15,W2:W1334),0)</f>
        <v>0</v>
      </c>
      <c r="AY15" s="387" t="str">
        <f t="shared" si="29"/>
        <v/>
      </c>
      <c r="AZ15" s="387" t="str">
        <f t="shared" si="30"/>
        <v/>
      </c>
      <c r="BA15" s="387">
        <f t="shared" si="31"/>
        <v>0</v>
      </c>
      <c r="BB15" s="387">
        <f t="shared" si="0"/>
        <v>0</v>
      </c>
      <c r="BC15" s="387">
        <f t="shared" si="1"/>
        <v>0</v>
      </c>
      <c r="BD15" s="387">
        <f t="shared" si="2"/>
        <v>0</v>
      </c>
      <c r="BE15" s="387">
        <f t="shared" si="3"/>
        <v>0</v>
      </c>
      <c r="BF15" s="387">
        <f t="shared" si="4"/>
        <v>0</v>
      </c>
      <c r="BG15" s="387">
        <f t="shared" si="5"/>
        <v>0</v>
      </c>
      <c r="BH15" s="387">
        <f t="shared" si="6"/>
        <v>0</v>
      </c>
      <c r="BI15" s="387">
        <f t="shared" si="7"/>
        <v>0</v>
      </c>
      <c r="BJ15" s="387">
        <f t="shared" si="8"/>
        <v>0</v>
      </c>
      <c r="BK15" s="387">
        <f t="shared" si="9"/>
        <v>0</v>
      </c>
      <c r="BL15" s="387">
        <f t="shared" si="32"/>
        <v>0</v>
      </c>
      <c r="BM15" s="387">
        <f t="shared" si="33"/>
        <v>0</v>
      </c>
      <c r="BN15" s="387">
        <f t="shared" si="10"/>
        <v>0</v>
      </c>
      <c r="BO15" s="387">
        <f t="shared" si="11"/>
        <v>0</v>
      </c>
      <c r="BP15" s="387">
        <f t="shared" si="12"/>
        <v>0</v>
      </c>
      <c r="BQ15" s="387">
        <f t="shared" si="13"/>
        <v>0</v>
      </c>
      <c r="BR15" s="387">
        <f t="shared" si="14"/>
        <v>0</v>
      </c>
      <c r="BS15" s="387">
        <f t="shared" si="15"/>
        <v>0</v>
      </c>
      <c r="BT15" s="387">
        <f t="shared" si="16"/>
        <v>0</v>
      </c>
      <c r="BU15" s="387">
        <f t="shared" si="17"/>
        <v>0</v>
      </c>
      <c r="BV15" s="387">
        <f t="shared" si="18"/>
        <v>0</v>
      </c>
      <c r="BW15" s="387">
        <f t="shared" si="19"/>
        <v>0</v>
      </c>
      <c r="BX15" s="387">
        <f t="shared" si="34"/>
        <v>0</v>
      </c>
      <c r="BY15" s="387">
        <f t="shared" si="35"/>
        <v>0</v>
      </c>
      <c r="BZ15" s="387">
        <f t="shared" si="36"/>
        <v>0</v>
      </c>
      <c r="CA15" s="387">
        <f t="shared" si="37"/>
        <v>0</v>
      </c>
      <c r="CB15" s="387">
        <f t="shared" si="38"/>
        <v>0</v>
      </c>
      <c r="CC15" s="387">
        <f t="shared" si="20"/>
        <v>0</v>
      </c>
      <c r="CD15" s="387">
        <f t="shared" si="21"/>
        <v>0</v>
      </c>
      <c r="CE15" s="387">
        <f t="shared" si="22"/>
        <v>0</v>
      </c>
      <c r="CF15" s="387">
        <f t="shared" si="23"/>
        <v>0</v>
      </c>
      <c r="CG15" s="387">
        <f t="shared" si="24"/>
        <v>0</v>
      </c>
      <c r="CH15" s="387">
        <f t="shared" si="25"/>
        <v>0</v>
      </c>
      <c r="CI15" s="387">
        <f t="shared" si="26"/>
        <v>0</v>
      </c>
      <c r="CJ15" s="387">
        <f t="shared" si="39"/>
        <v>0</v>
      </c>
      <c r="CK15" s="387" t="str">
        <f t="shared" si="40"/>
        <v/>
      </c>
      <c r="CL15" s="387" t="str">
        <f t="shared" si="41"/>
        <v/>
      </c>
      <c r="CM15" s="387" t="str">
        <f t="shared" si="42"/>
        <v/>
      </c>
      <c r="CN15" s="387" t="str">
        <f t="shared" si="43"/>
        <v>0348-31</v>
      </c>
    </row>
    <row r="16" spans="1:92" ht="15.75" thickBot="1" x14ac:dyDescent="0.3">
      <c r="A16" s="376" t="s">
        <v>161</v>
      </c>
      <c r="B16" s="376" t="s">
        <v>162</v>
      </c>
      <c r="C16" s="376" t="s">
        <v>273</v>
      </c>
      <c r="D16" s="376" t="s">
        <v>274</v>
      </c>
      <c r="E16" s="376" t="s">
        <v>224</v>
      </c>
      <c r="F16" s="382" t="s">
        <v>225</v>
      </c>
      <c r="G16" s="376" t="s">
        <v>167</v>
      </c>
      <c r="H16" s="378"/>
      <c r="I16" s="378"/>
      <c r="J16" s="376" t="s">
        <v>215</v>
      </c>
      <c r="K16" s="376" t="s">
        <v>275</v>
      </c>
      <c r="L16" s="376" t="s">
        <v>178</v>
      </c>
      <c r="M16" s="376" t="s">
        <v>171</v>
      </c>
      <c r="N16" s="376" t="s">
        <v>172</v>
      </c>
      <c r="O16" s="379">
        <v>1</v>
      </c>
      <c r="P16" s="385">
        <v>1</v>
      </c>
      <c r="Q16" s="385">
        <v>1</v>
      </c>
      <c r="R16" s="380">
        <v>80</v>
      </c>
      <c r="S16" s="385">
        <v>1</v>
      </c>
      <c r="T16" s="380">
        <v>0</v>
      </c>
      <c r="U16" s="380">
        <v>0</v>
      </c>
      <c r="V16" s="380">
        <v>0</v>
      </c>
      <c r="W16" s="380">
        <v>36899.199999999997</v>
      </c>
      <c r="X16" s="380">
        <v>19629.419999999998</v>
      </c>
      <c r="Y16" s="380">
        <v>36899.199999999997</v>
      </c>
      <c r="Z16" s="380">
        <v>19474.45</v>
      </c>
      <c r="AA16" s="376" t="s">
        <v>276</v>
      </c>
      <c r="AB16" s="376" t="s">
        <v>277</v>
      </c>
      <c r="AC16" s="376" t="s">
        <v>278</v>
      </c>
      <c r="AD16" s="376" t="s">
        <v>279</v>
      </c>
      <c r="AE16" s="376" t="s">
        <v>275</v>
      </c>
      <c r="AF16" s="376" t="s">
        <v>253</v>
      </c>
      <c r="AG16" s="376" t="s">
        <v>178</v>
      </c>
      <c r="AH16" s="381">
        <v>17.739999999999998</v>
      </c>
      <c r="AI16" s="381">
        <v>21550.1</v>
      </c>
      <c r="AJ16" s="376" t="s">
        <v>179</v>
      </c>
      <c r="AK16" s="376" t="s">
        <v>180</v>
      </c>
      <c r="AL16" s="376" t="s">
        <v>181</v>
      </c>
      <c r="AM16" s="376" t="s">
        <v>182</v>
      </c>
      <c r="AN16" s="376" t="s">
        <v>68</v>
      </c>
      <c r="AO16" s="379">
        <v>80</v>
      </c>
      <c r="AP16" s="385">
        <v>1</v>
      </c>
      <c r="AQ16" s="385">
        <v>1</v>
      </c>
      <c r="AR16" s="383" t="s">
        <v>183</v>
      </c>
      <c r="AS16" s="387">
        <f t="shared" si="27"/>
        <v>1</v>
      </c>
      <c r="AT16">
        <f t="shared" si="28"/>
        <v>1</v>
      </c>
      <c r="AU16" s="387">
        <f>IF(AT16=0,"",IF(AND(AT16=1,M16="F",SUMIF(C2:C1334,C16,AS2:AS1334)&lt;=1),SUMIF(C2:C1334,C16,AS2:AS1334),IF(AND(AT16=1,M16="F",SUMIF(C2:C1334,C16,AS2:AS1334)&gt;1),1,"")))</f>
        <v>1</v>
      </c>
      <c r="AV16" s="387" t="str">
        <f>IF(AT16=0,"",IF(AND(AT16=3,M16="F",SUMIF(C2:C1334,C16,AS2:AS1334)&lt;=1),SUMIF(C2:C1334,C16,AS2:AS1334),IF(AND(AT16=3,M16="F",SUMIF(C2:C1334,C16,AS2:AS1334)&gt;1),1,"")))</f>
        <v/>
      </c>
      <c r="AW16" s="387">
        <f>SUMIF(C2:C1334,C16,O2:O1334)</f>
        <v>2</v>
      </c>
      <c r="AX16" s="387">
        <f>IF(AND(M16="F",AS16&lt;&gt;0),SUMIF(C2:C1334,C16,W2:W1334),0)</f>
        <v>36899.199999999997</v>
      </c>
      <c r="AY16" s="387">
        <f t="shared" si="29"/>
        <v>36899.199999999997</v>
      </c>
      <c r="AZ16" s="387" t="str">
        <f t="shared" si="30"/>
        <v/>
      </c>
      <c r="BA16" s="387">
        <f t="shared" si="31"/>
        <v>0</v>
      </c>
      <c r="BB16" s="387">
        <f t="shared" si="0"/>
        <v>11650</v>
      </c>
      <c r="BC16" s="387">
        <f t="shared" si="1"/>
        <v>0</v>
      </c>
      <c r="BD16" s="387">
        <f t="shared" si="2"/>
        <v>2287.7503999999999</v>
      </c>
      <c r="BE16" s="387">
        <f t="shared" si="3"/>
        <v>535.03840000000002</v>
      </c>
      <c r="BF16" s="387">
        <f t="shared" si="4"/>
        <v>4405.7644799999998</v>
      </c>
      <c r="BG16" s="387">
        <f t="shared" si="5"/>
        <v>266.04323199999999</v>
      </c>
      <c r="BH16" s="387">
        <f t="shared" si="6"/>
        <v>180.80607999999998</v>
      </c>
      <c r="BI16" s="387">
        <f t="shared" si="7"/>
        <v>204.23707199999998</v>
      </c>
      <c r="BJ16" s="387">
        <f t="shared" si="8"/>
        <v>99.627839999999992</v>
      </c>
      <c r="BK16" s="387">
        <f t="shared" si="9"/>
        <v>0</v>
      </c>
      <c r="BL16" s="387">
        <f t="shared" si="32"/>
        <v>7979.2675040000004</v>
      </c>
      <c r="BM16" s="387">
        <f t="shared" si="33"/>
        <v>0</v>
      </c>
      <c r="BN16" s="387">
        <f t="shared" si="10"/>
        <v>11650</v>
      </c>
      <c r="BO16" s="387">
        <f t="shared" si="11"/>
        <v>0</v>
      </c>
      <c r="BP16" s="387">
        <f t="shared" si="12"/>
        <v>2287.7503999999999</v>
      </c>
      <c r="BQ16" s="387">
        <f t="shared" si="13"/>
        <v>535.03840000000002</v>
      </c>
      <c r="BR16" s="387">
        <f t="shared" si="14"/>
        <v>4405.7644799999998</v>
      </c>
      <c r="BS16" s="387">
        <f t="shared" si="15"/>
        <v>266.04323199999999</v>
      </c>
      <c r="BT16" s="387">
        <f t="shared" si="16"/>
        <v>0</v>
      </c>
      <c r="BU16" s="387">
        <f t="shared" si="17"/>
        <v>204.23707199999998</v>
      </c>
      <c r="BV16" s="387">
        <f t="shared" si="18"/>
        <v>125.45727999999998</v>
      </c>
      <c r="BW16" s="387">
        <f t="shared" si="19"/>
        <v>0</v>
      </c>
      <c r="BX16" s="387">
        <f t="shared" si="34"/>
        <v>7824.2908639999996</v>
      </c>
      <c r="BY16" s="387">
        <f t="shared" si="35"/>
        <v>0</v>
      </c>
      <c r="BZ16" s="387">
        <f t="shared" si="36"/>
        <v>0</v>
      </c>
      <c r="CA16" s="387">
        <f t="shared" si="37"/>
        <v>0</v>
      </c>
      <c r="CB16" s="387">
        <f t="shared" si="38"/>
        <v>0</v>
      </c>
      <c r="CC16" s="387">
        <f t="shared" si="20"/>
        <v>0</v>
      </c>
      <c r="CD16" s="387">
        <f t="shared" si="21"/>
        <v>0</v>
      </c>
      <c r="CE16" s="387">
        <f t="shared" si="22"/>
        <v>0</v>
      </c>
      <c r="CF16" s="387">
        <f t="shared" si="23"/>
        <v>-180.80607999999998</v>
      </c>
      <c r="CG16" s="387">
        <f t="shared" si="24"/>
        <v>0</v>
      </c>
      <c r="CH16" s="387">
        <f t="shared" si="25"/>
        <v>25.829439999999984</v>
      </c>
      <c r="CI16" s="387">
        <f t="shared" si="26"/>
        <v>0</v>
      </c>
      <c r="CJ16" s="387">
        <f t="shared" si="39"/>
        <v>-154.97664</v>
      </c>
      <c r="CK16" s="387" t="str">
        <f t="shared" si="40"/>
        <v/>
      </c>
      <c r="CL16" s="387" t="str">
        <f t="shared" si="41"/>
        <v/>
      </c>
      <c r="CM16" s="387" t="str">
        <f t="shared" si="42"/>
        <v/>
      </c>
      <c r="CN16" s="387" t="str">
        <f t="shared" si="43"/>
        <v>0348-31</v>
      </c>
    </row>
    <row r="17" spans="1:92" ht="15.75" thickBot="1" x14ac:dyDescent="0.3">
      <c r="A17" s="376" t="s">
        <v>161</v>
      </c>
      <c r="B17" s="376" t="s">
        <v>162</v>
      </c>
      <c r="C17" s="376" t="s">
        <v>280</v>
      </c>
      <c r="D17" s="376" t="s">
        <v>255</v>
      </c>
      <c r="E17" s="376" t="s">
        <v>224</v>
      </c>
      <c r="F17" s="382" t="s">
        <v>225</v>
      </c>
      <c r="G17" s="376" t="s">
        <v>167</v>
      </c>
      <c r="H17" s="378"/>
      <c r="I17" s="378"/>
      <c r="J17" s="376" t="s">
        <v>205</v>
      </c>
      <c r="K17" s="376" t="s">
        <v>256</v>
      </c>
      <c r="L17" s="376" t="s">
        <v>166</v>
      </c>
      <c r="M17" s="376" t="s">
        <v>171</v>
      </c>
      <c r="N17" s="376" t="s">
        <v>257</v>
      </c>
      <c r="O17" s="379">
        <v>1</v>
      </c>
      <c r="P17" s="385">
        <v>0.05</v>
      </c>
      <c r="Q17" s="385">
        <v>0.05</v>
      </c>
      <c r="R17" s="380">
        <v>80</v>
      </c>
      <c r="S17" s="385">
        <v>0.05</v>
      </c>
      <c r="T17" s="380">
        <v>0</v>
      </c>
      <c r="U17" s="380">
        <v>0</v>
      </c>
      <c r="V17" s="380">
        <v>0</v>
      </c>
      <c r="W17" s="380">
        <v>6163.04</v>
      </c>
      <c r="X17" s="380">
        <v>1881.11</v>
      </c>
      <c r="Y17" s="380">
        <v>6163.04</v>
      </c>
      <c r="Z17" s="380">
        <v>1855.22</v>
      </c>
      <c r="AA17" s="376" t="s">
        <v>281</v>
      </c>
      <c r="AB17" s="376" t="s">
        <v>282</v>
      </c>
      <c r="AC17" s="376" t="s">
        <v>283</v>
      </c>
      <c r="AD17" s="376" t="s">
        <v>210</v>
      </c>
      <c r="AE17" s="376" t="s">
        <v>256</v>
      </c>
      <c r="AF17" s="376" t="s">
        <v>261</v>
      </c>
      <c r="AG17" s="376" t="s">
        <v>178</v>
      </c>
      <c r="AH17" s="381">
        <v>59.26</v>
      </c>
      <c r="AI17" s="381">
        <v>47005.3</v>
      </c>
      <c r="AJ17" s="376" t="s">
        <v>179</v>
      </c>
      <c r="AK17" s="376" t="s">
        <v>180</v>
      </c>
      <c r="AL17" s="376" t="s">
        <v>181</v>
      </c>
      <c r="AM17" s="376" t="s">
        <v>182</v>
      </c>
      <c r="AN17" s="376" t="s">
        <v>68</v>
      </c>
      <c r="AO17" s="379">
        <v>80</v>
      </c>
      <c r="AP17" s="385">
        <v>1</v>
      </c>
      <c r="AQ17" s="385">
        <v>0.05</v>
      </c>
      <c r="AR17" s="383" t="s">
        <v>183</v>
      </c>
      <c r="AS17" s="387">
        <f t="shared" si="27"/>
        <v>0.05</v>
      </c>
      <c r="AT17">
        <f t="shared" si="28"/>
        <v>1</v>
      </c>
      <c r="AU17" s="387">
        <f>IF(AT17=0,"",IF(AND(AT17=1,M17="F",SUMIF(C2:C1334,C17,AS2:AS1334)&lt;=1),SUMIF(C2:C1334,C17,AS2:AS1334),IF(AND(AT17=1,M17="F",SUMIF(C2:C1334,C17,AS2:AS1334)&gt;1),1,"")))</f>
        <v>1</v>
      </c>
      <c r="AV17" s="387" t="str">
        <f>IF(AT17=0,"",IF(AND(AT17=3,M17="F",SUMIF(C2:C1334,C17,AS2:AS1334)&lt;=1),SUMIF(C2:C1334,C17,AS2:AS1334),IF(AND(AT17=3,M17="F",SUMIF(C2:C1334,C17,AS2:AS1334)&gt;1),1,"")))</f>
        <v/>
      </c>
      <c r="AW17" s="387">
        <f>SUMIF(C2:C1334,C17,O2:O1334)</f>
        <v>3</v>
      </c>
      <c r="AX17" s="387">
        <f>IF(AND(M17="F",AS17&lt;&gt;0),SUMIF(C2:C1334,C17,W2:W1334),0)</f>
        <v>123260.79999999999</v>
      </c>
      <c r="AY17" s="387">
        <f t="shared" si="29"/>
        <v>6163.04</v>
      </c>
      <c r="AZ17" s="387" t="str">
        <f t="shared" si="30"/>
        <v/>
      </c>
      <c r="BA17" s="387">
        <f t="shared" si="31"/>
        <v>0</v>
      </c>
      <c r="BB17" s="387">
        <f t="shared" si="0"/>
        <v>582.5</v>
      </c>
      <c r="BC17" s="387">
        <f t="shared" si="1"/>
        <v>0</v>
      </c>
      <c r="BD17" s="387">
        <f t="shared" si="2"/>
        <v>382.10847999999999</v>
      </c>
      <c r="BE17" s="387">
        <f t="shared" si="3"/>
        <v>89.364080000000001</v>
      </c>
      <c r="BF17" s="387">
        <f t="shared" si="4"/>
        <v>735.86697600000002</v>
      </c>
      <c r="BG17" s="387">
        <f t="shared" si="5"/>
        <v>44.435518399999999</v>
      </c>
      <c r="BH17" s="387">
        <f t="shared" si="6"/>
        <v>30.198895999999998</v>
      </c>
      <c r="BI17" s="387">
        <f t="shared" si="7"/>
        <v>0</v>
      </c>
      <c r="BJ17" s="387">
        <f t="shared" si="8"/>
        <v>16.640208000000001</v>
      </c>
      <c r="BK17" s="387">
        <f t="shared" si="9"/>
        <v>0</v>
      </c>
      <c r="BL17" s="387">
        <f t="shared" si="32"/>
        <v>1298.6141584000002</v>
      </c>
      <c r="BM17" s="387">
        <f t="shared" si="33"/>
        <v>0</v>
      </c>
      <c r="BN17" s="387">
        <f t="shared" si="10"/>
        <v>582.5</v>
      </c>
      <c r="BO17" s="387">
        <f t="shared" si="11"/>
        <v>0</v>
      </c>
      <c r="BP17" s="387">
        <f t="shared" si="12"/>
        <v>382.10847999999999</v>
      </c>
      <c r="BQ17" s="387">
        <f t="shared" si="13"/>
        <v>89.364080000000001</v>
      </c>
      <c r="BR17" s="387">
        <f t="shared" si="14"/>
        <v>735.86697600000002</v>
      </c>
      <c r="BS17" s="387">
        <f t="shared" si="15"/>
        <v>44.435518399999999</v>
      </c>
      <c r="BT17" s="387">
        <f t="shared" si="16"/>
        <v>0</v>
      </c>
      <c r="BU17" s="387">
        <f t="shared" si="17"/>
        <v>0</v>
      </c>
      <c r="BV17" s="387">
        <f t="shared" si="18"/>
        <v>20.954335999999998</v>
      </c>
      <c r="BW17" s="387">
        <f t="shared" si="19"/>
        <v>0</v>
      </c>
      <c r="BX17" s="387">
        <f t="shared" si="34"/>
        <v>1272.7293904000001</v>
      </c>
      <c r="BY17" s="387">
        <f t="shared" si="35"/>
        <v>0</v>
      </c>
      <c r="BZ17" s="387">
        <f t="shared" si="36"/>
        <v>0</v>
      </c>
      <c r="CA17" s="387">
        <f t="shared" si="37"/>
        <v>0</v>
      </c>
      <c r="CB17" s="387">
        <f t="shared" si="38"/>
        <v>0</v>
      </c>
      <c r="CC17" s="387">
        <f t="shared" si="20"/>
        <v>0</v>
      </c>
      <c r="CD17" s="387">
        <f t="shared" si="21"/>
        <v>0</v>
      </c>
      <c r="CE17" s="387">
        <f t="shared" si="22"/>
        <v>0</v>
      </c>
      <c r="CF17" s="387">
        <f t="shared" si="23"/>
        <v>-30.198895999999998</v>
      </c>
      <c r="CG17" s="387">
        <f t="shared" si="24"/>
        <v>0</v>
      </c>
      <c r="CH17" s="387">
        <f t="shared" si="25"/>
        <v>4.3141279999999975</v>
      </c>
      <c r="CI17" s="387">
        <f t="shared" si="26"/>
        <v>0</v>
      </c>
      <c r="CJ17" s="387">
        <f t="shared" si="39"/>
        <v>-25.884768000000001</v>
      </c>
      <c r="CK17" s="387" t="str">
        <f t="shared" si="40"/>
        <v/>
      </c>
      <c r="CL17" s="387" t="str">
        <f t="shared" si="41"/>
        <v/>
      </c>
      <c r="CM17" s="387" t="str">
        <f t="shared" si="42"/>
        <v/>
      </c>
      <c r="CN17" s="387" t="str">
        <f t="shared" si="43"/>
        <v>0348-31</v>
      </c>
    </row>
    <row r="18" spans="1:92" ht="15.75" thickBot="1" x14ac:dyDescent="0.3">
      <c r="A18" s="376" t="s">
        <v>161</v>
      </c>
      <c r="B18" s="376" t="s">
        <v>162</v>
      </c>
      <c r="C18" s="376" t="s">
        <v>284</v>
      </c>
      <c r="D18" s="376" t="s">
        <v>238</v>
      </c>
      <c r="E18" s="376" t="s">
        <v>224</v>
      </c>
      <c r="F18" s="382" t="s">
        <v>225</v>
      </c>
      <c r="G18" s="376" t="s">
        <v>167</v>
      </c>
      <c r="H18" s="378"/>
      <c r="I18" s="378"/>
      <c r="J18" s="376" t="s">
        <v>215</v>
      </c>
      <c r="K18" s="376" t="s">
        <v>285</v>
      </c>
      <c r="L18" s="376" t="s">
        <v>170</v>
      </c>
      <c r="M18" s="376" t="s">
        <v>272</v>
      </c>
      <c r="N18" s="376" t="s">
        <v>172</v>
      </c>
      <c r="O18" s="379">
        <v>0</v>
      </c>
      <c r="P18" s="385">
        <v>1</v>
      </c>
      <c r="Q18" s="385">
        <v>1</v>
      </c>
      <c r="R18" s="380">
        <v>80</v>
      </c>
      <c r="S18" s="385">
        <v>1</v>
      </c>
      <c r="T18" s="380">
        <v>0</v>
      </c>
      <c r="U18" s="380">
        <v>0</v>
      </c>
      <c r="V18" s="380">
        <v>0</v>
      </c>
      <c r="W18" s="380">
        <v>53476.800000000003</v>
      </c>
      <c r="X18" s="380">
        <v>23422.83</v>
      </c>
      <c r="Y18" s="380">
        <v>53476.800000000003</v>
      </c>
      <c r="Z18" s="380">
        <v>23155.45</v>
      </c>
      <c r="AA18" s="378"/>
      <c r="AB18" s="376" t="s">
        <v>45</v>
      </c>
      <c r="AC18" s="376" t="s">
        <v>45</v>
      </c>
      <c r="AD18" s="378"/>
      <c r="AE18" s="378"/>
      <c r="AF18" s="378"/>
      <c r="AG18" s="378"/>
      <c r="AH18" s="379">
        <v>0</v>
      </c>
      <c r="AI18" s="379">
        <v>0</v>
      </c>
      <c r="AJ18" s="378"/>
      <c r="AK18" s="378"/>
      <c r="AL18" s="376" t="s">
        <v>181</v>
      </c>
      <c r="AM18" s="378"/>
      <c r="AN18" s="378"/>
      <c r="AO18" s="379">
        <v>0</v>
      </c>
      <c r="AP18" s="385">
        <v>0</v>
      </c>
      <c r="AQ18" s="385">
        <v>0</v>
      </c>
      <c r="AR18" s="384"/>
      <c r="AS18" s="387">
        <f t="shared" si="27"/>
        <v>0</v>
      </c>
      <c r="AT18">
        <f t="shared" si="28"/>
        <v>0</v>
      </c>
      <c r="AU18" s="387" t="str">
        <f>IF(AT18=0,"",IF(AND(AT18=1,M18="F",SUMIF(C2:C1334,C18,AS2:AS1334)&lt;=1),SUMIF(C2:C1334,C18,AS2:AS1334),IF(AND(AT18=1,M18="F",SUMIF(C2:C1334,C18,AS2:AS1334)&gt;1),1,"")))</f>
        <v/>
      </c>
      <c r="AV18" s="387" t="str">
        <f>IF(AT18=0,"",IF(AND(AT18=3,M18="F",SUMIF(C2:C1334,C18,AS2:AS1334)&lt;=1),SUMIF(C2:C1334,C18,AS2:AS1334),IF(AND(AT18=3,M18="F",SUMIF(C2:C1334,C18,AS2:AS1334)&gt;1),1,"")))</f>
        <v/>
      </c>
      <c r="AW18" s="387">
        <f>SUMIF(C2:C1334,C18,O2:O1334)</f>
        <v>0</v>
      </c>
      <c r="AX18" s="387">
        <f>IF(AND(M18="F",AS18&lt;&gt;0),SUMIF(C2:C1334,C18,W2:W1334),0)</f>
        <v>0</v>
      </c>
      <c r="AY18" s="387" t="str">
        <f t="shared" si="29"/>
        <v/>
      </c>
      <c r="AZ18" s="387" t="str">
        <f t="shared" si="30"/>
        <v/>
      </c>
      <c r="BA18" s="387">
        <f t="shared" si="31"/>
        <v>0</v>
      </c>
      <c r="BB18" s="387">
        <f t="shared" si="0"/>
        <v>0</v>
      </c>
      <c r="BC18" s="387">
        <f t="shared" si="1"/>
        <v>0</v>
      </c>
      <c r="BD18" s="387">
        <f t="shared" si="2"/>
        <v>0</v>
      </c>
      <c r="BE18" s="387">
        <f t="shared" si="3"/>
        <v>0</v>
      </c>
      <c r="BF18" s="387">
        <f t="shared" si="4"/>
        <v>0</v>
      </c>
      <c r="BG18" s="387">
        <f t="shared" si="5"/>
        <v>0</v>
      </c>
      <c r="BH18" s="387">
        <f t="shared" si="6"/>
        <v>0</v>
      </c>
      <c r="BI18" s="387">
        <f t="shared" si="7"/>
        <v>0</v>
      </c>
      <c r="BJ18" s="387">
        <f t="shared" si="8"/>
        <v>0</v>
      </c>
      <c r="BK18" s="387">
        <f t="shared" si="9"/>
        <v>0</v>
      </c>
      <c r="BL18" s="387">
        <f t="shared" si="32"/>
        <v>0</v>
      </c>
      <c r="BM18" s="387">
        <f t="shared" si="33"/>
        <v>0</v>
      </c>
      <c r="BN18" s="387">
        <f t="shared" si="10"/>
        <v>0</v>
      </c>
      <c r="BO18" s="387">
        <f t="shared" si="11"/>
        <v>0</v>
      </c>
      <c r="BP18" s="387">
        <f t="shared" si="12"/>
        <v>0</v>
      </c>
      <c r="BQ18" s="387">
        <f t="shared" si="13"/>
        <v>0</v>
      </c>
      <c r="BR18" s="387">
        <f t="shared" si="14"/>
        <v>0</v>
      </c>
      <c r="BS18" s="387">
        <f t="shared" si="15"/>
        <v>0</v>
      </c>
      <c r="BT18" s="387">
        <f t="shared" si="16"/>
        <v>0</v>
      </c>
      <c r="BU18" s="387">
        <f t="shared" si="17"/>
        <v>0</v>
      </c>
      <c r="BV18" s="387">
        <f t="shared" si="18"/>
        <v>0</v>
      </c>
      <c r="BW18" s="387">
        <f t="shared" si="19"/>
        <v>0</v>
      </c>
      <c r="BX18" s="387">
        <f t="shared" si="34"/>
        <v>0</v>
      </c>
      <c r="BY18" s="387">
        <f t="shared" si="35"/>
        <v>0</v>
      </c>
      <c r="BZ18" s="387">
        <f t="shared" si="36"/>
        <v>0</v>
      </c>
      <c r="CA18" s="387">
        <f t="shared" si="37"/>
        <v>0</v>
      </c>
      <c r="CB18" s="387">
        <f t="shared" si="38"/>
        <v>0</v>
      </c>
      <c r="CC18" s="387">
        <f t="shared" si="20"/>
        <v>0</v>
      </c>
      <c r="CD18" s="387">
        <f t="shared" si="21"/>
        <v>0</v>
      </c>
      <c r="CE18" s="387">
        <f t="shared" si="22"/>
        <v>0</v>
      </c>
      <c r="CF18" s="387">
        <f t="shared" si="23"/>
        <v>0</v>
      </c>
      <c r="CG18" s="387">
        <f t="shared" si="24"/>
        <v>0</v>
      </c>
      <c r="CH18" s="387">
        <f t="shared" si="25"/>
        <v>0</v>
      </c>
      <c r="CI18" s="387">
        <f t="shared" si="26"/>
        <v>0</v>
      </c>
      <c r="CJ18" s="387">
        <f t="shared" si="39"/>
        <v>0</v>
      </c>
      <c r="CK18" s="387" t="str">
        <f t="shared" si="40"/>
        <v/>
      </c>
      <c r="CL18" s="387" t="str">
        <f t="shared" si="41"/>
        <v/>
      </c>
      <c r="CM18" s="387" t="str">
        <f t="shared" si="42"/>
        <v/>
      </c>
      <c r="CN18" s="387" t="str">
        <f t="shared" si="43"/>
        <v>0348-31</v>
      </c>
    </row>
    <row r="19" spans="1:92" ht="15.75" thickBot="1" x14ac:dyDescent="0.3">
      <c r="A19" s="376" t="s">
        <v>161</v>
      </c>
      <c r="B19" s="376" t="s">
        <v>162</v>
      </c>
      <c r="C19" s="376" t="s">
        <v>286</v>
      </c>
      <c r="D19" s="376" t="s">
        <v>287</v>
      </c>
      <c r="E19" s="376" t="s">
        <v>224</v>
      </c>
      <c r="F19" s="382" t="s">
        <v>225</v>
      </c>
      <c r="G19" s="376" t="s">
        <v>167</v>
      </c>
      <c r="H19" s="378"/>
      <c r="I19" s="378"/>
      <c r="J19" s="376" t="s">
        <v>288</v>
      </c>
      <c r="K19" s="376" t="s">
        <v>289</v>
      </c>
      <c r="L19" s="376" t="s">
        <v>170</v>
      </c>
      <c r="M19" s="376" t="s">
        <v>171</v>
      </c>
      <c r="N19" s="376" t="s">
        <v>172</v>
      </c>
      <c r="O19" s="379">
        <v>1</v>
      </c>
      <c r="P19" s="385">
        <v>0.6</v>
      </c>
      <c r="Q19" s="385">
        <v>0.6</v>
      </c>
      <c r="R19" s="380">
        <v>80</v>
      </c>
      <c r="S19" s="385">
        <v>0.6</v>
      </c>
      <c r="T19" s="380">
        <v>0</v>
      </c>
      <c r="U19" s="380">
        <v>0</v>
      </c>
      <c r="V19" s="380">
        <v>0</v>
      </c>
      <c r="W19" s="380">
        <v>36915.839999999997</v>
      </c>
      <c r="X19" s="380">
        <v>14973.02</v>
      </c>
      <c r="Y19" s="380">
        <v>36915.839999999997</v>
      </c>
      <c r="Z19" s="380">
        <v>14817.98</v>
      </c>
      <c r="AA19" s="376" t="s">
        <v>290</v>
      </c>
      <c r="AB19" s="376" t="s">
        <v>291</v>
      </c>
      <c r="AC19" s="376" t="s">
        <v>292</v>
      </c>
      <c r="AD19" s="376" t="s">
        <v>210</v>
      </c>
      <c r="AE19" s="376" t="s">
        <v>289</v>
      </c>
      <c r="AF19" s="376" t="s">
        <v>177</v>
      </c>
      <c r="AG19" s="376" t="s">
        <v>178</v>
      </c>
      <c r="AH19" s="381">
        <v>29.58</v>
      </c>
      <c r="AI19" s="379">
        <v>41341</v>
      </c>
      <c r="AJ19" s="376" t="s">
        <v>179</v>
      </c>
      <c r="AK19" s="376" t="s">
        <v>180</v>
      </c>
      <c r="AL19" s="376" t="s">
        <v>181</v>
      </c>
      <c r="AM19" s="376" t="s">
        <v>182</v>
      </c>
      <c r="AN19" s="376" t="s">
        <v>68</v>
      </c>
      <c r="AO19" s="379">
        <v>80</v>
      </c>
      <c r="AP19" s="385">
        <v>1</v>
      </c>
      <c r="AQ19" s="385">
        <v>0.6</v>
      </c>
      <c r="AR19" s="383" t="s">
        <v>183</v>
      </c>
      <c r="AS19" s="387">
        <f t="shared" si="27"/>
        <v>0.6</v>
      </c>
      <c r="AT19">
        <f t="shared" si="28"/>
        <v>1</v>
      </c>
      <c r="AU19" s="387">
        <f>IF(AT19=0,"",IF(AND(AT19=1,M19="F",SUMIF(C2:C1334,C19,AS2:AS1334)&lt;=1),SUMIF(C2:C1334,C19,AS2:AS1334),IF(AND(AT19=1,M19="F",SUMIF(C2:C1334,C19,AS2:AS1334)&gt;1),1,"")))</f>
        <v>1</v>
      </c>
      <c r="AV19" s="387" t="str">
        <f>IF(AT19=0,"",IF(AND(AT19=3,M19="F",SUMIF(C2:C1334,C19,AS2:AS1334)&lt;=1),SUMIF(C2:C1334,C19,AS2:AS1334),IF(AND(AT19=3,M19="F",SUMIF(C2:C1334,C19,AS2:AS1334)&gt;1),1,"")))</f>
        <v/>
      </c>
      <c r="AW19" s="387">
        <f>SUMIF(C2:C1334,C19,O2:O1334)</f>
        <v>7</v>
      </c>
      <c r="AX19" s="387">
        <f>IF(AND(M19="F",AS19&lt;&gt;0),SUMIF(C2:C1334,C19,W2:W1334),0)</f>
        <v>61526.399999999994</v>
      </c>
      <c r="AY19" s="387">
        <f t="shared" si="29"/>
        <v>36915.839999999997</v>
      </c>
      <c r="AZ19" s="387" t="str">
        <f t="shared" si="30"/>
        <v/>
      </c>
      <c r="BA19" s="387">
        <f t="shared" si="31"/>
        <v>0</v>
      </c>
      <c r="BB19" s="387">
        <f t="shared" si="0"/>
        <v>6990</v>
      </c>
      <c r="BC19" s="387">
        <f t="shared" si="1"/>
        <v>0</v>
      </c>
      <c r="BD19" s="387">
        <f t="shared" si="2"/>
        <v>2288.78208</v>
      </c>
      <c r="BE19" s="387">
        <f t="shared" si="3"/>
        <v>535.27967999999998</v>
      </c>
      <c r="BF19" s="387">
        <f t="shared" si="4"/>
        <v>4407.7512959999995</v>
      </c>
      <c r="BG19" s="387">
        <f t="shared" si="5"/>
        <v>266.16320639999998</v>
      </c>
      <c r="BH19" s="387">
        <f t="shared" si="6"/>
        <v>180.88761599999998</v>
      </c>
      <c r="BI19" s="387">
        <f t="shared" si="7"/>
        <v>204.32917439999997</v>
      </c>
      <c r="BJ19" s="387">
        <f t="shared" si="8"/>
        <v>99.672767999999991</v>
      </c>
      <c r="BK19" s="387">
        <f t="shared" si="9"/>
        <v>0</v>
      </c>
      <c r="BL19" s="387">
        <f t="shared" si="32"/>
        <v>7982.8658207999988</v>
      </c>
      <c r="BM19" s="387">
        <f t="shared" si="33"/>
        <v>0</v>
      </c>
      <c r="BN19" s="387">
        <f t="shared" si="10"/>
        <v>6990</v>
      </c>
      <c r="BO19" s="387">
        <f t="shared" si="11"/>
        <v>0</v>
      </c>
      <c r="BP19" s="387">
        <f t="shared" si="12"/>
        <v>2288.78208</v>
      </c>
      <c r="BQ19" s="387">
        <f t="shared" si="13"/>
        <v>535.27967999999998</v>
      </c>
      <c r="BR19" s="387">
        <f t="shared" si="14"/>
        <v>4407.7512959999995</v>
      </c>
      <c r="BS19" s="387">
        <f t="shared" si="15"/>
        <v>266.16320639999998</v>
      </c>
      <c r="BT19" s="387">
        <f t="shared" si="16"/>
        <v>0</v>
      </c>
      <c r="BU19" s="387">
        <f t="shared" si="17"/>
        <v>204.32917439999997</v>
      </c>
      <c r="BV19" s="387">
        <f t="shared" si="18"/>
        <v>125.51385599999998</v>
      </c>
      <c r="BW19" s="387">
        <f t="shared" si="19"/>
        <v>0</v>
      </c>
      <c r="BX19" s="387">
        <f t="shared" si="34"/>
        <v>7827.819292799998</v>
      </c>
      <c r="BY19" s="387">
        <f t="shared" si="35"/>
        <v>0</v>
      </c>
      <c r="BZ19" s="387">
        <f t="shared" si="36"/>
        <v>0</v>
      </c>
      <c r="CA19" s="387">
        <f t="shared" si="37"/>
        <v>0</v>
      </c>
      <c r="CB19" s="387">
        <f t="shared" si="38"/>
        <v>0</v>
      </c>
      <c r="CC19" s="387">
        <f t="shared" si="20"/>
        <v>0</v>
      </c>
      <c r="CD19" s="387">
        <f t="shared" si="21"/>
        <v>0</v>
      </c>
      <c r="CE19" s="387">
        <f t="shared" si="22"/>
        <v>0</v>
      </c>
      <c r="CF19" s="387">
        <f t="shared" si="23"/>
        <v>-180.88761599999998</v>
      </c>
      <c r="CG19" s="387">
        <f t="shared" si="24"/>
        <v>0</v>
      </c>
      <c r="CH19" s="387">
        <f t="shared" si="25"/>
        <v>25.841087999999985</v>
      </c>
      <c r="CI19" s="387">
        <f t="shared" si="26"/>
        <v>0</v>
      </c>
      <c r="CJ19" s="387">
        <f t="shared" si="39"/>
        <v>-155.046528</v>
      </c>
      <c r="CK19" s="387" t="str">
        <f t="shared" si="40"/>
        <v/>
      </c>
      <c r="CL19" s="387" t="str">
        <f t="shared" si="41"/>
        <v/>
      </c>
      <c r="CM19" s="387" t="str">
        <f t="shared" si="42"/>
        <v/>
      </c>
      <c r="CN19" s="387" t="str">
        <f t="shared" si="43"/>
        <v>0348-31</v>
      </c>
    </row>
    <row r="20" spans="1:92" ht="15.75" thickBot="1" x14ac:dyDescent="0.3">
      <c r="A20" s="376" t="s">
        <v>161</v>
      </c>
      <c r="B20" s="376" t="s">
        <v>162</v>
      </c>
      <c r="C20" s="376" t="s">
        <v>293</v>
      </c>
      <c r="D20" s="376" t="s">
        <v>294</v>
      </c>
      <c r="E20" s="376" t="s">
        <v>224</v>
      </c>
      <c r="F20" s="382" t="s">
        <v>225</v>
      </c>
      <c r="G20" s="376" t="s">
        <v>167</v>
      </c>
      <c r="H20" s="378"/>
      <c r="I20" s="378"/>
      <c r="J20" s="376" t="s">
        <v>215</v>
      </c>
      <c r="K20" s="376" t="s">
        <v>295</v>
      </c>
      <c r="L20" s="376" t="s">
        <v>296</v>
      </c>
      <c r="M20" s="376" t="s">
        <v>171</v>
      </c>
      <c r="N20" s="376" t="s">
        <v>172</v>
      </c>
      <c r="O20" s="379">
        <v>1</v>
      </c>
      <c r="P20" s="385">
        <v>1</v>
      </c>
      <c r="Q20" s="385">
        <v>1</v>
      </c>
      <c r="R20" s="380">
        <v>80</v>
      </c>
      <c r="S20" s="385">
        <v>1</v>
      </c>
      <c r="T20" s="380">
        <v>0</v>
      </c>
      <c r="U20" s="380">
        <v>0</v>
      </c>
      <c r="V20" s="380">
        <v>0</v>
      </c>
      <c r="W20" s="380">
        <v>56784</v>
      </c>
      <c r="X20" s="380">
        <v>23929.5</v>
      </c>
      <c r="Y20" s="380">
        <v>56784</v>
      </c>
      <c r="Z20" s="380">
        <v>23691.01</v>
      </c>
      <c r="AA20" s="376" t="s">
        <v>297</v>
      </c>
      <c r="AB20" s="376" t="s">
        <v>298</v>
      </c>
      <c r="AC20" s="376" t="s">
        <v>299</v>
      </c>
      <c r="AD20" s="376" t="s">
        <v>300</v>
      </c>
      <c r="AE20" s="376" t="s">
        <v>295</v>
      </c>
      <c r="AF20" s="376" t="s">
        <v>301</v>
      </c>
      <c r="AG20" s="376" t="s">
        <v>178</v>
      </c>
      <c r="AH20" s="381">
        <v>27.3</v>
      </c>
      <c r="AI20" s="381">
        <v>32463.9</v>
      </c>
      <c r="AJ20" s="376" t="s">
        <v>179</v>
      </c>
      <c r="AK20" s="376" t="s">
        <v>180</v>
      </c>
      <c r="AL20" s="376" t="s">
        <v>181</v>
      </c>
      <c r="AM20" s="376" t="s">
        <v>182</v>
      </c>
      <c r="AN20" s="376" t="s">
        <v>68</v>
      </c>
      <c r="AO20" s="379">
        <v>80</v>
      </c>
      <c r="AP20" s="385">
        <v>1</v>
      </c>
      <c r="AQ20" s="385">
        <v>1</v>
      </c>
      <c r="AR20" s="383" t="s">
        <v>183</v>
      </c>
      <c r="AS20" s="387">
        <f t="shared" si="27"/>
        <v>1</v>
      </c>
      <c r="AT20">
        <f t="shared" si="28"/>
        <v>1</v>
      </c>
      <c r="AU20" s="387">
        <f>IF(AT20=0,"",IF(AND(AT20=1,M20="F",SUMIF(C2:C1334,C20,AS2:AS1334)&lt;=1),SUMIF(C2:C1334,C20,AS2:AS1334),IF(AND(AT20=1,M20="F",SUMIF(C2:C1334,C20,AS2:AS1334)&gt;1),1,"")))</f>
        <v>1</v>
      </c>
      <c r="AV20" s="387" t="str">
        <f>IF(AT20=0,"",IF(AND(AT20=3,M20="F",SUMIF(C2:C1334,C20,AS2:AS1334)&lt;=1),SUMIF(C2:C1334,C20,AS2:AS1334),IF(AND(AT20=3,M20="F",SUMIF(C2:C1334,C20,AS2:AS1334)&gt;1),1,"")))</f>
        <v/>
      </c>
      <c r="AW20" s="387">
        <f>SUMIF(C2:C1334,C20,O2:O1334)</f>
        <v>2</v>
      </c>
      <c r="AX20" s="387">
        <f>IF(AND(M20="F",AS20&lt;&gt;0),SUMIF(C2:C1334,C20,W2:W1334),0)</f>
        <v>56784</v>
      </c>
      <c r="AY20" s="387">
        <f t="shared" si="29"/>
        <v>56784</v>
      </c>
      <c r="AZ20" s="387" t="str">
        <f t="shared" si="30"/>
        <v/>
      </c>
      <c r="BA20" s="387">
        <f t="shared" si="31"/>
        <v>0</v>
      </c>
      <c r="BB20" s="387">
        <f t="shared" si="0"/>
        <v>11650</v>
      </c>
      <c r="BC20" s="387">
        <f t="shared" si="1"/>
        <v>0</v>
      </c>
      <c r="BD20" s="387">
        <f t="shared" si="2"/>
        <v>3520.6080000000002</v>
      </c>
      <c r="BE20" s="387">
        <f t="shared" si="3"/>
        <v>823.36800000000005</v>
      </c>
      <c r="BF20" s="387">
        <f t="shared" si="4"/>
        <v>6780.0096000000003</v>
      </c>
      <c r="BG20" s="387">
        <f t="shared" si="5"/>
        <v>409.41264000000001</v>
      </c>
      <c r="BH20" s="387">
        <f t="shared" si="6"/>
        <v>278.24160000000001</v>
      </c>
      <c r="BI20" s="387">
        <f t="shared" si="7"/>
        <v>314.29944</v>
      </c>
      <c r="BJ20" s="387">
        <f t="shared" si="8"/>
        <v>153.3168</v>
      </c>
      <c r="BK20" s="387">
        <f t="shared" si="9"/>
        <v>0</v>
      </c>
      <c r="BL20" s="387">
        <f t="shared" si="32"/>
        <v>12279.256080000001</v>
      </c>
      <c r="BM20" s="387">
        <f t="shared" si="33"/>
        <v>0</v>
      </c>
      <c r="BN20" s="387">
        <f t="shared" si="10"/>
        <v>11650</v>
      </c>
      <c r="BO20" s="387">
        <f t="shared" si="11"/>
        <v>0</v>
      </c>
      <c r="BP20" s="387">
        <f t="shared" si="12"/>
        <v>3520.6080000000002</v>
      </c>
      <c r="BQ20" s="387">
        <f t="shared" si="13"/>
        <v>823.36800000000005</v>
      </c>
      <c r="BR20" s="387">
        <f t="shared" si="14"/>
        <v>6780.0096000000003</v>
      </c>
      <c r="BS20" s="387">
        <f t="shared" si="15"/>
        <v>409.41264000000001</v>
      </c>
      <c r="BT20" s="387">
        <f t="shared" si="16"/>
        <v>0</v>
      </c>
      <c r="BU20" s="387">
        <f t="shared" si="17"/>
        <v>314.29944</v>
      </c>
      <c r="BV20" s="387">
        <f t="shared" si="18"/>
        <v>193.06559999999999</v>
      </c>
      <c r="BW20" s="387">
        <f t="shared" si="19"/>
        <v>0</v>
      </c>
      <c r="BX20" s="387">
        <f t="shared" si="34"/>
        <v>12040.763280000001</v>
      </c>
      <c r="BY20" s="387">
        <f t="shared" si="35"/>
        <v>0</v>
      </c>
      <c r="BZ20" s="387">
        <f t="shared" si="36"/>
        <v>0</v>
      </c>
      <c r="CA20" s="387">
        <f t="shared" si="37"/>
        <v>0</v>
      </c>
      <c r="CB20" s="387">
        <f t="shared" si="38"/>
        <v>0</v>
      </c>
      <c r="CC20" s="387">
        <f t="shared" si="20"/>
        <v>0</v>
      </c>
      <c r="CD20" s="387">
        <f t="shared" si="21"/>
        <v>0</v>
      </c>
      <c r="CE20" s="387">
        <f t="shared" si="22"/>
        <v>0</v>
      </c>
      <c r="CF20" s="387">
        <f t="shared" si="23"/>
        <v>-278.24160000000001</v>
      </c>
      <c r="CG20" s="387">
        <f t="shared" si="24"/>
        <v>0</v>
      </c>
      <c r="CH20" s="387">
        <f t="shared" si="25"/>
        <v>39.748799999999981</v>
      </c>
      <c r="CI20" s="387">
        <f t="shared" si="26"/>
        <v>0</v>
      </c>
      <c r="CJ20" s="387">
        <f t="shared" si="39"/>
        <v>-238.49280000000002</v>
      </c>
      <c r="CK20" s="387" t="str">
        <f t="shared" si="40"/>
        <v/>
      </c>
      <c r="CL20" s="387" t="str">
        <f t="shared" si="41"/>
        <v/>
      </c>
      <c r="CM20" s="387" t="str">
        <f t="shared" si="42"/>
        <v/>
      </c>
      <c r="CN20" s="387" t="str">
        <f t="shared" si="43"/>
        <v>0348-31</v>
      </c>
    </row>
    <row r="21" spans="1:92" ht="15.75" thickBot="1" x14ac:dyDescent="0.3">
      <c r="A21" s="376" t="s">
        <v>161</v>
      </c>
      <c r="B21" s="376" t="s">
        <v>162</v>
      </c>
      <c r="C21" s="376" t="s">
        <v>302</v>
      </c>
      <c r="D21" s="376" t="s">
        <v>255</v>
      </c>
      <c r="E21" s="376" t="s">
        <v>224</v>
      </c>
      <c r="F21" s="382" t="s">
        <v>225</v>
      </c>
      <c r="G21" s="376" t="s">
        <v>167</v>
      </c>
      <c r="H21" s="378"/>
      <c r="I21" s="378"/>
      <c r="J21" s="376" t="s">
        <v>215</v>
      </c>
      <c r="K21" s="376" t="s">
        <v>256</v>
      </c>
      <c r="L21" s="376" t="s">
        <v>166</v>
      </c>
      <c r="M21" s="376" t="s">
        <v>171</v>
      </c>
      <c r="N21" s="376" t="s">
        <v>257</v>
      </c>
      <c r="O21" s="379">
        <v>1</v>
      </c>
      <c r="P21" s="385">
        <v>1</v>
      </c>
      <c r="Q21" s="385">
        <v>1</v>
      </c>
      <c r="R21" s="380">
        <v>80</v>
      </c>
      <c r="S21" s="385">
        <v>1</v>
      </c>
      <c r="T21" s="380">
        <v>0</v>
      </c>
      <c r="U21" s="380">
        <v>0</v>
      </c>
      <c r="V21" s="380">
        <v>0</v>
      </c>
      <c r="W21" s="380">
        <v>121160</v>
      </c>
      <c r="X21" s="380">
        <v>37179.61</v>
      </c>
      <c r="Y21" s="380">
        <v>121160</v>
      </c>
      <c r="Z21" s="380">
        <v>36670.74</v>
      </c>
      <c r="AA21" s="376" t="s">
        <v>303</v>
      </c>
      <c r="AB21" s="376" t="s">
        <v>304</v>
      </c>
      <c r="AC21" s="376" t="s">
        <v>305</v>
      </c>
      <c r="AD21" s="376" t="s">
        <v>296</v>
      </c>
      <c r="AE21" s="376" t="s">
        <v>256</v>
      </c>
      <c r="AF21" s="376" t="s">
        <v>261</v>
      </c>
      <c r="AG21" s="376" t="s">
        <v>178</v>
      </c>
      <c r="AH21" s="381">
        <v>58.25</v>
      </c>
      <c r="AI21" s="381">
        <v>14968.7</v>
      </c>
      <c r="AJ21" s="376" t="s">
        <v>179</v>
      </c>
      <c r="AK21" s="376" t="s">
        <v>180</v>
      </c>
      <c r="AL21" s="376" t="s">
        <v>181</v>
      </c>
      <c r="AM21" s="376" t="s">
        <v>182</v>
      </c>
      <c r="AN21" s="376" t="s">
        <v>68</v>
      </c>
      <c r="AO21" s="379">
        <v>80</v>
      </c>
      <c r="AP21" s="385">
        <v>1</v>
      </c>
      <c r="AQ21" s="385">
        <v>1</v>
      </c>
      <c r="AR21" s="383" t="s">
        <v>183</v>
      </c>
      <c r="AS21" s="387">
        <f t="shared" si="27"/>
        <v>1</v>
      </c>
      <c r="AT21">
        <f t="shared" si="28"/>
        <v>1</v>
      </c>
      <c r="AU21" s="387">
        <f>IF(AT21=0,"",IF(AND(AT21=1,M21="F",SUMIF(C2:C1334,C21,AS2:AS1334)&lt;=1),SUMIF(C2:C1334,C21,AS2:AS1334),IF(AND(AT21=1,M21="F",SUMIF(C2:C1334,C21,AS2:AS1334)&gt;1),1,"")))</f>
        <v>1</v>
      </c>
      <c r="AV21" s="387" t="str">
        <f>IF(AT21=0,"",IF(AND(AT21=3,M21="F",SUMIF(C2:C1334,C21,AS2:AS1334)&lt;=1),SUMIF(C2:C1334,C21,AS2:AS1334),IF(AND(AT21=3,M21="F",SUMIF(C2:C1334,C21,AS2:AS1334)&gt;1),1,"")))</f>
        <v/>
      </c>
      <c r="AW21" s="387">
        <f>SUMIF(C2:C1334,C21,O2:O1334)</f>
        <v>2</v>
      </c>
      <c r="AX21" s="387">
        <f>IF(AND(M21="F",AS21&lt;&gt;0),SUMIF(C2:C1334,C21,W2:W1334),0)</f>
        <v>121160</v>
      </c>
      <c r="AY21" s="387">
        <f t="shared" si="29"/>
        <v>121160</v>
      </c>
      <c r="AZ21" s="387" t="str">
        <f t="shared" si="30"/>
        <v/>
      </c>
      <c r="BA21" s="387">
        <f t="shared" si="31"/>
        <v>0</v>
      </c>
      <c r="BB21" s="387">
        <f t="shared" si="0"/>
        <v>11650</v>
      </c>
      <c r="BC21" s="387">
        <f t="shared" si="1"/>
        <v>0</v>
      </c>
      <c r="BD21" s="387">
        <f t="shared" si="2"/>
        <v>7511.92</v>
      </c>
      <c r="BE21" s="387">
        <f t="shared" si="3"/>
        <v>1756.8200000000002</v>
      </c>
      <c r="BF21" s="387">
        <f t="shared" si="4"/>
        <v>14466.504000000001</v>
      </c>
      <c r="BG21" s="387">
        <f t="shared" si="5"/>
        <v>873.56360000000006</v>
      </c>
      <c r="BH21" s="387">
        <f t="shared" si="6"/>
        <v>593.68399999999997</v>
      </c>
      <c r="BI21" s="387">
        <f t="shared" si="7"/>
        <v>0</v>
      </c>
      <c r="BJ21" s="387">
        <f t="shared" si="8"/>
        <v>327.13200000000001</v>
      </c>
      <c r="BK21" s="387">
        <f t="shared" si="9"/>
        <v>0</v>
      </c>
      <c r="BL21" s="387">
        <f t="shared" si="32"/>
        <v>25529.623600000003</v>
      </c>
      <c r="BM21" s="387">
        <f t="shared" si="33"/>
        <v>0</v>
      </c>
      <c r="BN21" s="387">
        <f t="shared" si="10"/>
        <v>11650</v>
      </c>
      <c r="BO21" s="387">
        <f t="shared" si="11"/>
        <v>0</v>
      </c>
      <c r="BP21" s="387">
        <f t="shared" si="12"/>
        <v>7511.92</v>
      </c>
      <c r="BQ21" s="387">
        <f t="shared" si="13"/>
        <v>1756.8200000000002</v>
      </c>
      <c r="BR21" s="387">
        <f t="shared" si="14"/>
        <v>14466.504000000001</v>
      </c>
      <c r="BS21" s="387">
        <f t="shared" si="15"/>
        <v>873.56360000000006</v>
      </c>
      <c r="BT21" s="387">
        <f t="shared" si="16"/>
        <v>0</v>
      </c>
      <c r="BU21" s="387">
        <f t="shared" si="17"/>
        <v>0</v>
      </c>
      <c r="BV21" s="387">
        <f t="shared" si="18"/>
        <v>411.94399999999996</v>
      </c>
      <c r="BW21" s="387">
        <f t="shared" si="19"/>
        <v>0</v>
      </c>
      <c r="BX21" s="387">
        <f t="shared" si="34"/>
        <v>25020.7516</v>
      </c>
      <c r="BY21" s="387">
        <f t="shared" si="35"/>
        <v>0</v>
      </c>
      <c r="BZ21" s="387">
        <f t="shared" si="36"/>
        <v>0</v>
      </c>
      <c r="CA21" s="387">
        <f t="shared" si="37"/>
        <v>0</v>
      </c>
      <c r="CB21" s="387">
        <f t="shared" si="38"/>
        <v>0</v>
      </c>
      <c r="CC21" s="387">
        <f t="shared" si="20"/>
        <v>0</v>
      </c>
      <c r="CD21" s="387">
        <f t="shared" si="21"/>
        <v>0</v>
      </c>
      <c r="CE21" s="387">
        <f t="shared" si="22"/>
        <v>0</v>
      </c>
      <c r="CF21" s="387">
        <f t="shared" si="23"/>
        <v>-593.68399999999997</v>
      </c>
      <c r="CG21" s="387">
        <f t="shared" si="24"/>
        <v>0</v>
      </c>
      <c r="CH21" s="387">
        <f t="shared" si="25"/>
        <v>84.811999999999955</v>
      </c>
      <c r="CI21" s="387">
        <f t="shared" si="26"/>
        <v>0</v>
      </c>
      <c r="CJ21" s="387">
        <f t="shared" si="39"/>
        <v>-508.87200000000001</v>
      </c>
      <c r="CK21" s="387" t="str">
        <f t="shared" si="40"/>
        <v/>
      </c>
      <c r="CL21" s="387" t="str">
        <f t="shared" si="41"/>
        <v/>
      </c>
      <c r="CM21" s="387" t="str">
        <f t="shared" si="42"/>
        <v/>
      </c>
      <c r="CN21" s="387" t="str">
        <f t="shared" si="43"/>
        <v>0348-31</v>
      </c>
    </row>
    <row r="22" spans="1:92" ht="15.75" thickBot="1" x14ac:dyDescent="0.3">
      <c r="A22" s="376" t="s">
        <v>161</v>
      </c>
      <c r="B22" s="376" t="s">
        <v>162</v>
      </c>
      <c r="C22" s="376" t="s">
        <v>203</v>
      </c>
      <c r="D22" s="376" t="s">
        <v>204</v>
      </c>
      <c r="E22" s="376" t="s">
        <v>224</v>
      </c>
      <c r="F22" s="382" t="s">
        <v>225</v>
      </c>
      <c r="G22" s="376" t="s">
        <v>167</v>
      </c>
      <c r="H22" s="378"/>
      <c r="I22" s="378"/>
      <c r="J22" s="376" t="s">
        <v>205</v>
      </c>
      <c r="K22" s="376" t="s">
        <v>206</v>
      </c>
      <c r="L22" s="376" t="s">
        <v>181</v>
      </c>
      <c r="M22" s="376" t="s">
        <v>171</v>
      </c>
      <c r="N22" s="376" t="s">
        <v>172</v>
      </c>
      <c r="O22" s="379">
        <v>1</v>
      </c>
      <c r="P22" s="385">
        <v>0.4</v>
      </c>
      <c r="Q22" s="385">
        <v>0.4</v>
      </c>
      <c r="R22" s="380">
        <v>80</v>
      </c>
      <c r="S22" s="385">
        <v>0.4</v>
      </c>
      <c r="T22" s="380">
        <v>0</v>
      </c>
      <c r="U22" s="380">
        <v>0</v>
      </c>
      <c r="V22" s="380">
        <v>0</v>
      </c>
      <c r="W22" s="380">
        <v>32023.68</v>
      </c>
      <c r="X22" s="380">
        <v>11585.09</v>
      </c>
      <c r="Y22" s="380">
        <v>32023.68</v>
      </c>
      <c r="Z22" s="380">
        <v>11450.6</v>
      </c>
      <c r="AA22" s="376" t="s">
        <v>207</v>
      </c>
      <c r="AB22" s="376" t="s">
        <v>208</v>
      </c>
      <c r="AC22" s="376" t="s">
        <v>209</v>
      </c>
      <c r="AD22" s="376" t="s">
        <v>210</v>
      </c>
      <c r="AE22" s="376" t="s">
        <v>206</v>
      </c>
      <c r="AF22" s="376" t="s">
        <v>211</v>
      </c>
      <c r="AG22" s="376" t="s">
        <v>178</v>
      </c>
      <c r="AH22" s="381">
        <v>38.49</v>
      </c>
      <c r="AI22" s="379">
        <v>31638</v>
      </c>
      <c r="AJ22" s="376" t="s">
        <v>179</v>
      </c>
      <c r="AK22" s="376" t="s">
        <v>180</v>
      </c>
      <c r="AL22" s="376" t="s">
        <v>181</v>
      </c>
      <c r="AM22" s="376" t="s">
        <v>182</v>
      </c>
      <c r="AN22" s="376" t="s">
        <v>68</v>
      </c>
      <c r="AO22" s="379">
        <v>80</v>
      </c>
      <c r="AP22" s="385">
        <v>1</v>
      </c>
      <c r="AQ22" s="385">
        <v>0.4</v>
      </c>
      <c r="AR22" s="383" t="s">
        <v>183</v>
      </c>
      <c r="AS22" s="387">
        <f t="shared" si="27"/>
        <v>0.4</v>
      </c>
      <c r="AT22">
        <f t="shared" si="28"/>
        <v>1</v>
      </c>
      <c r="AU22" s="387">
        <f>IF(AT22=0,"",IF(AND(AT22=1,M22="F",SUMIF(C2:C1334,C22,AS2:AS1334)&lt;=1),SUMIF(C2:C1334,C22,AS2:AS1334),IF(AND(AT22=1,M22="F",SUMIF(C2:C1334,C22,AS2:AS1334)&gt;1),1,"")))</f>
        <v>1</v>
      </c>
      <c r="AV22" s="387" t="str">
        <f>IF(AT22=0,"",IF(AND(AT22=3,M22="F",SUMIF(C2:C1334,C22,AS2:AS1334)&lt;=1),SUMIF(C2:C1334,C22,AS2:AS1334),IF(AND(AT22=3,M22="F",SUMIF(C2:C1334,C22,AS2:AS1334)&gt;1),1,"")))</f>
        <v/>
      </c>
      <c r="AW22" s="387">
        <f>SUMIF(C2:C1334,C22,O2:O1334)</f>
        <v>4</v>
      </c>
      <c r="AX22" s="387">
        <f>IF(AND(M22="F",AS22&lt;&gt;0),SUMIF(C2:C1334,C22,W2:W1334),0)</f>
        <v>80059.199999999997</v>
      </c>
      <c r="AY22" s="387">
        <f t="shared" si="29"/>
        <v>32023.68</v>
      </c>
      <c r="AZ22" s="387" t="str">
        <f t="shared" si="30"/>
        <v/>
      </c>
      <c r="BA22" s="387">
        <f t="shared" si="31"/>
        <v>0</v>
      </c>
      <c r="BB22" s="387">
        <f t="shared" si="0"/>
        <v>4660</v>
      </c>
      <c r="BC22" s="387">
        <f t="shared" si="1"/>
        <v>0</v>
      </c>
      <c r="BD22" s="387">
        <f t="shared" si="2"/>
        <v>1985.4681599999999</v>
      </c>
      <c r="BE22" s="387">
        <f t="shared" si="3"/>
        <v>464.34336000000002</v>
      </c>
      <c r="BF22" s="387">
        <f t="shared" si="4"/>
        <v>3823.6273920000003</v>
      </c>
      <c r="BG22" s="387">
        <f t="shared" si="5"/>
        <v>230.89073280000002</v>
      </c>
      <c r="BH22" s="387">
        <f t="shared" si="6"/>
        <v>156.916032</v>
      </c>
      <c r="BI22" s="387">
        <f t="shared" si="7"/>
        <v>177.25106880000001</v>
      </c>
      <c r="BJ22" s="387">
        <f t="shared" si="8"/>
        <v>86.463936000000004</v>
      </c>
      <c r="BK22" s="387">
        <f t="shared" si="9"/>
        <v>0</v>
      </c>
      <c r="BL22" s="387">
        <f t="shared" si="32"/>
        <v>6924.9606816000005</v>
      </c>
      <c r="BM22" s="387">
        <f t="shared" si="33"/>
        <v>0</v>
      </c>
      <c r="BN22" s="387">
        <f t="shared" si="10"/>
        <v>4660</v>
      </c>
      <c r="BO22" s="387">
        <f t="shared" si="11"/>
        <v>0</v>
      </c>
      <c r="BP22" s="387">
        <f t="shared" si="12"/>
        <v>1985.4681599999999</v>
      </c>
      <c r="BQ22" s="387">
        <f t="shared" si="13"/>
        <v>464.34336000000002</v>
      </c>
      <c r="BR22" s="387">
        <f t="shared" si="14"/>
        <v>3823.6273920000003</v>
      </c>
      <c r="BS22" s="387">
        <f t="shared" si="15"/>
        <v>230.89073280000002</v>
      </c>
      <c r="BT22" s="387">
        <f t="shared" si="16"/>
        <v>0</v>
      </c>
      <c r="BU22" s="387">
        <f t="shared" si="17"/>
        <v>177.25106880000001</v>
      </c>
      <c r="BV22" s="387">
        <f t="shared" si="18"/>
        <v>108.880512</v>
      </c>
      <c r="BW22" s="387">
        <f t="shared" si="19"/>
        <v>0</v>
      </c>
      <c r="BX22" s="387">
        <f t="shared" si="34"/>
        <v>6790.4612256</v>
      </c>
      <c r="BY22" s="387">
        <f t="shared" si="35"/>
        <v>0</v>
      </c>
      <c r="BZ22" s="387">
        <f t="shared" si="36"/>
        <v>0</v>
      </c>
      <c r="CA22" s="387">
        <f t="shared" si="37"/>
        <v>0</v>
      </c>
      <c r="CB22" s="387">
        <f t="shared" si="38"/>
        <v>0</v>
      </c>
      <c r="CC22" s="387">
        <f t="shared" si="20"/>
        <v>0</v>
      </c>
      <c r="CD22" s="387">
        <f t="shared" si="21"/>
        <v>0</v>
      </c>
      <c r="CE22" s="387">
        <f t="shared" si="22"/>
        <v>0</v>
      </c>
      <c r="CF22" s="387">
        <f t="shared" si="23"/>
        <v>-156.916032</v>
      </c>
      <c r="CG22" s="387">
        <f t="shared" si="24"/>
        <v>0</v>
      </c>
      <c r="CH22" s="387">
        <f t="shared" si="25"/>
        <v>22.416575999999989</v>
      </c>
      <c r="CI22" s="387">
        <f t="shared" si="26"/>
        <v>0</v>
      </c>
      <c r="CJ22" s="387">
        <f t="shared" si="39"/>
        <v>-134.49945600000001</v>
      </c>
      <c r="CK22" s="387" t="str">
        <f t="shared" si="40"/>
        <v/>
      </c>
      <c r="CL22" s="387" t="str">
        <f t="shared" si="41"/>
        <v/>
      </c>
      <c r="CM22" s="387" t="str">
        <f t="shared" si="42"/>
        <v/>
      </c>
      <c r="CN22" s="387" t="str">
        <f t="shared" si="43"/>
        <v>0348-31</v>
      </c>
    </row>
    <row r="23" spans="1:92" ht="15.75" thickBot="1" x14ac:dyDescent="0.3">
      <c r="A23" s="376" t="s">
        <v>161</v>
      </c>
      <c r="B23" s="376" t="s">
        <v>162</v>
      </c>
      <c r="C23" s="376" t="s">
        <v>306</v>
      </c>
      <c r="D23" s="376" t="s">
        <v>294</v>
      </c>
      <c r="E23" s="376" t="s">
        <v>224</v>
      </c>
      <c r="F23" s="382" t="s">
        <v>225</v>
      </c>
      <c r="G23" s="376" t="s">
        <v>167</v>
      </c>
      <c r="H23" s="378"/>
      <c r="I23" s="378"/>
      <c r="J23" s="376" t="s">
        <v>215</v>
      </c>
      <c r="K23" s="376" t="s">
        <v>295</v>
      </c>
      <c r="L23" s="376" t="s">
        <v>296</v>
      </c>
      <c r="M23" s="376" t="s">
        <v>171</v>
      </c>
      <c r="N23" s="376" t="s">
        <v>172</v>
      </c>
      <c r="O23" s="379">
        <v>1</v>
      </c>
      <c r="P23" s="385">
        <v>1</v>
      </c>
      <c r="Q23" s="385">
        <v>1</v>
      </c>
      <c r="R23" s="380">
        <v>80</v>
      </c>
      <c r="S23" s="385">
        <v>1</v>
      </c>
      <c r="T23" s="380">
        <v>0</v>
      </c>
      <c r="U23" s="380">
        <v>0</v>
      </c>
      <c r="V23" s="380">
        <v>0</v>
      </c>
      <c r="W23" s="380">
        <v>43160</v>
      </c>
      <c r="X23" s="380">
        <v>20983.33</v>
      </c>
      <c r="Y23" s="380">
        <v>43160</v>
      </c>
      <c r="Z23" s="380">
        <v>20802.060000000001</v>
      </c>
      <c r="AA23" s="376" t="s">
        <v>307</v>
      </c>
      <c r="AB23" s="376" t="s">
        <v>308</v>
      </c>
      <c r="AC23" s="376" t="s">
        <v>309</v>
      </c>
      <c r="AD23" s="376" t="s">
        <v>310</v>
      </c>
      <c r="AE23" s="376" t="s">
        <v>295</v>
      </c>
      <c r="AF23" s="376" t="s">
        <v>301</v>
      </c>
      <c r="AG23" s="376" t="s">
        <v>178</v>
      </c>
      <c r="AH23" s="381">
        <v>20.75</v>
      </c>
      <c r="AI23" s="381">
        <v>18502.5</v>
      </c>
      <c r="AJ23" s="376" t="s">
        <v>179</v>
      </c>
      <c r="AK23" s="376" t="s">
        <v>180</v>
      </c>
      <c r="AL23" s="376" t="s">
        <v>181</v>
      </c>
      <c r="AM23" s="376" t="s">
        <v>182</v>
      </c>
      <c r="AN23" s="376" t="s">
        <v>68</v>
      </c>
      <c r="AO23" s="379">
        <v>80</v>
      </c>
      <c r="AP23" s="385">
        <v>1</v>
      </c>
      <c r="AQ23" s="385">
        <v>1</v>
      </c>
      <c r="AR23" s="383" t="s">
        <v>183</v>
      </c>
      <c r="AS23" s="387">
        <f t="shared" si="27"/>
        <v>1</v>
      </c>
      <c r="AT23">
        <f t="shared" si="28"/>
        <v>1</v>
      </c>
      <c r="AU23" s="387">
        <f>IF(AT23=0,"",IF(AND(AT23=1,M23="F",SUMIF(C2:C1334,C23,AS2:AS1334)&lt;=1),SUMIF(C2:C1334,C23,AS2:AS1334),IF(AND(AT23=1,M23="F",SUMIF(C2:C1334,C23,AS2:AS1334)&gt;1),1,"")))</f>
        <v>1</v>
      </c>
      <c r="AV23" s="387" t="str">
        <f>IF(AT23=0,"",IF(AND(AT23=3,M23="F",SUMIF(C2:C1334,C23,AS2:AS1334)&lt;=1),SUMIF(C2:C1334,C23,AS2:AS1334),IF(AND(AT23=3,M23="F",SUMIF(C2:C1334,C23,AS2:AS1334)&gt;1),1,"")))</f>
        <v/>
      </c>
      <c r="AW23" s="387">
        <f>SUMIF(C2:C1334,C23,O2:O1334)</f>
        <v>2</v>
      </c>
      <c r="AX23" s="387">
        <f>IF(AND(M23="F",AS23&lt;&gt;0),SUMIF(C2:C1334,C23,W2:W1334),0)</f>
        <v>43160</v>
      </c>
      <c r="AY23" s="387">
        <f t="shared" si="29"/>
        <v>43160</v>
      </c>
      <c r="AZ23" s="387" t="str">
        <f t="shared" si="30"/>
        <v/>
      </c>
      <c r="BA23" s="387">
        <f t="shared" si="31"/>
        <v>0</v>
      </c>
      <c r="BB23" s="387">
        <f t="shared" si="0"/>
        <v>11650</v>
      </c>
      <c r="BC23" s="387">
        <f t="shared" si="1"/>
        <v>0</v>
      </c>
      <c r="BD23" s="387">
        <f t="shared" si="2"/>
        <v>2675.92</v>
      </c>
      <c r="BE23" s="387">
        <f t="shared" si="3"/>
        <v>625.82000000000005</v>
      </c>
      <c r="BF23" s="387">
        <f t="shared" si="4"/>
        <v>5153.3040000000001</v>
      </c>
      <c r="BG23" s="387">
        <f t="shared" si="5"/>
        <v>311.18360000000001</v>
      </c>
      <c r="BH23" s="387">
        <f t="shared" si="6"/>
        <v>211.48399999999998</v>
      </c>
      <c r="BI23" s="387">
        <f t="shared" si="7"/>
        <v>238.89060000000001</v>
      </c>
      <c r="BJ23" s="387">
        <f t="shared" si="8"/>
        <v>116.53200000000001</v>
      </c>
      <c r="BK23" s="387">
        <f t="shared" si="9"/>
        <v>0</v>
      </c>
      <c r="BL23" s="387">
        <f t="shared" si="32"/>
        <v>9333.1342000000004</v>
      </c>
      <c r="BM23" s="387">
        <f t="shared" si="33"/>
        <v>0</v>
      </c>
      <c r="BN23" s="387">
        <f t="shared" si="10"/>
        <v>11650</v>
      </c>
      <c r="BO23" s="387">
        <f t="shared" si="11"/>
        <v>0</v>
      </c>
      <c r="BP23" s="387">
        <f t="shared" si="12"/>
        <v>2675.92</v>
      </c>
      <c r="BQ23" s="387">
        <f t="shared" si="13"/>
        <v>625.82000000000005</v>
      </c>
      <c r="BR23" s="387">
        <f t="shared" si="14"/>
        <v>5153.3040000000001</v>
      </c>
      <c r="BS23" s="387">
        <f t="shared" si="15"/>
        <v>311.18360000000001</v>
      </c>
      <c r="BT23" s="387">
        <f t="shared" si="16"/>
        <v>0</v>
      </c>
      <c r="BU23" s="387">
        <f t="shared" si="17"/>
        <v>238.89060000000001</v>
      </c>
      <c r="BV23" s="387">
        <f t="shared" si="18"/>
        <v>146.744</v>
      </c>
      <c r="BW23" s="387">
        <f t="shared" si="19"/>
        <v>0</v>
      </c>
      <c r="BX23" s="387">
        <f t="shared" si="34"/>
        <v>9151.8622000000014</v>
      </c>
      <c r="BY23" s="387">
        <f t="shared" si="35"/>
        <v>0</v>
      </c>
      <c r="BZ23" s="387">
        <f t="shared" si="36"/>
        <v>0</v>
      </c>
      <c r="CA23" s="387">
        <f t="shared" si="37"/>
        <v>0</v>
      </c>
      <c r="CB23" s="387">
        <f t="shared" si="38"/>
        <v>0</v>
      </c>
      <c r="CC23" s="387">
        <f t="shared" si="20"/>
        <v>0</v>
      </c>
      <c r="CD23" s="387">
        <f t="shared" si="21"/>
        <v>0</v>
      </c>
      <c r="CE23" s="387">
        <f t="shared" si="22"/>
        <v>0</v>
      </c>
      <c r="CF23" s="387">
        <f t="shared" si="23"/>
        <v>-211.48399999999998</v>
      </c>
      <c r="CG23" s="387">
        <f t="shared" si="24"/>
        <v>0</v>
      </c>
      <c r="CH23" s="387">
        <f t="shared" si="25"/>
        <v>30.211999999999986</v>
      </c>
      <c r="CI23" s="387">
        <f t="shared" si="26"/>
        <v>0</v>
      </c>
      <c r="CJ23" s="387">
        <f t="shared" si="39"/>
        <v>-181.27199999999999</v>
      </c>
      <c r="CK23" s="387" t="str">
        <f t="shared" si="40"/>
        <v/>
      </c>
      <c r="CL23" s="387" t="str">
        <f t="shared" si="41"/>
        <v/>
      </c>
      <c r="CM23" s="387" t="str">
        <f t="shared" si="42"/>
        <v/>
      </c>
      <c r="CN23" s="387" t="str">
        <f t="shared" si="43"/>
        <v>0348-31</v>
      </c>
    </row>
    <row r="24" spans="1:92" ht="15.75" thickBot="1" x14ac:dyDescent="0.3">
      <c r="A24" s="376" t="s">
        <v>161</v>
      </c>
      <c r="B24" s="376" t="s">
        <v>162</v>
      </c>
      <c r="C24" s="376" t="s">
        <v>311</v>
      </c>
      <c r="D24" s="376" t="s">
        <v>312</v>
      </c>
      <c r="E24" s="376" t="s">
        <v>224</v>
      </c>
      <c r="F24" s="382" t="s">
        <v>225</v>
      </c>
      <c r="G24" s="376" t="s">
        <v>167</v>
      </c>
      <c r="H24" s="378"/>
      <c r="I24" s="378"/>
      <c r="J24" s="376" t="s">
        <v>205</v>
      </c>
      <c r="K24" s="376" t="s">
        <v>313</v>
      </c>
      <c r="L24" s="376" t="s">
        <v>166</v>
      </c>
      <c r="M24" s="376" t="s">
        <v>171</v>
      </c>
      <c r="N24" s="376" t="s">
        <v>257</v>
      </c>
      <c r="O24" s="379">
        <v>1</v>
      </c>
      <c r="P24" s="385">
        <v>0.75</v>
      </c>
      <c r="Q24" s="385">
        <v>0.75</v>
      </c>
      <c r="R24" s="380">
        <v>80</v>
      </c>
      <c r="S24" s="385">
        <v>0.75</v>
      </c>
      <c r="T24" s="380">
        <v>0</v>
      </c>
      <c r="U24" s="380">
        <v>0</v>
      </c>
      <c r="V24" s="380">
        <v>0</v>
      </c>
      <c r="W24" s="380">
        <v>89965.2</v>
      </c>
      <c r="X24" s="380">
        <v>27694.02</v>
      </c>
      <c r="Y24" s="380">
        <v>89965.2</v>
      </c>
      <c r="Z24" s="380">
        <v>27316.17</v>
      </c>
      <c r="AA24" s="376" t="s">
        <v>314</v>
      </c>
      <c r="AB24" s="376" t="s">
        <v>315</v>
      </c>
      <c r="AC24" s="376" t="s">
        <v>316</v>
      </c>
      <c r="AD24" s="376" t="s">
        <v>317</v>
      </c>
      <c r="AE24" s="376" t="s">
        <v>313</v>
      </c>
      <c r="AF24" s="376" t="s">
        <v>261</v>
      </c>
      <c r="AG24" s="376" t="s">
        <v>178</v>
      </c>
      <c r="AH24" s="381">
        <v>57.67</v>
      </c>
      <c r="AI24" s="381">
        <v>73354.2</v>
      </c>
      <c r="AJ24" s="376" t="s">
        <v>179</v>
      </c>
      <c r="AK24" s="376" t="s">
        <v>180</v>
      </c>
      <c r="AL24" s="376" t="s">
        <v>181</v>
      </c>
      <c r="AM24" s="376" t="s">
        <v>182</v>
      </c>
      <c r="AN24" s="376" t="s">
        <v>68</v>
      </c>
      <c r="AO24" s="379">
        <v>80</v>
      </c>
      <c r="AP24" s="385">
        <v>1</v>
      </c>
      <c r="AQ24" s="385">
        <v>0.75</v>
      </c>
      <c r="AR24" s="383" t="s">
        <v>183</v>
      </c>
      <c r="AS24" s="387">
        <f t="shared" si="27"/>
        <v>0.75</v>
      </c>
      <c r="AT24">
        <f t="shared" si="28"/>
        <v>1</v>
      </c>
      <c r="AU24" s="387">
        <f>IF(AT24=0,"",IF(AND(AT24=1,M24="F",SUMIF(C2:C1334,C24,AS2:AS1334)&lt;=1),SUMIF(C2:C1334,C24,AS2:AS1334),IF(AND(AT24=1,M24="F",SUMIF(C2:C1334,C24,AS2:AS1334)&gt;1),1,"")))</f>
        <v>1</v>
      </c>
      <c r="AV24" s="387" t="str">
        <f>IF(AT24=0,"",IF(AND(AT24=3,M24="F",SUMIF(C2:C1334,C24,AS2:AS1334)&lt;=1),SUMIF(C2:C1334,C24,AS2:AS1334),IF(AND(AT24=3,M24="F",SUMIF(C2:C1334,C24,AS2:AS1334)&gt;1),1,"")))</f>
        <v/>
      </c>
      <c r="AW24" s="387">
        <f>SUMIF(C2:C1334,C24,O2:O1334)</f>
        <v>9</v>
      </c>
      <c r="AX24" s="387">
        <f>IF(AND(M24="F",AS24&lt;&gt;0),SUMIF(C2:C1334,C24,W2:W1334),0)</f>
        <v>119953.60000000001</v>
      </c>
      <c r="AY24" s="387">
        <f t="shared" si="29"/>
        <v>89965.2</v>
      </c>
      <c r="AZ24" s="387" t="str">
        <f t="shared" si="30"/>
        <v/>
      </c>
      <c r="BA24" s="387">
        <f t="shared" si="31"/>
        <v>0</v>
      </c>
      <c r="BB24" s="387">
        <f t="shared" si="0"/>
        <v>8737.5</v>
      </c>
      <c r="BC24" s="387">
        <f t="shared" si="1"/>
        <v>0</v>
      </c>
      <c r="BD24" s="387">
        <f t="shared" si="2"/>
        <v>5577.8423999999995</v>
      </c>
      <c r="BE24" s="387">
        <f t="shared" si="3"/>
        <v>1304.4954</v>
      </c>
      <c r="BF24" s="387">
        <f t="shared" si="4"/>
        <v>10741.844880000001</v>
      </c>
      <c r="BG24" s="387">
        <f t="shared" si="5"/>
        <v>648.649092</v>
      </c>
      <c r="BH24" s="387">
        <f t="shared" si="6"/>
        <v>440.82947999999999</v>
      </c>
      <c r="BI24" s="387">
        <f t="shared" si="7"/>
        <v>0</v>
      </c>
      <c r="BJ24" s="387">
        <f t="shared" si="8"/>
        <v>242.90604000000002</v>
      </c>
      <c r="BK24" s="387">
        <f t="shared" si="9"/>
        <v>0</v>
      </c>
      <c r="BL24" s="387">
        <f t="shared" si="32"/>
        <v>18956.567292</v>
      </c>
      <c r="BM24" s="387">
        <f t="shared" si="33"/>
        <v>0</v>
      </c>
      <c r="BN24" s="387">
        <f t="shared" si="10"/>
        <v>8737.5</v>
      </c>
      <c r="BO24" s="387">
        <f t="shared" si="11"/>
        <v>0</v>
      </c>
      <c r="BP24" s="387">
        <f t="shared" si="12"/>
        <v>5577.8423999999995</v>
      </c>
      <c r="BQ24" s="387">
        <f t="shared" si="13"/>
        <v>1304.4954</v>
      </c>
      <c r="BR24" s="387">
        <f t="shared" si="14"/>
        <v>10741.844880000001</v>
      </c>
      <c r="BS24" s="387">
        <f t="shared" si="15"/>
        <v>648.649092</v>
      </c>
      <c r="BT24" s="387">
        <f t="shared" si="16"/>
        <v>0</v>
      </c>
      <c r="BU24" s="387">
        <f t="shared" si="17"/>
        <v>0</v>
      </c>
      <c r="BV24" s="387">
        <f t="shared" si="18"/>
        <v>305.88167999999996</v>
      </c>
      <c r="BW24" s="387">
        <f t="shared" si="19"/>
        <v>0</v>
      </c>
      <c r="BX24" s="387">
        <f t="shared" si="34"/>
        <v>18578.713451999996</v>
      </c>
      <c r="BY24" s="387">
        <f t="shared" si="35"/>
        <v>0</v>
      </c>
      <c r="BZ24" s="387">
        <f t="shared" si="36"/>
        <v>0</v>
      </c>
      <c r="CA24" s="387">
        <f t="shared" si="37"/>
        <v>0</v>
      </c>
      <c r="CB24" s="387">
        <f t="shared" si="38"/>
        <v>0</v>
      </c>
      <c r="CC24" s="387">
        <f t="shared" si="20"/>
        <v>0</v>
      </c>
      <c r="CD24" s="387">
        <f t="shared" si="21"/>
        <v>0</v>
      </c>
      <c r="CE24" s="387">
        <f t="shared" si="22"/>
        <v>0</v>
      </c>
      <c r="CF24" s="387">
        <f t="shared" si="23"/>
        <v>-440.82947999999999</v>
      </c>
      <c r="CG24" s="387">
        <f t="shared" si="24"/>
        <v>0</v>
      </c>
      <c r="CH24" s="387">
        <f t="shared" si="25"/>
        <v>62.97563999999997</v>
      </c>
      <c r="CI24" s="387">
        <f t="shared" si="26"/>
        <v>0</v>
      </c>
      <c r="CJ24" s="387">
        <f t="shared" si="39"/>
        <v>-377.85383999999999</v>
      </c>
      <c r="CK24" s="387" t="str">
        <f t="shared" si="40"/>
        <v/>
      </c>
      <c r="CL24" s="387" t="str">
        <f t="shared" si="41"/>
        <v/>
      </c>
      <c r="CM24" s="387" t="str">
        <f t="shared" si="42"/>
        <v/>
      </c>
      <c r="CN24" s="387" t="str">
        <f t="shared" si="43"/>
        <v>0348-31</v>
      </c>
    </row>
    <row r="25" spans="1:92" ht="15.75" thickBot="1" x14ac:dyDescent="0.3">
      <c r="A25" s="376" t="s">
        <v>161</v>
      </c>
      <c r="B25" s="376" t="s">
        <v>162</v>
      </c>
      <c r="C25" s="376" t="s">
        <v>318</v>
      </c>
      <c r="D25" s="376" t="s">
        <v>319</v>
      </c>
      <c r="E25" s="376" t="s">
        <v>224</v>
      </c>
      <c r="F25" s="382" t="s">
        <v>225</v>
      </c>
      <c r="G25" s="376" t="s">
        <v>167</v>
      </c>
      <c r="H25" s="378"/>
      <c r="I25" s="378"/>
      <c r="J25" s="376" t="s">
        <v>168</v>
      </c>
      <c r="K25" s="376" t="s">
        <v>320</v>
      </c>
      <c r="L25" s="376" t="s">
        <v>178</v>
      </c>
      <c r="M25" s="376" t="s">
        <v>171</v>
      </c>
      <c r="N25" s="376" t="s">
        <v>172</v>
      </c>
      <c r="O25" s="379">
        <v>1</v>
      </c>
      <c r="P25" s="385">
        <v>0.75</v>
      </c>
      <c r="Q25" s="385">
        <v>0.75</v>
      </c>
      <c r="R25" s="380">
        <v>80</v>
      </c>
      <c r="S25" s="385">
        <v>0.75</v>
      </c>
      <c r="T25" s="380">
        <v>0</v>
      </c>
      <c r="U25" s="380">
        <v>0</v>
      </c>
      <c r="V25" s="380">
        <v>0</v>
      </c>
      <c r="W25" s="380">
        <v>28984.799999999999</v>
      </c>
      <c r="X25" s="380">
        <v>15005.44</v>
      </c>
      <c r="Y25" s="380">
        <v>28984.799999999999</v>
      </c>
      <c r="Z25" s="380">
        <v>14883.7</v>
      </c>
      <c r="AA25" s="376" t="s">
        <v>321</v>
      </c>
      <c r="AB25" s="376" t="s">
        <v>322</v>
      </c>
      <c r="AC25" s="376" t="s">
        <v>323</v>
      </c>
      <c r="AD25" s="376" t="s">
        <v>324</v>
      </c>
      <c r="AE25" s="376" t="s">
        <v>320</v>
      </c>
      <c r="AF25" s="376" t="s">
        <v>253</v>
      </c>
      <c r="AG25" s="376" t="s">
        <v>178</v>
      </c>
      <c r="AH25" s="381">
        <v>18.579999999999998</v>
      </c>
      <c r="AI25" s="381">
        <v>39867.300000000003</v>
      </c>
      <c r="AJ25" s="376" t="s">
        <v>179</v>
      </c>
      <c r="AK25" s="376" t="s">
        <v>180</v>
      </c>
      <c r="AL25" s="376" t="s">
        <v>181</v>
      </c>
      <c r="AM25" s="376" t="s">
        <v>182</v>
      </c>
      <c r="AN25" s="376" t="s">
        <v>68</v>
      </c>
      <c r="AO25" s="379">
        <v>80</v>
      </c>
      <c r="AP25" s="385">
        <v>1</v>
      </c>
      <c r="AQ25" s="385">
        <v>0.75</v>
      </c>
      <c r="AR25" s="383" t="s">
        <v>183</v>
      </c>
      <c r="AS25" s="387">
        <f t="shared" si="27"/>
        <v>0.75</v>
      </c>
      <c r="AT25">
        <f t="shared" si="28"/>
        <v>1</v>
      </c>
      <c r="AU25" s="387">
        <f>IF(AT25=0,"",IF(AND(AT25=1,M25="F",SUMIF(C2:C1334,C25,AS2:AS1334)&lt;=1),SUMIF(C2:C1334,C25,AS2:AS1334),IF(AND(AT25=1,M25="F",SUMIF(C2:C1334,C25,AS2:AS1334)&gt;1),1,"")))</f>
        <v>1</v>
      </c>
      <c r="AV25" s="387" t="str">
        <f>IF(AT25=0,"",IF(AND(AT25=3,M25="F",SUMIF(C2:C1334,C25,AS2:AS1334)&lt;=1),SUMIF(C2:C1334,C25,AS2:AS1334),IF(AND(AT25=3,M25="F",SUMIF(C2:C1334,C25,AS2:AS1334)&gt;1),1,"")))</f>
        <v/>
      </c>
      <c r="AW25" s="387">
        <f>SUMIF(C2:C1334,C25,O2:O1334)</f>
        <v>5</v>
      </c>
      <c r="AX25" s="387">
        <f>IF(AND(M25="F",AS25&lt;&gt;0),SUMIF(C2:C1334,C25,W2:W1334),0)</f>
        <v>38646.400000000001</v>
      </c>
      <c r="AY25" s="387">
        <f t="shared" si="29"/>
        <v>28984.799999999999</v>
      </c>
      <c r="AZ25" s="387" t="str">
        <f t="shared" si="30"/>
        <v/>
      </c>
      <c r="BA25" s="387">
        <f t="shared" si="31"/>
        <v>0</v>
      </c>
      <c r="BB25" s="387">
        <f t="shared" si="0"/>
        <v>8737.5</v>
      </c>
      <c r="BC25" s="387">
        <f t="shared" si="1"/>
        <v>0</v>
      </c>
      <c r="BD25" s="387">
        <f t="shared" si="2"/>
        <v>1797.0575999999999</v>
      </c>
      <c r="BE25" s="387">
        <f t="shared" si="3"/>
        <v>420.27960000000002</v>
      </c>
      <c r="BF25" s="387">
        <f t="shared" si="4"/>
        <v>3460.78512</v>
      </c>
      <c r="BG25" s="387">
        <f t="shared" si="5"/>
        <v>208.98040800000001</v>
      </c>
      <c r="BH25" s="387">
        <f t="shared" si="6"/>
        <v>142.02552</v>
      </c>
      <c r="BI25" s="387">
        <f t="shared" si="7"/>
        <v>160.430868</v>
      </c>
      <c r="BJ25" s="387">
        <f t="shared" si="8"/>
        <v>78.258960000000002</v>
      </c>
      <c r="BK25" s="387">
        <f t="shared" si="9"/>
        <v>0</v>
      </c>
      <c r="BL25" s="387">
        <f t="shared" si="32"/>
        <v>6267.8180760000014</v>
      </c>
      <c r="BM25" s="387">
        <f t="shared" si="33"/>
        <v>0</v>
      </c>
      <c r="BN25" s="387">
        <f t="shared" si="10"/>
        <v>8737.5</v>
      </c>
      <c r="BO25" s="387">
        <f t="shared" si="11"/>
        <v>0</v>
      </c>
      <c r="BP25" s="387">
        <f t="shared" si="12"/>
        <v>1797.0575999999999</v>
      </c>
      <c r="BQ25" s="387">
        <f t="shared" si="13"/>
        <v>420.27960000000002</v>
      </c>
      <c r="BR25" s="387">
        <f t="shared" si="14"/>
        <v>3460.78512</v>
      </c>
      <c r="BS25" s="387">
        <f t="shared" si="15"/>
        <v>208.98040800000001</v>
      </c>
      <c r="BT25" s="387">
        <f t="shared" si="16"/>
        <v>0</v>
      </c>
      <c r="BU25" s="387">
        <f t="shared" si="17"/>
        <v>160.430868</v>
      </c>
      <c r="BV25" s="387">
        <f t="shared" si="18"/>
        <v>98.54831999999999</v>
      </c>
      <c r="BW25" s="387">
        <f t="shared" si="19"/>
        <v>0</v>
      </c>
      <c r="BX25" s="387">
        <f t="shared" si="34"/>
        <v>6146.081916000001</v>
      </c>
      <c r="BY25" s="387">
        <f t="shared" si="35"/>
        <v>0</v>
      </c>
      <c r="BZ25" s="387">
        <f t="shared" si="36"/>
        <v>0</v>
      </c>
      <c r="CA25" s="387">
        <f t="shared" si="37"/>
        <v>0</v>
      </c>
      <c r="CB25" s="387">
        <f t="shared" si="38"/>
        <v>0</v>
      </c>
      <c r="CC25" s="387">
        <f t="shared" si="20"/>
        <v>0</v>
      </c>
      <c r="CD25" s="387">
        <f t="shared" si="21"/>
        <v>0</v>
      </c>
      <c r="CE25" s="387">
        <f t="shared" si="22"/>
        <v>0</v>
      </c>
      <c r="CF25" s="387">
        <f t="shared" si="23"/>
        <v>-142.02552</v>
      </c>
      <c r="CG25" s="387">
        <f t="shared" si="24"/>
        <v>0</v>
      </c>
      <c r="CH25" s="387">
        <f t="shared" si="25"/>
        <v>20.289359999999991</v>
      </c>
      <c r="CI25" s="387">
        <f t="shared" si="26"/>
        <v>0</v>
      </c>
      <c r="CJ25" s="387">
        <f t="shared" si="39"/>
        <v>-121.73616000000001</v>
      </c>
      <c r="CK25" s="387" t="str">
        <f t="shared" si="40"/>
        <v/>
      </c>
      <c r="CL25" s="387" t="str">
        <f t="shared" si="41"/>
        <v/>
      </c>
      <c r="CM25" s="387" t="str">
        <f t="shared" si="42"/>
        <v/>
      </c>
      <c r="CN25" s="387" t="str">
        <f t="shared" si="43"/>
        <v>0348-31</v>
      </c>
    </row>
    <row r="26" spans="1:92" ht="15.75" thickBot="1" x14ac:dyDescent="0.3">
      <c r="A26" s="376" t="s">
        <v>161</v>
      </c>
      <c r="B26" s="376" t="s">
        <v>162</v>
      </c>
      <c r="C26" s="376" t="s">
        <v>325</v>
      </c>
      <c r="D26" s="376" t="s">
        <v>326</v>
      </c>
      <c r="E26" s="376" t="s">
        <v>224</v>
      </c>
      <c r="F26" s="382" t="s">
        <v>225</v>
      </c>
      <c r="G26" s="376" t="s">
        <v>167</v>
      </c>
      <c r="H26" s="378"/>
      <c r="I26" s="378"/>
      <c r="J26" s="376" t="s">
        <v>215</v>
      </c>
      <c r="K26" s="376" t="s">
        <v>327</v>
      </c>
      <c r="L26" s="376" t="s">
        <v>170</v>
      </c>
      <c r="M26" s="376" t="s">
        <v>272</v>
      </c>
      <c r="N26" s="376" t="s">
        <v>172</v>
      </c>
      <c r="O26" s="379">
        <v>0</v>
      </c>
      <c r="P26" s="385">
        <v>1</v>
      </c>
      <c r="Q26" s="385">
        <v>1</v>
      </c>
      <c r="R26" s="380">
        <v>80</v>
      </c>
      <c r="S26" s="385">
        <v>1</v>
      </c>
      <c r="T26" s="380">
        <v>0</v>
      </c>
      <c r="U26" s="380">
        <v>0</v>
      </c>
      <c r="V26" s="380">
        <v>0</v>
      </c>
      <c r="W26" s="380">
        <v>53476.800000000003</v>
      </c>
      <c r="X26" s="380">
        <v>23422.83</v>
      </c>
      <c r="Y26" s="380">
        <v>53476.800000000003</v>
      </c>
      <c r="Z26" s="380">
        <v>23155.45</v>
      </c>
      <c r="AA26" s="378"/>
      <c r="AB26" s="376" t="s">
        <v>45</v>
      </c>
      <c r="AC26" s="376" t="s">
        <v>45</v>
      </c>
      <c r="AD26" s="378"/>
      <c r="AE26" s="378"/>
      <c r="AF26" s="378"/>
      <c r="AG26" s="378"/>
      <c r="AH26" s="379">
        <v>0</v>
      </c>
      <c r="AI26" s="379">
        <v>0</v>
      </c>
      <c r="AJ26" s="378"/>
      <c r="AK26" s="378"/>
      <c r="AL26" s="376" t="s">
        <v>181</v>
      </c>
      <c r="AM26" s="378"/>
      <c r="AN26" s="378"/>
      <c r="AO26" s="379">
        <v>0</v>
      </c>
      <c r="AP26" s="385">
        <v>0</v>
      </c>
      <c r="AQ26" s="385">
        <v>0</v>
      </c>
      <c r="AR26" s="384"/>
      <c r="AS26" s="387">
        <f t="shared" si="27"/>
        <v>0</v>
      </c>
      <c r="AT26">
        <f t="shared" si="28"/>
        <v>0</v>
      </c>
      <c r="AU26" s="387" t="str">
        <f>IF(AT26=0,"",IF(AND(AT26=1,M26="F",SUMIF(C2:C1334,C26,AS2:AS1334)&lt;=1),SUMIF(C2:C1334,C26,AS2:AS1334),IF(AND(AT26=1,M26="F",SUMIF(C2:C1334,C26,AS2:AS1334)&gt;1),1,"")))</f>
        <v/>
      </c>
      <c r="AV26" s="387" t="str">
        <f>IF(AT26=0,"",IF(AND(AT26=3,M26="F",SUMIF(C2:C1334,C26,AS2:AS1334)&lt;=1),SUMIF(C2:C1334,C26,AS2:AS1334),IF(AND(AT26=3,M26="F",SUMIF(C2:C1334,C26,AS2:AS1334)&gt;1),1,"")))</f>
        <v/>
      </c>
      <c r="AW26" s="387">
        <f>SUMIF(C2:C1334,C26,O2:O1334)</f>
        <v>0</v>
      </c>
      <c r="AX26" s="387">
        <f>IF(AND(M26="F",AS26&lt;&gt;0),SUMIF(C2:C1334,C26,W2:W1334),0)</f>
        <v>0</v>
      </c>
      <c r="AY26" s="387" t="str">
        <f t="shared" si="29"/>
        <v/>
      </c>
      <c r="AZ26" s="387" t="str">
        <f t="shared" si="30"/>
        <v/>
      </c>
      <c r="BA26" s="387">
        <f t="shared" si="31"/>
        <v>0</v>
      </c>
      <c r="BB26" s="387">
        <f t="shared" si="0"/>
        <v>0</v>
      </c>
      <c r="BC26" s="387">
        <f t="shared" si="1"/>
        <v>0</v>
      </c>
      <c r="BD26" s="387">
        <f t="shared" si="2"/>
        <v>0</v>
      </c>
      <c r="BE26" s="387">
        <f t="shared" si="3"/>
        <v>0</v>
      </c>
      <c r="BF26" s="387">
        <f t="shared" si="4"/>
        <v>0</v>
      </c>
      <c r="BG26" s="387">
        <f t="shared" si="5"/>
        <v>0</v>
      </c>
      <c r="BH26" s="387">
        <f t="shared" si="6"/>
        <v>0</v>
      </c>
      <c r="BI26" s="387">
        <f t="shared" si="7"/>
        <v>0</v>
      </c>
      <c r="BJ26" s="387">
        <f t="shared" si="8"/>
        <v>0</v>
      </c>
      <c r="BK26" s="387">
        <f t="shared" si="9"/>
        <v>0</v>
      </c>
      <c r="BL26" s="387">
        <f t="shared" si="32"/>
        <v>0</v>
      </c>
      <c r="BM26" s="387">
        <f t="shared" si="33"/>
        <v>0</v>
      </c>
      <c r="BN26" s="387">
        <f t="shared" si="10"/>
        <v>0</v>
      </c>
      <c r="BO26" s="387">
        <f t="shared" si="11"/>
        <v>0</v>
      </c>
      <c r="BP26" s="387">
        <f t="shared" si="12"/>
        <v>0</v>
      </c>
      <c r="BQ26" s="387">
        <f t="shared" si="13"/>
        <v>0</v>
      </c>
      <c r="BR26" s="387">
        <f t="shared" si="14"/>
        <v>0</v>
      </c>
      <c r="BS26" s="387">
        <f t="shared" si="15"/>
        <v>0</v>
      </c>
      <c r="BT26" s="387">
        <f t="shared" si="16"/>
        <v>0</v>
      </c>
      <c r="BU26" s="387">
        <f t="shared" si="17"/>
        <v>0</v>
      </c>
      <c r="BV26" s="387">
        <f t="shared" si="18"/>
        <v>0</v>
      </c>
      <c r="BW26" s="387">
        <f t="shared" si="19"/>
        <v>0</v>
      </c>
      <c r="BX26" s="387">
        <f t="shared" si="34"/>
        <v>0</v>
      </c>
      <c r="BY26" s="387">
        <f t="shared" si="35"/>
        <v>0</v>
      </c>
      <c r="BZ26" s="387">
        <f t="shared" si="36"/>
        <v>0</v>
      </c>
      <c r="CA26" s="387">
        <f t="shared" si="37"/>
        <v>0</v>
      </c>
      <c r="CB26" s="387">
        <f t="shared" si="38"/>
        <v>0</v>
      </c>
      <c r="CC26" s="387">
        <f t="shared" si="20"/>
        <v>0</v>
      </c>
      <c r="CD26" s="387">
        <f t="shared" si="21"/>
        <v>0</v>
      </c>
      <c r="CE26" s="387">
        <f t="shared" si="22"/>
        <v>0</v>
      </c>
      <c r="CF26" s="387">
        <f t="shared" si="23"/>
        <v>0</v>
      </c>
      <c r="CG26" s="387">
        <f t="shared" si="24"/>
        <v>0</v>
      </c>
      <c r="CH26" s="387">
        <f t="shared" si="25"/>
        <v>0</v>
      </c>
      <c r="CI26" s="387">
        <f t="shared" si="26"/>
        <v>0</v>
      </c>
      <c r="CJ26" s="387">
        <f t="shared" si="39"/>
        <v>0</v>
      </c>
      <c r="CK26" s="387" t="str">
        <f t="shared" si="40"/>
        <v/>
      </c>
      <c r="CL26" s="387" t="str">
        <f t="shared" si="41"/>
        <v/>
      </c>
      <c r="CM26" s="387" t="str">
        <f t="shared" si="42"/>
        <v/>
      </c>
      <c r="CN26" s="387" t="str">
        <f t="shared" si="43"/>
        <v>0348-31</v>
      </c>
    </row>
    <row r="27" spans="1:92" ht="15.75" thickBot="1" x14ac:dyDescent="0.3">
      <c r="A27" s="376" t="s">
        <v>161</v>
      </c>
      <c r="B27" s="376" t="s">
        <v>162</v>
      </c>
      <c r="C27" s="376" t="s">
        <v>328</v>
      </c>
      <c r="D27" s="376" t="s">
        <v>329</v>
      </c>
      <c r="E27" s="376" t="s">
        <v>224</v>
      </c>
      <c r="F27" s="382" t="s">
        <v>225</v>
      </c>
      <c r="G27" s="376" t="s">
        <v>167</v>
      </c>
      <c r="H27" s="378"/>
      <c r="I27" s="378"/>
      <c r="J27" s="376" t="s">
        <v>239</v>
      </c>
      <c r="K27" s="376" t="s">
        <v>330</v>
      </c>
      <c r="L27" s="376" t="s">
        <v>210</v>
      </c>
      <c r="M27" s="376" t="s">
        <v>171</v>
      </c>
      <c r="N27" s="376" t="s">
        <v>172</v>
      </c>
      <c r="O27" s="379">
        <v>1</v>
      </c>
      <c r="P27" s="385">
        <v>0.95</v>
      </c>
      <c r="Q27" s="385">
        <v>0.95</v>
      </c>
      <c r="R27" s="380">
        <v>80</v>
      </c>
      <c r="S27" s="385">
        <v>0.95</v>
      </c>
      <c r="T27" s="380">
        <v>0</v>
      </c>
      <c r="U27" s="380">
        <v>0</v>
      </c>
      <c r="V27" s="380">
        <v>0</v>
      </c>
      <c r="W27" s="380">
        <v>63232</v>
      </c>
      <c r="X27" s="380">
        <v>24741.4</v>
      </c>
      <c r="Y27" s="380">
        <v>63232</v>
      </c>
      <c r="Z27" s="380">
        <v>24475.82</v>
      </c>
      <c r="AA27" s="376" t="s">
        <v>331</v>
      </c>
      <c r="AB27" s="376" t="s">
        <v>332</v>
      </c>
      <c r="AC27" s="376" t="s">
        <v>251</v>
      </c>
      <c r="AD27" s="376" t="s">
        <v>170</v>
      </c>
      <c r="AE27" s="376" t="s">
        <v>330</v>
      </c>
      <c r="AF27" s="376" t="s">
        <v>245</v>
      </c>
      <c r="AG27" s="376" t="s">
        <v>178</v>
      </c>
      <c r="AH27" s="379">
        <v>32</v>
      </c>
      <c r="AI27" s="381">
        <v>66344.5</v>
      </c>
      <c r="AJ27" s="376" t="s">
        <v>179</v>
      </c>
      <c r="AK27" s="376" t="s">
        <v>180</v>
      </c>
      <c r="AL27" s="376" t="s">
        <v>181</v>
      </c>
      <c r="AM27" s="376" t="s">
        <v>182</v>
      </c>
      <c r="AN27" s="376" t="s">
        <v>68</v>
      </c>
      <c r="AO27" s="379">
        <v>80</v>
      </c>
      <c r="AP27" s="385">
        <v>1</v>
      </c>
      <c r="AQ27" s="385">
        <v>0.95</v>
      </c>
      <c r="AR27" s="383" t="s">
        <v>183</v>
      </c>
      <c r="AS27" s="387">
        <f t="shared" si="27"/>
        <v>0.95</v>
      </c>
      <c r="AT27">
        <f t="shared" si="28"/>
        <v>1</v>
      </c>
      <c r="AU27" s="387">
        <f>IF(AT27=0,"",IF(AND(AT27=1,M27="F",SUMIF(C2:C1334,C27,AS2:AS1334)&lt;=1),SUMIF(C2:C1334,C27,AS2:AS1334),IF(AND(AT27=1,M27="F",SUMIF(C2:C1334,C27,AS2:AS1334)&gt;1),1,"")))</f>
        <v>1</v>
      </c>
      <c r="AV27" s="387" t="str">
        <f>IF(AT27=0,"",IF(AND(AT27=3,M27="F",SUMIF(C2:C1334,C27,AS2:AS1334)&lt;=1),SUMIF(C2:C1334,C27,AS2:AS1334),IF(AND(AT27=3,M27="F",SUMIF(C2:C1334,C27,AS2:AS1334)&gt;1),1,"")))</f>
        <v/>
      </c>
      <c r="AW27" s="387">
        <f>SUMIF(C2:C1334,C27,O2:O1334)</f>
        <v>4</v>
      </c>
      <c r="AX27" s="387">
        <f>IF(AND(M27="F",AS27&lt;&gt;0),SUMIF(C2:C1334,C27,W2:W1334),0)</f>
        <v>66560</v>
      </c>
      <c r="AY27" s="387">
        <f t="shared" si="29"/>
        <v>63232</v>
      </c>
      <c r="AZ27" s="387" t="str">
        <f t="shared" si="30"/>
        <v/>
      </c>
      <c r="BA27" s="387">
        <f t="shared" si="31"/>
        <v>0</v>
      </c>
      <c r="BB27" s="387">
        <f t="shared" si="0"/>
        <v>11067.5</v>
      </c>
      <c r="BC27" s="387">
        <f t="shared" si="1"/>
        <v>0</v>
      </c>
      <c r="BD27" s="387">
        <f t="shared" si="2"/>
        <v>3920.384</v>
      </c>
      <c r="BE27" s="387">
        <f t="shared" si="3"/>
        <v>916.86400000000003</v>
      </c>
      <c r="BF27" s="387">
        <f t="shared" si="4"/>
        <v>7549.9008000000003</v>
      </c>
      <c r="BG27" s="387">
        <f t="shared" si="5"/>
        <v>455.90272000000004</v>
      </c>
      <c r="BH27" s="387">
        <f t="shared" si="6"/>
        <v>309.83679999999998</v>
      </c>
      <c r="BI27" s="387">
        <f t="shared" si="7"/>
        <v>349.98912000000001</v>
      </c>
      <c r="BJ27" s="387">
        <f t="shared" si="8"/>
        <v>170.72640000000001</v>
      </c>
      <c r="BK27" s="387">
        <f t="shared" si="9"/>
        <v>0</v>
      </c>
      <c r="BL27" s="387">
        <f t="shared" si="32"/>
        <v>13673.603839999998</v>
      </c>
      <c r="BM27" s="387">
        <f t="shared" si="33"/>
        <v>0</v>
      </c>
      <c r="BN27" s="387">
        <f t="shared" si="10"/>
        <v>11067.5</v>
      </c>
      <c r="BO27" s="387">
        <f t="shared" si="11"/>
        <v>0</v>
      </c>
      <c r="BP27" s="387">
        <f t="shared" si="12"/>
        <v>3920.384</v>
      </c>
      <c r="BQ27" s="387">
        <f t="shared" si="13"/>
        <v>916.86400000000003</v>
      </c>
      <c r="BR27" s="387">
        <f t="shared" si="14"/>
        <v>7549.9008000000003</v>
      </c>
      <c r="BS27" s="387">
        <f t="shared" si="15"/>
        <v>455.90272000000004</v>
      </c>
      <c r="BT27" s="387">
        <f t="shared" si="16"/>
        <v>0</v>
      </c>
      <c r="BU27" s="387">
        <f t="shared" si="17"/>
        <v>349.98912000000001</v>
      </c>
      <c r="BV27" s="387">
        <f t="shared" si="18"/>
        <v>214.9888</v>
      </c>
      <c r="BW27" s="387">
        <f t="shared" si="19"/>
        <v>0</v>
      </c>
      <c r="BX27" s="387">
        <f t="shared" si="34"/>
        <v>13408.029439999998</v>
      </c>
      <c r="BY27" s="387">
        <f t="shared" si="35"/>
        <v>0</v>
      </c>
      <c r="BZ27" s="387">
        <f t="shared" si="36"/>
        <v>0</v>
      </c>
      <c r="CA27" s="387">
        <f t="shared" si="37"/>
        <v>0</v>
      </c>
      <c r="CB27" s="387">
        <f t="shared" si="38"/>
        <v>0</v>
      </c>
      <c r="CC27" s="387">
        <f t="shared" si="20"/>
        <v>0</v>
      </c>
      <c r="CD27" s="387">
        <f t="shared" si="21"/>
        <v>0</v>
      </c>
      <c r="CE27" s="387">
        <f t="shared" si="22"/>
        <v>0</v>
      </c>
      <c r="CF27" s="387">
        <f t="shared" si="23"/>
        <v>-309.83679999999998</v>
      </c>
      <c r="CG27" s="387">
        <f t="shared" si="24"/>
        <v>0</v>
      </c>
      <c r="CH27" s="387">
        <f t="shared" si="25"/>
        <v>44.262399999999978</v>
      </c>
      <c r="CI27" s="387">
        <f t="shared" si="26"/>
        <v>0</v>
      </c>
      <c r="CJ27" s="387">
        <f t="shared" si="39"/>
        <v>-265.57440000000003</v>
      </c>
      <c r="CK27" s="387" t="str">
        <f t="shared" si="40"/>
        <v/>
      </c>
      <c r="CL27" s="387" t="str">
        <f t="shared" si="41"/>
        <v/>
      </c>
      <c r="CM27" s="387" t="str">
        <f t="shared" si="42"/>
        <v/>
      </c>
      <c r="CN27" s="387" t="str">
        <f t="shared" si="43"/>
        <v>0348-31</v>
      </c>
    </row>
    <row r="28" spans="1:92" ht="15.75" thickBot="1" x14ac:dyDescent="0.3">
      <c r="A28" s="376" t="s">
        <v>161</v>
      </c>
      <c r="B28" s="376" t="s">
        <v>162</v>
      </c>
      <c r="C28" s="376" t="s">
        <v>333</v>
      </c>
      <c r="D28" s="376" t="s">
        <v>334</v>
      </c>
      <c r="E28" s="376" t="s">
        <v>224</v>
      </c>
      <c r="F28" s="382" t="s">
        <v>225</v>
      </c>
      <c r="G28" s="376" t="s">
        <v>167</v>
      </c>
      <c r="H28" s="378"/>
      <c r="I28" s="378"/>
      <c r="J28" s="376" t="s">
        <v>215</v>
      </c>
      <c r="K28" s="376" t="s">
        <v>335</v>
      </c>
      <c r="L28" s="376" t="s">
        <v>170</v>
      </c>
      <c r="M28" s="376" t="s">
        <v>272</v>
      </c>
      <c r="N28" s="376" t="s">
        <v>257</v>
      </c>
      <c r="O28" s="379">
        <v>0</v>
      </c>
      <c r="P28" s="385">
        <v>1</v>
      </c>
      <c r="Q28" s="385">
        <v>1</v>
      </c>
      <c r="R28" s="380">
        <v>80</v>
      </c>
      <c r="S28" s="385">
        <v>1</v>
      </c>
      <c r="T28" s="380">
        <v>0</v>
      </c>
      <c r="U28" s="380">
        <v>0</v>
      </c>
      <c r="V28" s="380">
        <v>0</v>
      </c>
      <c r="W28" s="380">
        <v>69908.800000000003</v>
      </c>
      <c r="X28" s="380">
        <v>30620.05</v>
      </c>
      <c r="Y28" s="380">
        <v>69908.800000000003</v>
      </c>
      <c r="Z28" s="380">
        <v>30270.51</v>
      </c>
      <c r="AA28" s="378"/>
      <c r="AB28" s="376" t="s">
        <v>45</v>
      </c>
      <c r="AC28" s="376" t="s">
        <v>45</v>
      </c>
      <c r="AD28" s="378"/>
      <c r="AE28" s="378"/>
      <c r="AF28" s="378"/>
      <c r="AG28" s="378"/>
      <c r="AH28" s="379">
        <v>0</v>
      </c>
      <c r="AI28" s="379">
        <v>0</v>
      </c>
      <c r="AJ28" s="378"/>
      <c r="AK28" s="378"/>
      <c r="AL28" s="376" t="s">
        <v>181</v>
      </c>
      <c r="AM28" s="378"/>
      <c r="AN28" s="378"/>
      <c r="AO28" s="379">
        <v>0</v>
      </c>
      <c r="AP28" s="385">
        <v>0</v>
      </c>
      <c r="AQ28" s="385">
        <v>0</v>
      </c>
      <c r="AR28" s="384"/>
      <c r="AS28" s="387">
        <f t="shared" si="27"/>
        <v>0</v>
      </c>
      <c r="AT28">
        <f t="shared" si="28"/>
        <v>0</v>
      </c>
      <c r="AU28" s="387" t="str">
        <f>IF(AT28=0,"",IF(AND(AT28=1,M28="F",SUMIF(C2:C1334,C28,AS2:AS1334)&lt;=1),SUMIF(C2:C1334,C28,AS2:AS1334),IF(AND(AT28=1,M28="F",SUMIF(C2:C1334,C28,AS2:AS1334)&gt;1),1,"")))</f>
        <v/>
      </c>
      <c r="AV28" s="387" t="str">
        <f>IF(AT28=0,"",IF(AND(AT28=3,M28="F",SUMIF(C2:C1334,C28,AS2:AS1334)&lt;=1),SUMIF(C2:C1334,C28,AS2:AS1334),IF(AND(AT28=3,M28="F",SUMIF(C2:C1334,C28,AS2:AS1334)&gt;1),1,"")))</f>
        <v/>
      </c>
      <c r="AW28" s="387">
        <f>SUMIF(C2:C1334,C28,O2:O1334)</f>
        <v>0</v>
      </c>
      <c r="AX28" s="387">
        <f>IF(AND(M28="F",AS28&lt;&gt;0),SUMIF(C2:C1334,C28,W2:W1334),0)</f>
        <v>0</v>
      </c>
      <c r="AY28" s="387" t="str">
        <f t="shared" si="29"/>
        <v/>
      </c>
      <c r="AZ28" s="387" t="str">
        <f t="shared" si="30"/>
        <v/>
      </c>
      <c r="BA28" s="387">
        <f t="shared" si="31"/>
        <v>0</v>
      </c>
      <c r="BB28" s="387">
        <f t="shared" si="0"/>
        <v>0</v>
      </c>
      <c r="BC28" s="387">
        <f t="shared" si="1"/>
        <v>0</v>
      </c>
      <c r="BD28" s="387">
        <f t="shared" si="2"/>
        <v>0</v>
      </c>
      <c r="BE28" s="387">
        <f t="shared" si="3"/>
        <v>0</v>
      </c>
      <c r="BF28" s="387">
        <f t="shared" si="4"/>
        <v>0</v>
      </c>
      <c r="BG28" s="387">
        <f t="shared" si="5"/>
        <v>0</v>
      </c>
      <c r="BH28" s="387">
        <f t="shared" si="6"/>
        <v>0</v>
      </c>
      <c r="BI28" s="387">
        <f t="shared" si="7"/>
        <v>0</v>
      </c>
      <c r="BJ28" s="387">
        <f t="shared" si="8"/>
        <v>0</v>
      </c>
      <c r="BK28" s="387">
        <f t="shared" si="9"/>
        <v>0</v>
      </c>
      <c r="BL28" s="387">
        <f t="shared" si="32"/>
        <v>0</v>
      </c>
      <c r="BM28" s="387">
        <f t="shared" si="33"/>
        <v>0</v>
      </c>
      <c r="BN28" s="387">
        <f t="shared" si="10"/>
        <v>0</v>
      </c>
      <c r="BO28" s="387">
        <f t="shared" si="11"/>
        <v>0</v>
      </c>
      <c r="BP28" s="387">
        <f t="shared" si="12"/>
        <v>0</v>
      </c>
      <c r="BQ28" s="387">
        <f t="shared" si="13"/>
        <v>0</v>
      </c>
      <c r="BR28" s="387">
        <f t="shared" si="14"/>
        <v>0</v>
      </c>
      <c r="BS28" s="387">
        <f t="shared" si="15"/>
        <v>0</v>
      </c>
      <c r="BT28" s="387">
        <f t="shared" si="16"/>
        <v>0</v>
      </c>
      <c r="BU28" s="387">
        <f t="shared" si="17"/>
        <v>0</v>
      </c>
      <c r="BV28" s="387">
        <f t="shared" si="18"/>
        <v>0</v>
      </c>
      <c r="BW28" s="387">
        <f t="shared" si="19"/>
        <v>0</v>
      </c>
      <c r="BX28" s="387">
        <f t="shared" si="34"/>
        <v>0</v>
      </c>
      <c r="BY28" s="387">
        <f t="shared" si="35"/>
        <v>0</v>
      </c>
      <c r="BZ28" s="387">
        <f t="shared" si="36"/>
        <v>0</v>
      </c>
      <c r="CA28" s="387">
        <f t="shared" si="37"/>
        <v>0</v>
      </c>
      <c r="CB28" s="387">
        <f t="shared" si="38"/>
        <v>0</v>
      </c>
      <c r="CC28" s="387">
        <f t="shared" si="20"/>
        <v>0</v>
      </c>
      <c r="CD28" s="387">
        <f t="shared" si="21"/>
        <v>0</v>
      </c>
      <c r="CE28" s="387">
        <f t="shared" si="22"/>
        <v>0</v>
      </c>
      <c r="CF28" s="387">
        <f t="shared" si="23"/>
        <v>0</v>
      </c>
      <c r="CG28" s="387">
        <f t="shared" si="24"/>
        <v>0</v>
      </c>
      <c r="CH28" s="387">
        <f t="shared" si="25"/>
        <v>0</v>
      </c>
      <c r="CI28" s="387">
        <f t="shared" si="26"/>
        <v>0</v>
      </c>
      <c r="CJ28" s="387">
        <f t="shared" si="39"/>
        <v>0</v>
      </c>
      <c r="CK28" s="387" t="str">
        <f t="shared" si="40"/>
        <v/>
      </c>
      <c r="CL28" s="387" t="str">
        <f t="shared" si="41"/>
        <v/>
      </c>
      <c r="CM28" s="387" t="str">
        <f t="shared" si="42"/>
        <v/>
      </c>
      <c r="CN28" s="387" t="str">
        <f t="shared" si="43"/>
        <v>0348-31</v>
      </c>
    </row>
    <row r="29" spans="1:92" ht="15.75" thickBot="1" x14ac:dyDescent="0.3">
      <c r="A29" s="376" t="s">
        <v>161</v>
      </c>
      <c r="B29" s="376" t="s">
        <v>162</v>
      </c>
      <c r="C29" s="376" t="s">
        <v>336</v>
      </c>
      <c r="D29" s="376" t="s">
        <v>337</v>
      </c>
      <c r="E29" s="376" t="s">
        <v>224</v>
      </c>
      <c r="F29" s="382" t="s">
        <v>225</v>
      </c>
      <c r="G29" s="376" t="s">
        <v>167</v>
      </c>
      <c r="H29" s="378"/>
      <c r="I29" s="378"/>
      <c r="J29" s="376" t="s">
        <v>215</v>
      </c>
      <c r="K29" s="376" t="s">
        <v>338</v>
      </c>
      <c r="L29" s="376" t="s">
        <v>166</v>
      </c>
      <c r="M29" s="376" t="s">
        <v>171</v>
      </c>
      <c r="N29" s="376" t="s">
        <v>257</v>
      </c>
      <c r="O29" s="379">
        <v>1</v>
      </c>
      <c r="P29" s="385">
        <v>1</v>
      </c>
      <c r="Q29" s="385">
        <v>1</v>
      </c>
      <c r="R29" s="380">
        <v>80</v>
      </c>
      <c r="S29" s="385">
        <v>1</v>
      </c>
      <c r="T29" s="380">
        <v>0</v>
      </c>
      <c r="U29" s="380">
        <v>0</v>
      </c>
      <c r="V29" s="380">
        <v>0</v>
      </c>
      <c r="W29" s="380">
        <v>80620.800000000003</v>
      </c>
      <c r="X29" s="380">
        <v>28637.58</v>
      </c>
      <c r="Y29" s="380">
        <v>80620.800000000003</v>
      </c>
      <c r="Z29" s="380">
        <v>28298.98</v>
      </c>
      <c r="AA29" s="376" t="s">
        <v>339</v>
      </c>
      <c r="AB29" s="376" t="s">
        <v>340</v>
      </c>
      <c r="AC29" s="376" t="s">
        <v>341</v>
      </c>
      <c r="AD29" s="376" t="s">
        <v>279</v>
      </c>
      <c r="AE29" s="376" t="s">
        <v>338</v>
      </c>
      <c r="AF29" s="376" t="s">
        <v>261</v>
      </c>
      <c r="AG29" s="376" t="s">
        <v>178</v>
      </c>
      <c r="AH29" s="381">
        <v>38.76</v>
      </c>
      <c r="AI29" s="379">
        <v>17897</v>
      </c>
      <c r="AJ29" s="376" t="s">
        <v>179</v>
      </c>
      <c r="AK29" s="376" t="s">
        <v>180</v>
      </c>
      <c r="AL29" s="376" t="s">
        <v>181</v>
      </c>
      <c r="AM29" s="376" t="s">
        <v>182</v>
      </c>
      <c r="AN29" s="376" t="s">
        <v>68</v>
      </c>
      <c r="AO29" s="379">
        <v>80</v>
      </c>
      <c r="AP29" s="385">
        <v>1</v>
      </c>
      <c r="AQ29" s="385">
        <v>1</v>
      </c>
      <c r="AR29" s="383" t="s">
        <v>183</v>
      </c>
      <c r="AS29" s="387">
        <f t="shared" si="27"/>
        <v>1</v>
      </c>
      <c r="AT29">
        <f t="shared" si="28"/>
        <v>1</v>
      </c>
      <c r="AU29" s="387">
        <f>IF(AT29=0,"",IF(AND(AT29=1,M29="F",SUMIF(C2:C1334,C29,AS2:AS1334)&lt;=1),SUMIF(C2:C1334,C29,AS2:AS1334),IF(AND(AT29=1,M29="F",SUMIF(C2:C1334,C29,AS2:AS1334)&gt;1),1,"")))</f>
        <v>1</v>
      </c>
      <c r="AV29" s="387" t="str">
        <f>IF(AT29=0,"",IF(AND(AT29=3,M29="F",SUMIF(C2:C1334,C29,AS2:AS1334)&lt;=1),SUMIF(C2:C1334,C29,AS2:AS1334),IF(AND(AT29=3,M29="F",SUMIF(C2:C1334,C29,AS2:AS1334)&gt;1),1,"")))</f>
        <v/>
      </c>
      <c r="AW29" s="387">
        <f>SUMIF(C2:C1334,C29,O2:O1334)</f>
        <v>4</v>
      </c>
      <c r="AX29" s="387">
        <f>IF(AND(M29="F",AS29&lt;&gt;0),SUMIF(C2:C1334,C29,W2:W1334),0)</f>
        <v>80620.800000000003</v>
      </c>
      <c r="AY29" s="387">
        <f t="shared" si="29"/>
        <v>80620.800000000003</v>
      </c>
      <c r="AZ29" s="387" t="str">
        <f t="shared" si="30"/>
        <v/>
      </c>
      <c r="BA29" s="387">
        <f t="shared" si="31"/>
        <v>0</v>
      </c>
      <c r="BB29" s="387">
        <f t="shared" si="0"/>
        <v>11650</v>
      </c>
      <c r="BC29" s="387">
        <f t="shared" si="1"/>
        <v>0</v>
      </c>
      <c r="BD29" s="387">
        <f t="shared" si="2"/>
        <v>4998.4895999999999</v>
      </c>
      <c r="BE29" s="387">
        <f t="shared" si="3"/>
        <v>1169.0016000000001</v>
      </c>
      <c r="BF29" s="387">
        <f t="shared" si="4"/>
        <v>9626.123520000001</v>
      </c>
      <c r="BG29" s="387">
        <f t="shared" si="5"/>
        <v>581.27596800000003</v>
      </c>
      <c r="BH29" s="387">
        <f t="shared" si="6"/>
        <v>395.04192</v>
      </c>
      <c r="BI29" s="387">
        <f t="shared" si="7"/>
        <v>0</v>
      </c>
      <c r="BJ29" s="387">
        <f t="shared" si="8"/>
        <v>217.67616000000001</v>
      </c>
      <c r="BK29" s="387">
        <f t="shared" si="9"/>
        <v>0</v>
      </c>
      <c r="BL29" s="387">
        <f t="shared" si="32"/>
        <v>16987.608768000002</v>
      </c>
      <c r="BM29" s="387">
        <f t="shared" si="33"/>
        <v>0</v>
      </c>
      <c r="BN29" s="387">
        <f t="shared" si="10"/>
        <v>11650</v>
      </c>
      <c r="BO29" s="387">
        <f t="shared" si="11"/>
        <v>0</v>
      </c>
      <c r="BP29" s="387">
        <f t="shared" si="12"/>
        <v>4998.4895999999999</v>
      </c>
      <c r="BQ29" s="387">
        <f t="shared" si="13"/>
        <v>1169.0016000000001</v>
      </c>
      <c r="BR29" s="387">
        <f t="shared" si="14"/>
        <v>9626.123520000001</v>
      </c>
      <c r="BS29" s="387">
        <f t="shared" si="15"/>
        <v>581.27596800000003</v>
      </c>
      <c r="BT29" s="387">
        <f t="shared" si="16"/>
        <v>0</v>
      </c>
      <c r="BU29" s="387">
        <f t="shared" si="17"/>
        <v>0</v>
      </c>
      <c r="BV29" s="387">
        <f t="shared" si="18"/>
        <v>274.11072000000001</v>
      </c>
      <c r="BW29" s="387">
        <f t="shared" si="19"/>
        <v>0</v>
      </c>
      <c r="BX29" s="387">
        <f t="shared" si="34"/>
        <v>16649.001408</v>
      </c>
      <c r="BY29" s="387">
        <f t="shared" si="35"/>
        <v>0</v>
      </c>
      <c r="BZ29" s="387">
        <f t="shared" si="36"/>
        <v>0</v>
      </c>
      <c r="CA29" s="387">
        <f t="shared" si="37"/>
        <v>0</v>
      </c>
      <c r="CB29" s="387">
        <f t="shared" si="38"/>
        <v>0</v>
      </c>
      <c r="CC29" s="387">
        <f t="shared" si="20"/>
        <v>0</v>
      </c>
      <c r="CD29" s="387">
        <f t="shared" si="21"/>
        <v>0</v>
      </c>
      <c r="CE29" s="387">
        <f t="shared" si="22"/>
        <v>0</v>
      </c>
      <c r="CF29" s="387">
        <f t="shared" si="23"/>
        <v>-395.04192</v>
      </c>
      <c r="CG29" s="387">
        <f t="shared" si="24"/>
        <v>0</v>
      </c>
      <c r="CH29" s="387">
        <f t="shared" si="25"/>
        <v>56.434559999999976</v>
      </c>
      <c r="CI29" s="387">
        <f t="shared" si="26"/>
        <v>0</v>
      </c>
      <c r="CJ29" s="387">
        <f t="shared" si="39"/>
        <v>-338.60736000000003</v>
      </c>
      <c r="CK29" s="387" t="str">
        <f t="shared" si="40"/>
        <v/>
      </c>
      <c r="CL29" s="387" t="str">
        <f t="shared" si="41"/>
        <v/>
      </c>
      <c r="CM29" s="387" t="str">
        <f t="shared" si="42"/>
        <v/>
      </c>
      <c r="CN29" s="387" t="str">
        <f t="shared" si="43"/>
        <v>0348-31</v>
      </c>
    </row>
    <row r="30" spans="1:92" ht="15.75" thickBot="1" x14ac:dyDescent="0.3">
      <c r="A30" s="376" t="s">
        <v>161</v>
      </c>
      <c r="B30" s="376" t="s">
        <v>162</v>
      </c>
      <c r="C30" s="376" t="s">
        <v>342</v>
      </c>
      <c r="D30" s="376" t="s">
        <v>238</v>
      </c>
      <c r="E30" s="376" t="s">
        <v>224</v>
      </c>
      <c r="F30" s="382" t="s">
        <v>225</v>
      </c>
      <c r="G30" s="376" t="s">
        <v>167</v>
      </c>
      <c r="H30" s="378"/>
      <c r="I30" s="378"/>
      <c r="J30" s="376" t="s">
        <v>215</v>
      </c>
      <c r="K30" s="376" t="s">
        <v>343</v>
      </c>
      <c r="L30" s="376" t="s">
        <v>296</v>
      </c>
      <c r="M30" s="376" t="s">
        <v>171</v>
      </c>
      <c r="N30" s="376" t="s">
        <v>172</v>
      </c>
      <c r="O30" s="379">
        <v>1</v>
      </c>
      <c r="P30" s="385">
        <v>1</v>
      </c>
      <c r="Q30" s="385">
        <v>1</v>
      </c>
      <c r="R30" s="380">
        <v>80</v>
      </c>
      <c r="S30" s="385">
        <v>1</v>
      </c>
      <c r="T30" s="380">
        <v>0</v>
      </c>
      <c r="U30" s="380">
        <v>0</v>
      </c>
      <c r="V30" s="380">
        <v>0</v>
      </c>
      <c r="W30" s="380">
        <v>44761.599999999999</v>
      </c>
      <c r="X30" s="380">
        <v>21329.66</v>
      </c>
      <c r="Y30" s="380">
        <v>44761.599999999999</v>
      </c>
      <c r="Z30" s="380">
        <v>21141.66</v>
      </c>
      <c r="AA30" s="376" t="s">
        <v>344</v>
      </c>
      <c r="AB30" s="376" t="s">
        <v>345</v>
      </c>
      <c r="AC30" s="376" t="s">
        <v>346</v>
      </c>
      <c r="AD30" s="376" t="s">
        <v>347</v>
      </c>
      <c r="AE30" s="376" t="s">
        <v>343</v>
      </c>
      <c r="AF30" s="376" t="s">
        <v>301</v>
      </c>
      <c r="AG30" s="376" t="s">
        <v>178</v>
      </c>
      <c r="AH30" s="381">
        <v>21.52</v>
      </c>
      <c r="AI30" s="379">
        <v>26299</v>
      </c>
      <c r="AJ30" s="376" t="s">
        <v>179</v>
      </c>
      <c r="AK30" s="376" t="s">
        <v>180</v>
      </c>
      <c r="AL30" s="376" t="s">
        <v>181</v>
      </c>
      <c r="AM30" s="376" t="s">
        <v>182</v>
      </c>
      <c r="AN30" s="376" t="s">
        <v>68</v>
      </c>
      <c r="AO30" s="379">
        <v>80</v>
      </c>
      <c r="AP30" s="385">
        <v>1</v>
      </c>
      <c r="AQ30" s="385">
        <v>1</v>
      </c>
      <c r="AR30" s="383" t="s">
        <v>183</v>
      </c>
      <c r="AS30" s="387">
        <f t="shared" si="27"/>
        <v>1</v>
      </c>
      <c r="AT30">
        <f t="shared" si="28"/>
        <v>1</v>
      </c>
      <c r="AU30" s="387">
        <f>IF(AT30=0,"",IF(AND(AT30=1,M30="F",SUMIF(C2:C1334,C30,AS2:AS1334)&lt;=1),SUMIF(C2:C1334,C30,AS2:AS1334),IF(AND(AT30=1,M30="F",SUMIF(C2:C1334,C30,AS2:AS1334)&gt;1),1,"")))</f>
        <v>1</v>
      </c>
      <c r="AV30" s="387" t="str">
        <f>IF(AT30=0,"",IF(AND(AT30=3,M30="F",SUMIF(C2:C1334,C30,AS2:AS1334)&lt;=1),SUMIF(C2:C1334,C30,AS2:AS1334),IF(AND(AT30=3,M30="F",SUMIF(C2:C1334,C30,AS2:AS1334)&gt;1),1,"")))</f>
        <v/>
      </c>
      <c r="AW30" s="387">
        <f>SUMIF(C2:C1334,C30,O2:O1334)</f>
        <v>4</v>
      </c>
      <c r="AX30" s="387">
        <f>IF(AND(M30="F",AS30&lt;&gt;0),SUMIF(C2:C1334,C30,W2:W1334),0)</f>
        <v>44761.599999999999</v>
      </c>
      <c r="AY30" s="387">
        <f t="shared" si="29"/>
        <v>44761.599999999999</v>
      </c>
      <c r="AZ30" s="387" t="str">
        <f t="shared" si="30"/>
        <v/>
      </c>
      <c r="BA30" s="387">
        <f t="shared" si="31"/>
        <v>0</v>
      </c>
      <c r="BB30" s="387">
        <f t="shared" si="0"/>
        <v>11650</v>
      </c>
      <c r="BC30" s="387">
        <f t="shared" si="1"/>
        <v>0</v>
      </c>
      <c r="BD30" s="387">
        <f t="shared" si="2"/>
        <v>2775.2192</v>
      </c>
      <c r="BE30" s="387">
        <f t="shared" si="3"/>
        <v>649.04319999999996</v>
      </c>
      <c r="BF30" s="387">
        <f t="shared" si="4"/>
        <v>5344.5350399999998</v>
      </c>
      <c r="BG30" s="387">
        <f t="shared" si="5"/>
        <v>322.73113599999999</v>
      </c>
      <c r="BH30" s="387">
        <f t="shared" si="6"/>
        <v>219.33184</v>
      </c>
      <c r="BI30" s="387">
        <f t="shared" si="7"/>
        <v>247.75545599999998</v>
      </c>
      <c r="BJ30" s="387">
        <f t="shared" si="8"/>
        <v>120.85632</v>
      </c>
      <c r="BK30" s="387">
        <f t="shared" si="9"/>
        <v>0</v>
      </c>
      <c r="BL30" s="387">
        <f t="shared" si="32"/>
        <v>9679.4721920000029</v>
      </c>
      <c r="BM30" s="387">
        <f t="shared" si="33"/>
        <v>0</v>
      </c>
      <c r="BN30" s="387">
        <f t="shared" si="10"/>
        <v>11650</v>
      </c>
      <c r="BO30" s="387">
        <f t="shared" si="11"/>
        <v>0</v>
      </c>
      <c r="BP30" s="387">
        <f t="shared" si="12"/>
        <v>2775.2192</v>
      </c>
      <c r="BQ30" s="387">
        <f t="shared" si="13"/>
        <v>649.04319999999996</v>
      </c>
      <c r="BR30" s="387">
        <f t="shared" si="14"/>
        <v>5344.5350399999998</v>
      </c>
      <c r="BS30" s="387">
        <f t="shared" si="15"/>
        <v>322.73113599999999</v>
      </c>
      <c r="BT30" s="387">
        <f t="shared" si="16"/>
        <v>0</v>
      </c>
      <c r="BU30" s="387">
        <f t="shared" si="17"/>
        <v>247.75545599999998</v>
      </c>
      <c r="BV30" s="387">
        <f t="shared" si="18"/>
        <v>152.18943999999999</v>
      </c>
      <c r="BW30" s="387">
        <f t="shared" si="19"/>
        <v>0</v>
      </c>
      <c r="BX30" s="387">
        <f t="shared" si="34"/>
        <v>9491.4734720000015</v>
      </c>
      <c r="BY30" s="387">
        <f t="shared" si="35"/>
        <v>0</v>
      </c>
      <c r="BZ30" s="387">
        <f t="shared" si="36"/>
        <v>0</v>
      </c>
      <c r="CA30" s="387">
        <f t="shared" si="37"/>
        <v>0</v>
      </c>
      <c r="CB30" s="387">
        <f t="shared" si="38"/>
        <v>0</v>
      </c>
      <c r="CC30" s="387">
        <f t="shared" si="20"/>
        <v>0</v>
      </c>
      <c r="CD30" s="387">
        <f t="shared" si="21"/>
        <v>0</v>
      </c>
      <c r="CE30" s="387">
        <f t="shared" si="22"/>
        <v>0</v>
      </c>
      <c r="CF30" s="387">
        <f t="shared" si="23"/>
        <v>-219.33184</v>
      </c>
      <c r="CG30" s="387">
        <f t="shared" si="24"/>
        <v>0</v>
      </c>
      <c r="CH30" s="387">
        <f t="shared" si="25"/>
        <v>31.333119999999983</v>
      </c>
      <c r="CI30" s="387">
        <f t="shared" si="26"/>
        <v>0</v>
      </c>
      <c r="CJ30" s="387">
        <f t="shared" si="39"/>
        <v>-187.99872000000002</v>
      </c>
      <c r="CK30" s="387" t="str">
        <f t="shared" si="40"/>
        <v/>
      </c>
      <c r="CL30" s="387" t="str">
        <f t="shared" si="41"/>
        <v/>
      </c>
      <c r="CM30" s="387" t="str">
        <f t="shared" si="42"/>
        <v/>
      </c>
      <c r="CN30" s="387" t="str">
        <f t="shared" si="43"/>
        <v>0348-31</v>
      </c>
    </row>
    <row r="31" spans="1:92" ht="15.75" thickBot="1" x14ac:dyDescent="0.3">
      <c r="A31" s="376" t="s">
        <v>161</v>
      </c>
      <c r="B31" s="376" t="s">
        <v>162</v>
      </c>
      <c r="C31" s="376" t="s">
        <v>348</v>
      </c>
      <c r="D31" s="376" t="s">
        <v>349</v>
      </c>
      <c r="E31" s="376" t="s">
        <v>224</v>
      </c>
      <c r="F31" s="382" t="s">
        <v>225</v>
      </c>
      <c r="G31" s="376" t="s">
        <v>167</v>
      </c>
      <c r="H31" s="378"/>
      <c r="I31" s="378"/>
      <c r="J31" s="376" t="s">
        <v>239</v>
      </c>
      <c r="K31" s="376" t="s">
        <v>350</v>
      </c>
      <c r="L31" s="376" t="s">
        <v>351</v>
      </c>
      <c r="M31" s="376" t="s">
        <v>171</v>
      </c>
      <c r="N31" s="376" t="s">
        <v>172</v>
      </c>
      <c r="O31" s="379">
        <v>1</v>
      </c>
      <c r="P31" s="385">
        <v>0.25</v>
      </c>
      <c r="Q31" s="385">
        <v>0.25</v>
      </c>
      <c r="R31" s="380">
        <v>80</v>
      </c>
      <c r="S31" s="385">
        <v>0.25</v>
      </c>
      <c r="T31" s="380">
        <v>0</v>
      </c>
      <c r="U31" s="380">
        <v>0</v>
      </c>
      <c r="V31" s="380">
        <v>0</v>
      </c>
      <c r="W31" s="380">
        <v>23259.599999999999</v>
      </c>
      <c r="X31" s="380">
        <v>7942.38</v>
      </c>
      <c r="Y31" s="380">
        <v>23259.599999999999</v>
      </c>
      <c r="Z31" s="380">
        <v>7844.69</v>
      </c>
      <c r="AA31" s="376" t="s">
        <v>352</v>
      </c>
      <c r="AB31" s="376" t="s">
        <v>353</v>
      </c>
      <c r="AC31" s="376" t="s">
        <v>354</v>
      </c>
      <c r="AD31" s="376" t="s">
        <v>351</v>
      </c>
      <c r="AE31" s="376" t="s">
        <v>350</v>
      </c>
      <c r="AF31" s="376" t="s">
        <v>355</v>
      </c>
      <c r="AG31" s="376" t="s">
        <v>178</v>
      </c>
      <c r="AH31" s="381">
        <v>44.73</v>
      </c>
      <c r="AI31" s="379">
        <v>49048</v>
      </c>
      <c r="AJ31" s="376" t="s">
        <v>179</v>
      </c>
      <c r="AK31" s="376" t="s">
        <v>180</v>
      </c>
      <c r="AL31" s="376" t="s">
        <v>181</v>
      </c>
      <c r="AM31" s="376" t="s">
        <v>182</v>
      </c>
      <c r="AN31" s="376" t="s">
        <v>68</v>
      </c>
      <c r="AO31" s="379">
        <v>80</v>
      </c>
      <c r="AP31" s="385">
        <v>1</v>
      </c>
      <c r="AQ31" s="385">
        <v>0.25</v>
      </c>
      <c r="AR31" s="383" t="s">
        <v>183</v>
      </c>
      <c r="AS31" s="387">
        <f t="shared" si="27"/>
        <v>0.25</v>
      </c>
      <c r="AT31">
        <f t="shared" si="28"/>
        <v>1</v>
      </c>
      <c r="AU31" s="387">
        <f>IF(AT31=0,"",IF(AND(AT31=1,M31="F",SUMIF(C2:C1334,C31,AS2:AS1334)&lt;=1),SUMIF(C2:C1334,C31,AS2:AS1334),IF(AND(AT31=1,M31="F",SUMIF(C2:C1334,C31,AS2:AS1334)&gt;1),1,"")))</f>
        <v>1</v>
      </c>
      <c r="AV31" s="387" t="str">
        <f>IF(AT31=0,"",IF(AND(AT31=3,M31="F",SUMIF(C2:C1334,C31,AS2:AS1334)&lt;=1),SUMIF(C2:C1334,C31,AS2:AS1334),IF(AND(AT31=3,M31="F",SUMIF(C2:C1334,C31,AS2:AS1334)&gt;1),1,"")))</f>
        <v/>
      </c>
      <c r="AW31" s="387">
        <f>SUMIF(C2:C1334,C31,O2:O1334)</f>
        <v>4</v>
      </c>
      <c r="AX31" s="387">
        <f>IF(AND(M31="F",AS31&lt;&gt;0),SUMIF(C2:C1334,C31,W2:W1334),0)</f>
        <v>93038.399999999994</v>
      </c>
      <c r="AY31" s="387">
        <f t="shared" si="29"/>
        <v>23259.599999999999</v>
      </c>
      <c r="AZ31" s="387" t="str">
        <f t="shared" si="30"/>
        <v/>
      </c>
      <c r="BA31" s="387">
        <f t="shared" si="31"/>
        <v>0</v>
      </c>
      <c r="BB31" s="387">
        <f t="shared" si="0"/>
        <v>2912.5</v>
      </c>
      <c r="BC31" s="387">
        <f t="shared" si="1"/>
        <v>0</v>
      </c>
      <c r="BD31" s="387">
        <f t="shared" si="2"/>
        <v>1442.0952</v>
      </c>
      <c r="BE31" s="387">
        <f t="shared" si="3"/>
        <v>337.26420000000002</v>
      </c>
      <c r="BF31" s="387">
        <f t="shared" si="4"/>
        <v>2777.1962399999998</v>
      </c>
      <c r="BG31" s="387">
        <f t="shared" si="5"/>
        <v>167.701716</v>
      </c>
      <c r="BH31" s="387">
        <f t="shared" si="6"/>
        <v>113.97203999999999</v>
      </c>
      <c r="BI31" s="387">
        <f t="shared" si="7"/>
        <v>128.74188599999999</v>
      </c>
      <c r="BJ31" s="387">
        <f t="shared" si="8"/>
        <v>62.800919999999998</v>
      </c>
      <c r="BK31" s="387">
        <f t="shared" si="9"/>
        <v>0</v>
      </c>
      <c r="BL31" s="387">
        <f t="shared" si="32"/>
        <v>5029.7722019999983</v>
      </c>
      <c r="BM31" s="387">
        <f t="shared" si="33"/>
        <v>0</v>
      </c>
      <c r="BN31" s="387">
        <f t="shared" si="10"/>
        <v>2912.5</v>
      </c>
      <c r="BO31" s="387">
        <f t="shared" si="11"/>
        <v>0</v>
      </c>
      <c r="BP31" s="387">
        <f t="shared" si="12"/>
        <v>1442.0952</v>
      </c>
      <c r="BQ31" s="387">
        <f t="shared" si="13"/>
        <v>337.26420000000002</v>
      </c>
      <c r="BR31" s="387">
        <f t="shared" si="14"/>
        <v>2777.1962399999998</v>
      </c>
      <c r="BS31" s="387">
        <f t="shared" si="15"/>
        <v>167.701716</v>
      </c>
      <c r="BT31" s="387">
        <f t="shared" si="16"/>
        <v>0</v>
      </c>
      <c r="BU31" s="387">
        <f t="shared" si="17"/>
        <v>128.74188599999999</v>
      </c>
      <c r="BV31" s="387">
        <f t="shared" si="18"/>
        <v>79.082639999999984</v>
      </c>
      <c r="BW31" s="387">
        <f t="shared" si="19"/>
        <v>0</v>
      </c>
      <c r="BX31" s="387">
        <f t="shared" si="34"/>
        <v>4932.0818819999986</v>
      </c>
      <c r="BY31" s="387">
        <f t="shared" si="35"/>
        <v>0</v>
      </c>
      <c r="BZ31" s="387">
        <f t="shared" si="36"/>
        <v>0</v>
      </c>
      <c r="CA31" s="387">
        <f t="shared" si="37"/>
        <v>0</v>
      </c>
      <c r="CB31" s="387">
        <f t="shared" si="38"/>
        <v>0</v>
      </c>
      <c r="CC31" s="387">
        <f t="shared" si="20"/>
        <v>0</v>
      </c>
      <c r="CD31" s="387">
        <f t="shared" si="21"/>
        <v>0</v>
      </c>
      <c r="CE31" s="387">
        <f t="shared" si="22"/>
        <v>0</v>
      </c>
      <c r="CF31" s="387">
        <f t="shared" si="23"/>
        <v>-113.97203999999999</v>
      </c>
      <c r="CG31" s="387">
        <f t="shared" si="24"/>
        <v>0</v>
      </c>
      <c r="CH31" s="387">
        <f t="shared" si="25"/>
        <v>16.281719999999993</v>
      </c>
      <c r="CI31" s="387">
        <f t="shared" si="26"/>
        <v>0</v>
      </c>
      <c r="CJ31" s="387">
        <f t="shared" si="39"/>
        <v>-97.69032</v>
      </c>
      <c r="CK31" s="387" t="str">
        <f t="shared" si="40"/>
        <v/>
      </c>
      <c r="CL31" s="387" t="str">
        <f t="shared" si="41"/>
        <v/>
      </c>
      <c r="CM31" s="387" t="str">
        <f t="shared" si="42"/>
        <v/>
      </c>
      <c r="CN31" s="387" t="str">
        <f t="shared" si="43"/>
        <v>0348-31</v>
      </c>
    </row>
    <row r="32" spans="1:92" ht="15.75" thickBot="1" x14ac:dyDescent="0.3">
      <c r="A32" s="376" t="s">
        <v>161</v>
      </c>
      <c r="B32" s="376" t="s">
        <v>162</v>
      </c>
      <c r="C32" s="376" t="s">
        <v>356</v>
      </c>
      <c r="D32" s="376" t="s">
        <v>357</v>
      </c>
      <c r="E32" s="376" t="s">
        <v>224</v>
      </c>
      <c r="F32" s="382" t="s">
        <v>225</v>
      </c>
      <c r="G32" s="376" t="s">
        <v>167</v>
      </c>
      <c r="H32" s="378"/>
      <c r="I32" s="378"/>
      <c r="J32" s="376" t="s">
        <v>215</v>
      </c>
      <c r="K32" s="376" t="s">
        <v>358</v>
      </c>
      <c r="L32" s="376" t="s">
        <v>166</v>
      </c>
      <c r="M32" s="376" t="s">
        <v>171</v>
      </c>
      <c r="N32" s="376" t="s">
        <v>257</v>
      </c>
      <c r="O32" s="379">
        <v>1</v>
      </c>
      <c r="P32" s="385">
        <v>1</v>
      </c>
      <c r="Q32" s="385">
        <v>1</v>
      </c>
      <c r="R32" s="380">
        <v>80</v>
      </c>
      <c r="S32" s="385">
        <v>1</v>
      </c>
      <c r="T32" s="380">
        <v>0</v>
      </c>
      <c r="U32" s="380">
        <v>0</v>
      </c>
      <c r="V32" s="380">
        <v>0</v>
      </c>
      <c r="W32" s="380">
        <v>158600</v>
      </c>
      <c r="X32" s="380">
        <v>43311.86</v>
      </c>
      <c r="Y32" s="380">
        <v>158600</v>
      </c>
      <c r="Z32" s="380">
        <v>43422.879999999997</v>
      </c>
      <c r="AA32" s="376" t="s">
        <v>359</v>
      </c>
      <c r="AB32" s="376" t="s">
        <v>360</v>
      </c>
      <c r="AC32" s="376" t="s">
        <v>361</v>
      </c>
      <c r="AD32" s="376" t="s">
        <v>170</v>
      </c>
      <c r="AE32" s="376" t="s">
        <v>358</v>
      </c>
      <c r="AF32" s="376" t="s">
        <v>261</v>
      </c>
      <c r="AG32" s="376" t="s">
        <v>178</v>
      </c>
      <c r="AH32" s="381">
        <v>76.25</v>
      </c>
      <c r="AI32" s="379">
        <v>17696</v>
      </c>
      <c r="AJ32" s="376" t="s">
        <v>179</v>
      </c>
      <c r="AK32" s="376" t="s">
        <v>180</v>
      </c>
      <c r="AL32" s="376" t="s">
        <v>181</v>
      </c>
      <c r="AM32" s="376" t="s">
        <v>181</v>
      </c>
      <c r="AN32" s="376" t="s">
        <v>68</v>
      </c>
      <c r="AO32" s="379">
        <v>80</v>
      </c>
      <c r="AP32" s="385">
        <v>1</v>
      </c>
      <c r="AQ32" s="385">
        <v>1</v>
      </c>
      <c r="AR32" s="383" t="s">
        <v>183</v>
      </c>
      <c r="AS32" s="387">
        <f t="shared" si="27"/>
        <v>1</v>
      </c>
      <c r="AT32">
        <f t="shared" si="28"/>
        <v>1</v>
      </c>
      <c r="AU32" s="387">
        <f>IF(AT32=0,"",IF(AND(AT32=1,M32="F",SUMIF(C2:C1334,C32,AS2:AS1334)&lt;=1),SUMIF(C2:C1334,C32,AS2:AS1334),IF(AND(AT32=1,M32="F",SUMIF(C2:C1334,C32,AS2:AS1334)&gt;1),1,"")))</f>
        <v>1</v>
      </c>
      <c r="AV32" s="387" t="str">
        <f>IF(AT32=0,"",IF(AND(AT32=3,M32="F",SUMIF(C2:C1334,C32,AS2:AS1334)&lt;=1),SUMIF(C2:C1334,C32,AS2:AS1334),IF(AND(AT32=3,M32="F",SUMIF(C2:C1334,C32,AS2:AS1334)&gt;1),1,"")))</f>
        <v/>
      </c>
      <c r="AW32" s="387">
        <f>SUMIF(C2:C1334,C32,O2:O1334)</f>
        <v>3</v>
      </c>
      <c r="AX32" s="387">
        <f>IF(AND(M32="F",AS32&lt;&gt;0),SUMIF(C2:C1334,C32,W2:W1334),0)</f>
        <v>158600</v>
      </c>
      <c r="AY32" s="387">
        <f t="shared" si="29"/>
        <v>158600</v>
      </c>
      <c r="AZ32" s="387" t="str">
        <f t="shared" si="30"/>
        <v/>
      </c>
      <c r="BA32" s="387">
        <f t="shared" si="31"/>
        <v>0</v>
      </c>
      <c r="BB32" s="387">
        <f t="shared" si="0"/>
        <v>11650</v>
      </c>
      <c r="BC32" s="387">
        <f t="shared" si="1"/>
        <v>0</v>
      </c>
      <c r="BD32" s="387">
        <f t="shared" si="2"/>
        <v>8537.4</v>
      </c>
      <c r="BE32" s="387">
        <f t="shared" si="3"/>
        <v>2299.7000000000003</v>
      </c>
      <c r="BF32" s="387">
        <f t="shared" si="4"/>
        <v>18936.84</v>
      </c>
      <c r="BG32" s="387">
        <f t="shared" si="5"/>
        <v>1143.5060000000001</v>
      </c>
      <c r="BH32" s="387">
        <f t="shared" si="6"/>
        <v>0</v>
      </c>
      <c r="BI32" s="387">
        <f t="shared" si="7"/>
        <v>0</v>
      </c>
      <c r="BJ32" s="387">
        <f t="shared" si="8"/>
        <v>428.22</v>
      </c>
      <c r="BK32" s="387">
        <f t="shared" si="9"/>
        <v>0</v>
      </c>
      <c r="BL32" s="387">
        <f t="shared" si="32"/>
        <v>31345.666000000005</v>
      </c>
      <c r="BM32" s="387">
        <f t="shared" si="33"/>
        <v>0</v>
      </c>
      <c r="BN32" s="387">
        <f t="shared" si="10"/>
        <v>11650</v>
      </c>
      <c r="BO32" s="387">
        <f t="shared" si="11"/>
        <v>0</v>
      </c>
      <c r="BP32" s="387">
        <f t="shared" si="12"/>
        <v>8853.6</v>
      </c>
      <c r="BQ32" s="387">
        <f t="shared" si="13"/>
        <v>2299.7000000000003</v>
      </c>
      <c r="BR32" s="387">
        <f t="shared" si="14"/>
        <v>18936.84</v>
      </c>
      <c r="BS32" s="387">
        <f t="shared" si="15"/>
        <v>1143.5060000000001</v>
      </c>
      <c r="BT32" s="387">
        <f t="shared" si="16"/>
        <v>0</v>
      </c>
      <c r="BU32" s="387">
        <f t="shared" si="17"/>
        <v>0</v>
      </c>
      <c r="BV32" s="387">
        <f t="shared" si="18"/>
        <v>539.24</v>
      </c>
      <c r="BW32" s="387">
        <f t="shared" si="19"/>
        <v>0</v>
      </c>
      <c r="BX32" s="387">
        <f t="shared" si="34"/>
        <v>31772.886000000002</v>
      </c>
      <c r="BY32" s="387">
        <f t="shared" si="35"/>
        <v>0</v>
      </c>
      <c r="BZ32" s="387">
        <f t="shared" si="36"/>
        <v>0</v>
      </c>
      <c r="CA32" s="387">
        <f t="shared" si="37"/>
        <v>0</v>
      </c>
      <c r="CB32" s="387">
        <f t="shared" si="38"/>
        <v>316.20000000000073</v>
      </c>
      <c r="CC32" s="387">
        <f t="shared" si="20"/>
        <v>0</v>
      </c>
      <c r="CD32" s="387">
        <f t="shared" si="21"/>
        <v>0</v>
      </c>
      <c r="CE32" s="387">
        <f t="shared" si="22"/>
        <v>0</v>
      </c>
      <c r="CF32" s="387">
        <f t="shared" si="23"/>
        <v>0</v>
      </c>
      <c r="CG32" s="387">
        <f t="shared" si="24"/>
        <v>0</v>
      </c>
      <c r="CH32" s="387">
        <f t="shared" si="25"/>
        <v>111.01999999999995</v>
      </c>
      <c r="CI32" s="387">
        <f t="shared" si="26"/>
        <v>0</v>
      </c>
      <c r="CJ32" s="387">
        <f t="shared" si="39"/>
        <v>427.22000000000071</v>
      </c>
      <c r="CK32" s="387" t="str">
        <f t="shared" si="40"/>
        <v/>
      </c>
      <c r="CL32" s="387" t="str">
        <f t="shared" si="41"/>
        <v/>
      </c>
      <c r="CM32" s="387" t="str">
        <f t="shared" si="42"/>
        <v/>
      </c>
      <c r="CN32" s="387" t="str">
        <f t="shared" si="43"/>
        <v>0348-31</v>
      </c>
    </row>
    <row r="33" spans="1:92" ht="15.75" thickBot="1" x14ac:dyDescent="0.3">
      <c r="A33" s="376" t="s">
        <v>161</v>
      </c>
      <c r="B33" s="376" t="s">
        <v>162</v>
      </c>
      <c r="C33" s="376" t="s">
        <v>362</v>
      </c>
      <c r="D33" s="376" t="s">
        <v>204</v>
      </c>
      <c r="E33" s="376" t="s">
        <v>224</v>
      </c>
      <c r="F33" s="382" t="s">
        <v>225</v>
      </c>
      <c r="G33" s="376" t="s">
        <v>167</v>
      </c>
      <c r="H33" s="378"/>
      <c r="I33" s="378"/>
      <c r="J33" s="376" t="s">
        <v>215</v>
      </c>
      <c r="K33" s="376" t="s">
        <v>206</v>
      </c>
      <c r="L33" s="376" t="s">
        <v>181</v>
      </c>
      <c r="M33" s="376" t="s">
        <v>171</v>
      </c>
      <c r="N33" s="376" t="s">
        <v>172</v>
      </c>
      <c r="O33" s="379">
        <v>1</v>
      </c>
      <c r="P33" s="385">
        <v>1</v>
      </c>
      <c r="Q33" s="385">
        <v>1</v>
      </c>
      <c r="R33" s="380">
        <v>80</v>
      </c>
      <c r="S33" s="385">
        <v>1</v>
      </c>
      <c r="T33" s="380">
        <v>0</v>
      </c>
      <c r="U33" s="380">
        <v>0</v>
      </c>
      <c r="V33" s="380">
        <v>0</v>
      </c>
      <c r="W33" s="380">
        <v>70366.399999999994</v>
      </c>
      <c r="X33" s="380">
        <v>26866.69</v>
      </c>
      <c r="Y33" s="380">
        <v>70366.399999999994</v>
      </c>
      <c r="Z33" s="380">
        <v>26571.16</v>
      </c>
      <c r="AA33" s="376" t="s">
        <v>363</v>
      </c>
      <c r="AB33" s="376" t="s">
        <v>364</v>
      </c>
      <c r="AC33" s="376" t="s">
        <v>365</v>
      </c>
      <c r="AD33" s="376" t="s">
        <v>366</v>
      </c>
      <c r="AE33" s="376" t="s">
        <v>206</v>
      </c>
      <c r="AF33" s="376" t="s">
        <v>211</v>
      </c>
      <c r="AG33" s="376" t="s">
        <v>178</v>
      </c>
      <c r="AH33" s="381">
        <v>33.83</v>
      </c>
      <c r="AI33" s="381">
        <v>24806.5</v>
      </c>
      <c r="AJ33" s="376" t="s">
        <v>179</v>
      </c>
      <c r="AK33" s="376" t="s">
        <v>180</v>
      </c>
      <c r="AL33" s="376" t="s">
        <v>181</v>
      </c>
      <c r="AM33" s="376" t="s">
        <v>182</v>
      </c>
      <c r="AN33" s="376" t="s">
        <v>68</v>
      </c>
      <c r="AO33" s="379">
        <v>80</v>
      </c>
      <c r="AP33" s="385">
        <v>1</v>
      </c>
      <c r="AQ33" s="385">
        <v>1</v>
      </c>
      <c r="AR33" s="383" t="s">
        <v>183</v>
      </c>
      <c r="AS33" s="387">
        <f t="shared" si="27"/>
        <v>1</v>
      </c>
      <c r="AT33">
        <f t="shared" si="28"/>
        <v>1</v>
      </c>
      <c r="AU33" s="387">
        <f>IF(AT33=0,"",IF(AND(AT33=1,M33="F",SUMIF(C2:C1334,C33,AS2:AS1334)&lt;=1),SUMIF(C2:C1334,C33,AS2:AS1334),IF(AND(AT33=1,M33="F",SUMIF(C2:C1334,C33,AS2:AS1334)&gt;1),1,"")))</f>
        <v>1</v>
      </c>
      <c r="AV33" s="387" t="str">
        <f>IF(AT33=0,"",IF(AND(AT33=3,M33="F",SUMIF(C2:C1334,C33,AS2:AS1334)&lt;=1),SUMIF(C2:C1334,C33,AS2:AS1334),IF(AND(AT33=3,M33="F",SUMIF(C2:C1334,C33,AS2:AS1334)&gt;1),1,"")))</f>
        <v/>
      </c>
      <c r="AW33" s="387">
        <f>SUMIF(C2:C1334,C33,O2:O1334)</f>
        <v>3</v>
      </c>
      <c r="AX33" s="387">
        <f>IF(AND(M33="F",AS33&lt;&gt;0),SUMIF(C2:C1334,C33,W2:W1334),0)</f>
        <v>70366.399999999994</v>
      </c>
      <c r="AY33" s="387">
        <f t="shared" si="29"/>
        <v>70366.399999999994</v>
      </c>
      <c r="AZ33" s="387" t="str">
        <f t="shared" si="30"/>
        <v/>
      </c>
      <c r="BA33" s="387">
        <f t="shared" si="31"/>
        <v>0</v>
      </c>
      <c r="BB33" s="387">
        <f t="shared" si="0"/>
        <v>11650</v>
      </c>
      <c r="BC33" s="387">
        <f t="shared" si="1"/>
        <v>0</v>
      </c>
      <c r="BD33" s="387">
        <f t="shared" si="2"/>
        <v>4362.7167999999992</v>
      </c>
      <c r="BE33" s="387">
        <f t="shared" si="3"/>
        <v>1020.3127999999999</v>
      </c>
      <c r="BF33" s="387">
        <f t="shared" si="4"/>
        <v>8401.7481599999992</v>
      </c>
      <c r="BG33" s="387">
        <f t="shared" si="5"/>
        <v>507.34174399999995</v>
      </c>
      <c r="BH33" s="387">
        <f t="shared" si="6"/>
        <v>344.79535999999996</v>
      </c>
      <c r="BI33" s="387">
        <f t="shared" si="7"/>
        <v>389.47802399999995</v>
      </c>
      <c r="BJ33" s="387">
        <f t="shared" si="8"/>
        <v>189.98928000000001</v>
      </c>
      <c r="BK33" s="387">
        <f t="shared" si="9"/>
        <v>0</v>
      </c>
      <c r="BL33" s="387">
        <f t="shared" si="32"/>
        <v>15216.382167999996</v>
      </c>
      <c r="BM33" s="387">
        <f t="shared" si="33"/>
        <v>0</v>
      </c>
      <c r="BN33" s="387">
        <f t="shared" si="10"/>
        <v>11650</v>
      </c>
      <c r="BO33" s="387">
        <f t="shared" si="11"/>
        <v>0</v>
      </c>
      <c r="BP33" s="387">
        <f t="shared" si="12"/>
        <v>4362.7167999999992</v>
      </c>
      <c r="BQ33" s="387">
        <f t="shared" si="13"/>
        <v>1020.3127999999999</v>
      </c>
      <c r="BR33" s="387">
        <f t="shared" si="14"/>
        <v>8401.7481599999992</v>
      </c>
      <c r="BS33" s="387">
        <f t="shared" si="15"/>
        <v>507.34174399999995</v>
      </c>
      <c r="BT33" s="387">
        <f t="shared" si="16"/>
        <v>0</v>
      </c>
      <c r="BU33" s="387">
        <f t="shared" si="17"/>
        <v>389.47802399999995</v>
      </c>
      <c r="BV33" s="387">
        <f t="shared" si="18"/>
        <v>239.24575999999996</v>
      </c>
      <c r="BW33" s="387">
        <f t="shared" si="19"/>
        <v>0</v>
      </c>
      <c r="BX33" s="387">
        <f t="shared" si="34"/>
        <v>14920.843287999996</v>
      </c>
      <c r="BY33" s="387">
        <f t="shared" si="35"/>
        <v>0</v>
      </c>
      <c r="BZ33" s="387">
        <f t="shared" si="36"/>
        <v>0</v>
      </c>
      <c r="CA33" s="387">
        <f t="shared" si="37"/>
        <v>0</v>
      </c>
      <c r="CB33" s="387">
        <f t="shared" si="38"/>
        <v>0</v>
      </c>
      <c r="CC33" s="387">
        <f t="shared" si="20"/>
        <v>0</v>
      </c>
      <c r="CD33" s="387">
        <f t="shared" si="21"/>
        <v>0</v>
      </c>
      <c r="CE33" s="387">
        <f t="shared" si="22"/>
        <v>0</v>
      </c>
      <c r="CF33" s="387">
        <f t="shared" si="23"/>
        <v>-344.79535999999996</v>
      </c>
      <c r="CG33" s="387">
        <f t="shared" si="24"/>
        <v>0</v>
      </c>
      <c r="CH33" s="387">
        <f t="shared" si="25"/>
        <v>49.256479999999975</v>
      </c>
      <c r="CI33" s="387">
        <f t="shared" si="26"/>
        <v>0</v>
      </c>
      <c r="CJ33" s="387">
        <f t="shared" si="39"/>
        <v>-295.53888000000001</v>
      </c>
      <c r="CK33" s="387" t="str">
        <f t="shared" si="40"/>
        <v/>
      </c>
      <c r="CL33" s="387" t="str">
        <f t="shared" si="41"/>
        <v/>
      </c>
      <c r="CM33" s="387" t="str">
        <f t="shared" si="42"/>
        <v/>
      </c>
      <c r="CN33" s="387" t="str">
        <f t="shared" si="43"/>
        <v>0348-31</v>
      </c>
    </row>
    <row r="34" spans="1:92" ht="15.75" thickBot="1" x14ac:dyDescent="0.3">
      <c r="A34" s="376" t="s">
        <v>161</v>
      </c>
      <c r="B34" s="376" t="s">
        <v>162</v>
      </c>
      <c r="C34" s="376" t="s">
        <v>367</v>
      </c>
      <c r="D34" s="376" t="s">
        <v>368</v>
      </c>
      <c r="E34" s="376" t="s">
        <v>224</v>
      </c>
      <c r="F34" s="382" t="s">
        <v>225</v>
      </c>
      <c r="G34" s="376" t="s">
        <v>167</v>
      </c>
      <c r="H34" s="378"/>
      <c r="I34" s="378"/>
      <c r="J34" s="376" t="s">
        <v>215</v>
      </c>
      <c r="K34" s="376" t="s">
        <v>369</v>
      </c>
      <c r="L34" s="376" t="s">
        <v>170</v>
      </c>
      <c r="M34" s="376" t="s">
        <v>171</v>
      </c>
      <c r="N34" s="376" t="s">
        <v>172</v>
      </c>
      <c r="O34" s="379">
        <v>1</v>
      </c>
      <c r="P34" s="385">
        <v>1</v>
      </c>
      <c r="Q34" s="385">
        <v>1</v>
      </c>
      <c r="R34" s="380">
        <v>80</v>
      </c>
      <c r="S34" s="385">
        <v>1</v>
      </c>
      <c r="T34" s="380">
        <v>0</v>
      </c>
      <c r="U34" s="380">
        <v>0</v>
      </c>
      <c r="V34" s="380">
        <v>0</v>
      </c>
      <c r="W34" s="380">
        <v>82097.600000000006</v>
      </c>
      <c r="X34" s="380">
        <v>29403.58</v>
      </c>
      <c r="Y34" s="380">
        <v>82097.600000000006</v>
      </c>
      <c r="Z34" s="380">
        <v>29058.78</v>
      </c>
      <c r="AA34" s="376" t="s">
        <v>370</v>
      </c>
      <c r="AB34" s="376" t="s">
        <v>371</v>
      </c>
      <c r="AC34" s="376" t="s">
        <v>372</v>
      </c>
      <c r="AD34" s="376" t="s">
        <v>373</v>
      </c>
      <c r="AE34" s="376" t="s">
        <v>369</v>
      </c>
      <c r="AF34" s="376" t="s">
        <v>177</v>
      </c>
      <c r="AG34" s="376" t="s">
        <v>178</v>
      </c>
      <c r="AH34" s="381">
        <v>39.47</v>
      </c>
      <c r="AI34" s="381">
        <v>37447.699999999997</v>
      </c>
      <c r="AJ34" s="376" t="s">
        <v>179</v>
      </c>
      <c r="AK34" s="376" t="s">
        <v>180</v>
      </c>
      <c r="AL34" s="376" t="s">
        <v>181</v>
      </c>
      <c r="AM34" s="376" t="s">
        <v>182</v>
      </c>
      <c r="AN34" s="376" t="s">
        <v>68</v>
      </c>
      <c r="AO34" s="379">
        <v>80</v>
      </c>
      <c r="AP34" s="385">
        <v>1</v>
      </c>
      <c r="AQ34" s="385">
        <v>1</v>
      </c>
      <c r="AR34" s="383" t="s">
        <v>183</v>
      </c>
      <c r="AS34" s="387">
        <f t="shared" si="27"/>
        <v>1</v>
      </c>
      <c r="AT34">
        <f t="shared" si="28"/>
        <v>1</v>
      </c>
      <c r="AU34" s="387">
        <f>IF(AT34=0,"",IF(AND(AT34=1,M34="F",SUMIF(C2:C1334,C34,AS2:AS1334)&lt;=1),SUMIF(C2:C1334,C34,AS2:AS1334),IF(AND(AT34=1,M34="F",SUMIF(C2:C1334,C34,AS2:AS1334)&gt;1),1,"")))</f>
        <v>1</v>
      </c>
      <c r="AV34" s="387" t="str">
        <f>IF(AT34=0,"",IF(AND(AT34=3,M34="F",SUMIF(C2:C1334,C34,AS2:AS1334)&lt;=1),SUMIF(C2:C1334,C34,AS2:AS1334),IF(AND(AT34=3,M34="F",SUMIF(C2:C1334,C34,AS2:AS1334)&gt;1),1,"")))</f>
        <v/>
      </c>
      <c r="AW34" s="387">
        <f>SUMIF(C2:C1334,C34,O2:O1334)</f>
        <v>4</v>
      </c>
      <c r="AX34" s="387">
        <f>IF(AND(M34="F",AS34&lt;&gt;0),SUMIF(C2:C1334,C34,W2:W1334),0)</f>
        <v>82097.600000000006</v>
      </c>
      <c r="AY34" s="387">
        <f t="shared" si="29"/>
        <v>82097.600000000006</v>
      </c>
      <c r="AZ34" s="387" t="str">
        <f t="shared" si="30"/>
        <v/>
      </c>
      <c r="BA34" s="387">
        <f t="shared" si="31"/>
        <v>0</v>
      </c>
      <c r="BB34" s="387">
        <f t="shared" si="0"/>
        <v>11650</v>
      </c>
      <c r="BC34" s="387">
        <f t="shared" si="1"/>
        <v>0</v>
      </c>
      <c r="BD34" s="387">
        <f t="shared" si="2"/>
        <v>5090.0511999999999</v>
      </c>
      <c r="BE34" s="387">
        <f t="shared" si="3"/>
        <v>1190.4152000000001</v>
      </c>
      <c r="BF34" s="387">
        <f t="shared" si="4"/>
        <v>9802.4534400000011</v>
      </c>
      <c r="BG34" s="387">
        <f t="shared" si="5"/>
        <v>591.92369600000006</v>
      </c>
      <c r="BH34" s="387">
        <f t="shared" si="6"/>
        <v>402.27824000000004</v>
      </c>
      <c r="BI34" s="387">
        <f t="shared" si="7"/>
        <v>454.41021600000005</v>
      </c>
      <c r="BJ34" s="387">
        <f t="shared" si="8"/>
        <v>221.66352000000003</v>
      </c>
      <c r="BK34" s="387">
        <f t="shared" si="9"/>
        <v>0</v>
      </c>
      <c r="BL34" s="387">
        <f t="shared" si="32"/>
        <v>17753.195512000002</v>
      </c>
      <c r="BM34" s="387">
        <f t="shared" si="33"/>
        <v>0</v>
      </c>
      <c r="BN34" s="387">
        <f t="shared" si="10"/>
        <v>11650</v>
      </c>
      <c r="BO34" s="387">
        <f t="shared" si="11"/>
        <v>0</v>
      </c>
      <c r="BP34" s="387">
        <f t="shared" si="12"/>
        <v>5090.0511999999999</v>
      </c>
      <c r="BQ34" s="387">
        <f t="shared" si="13"/>
        <v>1190.4152000000001</v>
      </c>
      <c r="BR34" s="387">
        <f t="shared" si="14"/>
        <v>9802.4534400000011</v>
      </c>
      <c r="BS34" s="387">
        <f t="shared" si="15"/>
        <v>591.92369600000006</v>
      </c>
      <c r="BT34" s="387">
        <f t="shared" si="16"/>
        <v>0</v>
      </c>
      <c r="BU34" s="387">
        <f t="shared" si="17"/>
        <v>454.41021600000005</v>
      </c>
      <c r="BV34" s="387">
        <f t="shared" si="18"/>
        <v>279.13184000000001</v>
      </c>
      <c r="BW34" s="387">
        <f t="shared" si="19"/>
        <v>0</v>
      </c>
      <c r="BX34" s="387">
        <f t="shared" si="34"/>
        <v>17408.385592000006</v>
      </c>
      <c r="BY34" s="387">
        <f t="shared" si="35"/>
        <v>0</v>
      </c>
      <c r="BZ34" s="387">
        <f t="shared" si="36"/>
        <v>0</v>
      </c>
      <c r="CA34" s="387">
        <f t="shared" si="37"/>
        <v>0</v>
      </c>
      <c r="CB34" s="387">
        <f t="shared" si="38"/>
        <v>0</v>
      </c>
      <c r="CC34" s="387">
        <f t="shared" si="20"/>
        <v>0</v>
      </c>
      <c r="CD34" s="387">
        <f t="shared" si="21"/>
        <v>0</v>
      </c>
      <c r="CE34" s="387">
        <f t="shared" si="22"/>
        <v>0</v>
      </c>
      <c r="CF34" s="387">
        <f t="shared" si="23"/>
        <v>-402.27824000000004</v>
      </c>
      <c r="CG34" s="387">
        <f t="shared" si="24"/>
        <v>0</v>
      </c>
      <c r="CH34" s="387">
        <f t="shared" si="25"/>
        <v>57.468319999999977</v>
      </c>
      <c r="CI34" s="387">
        <f t="shared" si="26"/>
        <v>0</v>
      </c>
      <c r="CJ34" s="387">
        <f t="shared" si="39"/>
        <v>-344.80992000000003</v>
      </c>
      <c r="CK34" s="387" t="str">
        <f t="shared" si="40"/>
        <v/>
      </c>
      <c r="CL34" s="387" t="str">
        <f t="shared" si="41"/>
        <v/>
      </c>
      <c r="CM34" s="387" t="str">
        <f t="shared" si="42"/>
        <v/>
      </c>
      <c r="CN34" s="387" t="str">
        <f t="shared" si="43"/>
        <v>0348-31</v>
      </c>
    </row>
    <row r="35" spans="1:92" ht="15.75" thickBot="1" x14ac:dyDescent="0.3">
      <c r="A35" s="376" t="s">
        <v>161</v>
      </c>
      <c r="B35" s="376" t="s">
        <v>162</v>
      </c>
      <c r="C35" s="376" t="s">
        <v>374</v>
      </c>
      <c r="D35" s="376" t="s">
        <v>375</v>
      </c>
      <c r="E35" s="376" t="s">
        <v>224</v>
      </c>
      <c r="F35" s="382" t="s">
        <v>225</v>
      </c>
      <c r="G35" s="376" t="s">
        <v>167</v>
      </c>
      <c r="H35" s="378"/>
      <c r="I35" s="378"/>
      <c r="J35" s="376" t="s">
        <v>239</v>
      </c>
      <c r="K35" s="376" t="s">
        <v>376</v>
      </c>
      <c r="L35" s="376" t="s">
        <v>178</v>
      </c>
      <c r="M35" s="376" t="s">
        <v>171</v>
      </c>
      <c r="N35" s="376" t="s">
        <v>172</v>
      </c>
      <c r="O35" s="379">
        <v>1</v>
      </c>
      <c r="P35" s="385">
        <v>0.25</v>
      </c>
      <c r="Q35" s="385">
        <v>0.25</v>
      </c>
      <c r="R35" s="380">
        <v>80</v>
      </c>
      <c r="S35" s="385">
        <v>0.25</v>
      </c>
      <c r="T35" s="380">
        <v>0</v>
      </c>
      <c r="U35" s="380">
        <v>0</v>
      </c>
      <c r="V35" s="380">
        <v>0</v>
      </c>
      <c r="W35" s="380">
        <v>8288.7999999999993</v>
      </c>
      <c r="X35" s="380">
        <v>4704.9399999999996</v>
      </c>
      <c r="Y35" s="380">
        <v>8288.7999999999993</v>
      </c>
      <c r="Z35" s="380">
        <v>4670.13</v>
      </c>
      <c r="AA35" s="376" t="s">
        <v>377</v>
      </c>
      <c r="AB35" s="376" t="s">
        <v>378</v>
      </c>
      <c r="AC35" s="376" t="s">
        <v>379</v>
      </c>
      <c r="AD35" s="376" t="s">
        <v>198</v>
      </c>
      <c r="AE35" s="376" t="s">
        <v>376</v>
      </c>
      <c r="AF35" s="376" t="s">
        <v>253</v>
      </c>
      <c r="AG35" s="376" t="s">
        <v>178</v>
      </c>
      <c r="AH35" s="381">
        <v>15.94</v>
      </c>
      <c r="AI35" s="381">
        <v>32674.799999999999</v>
      </c>
      <c r="AJ35" s="376" t="s">
        <v>179</v>
      </c>
      <c r="AK35" s="376" t="s">
        <v>180</v>
      </c>
      <c r="AL35" s="376" t="s">
        <v>181</v>
      </c>
      <c r="AM35" s="376" t="s">
        <v>182</v>
      </c>
      <c r="AN35" s="376" t="s">
        <v>68</v>
      </c>
      <c r="AO35" s="379">
        <v>80</v>
      </c>
      <c r="AP35" s="385">
        <v>1</v>
      </c>
      <c r="AQ35" s="385">
        <v>0.25</v>
      </c>
      <c r="AR35" s="383" t="s">
        <v>183</v>
      </c>
      <c r="AS35" s="387">
        <f t="shared" si="27"/>
        <v>0.25</v>
      </c>
      <c r="AT35">
        <f t="shared" si="28"/>
        <v>1</v>
      </c>
      <c r="AU35" s="387">
        <f>IF(AT35=0,"",IF(AND(AT35=1,M35="F",SUMIF(C2:C1334,C35,AS2:AS1334)&lt;=1),SUMIF(C2:C1334,C35,AS2:AS1334),IF(AND(AT35=1,M35="F",SUMIF(C2:C1334,C35,AS2:AS1334)&gt;1),1,"")))</f>
        <v>1</v>
      </c>
      <c r="AV35" s="387" t="str">
        <f>IF(AT35=0,"",IF(AND(AT35=3,M35="F",SUMIF(C2:C1334,C35,AS2:AS1334)&lt;=1),SUMIF(C2:C1334,C35,AS2:AS1334),IF(AND(AT35=3,M35="F",SUMIF(C2:C1334,C35,AS2:AS1334)&gt;1),1,"")))</f>
        <v/>
      </c>
      <c r="AW35" s="387">
        <f>SUMIF(C2:C1334,C35,O2:O1334)</f>
        <v>3</v>
      </c>
      <c r="AX35" s="387">
        <f>IF(AND(M35="F",AS35&lt;&gt;0),SUMIF(C2:C1334,C35,W2:W1334),0)</f>
        <v>33155.199999999997</v>
      </c>
      <c r="AY35" s="387">
        <f t="shared" si="29"/>
        <v>8288.7999999999993</v>
      </c>
      <c r="AZ35" s="387" t="str">
        <f t="shared" si="30"/>
        <v/>
      </c>
      <c r="BA35" s="387">
        <f t="shared" si="31"/>
        <v>0</v>
      </c>
      <c r="BB35" s="387">
        <f t="shared" si="0"/>
        <v>2912.5</v>
      </c>
      <c r="BC35" s="387">
        <f t="shared" si="1"/>
        <v>0</v>
      </c>
      <c r="BD35" s="387">
        <f t="shared" si="2"/>
        <v>513.90559999999994</v>
      </c>
      <c r="BE35" s="387">
        <f t="shared" si="3"/>
        <v>120.18759999999999</v>
      </c>
      <c r="BF35" s="387">
        <f t="shared" si="4"/>
        <v>989.68272000000002</v>
      </c>
      <c r="BG35" s="387">
        <f t="shared" si="5"/>
        <v>59.762248</v>
      </c>
      <c r="BH35" s="387">
        <f t="shared" si="6"/>
        <v>40.615119999999997</v>
      </c>
      <c r="BI35" s="387">
        <f t="shared" si="7"/>
        <v>45.878507999999997</v>
      </c>
      <c r="BJ35" s="387">
        <f t="shared" si="8"/>
        <v>22.379760000000001</v>
      </c>
      <c r="BK35" s="387">
        <f t="shared" si="9"/>
        <v>0</v>
      </c>
      <c r="BL35" s="387">
        <f t="shared" si="32"/>
        <v>1792.411556</v>
      </c>
      <c r="BM35" s="387">
        <f t="shared" si="33"/>
        <v>0</v>
      </c>
      <c r="BN35" s="387">
        <f t="shared" si="10"/>
        <v>2912.5</v>
      </c>
      <c r="BO35" s="387">
        <f t="shared" si="11"/>
        <v>0</v>
      </c>
      <c r="BP35" s="387">
        <f t="shared" si="12"/>
        <v>513.90559999999994</v>
      </c>
      <c r="BQ35" s="387">
        <f t="shared" si="13"/>
        <v>120.18759999999999</v>
      </c>
      <c r="BR35" s="387">
        <f t="shared" si="14"/>
        <v>989.68272000000002</v>
      </c>
      <c r="BS35" s="387">
        <f t="shared" si="15"/>
        <v>59.762248</v>
      </c>
      <c r="BT35" s="387">
        <f t="shared" si="16"/>
        <v>0</v>
      </c>
      <c r="BU35" s="387">
        <f t="shared" si="17"/>
        <v>45.878507999999997</v>
      </c>
      <c r="BV35" s="387">
        <f t="shared" si="18"/>
        <v>28.181919999999995</v>
      </c>
      <c r="BW35" s="387">
        <f t="shared" si="19"/>
        <v>0</v>
      </c>
      <c r="BX35" s="387">
        <f t="shared" si="34"/>
        <v>1757.598596</v>
      </c>
      <c r="BY35" s="387">
        <f t="shared" si="35"/>
        <v>0</v>
      </c>
      <c r="BZ35" s="387">
        <f t="shared" si="36"/>
        <v>0</v>
      </c>
      <c r="CA35" s="387">
        <f t="shared" si="37"/>
        <v>0</v>
      </c>
      <c r="CB35" s="387">
        <f t="shared" si="38"/>
        <v>0</v>
      </c>
      <c r="CC35" s="387">
        <f t="shared" si="20"/>
        <v>0</v>
      </c>
      <c r="CD35" s="387">
        <f t="shared" si="21"/>
        <v>0</v>
      </c>
      <c r="CE35" s="387">
        <f t="shared" si="22"/>
        <v>0</v>
      </c>
      <c r="CF35" s="387">
        <f t="shared" si="23"/>
        <v>-40.615119999999997</v>
      </c>
      <c r="CG35" s="387">
        <f t="shared" si="24"/>
        <v>0</v>
      </c>
      <c r="CH35" s="387">
        <f t="shared" si="25"/>
        <v>5.8021599999999971</v>
      </c>
      <c r="CI35" s="387">
        <f t="shared" si="26"/>
        <v>0</v>
      </c>
      <c r="CJ35" s="387">
        <f t="shared" si="39"/>
        <v>-34.812960000000004</v>
      </c>
      <c r="CK35" s="387" t="str">
        <f t="shared" si="40"/>
        <v/>
      </c>
      <c r="CL35" s="387" t="str">
        <f t="shared" si="41"/>
        <v/>
      </c>
      <c r="CM35" s="387" t="str">
        <f t="shared" si="42"/>
        <v/>
      </c>
      <c r="CN35" s="387" t="str">
        <f t="shared" si="43"/>
        <v>0348-31</v>
      </c>
    </row>
    <row r="36" spans="1:92" ht="15.75" thickBot="1" x14ac:dyDescent="0.3">
      <c r="A36" s="376" t="s">
        <v>161</v>
      </c>
      <c r="B36" s="376" t="s">
        <v>162</v>
      </c>
      <c r="C36" s="376" t="s">
        <v>380</v>
      </c>
      <c r="D36" s="376" t="s">
        <v>270</v>
      </c>
      <c r="E36" s="376" t="s">
        <v>224</v>
      </c>
      <c r="F36" s="382" t="s">
        <v>225</v>
      </c>
      <c r="G36" s="376" t="s">
        <v>167</v>
      </c>
      <c r="H36" s="378"/>
      <c r="I36" s="378"/>
      <c r="J36" s="376" t="s">
        <v>215</v>
      </c>
      <c r="K36" s="376" t="s">
        <v>271</v>
      </c>
      <c r="L36" s="376" t="s">
        <v>217</v>
      </c>
      <c r="M36" s="376" t="s">
        <v>272</v>
      </c>
      <c r="N36" s="376" t="s">
        <v>172</v>
      </c>
      <c r="O36" s="379">
        <v>0</v>
      </c>
      <c r="P36" s="385">
        <v>1</v>
      </c>
      <c r="Q36" s="385">
        <v>1</v>
      </c>
      <c r="R36" s="380">
        <v>80</v>
      </c>
      <c r="S36" s="385">
        <v>1</v>
      </c>
      <c r="T36" s="380">
        <v>0</v>
      </c>
      <c r="U36" s="380">
        <v>0</v>
      </c>
      <c r="V36" s="380">
        <v>0</v>
      </c>
      <c r="W36" s="380">
        <v>37502.400000000001</v>
      </c>
      <c r="X36" s="380">
        <v>16426.05</v>
      </c>
      <c r="Y36" s="380">
        <v>37502.400000000001</v>
      </c>
      <c r="Z36" s="380">
        <v>16238.53</v>
      </c>
      <c r="AA36" s="378"/>
      <c r="AB36" s="376" t="s">
        <v>45</v>
      </c>
      <c r="AC36" s="376" t="s">
        <v>45</v>
      </c>
      <c r="AD36" s="378"/>
      <c r="AE36" s="378"/>
      <c r="AF36" s="378"/>
      <c r="AG36" s="378"/>
      <c r="AH36" s="379">
        <v>0</v>
      </c>
      <c r="AI36" s="379">
        <v>0</v>
      </c>
      <c r="AJ36" s="378"/>
      <c r="AK36" s="378"/>
      <c r="AL36" s="376" t="s">
        <v>181</v>
      </c>
      <c r="AM36" s="378"/>
      <c r="AN36" s="378"/>
      <c r="AO36" s="379">
        <v>0</v>
      </c>
      <c r="AP36" s="385">
        <v>0</v>
      </c>
      <c r="AQ36" s="385">
        <v>0</v>
      </c>
      <c r="AR36" s="384"/>
      <c r="AS36" s="387">
        <f t="shared" si="27"/>
        <v>0</v>
      </c>
      <c r="AT36">
        <f t="shared" si="28"/>
        <v>0</v>
      </c>
      <c r="AU36" s="387" t="str">
        <f>IF(AT36=0,"",IF(AND(AT36=1,M36="F",SUMIF(C2:C1334,C36,AS2:AS1334)&lt;=1),SUMIF(C2:C1334,C36,AS2:AS1334),IF(AND(AT36=1,M36="F",SUMIF(C2:C1334,C36,AS2:AS1334)&gt;1),1,"")))</f>
        <v/>
      </c>
      <c r="AV36" s="387" t="str">
        <f>IF(AT36=0,"",IF(AND(AT36=3,M36="F",SUMIF(C2:C1334,C36,AS2:AS1334)&lt;=1),SUMIF(C2:C1334,C36,AS2:AS1334),IF(AND(AT36=3,M36="F",SUMIF(C2:C1334,C36,AS2:AS1334)&gt;1),1,"")))</f>
        <v/>
      </c>
      <c r="AW36" s="387">
        <f>SUMIF(C2:C1334,C36,O2:O1334)</f>
        <v>0</v>
      </c>
      <c r="AX36" s="387">
        <f>IF(AND(M36="F",AS36&lt;&gt;0),SUMIF(C2:C1334,C36,W2:W1334),0)</f>
        <v>0</v>
      </c>
      <c r="AY36" s="387" t="str">
        <f t="shared" si="29"/>
        <v/>
      </c>
      <c r="AZ36" s="387" t="str">
        <f t="shared" si="30"/>
        <v/>
      </c>
      <c r="BA36" s="387">
        <f t="shared" si="31"/>
        <v>0</v>
      </c>
      <c r="BB36" s="387">
        <f t="shared" si="0"/>
        <v>0</v>
      </c>
      <c r="BC36" s="387">
        <f t="shared" si="1"/>
        <v>0</v>
      </c>
      <c r="BD36" s="387">
        <f t="shared" si="2"/>
        <v>0</v>
      </c>
      <c r="BE36" s="387">
        <f t="shared" si="3"/>
        <v>0</v>
      </c>
      <c r="BF36" s="387">
        <f t="shared" si="4"/>
        <v>0</v>
      </c>
      <c r="BG36" s="387">
        <f t="shared" si="5"/>
        <v>0</v>
      </c>
      <c r="BH36" s="387">
        <f t="shared" si="6"/>
        <v>0</v>
      </c>
      <c r="BI36" s="387">
        <f t="shared" si="7"/>
        <v>0</v>
      </c>
      <c r="BJ36" s="387">
        <f t="shared" si="8"/>
        <v>0</v>
      </c>
      <c r="BK36" s="387">
        <f t="shared" si="9"/>
        <v>0</v>
      </c>
      <c r="BL36" s="387">
        <f t="shared" si="32"/>
        <v>0</v>
      </c>
      <c r="BM36" s="387">
        <f t="shared" si="33"/>
        <v>0</v>
      </c>
      <c r="BN36" s="387">
        <f t="shared" si="10"/>
        <v>0</v>
      </c>
      <c r="BO36" s="387">
        <f t="shared" si="11"/>
        <v>0</v>
      </c>
      <c r="BP36" s="387">
        <f t="shared" si="12"/>
        <v>0</v>
      </c>
      <c r="BQ36" s="387">
        <f t="shared" si="13"/>
        <v>0</v>
      </c>
      <c r="BR36" s="387">
        <f t="shared" si="14"/>
        <v>0</v>
      </c>
      <c r="BS36" s="387">
        <f t="shared" si="15"/>
        <v>0</v>
      </c>
      <c r="BT36" s="387">
        <f t="shared" si="16"/>
        <v>0</v>
      </c>
      <c r="BU36" s="387">
        <f t="shared" si="17"/>
        <v>0</v>
      </c>
      <c r="BV36" s="387">
        <f t="shared" si="18"/>
        <v>0</v>
      </c>
      <c r="BW36" s="387">
        <f t="shared" si="19"/>
        <v>0</v>
      </c>
      <c r="BX36" s="387">
        <f t="shared" si="34"/>
        <v>0</v>
      </c>
      <c r="BY36" s="387">
        <f t="shared" si="35"/>
        <v>0</v>
      </c>
      <c r="BZ36" s="387">
        <f t="shared" si="36"/>
        <v>0</v>
      </c>
      <c r="CA36" s="387">
        <f t="shared" si="37"/>
        <v>0</v>
      </c>
      <c r="CB36" s="387">
        <f t="shared" si="38"/>
        <v>0</v>
      </c>
      <c r="CC36" s="387">
        <f t="shared" si="20"/>
        <v>0</v>
      </c>
      <c r="CD36" s="387">
        <f t="shared" si="21"/>
        <v>0</v>
      </c>
      <c r="CE36" s="387">
        <f t="shared" si="22"/>
        <v>0</v>
      </c>
      <c r="CF36" s="387">
        <f t="shared" si="23"/>
        <v>0</v>
      </c>
      <c r="CG36" s="387">
        <f t="shared" si="24"/>
        <v>0</v>
      </c>
      <c r="CH36" s="387">
        <f t="shared" si="25"/>
        <v>0</v>
      </c>
      <c r="CI36" s="387">
        <f t="shared" si="26"/>
        <v>0</v>
      </c>
      <c r="CJ36" s="387">
        <f t="shared" si="39"/>
        <v>0</v>
      </c>
      <c r="CK36" s="387" t="str">
        <f t="shared" si="40"/>
        <v/>
      </c>
      <c r="CL36" s="387" t="str">
        <f t="shared" si="41"/>
        <v/>
      </c>
      <c r="CM36" s="387" t="str">
        <f t="shared" si="42"/>
        <v/>
      </c>
      <c r="CN36" s="387" t="str">
        <f t="shared" si="43"/>
        <v>0348-31</v>
      </c>
    </row>
    <row r="37" spans="1:92" ht="15.75" thickBot="1" x14ac:dyDescent="0.3">
      <c r="A37" s="376" t="s">
        <v>161</v>
      </c>
      <c r="B37" s="376" t="s">
        <v>162</v>
      </c>
      <c r="C37" s="376" t="s">
        <v>381</v>
      </c>
      <c r="D37" s="376" t="s">
        <v>368</v>
      </c>
      <c r="E37" s="376" t="s">
        <v>224</v>
      </c>
      <c r="F37" s="382" t="s">
        <v>225</v>
      </c>
      <c r="G37" s="376" t="s">
        <v>167</v>
      </c>
      <c r="H37" s="378"/>
      <c r="I37" s="378"/>
      <c r="J37" s="376" t="s">
        <v>239</v>
      </c>
      <c r="K37" s="376" t="s">
        <v>382</v>
      </c>
      <c r="L37" s="376" t="s">
        <v>296</v>
      </c>
      <c r="M37" s="376" t="s">
        <v>171</v>
      </c>
      <c r="N37" s="376" t="s">
        <v>172</v>
      </c>
      <c r="O37" s="379">
        <v>1</v>
      </c>
      <c r="P37" s="385">
        <v>0.85</v>
      </c>
      <c r="Q37" s="385">
        <v>0.85</v>
      </c>
      <c r="R37" s="380">
        <v>80</v>
      </c>
      <c r="S37" s="385">
        <v>0.85</v>
      </c>
      <c r="T37" s="380">
        <v>0</v>
      </c>
      <c r="U37" s="380">
        <v>0</v>
      </c>
      <c r="V37" s="380">
        <v>0</v>
      </c>
      <c r="W37" s="380">
        <v>50281.919999999998</v>
      </c>
      <c r="X37" s="380">
        <v>20775.93</v>
      </c>
      <c r="Y37" s="380">
        <v>50281.919999999998</v>
      </c>
      <c r="Z37" s="380">
        <v>20564.75</v>
      </c>
      <c r="AA37" s="376" t="s">
        <v>383</v>
      </c>
      <c r="AB37" s="376" t="s">
        <v>384</v>
      </c>
      <c r="AC37" s="376" t="s">
        <v>385</v>
      </c>
      <c r="AD37" s="376" t="s">
        <v>386</v>
      </c>
      <c r="AE37" s="376" t="s">
        <v>382</v>
      </c>
      <c r="AF37" s="376" t="s">
        <v>301</v>
      </c>
      <c r="AG37" s="376" t="s">
        <v>178</v>
      </c>
      <c r="AH37" s="381">
        <v>28.44</v>
      </c>
      <c r="AI37" s="379">
        <v>8925</v>
      </c>
      <c r="AJ37" s="376" t="s">
        <v>179</v>
      </c>
      <c r="AK37" s="376" t="s">
        <v>180</v>
      </c>
      <c r="AL37" s="376" t="s">
        <v>181</v>
      </c>
      <c r="AM37" s="376" t="s">
        <v>182</v>
      </c>
      <c r="AN37" s="376" t="s">
        <v>68</v>
      </c>
      <c r="AO37" s="379">
        <v>80</v>
      </c>
      <c r="AP37" s="385">
        <v>1</v>
      </c>
      <c r="AQ37" s="385">
        <v>0.85</v>
      </c>
      <c r="AR37" s="383" t="s">
        <v>183</v>
      </c>
      <c r="AS37" s="387">
        <f t="shared" si="27"/>
        <v>0.85</v>
      </c>
      <c r="AT37">
        <f t="shared" si="28"/>
        <v>1</v>
      </c>
      <c r="AU37" s="387">
        <f>IF(AT37=0,"",IF(AND(AT37=1,M37="F",SUMIF(C2:C1334,C37,AS2:AS1334)&lt;=1),SUMIF(C2:C1334,C37,AS2:AS1334),IF(AND(AT37=1,M37="F",SUMIF(C2:C1334,C37,AS2:AS1334)&gt;1),1,"")))</f>
        <v>1</v>
      </c>
      <c r="AV37" s="387" t="str">
        <f>IF(AT37=0,"",IF(AND(AT37=3,M37="F",SUMIF(C2:C1334,C37,AS2:AS1334)&lt;=1),SUMIF(C2:C1334,C37,AS2:AS1334),IF(AND(AT37=3,M37="F",SUMIF(C2:C1334,C37,AS2:AS1334)&gt;1),1,"")))</f>
        <v/>
      </c>
      <c r="AW37" s="387">
        <f>SUMIF(C2:C1334,C37,O2:O1334)</f>
        <v>6</v>
      </c>
      <c r="AX37" s="387">
        <f>IF(AND(M37="F",AS37&lt;&gt;0),SUMIF(C2:C1334,C37,W2:W1334),0)</f>
        <v>59155.199999999997</v>
      </c>
      <c r="AY37" s="387">
        <f t="shared" si="29"/>
        <v>50281.919999999998</v>
      </c>
      <c r="AZ37" s="387" t="str">
        <f t="shared" si="30"/>
        <v/>
      </c>
      <c r="BA37" s="387">
        <f t="shared" si="31"/>
        <v>0</v>
      </c>
      <c r="BB37" s="387">
        <f t="shared" si="0"/>
        <v>9902.5</v>
      </c>
      <c r="BC37" s="387">
        <f t="shared" si="1"/>
        <v>0</v>
      </c>
      <c r="BD37" s="387">
        <f t="shared" si="2"/>
        <v>3117.4790399999997</v>
      </c>
      <c r="BE37" s="387">
        <f t="shared" si="3"/>
        <v>729.08784000000003</v>
      </c>
      <c r="BF37" s="387">
        <f t="shared" si="4"/>
        <v>6003.6612480000003</v>
      </c>
      <c r="BG37" s="387">
        <f t="shared" si="5"/>
        <v>362.5326432</v>
      </c>
      <c r="BH37" s="387">
        <f t="shared" si="6"/>
        <v>246.38140799999999</v>
      </c>
      <c r="BI37" s="387">
        <f t="shared" si="7"/>
        <v>278.31042719999999</v>
      </c>
      <c r="BJ37" s="387">
        <f t="shared" si="8"/>
        <v>135.76118400000001</v>
      </c>
      <c r="BK37" s="387">
        <f t="shared" si="9"/>
        <v>0</v>
      </c>
      <c r="BL37" s="387">
        <f t="shared" si="32"/>
        <v>10873.213790400001</v>
      </c>
      <c r="BM37" s="387">
        <f t="shared" si="33"/>
        <v>0</v>
      </c>
      <c r="BN37" s="387">
        <f t="shared" si="10"/>
        <v>9902.5</v>
      </c>
      <c r="BO37" s="387">
        <f t="shared" si="11"/>
        <v>0</v>
      </c>
      <c r="BP37" s="387">
        <f t="shared" si="12"/>
        <v>3117.4790399999997</v>
      </c>
      <c r="BQ37" s="387">
        <f t="shared" si="13"/>
        <v>729.08784000000003</v>
      </c>
      <c r="BR37" s="387">
        <f t="shared" si="14"/>
        <v>6003.6612480000003</v>
      </c>
      <c r="BS37" s="387">
        <f t="shared" si="15"/>
        <v>362.5326432</v>
      </c>
      <c r="BT37" s="387">
        <f t="shared" si="16"/>
        <v>0</v>
      </c>
      <c r="BU37" s="387">
        <f t="shared" si="17"/>
        <v>278.31042719999999</v>
      </c>
      <c r="BV37" s="387">
        <f t="shared" si="18"/>
        <v>170.95852799999997</v>
      </c>
      <c r="BW37" s="387">
        <f t="shared" si="19"/>
        <v>0</v>
      </c>
      <c r="BX37" s="387">
        <f t="shared" si="34"/>
        <v>10662.0297264</v>
      </c>
      <c r="BY37" s="387">
        <f t="shared" si="35"/>
        <v>0</v>
      </c>
      <c r="BZ37" s="387">
        <f t="shared" si="36"/>
        <v>0</v>
      </c>
      <c r="CA37" s="387">
        <f t="shared" si="37"/>
        <v>0</v>
      </c>
      <c r="CB37" s="387">
        <f t="shared" si="38"/>
        <v>0</v>
      </c>
      <c r="CC37" s="387">
        <f t="shared" si="20"/>
        <v>0</v>
      </c>
      <c r="CD37" s="387">
        <f t="shared" si="21"/>
        <v>0</v>
      </c>
      <c r="CE37" s="387">
        <f t="shared" si="22"/>
        <v>0</v>
      </c>
      <c r="CF37" s="387">
        <f t="shared" si="23"/>
        <v>-246.38140799999999</v>
      </c>
      <c r="CG37" s="387">
        <f t="shared" si="24"/>
        <v>0</v>
      </c>
      <c r="CH37" s="387">
        <f t="shared" si="25"/>
        <v>35.19734399999998</v>
      </c>
      <c r="CI37" s="387">
        <f t="shared" si="26"/>
        <v>0</v>
      </c>
      <c r="CJ37" s="387">
        <f t="shared" si="39"/>
        <v>-211.18406400000001</v>
      </c>
      <c r="CK37" s="387" t="str">
        <f t="shared" si="40"/>
        <v/>
      </c>
      <c r="CL37" s="387" t="str">
        <f t="shared" si="41"/>
        <v/>
      </c>
      <c r="CM37" s="387" t="str">
        <f t="shared" si="42"/>
        <v/>
      </c>
      <c r="CN37" s="387" t="str">
        <f t="shared" si="43"/>
        <v>0348-31</v>
      </c>
    </row>
    <row r="38" spans="1:92" ht="15.75" thickBot="1" x14ac:dyDescent="0.3">
      <c r="A38" s="376" t="s">
        <v>161</v>
      </c>
      <c r="B38" s="376" t="s">
        <v>162</v>
      </c>
      <c r="C38" s="376" t="s">
        <v>387</v>
      </c>
      <c r="D38" s="376" t="s">
        <v>388</v>
      </c>
      <c r="E38" s="376" t="s">
        <v>224</v>
      </c>
      <c r="F38" s="382" t="s">
        <v>225</v>
      </c>
      <c r="G38" s="376" t="s">
        <v>167</v>
      </c>
      <c r="H38" s="378"/>
      <c r="I38" s="378"/>
      <c r="J38" s="376" t="s">
        <v>215</v>
      </c>
      <c r="K38" s="376" t="s">
        <v>389</v>
      </c>
      <c r="L38" s="376" t="s">
        <v>252</v>
      </c>
      <c r="M38" s="376" t="s">
        <v>171</v>
      </c>
      <c r="N38" s="376" t="s">
        <v>172</v>
      </c>
      <c r="O38" s="379">
        <v>1</v>
      </c>
      <c r="P38" s="385">
        <v>1</v>
      </c>
      <c r="Q38" s="385">
        <v>1</v>
      </c>
      <c r="R38" s="380">
        <v>80</v>
      </c>
      <c r="S38" s="385">
        <v>1</v>
      </c>
      <c r="T38" s="380">
        <v>0</v>
      </c>
      <c r="U38" s="380">
        <v>0</v>
      </c>
      <c r="V38" s="380">
        <v>0</v>
      </c>
      <c r="W38" s="380">
        <v>43076.800000000003</v>
      </c>
      <c r="X38" s="380">
        <v>20965.32</v>
      </c>
      <c r="Y38" s="380">
        <v>43076.800000000003</v>
      </c>
      <c r="Z38" s="380">
        <v>20784.41</v>
      </c>
      <c r="AA38" s="376" t="s">
        <v>390</v>
      </c>
      <c r="AB38" s="376" t="s">
        <v>391</v>
      </c>
      <c r="AC38" s="376" t="s">
        <v>392</v>
      </c>
      <c r="AD38" s="376" t="s">
        <v>300</v>
      </c>
      <c r="AE38" s="376" t="s">
        <v>389</v>
      </c>
      <c r="AF38" s="376" t="s">
        <v>393</v>
      </c>
      <c r="AG38" s="376" t="s">
        <v>178</v>
      </c>
      <c r="AH38" s="381">
        <v>20.71</v>
      </c>
      <c r="AI38" s="379">
        <v>12104</v>
      </c>
      <c r="AJ38" s="376" t="s">
        <v>179</v>
      </c>
      <c r="AK38" s="376" t="s">
        <v>180</v>
      </c>
      <c r="AL38" s="376" t="s">
        <v>181</v>
      </c>
      <c r="AM38" s="376" t="s">
        <v>182</v>
      </c>
      <c r="AN38" s="376" t="s">
        <v>68</v>
      </c>
      <c r="AO38" s="379">
        <v>80</v>
      </c>
      <c r="AP38" s="385">
        <v>1</v>
      </c>
      <c r="AQ38" s="385">
        <v>1</v>
      </c>
      <c r="AR38" s="383" t="s">
        <v>183</v>
      </c>
      <c r="AS38" s="387">
        <f t="shared" si="27"/>
        <v>1</v>
      </c>
      <c r="AT38">
        <f t="shared" si="28"/>
        <v>1</v>
      </c>
      <c r="AU38" s="387">
        <f>IF(AT38=0,"",IF(AND(AT38=1,M38="F",SUMIF(C2:C1334,C38,AS2:AS1334)&lt;=1),SUMIF(C2:C1334,C38,AS2:AS1334),IF(AND(AT38=1,M38="F",SUMIF(C2:C1334,C38,AS2:AS1334)&gt;1),1,"")))</f>
        <v>1</v>
      </c>
      <c r="AV38" s="387" t="str">
        <f>IF(AT38=0,"",IF(AND(AT38=3,M38="F",SUMIF(C2:C1334,C38,AS2:AS1334)&lt;=1),SUMIF(C2:C1334,C38,AS2:AS1334),IF(AND(AT38=3,M38="F",SUMIF(C2:C1334,C38,AS2:AS1334)&gt;1),1,"")))</f>
        <v/>
      </c>
      <c r="AW38" s="387">
        <f>SUMIF(C2:C1334,C38,O2:O1334)</f>
        <v>2</v>
      </c>
      <c r="AX38" s="387">
        <f>IF(AND(M38="F",AS38&lt;&gt;0),SUMIF(C2:C1334,C38,W2:W1334),0)</f>
        <v>43076.800000000003</v>
      </c>
      <c r="AY38" s="387">
        <f t="shared" si="29"/>
        <v>43076.800000000003</v>
      </c>
      <c r="AZ38" s="387" t="str">
        <f t="shared" si="30"/>
        <v/>
      </c>
      <c r="BA38" s="387">
        <f t="shared" si="31"/>
        <v>0</v>
      </c>
      <c r="BB38" s="387">
        <f t="shared" si="0"/>
        <v>11650</v>
      </c>
      <c r="BC38" s="387">
        <f t="shared" si="1"/>
        <v>0</v>
      </c>
      <c r="BD38" s="387">
        <f t="shared" si="2"/>
        <v>2670.7616000000003</v>
      </c>
      <c r="BE38" s="387">
        <f t="shared" si="3"/>
        <v>624.61360000000002</v>
      </c>
      <c r="BF38" s="387">
        <f t="shared" si="4"/>
        <v>5143.369920000001</v>
      </c>
      <c r="BG38" s="387">
        <f t="shared" si="5"/>
        <v>310.58372800000001</v>
      </c>
      <c r="BH38" s="387">
        <f t="shared" si="6"/>
        <v>211.07632000000001</v>
      </c>
      <c r="BI38" s="387">
        <f t="shared" si="7"/>
        <v>238.43008800000001</v>
      </c>
      <c r="BJ38" s="387">
        <f t="shared" si="8"/>
        <v>116.30736000000002</v>
      </c>
      <c r="BK38" s="387">
        <f t="shared" si="9"/>
        <v>0</v>
      </c>
      <c r="BL38" s="387">
        <f t="shared" si="32"/>
        <v>9315.142616000001</v>
      </c>
      <c r="BM38" s="387">
        <f t="shared" si="33"/>
        <v>0</v>
      </c>
      <c r="BN38" s="387">
        <f t="shared" si="10"/>
        <v>11650</v>
      </c>
      <c r="BO38" s="387">
        <f t="shared" si="11"/>
        <v>0</v>
      </c>
      <c r="BP38" s="387">
        <f t="shared" si="12"/>
        <v>2670.7616000000003</v>
      </c>
      <c r="BQ38" s="387">
        <f t="shared" si="13"/>
        <v>624.61360000000002</v>
      </c>
      <c r="BR38" s="387">
        <f t="shared" si="14"/>
        <v>5143.369920000001</v>
      </c>
      <c r="BS38" s="387">
        <f t="shared" si="15"/>
        <v>310.58372800000001</v>
      </c>
      <c r="BT38" s="387">
        <f t="shared" si="16"/>
        <v>0</v>
      </c>
      <c r="BU38" s="387">
        <f t="shared" si="17"/>
        <v>238.43008800000001</v>
      </c>
      <c r="BV38" s="387">
        <f t="shared" si="18"/>
        <v>146.46111999999999</v>
      </c>
      <c r="BW38" s="387">
        <f t="shared" si="19"/>
        <v>0</v>
      </c>
      <c r="BX38" s="387">
        <f t="shared" si="34"/>
        <v>9134.2200560000001</v>
      </c>
      <c r="BY38" s="387">
        <f t="shared" si="35"/>
        <v>0</v>
      </c>
      <c r="BZ38" s="387">
        <f t="shared" si="36"/>
        <v>0</v>
      </c>
      <c r="CA38" s="387">
        <f t="shared" si="37"/>
        <v>0</v>
      </c>
      <c r="CB38" s="387">
        <f t="shared" si="38"/>
        <v>0</v>
      </c>
      <c r="CC38" s="387">
        <f t="shared" si="20"/>
        <v>0</v>
      </c>
      <c r="CD38" s="387">
        <f t="shared" si="21"/>
        <v>0</v>
      </c>
      <c r="CE38" s="387">
        <f t="shared" si="22"/>
        <v>0</v>
      </c>
      <c r="CF38" s="387">
        <f t="shared" si="23"/>
        <v>-211.07632000000001</v>
      </c>
      <c r="CG38" s="387">
        <f t="shared" si="24"/>
        <v>0</v>
      </c>
      <c r="CH38" s="387">
        <f t="shared" si="25"/>
        <v>30.153759999999988</v>
      </c>
      <c r="CI38" s="387">
        <f t="shared" si="26"/>
        <v>0</v>
      </c>
      <c r="CJ38" s="387">
        <f t="shared" si="39"/>
        <v>-180.92256000000003</v>
      </c>
      <c r="CK38" s="387" t="str">
        <f t="shared" si="40"/>
        <v/>
      </c>
      <c r="CL38" s="387" t="str">
        <f t="shared" si="41"/>
        <v/>
      </c>
      <c r="CM38" s="387" t="str">
        <f t="shared" si="42"/>
        <v/>
      </c>
      <c r="CN38" s="387" t="str">
        <f t="shared" si="43"/>
        <v>0348-31</v>
      </c>
    </row>
    <row r="39" spans="1:92" ht="15.75" thickBot="1" x14ac:dyDescent="0.3">
      <c r="A39" s="376" t="s">
        <v>161</v>
      </c>
      <c r="B39" s="376" t="s">
        <v>162</v>
      </c>
      <c r="C39" s="376" t="s">
        <v>394</v>
      </c>
      <c r="D39" s="376" t="s">
        <v>238</v>
      </c>
      <c r="E39" s="376" t="s">
        <v>224</v>
      </c>
      <c r="F39" s="382" t="s">
        <v>225</v>
      </c>
      <c r="G39" s="376" t="s">
        <v>167</v>
      </c>
      <c r="H39" s="378"/>
      <c r="I39" s="378"/>
      <c r="J39" s="376" t="s">
        <v>239</v>
      </c>
      <c r="K39" s="376" t="s">
        <v>240</v>
      </c>
      <c r="L39" s="376" t="s">
        <v>210</v>
      </c>
      <c r="M39" s="376" t="s">
        <v>171</v>
      </c>
      <c r="N39" s="376" t="s">
        <v>172</v>
      </c>
      <c r="O39" s="379">
        <v>1</v>
      </c>
      <c r="P39" s="385">
        <v>0.9</v>
      </c>
      <c r="Q39" s="385">
        <v>0.9</v>
      </c>
      <c r="R39" s="380">
        <v>80</v>
      </c>
      <c r="S39" s="385">
        <v>0.9</v>
      </c>
      <c r="T39" s="380">
        <v>0</v>
      </c>
      <c r="U39" s="380">
        <v>0</v>
      </c>
      <c r="V39" s="380">
        <v>0</v>
      </c>
      <c r="W39" s="380">
        <v>58032</v>
      </c>
      <c r="X39" s="380">
        <v>23034.400000000001</v>
      </c>
      <c r="Y39" s="380">
        <v>58032</v>
      </c>
      <c r="Z39" s="380">
        <v>22790.67</v>
      </c>
      <c r="AA39" s="376" t="s">
        <v>395</v>
      </c>
      <c r="AB39" s="376" t="s">
        <v>396</v>
      </c>
      <c r="AC39" s="376" t="s">
        <v>260</v>
      </c>
      <c r="AD39" s="376" t="s">
        <v>397</v>
      </c>
      <c r="AE39" s="376" t="s">
        <v>240</v>
      </c>
      <c r="AF39" s="376" t="s">
        <v>245</v>
      </c>
      <c r="AG39" s="376" t="s">
        <v>178</v>
      </c>
      <c r="AH39" s="379">
        <v>31</v>
      </c>
      <c r="AI39" s="381">
        <v>39495.5</v>
      </c>
      <c r="AJ39" s="376" t="s">
        <v>179</v>
      </c>
      <c r="AK39" s="376" t="s">
        <v>180</v>
      </c>
      <c r="AL39" s="376" t="s">
        <v>181</v>
      </c>
      <c r="AM39" s="376" t="s">
        <v>182</v>
      </c>
      <c r="AN39" s="376" t="s">
        <v>68</v>
      </c>
      <c r="AO39" s="379">
        <v>80</v>
      </c>
      <c r="AP39" s="385">
        <v>1</v>
      </c>
      <c r="AQ39" s="385">
        <v>0.9</v>
      </c>
      <c r="AR39" s="383" t="s">
        <v>183</v>
      </c>
      <c r="AS39" s="387">
        <f t="shared" si="27"/>
        <v>0.9</v>
      </c>
      <c r="AT39">
        <f t="shared" si="28"/>
        <v>1</v>
      </c>
      <c r="AU39" s="387">
        <f>IF(AT39=0,"",IF(AND(AT39=1,M39="F",SUMIF(C2:C1334,C39,AS2:AS1334)&lt;=1),SUMIF(C2:C1334,C39,AS2:AS1334),IF(AND(AT39=1,M39="F",SUMIF(C2:C1334,C39,AS2:AS1334)&gt;1),1,"")))</f>
        <v>1</v>
      </c>
      <c r="AV39" s="387" t="str">
        <f>IF(AT39=0,"",IF(AND(AT39=3,M39="F",SUMIF(C2:C1334,C39,AS2:AS1334)&lt;=1),SUMIF(C2:C1334,C39,AS2:AS1334),IF(AND(AT39=3,M39="F",SUMIF(C2:C1334,C39,AS2:AS1334)&gt;1),1,"")))</f>
        <v/>
      </c>
      <c r="AW39" s="387">
        <f>SUMIF(C2:C1334,C39,O2:O1334)</f>
        <v>3</v>
      </c>
      <c r="AX39" s="387">
        <f>IF(AND(M39="F",AS39&lt;&gt;0),SUMIF(C2:C1334,C39,W2:W1334),0)</f>
        <v>64480</v>
      </c>
      <c r="AY39" s="387">
        <f t="shared" si="29"/>
        <v>58032</v>
      </c>
      <c r="AZ39" s="387" t="str">
        <f t="shared" si="30"/>
        <v/>
      </c>
      <c r="BA39" s="387">
        <f t="shared" si="31"/>
        <v>0</v>
      </c>
      <c r="BB39" s="387">
        <f t="shared" si="0"/>
        <v>10485</v>
      </c>
      <c r="BC39" s="387">
        <f t="shared" si="1"/>
        <v>0</v>
      </c>
      <c r="BD39" s="387">
        <f t="shared" si="2"/>
        <v>3597.9839999999999</v>
      </c>
      <c r="BE39" s="387">
        <f t="shared" si="3"/>
        <v>841.46400000000006</v>
      </c>
      <c r="BF39" s="387">
        <f t="shared" si="4"/>
        <v>6929.0208000000002</v>
      </c>
      <c r="BG39" s="387">
        <f t="shared" si="5"/>
        <v>418.41072000000003</v>
      </c>
      <c r="BH39" s="387">
        <f t="shared" si="6"/>
        <v>284.35679999999996</v>
      </c>
      <c r="BI39" s="387">
        <f t="shared" si="7"/>
        <v>321.20711999999997</v>
      </c>
      <c r="BJ39" s="387">
        <f t="shared" si="8"/>
        <v>156.68640000000002</v>
      </c>
      <c r="BK39" s="387">
        <f t="shared" si="9"/>
        <v>0</v>
      </c>
      <c r="BL39" s="387">
        <f t="shared" si="32"/>
        <v>12549.12984</v>
      </c>
      <c r="BM39" s="387">
        <f t="shared" si="33"/>
        <v>0</v>
      </c>
      <c r="BN39" s="387">
        <f t="shared" si="10"/>
        <v>10485</v>
      </c>
      <c r="BO39" s="387">
        <f t="shared" si="11"/>
        <v>0</v>
      </c>
      <c r="BP39" s="387">
        <f t="shared" si="12"/>
        <v>3597.9839999999999</v>
      </c>
      <c r="BQ39" s="387">
        <f t="shared" si="13"/>
        <v>841.46400000000006</v>
      </c>
      <c r="BR39" s="387">
        <f t="shared" si="14"/>
        <v>6929.0208000000002</v>
      </c>
      <c r="BS39" s="387">
        <f t="shared" si="15"/>
        <v>418.41072000000003</v>
      </c>
      <c r="BT39" s="387">
        <f t="shared" si="16"/>
        <v>0</v>
      </c>
      <c r="BU39" s="387">
        <f t="shared" si="17"/>
        <v>321.20711999999997</v>
      </c>
      <c r="BV39" s="387">
        <f t="shared" si="18"/>
        <v>197.30879999999999</v>
      </c>
      <c r="BW39" s="387">
        <f t="shared" si="19"/>
        <v>0</v>
      </c>
      <c r="BX39" s="387">
        <f t="shared" si="34"/>
        <v>12305.39544</v>
      </c>
      <c r="BY39" s="387">
        <f t="shared" si="35"/>
        <v>0</v>
      </c>
      <c r="BZ39" s="387">
        <f t="shared" si="36"/>
        <v>0</v>
      </c>
      <c r="CA39" s="387">
        <f t="shared" si="37"/>
        <v>0</v>
      </c>
      <c r="CB39" s="387">
        <f t="shared" si="38"/>
        <v>0</v>
      </c>
      <c r="CC39" s="387">
        <f t="shared" si="20"/>
        <v>0</v>
      </c>
      <c r="CD39" s="387">
        <f t="shared" si="21"/>
        <v>0</v>
      </c>
      <c r="CE39" s="387">
        <f t="shared" si="22"/>
        <v>0</v>
      </c>
      <c r="CF39" s="387">
        <f t="shared" si="23"/>
        <v>-284.35679999999996</v>
      </c>
      <c r="CG39" s="387">
        <f t="shared" si="24"/>
        <v>0</v>
      </c>
      <c r="CH39" s="387">
        <f t="shared" si="25"/>
        <v>40.622399999999978</v>
      </c>
      <c r="CI39" s="387">
        <f t="shared" si="26"/>
        <v>0</v>
      </c>
      <c r="CJ39" s="387">
        <f t="shared" si="39"/>
        <v>-243.73439999999999</v>
      </c>
      <c r="CK39" s="387" t="str">
        <f t="shared" si="40"/>
        <v/>
      </c>
      <c r="CL39" s="387" t="str">
        <f t="shared" si="41"/>
        <v/>
      </c>
      <c r="CM39" s="387" t="str">
        <f t="shared" si="42"/>
        <v/>
      </c>
      <c r="CN39" s="387" t="str">
        <f t="shared" si="43"/>
        <v>0348-31</v>
      </c>
    </row>
    <row r="40" spans="1:92" ht="15.75" thickBot="1" x14ac:dyDescent="0.3">
      <c r="A40" s="376" t="s">
        <v>161</v>
      </c>
      <c r="B40" s="376" t="s">
        <v>162</v>
      </c>
      <c r="C40" s="376" t="s">
        <v>398</v>
      </c>
      <c r="D40" s="376" t="s">
        <v>375</v>
      </c>
      <c r="E40" s="376" t="s">
        <v>224</v>
      </c>
      <c r="F40" s="382" t="s">
        <v>225</v>
      </c>
      <c r="G40" s="376" t="s">
        <v>167</v>
      </c>
      <c r="H40" s="378"/>
      <c r="I40" s="378"/>
      <c r="J40" s="376" t="s">
        <v>239</v>
      </c>
      <c r="K40" s="376" t="s">
        <v>376</v>
      </c>
      <c r="L40" s="376" t="s">
        <v>178</v>
      </c>
      <c r="M40" s="376" t="s">
        <v>171</v>
      </c>
      <c r="N40" s="376" t="s">
        <v>172</v>
      </c>
      <c r="O40" s="379">
        <v>1</v>
      </c>
      <c r="P40" s="385">
        <v>0.05</v>
      </c>
      <c r="Q40" s="385">
        <v>0.05</v>
      </c>
      <c r="R40" s="380">
        <v>80</v>
      </c>
      <c r="S40" s="385">
        <v>0.05</v>
      </c>
      <c r="T40" s="380">
        <v>0</v>
      </c>
      <c r="U40" s="380">
        <v>0</v>
      </c>
      <c r="V40" s="380">
        <v>0</v>
      </c>
      <c r="W40" s="380">
        <v>1581.84</v>
      </c>
      <c r="X40" s="380">
        <v>924.57</v>
      </c>
      <c r="Y40" s="380">
        <v>1581.84</v>
      </c>
      <c r="Z40" s="380">
        <v>917.92</v>
      </c>
      <c r="AA40" s="376" t="s">
        <v>399</v>
      </c>
      <c r="AB40" s="376" t="s">
        <v>400</v>
      </c>
      <c r="AC40" s="376" t="s">
        <v>401</v>
      </c>
      <c r="AD40" s="376" t="s">
        <v>402</v>
      </c>
      <c r="AE40" s="376" t="s">
        <v>376</v>
      </c>
      <c r="AF40" s="376" t="s">
        <v>253</v>
      </c>
      <c r="AG40" s="376" t="s">
        <v>178</v>
      </c>
      <c r="AH40" s="381">
        <v>15.21</v>
      </c>
      <c r="AI40" s="381">
        <v>13084.3</v>
      </c>
      <c r="AJ40" s="376" t="s">
        <v>179</v>
      </c>
      <c r="AK40" s="376" t="s">
        <v>180</v>
      </c>
      <c r="AL40" s="376" t="s">
        <v>181</v>
      </c>
      <c r="AM40" s="376" t="s">
        <v>182</v>
      </c>
      <c r="AN40" s="376" t="s">
        <v>68</v>
      </c>
      <c r="AO40" s="379">
        <v>80</v>
      </c>
      <c r="AP40" s="385">
        <v>1</v>
      </c>
      <c r="AQ40" s="385">
        <v>0.05</v>
      </c>
      <c r="AR40" s="383" t="s">
        <v>183</v>
      </c>
      <c r="AS40" s="387">
        <f t="shared" si="27"/>
        <v>0.05</v>
      </c>
      <c r="AT40">
        <f t="shared" si="28"/>
        <v>1</v>
      </c>
      <c r="AU40" s="387">
        <f>IF(AT40=0,"",IF(AND(AT40=1,M40="F",SUMIF(C2:C1334,C40,AS2:AS1334)&lt;=1),SUMIF(C2:C1334,C40,AS2:AS1334),IF(AND(AT40=1,M40="F",SUMIF(C2:C1334,C40,AS2:AS1334)&gt;1),1,"")))</f>
        <v>1</v>
      </c>
      <c r="AV40" s="387" t="str">
        <f>IF(AT40=0,"",IF(AND(AT40=3,M40="F",SUMIF(C2:C1334,C40,AS2:AS1334)&lt;=1),SUMIF(C2:C1334,C40,AS2:AS1334),IF(AND(AT40=3,M40="F",SUMIF(C2:C1334,C40,AS2:AS1334)&gt;1),1,"")))</f>
        <v/>
      </c>
      <c r="AW40" s="387">
        <f>SUMIF(C2:C1334,C40,O2:O1334)</f>
        <v>6</v>
      </c>
      <c r="AX40" s="387">
        <f>IF(AND(M40="F",AS40&lt;&gt;0),SUMIF(C2:C1334,C40,W2:W1334),0)</f>
        <v>31636.799999999999</v>
      </c>
      <c r="AY40" s="387">
        <f t="shared" si="29"/>
        <v>1581.84</v>
      </c>
      <c r="AZ40" s="387" t="str">
        <f t="shared" si="30"/>
        <v/>
      </c>
      <c r="BA40" s="387">
        <f t="shared" si="31"/>
        <v>0</v>
      </c>
      <c r="BB40" s="387">
        <f t="shared" si="0"/>
        <v>582.5</v>
      </c>
      <c r="BC40" s="387">
        <f t="shared" si="1"/>
        <v>0</v>
      </c>
      <c r="BD40" s="387">
        <f t="shared" si="2"/>
        <v>98.074079999999995</v>
      </c>
      <c r="BE40" s="387">
        <f t="shared" si="3"/>
        <v>22.936679999999999</v>
      </c>
      <c r="BF40" s="387">
        <f t="shared" si="4"/>
        <v>188.87169599999999</v>
      </c>
      <c r="BG40" s="387">
        <f t="shared" si="5"/>
        <v>11.405066399999999</v>
      </c>
      <c r="BH40" s="387">
        <f t="shared" si="6"/>
        <v>7.751015999999999</v>
      </c>
      <c r="BI40" s="387">
        <f t="shared" si="7"/>
        <v>8.7554844000000003</v>
      </c>
      <c r="BJ40" s="387">
        <f t="shared" si="8"/>
        <v>4.2709679999999999</v>
      </c>
      <c r="BK40" s="387">
        <f t="shared" si="9"/>
        <v>0</v>
      </c>
      <c r="BL40" s="387">
        <f t="shared" si="32"/>
        <v>342.06499079999998</v>
      </c>
      <c r="BM40" s="387">
        <f t="shared" si="33"/>
        <v>0</v>
      </c>
      <c r="BN40" s="387">
        <f t="shared" si="10"/>
        <v>582.5</v>
      </c>
      <c r="BO40" s="387">
        <f t="shared" si="11"/>
        <v>0</v>
      </c>
      <c r="BP40" s="387">
        <f t="shared" si="12"/>
        <v>98.074079999999995</v>
      </c>
      <c r="BQ40" s="387">
        <f t="shared" si="13"/>
        <v>22.936679999999999</v>
      </c>
      <c r="BR40" s="387">
        <f t="shared" si="14"/>
        <v>188.87169599999999</v>
      </c>
      <c r="BS40" s="387">
        <f t="shared" si="15"/>
        <v>11.405066399999999</v>
      </c>
      <c r="BT40" s="387">
        <f t="shared" si="16"/>
        <v>0</v>
      </c>
      <c r="BU40" s="387">
        <f t="shared" si="17"/>
        <v>8.7554844000000003</v>
      </c>
      <c r="BV40" s="387">
        <f t="shared" si="18"/>
        <v>5.3782559999999995</v>
      </c>
      <c r="BW40" s="387">
        <f t="shared" si="19"/>
        <v>0</v>
      </c>
      <c r="BX40" s="387">
        <f t="shared" si="34"/>
        <v>335.42126280000002</v>
      </c>
      <c r="BY40" s="387">
        <f t="shared" si="35"/>
        <v>0</v>
      </c>
      <c r="BZ40" s="387">
        <f t="shared" si="36"/>
        <v>0</v>
      </c>
      <c r="CA40" s="387">
        <f t="shared" si="37"/>
        <v>0</v>
      </c>
      <c r="CB40" s="387">
        <f t="shared" si="38"/>
        <v>0</v>
      </c>
      <c r="CC40" s="387">
        <f t="shared" si="20"/>
        <v>0</v>
      </c>
      <c r="CD40" s="387">
        <f t="shared" si="21"/>
        <v>0</v>
      </c>
      <c r="CE40" s="387">
        <f t="shared" si="22"/>
        <v>0</v>
      </c>
      <c r="CF40" s="387">
        <f t="shared" si="23"/>
        <v>-7.751015999999999</v>
      </c>
      <c r="CG40" s="387">
        <f t="shared" si="24"/>
        <v>0</v>
      </c>
      <c r="CH40" s="387">
        <f t="shared" si="25"/>
        <v>1.1072879999999994</v>
      </c>
      <c r="CI40" s="387">
        <f t="shared" si="26"/>
        <v>0</v>
      </c>
      <c r="CJ40" s="387">
        <f t="shared" si="39"/>
        <v>-6.6437279999999994</v>
      </c>
      <c r="CK40" s="387" t="str">
        <f t="shared" si="40"/>
        <v/>
      </c>
      <c r="CL40" s="387" t="str">
        <f t="shared" si="41"/>
        <v/>
      </c>
      <c r="CM40" s="387" t="str">
        <f t="shared" si="42"/>
        <v/>
      </c>
      <c r="CN40" s="387" t="str">
        <f t="shared" si="43"/>
        <v>0348-31</v>
      </c>
    </row>
    <row r="41" spans="1:92" ht="15.75" thickBot="1" x14ac:dyDescent="0.3">
      <c r="A41" s="376" t="s">
        <v>161</v>
      </c>
      <c r="B41" s="376" t="s">
        <v>162</v>
      </c>
      <c r="C41" s="376" t="s">
        <v>403</v>
      </c>
      <c r="D41" s="376" t="s">
        <v>238</v>
      </c>
      <c r="E41" s="376" t="s">
        <v>224</v>
      </c>
      <c r="F41" s="382" t="s">
        <v>225</v>
      </c>
      <c r="G41" s="376" t="s">
        <v>167</v>
      </c>
      <c r="H41" s="378"/>
      <c r="I41" s="378"/>
      <c r="J41" s="376" t="s">
        <v>239</v>
      </c>
      <c r="K41" s="376" t="s">
        <v>343</v>
      </c>
      <c r="L41" s="376" t="s">
        <v>296</v>
      </c>
      <c r="M41" s="376" t="s">
        <v>171</v>
      </c>
      <c r="N41" s="376" t="s">
        <v>172</v>
      </c>
      <c r="O41" s="379">
        <v>1</v>
      </c>
      <c r="P41" s="385">
        <v>0.15</v>
      </c>
      <c r="Q41" s="385">
        <v>0.15</v>
      </c>
      <c r="R41" s="380">
        <v>80</v>
      </c>
      <c r="S41" s="385">
        <v>0.15</v>
      </c>
      <c r="T41" s="380">
        <v>0</v>
      </c>
      <c r="U41" s="380">
        <v>0</v>
      </c>
      <c r="V41" s="380">
        <v>0</v>
      </c>
      <c r="W41" s="380">
        <v>6935.76</v>
      </c>
      <c r="X41" s="380">
        <v>3247.35</v>
      </c>
      <c r="Y41" s="380">
        <v>6935.76</v>
      </c>
      <c r="Z41" s="380">
        <v>3218.22</v>
      </c>
      <c r="AA41" s="376" t="s">
        <v>404</v>
      </c>
      <c r="AB41" s="376" t="s">
        <v>405</v>
      </c>
      <c r="AC41" s="376" t="s">
        <v>229</v>
      </c>
      <c r="AD41" s="376" t="s">
        <v>406</v>
      </c>
      <c r="AE41" s="376" t="s">
        <v>343</v>
      </c>
      <c r="AF41" s="376" t="s">
        <v>301</v>
      </c>
      <c r="AG41" s="376" t="s">
        <v>178</v>
      </c>
      <c r="AH41" s="381">
        <v>22.23</v>
      </c>
      <c r="AI41" s="381">
        <v>63543.7</v>
      </c>
      <c r="AJ41" s="376" t="s">
        <v>179</v>
      </c>
      <c r="AK41" s="376" t="s">
        <v>180</v>
      </c>
      <c r="AL41" s="376" t="s">
        <v>181</v>
      </c>
      <c r="AM41" s="376" t="s">
        <v>182</v>
      </c>
      <c r="AN41" s="376" t="s">
        <v>68</v>
      </c>
      <c r="AO41" s="379">
        <v>80</v>
      </c>
      <c r="AP41" s="385">
        <v>1</v>
      </c>
      <c r="AQ41" s="385">
        <v>0.15</v>
      </c>
      <c r="AR41" s="383" t="s">
        <v>183</v>
      </c>
      <c r="AS41" s="387">
        <f t="shared" si="27"/>
        <v>0.15</v>
      </c>
      <c r="AT41">
        <f t="shared" si="28"/>
        <v>1</v>
      </c>
      <c r="AU41" s="387">
        <f>IF(AT41=0,"",IF(AND(AT41=1,M41="F",SUMIF(C2:C1334,C41,AS2:AS1334)&lt;=1),SUMIF(C2:C1334,C41,AS2:AS1334),IF(AND(AT41=1,M41="F",SUMIF(C2:C1334,C41,AS2:AS1334)&gt;1),1,"")))</f>
        <v>1</v>
      </c>
      <c r="AV41" s="387" t="str">
        <f>IF(AT41=0,"",IF(AND(AT41=3,M41="F",SUMIF(C2:C1334,C41,AS2:AS1334)&lt;=1),SUMIF(C2:C1334,C41,AS2:AS1334),IF(AND(AT41=3,M41="F",SUMIF(C2:C1334,C41,AS2:AS1334)&gt;1),1,"")))</f>
        <v/>
      </c>
      <c r="AW41" s="387">
        <f>SUMIF(C2:C1334,C41,O2:O1334)</f>
        <v>3</v>
      </c>
      <c r="AX41" s="387">
        <f>IF(AND(M41="F",AS41&lt;&gt;0),SUMIF(C2:C1334,C41,W2:W1334),0)</f>
        <v>46238.400000000001</v>
      </c>
      <c r="AY41" s="387">
        <f t="shared" si="29"/>
        <v>6935.76</v>
      </c>
      <c r="AZ41" s="387" t="str">
        <f t="shared" si="30"/>
        <v/>
      </c>
      <c r="BA41" s="387">
        <f t="shared" si="31"/>
        <v>0</v>
      </c>
      <c r="BB41" s="387">
        <f t="shared" si="0"/>
        <v>1747.5</v>
      </c>
      <c r="BC41" s="387">
        <f t="shared" si="1"/>
        <v>0</v>
      </c>
      <c r="BD41" s="387">
        <f t="shared" si="2"/>
        <v>430.01712000000003</v>
      </c>
      <c r="BE41" s="387">
        <f t="shared" si="3"/>
        <v>100.56852000000001</v>
      </c>
      <c r="BF41" s="387">
        <f t="shared" si="4"/>
        <v>828.12974400000007</v>
      </c>
      <c r="BG41" s="387">
        <f t="shared" si="5"/>
        <v>50.006829600000003</v>
      </c>
      <c r="BH41" s="387">
        <f t="shared" si="6"/>
        <v>33.985224000000002</v>
      </c>
      <c r="BI41" s="387">
        <f t="shared" si="7"/>
        <v>38.389431600000002</v>
      </c>
      <c r="BJ41" s="387">
        <f t="shared" si="8"/>
        <v>18.726552000000002</v>
      </c>
      <c r="BK41" s="387">
        <f t="shared" si="9"/>
        <v>0</v>
      </c>
      <c r="BL41" s="387">
        <f t="shared" si="32"/>
        <v>1499.8234212000002</v>
      </c>
      <c r="BM41" s="387">
        <f t="shared" si="33"/>
        <v>0</v>
      </c>
      <c r="BN41" s="387">
        <f t="shared" si="10"/>
        <v>1747.5</v>
      </c>
      <c r="BO41" s="387">
        <f t="shared" si="11"/>
        <v>0</v>
      </c>
      <c r="BP41" s="387">
        <f t="shared" si="12"/>
        <v>430.01712000000003</v>
      </c>
      <c r="BQ41" s="387">
        <f t="shared" si="13"/>
        <v>100.56852000000001</v>
      </c>
      <c r="BR41" s="387">
        <f t="shared" si="14"/>
        <v>828.12974400000007</v>
      </c>
      <c r="BS41" s="387">
        <f t="shared" si="15"/>
        <v>50.006829600000003</v>
      </c>
      <c r="BT41" s="387">
        <f t="shared" si="16"/>
        <v>0</v>
      </c>
      <c r="BU41" s="387">
        <f t="shared" si="17"/>
        <v>38.389431600000002</v>
      </c>
      <c r="BV41" s="387">
        <f t="shared" si="18"/>
        <v>23.581583999999999</v>
      </c>
      <c r="BW41" s="387">
        <f t="shared" si="19"/>
        <v>0</v>
      </c>
      <c r="BX41" s="387">
        <f t="shared" si="34"/>
        <v>1470.6932292000001</v>
      </c>
      <c r="BY41" s="387">
        <f t="shared" si="35"/>
        <v>0</v>
      </c>
      <c r="BZ41" s="387">
        <f t="shared" si="36"/>
        <v>0</v>
      </c>
      <c r="CA41" s="387">
        <f t="shared" si="37"/>
        <v>0</v>
      </c>
      <c r="CB41" s="387">
        <f t="shared" si="38"/>
        <v>0</v>
      </c>
      <c r="CC41" s="387">
        <f t="shared" si="20"/>
        <v>0</v>
      </c>
      <c r="CD41" s="387">
        <f t="shared" si="21"/>
        <v>0</v>
      </c>
      <c r="CE41" s="387">
        <f t="shared" si="22"/>
        <v>0</v>
      </c>
      <c r="CF41" s="387">
        <f t="shared" si="23"/>
        <v>-33.985224000000002</v>
      </c>
      <c r="CG41" s="387">
        <f t="shared" si="24"/>
        <v>0</v>
      </c>
      <c r="CH41" s="387">
        <f t="shared" si="25"/>
        <v>4.8550319999999978</v>
      </c>
      <c r="CI41" s="387">
        <f t="shared" si="26"/>
        <v>0</v>
      </c>
      <c r="CJ41" s="387">
        <f t="shared" si="39"/>
        <v>-29.130192000000005</v>
      </c>
      <c r="CK41" s="387" t="str">
        <f t="shared" si="40"/>
        <v/>
      </c>
      <c r="CL41" s="387" t="str">
        <f t="shared" si="41"/>
        <v/>
      </c>
      <c r="CM41" s="387" t="str">
        <f t="shared" si="42"/>
        <v/>
      </c>
      <c r="CN41" s="387" t="str">
        <f t="shared" si="43"/>
        <v>0348-31</v>
      </c>
    </row>
    <row r="42" spans="1:92" ht="15.75" thickBot="1" x14ac:dyDescent="0.3">
      <c r="A42" s="376" t="s">
        <v>161</v>
      </c>
      <c r="B42" s="376" t="s">
        <v>162</v>
      </c>
      <c r="C42" s="376" t="s">
        <v>407</v>
      </c>
      <c r="D42" s="376" t="s">
        <v>408</v>
      </c>
      <c r="E42" s="376" t="s">
        <v>224</v>
      </c>
      <c r="F42" s="382" t="s">
        <v>225</v>
      </c>
      <c r="G42" s="376" t="s">
        <v>167</v>
      </c>
      <c r="H42" s="378"/>
      <c r="I42" s="378"/>
      <c r="J42" s="376" t="s">
        <v>215</v>
      </c>
      <c r="K42" s="376" t="s">
        <v>409</v>
      </c>
      <c r="L42" s="376" t="s">
        <v>181</v>
      </c>
      <c r="M42" s="376" t="s">
        <v>171</v>
      </c>
      <c r="N42" s="376" t="s">
        <v>172</v>
      </c>
      <c r="O42" s="379">
        <v>1</v>
      </c>
      <c r="P42" s="385">
        <v>1</v>
      </c>
      <c r="Q42" s="385">
        <v>1</v>
      </c>
      <c r="R42" s="380">
        <v>80</v>
      </c>
      <c r="S42" s="385">
        <v>1</v>
      </c>
      <c r="T42" s="380">
        <v>0</v>
      </c>
      <c r="U42" s="380">
        <v>0</v>
      </c>
      <c r="V42" s="380">
        <v>0</v>
      </c>
      <c r="W42" s="380">
        <v>76627.199999999997</v>
      </c>
      <c r="X42" s="380">
        <v>28220.6</v>
      </c>
      <c r="Y42" s="380">
        <v>76627.199999999997</v>
      </c>
      <c r="Z42" s="380">
        <v>27898.77</v>
      </c>
      <c r="AA42" s="376" t="s">
        <v>410</v>
      </c>
      <c r="AB42" s="376" t="s">
        <v>411</v>
      </c>
      <c r="AC42" s="376" t="s">
        <v>412</v>
      </c>
      <c r="AD42" s="376" t="s">
        <v>198</v>
      </c>
      <c r="AE42" s="376" t="s">
        <v>409</v>
      </c>
      <c r="AF42" s="376" t="s">
        <v>211</v>
      </c>
      <c r="AG42" s="376" t="s">
        <v>178</v>
      </c>
      <c r="AH42" s="381">
        <v>36.840000000000003</v>
      </c>
      <c r="AI42" s="381">
        <v>38589.1</v>
      </c>
      <c r="AJ42" s="376" t="s">
        <v>179</v>
      </c>
      <c r="AK42" s="376" t="s">
        <v>180</v>
      </c>
      <c r="AL42" s="376" t="s">
        <v>181</v>
      </c>
      <c r="AM42" s="376" t="s">
        <v>182</v>
      </c>
      <c r="AN42" s="376" t="s">
        <v>68</v>
      </c>
      <c r="AO42" s="379">
        <v>80</v>
      </c>
      <c r="AP42" s="385">
        <v>1</v>
      </c>
      <c r="AQ42" s="385">
        <v>1</v>
      </c>
      <c r="AR42" s="383" t="s">
        <v>183</v>
      </c>
      <c r="AS42" s="387">
        <f t="shared" si="27"/>
        <v>1</v>
      </c>
      <c r="AT42">
        <f t="shared" si="28"/>
        <v>1</v>
      </c>
      <c r="AU42" s="387">
        <f>IF(AT42=0,"",IF(AND(AT42=1,M42="F",SUMIF(C2:C1334,C42,AS2:AS1334)&lt;=1),SUMIF(C2:C1334,C42,AS2:AS1334),IF(AND(AT42=1,M42="F",SUMIF(C2:C1334,C42,AS2:AS1334)&gt;1),1,"")))</f>
        <v>1</v>
      </c>
      <c r="AV42" s="387" t="str">
        <f>IF(AT42=0,"",IF(AND(AT42=3,M42="F",SUMIF(C2:C1334,C42,AS2:AS1334)&lt;=1),SUMIF(C2:C1334,C42,AS2:AS1334),IF(AND(AT42=3,M42="F",SUMIF(C2:C1334,C42,AS2:AS1334)&gt;1),1,"")))</f>
        <v/>
      </c>
      <c r="AW42" s="387">
        <f>SUMIF(C2:C1334,C42,O2:O1334)</f>
        <v>4</v>
      </c>
      <c r="AX42" s="387">
        <f>IF(AND(M42="F",AS42&lt;&gt;0),SUMIF(C2:C1334,C42,W2:W1334),0)</f>
        <v>76627.199999999997</v>
      </c>
      <c r="AY42" s="387">
        <f t="shared" si="29"/>
        <v>76627.199999999997</v>
      </c>
      <c r="AZ42" s="387" t="str">
        <f t="shared" si="30"/>
        <v/>
      </c>
      <c r="BA42" s="387">
        <f t="shared" si="31"/>
        <v>0</v>
      </c>
      <c r="BB42" s="387">
        <f t="shared" si="0"/>
        <v>11650</v>
      </c>
      <c r="BC42" s="387">
        <f t="shared" si="1"/>
        <v>0</v>
      </c>
      <c r="BD42" s="387">
        <f t="shared" si="2"/>
        <v>4750.8863999999994</v>
      </c>
      <c r="BE42" s="387">
        <f t="shared" si="3"/>
        <v>1111.0944</v>
      </c>
      <c r="BF42" s="387">
        <f t="shared" si="4"/>
        <v>9149.2876799999995</v>
      </c>
      <c r="BG42" s="387">
        <f t="shared" si="5"/>
        <v>552.48211200000003</v>
      </c>
      <c r="BH42" s="387">
        <f t="shared" si="6"/>
        <v>375.47327999999999</v>
      </c>
      <c r="BI42" s="387">
        <f t="shared" si="7"/>
        <v>424.131552</v>
      </c>
      <c r="BJ42" s="387">
        <f t="shared" si="8"/>
        <v>206.89344</v>
      </c>
      <c r="BK42" s="387">
        <f t="shared" si="9"/>
        <v>0</v>
      </c>
      <c r="BL42" s="387">
        <f t="shared" si="32"/>
        <v>16570.248864000001</v>
      </c>
      <c r="BM42" s="387">
        <f t="shared" si="33"/>
        <v>0</v>
      </c>
      <c r="BN42" s="387">
        <f t="shared" si="10"/>
        <v>11650</v>
      </c>
      <c r="BO42" s="387">
        <f t="shared" si="11"/>
        <v>0</v>
      </c>
      <c r="BP42" s="387">
        <f t="shared" si="12"/>
        <v>4750.8863999999994</v>
      </c>
      <c r="BQ42" s="387">
        <f t="shared" si="13"/>
        <v>1111.0944</v>
      </c>
      <c r="BR42" s="387">
        <f t="shared" si="14"/>
        <v>9149.2876799999995</v>
      </c>
      <c r="BS42" s="387">
        <f t="shared" si="15"/>
        <v>552.48211200000003</v>
      </c>
      <c r="BT42" s="387">
        <f t="shared" si="16"/>
        <v>0</v>
      </c>
      <c r="BU42" s="387">
        <f t="shared" si="17"/>
        <v>424.131552</v>
      </c>
      <c r="BV42" s="387">
        <f t="shared" si="18"/>
        <v>260.53247999999996</v>
      </c>
      <c r="BW42" s="387">
        <f t="shared" si="19"/>
        <v>0</v>
      </c>
      <c r="BX42" s="387">
        <f t="shared" si="34"/>
        <v>16248.414623999999</v>
      </c>
      <c r="BY42" s="387">
        <f t="shared" si="35"/>
        <v>0</v>
      </c>
      <c r="BZ42" s="387">
        <f t="shared" si="36"/>
        <v>0</v>
      </c>
      <c r="CA42" s="387">
        <f t="shared" si="37"/>
        <v>0</v>
      </c>
      <c r="CB42" s="387">
        <f t="shared" si="38"/>
        <v>0</v>
      </c>
      <c r="CC42" s="387">
        <f t="shared" si="20"/>
        <v>0</v>
      </c>
      <c r="CD42" s="387">
        <f t="shared" si="21"/>
        <v>0</v>
      </c>
      <c r="CE42" s="387">
        <f t="shared" si="22"/>
        <v>0</v>
      </c>
      <c r="CF42" s="387">
        <f t="shared" si="23"/>
        <v>-375.47327999999999</v>
      </c>
      <c r="CG42" s="387">
        <f t="shared" si="24"/>
        <v>0</v>
      </c>
      <c r="CH42" s="387">
        <f t="shared" si="25"/>
        <v>53.639039999999973</v>
      </c>
      <c r="CI42" s="387">
        <f t="shared" si="26"/>
        <v>0</v>
      </c>
      <c r="CJ42" s="387">
        <f t="shared" si="39"/>
        <v>-321.83424000000002</v>
      </c>
      <c r="CK42" s="387" t="str">
        <f t="shared" si="40"/>
        <v/>
      </c>
      <c r="CL42" s="387" t="str">
        <f t="shared" si="41"/>
        <v/>
      </c>
      <c r="CM42" s="387" t="str">
        <f t="shared" si="42"/>
        <v/>
      </c>
      <c r="CN42" s="387" t="str">
        <f t="shared" si="43"/>
        <v>0348-31</v>
      </c>
    </row>
    <row r="43" spans="1:92" ht="15.75" thickBot="1" x14ac:dyDescent="0.3">
      <c r="A43" s="376" t="s">
        <v>161</v>
      </c>
      <c r="B43" s="376" t="s">
        <v>162</v>
      </c>
      <c r="C43" s="376" t="s">
        <v>413</v>
      </c>
      <c r="D43" s="376" t="s">
        <v>414</v>
      </c>
      <c r="E43" s="376" t="s">
        <v>224</v>
      </c>
      <c r="F43" s="382" t="s">
        <v>225</v>
      </c>
      <c r="G43" s="376" t="s">
        <v>167</v>
      </c>
      <c r="H43" s="378"/>
      <c r="I43" s="378"/>
      <c r="J43" s="376" t="s">
        <v>215</v>
      </c>
      <c r="K43" s="376" t="s">
        <v>415</v>
      </c>
      <c r="L43" s="376" t="s">
        <v>252</v>
      </c>
      <c r="M43" s="376" t="s">
        <v>171</v>
      </c>
      <c r="N43" s="376" t="s">
        <v>172</v>
      </c>
      <c r="O43" s="379">
        <v>1</v>
      </c>
      <c r="P43" s="385">
        <v>1</v>
      </c>
      <c r="Q43" s="385">
        <v>1</v>
      </c>
      <c r="R43" s="380">
        <v>80</v>
      </c>
      <c r="S43" s="385">
        <v>1</v>
      </c>
      <c r="T43" s="380">
        <v>0</v>
      </c>
      <c r="U43" s="380">
        <v>0</v>
      </c>
      <c r="V43" s="380">
        <v>0</v>
      </c>
      <c r="W43" s="380">
        <v>47590.400000000001</v>
      </c>
      <c r="X43" s="380">
        <v>21941.4</v>
      </c>
      <c r="Y43" s="380">
        <v>47590.400000000001</v>
      </c>
      <c r="Z43" s="380">
        <v>21741.52</v>
      </c>
      <c r="AA43" s="376" t="s">
        <v>416</v>
      </c>
      <c r="AB43" s="376" t="s">
        <v>417</v>
      </c>
      <c r="AC43" s="376" t="s">
        <v>418</v>
      </c>
      <c r="AD43" s="376" t="s">
        <v>419</v>
      </c>
      <c r="AE43" s="376" t="s">
        <v>415</v>
      </c>
      <c r="AF43" s="376" t="s">
        <v>393</v>
      </c>
      <c r="AG43" s="376" t="s">
        <v>178</v>
      </c>
      <c r="AH43" s="381">
        <v>22.88</v>
      </c>
      <c r="AI43" s="381">
        <v>28972.2</v>
      </c>
      <c r="AJ43" s="376" t="s">
        <v>179</v>
      </c>
      <c r="AK43" s="376" t="s">
        <v>180</v>
      </c>
      <c r="AL43" s="376" t="s">
        <v>181</v>
      </c>
      <c r="AM43" s="376" t="s">
        <v>182</v>
      </c>
      <c r="AN43" s="376" t="s">
        <v>68</v>
      </c>
      <c r="AO43" s="379">
        <v>80</v>
      </c>
      <c r="AP43" s="385">
        <v>1</v>
      </c>
      <c r="AQ43" s="385">
        <v>1</v>
      </c>
      <c r="AR43" s="383" t="s">
        <v>183</v>
      </c>
      <c r="AS43" s="387">
        <f t="shared" si="27"/>
        <v>1</v>
      </c>
      <c r="AT43">
        <f t="shared" si="28"/>
        <v>1</v>
      </c>
      <c r="AU43" s="387">
        <f>IF(AT43=0,"",IF(AND(AT43=1,M43="F",SUMIF(C2:C1334,C43,AS2:AS1334)&lt;=1),SUMIF(C2:C1334,C43,AS2:AS1334),IF(AND(AT43=1,M43="F",SUMIF(C2:C1334,C43,AS2:AS1334)&gt;1),1,"")))</f>
        <v>1</v>
      </c>
      <c r="AV43" s="387" t="str">
        <f>IF(AT43=0,"",IF(AND(AT43=3,M43="F",SUMIF(C2:C1334,C43,AS2:AS1334)&lt;=1),SUMIF(C2:C1334,C43,AS2:AS1334),IF(AND(AT43=3,M43="F",SUMIF(C2:C1334,C43,AS2:AS1334)&gt;1),1,"")))</f>
        <v/>
      </c>
      <c r="AW43" s="387">
        <f>SUMIF(C2:C1334,C43,O2:O1334)</f>
        <v>3</v>
      </c>
      <c r="AX43" s="387">
        <f>IF(AND(M43="F",AS43&lt;&gt;0),SUMIF(C2:C1334,C43,W2:W1334),0)</f>
        <v>47590.400000000001</v>
      </c>
      <c r="AY43" s="387">
        <f t="shared" si="29"/>
        <v>47590.400000000001</v>
      </c>
      <c r="AZ43" s="387" t="str">
        <f t="shared" si="30"/>
        <v/>
      </c>
      <c r="BA43" s="387">
        <f t="shared" si="31"/>
        <v>0</v>
      </c>
      <c r="BB43" s="387">
        <f t="shared" si="0"/>
        <v>11650</v>
      </c>
      <c r="BC43" s="387">
        <f t="shared" si="1"/>
        <v>0</v>
      </c>
      <c r="BD43" s="387">
        <f t="shared" si="2"/>
        <v>2950.6048000000001</v>
      </c>
      <c r="BE43" s="387">
        <f t="shared" si="3"/>
        <v>690.06080000000009</v>
      </c>
      <c r="BF43" s="387">
        <f t="shared" si="4"/>
        <v>5682.2937600000005</v>
      </c>
      <c r="BG43" s="387">
        <f t="shared" si="5"/>
        <v>343.12678400000004</v>
      </c>
      <c r="BH43" s="387">
        <f t="shared" si="6"/>
        <v>233.19296</v>
      </c>
      <c r="BI43" s="387">
        <f t="shared" si="7"/>
        <v>263.41286400000001</v>
      </c>
      <c r="BJ43" s="387">
        <f t="shared" si="8"/>
        <v>128.49408</v>
      </c>
      <c r="BK43" s="387">
        <f t="shared" si="9"/>
        <v>0</v>
      </c>
      <c r="BL43" s="387">
        <f t="shared" si="32"/>
        <v>10291.186048000001</v>
      </c>
      <c r="BM43" s="387">
        <f t="shared" si="33"/>
        <v>0</v>
      </c>
      <c r="BN43" s="387">
        <f t="shared" si="10"/>
        <v>11650</v>
      </c>
      <c r="BO43" s="387">
        <f t="shared" si="11"/>
        <v>0</v>
      </c>
      <c r="BP43" s="387">
        <f t="shared" si="12"/>
        <v>2950.6048000000001</v>
      </c>
      <c r="BQ43" s="387">
        <f t="shared" si="13"/>
        <v>690.06080000000009</v>
      </c>
      <c r="BR43" s="387">
        <f t="shared" si="14"/>
        <v>5682.2937600000005</v>
      </c>
      <c r="BS43" s="387">
        <f t="shared" si="15"/>
        <v>343.12678400000004</v>
      </c>
      <c r="BT43" s="387">
        <f t="shared" si="16"/>
        <v>0</v>
      </c>
      <c r="BU43" s="387">
        <f t="shared" si="17"/>
        <v>263.41286400000001</v>
      </c>
      <c r="BV43" s="387">
        <f t="shared" si="18"/>
        <v>161.80735999999999</v>
      </c>
      <c r="BW43" s="387">
        <f t="shared" si="19"/>
        <v>0</v>
      </c>
      <c r="BX43" s="387">
        <f t="shared" si="34"/>
        <v>10091.306368000001</v>
      </c>
      <c r="BY43" s="387">
        <f t="shared" si="35"/>
        <v>0</v>
      </c>
      <c r="BZ43" s="387">
        <f t="shared" si="36"/>
        <v>0</v>
      </c>
      <c r="CA43" s="387">
        <f t="shared" si="37"/>
        <v>0</v>
      </c>
      <c r="CB43" s="387">
        <f t="shared" si="38"/>
        <v>0</v>
      </c>
      <c r="CC43" s="387">
        <f t="shared" si="20"/>
        <v>0</v>
      </c>
      <c r="CD43" s="387">
        <f t="shared" si="21"/>
        <v>0</v>
      </c>
      <c r="CE43" s="387">
        <f t="shared" si="22"/>
        <v>0</v>
      </c>
      <c r="CF43" s="387">
        <f t="shared" si="23"/>
        <v>-233.19296</v>
      </c>
      <c r="CG43" s="387">
        <f t="shared" si="24"/>
        <v>0</v>
      </c>
      <c r="CH43" s="387">
        <f t="shared" si="25"/>
        <v>33.313279999999985</v>
      </c>
      <c r="CI43" s="387">
        <f t="shared" si="26"/>
        <v>0</v>
      </c>
      <c r="CJ43" s="387">
        <f t="shared" si="39"/>
        <v>-199.87968000000001</v>
      </c>
      <c r="CK43" s="387" t="str">
        <f t="shared" si="40"/>
        <v/>
      </c>
      <c r="CL43" s="387" t="str">
        <f t="shared" si="41"/>
        <v/>
      </c>
      <c r="CM43" s="387" t="str">
        <f t="shared" si="42"/>
        <v/>
      </c>
      <c r="CN43" s="387" t="str">
        <f t="shared" si="43"/>
        <v>0348-31</v>
      </c>
    </row>
    <row r="44" spans="1:92" ht="15.75" thickBot="1" x14ac:dyDescent="0.3">
      <c r="A44" s="376" t="s">
        <v>161</v>
      </c>
      <c r="B44" s="376" t="s">
        <v>162</v>
      </c>
      <c r="C44" s="376" t="s">
        <v>420</v>
      </c>
      <c r="D44" s="376" t="s">
        <v>421</v>
      </c>
      <c r="E44" s="376" t="s">
        <v>224</v>
      </c>
      <c r="F44" s="382" t="s">
        <v>225</v>
      </c>
      <c r="G44" s="376" t="s">
        <v>167</v>
      </c>
      <c r="H44" s="378"/>
      <c r="I44" s="378"/>
      <c r="J44" s="376" t="s">
        <v>215</v>
      </c>
      <c r="K44" s="376" t="s">
        <v>422</v>
      </c>
      <c r="L44" s="376" t="s">
        <v>181</v>
      </c>
      <c r="M44" s="376" t="s">
        <v>272</v>
      </c>
      <c r="N44" s="376" t="s">
        <v>172</v>
      </c>
      <c r="O44" s="379">
        <v>0</v>
      </c>
      <c r="P44" s="385">
        <v>1</v>
      </c>
      <c r="Q44" s="385">
        <v>1</v>
      </c>
      <c r="R44" s="380">
        <v>80</v>
      </c>
      <c r="S44" s="385">
        <v>1</v>
      </c>
      <c r="T44" s="380">
        <v>0</v>
      </c>
      <c r="U44" s="380">
        <v>0</v>
      </c>
      <c r="V44" s="380">
        <v>0</v>
      </c>
      <c r="W44" s="380">
        <v>66788.800000000003</v>
      </c>
      <c r="X44" s="380">
        <v>29253.49</v>
      </c>
      <c r="Y44" s="380">
        <v>66788.800000000003</v>
      </c>
      <c r="Z44" s="380">
        <v>28919.55</v>
      </c>
      <c r="AA44" s="378"/>
      <c r="AB44" s="376" t="s">
        <v>45</v>
      </c>
      <c r="AC44" s="376" t="s">
        <v>45</v>
      </c>
      <c r="AD44" s="378"/>
      <c r="AE44" s="378"/>
      <c r="AF44" s="378"/>
      <c r="AG44" s="378"/>
      <c r="AH44" s="379">
        <v>0</v>
      </c>
      <c r="AI44" s="379">
        <v>0</v>
      </c>
      <c r="AJ44" s="378"/>
      <c r="AK44" s="378"/>
      <c r="AL44" s="376" t="s">
        <v>181</v>
      </c>
      <c r="AM44" s="378"/>
      <c r="AN44" s="378"/>
      <c r="AO44" s="379">
        <v>0</v>
      </c>
      <c r="AP44" s="385">
        <v>0</v>
      </c>
      <c r="AQ44" s="385">
        <v>0</v>
      </c>
      <c r="AR44" s="384"/>
      <c r="AS44" s="387">
        <f t="shared" si="27"/>
        <v>0</v>
      </c>
      <c r="AT44">
        <f t="shared" si="28"/>
        <v>0</v>
      </c>
      <c r="AU44" s="387" t="str">
        <f>IF(AT44=0,"",IF(AND(AT44=1,M44="F",SUMIF(C2:C1334,C44,AS2:AS1334)&lt;=1),SUMIF(C2:C1334,C44,AS2:AS1334),IF(AND(AT44=1,M44="F",SUMIF(C2:C1334,C44,AS2:AS1334)&gt;1),1,"")))</f>
        <v/>
      </c>
      <c r="AV44" s="387" t="str">
        <f>IF(AT44=0,"",IF(AND(AT44=3,M44="F",SUMIF(C2:C1334,C44,AS2:AS1334)&lt;=1),SUMIF(C2:C1334,C44,AS2:AS1334),IF(AND(AT44=3,M44="F",SUMIF(C2:C1334,C44,AS2:AS1334)&gt;1),1,"")))</f>
        <v/>
      </c>
      <c r="AW44" s="387">
        <f>SUMIF(C2:C1334,C44,O2:O1334)</f>
        <v>0</v>
      </c>
      <c r="AX44" s="387">
        <f>IF(AND(M44="F",AS44&lt;&gt;0),SUMIF(C2:C1334,C44,W2:W1334),0)</f>
        <v>0</v>
      </c>
      <c r="AY44" s="387" t="str">
        <f t="shared" si="29"/>
        <v/>
      </c>
      <c r="AZ44" s="387" t="str">
        <f t="shared" si="30"/>
        <v/>
      </c>
      <c r="BA44" s="387">
        <f t="shared" si="31"/>
        <v>0</v>
      </c>
      <c r="BB44" s="387">
        <f t="shared" si="0"/>
        <v>0</v>
      </c>
      <c r="BC44" s="387">
        <f t="shared" si="1"/>
        <v>0</v>
      </c>
      <c r="BD44" s="387">
        <f t="shared" si="2"/>
        <v>0</v>
      </c>
      <c r="BE44" s="387">
        <f t="shared" si="3"/>
        <v>0</v>
      </c>
      <c r="BF44" s="387">
        <f t="shared" si="4"/>
        <v>0</v>
      </c>
      <c r="BG44" s="387">
        <f t="shared" si="5"/>
        <v>0</v>
      </c>
      <c r="BH44" s="387">
        <f t="shared" si="6"/>
        <v>0</v>
      </c>
      <c r="BI44" s="387">
        <f t="shared" si="7"/>
        <v>0</v>
      </c>
      <c r="BJ44" s="387">
        <f t="shared" si="8"/>
        <v>0</v>
      </c>
      <c r="BK44" s="387">
        <f t="shared" si="9"/>
        <v>0</v>
      </c>
      <c r="BL44" s="387">
        <f t="shared" si="32"/>
        <v>0</v>
      </c>
      <c r="BM44" s="387">
        <f t="shared" si="33"/>
        <v>0</v>
      </c>
      <c r="BN44" s="387">
        <f t="shared" si="10"/>
        <v>0</v>
      </c>
      <c r="BO44" s="387">
        <f t="shared" si="11"/>
        <v>0</v>
      </c>
      <c r="BP44" s="387">
        <f t="shared" si="12"/>
        <v>0</v>
      </c>
      <c r="BQ44" s="387">
        <f t="shared" si="13"/>
        <v>0</v>
      </c>
      <c r="BR44" s="387">
        <f t="shared" si="14"/>
        <v>0</v>
      </c>
      <c r="BS44" s="387">
        <f t="shared" si="15"/>
        <v>0</v>
      </c>
      <c r="BT44" s="387">
        <f t="shared" si="16"/>
        <v>0</v>
      </c>
      <c r="BU44" s="387">
        <f t="shared" si="17"/>
        <v>0</v>
      </c>
      <c r="BV44" s="387">
        <f t="shared" si="18"/>
        <v>0</v>
      </c>
      <c r="BW44" s="387">
        <f t="shared" si="19"/>
        <v>0</v>
      </c>
      <c r="BX44" s="387">
        <f t="shared" si="34"/>
        <v>0</v>
      </c>
      <c r="BY44" s="387">
        <f t="shared" si="35"/>
        <v>0</v>
      </c>
      <c r="BZ44" s="387">
        <f t="shared" si="36"/>
        <v>0</v>
      </c>
      <c r="CA44" s="387">
        <f t="shared" si="37"/>
        <v>0</v>
      </c>
      <c r="CB44" s="387">
        <f t="shared" si="38"/>
        <v>0</v>
      </c>
      <c r="CC44" s="387">
        <f t="shared" si="20"/>
        <v>0</v>
      </c>
      <c r="CD44" s="387">
        <f t="shared" si="21"/>
        <v>0</v>
      </c>
      <c r="CE44" s="387">
        <f t="shared" si="22"/>
        <v>0</v>
      </c>
      <c r="CF44" s="387">
        <f t="shared" si="23"/>
        <v>0</v>
      </c>
      <c r="CG44" s="387">
        <f t="shared" si="24"/>
        <v>0</v>
      </c>
      <c r="CH44" s="387">
        <f t="shared" si="25"/>
        <v>0</v>
      </c>
      <c r="CI44" s="387">
        <f t="shared" si="26"/>
        <v>0</v>
      </c>
      <c r="CJ44" s="387">
        <f t="shared" si="39"/>
        <v>0</v>
      </c>
      <c r="CK44" s="387" t="str">
        <f t="shared" si="40"/>
        <v/>
      </c>
      <c r="CL44" s="387" t="str">
        <f t="shared" si="41"/>
        <v/>
      </c>
      <c r="CM44" s="387" t="str">
        <f t="shared" si="42"/>
        <v/>
      </c>
      <c r="CN44" s="387" t="str">
        <f t="shared" si="43"/>
        <v>0348-31</v>
      </c>
    </row>
    <row r="45" spans="1:92" ht="15.75" thickBot="1" x14ac:dyDescent="0.3">
      <c r="A45" s="376" t="s">
        <v>161</v>
      </c>
      <c r="B45" s="376" t="s">
        <v>162</v>
      </c>
      <c r="C45" s="376" t="s">
        <v>423</v>
      </c>
      <c r="D45" s="376" t="s">
        <v>368</v>
      </c>
      <c r="E45" s="376" t="s">
        <v>224</v>
      </c>
      <c r="F45" s="382" t="s">
        <v>225</v>
      </c>
      <c r="G45" s="376" t="s">
        <v>167</v>
      </c>
      <c r="H45" s="378"/>
      <c r="I45" s="378"/>
      <c r="J45" s="376" t="s">
        <v>239</v>
      </c>
      <c r="K45" s="376" t="s">
        <v>424</v>
      </c>
      <c r="L45" s="376" t="s">
        <v>210</v>
      </c>
      <c r="M45" s="376" t="s">
        <v>171</v>
      </c>
      <c r="N45" s="376" t="s">
        <v>172</v>
      </c>
      <c r="O45" s="379">
        <v>1</v>
      </c>
      <c r="P45" s="385">
        <v>0.85</v>
      </c>
      <c r="Q45" s="385">
        <v>0.85</v>
      </c>
      <c r="R45" s="380">
        <v>80</v>
      </c>
      <c r="S45" s="385">
        <v>0.85</v>
      </c>
      <c r="T45" s="380">
        <v>0</v>
      </c>
      <c r="U45" s="380">
        <v>0</v>
      </c>
      <c r="V45" s="380">
        <v>0</v>
      </c>
      <c r="W45" s="380">
        <v>76059.360000000001</v>
      </c>
      <c r="X45" s="380">
        <v>26350.3</v>
      </c>
      <c r="Y45" s="380">
        <v>76059.360000000001</v>
      </c>
      <c r="Z45" s="380">
        <v>26030.85</v>
      </c>
      <c r="AA45" s="376" t="s">
        <v>425</v>
      </c>
      <c r="AB45" s="376" t="s">
        <v>426</v>
      </c>
      <c r="AC45" s="376" t="s">
        <v>427</v>
      </c>
      <c r="AD45" s="376" t="s">
        <v>428</v>
      </c>
      <c r="AE45" s="376" t="s">
        <v>424</v>
      </c>
      <c r="AF45" s="376" t="s">
        <v>245</v>
      </c>
      <c r="AG45" s="376" t="s">
        <v>178</v>
      </c>
      <c r="AH45" s="381">
        <v>43.02</v>
      </c>
      <c r="AI45" s="381">
        <v>13905.9</v>
      </c>
      <c r="AJ45" s="376" t="s">
        <v>179</v>
      </c>
      <c r="AK45" s="376" t="s">
        <v>180</v>
      </c>
      <c r="AL45" s="376" t="s">
        <v>181</v>
      </c>
      <c r="AM45" s="376" t="s">
        <v>182</v>
      </c>
      <c r="AN45" s="376" t="s">
        <v>68</v>
      </c>
      <c r="AO45" s="379">
        <v>80</v>
      </c>
      <c r="AP45" s="385">
        <v>1</v>
      </c>
      <c r="AQ45" s="385">
        <v>0.85</v>
      </c>
      <c r="AR45" s="383" t="s">
        <v>183</v>
      </c>
      <c r="AS45" s="387">
        <f t="shared" si="27"/>
        <v>0.85</v>
      </c>
      <c r="AT45">
        <f t="shared" si="28"/>
        <v>1</v>
      </c>
      <c r="AU45" s="387">
        <f>IF(AT45=0,"",IF(AND(AT45=1,M45="F",SUMIF(C2:C1334,C45,AS2:AS1334)&lt;=1),SUMIF(C2:C1334,C45,AS2:AS1334),IF(AND(AT45=1,M45="F",SUMIF(C2:C1334,C45,AS2:AS1334)&gt;1),1,"")))</f>
        <v>1</v>
      </c>
      <c r="AV45" s="387" t="str">
        <f>IF(AT45=0,"",IF(AND(AT45=3,M45="F",SUMIF(C2:C1334,C45,AS2:AS1334)&lt;=1),SUMIF(C2:C1334,C45,AS2:AS1334),IF(AND(AT45=3,M45="F",SUMIF(C2:C1334,C45,AS2:AS1334)&gt;1),1,"")))</f>
        <v/>
      </c>
      <c r="AW45" s="387">
        <f>SUMIF(C2:C1334,C45,O2:O1334)</f>
        <v>3</v>
      </c>
      <c r="AX45" s="387">
        <f>IF(AND(M45="F",AS45&lt;&gt;0),SUMIF(C2:C1334,C45,W2:W1334),0)</f>
        <v>89481.600000000006</v>
      </c>
      <c r="AY45" s="387">
        <f t="shared" si="29"/>
        <v>76059.360000000001</v>
      </c>
      <c r="AZ45" s="387" t="str">
        <f t="shared" si="30"/>
        <v/>
      </c>
      <c r="BA45" s="387">
        <f t="shared" si="31"/>
        <v>0</v>
      </c>
      <c r="BB45" s="387">
        <f t="shared" si="0"/>
        <v>9902.5</v>
      </c>
      <c r="BC45" s="387">
        <f t="shared" si="1"/>
        <v>0</v>
      </c>
      <c r="BD45" s="387">
        <f t="shared" si="2"/>
        <v>4715.6803200000004</v>
      </c>
      <c r="BE45" s="387">
        <f t="shared" si="3"/>
        <v>1102.8607200000001</v>
      </c>
      <c r="BF45" s="387">
        <f t="shared" si="4"/>
        <v>9081.4875840000004</v>
      </c>
      <c r="BG45" s="387">
        <f t="shared" si="5"/>
        <v>548.38798559999998</v>
      </c>
      <c r="BH45" s="387">
        <f t="shared" si="6"/>
        <v>372.69086399999998</v>
      </c>
      <c r="BI45" s="387">
        <f t="shared" si="7"/>
        <v>420.98855759999998</v>
      </c>
      <c r="BJ45" s="387">
        <f t="shared" si="8"/>
        <v>205.36027200000001</v>
      </c>
      <c r="BK45" s="387">
        <f t="shared" si="9"/>
        <v>0</v>
      </c>
      <c r="BL45" s="387">
        <f t="shared" si="32"/>
        <v>16447.456303200001</v>
      </c>
      <c r="BM45" s="387">
        <f t="shared" si="33"/>
        <v>0</v>
      </c>
      <c r="BN45" s="387">
        <f t="shared" si="10"/>
        <v>9902.5</v>
      </c>
      <c r="BO45" s="387">
        <f t="shared" si="11"/>
        <v>0</v>
      </c>
      <c r="BP45" s="387">
        <f t="shared" si="12"/>
        <v>4715.6803200000004</v>
      </c>
      <c r="BQ45" s="387">
        <f t="shared" si="13"/>
        <v>1102.8607200000001</v>
      </c>
      <c r="BR45" s="387">
        <f t="shared" si="14"/>
        <v>9081.4875840000004</v>
      </c>
      <c r="BS45" s="387">
        <f t="shared" si="15"/>
        <v>548.38798559999998</v>
      </c>
      <c r="BT45" s="387">
        <f t="shared" si="16"/>
        <v>0</v>
      </c>
      <c r="BU45" s="387">
        <f t="shared" si="17"/>
        <v>420.98855759999998</v>
      </c>
      <c r="BV45" s="387">
        <f t="shared" si="18"/>
        <v>258.60182399999997</v>
      </c>
      <c r="BW45" s="387">
        <f t="shared" si="19"/>
        <v>0</v>
      </c>
      <c r="BX45" s="387">
        <f t="shared" si="34"/>
        <v>16128.0069912</v>
      </c>
      <c r="BY45" s="387">
        <f t="shared" si="35"/>
        <v>0</v>
      </c>
      <c r="BZ45" s="387">
        <f t="shared" si="36"/>
        <v>0</v>
      </c>
      <c r="CA45" s="387">
        <f t="shared" si="37"/>
        <v>0</v>
      </c>
      <c r="CB45" s="387">
        <f t="shared" si="38"/>
        <v>0</v>
      </c>
      <c r="CC45" s="387">
        <f t="shared" si="20"/>
        <v>0</v>
      </c>
      <c r="CD45" s="387">
        <f t="shared" si="21"/>
        <v>0</v>
      </c>
      <c r="CE45" s="387">
        <f t="shared" si="22"/>
        <v>0</v>
      </c>
      <c r="CF45" s="387">
        <f t="shared" si="23"/>
        <v>-372.69086399999998</v>
      </c>
      <c r="CG45" s="387">
        <f t="shared" si="24"/>
        <v>0</v>
      </c>
      <c r="CH45" s="387">
        <f t="shared" si="25"/>
        <v>53.241551999999977</v>
      </c>
      <c r="CI45" s="387">
        <f t="shared" si="26"/>
        <v>0</v>
      </c>
      <c r="CJ45" s="387">
        <f t="shared" si="39"/>
        <v>-319.44931200000002</v>
      </c>
      <c r="CK45" s="387" t="str">
        <f t="shared" si="40"/>
        <v/>
      </c>
      <c r="CL45" s="387" t="str">
        <f t="shared" si="41"/>
        <v/>
      </c>
      <c r="CM45" s="387" t="str">
        <f t="shared" si="42"/>
        <v/>
      </c>
      <c r="CN45" s="387" t="str">
        <f t="shared" si="43"/>
        <v>0348-31</v>
      </c>
    </row>
    <row r="46" spans="1:92" ht="15.75" thickBot="1" x14ac:dyDescent="0.3">
      <c r="A46" s="376" t="s">
        <v>161</v>
      </c>
      <c r="B46" s="376" t="s">
        <v>162</v>
      </c>
      <c r="C46" s="376" t="s">
        <v>429</v>
      </c>
      <c r="D46" s="376" t="s">
        <v>430</v>
      </c>
      <c r="E46" s="376" t="s">
        <v>224</v>
      </c>
      <c r="F46" s="382" t="s">
        <v>225</v>
      </c>
      <c r="G46" s="376" t="s">
        <v>167</v>
      </c>
      <c r="H46" s="378"/>
      <c r="I46" s="378"/>
      <c r="J46" s="376" t="s">
        <v>239</v>
      </c>
      <c r="K46" s="376" t="s">
        <v>431</v>
      </c>
      <c r="L46" s="376" t="s">
        <v>432</v>
      </c>
      <c r="M46" s="376" t="s">
        <v>171</v>
      </c>
      <c r="N46" s="376" t="s">
        <v>172</v>
      </c>
      <c r="O46" s="379">
        <v>1</v>
      </c>
      <c r="P46" s="385">
        <v>0.15</v>
      </c>
      <c r="Q46" s="385">
        <v>0.15</v>
      </c>
      <c r="R46" s="380">
        <v>80</v>
      </c>
      <c r="S46" s="385">
        <v>0.15</v>
      </c>
      <c r="T46" s="380">
        <v>0</v>
      </c>
      <c r="U46" s="380">
        <v>0</v>
      </c>
      <c r="V46" s="380">
        <v>0</v>
      </c>
      <c r="W46" s="380">
        <v>16242.72</v>
      </c>
      <c r="X46" s="380">
        <v>5259.98</v>
      </c>
      <c r="Y46" s="380">
        <v>16242.72</v>
      </c>
      <c r="Z46" s="380">
        <v>5191.76</v>
      </c>
      <c r="AA46" s="376" t="s">
        <v>433</v>
      </c>
      <c r="AB46" s="376" t="s">
        <v>434</v>
      </c>
      <c r="AC46" s="376" t="s">
        <v>435</v>
      </c>
      <c r="AD46" s="376" t="s">
        <v>180</v>
      </c>
      <c r="AE46" s="376" t="s">
        <v>431</v>
      </c>
      <c r="AF46" s="376" t="s">
        <v>436</v>
      </c>
      <c r="AG46" s="376" t="s">
        <v>178</v>
      </c>
      <c r="AH46" s="381">
        <v>52.06</v>
      </c>
      <c r="AI46" s="379">
        <v>27150</v>
      </c>
      <c r="AJ46" s="376" t="s">
        <v>179</v>
      </c>
      <c r="AK46" s="376" t="s">
        <v>180</v>
      </c>
      <c r="AL46" s="376" t="s">
        <v>181</v>
      </c>
      <c r="AM46" s="376" t="s">
        <v>182</v>
      </c>
      <c r="AN46" s="376" t="s">
        <v>68</v>
      </c>
      <c r="AO46" s="379">
        <v>80</v>
      </c>
      <c r="AP46" s="385">
        <v>1</v>
      </c>
      <c r="AQ46" s="385">
        <v>0.15</v>
      </c>
      <c r="AR46" s="383" t="s">
        <v>183</v>
      </c>
      <c r="AS46" s="387">
        <f t="shared" si="27"/>
        <v>0.15</v>
      </c>
      <c r="AT46">
        <f t="shared" si="28"/>
        <v>1</v>
      </c>
      <c r="AU46" s="387">
        <f>IF(AT46=0,"",IF(AND(AT46=1,M46="F",SUMIF(C2:C1334,C46,AS2:AS1334)&lt;=1),SUMIF(C2:C1334,C46,AS2:AS1334),IF(AND(AT46=1,M46="F",SUMIF(C2:C1334,C46,AS2:AS1334)&gt;1),1,"")))</f>
        <v>1</v>
      </c>
      <c r="AV46" s="387" t="str">
        <f>IF(AT46=0,"",IF(AND(AT46=3,M46="F",SUMIF(C2:C1334,C46,AS2:AS1334)&lt;=1),SUMIF(C2:C1334,C46,AS2:AS1334),IF(AND(AT46=3,M46="F",SUMIF(C2:C1334,C46,AS2:AS1334)&gt;1),1,"")))</f>
        <v/>
      </c>
      <c r="AW46" s="387">
        <f>SUMIF(C2:C1334,C46,O2:O1334)</f>
        <v>3</v>
      </c>
      <c r="AX46" s="387">
        <f>IF(AND(M46="F",AS46&lt;&gt;0),SUMIF(C2:C1334,C46,W2:W1334),0)</f>
        <v>108284.8</v>
      </c>
      <c r="AY46" s="387">
        <f t="shared" si="29"/>
        <v>16242.72</v>
      </c>
      <c r="AZ46" s="387" t="str">
        <f t="shared" si="30"/>
        <v/>
      </c>
      <c r="BA46" s="387">
        <f t="shared" si="31"/>
        <v>0</v>
      </c>
      <c r="BB46" s="387">
        <f t="shared" si="0"/>
        <v>1747.5</v>
      </c>
      <c r="BC46" s="387">
        <f t="shared" si="1"/>
        <v>0</v>
      </c>
      <c r="BD46" s="387">
        <f t="shared" si="2"/>
        <v>1007.04864</v>
      </c>
      <c r="BE46" s="387">
        <f t="shared" si="3"/>
        <v>235.51944</v>
      </c>
      <c r="BF46" s="387">
        <f t="shared" si="4"/>
        <v>1939.380768</v>
      </c>
      <c r="BG46" s="387">
        <f t="shared" si="5"/>
        <v>117.1100112</v>
      </c>
      <c r="BH46" s="387">
        <f t="shared" si="6"/>
        <v>79.589327999999995</v>
      </c>
      <c r="BI46" s="387">
        <f t="shared" si="7"/>
        <v>89.903455199999996</v>
      </c>
      <c r="BJ46" s="387">
        <f t="shared" si="8"/>
        <v>43.855344000000002</v>
      </c>
      <c r="BK46" s="387">
        <f t="shared" si="9"/>
        <v>0</v>
      </c>
      <c r="BL46" s="387">
        <f t="shared" si="32"/>
        <v>3512.4069863999998</v>
      </c>
      <c r="BM46" s="387">
        <f t="shared" si="33"/>
        <v>0</v>
      </c>
      <c r="BN46" s="387">
        <f t="shared" si="10"/>
        <v>1747.5</v>
      </c>
      <c r="BO46" s="387">
        <f t="shared" si="11"/>
        <v>0</v>
      </c>
      <c r="BP46" s="387">
        <f t="shared" si="12"/>
        <v>1007.04864</v>
      </c>
      <c r="BQ46" s="387">
        <f t="shared" si="13"/>
        <v>235.51944</v>
      </c>
      <c r="BR46" s="387">
        <f t="shared" si="14"/>
        <v>1939.380768</v>
      </c>
      <c r="BS46" s="387">
        <f t="shared" si="15"/>
        <v>117.1100112</v>
      </c>
      <c r="BT46" s="387">
        <f t="shared" si="16"/>
        <v>0</v>
      </c>
      <c r="BU46" s="387">
        <f t="shared" si="17"/>
        <v>89.903455199999996</v>
      </c>
      <c r="BV46" s="387">
        <f t="shared" si="18"/>
        <v>55.225247999999993</v>
      </c>
      <c r="BW46" s="387">
        <f t="shared" si="19"/>
        <v>0</v>
      </c>
      <c r="BX46" s="387">
        <f t="shared" si="34"/>
        <v>3444.1875623999999</v>
      </c>
      <c r="BY46" s="387">
        <f t="shared" si="35"/>
        <v>0</v>
      </c>
      <c r="BZ46" s="387">
        <f t="shared" si="36"/>
        <v>0</v>
      </c>
      <c r="CA46" s="387">
        <f t="shared" si="37"/>
        <v>0</v>
      </c>
      <c r="CB46" s="387">
        <f t="shared" si="38"/>
        <v>0</v>
      </c>
      <c r="CC46" s="387">
        <f t="shared" si="20"/>
        <v>0</v>
      </c>
      <c r="CD46" s="387">
        <f t="shared" si="21"/>
        <v>0</v>
      </c>
      <c r="CE46" s="387">
        <f t="shared" si="22"/>
        <v>0</v>
      </c>
      <c r="CF46" s="387">
        <f t="shared" si="23"/>
        <v>-79.589327999999995</v>
      </c>
      <c r="CG46" s="387">
        <f t="shared" si="24"/>
        <v>0</v>
      </c>
      <c r="CH46" s="387">
        <f t="shared" si="25"/>
        <v>11.369903999999995</v>
      </c>
      <c r="CI46" s="387">
        <f t="shared" si="26"/>
        <v>0</v>
      </c>
      <c r="CJ46" s="387">
        <f t="shared" si="39"/>
        <v>-68.219424000000004</v>
      </c>
      <c r="CK46" s="387" t="str">
        <f t="shared" si="40"/>
        <v/>
      </c>
      <c r="CL46" s="387" t="str">
        <f t="shared" si="41"/>
        <v/>
      </c>
      <c r="CM46" s="387" t="str">
        <f t="shared" si="42"/>
        <v/>
      </c>
      <c r="CN46" s="387" t="str">
        <f t="shared" si="43"/>
        <v>0348-31</v>
      </c>
    </row>
    <row r="47" spans="1:92" ht="15.75" thickBot="1" x14ac:dyDescent="0.3">
      <c r="A47" s="376" t="s">
        <v>161</v>
      </c>
      <c r="B47" s="376" t="s">
        <v>162</v>
      </c>
      <c r="C47" s="376" t="s">
        <v>437</v>
      </c>
      <c r="D47" s="376" t="s">
        <v>421</v>
      </c>
      <c r="E47" s="376" t="s">
        <v>224</v>
      </c>
      <c r="F47" s="382" t="s">
        <v>225</v>
      </c>
      <c r="G47" s="376" t="s">
        <v>167</v>
      </c>
      <c r="H47" s="378"/>
      <c r="I47" s="378"/>
      <c r="J47" s="376" t="s">
        <v>239</v>
      </c>
      <c r="K47" s="376" t="s">
        <v>422</v>
      </c>
      <c r="L47" s="376" t="s">
        <v>181</v>
      </c>
      <c r="M47" s="376" t="s">
        <v>171</v>
      </c>
      <c r="N47" s="376" t="s">
        <v>172</v>
      </c>
      <c r="O47" s="379">
        <v>1</v>
      </c>
      <c r="P47" s="385">
        <v>0.25</v>
      </c>
      <c r="Q47" s="385">
        <v>0.25</v>
      </c>
      <c r="R47" s="380">
        <v>80</v>
      </c>
      <c r="S47" s="385">
        <v>0.25</v>
      </c>
      <c r="T47" s="380">
        <v>0</v>
      </c>
      <c r="U47" s="380">
        <v>0</v>
      </c>
      <c r="V47" s="380">
        <v>0</v>
      </c>
      <c r="W47" s="380">
        <v>23410.400000000001</v>
      </c>
      <c r="X47" s="380">
        <v>7974.99</v>
      </c>
      <c r="Y47" s="380">
        <v>23410.400000000001</v>
      </c>
      <c r="Z47" s="380">
        <v>7876.66</v>
      </c>
      <c r="AA47" s="376" t="s">
        <v>438</v>
      </c>
      <c r="AB47" s="376" t="s">
        <v>439</v>
      </c>
      <c r="AC47" s="376" t="s">
        <v>440</v>
      </c>
      <c r="AD47" s="376" t="s">
        <v>441</v>
      </c>
      <c r="AE47" s="376" t="s">
        <v>422</v>
      </c>
      <c r="AF47" s="376" t="s">
        <v>211</v>
      </c>
      <c r="AG47" s="376" t="s">
        <v>178</v>
      </c>
      <c r="AH47" s="381">
        <v>45.02</v>
      </c>
      <c r="AI47" s="379">
        <v>25059</v>
      </c>
      <c r="AJ47" s="376" t="s">
        <v>179</v>
      </c>
      <c r="AK47" s="376" t="s">
        <v>180</v>
      </c>
      <c r="AL47" s="376" t="s">
        <v>181</v>
      </c>
      <c r="AM47" s="376" t="s">
        <v>182</v>
      </c>
      <c r="AN47" s="376" t="s">
        <v>68</v>
      </c>
      <c r="AO47" s="379">
        <v>80</v>
      </c>
      <c r="AP47" s="385">
        <v>1</v>
      </c>
      <c r="AQ47" s="385">
        <v>0.25</v>
      </c>
      <c r="AR47" s="383" t="s">
        <v>183</v>
      </c>
      <c r="AS47" s="387">
        <f t="shared" si="27"/>
        <v>0.25</v>
      </c>
      <c r="AT47">
        <f t="shared" si="28"/>
        <v>1</v>
      </c>
      <c r="AU47" s="387">
        <f>IF(AT47=0,"",IF(AND(AT47=1,M47="F",SUMIF(C2:C1334,C47,AS2:AS1334)&lt;=1),SUMIF(C2:C1334,C47,AS2:AS1334),IF(AND(AT47=1,M47="F",SUMIF(C2:C1334,C47,AS2:AS1334)&gt;1),1,"")))</f>
        <v>1</v>
      </c>
      <c r="AV47" s="387" t="str">
        <f>IF(AT47=0,"",IF(AND(AT47=3,M47="F",SUMIF(C2:C1334,C47,AS2:AS1334)&lt;=1),SUMIF(C2:C1334,C47,AS2:AS1334),IF(AND(AT47=3,M47="F",SUMIF(C2:C1334,C47,AS2:AS1334)&gt;1),1,"")))</f>
        <v/>
      </c>
      <c r="AW47" s="387">
        <f>SUMIF(C2:C1334,C47,O2:O1334)</f>
        <v>4</v>
      </c>
      <c r="AX47" s="387">
        <f>IF(AND(M47="F",AS47&lt;&gt;0),SUMIF(C2:C1334,C47,W2:W1334),0)</f>
        <v>93641.600000000006</v>
      </c>
      <c r="AY47" s="387">
        <f t="shared" si="29"/>
        <v>23410.400000000001</v>
      </c>
      <c r="AZ47" s="387" t="str">
        <f t="shared" si="30"/>
        <v/>
      </c>
      <c r="BA47" s="387">
        <f t="shared" si="31"/>
        <v>0</v>
      </c>
      <c r="BB47" s="387">
        <f t="shared" si="0"/>
        <v>2912.5</v>
      </c>
      <c r="BC47" s="387">
        <f t="shared" si="1"/>
        <v>0</v>
      </c>
      <c r="BD47" s="387">
        <f t="shared" si="2"/>
        <v>1451.4448</v>
      </c>
      <c r="BE47" s="387">
        <f t="shared" si="3"/>
        <v>339.45080000000002</v>
      </c>
      <c r="BF47" s="387">
        <f t="shared" si="4"/>
        <v>2795.2017600000004</v>
      </c>
      <c r="BG47" s="387">
        <f t="shared" si="5"/>
        <v>168.78898400000003</v>
      </c>
      <c r="BH47" s="387">
        <f t="shared" si="6"/>
        <v>114.71096</v>
      </c>
      <c r="BI47" s="387">
        <f t="shared" si="7"/>
        <v>129.57656400000002</v>
      </c>
      <c r="BJ47" s="387">
        <f t="shared" si="8"/>
        <v>63.20808000000001</v>
      </c>
      <c r="BK47" s="387">
        <f t="shared" si="9"/>
        <v>0</v>
      </c>
      <c r="BL47" s="387">
        <f t="shared" si="32"/>
        <v>5062.3819480000011</v>
      </c>
      <c r="BM47" s="387">
        <f t="shared" si="33"/>
        <v>0</v>
      </c>
      <c r="BN47" s="387">
        <f t="shared" si="10"/>
        <v>2912.5</v>
      </c>
      <c r="BO47" s="387">
        <f t="shared" si="11"/>
        <v>0</v>
      </c>
      <c r="BP47" s="387">
        <f t="shared" si="12"/>
        <v>1451.4448</v>
      </c>
      <c r="BQ47" s="387">
        <f t="shared" si="13"/>
        <v>339.45080000000002</v>
      </c>
      <c r="BR47" s="387">
        <f t="shared" si="14"/>
        <v>2795.2017600000004</v>
      </c>
      <c r="BS47" s="387">
        <f t="shared" si="15"/>
        <v>168.78898400000003</v>
      </c>
      <c r="BT47" s="387">
        <f t="shared" si="16"/>
        <v>0</v>
      </c>
      <c r="BU47" s="387">
        <f t="shared" si="17"/>
        <v>129.57656400000002</v>
      </c>
      <c r="BV47" s="387">
        <f t="shared" si="18"/>
        <v>79.595359999999999</v>
      </c>
      <c r="BW47" s="387">
        <f t="shared" si="19"/>
        <v>0</v>
      </c>
      <c r="BX47" s="387">
        <f t="shared" si="34"/>
        <v>4964.0582680000007</v>
      </c>
      <c r="BY47" s="387">
        <f t="shared" si="35"/>
        <v>0</v>
      </c>
      <c r="BZ47" s="387">
        <f t="shared" si="36"/>
        <v>0</v>
      </c>
      <c r="CA47" s="387">
        <f t="shared" si="37"/>
        <v>0</v>
      </c>
      <c r="CB47" s="387">
        <f t="shared" si="38"/>
        <v>0</v>
      </c>
      <c r="CC47" s="387">
        <f t="shared" si="20"/>
        <v>0</v>
      </c>
      <c r="CD47" s="387">
        <f t="shared" si="21"/>
        <v>0</v>
      </c>
      <c r="CE47" s="387">
        <f t="shared" si="22"/>
        <v>0</v>
      </c>
      <c r="CF47" s="387">
        <f t="shared" si="23"/>
        <v>-114.71096</v>
      </c>
      <c r="CG47" s="387">
        <f t="shared" si="24"/>
        <v>0</v>
      </c>
      <c r="CH47" s="387">
        <f t="shared" si="25"/>
        <v>16.387279999999993</v>
      </c>
      <c r="CI47" s="387">
        <f t="shared" si="26"/>
        <v>0</v>
      </c>
      <c r="CJ47" s="387">
        <f t="shared" si="39"/>
        <v>-98.32368000000001</v>
      </c>
      <c r="CK47" s="387" t="str">
        <f t="shared" si="40"/>
        <v/>
      </c>
      <c r="CL47" s="387" t="str">
        <f t="shared" si="41"/>
        <v/>
      </c>
      <c r="CM47" s="387" t="str">
        <f t="shared" si="42"/>
        <v/>
      </c>
      <c r="CN47" s="387" t="str">
        <f t="shared" si="43"/>
        <v>0348-31</v>
      </c>
    </row>
    <row r="48" spans="1:92" ht="15.75" thickBot="1" x14ac:dyDescent="0.3">
      <c r="A48" s="376" t="s">
        <v>161</v>
      </c>
      <c r="B48" s="376" t="s">
        <v>162</v>
      </c>
      <c r="C48" s="376" t="s">
        <v>442</v>
      </c>
      <c r="D48" s="376" t="s">
        <v>443</v>
      </c>
      <c r="E48" s="376" t="s">
        <v>224</v>
      </c>
      <c r="F48" s="382" t="s">
        <v>225</v>
      </c>
      <c r="G48" s="376" t="s">
        <v>167</v>
      </c>
      <c r="H48" s="378"/>
      <c r="I48" s="378"/>
      <c r="J48" s="376" t="s">
        <v>239</v>
      </c>
      <c r="K48" s="376" t="s">
        <v>444</v>
      </c>
      <c r="L48" s="376" t="s">
        <v>351</v>
      </c>
      <c r="M48" s="376" t="s">
        <v>171</v>
      </c>
      <c r="N48" s="376" t="s">
        <v>172</v>
      </c>
      <c r="O48" s="379">
        <v>2</v>
      </c>
      <c r="P48" s="385">
        <v>0.99</v>
      </c>
      <c r="Q48" s="385">
        <v>0.99</v>
      </c>
      <c r="R48" s="380">
        <v>80</v>
      </c>
      <c r="S48" s="385">
        <v>0.99</v>
      </c>
      <c r="T48" s="380">
        <v>0</v>
      </c>
      <c r="U48" s="380">
        <v>0</v>
      </c>
      <c r="V48" s="380">
        <v>0</v>
      </c>
      <c r="W48" s="380">
        <v>88854.48</v>
      </c>
      <c r="X48" s="380">
        <v>30748.25</v>
      </c>
      <c r="Y48" s="380">
        <v>88854.48</v>
      </c>
      <c r="Z48" s="380">
        <v>30375.06</v>
      </c>
      <c r="AA48" s="376" t="s">
        <v>445</v>
      </c>
      <c r="AB48" s="376" t="s">
        <v>446</v>
      </c>
      <c r="AC48" s="376" t="s">
        <v>251</v>
      </c>
      <c r="AD48" s="376" t="s">
        <v>300</v>
      </c>
      <c r="AE48" s="376" t="s">
        <v>444</v>
      </c>
      <c r="AF48" s="376" t="s">
        <v>355</v>
      </c>
      <c r="AG48" s="376" t="s">
        <v>178</v>
      </c>
      <c r="AH48" s="381">
        <v>43.15</v>
      </c>
      <c r="AI48" s="381">
        <v>16321.2</v>
      </c>
      <c r="AJ48" s="376" t="s">
        <v>179</v>
      </c>
      <c r="AK48" s="376" t="s">
        <v>180</v>
      </c>
      <c r="AL48" s="376" t="s">
        <v>181</v>
      </c>
      <c r="AM48" s="376" t="s">
        <v>182</v>
      </c>
      <c r="AN48" s="376" t="s">
        <v>68</v>
      </c>
      <c r="AO48" s="379">
        <v>80</v>
      </c>
      <c r="AP48" s="385">
        <v>1</v>
      </c>
      <c r="AQ48" s="385">
        <v>0.99</v>
      </c>
      <c r="AR48" s="383">
        <v>6</v>
      </c>
      <c r="AS48" s="387">
        <f t="shared" si="27"/>
        <v>0.99</v>
      </c>
      <c r="AT48">
        <f t="shared" si="28"/>
        <v>0</v>
      </c>
      <c r="AU48" s="387" t="str">
        <f>IF(AT48=0,"",IF(AND(AT48=1,M48="F",SUMIF(C2:C1334,C48,AS2:AS1334)&lt;=1),SUMIF(C2:C1334,C48,AS2:AS1334),IF(AND(AT48=1,M48="F",SUMIF(C2:C1334,C48,AS2:AS1334)&gt;1),1,"")))</f>
        <v/>
      </c>
      <c r="AV48" s="387" t="str">
        <f>IF(AT48=0,"",IF(AND(AT48=3,M48="F",SUMIF(C2:C1334,C48,AS2:AS1334)&lt;=1),SUMIF(C2:C1334,C48,AS2:AS1334),IF(AND(AT48=3,M48="F",SUMIF(C2:C1334,C48,AS2:AS1334)&gt;1),1,"")))</f>
        <v/>
      </c>
      <c r="AW48" s="387">
        <f>SUMIF(C2:C1334,C48,O2:O1334)</f>
        <v>16</v>
      </c>
      <c r="AX48" s="387">
        <f>IF(AND(M48="F",AS48&lt;&gt;0),SUMIF(C2:C1334,C48,W2:W1334),0)</f>
        <v>179503.99999999997</v>
      </c>
      <c r="AY48" s="387" t="str">
        <f t="shared" si="29"/>
        <v/>
      </c>
      <c r="AZ48" s="387" t="str">
        <f t="shared" si="30"/>
        <v/>
      </c>
      <c r="BA48" s="387">
        <f t="shared" si="31"/>
        <v>0</v>
      </c>
      <c r="BB48" s="387">
        <f t="shared" si="0"/>
        <v>0</v>
      </c>
      <c r="BC48" s="387">
        <f t="shared" si="1"/>
        <v>0</v>
      </c>
      <c r="BD48" s="387">
        <f t="shared" si="2"/>
        <v>0</v>
      </c>
      <c r="BE48" s="387">
        <f t="shared" si="3"/>
        <v>0</v>
      </c>
      <c r="BF48" s="387">
        <f t="shared" si="4"/>
        <v>0</v>
      </c>
      <c r="BG48" s="387">
        <f t="shared" si="5"/>
        <v>0</v>
      </c>
      <c r="BH48" s="387">
        <f t="shared" si="6"/>
        <v>0</v>
      </c>
      <c r="BI48" s="387">
        <f t="shared" si="7"/>
        <v>0</v>
      </c>
      <c r="BJ48" s="387">
        <f t="shared" si="8"/>
        <v>0</v>
      </c>
      <c r="BK48" s="387">
        <f t="shared" si="9"/>
        <v>0</v>
      </c>
      <c r="BL48" s="387">
        <f t="shared" si="32"/>
        <v>0</v>
      </c>
      <c r="BM48" s="387">
        <f t="shared" si="33"/>
        <v>0</v>
      </c>
      <c r="BN48" s="387">
        <f t="shared" si="10"/>
        <v>0</v>
      </c>
      <c r="BO48" s="387">
        <f t="shared" si="11"/>
        <v>0</v>
      </c>
      <c r="BP48" s="387">
        <f t="shared" si="12"/>
        <v>0</v>
      </c>
      <c r="BQ48" s="387">
        <f t="shared" si="13"/>
        <v>0</v>
      </c>
      <c r="BR48" s="387">
        <f t="shared" si="14"/>
        <v>0</v>
      </c>
      <c r="BS48" s="387">
        <f t="shared" si="15"/>
        <v>0</v>
      </c>
      <c r="BT48" s="387">
        <f t="shared" si="16"/>
        <v>0</v>
      </c>
      <c r="BU48" s="387">
        <f t="shared" si="17"/>
        <v>0</v>
      </c>
      <c r="BV48" s="387">
        <f t="shared" si="18"/>
        <v>0</v>
      </c>
      <c r="BW48" s="387">
        <f t="shared" si="19"/>
        <v>0</v>
      </c>
      <c r="BX48" s="387">
        <f t="shared" si="34"/>
        <v>0</v>
      </c>
      <c r="BY48" s="387">
        <f t="shared" si="35"/>
        <v>0</v>
      </c>
      <c r="BZ48" s="387">
        <f t="shared" si="36"/>
        <v>0</v>
      </c>
      <c r="CA48" s="387">
        <f t="shared" si="37"/>
        <v>0</v>
      </c>
      <c r="CB48" s="387">
        <f t="shared" si="38"/>
        <v>0</v>
      </c>
      <c r="CC48" s="387">
        <f t="shared" si="20"/>
        <v>0</v>
      </c>
      <c r="CD48" s="387">
        <f t="shared" si="21"/>
        <v>0</v>
      </c>
      <c r="CE48" s="387">
        <f t="shared" si="22"/>
        <v>0</v>
      </c>
      <c r="CF48" s="387">
        <f t="shared" si="23"/>
        <v>0</v>
      </c>
      <c r="CG48" s="387">
        <f t="shared" si="24"/>
        <v>0</v>
      </c>
      <c r="CH48" s="387">
        <f t="shared" si="25"/>
        <v>0</v>
      </c>
      <c r="CI48" s="387">
        <f t="shared" si="26"/>
        <v>0</v>
      </c>
      <c r="CJ48" s="387">
        <f t="shared" si="39"/>
        <v>0</v>
      </c>
      <c r="CK48" s="387" t="str">
        <f t="shared" si="40"/>
        <v/>
      </c>
      <c r="CL48" s="387" t="str">
        <f t="shared" si="41"/>
        <v/>
      </c>
      <c r="CM48" s="387" t="str">
        <f t="shared" si="42"/>
        <v/>
      </c>
      <c r="CN48" s="387" t="str">
        <f t="shared" si="43"/>
        <v>0348-31</v>
      </c>
    </row>
    <row r="49" spans="1:92" ht="15.75" thickBot="1" x14ac:dyDescent="0.3">
      <c r="A49" s="376" t="s">
        <v>161</v>
      </c>
      <c r="B49" s="376" t="s">
        <v>162</v>
      </c>
      <c r="C49" s="376" t="s">
        <v>447</v>
      </c>
      <c r="D49" s="376" t="s">
        <v>375</v>
      </c>
      <c r="E49" s="376" t="s">
        <v>224</v>
      </c>
      <c r="F49" s="382" t="s">
        <v>225</v>
      </c>
      <c r="G49" s="376" t="s">
        <v>167</v>
      </c>
      <c r="H49" s="378"/>
      <c r="I49" s="378"/>
      <c r="J49" s="376" t="s">
        <v>239</v>
      </c>
      <c r="K49" s="376" t="s">
        <v>448</v>
      </c>
      <c r="L49" s="376" t="s">
        <v>217</v>
      </c>
      <c r="M49" s="376" t="s">
        <v>171</v>
      </c>
      <c r="N49" s="376" t="s">
        <v>172</v>
      </c>
      <c r="O49" s="379">
        <v>1</v>
      </c>
      <c r="P49" s="385">
        <v>0.1</v>
      </c>
      <c r="Q49" s="385">
        <v>0.1</v>
      </c>
      <c r="R49" s="380">
        <v>80</v>
      </c>
      <c r="S49" s="385">
        <v>0.1</v>
      </c>
      <c r="T49" s="380">
        <v>0</v>
      </c>
      <c r="U49" s="380">
        <v>0</v>
      </c>
      <c r="V49" s="380">
        <v>0</v>
      </c>
      <c r="W49" s="380">
        <v>4671.68</v>
      </c>
      <c r="X49" s="380">
        <v>2175.2399999999998</v>
      </c>
      <c r="Y49" s="380">
        <v>4671.68</v>
      </c>
      <c r="Z49" s="380">
        <v>2155.62</v>
      </c>
      <c r="AA49" s="376" t="s">
        <v>449</v>
      </c>
      <c r="AB49" s="376" t="s">
        <v>450</v>
      </c>
      <c r="AC49" s="376" t="s">
        <v>451</v>
      </c>
      <c r="AD49" s="376" t="s">
        <v>198</v>
      </c>
      <c r="AE49" s="376" t="s">
        <v>448</v>
      </c>
      <c r="AF49" s="376" t="s">
        <v>221</v>
      </c>
      <c r="AG49" s="376" t="s">
        <v>178</v>
      </c>
      <c r="AH49" s="381">
        <v>22.46</v>
      </c>
      <c r="AI49" s="381">
        <v>43492.7</v>
      </c>
      <c r="AJ49" s="376" t="s">
        <v>179</v>
      </c>
      <c r="AK49" s="376" t="s">
        <v>180</v>
      </c>
      <c r="AL49" s="376" t="s">
        <v>181</v>
      </c>
      <c r="AM49" s="376" t="s">
        <v>182</v>
      </c>
      <c r="AN49" s="376" t="s">
        <v>68</v>
      </c>
      <c r="AO49" s="379">
        <v>80</v>
      </c>
      <c r="AP49" s="385">
        <v>1</v>
      </c>
      <c r="AQ49" s="385">
        <v>0.1</v>
      </c>
      <c r="AR49" s="383" t="s">
        <v>183</v>
      </c>
      <c r="AS49" s="387">
        <f t="shared" si="27"/>
        <v>0.1</v>
      </c>
      <c r="AT49">
        <f t="shared" si="28"/>
        <v>1</v>
      </c>
      <c r="AU49" s="387">
        <f>IF(AT49=0,"",IF(AND(AT49=1,M49="F",SUMIF(C2:C1334,C49,AS2:AS1334)&lt;=1),SUMIF(C2:C1334,C49,AS2:AS1334),IF(AND(AT49=1,M49="F",SUMIF(C2:C1334,C49,AS2:AS1334)&gt;1),1,"")))</f>
        <v>1</v>
      </c>
      <c r="AV49" s="387" t="str">
        <f>IF(AT49=0,"",IF(AND(AT49=3,M49="F",SUMIF(C2:C1334,C49,AS2:AS1334)&lt;=1),SUMIF(C2:C1334,C49,AS2:AS1334),IF(AND(AT49=3,M49="F",SUMIF(C2:C1334,C49,AS2:AS1334)&gt;1),1,"")))</f>
        <v/>
      </c>
      <c r="AW49" s="387">
        <f>SUMIF(C2:C1334,C49,O2:O1334)</f>
        <v>4</v>
      </c>
      <c r="AX49" s="387">
        <f>IF(AND(M49="F",AS49&lt;&gt;0),SUMIF(C2:C1334,C49,W2:W1334),0)</f>
        <v>46716.800000000003</v>
      </c>
      <c r="AY49" s="387">
        <f t="shared" si="29"/>
        <v>4671.68</v>
      </c>
      <c r="AZ49" s="387" t="str">
        <f t="shared" si="30"/>
        <v/>
      </c>
      <c r="BA49" s="387">
        <f t="shared" si="31"/>
        <v>0</v>
      </c>
      <c r="BB49" s="387">
        <f t="shared" si="0"/>
        <v>1165</v>
      </c>
      <c r="BC49" s="387">
        <f t="shared" si="1"/>
        <v>0</v>
      </c>
      <c r="BD49" s="387">
        <f t="shared" si="2"/>
        <v>289.64416</v>
      </c>
      <c r="BE49" s="387">
        <f t="shared" si="3"/>
        <v>67.739360000000005</v>
      </c>
      <c r="BF49" s="387">
        <f t="shared" si="4"/>
        <v>557.7985920000001</v>
      </c>
      <c r="BG49" s="387">
        <f t="shared" si="5"/>
        <v>33.682812800000001</v>
      </c>
      <c r="BH49" s="387">
        <f t="shared" si="6"/>
        <v>22.891232000000002</v>
      </c>
      <c r="BI49" s="387">
        <f t="shared" si="7"/>
        <v>25.857748800000003</v>
      </c>
      <c r="BJ49" s="387">
        <f t="shared" si="8"/>
        <v>12.613536000000002</v>
      </c>
      <c r="BK49" s="387">
        <f t="shared" si="9"/>
        <v>0</v>
      </c>
      <c r="BL49" s="387">
        <f t="shared" si="32"/>
        <v>1010.2274416</v>
      </c>
      <c r="BM49" s="387">
        <f t="shared" si="33"/>
        <v>0</v>
      </c>
      <c r="BN49" s="387">
        <f t="shared" si="10"/>
        <v>1165</v>
      </c>
      <c r="BO49" s="387">
        <f t="shared" si="11"/>
        <v>0</v>
      </c>
      <c r="BP49" s="387">
        <f t="shared" si="12"/>
        <v>289.64416</v>
      </c>
      <c r="BQ49" s="387">
        <f t="shared" si="13"/>
        <v>67.739360000000005</v>
      </c>
      <c r="BR49" s="387">
        <f t="shared" si="14"/>
        <v>557.7985920000001</v>
      </c>
      <c r="BS49" s="387">
        <f t="shared" si="15"/>
        <v>33.682812800000001</v>
      </c>
      <c r="BT49" s="387">
        <f t="shared" si="16"/>
        <v>0</v>
      </c>
      <c r="BU49" s="387">
        <f t="shared" si="17"/>
        <v>25.857748800000003</v>
      </c>
      <c r="BV49" s="387">
        <f t="shared" si="18"/>
        <v>15.883712000000001</v>
      </c>
      <c r="BW49" s="387">
        <f t="shared" si="19"/>
        <v>0</v>
      </c>
      <c r="BX49" s="387">
        <f t="shared" si="34"/>
        <v>990.60638559999995</v>
      </c>
      <c r="BY49" s="387">
        <f t="shared" si="35"/>
        <v>0</v>
      </c>
      <c r="BZ49" s="387">
        <f t="shared" si="36"/>
        <v>0</v>
      </c>
      <c r="CA49" s="387">
        <f t="shared" si="37"/>
        <v>0</v>
      </c>
      <c r="CB49" s="387">
        <f t="shared" si="38"/>
        <v>0</v>
      </c>
      <c r="CC49" s="387">
        <f t="shared" si="20"/>
        <v>0</v>
      </c>
      <c r="CD49" s="387">
        <f t="shared" si="21"/>
        <v>0</v>
      </c>
      <c r="CE49" s="387">
        <f t="shared" si="22"/>
        <v>0</v>
      </c>
      <c r="CF49" s="387">
        <f t="shared" si="23"/>
        <v>-22.891232000000002</v>
      </c>
      <c r="CG49" s="387">
        <f t="shared" si="24"/>
        <v>0</v>
      </c>
      <c r="CH49" s="387">
        <f t="shared" si="25"/>
        <v>3.2701759999999989</v>
      </c>
      <c r="CI49" s="387">
        <f t="shared" si="26"/>
        <v>0</v>
      </c>
      <c r="CJ49" s="387">
        <f t="shared" si="39"/>
        <v>-19.621056000000003</v>
      </c>
      <c r="CK49" s="387" t="str">
        <f t="shared" si="40"/>
        <v/>
      </c>
      <c r="CL49" s="387" t="str">
        <f t="shared" si="41"/>
        <v/>
      </c>
      <c r="CM49" s="387" t="str">
        <f t="shared" si="42"/>
        <v/>
      </c>
      <c r="CN49" s="387" t="str">
        <f t="shared" si="43"/>
        <v>0348-31</v>
      </c>
    </row>
    <row r="50" spans="1:92" ht="15.75" thickBot="1" x14ac:dyDescent="0.3">
      <c r="A50" s="376" t="s">
        <v>161</v>
      </c>
      <c r="B50" s="376" t="s">
        <v>162</v>
      </c>
      <c r="C50" s="376" t="s">
        <v>452</v>
      </c>
      <c r="D50" s="376" t="s">
        <v>238</v>
      </c>
      <c r="E50" s="376" t="s">
        <v>224</v>
      </c>
      <c r="F50" s="382" t="s">
        <v>225</v>
      </c>
      <c r="G50" s="376" t="s">
        <v>167</v>
      </c>
      <c r="H50" s="378"/>
      <c r="I50" s="378"/>
      <c r="J50" s="376" t="s">
        <v>215</v>
      </c>
      <c r="K50" s="376" t="s">
        <v>285</v>
      </c>
      <c r="L50" s="376" t="s">
        <v>170</v>
      </c>
      <c r="M50" s="376" t="s">
        <v>171</v>
      </c>
      <c r="N50" s="376" t="s">
        <v>172</v>
      </c>
      <c r="O50" s="379">
        <v>1</v>
      </c>
      <c r="P50" s="385">
        <v>1</v>
      </c>
      <c r="Q50" s="385">
        <v>1</v>
      </c>
      <c r="R50" s="380">
        <v>80</v>
      </c>
      <c r="S50" s="385">
        <v>1</v>
      </c>
      <c r="T50" s="380">
        <v>0</v>
      </c>
      <c r="U50" s="380">
        <v>0</v>
      </c>
      <c r="V50" s="380">
        <v>0</v>
      </c>
      <c r="W50" s="380">
        <v>54662.400000000001</v>
      </c>
      <c r="X50" s="380">
        <v>23470.7</v>
      </c>
      <c r="Y50" s="380">
        <v>54662.400000000001</v>
      </c>
      <c r="Z50" s="380">
        <v>23241.13</v>
      </c>
      <c r="AA50" s="376" t="s">
        <v>453</v>
      </c>
      <c r="AB50" s="376" t="s">
        <v>454</v>
      </c>
      <c r="AC50" s="376" t="s">
        <v>455</v>
      </c>
      <c r="AD50" s="376" t="s">
        <v>170</v>
      </c>
      <c r="AE50" s="376" t="s">
        <v>285</v>
      </c>
      <c r="AF50" s="376" t="s">
        <v>177</v>
      </c>
      <c r="AG50" s="376" t="s">
        <v>178</v>
      </c>
      <c r="AH50" s="381">
        <v>26.28</v>
      </c>
      <c r="AI50" s="381">
        <v>61151.6</v>
      </c>
      <c r="AJ50" s="376" t="s">
        <v>179</v>
      </c>
      <c r="AK50" s="376" t="s">
        <v>180</v>
      </c>
      <c r="AL50" s="376" t="s">
        <v>181</v>
      </c>
      <c r="AM50" s="376" t="s">
        <v>182</v>
      </c>
      <c r="AN50" s="376" t="s">
        <v>68</v>
      </c>
      <c r="AO50" s="379">
        <v>80</v>
      </c>
      <c r="AP50" s="385">
        <v>1</v>
      </c>
      <c r="AQ50" s="385">
        <v>1</v>
      </c>
      <c r="AR50" s="383" t="s">
        <v>183</v>
      </c>
      <c r="AS50" s="387">
        <f t="shared" si="27"/>
        <v>1</v>
      </c>
      <c r="AT50">
        <f t="shared" si="28"/>
        <v>1</v>
      </c>
      <c r="AU50" s="387">
        <f>IF(AT50=0,"",IF(AND(AT50=1,M50="F",SUMIF(C2:C1334,C50,AS2:AS1334)&lt;=1),SUMIF(C2:C1334,C50,AS2:AS1334),IF(AND(AT50=1,M50="F",SUMIF(C2:C1334,C50,AS2:AS1334)&gt;1),1,"")))</f>
        <v>1</v>
      </c>
      <c r="AV50" s="387" t="str">
        <f>IF(AT50=0,"",IF(AND(AT50=3,M50="F",SUMIF(C2:C1334,C50,AS2:AS1334)&lt;=1),SUMIF(C2:C1334,C50,AS2:AS1334),IF(AND(AT50=3,M50="F",SUMIF(C2:C1334,C50,AS2:AS1334)&gt;1),1,"")))</f>
        <v/>
      </c>
      <c r="AW50" s="387">
        <f>SUMIF(C2:C1334,C50,O2:O1334)</f>
        <v>2</v>
      </c>
      <c r="AX50" s="387">
        <f>IF(AND(M50="F",AS50&lt;&gt;0),SUMIF(C2:C1334,C50,W2:W1334),0)</f>
        <v>54662.400000000001</v>
      </c>
      <c r="AY50" s="387">
        <f t="shared" si="29"/>
        <v>54662.400000000001</v>
      </c>
      <c r="AZ50" s="387" t="str">
        <f t="shared" si="30"/>
        <v/>
      </c>
      <c r="BA50" s="387">
        <f t="shared" si="31"/>
        <v>0</v>
      </c>
      <c r="BB50" s="387">
        <f t="shared" si="0"/>
        <v>11650</v>
      </c>
      <c r="BC50" s="387">
        <f t="shared" si="1"/>
        <v>0</v>
      </c>
      <c r="BD50" s="387">
        <f t="shared" si="2"/>
        <v>3389.0688</v>
      </c>
      <c r="BE50" s="387">
        <f t="shared" si="3"/>
        <v>792.60480000000007</v>
      </c>
      <c r="BF50" s="387">
        <f t="shared" si="4"/>
        <v>6526.6905600000009</v>
      </c>
      <c r="BG50" s="387">
        <f t="shared" si="5"/>
        <v>394.115904</v>
      </c>
      <c r="BH50" s="387">
        <f t="shared" si="6"/>
        <v>267.84575999999998</v>
      </c>
      <c r="BI50" s="387">
        <f t="shared" si="7"/>
        <v>302.55638399999998</v>
      </c>
      <c r="BJ50" s="387">
        <f t="shared" si="8"/>
        <v>147.58848</v>
      </c>
      <c r="BK50" s="387">
        <f t="shared" si="9"/>
        <v>0</v>
      </c>
      <c r="BL50" s="387">
        <f t="shared" si="32"/>
        <v>11820.470688000001</v>
      </c>
      <c r="BM50" s="387">
        <f t="shared" si="33"/>
        <v>0</v>
      </c>
      <c r="BN50" s="387">
        <f t="shared" si="10"/>
        <v>11650</v>
      </c>
      <c r="BO50" s="387">
        <f t="shared" si="11"/>
        <v>0</v>
      </c>
      <c r="BP50" s="387">
        <f t="shared" si="12"/>
        <v>3389.0688</v>
      </c>
      <c r="BQ50" s="387">
        <f t="shared" si="13"/>
        <v>792.60480000000007</v>
      </c>
      <c r="BR50" s="387">
        <f t="shared" si="14"/>
        <v>6526.6905600000009</v>
      </c>
      <c r="BS50" s="387">
        <f t="shared" si="15"/>
        <v>394.115904</v>
      </c>
      <c r="BT50" s="387">
        <f t="shared" si="16"/>
        <v>0</v>
      </c>
      <c r="BU50" s="387">
        <f t="shared" si="17"/>
        <v>302.55638399999998</v>
      </c>
      <c r="BV50" s="387">
        <f t="shared" si="18"/>
        <v>185.85216</v>
      </c>
      <c r="BW50" s="387">
        <f t="shared" si="19"/>
        <v>0</v>
      </c>
      <c r="BX50" s="387">
        <f t="shared" si="34"/>
        <v>11590.888608000001</v>
      </c>
      <c r="BY50" s="387">
        <f t="shared" si="35"/>
        <v>0</v>
      </c>
      <c r="BZ50" s="387">
        <f t="shared" si="36"/>
        <v>0</v>
      </c>
      <c r="CA50" s="387">
        <f t="shared" si="37"/>
        <v>0</v>
      </c>
      <c r="CB50" s="387">
        <f t="shared" si="38"/>
        <v>0</v>
      </c>
      <c r="CC50" s="387">
        <f t="shared" si="20"/>
        <v>0</v>
      </c>
      <c r="CD50" s="387">
        <f t="shared" si="21"/>
        <v>0</v>
      </c>
      <c r="CE50" s="387">
        <f t="shared" si="22"/>
        <v>0</v>
      </c>
      <c r="CF50" s="387">
        <f t="shared" si="23"/>
        <v>-267.84575999999998</v>
      </c>
      <c r="CG50" s="387">
        <f t="shared" si="24"/>
        <v>0</v>
      </c>
      <c r="CH50" s="387">
        <f t="shared" si="25"/>
        <v>38.263679999999979</v>
      </c>
      <c r="CI50" s="387">
        <f t="shared" si="26"/>
        <v>0</v>
      </c>
      <c r="CJ50" s="387">
        <f t="shared" si="39"/>
        <v>-229.58208000000002</v>
      </c>
      <c r="CK50" s="387" t="str">
        <f t="shared" si="40"/>
        <v/>
      </c>
      <c r="CL50" s="387" t="str">
        <f t="shared" si="41"/>
        <v/>
      </c>
      <c r="CM50" s="387" t="str">
        <f t="shared" si="42"/>
        <v/>
      </c>
      <c r="CN50" s="387" t="str">
        <f t="shared" si="43"/>
        <v>0348-31</v>
      </c>
    </row>
    <row r="51" spans="1:92" ht="15.75" thickBot="1" x14ac:dyDescent="0.3">
      <c r="A51" s="376" t="s">
        <v>161</v>
      </c>
      <c r="B51" s="376" t="s">
        <v>162</v>
      </c>
      <c r="C51" s="376" t="s">
        <v>442</v>
      </c>
      <c r="D51" s="376" t="s">
        <v>443</v>
      </c>
      <c r="E51" s="376" t="s">
        <v>224</v>
      </c>
      <c r="F51" s="382" t="s">
        <v>225</v>
      </c>
      <c r="G51" s="376" t="s">
        <v>167</v>
      </c>
      <c r="H51" s="378"/>
      <c r="I51" s="378"/>
      <c r="J51" s="376" t="s">
        <v>239</v>
      </c>
      <c r="K51" s="376" t="s">
        <v>444</v>
      </c>
      <c r="L51" s="376" t="s">
        <v>351</v>
      </c>
      <c r="M51" s="376" t="s">
        <v>171</v>
      </c>
      <c r="N51" s="376" t="s">
        <v>172</v>
      </c>
      <c r="O51" s="379">
        <v>2</v>
      </c>
      <c r="P51" s="385">
        <v>0.99</v>
      </c>
      <c r="Q51" s="385">
        <v>0.99</v>
      </c>
      <c r="R51" s="380">
        <v>80</v>
      </c>
      <c r="S51" s="385">
        <v>0.99</v>
      </c>
      <c r="T51" s="380">
        <v>0</v>
      </c>
      <c r="U51" s="380">
        <v>0</v>
      </c>
      <c r="V51" s="380">
        <v>0</v>
      </c>
      <c r="W51" s="380">
        <v>88854.48</v>
      </c>
      <c r="X51" s="380">
        <v>30748.25</v>
      </c>
      <c r="Y51" s="380">
        <v>88854.48</v>
      </c>
      <c r="Z51" s="380">
        <v>30375.06</v>
      </c>
      <c r="AA51" s="376" t="s">
        <v>456</v>
      </c>
      <c r="AB51" s="376" t="s">
        <v>457</v>
      </c>
      <c r="AC51" s="376" t="s">
        <v>458</v>
      </c>
      <c r="AD51" s="376" t="s">
        <v>180</v>
      </c>
      <c r="AE51" s="376" t="s">
        <v>444</v>
      </c>
      <c r="AF51" s="376" t="s">
        <v>355</v>
      </c>
      <c r="AG51" s="376" t="s">
        <v>178</v>
      </c>
      <c r="AH51" s="381">
        <v>54.93</v>
      </c>
      <c r="AI51" s="381">
        <v>51351.3</v>
      </c>
      <c r="AJ51" s="376" t="s">
        <v>179</v>
      </c>
      <c r="AK51" s="376" t="s">
        <v>180</v>
      </c>
      <c r="AL51" s="376" t="s">
        <v>181</v>
      </c>
      <c r="AM51" s="376" t="s">
        <v>182</v>
      </c>
      <c r="AN51" s="376" t="s">
        <v>68</v>
      </c>
      <c r="AO51" s="379">
        <v>80</v>
      </c>
      <c r="AP51" s="385">
        <v>1</v>
      </c>
      <c r="AQ51" s="385">
        <v>0.99</v>
      </c>
      <c r="AR51" s="383" t="s">
        <v>183</v>
      </c>
      <c r="AS51" s="387">
        <f t="shared" si="27"/>
        <v>0.99</v>
      </c>
      <c r="AT51">
        <f t="shared" si="28"/>
        <v>1</v>
      </c>
      <c r="AU51" s="387">
        <f>IF(AT51=0,"",IF(AND(AT51=1,M51="F",SUMIF(C2:C1334,C51,AS2:AS1334)&lt;=1),SUMIF(C2:C1334,C51,AS2:AS1334),IF(AND(AT51=1,M51="F",SUMIF(C2:C1334,C51,AS2:AS1334)&gt;1),1,"")))</f>
        <v>1</v>
      </c>
      <c r="AV51" s="387" t="str">
        <f>IF(AT51=0,"",IF(AND(AT51=3,M51="F",SUMIF(C2:C1334,C51,AS2:AS1334)&lt;=1),SUMIF(C2:C1334,C51,AS2:AS1334),IF(AND(AT51=3,M51="F",SUMIF(C2:C1334,C51,AS2:AS1334)&gt;1),1,"")))</f>
        <v/>
      </c>
      <c r="AW51" s="387">
        <f>SUMIF(C2:C1334,C51,O2:O1334)</f>
        <v>16</v>
      </c>
      <c r="AX51" s="387">
        <f>IF(AND(M51="F",AS51&lt;&gt;0),SUMIF(C2:C1334,C51,W2:W1334),0)</f>
        <v>179503.99999999997</v>
      </c>
      <c r="AY51" s="387">
        <f t="shared" si="29"/>
        <v>88854.48</v>
      </c>
      <c r="AZ51" s="387" t="str">
        <f t="shared" si="30"/>
        <v/>
      </c>
      <c r="BA51" s="387">
        <f t="shared" si="31"/>
        <v>0</v>
      </c>
      <c r="BB51" s="387">
        <f t="shared" si="0"/>
        <v>11533.5</v>
      </c>
      <c r="BC51" s="387">
        <f t="shared" si="1"/>
        <v>0</v>
      </c>
      <c r="BD51" s="387">
        <f t="shared" si="2"/>
        <v>8452.0259999999998</v>
      </c>
      <c r="BE51" s="387">
        <f t="shared" si="3"/>
        <v>1288.38996</v>
      </c>
      <c r="BF51" s="387">
        <f t="shared" si="4"/>
        <v>10609.224912</v>
      </c>
      <c r="BG51" s="387">
        <f t="shared" si="5"/>
        <v>640.64080079999997</v>
      </c>
      <c r="BH51" s="387">
        <f t="shared" si="6"/>
        <v>435.38695199999995</v>
      </c>
      <c r="BI51" s="387">
        <f t="shared" si="7"/>
        <v>491.80954679999996</v>
      </c>
      <c r="BJ51" s="387">
        <f t="shared" si="8"/>
        <v>239.907096</v>
      </c>
      <c r="BK51" s="387">
        <f t="shared" si="9"/>
        <v>0</v>
      </c>
      <c r="BL51" s="387">
        <f t="shared" si="32"/>
        <v>22157.385267599999</v>
      </c>
      <c r="BM51" s="387">
        <f t="shared" si="33"/>
        <v>0</v>
      </c>
      <c r="BN51" s="387">
        <f t="shared" si="10"/>
        <v>11533.5</v>
      </c>
      <c r="BO51" s="387">
        <f t="shared" si="11"/>
        <v>0</v>
      </c>
      <c r="BP51" s="387">
        <f t="shared" si="12"/>
        <v>8765.0640000000003</v>
      </c>
      <c r="BQ51" s="387">
        <f t="shared" si="13"/>
        <v>1288.38996</v>
      </c>
      <c r="BR51" s="387">
        <f t="shared" si="14"/>
        <v>10609.224912</v>
      </c>
      <c r="BS51" s="387">
        <f t="shared" si="15"/>
        <v>640.64080079999997</v>
      </c>
      <c r="BT51" s="387">
        <f t="shared" si="16"/>
        <v>0</v>
      </c>
      <c r="BU51" s="387">
        <f t="shared" si="17"/>
        <v>491.80954679999996</v>
      </c>
      <c r="BV51" s="387">
        <f t="shared" si="18"/>
        <v>302.10523199999994</v>
      </c>
      <c r="BW51" s="387">
        <f t="shared" si="19"/>
        <v>0</v>
      </c>
      <c r="BX51" s="387">
        <f t="shared" si="34"/>
        <v>22097.234451600001</v>
      </c>
      <c r="BY51" s="387">
        <f t="shared" si="35"/>
        <v>0</v>
      </c>
      <c r="BZ51" s="387">
        <f t="shared" si="36"/>
        <v>0</v>
      </c>
      <c r="CA51" s="387">
        <f t="shared" si="37"/>
        <v>0</v>
      </c>
      <c r="CB51" s="387">
        <f t="shared" si="38"/>
        <v>313.03800000000047</v>
      </c>
      <c r="CC51" s="387">
        <f t="shared" si="20"/>
        <v>0</v>
      </c>
      <c r="CD51" s="387">
        <f t="shared" si="21"/>
        <v>0</v>
      </c>
      <c r="CE51" s="387">
        <f t="shared" si="22"/>
        <v>0</v>
      </c>
      <c r="CF51" s="387">
        <f t="shared" si="23"/>
        <v>-435.38695199999995</v>
      </c>
      <c r="CG51" s="387">
        <f t="shared" si="24"/>
        <v>0</v>
      </c>
      <c r="CH51" s="387">
        <f t="shared" si="25"/>
        <v>62.19813599999997</v>
      </c>
      <c r="CI51" s="387">
        <f t="shared" si="26"/>
        <v>0</v>
      </c>
      <c r="CJ51" s="387">
        <f t="shared" si="39"/>
        <v>-60.150815999999516</v>
      </c>
      <c r="CK51" s="387" t="str">
        <f t="shared" si="40"/>
        <v/>
      </c>
      <c r="CL51" s="387" t="str">
        <f t="shared" si="41"/>
        <v/>
      </c>
      <c r="CM51" s="387" t="str">
        <f t="shared" si="42"/>
        <v/>
      </c>
      <c r="CN51" s="387" t="str">
        <f t="shared" si="43"/>
        <v>0348-31</v>
      </c>
    </row>
    <row r="52" spans="1:92" ht="15.75" thickBot="1" x14ac:dyDescent="0.3">
      <c r="A52" s="376" t="s">
        <v>161</v>
      </c>
      <c r="B52" s="376" t="s">
        <v>162</v>
      </c>
      <c r="C52" s="376" t="s">
        <v>459</v>
      </c>
      <c r="D52" s="376" t="s">
        <v>368</v>
      </c>
      <c r="E52" s="376" t="s">
        <v>224</v>
      </c>
      <c r="F52" s="382" t="s">
        <v>225</v>
      </c>
      <c r="G52" s="376" t="s">
        <v>167</v>
      </c>
      <c r="H52" s="378"/>
      <c r="I52" s="378"/>
      <c r="J52" s="376" t="s">
        <v>239</v>
      </c>
      <c r="K52" s="376" t="s">
        <v>424</v>
      </c>
      <c r="L52" s="376" t="s">
        <v>210</v>
      </c>
      <c r="M52" s="376" t="s">
        <v>171</v>
      </c>
      <c r="N52" s="376" t="s">
        <v>172</v>
      </c>
      <c r="O52" s="379">
        <v>1</v>
      </c>
      <c r="P52" s="385">
        <v>0.15</v>
      </c>
      <c r="Q52" s="385">
        <v>0.15</v>
      </c>
      <c r="R52" s="380">
        <v>80</v>
      </c>
      <c r="S52" s="385">
        <v>0.15</v>
      </c>
      <c r="T52" s="380">
        <v>0</v>
      </c>
      <c r="U52" s="380">
        <v>0</v>
      </c>
      <c r="V52" s="380">
        <v>0</v>
      </c>
      <c r="W52" s="380">
        <v>13703.04</v>
      </c>
      <c r="X52" s="380">
        <v>4710.7700000000004</v>
      </c>
      <c r="Y52" s="380">
        <v>13703.04</v>
      </c>
      <c r="Z52" s="380">
        <v>4653.22</v>
      </c>
      <c r="AA52" s="376" t="s">
        <v>460</v>
      </c>
      <c r="AB52" s="376" t="s">
        <v>461</v>
      </c>
      <c r="AC52" s="376" t="s">
        <v>462</v>
      </c>
      <c r="AD52" s="376" t="s">
        <v>463</v>
      </c>
      <c r="AE52" s="376" t="s">
        <v>424</v>
      </c>
      <c r="AF52" s="376" t="s">
        <v>245</v>
      </c>
      <c r="AG52" s="376" t="s">
        <v>178</v>
      </c>
      <c r="AH52" s="381">
        <v>43.92</v>
      </c>
      <c r="AI52" s="381">
        <v>48998.2</v>
      </c>
      <c r="AJ52" s="376" t="s">
        <v>179</v>
      </c>
      <c r="AK52" s="376" t="s">
        <v>180</v>
      </c>
      <c r="AL52" s="376" t="s">
        <v>181</v>
      </c>
      <c r="AM52" s="376" t="s">
        <v>182</v>
      </c>
      <c r="AN52" s="376" t="s">
        <v>68</v>
      </c>
      <c r="AO52" s="379">
        <v>80</v>
      </c>
      <c r="AP52" s="385">
        <v>1</v>
      </c>
      <c r="AQ52" s="385">
        <v>0.15</v>
      </c>
      <c r="AR52" s="383" t="s">
        <v>183</v>
      </c>
      <c r="AS52" s="387">
        <f t="shared" si="27"/>
        <v>0.15</v>
      </c>
      <c r="AT52">
        <f t="shared" si="28"/>
        <v>1</v>
      </c>
      <c r="AU52" s="387">
        <f>IF(AT52=0,"",IF(AND(AT52=1,M52="F",SUMIF(C2:C1334,C52,AS2:AS1334)&lt;=1),SUMIF(C2:C1334,C52,AS2:AS1334),IF(AND(AT52=1,M52="F",SUMIF(C2:C1334,C52,AS2:AS1334)&gt;1),1,"")))</f>
        <v>1</v>
      </c>
      <c r="AV52" s="387" t="str">
        <f>IF(AT52=0,"",IF(AND(AT52=3,M52="F",SUMIF(C2:C1334,C52,AS2:AS1334)&lt;=1),SUMIF(C2:C1334,C52,AS2:AS1334),IF(AND(AT52=3,M52="F",SUMIF(C2:C1334,C52,AS2:AS1334)&gt;1),1,"")))</f>
        <v/>
      </c>
      <c r="AW52" s="387">
        <f>SUMIF(C2:C1334,C52,O2:O1334)</f>
        <v>3</v>
      </c>
      <c r="AX52" s="387">
        <f>IF(AND(M52="F",AS52&lt;&gt;0),SUMIF(C2:C1334,C52,W2:W1334),0)</f>
        <v>91353.600000000006</v>
      </c>
      <c r="AY52" s="387">
        <f t="shared" si="29"/>
        <v>13703.04</v>
      </c>
      <c r="AZ52" s="387" t="str">
        <f t="shared" si="30"/>
        <v/>
      </c>
      <c r="BA52" s="387">
        <f t="shared" si="31"/>
        <v>0</v>
      </c>
      <c r="BB52" s="387">
        <f t="shared" si="0"/>
        <v>1747.5</v>
      </c>
      <c r="BC52" s="387">
        <f t="shared" si="1"/>
        <v>0</v>
      </c>
      <c r="BD52" s="387">
        <f t="shared" si="2"/>
        <v>849.58848</v>
      </c>
      <c r="BE52" s="387">
        <f t="shared" si="3"/>
        <v>198.69408000000001</v>
      </c>
      <c r="BF52" s="387">
        <f t="shared" si="4"/>
        <v>1636.1429760000001</v>
      </c>
      <c r="BG52" s="387">
        <f t="shared" si="5"/>
        <v>98.798918400000005</v>
      </c>
      <c r="BH52" s="387">
        <f t="shared" si="6"/>
        <v>67.144896000000003</v>
      </c>
      <c r="BI52" s="387">
        <f t="shared" si="7"/>
        <v>75.846326400000009</v>
      </c>
      <c r="BJ52" s="387">
        <f t="shared" si="8"/>
        <v>36.998208000000005</v>
      </c>
      <c r="BK52" s="387">
        <f t="shared" si="9"/>
        <v>0</v>
      </c>
      <c r="BL52" s="387">
        <f t="shared" si="32"/>
        <v>2963.2138848</v>
      </c>
      <c r="BM52" s="387">
        <f t="shared" si="33"/>
        <v>0</v>
      </c>
      <c r="BN52" s="387">
        <f t="shared" si="10"/>
        <v>1747.5</v>
      </c>
      <c r="BO52" s="387">
        <f t="shared" si="11"/>
        <v>0</v>
      </c>
      <c r="BP52" s="387">
        <f t="shared" si="12"/>
        <v>849.58848</v>
      </c>
      <c r="BQ52" s="387">
        <f t="shared" si="13"/>
        <v>198.69408000000001</v>
      </c>
      <c r="BR52" s="387">
        <f t="shared" si="14"/>
        <v>1636.1429760000001</v>
      </c>
      <c r="BS52" s="387">
        <f t="shared" si="15"/>
        <v>98.798918400000005</v>
      </c>
      <c r="BT52" s="387">
        <f t="shared" si="16"/>
        <v>0</v>
      </c>
      <c r="BU52" s="387">
        <f t="shared" si="17"/>
        <v>75.846326400000009</v>
      </c>
      <c r="BV52" s="387">
        <f t="shared" si="18"/>
        <v>46.590336000000001</v>
      </c>
      <c r="BW52" s="387">
        <f t="shared" si="19"/>
        <v>0</v>
      </c>
      <c r="BX52" s="387">
        <f t="shared" si="34"/>
        <v>2905.6611168000004</v>
      </c>
      <c r="BY52" s="387">
        <f t="shared" si="35"/>
        <v>0</v>
      </c>
      <c r="BZ52" s="387">
        <f t="shared" si="36"/>
        <v>0</v>
      </c>
      <c r="CA52" s="387">
        <f t="shared" si="37"/>
        <v>0</v>
      </c>
      <c r="CB52" s="387">
        <f t="shared" si="38"/>
        <v>0</v>
      </c>
      <c r="CC52" s="387">
        <f t="shared" si="20"/>
        <v>0</v>
      </c>
      <c r="CD52" s="387">
        <f t="shared" si="21"/>
        <v>0</v>
      </c>
      <c r="CE52" s="387">
        <f t="shared" si="22"/>
        <v>0</v>
      </c>
      <c r="CF52" s="387">
        <f t="shared" si="23"/>
        <v>-67.144896000000003</v>
      </c>
      <c r="CG52" s="387">
        <f t="shared" si="24"/>
        <v>0</v>
      </c>
      <c r="CH52" s="387">
        <f t="shared" si="25"/>
        <v>9.5921279999999953</v>
      </c>
      <c r="CI52" s="387">
        <f t="shared" si="26"/>
        <v>0</v>
      </c>
      <c r="CJ52" s="387">
        <f t="shared" si="39"/>
        <v>-57.552768000000007</v>
      </c>
      <c r="CK52" s="387" t="str">
        <f t="shared" si="40"/>
        <v/>
      </c>
      <c r="CL52" s="387" t="str">
        <f t="shared" si="41"/>
        <v/>
      </c>
      <c r="CM52" s="387" t="str">
        <f t="shared" si="42"/>
        <v/>
      </c>
      <c r="CN52" s="387" t="str">
        <f t="shared" si="43"/>
        <v>0348-31</v>
      </c>
    </row>
    <row r="53" spans="1:92" ht="15.75" thickBot="1" x14ac:dyDescent="0.3">
      <c r="A53" s="376" t="s">
        <v>161</v>
      </c>
      <c r="B53" s="376" t="s">
        <v>162</v>
      </c>
      <c r="C53" s="376" t="s">
        <v>464</v>
      </c>
      <c r="D53" s="376" t="s">
        <v>238</v>
      </c>
      <c r="E53" s="376" t="s">
        <v>224</v>
      </c>
      <c r="F53" s="382" t="s">
        <v>225</v>
      </c>
      <c r="G53" s="376" t="s">
        <v>167</v>
      </c>
      <c r="H53" s="378"/>
      <c r="I53" s="378"/>
      <c r="J53" s="376" t="s">
        <v>239</v>
      </c>
      <c r="K53" s="376" t="s">
        <v>343</v>
      </c>
      <c r="L53" s="376" t="s">
        <v>296</v>
      </c>
      <c r="M53" s="376" t="s">
        <v>171</v>
      </c>
      <c r="N53" s="376" t="s">
        <v>172</v>
      </c>
      <c r="O53" s="379">
        <v>1</v>
      </c>
      <c r="P53" s="385">
        <v>0.95</v>
      </c>
      <c r="Q53" s="385">
        <v>0.95</v>
      </c>
      <c r="R53" s="380">
        <v>80</v>
      </c>
      <c r="S53" s="385">
        <v>0.95</v>
      </c>
      <c r="T53" s="380">
        <v>0</v>
      </c>
      <c r="U53" s="380">
        <v>0</v>
      </c>
      <c r="V53" s="380">
        <v>0</v>
      </c>
      <c r="W53" s="380">
        <v>39164.32</v>
      </c>
      <c r="X53" s="380">
        <v>19536.740000000002</v>
      </c>
      <c r="Y53" s="380">
        <v>39164.32</v>
      </c>
      <c r="Z53" s="380">
        <v>19372.25</v>
      </c>
      <c r="AA53" s="376" t="s">
        <v>465</v>
      </c>
      <c r="AB53" s="376" t="s">
        <v>466</v>
      </c>
      <c r="AC53" s="376" t="s">
        <v>467</v>
      </c>
      <c r="AD53" s="376" t="s">
        <v>468</v>
      </c>
      <c r="AE53" s="376" t="s">
        <v>343</v>
      </c>
      <c r="AF53" s="376" t="s">
        <v>301</v>
      </c>
      <c r="AG53" s="376" t="s">
        <v>178</v>
      </c>
      <c r="AH53" s="381">
        <v>19.82</v>
      </c>
      <c r="AI53" s="381">
        <v>16065.6</v>
      </c>
      <c r="AJ53" s="376" t="s">
        <v>179</v>
      </c>
      <c r="AK53" s="376" t="s">
        <v>180</v>
      </c>
      <c r="AL53" s="376" t="s">
        <v>181</v>
      </c>
      <c r="AM53" s="376" t="s">
        <v>182</v>
      </c>
      <c r="AN53" s="376" t="s">
        <v>68</v>
      </c>
      <c r="AO53" s="379">
        <v>80</v>
      </c>
      <c r="AP53" s="385">
        <v>1</v>
      </c>
      <c r="AQ53" s="385">
        <v>0.95</v>
      </c>
      <c r="AR53" s="383" t="s">
        <v>183</v>
      </c>
      <c r="AS53" s="387">
        <f t="shared" si="27"/>
        <v>0.95</v>
      </c>
      <c r="AT53">
        <f t="shared" si="28"/>
        <v>1</v>
      </c>
      <c r="AU53" s="387">
        <f>IF(AT53=0,"",IF(AND(AT53=1,M53="F",SUMIF(C2:C1334,C53,AS2:AS1334)&lt;=1),SUMIF(C2:C1334,C53,AS2:AS1334),IF(AND(AT53=1,M53="F",SUMIF(C2:C1334,C53,AS2:AS1334)&gt;1),1,"")))</f>
        <v>1</v>
      </c>
      <c r="AV53" s="387" t="str">
        <f>IF(AT53=0,"",IF(AND(AT53=3,M53="F",SUMIF(C2:C1334,C53,AS2:AS1334)&lt;=1),SUMIF(C2:C1334,C53,AS2:AS1334),IF(AND(AT53=3,M53="F",SUMIF(C2:C1334,C53,AS2:AS1334)&gt;1),1,"")))</f>
        <v/>
      </c>
      <c r="AW53" s="387">
        <f>SUMIF(C2:C1334,C53,O2:O1334)</f>
        <v>3</v>
      </c>
      <c r="AX53" s="387">
        <f>IF(AND(M53="F",AS53&lt;&gt;0),SUMIF(C2:C1334,C53,W2:W1334),0)</f>
        <v>41225.599999999999</v>
      </c>
      <c r="AY53" s="387">
        <f t="shared" si="29"/>
        <v>39164.32</v>
      </c>
      <c r="AZ53" s="387" t="str">
        <f t="shared" si="30"/>
        <v/>
      </c>
      <c r="BA53" s="387">
        <f t="shared" si="31"/>
        <v>0</v>
      </c>
      <c r="BB53" s="387">
        <f t="shared" si="0"/>
        <v>11067.5</v>
      </c>
      <c r="BC53" s="387">
        <f t="shared" si="1"/>
        <v>0</v>
      </c>
      <c r="BD53" s="387">
        <f t="shared" si="2"/>
        <v>2428.1878400000001</v>
      </c>
      <c r="BE53" s="387">
        <f t="shared" si="3"/>
        <v>567.88264000000004</v>
      </c>
      <c r="BF53" s="387">
        <f t="shared" si="4"/>
        <v>4676.2198079999998</v>
      </c>
      <c r="BG53" s="387">
        <f t="shared" si="5"/>
        <v>282.3747472</v>
      </c>
      <c r="BH53" s="387">
        <f t="shared" si="6"/>
        <v>191.905168</v>
      </c>
      <c r="BI53" s="387">
        <f t="shared" si="7"/>
        <v>216.77451120000001</v>
      </c>
      <c r="BJ53" s="387">
        <f t="shared" si="8"/>
        <v>105.74366400000001</v>
      </c>
      <c r="BK53" s="387">
        <f t="shared" si="9"/>
        <v>0</v>
      </c>
      <c r="BL53" s="387">
        <f t="shared" si="32"/>
        <v>8469.0883783999998</v>
      </c>
      <c r="BM53" s="387">
        <f t="shared" si="33"/>
        <v>0</v>
      </c>
      <c r="BN53" s="387">
        <f t="shared" si="10"/>
        <v>11067.5</v>
      </c>
      <c r="BO53" s="387">
        <f t="shared" si="11"/>
        <v>0</v>
      </c>
      <c r="BP53" s="387">
        <f t="shared" si="12"/>
        <v>2428.1878400000001</v>
      </c>
      <c r="BQ53" s="387">
        <f t="shared" si="13"/>
        <v>567.88264000000004</v>
      </c>
      <c r="BR53" s="387">
        <f t="shared" si="14"/>
        <v>4676.2198079999998</v>
      </c>
      <c r="BS53" s="387">
        <f t="shared" si="15"/>
        <v>282.3747472</v>
      </c>
      <c r="BT53" s="387">
        <f t="shared" si="16"/>
        <v>0</v>
      </c>
      <c r="BU53" s="387">
        <f t="shared" si="17"/>
        <v>216.77451120000001</v>
      </c>
      <c r="BV53" s="387">
        <f t="shared" si="18"/>
        <v>133.15868799999998</v>
      </c>
      <c r="BW53" s="387">
        <f t="shared" si="19"/>
        <v>0</v>
      </c>
      <c r="BX53" s="387">
        <f t="shared" si="34"/>
        <v>8304.5982344000004</v>
      </c>
      <c r="BY53" s="387">
        <f t="shared" si="35"/>
        <v>0</v>
      </c>
      <c r="BZ53" s="387">
        <f t="shared" si="36"/>
        <v>0</v>
      </c>
      <c r="CA53" s="387">
        <f t="shared" si="37"/>
        <v>0</v>
      </c>
      <c r="CB53" s="387">
        <f t="shared" si="38"/>
        <v>0</v>
      </c>
      <c r="CC53" s="387">
        <f t="shared" si="20"/>
        <v>0</v>
      </c>
      <c r="CD53" s="387">
        <f t="shared" si="21"/>
        <v>0</v>
      </c>
      <c r="CE53" s="387">
        <f t="shared" si="22"/>
        <v>0</v>
      </c>
      <c r="CF53" s="387">
        <f t="shared" si="23"/>
        <v>-191.905168</v>
      </c>
      <c r="CG53" s="387">
        <f t="shared" si="24"/>
        <v>0</v>
      </c>
      <c r="CH53" s="387">
        <f t="shared" si="25"/>
        <v>27.415023999999988</v>
      </c>
      <c r="CI53" s="387">
        <f t="shared" si="26"/>
        <v>0</v>
      </c>
      <c r="CJ53" s="387">
        <f t="shared" si="39"/>
        <v>-164.49014400000002</v>
      </c>
      <c r="CK53" s="387" t="str">
        <f t="shared" si="40"/>
        <v/>
      </c>
      <c r="CL53" s="387" t="str">
        <f t="shared" si="41"/>
        <v/>
      </c>
      <c r="CM53" s="387" t="str">
        <f t="shared" si="42"/>
        <v/>
      </c>
      <c r="CN53" s="387" t="str">
        <f t="shared" si="43"/>
        <v>0348-31</v>
      </c>
    </row>
    <row r="54" spans="1:92" ht="15.75" thickBot="1" x14ac:dyDescent="0.3">
      <c r="A54" s="376" t="s">
        <v>161</v>
      </c>
      <c r="B54" s="376" t="s">
        <v>162</v>
      </c>
      <c r="C54" s="376" t="s">
        <v>469</v>
      </c>
      <c r="D54" s="376" t="s">
        <v>213</v>
      </c>
      <c r="E54" s="376" t="s">
        <v>224</v>
      </c>
      <c r="F54" s="382" t="s">
        <v>225</v>
      </c>
      <c r="G54" s="376" t="s">
        <v>167</v>
      </c>
      <c r="H54" s="378"/>
      <c r="I54" s="378"/>
      <c r="J54" s="376" t="s">
        <v>215</v>
      </c>
      <c r="K54" s="376" t="s">
        <v>216</v>
      </c>
      <c r="L54" s="376" t="s">
        <v>217</v>
      </c>
      <c r="M54" s="376" t="s">
        <v>171</v>
      </c>
      <c r="N54" s="376" t="s">
        <v>172</v>
      </c>
      <c r="O54" s="379">
        <v>1</v>
      </c>
      <c r="P54" s="385">
        <v>1</v>
      </c>
      <c r="Q54" s="385">
        <v>1</v>
      </c>
      <c r="R54" s="380">
        <v>80</v>
      </c>
      <c r="S54" s="385">
        <v>1</v>
      </c>
      <c r="T54" s="380">
        <v>0</v>
      </c>
      <c r="U54" s="380">
        <v>0</v>
      </c>
      <c r="V54" s="380">
        <v>0</v>
      </c>
      <c r="W54" s="380">
        <v>36270</v>
      </c>
      <c r="X54" s="380">
        <v>19493.349999999999</v>
      </c>
      <c r="Y54" s="380">
        <v>36270</v>
      </c>
      <c r="Z54" s="380">
        <v>19341.02</v>
      </c>
      <c r="AA54" s="376" t="s">
        <v>470</v>
      </c>
      <c r="AB54" s="376" t="s">
        <v>471</v>
      </c>
      <c r="AC54" s="376" t="s">
        <v>472</v>
      </c>
      <c r="AD54" s="376" t="s">
        <v>198</v>
      </c>
      <c r="AE54" s="376" t="s">
        <v>216</v>
      </c>
      <c r="AF54" s="376" t="s">
        <v>221</v>
      </c>
      <c r="AG54" s="376" t="s">
        <v>178</v>
      </c>
      <c r="AH54" s="381">
        <v>27.9</v>
      </c>
      <c r="AI54" s="381">
        <v>90442.3</v>
      </c>
      <c r="AJ54" s="376" t="s">
        <v>473</v>
      </c>
      <c r="AK54" s="376" t="s">
        <v>180</v>
      </c>
      <c r="AL54" s="376" t="s">
        <v>181</v>
      </c>
      <c r="AM54" s="376" t="s">
        <v>182</v>
      </c>
      <c r="AN54" s="376" t="s">
        <v>68</v>
      </c>
      <c r="AO54" s="379">
        <v>50</v>
      </c>
      <c r="AP54" s="385">
        <v>1</v>
      </c>
      <c r="AQ54" s="385">
        <v>0.62</v>
      </c>
      <c r="AR54" s="383" t="s">
        <v>183</v>
      </c>
      <c r="AS54" s="387">
        <f t="shared" si="27"/>
        <v>0.625</v>
      </c>
      <c r="AT54">
        <f t="shared" si="28"/>
        <v>1</v>
      </c>
      <c r="AU54" s="387">
        <f>IF(AT54=0,"",IF(AND(AT54=1,M54="F",SUMIF(C2:C1334,C54,AS2:AS1334)&lt;=1),SUMIF(C2:C1334,C54,AS2:AS1334),IF(AND(AT54=1,M54="F",SUMIF(C2:C1334,C54,AS2:AS1334)&gt;1),1,"")))</f>
        <v>0.625</v>
      </c>
      <c r="AV54" s="387" t="str">
        <f>IF(AT54=0,"",IF(AND(AT54=3,M54="F",SUMIF(C2:C1334,C54,AS2:AS1334)&lt;=1),SUMIF(C2:C1334,C54,AS2:AS1334),IF(AND(AT54=3,M54="F",SUMIF(C2:C1334,C54,AS2:AS1334)&gt;1),1,"")))</f>
        <v/>
      </c>
      <c r="AW54" s="387">
        <f>SUMIF(C2:C1334,C54,O2:O1334)</f>
        <v>3</v>
      </c>
      <c r="AX54" s="387">
        <f>IF(AND(M54="F",AS54&lt;&gt;0),SUMIF(C2:C1334,C54,W2:W1334),0)</f>
        <v>36270</v>
      </c>
      <c r="AY54" s="387">
        <f t="shared" si="29"/>
        <v>36270</v>
      </c>
      <c r="AZ54" s="387" t="str">
        <f t="shared" si="30"/>
        <v/>
      </c>
      <c r="BA54" s="387">
        <f t="shared" si="31"/>
        <v>0</v>
      </c>
      <c r="BB54" s="387">
        <f t="shared" si="0"/>
        <v>9320</v>
      </c>
      <c r="BC54" s="387">
        <f t="shared" si="1"/>
        <v>0</v>
      </c>
      <c r="BD54" s="387">
        <f t="shared" si="2"/>
        <v>2248.7399999999998</v>
      </c>
      <c r="BE54" s="387">
        <f t="shared" si="3"/>
        <v>525.91500000000008</v>
      </c>
      <c r="BF54" s="387">
        <f t="shared" si="4"/>
        <v>4330.6379999999999</v>
      </c>
      <c r="BG54" s="387">
        <f t="shared" si="5"/>
        <v>261.50670000000002</v>
      </c>
      <c r="BH54" s="387">
        <f t="shared" si="6"/>
        <v>177.72299999999998</v>
      </c>
      <c r="BI54" s="387">
        <f t="shared" si="7"/>
        <v>200.75444999999999</v>
      </c>
      <c r="BJ54" s="387">
        <f t="shared" si="8"/>
        <v>97.929000000000002</v>
      </c>
      <c r="BK54" s="387">
        <f t="shared" si="9"/>
        <v>0</v>
      </c>
      <c r="BL54" s="387">
        <f t="shared" si="32"/>
        <v>7843.20615</v>
      </c>
      <c r="BM54" s="387">
        <f t="shared" si="33"/>
        <v>0</v>
      </c>
      <c r="BN54" s="387">
        <f t="shared" si="10"/>
        <v>9320</v>
      </c>
      <c r="BO54" s="387">
        <f t="shared" si="11"/>
        <v>0</v>
      </c>
      <c r="BP54" s="387">
        <f t="shared" si="12"/>
        <v>2248.7399999999998</v>
      </c>
      <c r="BQ54" s="387">
        <f t="shared" si="13"/>
        <v>525.91500000000008</v>
      </c>
      <c r="BR54" s="387">
        <f t="shared" si="14"/>
        <v>4330.6379999999999</v>
      </c>
      <c r="BS54" s="387">
        <f t="shared" si="15"/>
        <v>261.50670000000002</v>
      </c>
      <c r="BT54" s="387">
        <f t="shared" si="16"/>
        <v>0</v>
      </c>
      <c r="BU54" s="387">
        <f t="shared" si="17"/>
        <v>200.75444999999999</v>
      </c>
      <c r="BV54" s="387">
        <f t="shared" si="18"/>
        <v>123.318</v>
      </c>
      <c r="BW54" s="387">
        <f t="shared" si="19"/>
        <v>0</v>
      </c>
      <c r="BX54" s="387">
        <f t="shared" si="34"/>
        <v>7690.8721500000001</v>
      </c>
      <c r="BY54" s="387">
        <f t="shared" si="35"/>
        <v>0</v>
      </c>
      <c r="BZ54" s="387">
        <f t="shared" si="36"/>
        <v>0</v>
      </c>
      <c r="CA54" s="387">
        <f t="shared" si="37"/>
        <v>0</v>
      </c>
      <c r="CB54" s="387">
        <f t="shared" si="38"/>
        <v>0</v>
      </c>
      <c r="CC54" s="387">
        <f t="shared" si="20"/>
        <v>0</v>
      </c>
      <c r="CD54" s="387">
        <f t="shared" si="21"/>
        <v>0</v>
      </c>
      <c r="CE54" s="387">
        <f t="shared" si="22"/>
        <v>0</v>
      </c>
      <c r="CF54" s="387">
        <f t="shared" si="23"/>
        <v>-177.72299999999998</v>
      </c>
      <c r="CG54" s="387">
        <f t="shared" si="24"/>
        <v>0</v>
      </c>
      <c r="CH54" s="387">
        <f t="shared" si="25"/>
        <v>25.388999999999989</v>
      </c>
      <c r="CI54" s="387">
        <f t="shared" si="26"/>
        <v>0</v>
      </c>
      <c r="CJ54" s="387">
        <f t="shared" si="39"/>
        <v>-152.334</v>
      </c>
      <c r="CK54" s="387" t="str">
        <f t="shared" si="40"/>
        <v/>
      </c>
      <c r="CL54" s="387" t="str">
        <f t="shared" si="41"/>
        <v/>
      </c>
      <c r="CM54" s="387" t="str">
        <f t="shared" si="42"/>
        <v/>
      </c>
      <c r="CN54" s="387" t="str">
        <f t="shared" si="43"/>
        <v>0348-31</v>
      </c>
    </row>
    <row r="55" spans="1:92" ht="15.75" thickBot="1" x14ac:dyDescent="0.3">
      <c r="A55" s="376" t="s">
        <v>161</v>
      </c>
      <c r="B55" s="376" t="s">
        <v>162</v>
      </c>
      <c r="C55" s="376" t="s">
        <v>474</v>
      </c>
      <c r="D55" s="376" t="s">
        <v>238</v>
      </c>
      <c r="E55" s="376" t="s">
        <v>224</v>
      </c>
      <c r="F55" s="382" t="s">
        <v>225</v>
      </c>
      <c r="G55" s="376" t="s">
        <v>167</v>
      </c>
      <c r="H55" s="378"/>
      <c r="I55" s="378"/>
      <c r="J55" s="376" t="s">
        <v>168</v>
      </c>
      <c r="K55" s="376" t="s">
        <v>285</v>
      </c>
      <c r="L55" s="376" t="s">
        <v>170</v>
      </c>
      <c r="M55" s="376" t="s">
        <v>171</v>
      </c>
      <c r="N55" s="376" t="s">
        <v>172</v>
      </c>
      <c r="O55" s="379">
        <v>1</v>
      </c>
      <c r="P55" s="385">
        <v>0.95</v>
      </c>
      <c r="Q55" s="385">
        <v>0.95</v>
      </c>
      <c r="R55" s="380">
        <v>80</v>
      </c>
      <c r="S55" s="385">
        <v>0.95</v>
      </c>
      <c r="T55" s="380">
        <v>0</v>
      </c>
      <c r="U55" s="380">
        <v>0</v>
      </c>
      <c r="V55" s="380">
        <v>0</v>
      </c>
      <c r="W55" s="380">
        <v>52917.279999999999</v>
      </c>
      <c r="X55" s="380">
        <v>22510.82</v>
      </c>
      <c r="Y55" s="380">
        <v>52917.279999999999</v>
      </c>
      <c r="Z55" s="380">
        <v>22288.57</v>
      </c>
      <c r="AA55" s="376" t="s">
        <v>475</v>
      </c>
      <c r="AB55" s="376" t="s">
        <v>476</v>
      </c>
      <c r="AC55" s="376" t="s">
        <v>477</v>
      </c>
      <c r="AD55" s="376" t="s">
        <v>324</v>
      </c>
      <c r="AE55" s="376" t="s">
        <v>285</v>
      </c>
      <c r="AF55" s="376" t="s">
        <v>177</v>
      </c>
      <c r="AG55" s="376" t="s">
        <v>178</v>
      </c>
      <c r="AH55" s="381">
        <v>26.78</v>
      </c>
      <c r="AI55" s="379">
        <v>28928</v>
      </c>
      <c r="AJ55" s="376" t="s">
        <v>179</v>
      </c>
      <c r="AK55" s="376" t="s">
        <v>180</v>
      </c>
      <c r="AL55" s="376" t="s">
        <v>181</v>
      </c>
      <c r="AM55" s="376" t="s">
        <v>182</v>
      </c>
      <c r="AN55" s="376" t="s">
        <v>68</v>
      </c>
      <c r="AO55" s="379">
        <v>80</v>
      </c>
      <c r="AP55" s="385">
        <v>1</v>
      </c>
      <c r="AQ55" s="385">
        <v>0.95</v>
      </c>
      <c r="AR55" s="383" t="s">
        <v>183</v>
      </c>
      <c r="AS55" s="387">
        <f t="shared" si="27"/>
        <v>0.95</v>
      </c>
      <c r="AT55">
        <f t="shared" si="28"/>
        <v>1</v>
      </c>
      <c r="AU55" s="387">
        <f>IF(AT55=0,"",IF(AND(AT55=1,M55="F",SUMIF(C2:C1334,C55,AS2:AS1334)&lt;=1),SUMIF(C2:C1334,C55,AS2:AS1334),IF(AND(AT55=1,M55="F",SUMIF(C2:C1334,C55,AS2:AS1334)&gt;1),1,"")))</f>
        <v>1</v>
      </c>
      <c r="AV55" s="387" t="str">
        <f>IF(AT55=0,"",IF(AND(AT55=3,M55="F",SUMIF(C2:C1334,C55,AS2:AS1334)&lt;=1),SUMIF(C2:C1334,C55,AS2:AS1334),IF(AND(AT55=3,M55="F",SUMIF(C2:C1334,C55,AS2:AS1334)&gt;1),1,"")))</f>
        <v/>
      </c>
      <c r="AW55" s="387">
        <f>SUMIF(C2:C1334,C55,O2:O1334)</f>
        <v>2</v>
      </c>
      <c r="AX55" s="387">
        <f>IF(AND(M55="F",AS55&lt;&gt;0),SUMIF(C2:C1334,C55,W2:W1334),0)</f>
        <v>55702.400000000001</v>
      </c>
      <c r="AY55" s="387">
        <f t="shared" si="29"/>
        <v>52917.279999999999</v>
      </c>
      <c r="AZ55" s="387" t="str">
        <f t="shared" si="30"/>
        <v/>
      </c>
      <c r="BA55" s="387">
        <f t="shared" si="31"/>
        <v>0</v>
      </c>
      <c r="BB55" s="387">
        <f t="shared" si="0"/>
        <v>11067.5</v>
      </c>
      <c r="BC55" s="387">
        <f t="shared" si="1"/>
        <v>0</v>
      </c>
      <c r="BD55" s="387">
        <f t="shared" si="2"/>
        <v>3280.8713600000001</v>
      </c>
      <c r="BE55" s="387">
        <f t="shared" si="3"/>
        <v>767.30056000000002</v>
      </c>
      <c r="BF55" s="387">
        <f t="shared" si="4"/>
        <v>6318.3232319999997</v>
      </c>
      <c r="BG55" s="387">
        <f t="shared" si="5"/>
        <v>381.53358880000002</v>
      </c>
      <c r="BH55" s="387">
        <f t="shared" si="6"/>
        <v>259.29467199999999</v>
      </c>
      <c r="BI55" s="387">
        <f t="shared" si="7"/>
        <v>292.89714479999998</v>
      </c>
      <c r="BJ55" s="387">
        <f t="shared" si="8"/>
        <v>142.876656</v>
      </c>
      <c r="BK55" s="387">
        <f t="shared" si="9"/>
        <v>0</v>
      </c>
      <c r="BL55" s="387">
        <f t="shared" si="32"/>
        <v>11443.0972136</v>
      </c>
      <c r="BM55" s="387">
        <f t="shared" si="33"/>
        <v>0</v>
      </c>
      <c r="BN55" s="387">
        <f t="shared" si="10"/>
        <v>11067.5</v>
      </c>
      <c r="BO55" s="387">
        <f t="shared" si="11"/>
        <v>0</v>
      </c>
      <c r="BP55" s="387">
        <f t="shared" si="12"/>
        <v>3280.8713600000001</v>
      </c>
      <c r="BQ55" s="387">
        <f t="shared" si="13"/>
        <v>767.30056000000002</v>
      </c>
      <c r="BR55" s="387">
        <f t="shared" si="14"/>
        <v>6318.3232319999997</v>
      </c>
      <c r="BS55" s="387">
        <f t="shared" si="15"/>
        <v>381.53358880000002</v>
      </c>
      <c r="BT55" s="387">
        <f t="shared" si="16"/>
        <v>0</v>
      </c>
      <c r="BU55" s="387">
        <f t="shared" si="17"/>
        <v>292.89714479999998</v>
      </c>
      <c r="BV55" s="387">
        <f t="shared" si="18"/>
        <v>179.91875199999998</v>
      </c>
      <c r="BW55" s="387">
        <f t="shared" si="19"/>
        <v>0</v>
      </c>
      <c r="BX55" s="387">
        <f t="shared" si="34"/>
        <v>11220.844637599999</v>
      </c>
      <c r="BY55" s="387">
        <f t="shared" si="35"/>
        <v>0</v>
      </c>
      <c r="BZ55" s="387">
        <f t="shared" si="36"/>
        <v>0</v>
      </c>
      <c r="CA55" s="387">
        <f t="shared" si="37"/>
        <v>0</v>
      </c>
      <c r="CB55" s="387">
        <f t="shared" si="38"/>
        <v>0</v>
      </c>
      <c r="CC55" s="387">
        <f t="shared" si="20"/>
        <v>0</v>
      </c>
      <c r="CD55" s="387">
        <f t="shared" si="21"/>
        <v>0</v>
      </c>
      <c r="CE55" s="387">
        <f t="shared" si="22"/>
        <v>0</v>
      </c>
      <c r="CF55" s="387">
        <f t="shared" si="23"/>
        <v>-259.29467199999999</v>
      </c>
      <c r="CG55" s="387">
        <f t="shared" si="24"/>
        <v>0</v>
      </c>
      <c r="CH55" s="387">
        <f t="shared" si="25"/>
        <v>37.042095999999979</v>
      </c>
      <c r="CI55" s="387">
        <f t="shared" si="26"/>
        <v>0</v>
      </c>
      <c r="CJ55" s="387">
        <f t="shared" si="39"/>
        <v>-222.252576</v>
      </c>
      <c r="CK55" s="387" t="str">
        <f t="shared" si="40"/>
        <v/>
      </c>
      <c r="CL55" s="387" t="str">
        <f t="shared" si="41"/>
        <v/>
      </c>
      <c r="CM55" s="387" t="str">
        <f t="shared" si="42"/>
        <v/>
      </c>
      <c r="CN55" s="387" t="str">
        <f t="shared" si="43"/>
        <v>0348-31</v>
      </c>
    </row>
    <row r="56" spans="1:92" ht="15.75" thickBot="1" x14ac:dyDescent="0.3">
      <c r="A56" s="376" t="s">
        <v>161</v>
      </c>
      <c r="B56" s="376" t="s">
        <v>162</v>
      </c>
      <c r="C56" s="376" t="s">
        <v>478</v>
      </c>
      <c r="D56" s="376" t="s">
        <v>479</v>
      </c>
      <c r="E56" s="376" t="s">
        <v>224</v>
      </c>
      <c r="F56" s="382" t="s">
        <v>225</v>
      </c>
      <c r="G56" s="376" t="s">
        <v>167</v>
      </c>
      <c r="H56" s="378"/>
      <c r="I56" s="378"/>
      <c r="J56" s="376" t="s">
        <v>215</v>
      </c>
      <c r="K56" s="376" t="s">
        <v>480</v>
      </c>
      <c r="L56" s="376" t="s">
        <v>210</v>
      </c>
      <c r="M56" s="376" t="s">
        <v>171</v>
      </c>
      <c r="N56" s="376" t="s">
        <v>172</v>
      </c>
      <c r="O56" s="379">
        <v>1</v>
      </c>
      <c r="P56" s="385">
        <v>1</v>
      </c>
      <c r="Q56" s="385">
        <v>1</v>
      </c>
      <c r="R56" s="380">
        <v>80</v>
      </c>
      <c r="S56" s="385">
        <v>1</v>
      </c>
      <c r="T56" s="380">
        <v>0</v>
      </c>
      <c r="U56" s="380">
        <v>0</v>
      </c>
      <c r="V56" s="380">
        <v>0</v>
      </c>
      <c r="W56" s="380">
        <v>84427.199999999997</v>
      </c>
      <c r="X56" s="380">
        <v>29907.35</v>
      </c>
      <c r="Y56" s="380">
        <v>84427.199999999997</v>
      </c>
      <c r="Z56" s="380">
        <v>29552.76</v>
      </c>
      <c r="AA56" s="376" t="s">
        <v>481</v>
      </c>
      <c r="AB56" s="376" t="s">
        <v>482</v>
      </c>
      <c r="AC56" s="376" t="s">
        <v>483</v>
      </c>
      <c r="AD56" s="376" t="s">
        <v>210</v>
      </c>
      <c r="AE56" s="376" t="s">
        <v>480</v>
      </c>
      <c r="AF56" s="376" t="s">
        <v>245</v>
      </c>
      <c r="AG56" s="376" t="s">
        <v>178</v>
      </c>
      <c r="AH56" s="381">
        <v>40.590000000000003</v>
      </c>
      <c r="AI56" s="381">
        <v>64659.4</v>
      </c>
      <c r="AJ56" s="376" t="s">
        <v>179</v>
      </c>
      <c r="AK56" s="376" t="s">
        <v>180</v>
      </c>
      <c r="AL56" s="376" t="s">
        <v>181</v>
      </c>
      <c r="AM56" s="376" t="s">
        <v>182</v>
      </c>
      <c r="AN56" s="376" t="s">
        <v>68</v>
      </c>
      <c r="AO56" s="379">
        <v>80</v>
      </c>
      <c r="AP56" s="385">
        <v>1</v>
      </c>
      <c r="AQ56" s="385">
        <v>1</v>
      </c>
      <c r="AR56" s="383" t="s">
        <v>183</v>
      </c>
      <c r="AS56" s="387">
        <f t="shared" si="27"/>
        <v>1</v>
      </c>
      <c r="AT56">
        <f t="shared" si="28"/>
        <v>1</v>
      </c>
      <c r="AU56" s="387">
        <f>IF(AT56=0,"",IF(AND(AT56=1,M56="F",SUMIF(C2:C1334,C56,AS2:AS1334)&lt;=1),SUMIF(C2:C1334,C56,AS2:AS1334),IF(AND(AT56=1,M56="F",SUMIF(C2:C1334,C56,AS2:AS1334)&gt;1),1,"")))</f>
        <v>1</v>
      </c>
      <c r="AV56" s="387" t="str">
        <f>IF(AT56=0,"",IF(AND(AT56=3,M56="F",SUMIF(C2:C1334,C56,AS2:AS1334)&lt;=1),SUMIF(C2:C1334,C56,AS2:AS1334),IF(AND(AT56=3,M56="F",SUMIF(C2:C1334,C56,AS2:AS1334)&gt;1),1,"")))</f>
        <v/>
      </c>
      <c r="AW56" s="387">
        <f>SUMIF(C2:C1334,C56,O2:O1334)</f>
        <v>2</v>
      </c>
      <c r="AX56" s="387">
        <f>IF(AND(M56="F",AS56&lt;&gt;0),SUMIF(C2:C1334,C56,W2:W1334),0)</f>
        <v>84427.199999999997</v>
      </c>
      <c r="AY56" s="387">
        <f t="shared" si="29"/>
        <v>84427.199999999997</v>
      </c>
      <c r="AZ56" s="387" t="str">
        <f t="shared" si="30"/>
        <v/>
      </c>
      <c r="BA56" s="387">
        <f t="shared" si="31"/>
        <v>0</v>
      </c>
      <c r="BB56" s="387">
        <f t="shared" si="0"/>
        <v>11650</v>
      </c>
      <c r="BC56" s="387">
        <f t="shared" si="1"/>
        <v>0</v>
      </c>
      <c r="BD56" s="387">
        <f t="shared" si="2"/>
        <v>5234.4863999999998</v>
      </c>
      <c r="BE56" s="387">
        <f t="shared" si="3"/>
        <v>1224.1944000000001</v>
      </c>
      <c r="BF56" s="387">
        <f t="shared" si="4"/>
        <v>10080.607680000001</v>
      </c>
      <c r="BG56" s="387">
        <f t="shared" si="5"/>
        <v>608.72011199999997</v>
      </c>
      <c r="BH56" s="387">
        <f t="shared" si="6"/>
        <v>413.69327999999996</v>
      </c>
      <c r="BI56" s="387">
        <f t="shared" si="7"/>
        <v>467.304552</v>
      </c>
      <c r="BJ56" s="387">
        <f t="shared" si="8"/>
        <v>227.95344</v>
      </c>
      <c r="BK56" s="387">
        <f t="shared" si="9"/>
        <v>0</v>
      </c>
      <c r="BL56" s="387">
        <f t="shared" si="32"/>
        <v>18256.959864000004</v>
      </c>
      <c r="BM56" s="387">
        <f t="shared" si="33"/>
        <v>0</v>
      </c>
      <c r="BN56" s="387">
        <f t="shared" si="10"/>
        <v>11650</v>
      </c>
      <c r="BO56" s="387">
        <f t="shared" si="11"/>
        <v>0</v>
      </c>
      <c r="BP56" s="387">
        <f t="shared" si="12"/>
        <v>5234.4863999999998</v>
      </c>
      <c r="BQ56" s="387">
        <f t="shared" si="13"/>
        <v>1224.1944000000001</v>
      </c>
      <c r="BR56" s="387">
        <f t="shared" si="14"/>
        <v>10080.607680000001</v>
      </c>
      <c r="BS56" s="387">
        <f t="shared" si="15"/>
        <v>608.72011199999997</v>
      </c>
      <c r="BT56" s="387">
        <f t="shared" si="16"/>
        <v>0</v>
      </c>
      <c r="BU56" s="387">
        <f t="shared" si="17"/>
        <v>467.304552</v>
      </c>
      <c r="BV56" s="387">
        <f t="shared" si="18"/>
        <v>287.05247999999995</v>
      </c>
      <c r="BW56" s="387">
        <f t="shared" si="19"/>
        <v>0</v>
      </c>
      <c r="BX56" s="387">
        <f t="shared" si="34"/>
        <v>17902.365624000002</v>
      </c>
      <c r="BY56" s="387">
        <f t="shared" si="35"/>
        <v>0</v>
      </c>
      <c r="BZ56" s="387">
        <f t="shared" si="36"/>
        <v>0</v>
      </c>
      <c r="CA56" s="387">
        <f t="shared" si="37"/>
        <v>0</v>
      </c>
      <c r="CB56" s="387">
        <f t="shared" si="38"/>
        <v>0</v>
      </c>
      <c r="CC56" s="387">
        <f t="shared" si="20"/>
        <v>0</v>
      </c>
      <c r="CD56" s="387">
        <f t="shared" si="21"/>
        <v>0</v>
      </c>
      <c r="CE56" s="387">
        <f t="shared" si="22"/>
        <v>0</v>
      </c>
      <c r="CF56" s="387">
        <f t="shared" si="23"/>
        <v>-413.69327999999996</v>
      </c>
      <c r="CG56" s="387">
        <f t="shared" si="24"/>
        <v>0</v>
      </c>
      <c r="CH56" s="387">
        <f t="shared" si="25"/>
        <v>59.099039999999967</v>
      </c>
      <c r="CI56" s="387">
        <f t="shared" si="26"/>
        <v>0</v>
      </c>
      <c r="CJ56" s="387">
        <f t="shared" si="39"/>
        <v>-354.59424000000001</v>
      </c>
      <c r="CK56" s="387" t="str">
        <f t="shared" si="40"/>
        <v/>
      </c>
      <c r="CL56" s="387" t="str">
        <f t="shared" si="41"/>
        <v/>
      </c>
      <c r="CM56" s="387" t="str">
        <f t="shared" si="42"/>
        <v/>
      </c>
      <c r="CN56" s="387" t="str">
        <f t="shared" si="43"/>
        <v>0348-31</v>
      </c>
    </row>
    <row r="57" spans="1:92" ht="15.75" thickBot="1" x14ac:dyDescent="0.3">
      <c r="A57" s="376" t="s">
        <v>161</v>
      </c>
      <c r="B57" s="376" t="s">
        <v>162</v>
      </c>
      <c r="C57" s="376" t="s">
        <v>484</v>
      </c>
      <c r="D57" s="376" t="s">
        <v>485</v>
      </c>
      <c r="E57" s="376" t="s">
        <v>224</v>
      </c>
      <c r="F57" s="382" t="s">
        <v>225</v>
      </c>
      <c r="G57" s="376" t="s">
        <v>167</v>
      </c>
      <c r="H57" s="378"/>
      <c r="I57" s="378"/>
      <c r="J57" s="376" t="s">
        <v>215</v>
      </c>
      <c r="K57" s="376" t="s">
        <v>486</v>
      </c>
      <c r="L57" s="376" t="s">
        <v>210</v>
      </c>
      <c r="M57" s="376" t="s">
        <v>171</v>
      </c>
      <c r="N57" s="376" t="s">
        <v>172</v>
      </c>
      <c r="O57" s="379">
        <v>1</v>
      </c>
      <c r="P57" s="385">
        <v>1</v>
      </c>
      <c r="Q57" s="385">
        <v>1</v>
      </c>
      <c r="R57" s="380">
        <v>80</v>
      </c>
      <c r="S57" s="385">
        <v>1</v>
      </c>
      <c r="T57" s="380">
        <v>0</v>
      </c>
      <c r="U57" s="380">
        <v>0</v>
      </c>
      <c r="V57" s="380">
        <v>0</v>
      </c>
      <c r="W57" s="380">
        <v>84635.199999999997</v>
      </c>
      <c r="X57" s="380">
        <v>29952.33</v>
      </c>
      <c r="Y57" s="380">
        <v>84635.199999999997</v>
      </c>
      <c r="Z57" s="380">
        <v>29596.86</v>
      </c>
      <c r="AA57" s="376" t="s">
        <v>487</v>
      </c>
      <c r="AB57" s="376" t="s">
        <v>488</v>
      </c>
      <c r="AC57" s="376" t="s">
        <v>489</v>
      </c>
      <c r="AD57" s="376" t="s">
        <v>210</v>
      </c>
      <c r="AE57" s="376" t="s">
        <v>486</v>
      </c>
      <c r="AF57" s="376" t="s">
        <v>245</v>
      </c>
      <c r="AG57" s="376" t="s">
        <v>178</v>
      </c>
      <c r="AH57" s="381">
        <v>40.69</v>
      </c>
      <c r="AI57" s="381">
        <v>47688.5</v>
      </c>
      <c r="AJ57" s="376" t="s">
        <v>179</v>
      </c>
      <c r="AK57" s="376" t="s">
        <v>180</v>
      </c>
      <c r="AL57" s="376" t="s">
        <v>181</v>
      </c>
      <c r="AM57" s="376" t="s">
        <v>182</v>
      </c>
      <c r="AN57" s="376" t="s">
        <v>68</v>
      </c>
      <c r="AO57" s="379">
        <v>80</v>
      </c>
      <c r="AP57" s="385">
        <v>1</v>
      </c>
      <c r="AQ57" s="385">
        <v>1</v>
      </c>
      <c r="AR57" s="383" t="s">
        <v>183</v>
      </c>
      <c r="AS57" s="387">
        <f t="shared" si="27"/>
        <v>1</v>
      </c>
      <c r="AT57">
        <f t="shared" si="28"/>
        <v>1</v>
      </c>
      <c r="AU57" s="387">
        <f>IF(AT57=0,"",IF(AND(AT57=1,M57="F",SUMIF(C2:C1334,C57,AS2:AS1334)&lt;=1),SUMIF(C2:C1334,C57,AS2:AS1334),IF(AND(AT57=1,M57="F",SUMIF(C2:C1334,C57,AS2:AS1334)&gt;1),1,"")))</f>
        <v>1</v>
      </c>
      <c r="AV57" s="387" t="str">
        <f>IF(AT57=0,"",IF(AND(AT57=3,M57="F",SUMIF(C2:C1334,C57,AS2:AS1334)&lt;=1),SUMIF(C2:C1334,C57,AS2:AS1334),IF(AND(AT57=3,M57="F",SUMIF(C2:C1334,C57,AS2:AS1334)&gt;1),1,"")))</f>
        <v/>
      </c>
      <c r="AW57" s="387">
        <f>SUMIF(C2:C1334,C57,O2:O1334)</f>
        <v>3</v>
      </c>
      <c r="AX57" s="387">
        <f>IF(AND(M57="F",AS57&lt;&gt;0),SUMIF(C2:C1334,C57,W2:W1334),0)</f>
        <v>84635.199999999997</v>
      </c>
      <c r="AY57" s="387">
        <f t="shared" si="29"/>
        <v>84635.199999999997</v>
      </c>
      <c r="AZ57" s="387" t="str">
        <f t="shared" si="30"/>
        <v/>
      </c>
      <c r="BA57" s="387">
        <f t="shared" si="31"/>
        <v>0</v>
      </c>
      <c r="BB57" s="387">
        <f t="shared" si="0"/>
        <v>11650</v>
      </c>
      <c r="BC57" s="387">
        <f t="shared" si="1"/>
        <v>0</v>
      </c>
      <c r="BD57" s="387">
        <f t="shared" si="2"/>
        <v>5247.3823999999995</v>
      </c>
      <c r="BE57" s="387">
        <f t="shared" si="3"/>
        <v>1227.2103999999999</v>
      </c>
      <c r="BF57" s="387">
        <f t="shared" si="4"/>
        <v>10105.442880000001</v>
      </c>
      <c r="BG57" s="387">
        <f t="shared" si="5"/>
        <v>610.21979199999998</v>
      </c>
      <c r="BH57" s="387">
        <f t="shared" si="6"/>
        <v>414.71247999999997</v>
      </c>
      <c r="BI57" s="387">
        <f t="shared" si="7"/>
        <v>468.45583199999999</v>
      </c>
      <c r="BJ57" s="387">
        <f t="shared" si="8"/>
        <v>228.51504</v>
      </c>
      <c r="BK57" s="387">
        <f t="shared" si="9"/>
        <v>0</v>
      </c>
      <c r="BL57" s="387">
        <f t="shared" si="32"/>
        <v>18301.938823999997</v>
      </c>
      <c r="BM57" s="387">
        <f t="shared" si="33"/>
        <v>0</v>
      </c>
      <c r="BN57" s="387">
        <f t="shared" si="10"/>
        <v>11650</v>
      </c>
      <c r="BO57" s="387">
        <f t="shared" si="11"/>
        <v>0</v>
      </c>
      <c r="BP57" s="387">
        <f t="shared" si="12"/>
        <v>5247.3823999999995</v>
      </c>
      <c r="BQ57" s="387">
        <f t="shared" si="13"/>
        <v>1227.2103999999999</v>
      </c>
      <c r="BR57" s="387">
        <f t="shared" si="14"/>
        <v>10105.442880000001</v>
      </c>
      <c r="BS57" s="387">
        <f t="shared" si="15"/>
        <v>610.21979199999998</v>
      </c>
      <c r="BT57" s="387">
        <f t="shared" si="16"/>
        <v>0</v>
      </c>
      <c r="BU57" s="387">
        <f t="shared" si="17"/>
        <v>468.45583199999999</v>
      </c>
      <c r="BV57" s="387">
        <f t="shared" si="18"/>
        <v>287.75967999999995</v>
      </c>
      <c r="BW57" s="387">
        <f t="shared" si="19"/>
        <v>0</v>
      </c>
      <c r="BX57" s="387">
        <f t="shared" si="34"/>
        <v>17946.470984</v>
      </c>
      <c r="BY57" s="387">
        <f t="shared" si="35"/>
        <v>0</v>
      </c>
      <c r="BZ57" s="387">
        <f t="shared" si="36"/>
        <v>0</v>
      </c>
      <c r="CA57" s="387">
        <f t="shared" si="37"/>
        <v>0</v>
      </c>
      <c r="CB57" s="387">
        <f t="shared" si="38"/>
        <v>0</v>
      </c>
      <c r="CC57" s="387">
        <f t="shared" si="20"/>
        <v>0</v>
      </c>
      <c r="CD57" s="387">
        <f t="shared" si="21"/>
        <v>0</v>
      </c>
      <c r="CE57" s="387">
        <f t="shared" si="22"/>
        <v>0</v>
      </c>
      <c r="CF57" s="387">
        <f t="shared" si="23"/>
        <v>-414.71247999999997</v>
      </c>
      <c r="CG57" s="387">
        <f t="shared" si="24"/>
        <v>0</v>
      </c>
      <c r="CH57" s="387">
        <f t="shared" si="25"/>
        <v>59.244639999999968</v>
      </c>
      <c r="CI57" s="387">
        <f t="shared" si="26"/>
        <v>0</v>
      </c>
      <c r="CJ57" s="387">
        <f t="shared" si="39"/>
        <v>-355.46784000000002</v>
      </c>
      <c r="CK57" s="387" t="str">
        <f t="shared" si="40"/>
        <v/>
      </c>
      <c r="CL57" s="387" t="str">
        <f t="shared" si="41"/>
        <v/>
      </c>
      <c r="CM57" s="387" t="str">
        <f t="shared" si="42"/>
        <v/>
      </c>
      <c r="CN57" s="387" t="str">
        <f t="shared" si="43"/>
        <v>0348-31</v>
      </c>
    </row>
    <row r="58" spans="1:92" ht="15.75" thickBot="1" x14ac:dyDescent="0.3">
      <c r="A58" s="376" t="s">
        <v>161</v>
      </c>
      <c r="B58" s="376" t="s">
        <v>162</v>
      </c>
      <c r="C58" s="376" t="s">
        <v>163</v>
      </c>
      <c r="D58" s="376" t="s">
        <v>164</v>
      </c>
      <c r="E58" s="376" t="s">
        <v>224</v>
      </c>
      <c r="F58" s="382" t="s">
        <v>225</v>
      </c>
      <c r="G58" s="376" t="s">
        <v>167</v>
      </c>
      <c r="H58" s="378"/>
      <c r="I58" s="378"/>
      <c r="J58" s="376" t="s">
        <v>168</v>
      </c>
      <c r="K58" s="376" t="s">
        <v>169</v>
      </c>
      <c r="L58" s="376" t="s">
        <v>170</v>
      </c>
      <c r="M58" s="376" t="s">
        <v>171</v>
      </c>
      <c r="N58" s="376" t="s">
        <v>172</v>
      </c>
      <c r="O58" s="379">
        <v>1</v>
      </c>
      <c r="P58" s="385">
        <v>0.35</v>
      </c>
      <c r="Q58" s="385">
        <v>0.35</v>
      </c>
      <c r="R58" s="380">
        <v>80</v>
      </c>
      <c r="S58" s="385">
        <v>0.35</v>
      </c>
      <c r="T58" s="380">
        <v>0</v>
      </c>
      <c r="U58" s="380">
        <v>0</v>
      </c>
      <c r="V58" s="380">
        <v>0</v>
      </c>
      <c r="W58" s="380">
        <v>21184.799999999999</v>
      </c>
      <c r="X58" s="380">
        <v>8658.69</v>
      </c>
      <c r="Y58" s="380">
        <v>21184.799999999999</v>
      </c>
      <c r="Z58" s="380">
        <v>8569.7199999999993</v>
      </c>
      <c r="AA58" s="376" t="s">
        <v>173</v>
      </c>
      <c r="AB58" s="376" t="s">
        <v>174</v>
      </c>
      <c r="AC58" s="376" t="s">
        <v>175</v>
      </c>
      <c r="AD58" s="376" t="s">
        <v>176</v>
      </c>
      <c r="AE58" s="376" t="s">
        <v>169</v>
      </c>
      <c r="AF58" s="376" t="s">
        <v>177</v>
      </c>
      <c r="AG58" s="376" t="s">
        <v>178</v>
      </c>
      <c r="AH58" s="381">
        <v>29.1</v>
      </c>
      <c r="AI58" s="381">
        <v>12580.9</v>
      </c>
      <c r="AJ58" s="376" t="s">
        <v>179</v>
      </c>
      <c r="AK58" s="376" t="s">
        <v>180</v>
      </c>
      <c r="AL58" s="376" t="s">
        <v>181</v>
      </c>
      <c r="AM58" s="376" t="s">
        <v>182</v>
      </c>
      <c r="AN58" s="376" t="s">
        <v>68</v>
      </c>
      <c r="AO58" s="379">
        <v>80</v>
      </c>
      <c r="AP58" s="385">
        <v>1</v>
      </c>
      <c r="AQ58" s="385">
        <v>0.35</v>
      </c>
      <c r="AR58" s="383" t="s">
        <v>183</v>
      </c>
      <c r="AS58" s="387">
        <f t="shared" si="27"/>
        <v>0.35</v>
      </c>
      <c r="AT58">
        <f t="shared" si="28"/>
        <v>1</v>
      </c>
      <c r="AU58" s="387">
        <f>IF(AT58=0,"",IF(AND(AT58=1,M58="F",SUMIF(C2:C1334,C58,AS2:AS1334)&lt;=1),SUMIF(C2:C1334,C58,AS2:AS1334),IF(AND(AT58=1,M58="F",SUMIF(C2:C1334,C58,AS2:AS1334)&gt;1),1,"")))</f>
        <v>1</v>
      </c>
      <c r="AV58" s="387" t="str">
        <f>IF(AT58=0,"",IF(AND(AT58=3,M58="F",SUMIF(C2:C1334,C58,AS2:AS1334)&lt;=1),SUMIF(C2:C1334,C58,AS2:AS1334),IF(AND(AT58=3,M58="F",SUMIF(C2:C1334,C58,AS2:AS1334)&gt;1),1,"")))</f>
        <v/>
      </c>
      <c r="AW58" s="387">
        <f>SUMIF(C2:C1334,C58,O2:O1334)</f>
        <v>4</v>
      </c>
      <c r="AX58" s="387">
        <f>IF(AND(M58="F",AS58&lt;&gt;0),SUMIF(C2:C1334,C58,W2:W1334),0)</f>
        <v>60528</v>
      </c>
      <c r="AY58" s="387">
        <f t="shared" si="29"/>
        <v>21184.799999999999</v>
      </c>
      <c r="AZ58" s="387" t="str">
        <f t="shared" si="30"/>
        <v/>
      </c>
      <c r="BA58" s="387">
        <f t="shared" si="31"/>
        <v>0</v>
      </c>
      <c r="BB58" s="387">
        <f t="shared" si="0"/>
        <v>4077.4999999999995</v>
      </c>
      <c r="BC58" s="387">
        <f t="shared" si="1"/>
        <v>0</v>
      </c>
      <c r="BD58" s="387">
        <f t="shared" si="2"/>
        <v>1313.4576</v>
      </c>
      <c r="BE58" s="387">
        <f t="shared" si="3"/>
        <v>307.17959999999999</v>
      </c>
      <c r="BF58" s="387">
        <f t="shared" si="4"/>
        <v>2529.4651199999998</v>
      </c>
      <c r="BG58" s="387">
        <f t="shared" si="5"/>
        <v>152.74240800000001</v>
      </c>
      <c r="BH58" s="387">
        <f t="shared" si="6"/>
        <v>103.80551999999999</v>
      </c>
      <c r="BI58" s="387">
        <f t="shared" si="7"/>
        <v>117.257868</v>
      </c>
      <c r="BJ58" s="387">
        <f t="shared" si="8"/>
        <v>57.19896</v>
      </c>
      <c r="BK58" s="387">
        <f t="shared" si="9"/>
        <v>0</v>
      </c>
      <c r="BL58" s="387">
        <f t="shared" si="32"/>
        <v>4581.1070759999993</v>
      </c>
      <c r="BM58" s="387">
        <f t="shared" si="33"/>
        <v>0</v>
      </c>
      <c r="BN58" s="387">
        <f t="shared" si="10"/>
        <v>4077.4999999999995</v>
      </c>
      <c r="BO58" s="387">
        <f t="shared" si="11"/>
        <v>0</v>
      </c>
      <c r="BP58" s="387">
        <f t="shared" si="12"/>
        <v>1313.4576</v>
      </c>
      <c r="BQ58" s="387">
        <f t="shared" si="13"/>
        <v>307.17959999999999</v>
      </c>
      <c r="BR58" s="387">
        <f t="shared" si="14"/>
        <v>2529.4651199999998</v>
      </c>
      <c r="BS58" s="387">
        <f t="shared" si="15"/>
        <v>152.74240800000001</v>
      </c>
      <c r="BT58" s="387">
        <f t="shared" si="16"/>
        <v>0</v>
      </c>
      <c r="BU58" s="387">
        <f t="shared" si="17"/>
        <v>117.257868</v>
      </c>
      <c r="BV58" s="387">
        <f t="shared" si="18"/>
        <v>72.028319999999994</v>
      </c>
      <c r="BW58" s="387">
        <f t="shared" si="19"/>
        <v>0</v>
      </c>
      <c r="BX58" s="387">
        <f t="shared" si="34"/>
        <v>4492.1309160000001</v>
      </c>
      <c r="BY58" s="387">
        <f t="shared" si="35"/>
        <v>0</v>
      </c>
      <c r="BZ58" s="387">
        <f t="shared" si="36"/>
        <v>0</v>
      </c>
      <c r="CA58" s="387">
        <f t="shared" si="37"/>
        <v>0</v>
      </c>
      <c r="CB58" s="387">
        <f t="shared" si="38"/>
        <v>0</v>
      </c>
      <c r="CC58" s="387">
        <f t="shared" si="20"/>
        <v>0</v>
      </c>
      <c r="CD58" s="387">
        <f t="shared" si="21"/>
        <v>0</v>
      </c>
      <c r="CE58" s="387">
        <f t="shared" si="22"/>
        <v>0</v>
      </c>
      <c r="CF58" s="387">
        <f t="shared" si="23"/>
        <v>-103.80551999999999</v>
      </c>
      <c r="CG58" s="387">
        <f t="shared" si="24"/>
        <v>0</v>
      </c>
      <c r="CH58" s="387">
        <f t="shared" si="25"/>
        <v>14.829359999999992</v>
      </c>
      <c r="CI58" s="387">
        <f t="shared" si="26"/>
        <v>0</v>
      </c>
      <c r="CJ58" s="387">
        <f t="shared" si="39"/>
        <v>-88.976159999999993</v>
      </c>
      <c r="CK58" s="387" t="str">
        <f t="shared" si="40"/>
        <v/>
      </c>
      <c r="CL58" s="387" t="str">
        <f t="shared" si="41"/>
        <v/>
      </c>
      <c r="CM58" s="387" t="str">
        <f t="shared" si="42"/>
        <v/>
      </c>
      <c r="CN58" s="387" t="str">
        <f t="shared" si="43"/>
        <v>0348-31</v>
      </c>
    </row>
    <row r="59" spans="1:92" ht="15.75" thickBot="1" x14ac:dyDescent="0.3">
      <c r="A59" s="376" t="s">
        <v>161</v>
      </c>
      <c r="B59" s="376" t="s">
        <v>162</v>
      </c>
      <c r="C59" s="376" t="s">
        <v>490</v>
      </c>
      <c r="D59" s="376" t="s">
        <v>491</v>
      </c>
      <c r="E59" s="376" t="s">
        <v>224</v>
      </c>
      <c r="F59" s="382" t="s">
        <v>225</v>
      </c>
      <c r="G59" s="376" t="s">
        <v>167</v>
      </c>
      <c r="H59" s="378"/>
      <c r="I59" s="378"/>
      <c r="J59" s="376" t="s">
        <v>215</v>
      </c>
      <c r="K59" s="376" t="s">
        <v>492</v>
      </c>
      <c r="L59" s="376" t="s">
        <v>296</v>
      </c>
      <c r="M59" s="376" t="s">
        <v>171</v>
      </c>
      <c r="N59" s="376" t="s">
        <v>172</v>
      </c>
      <c r="O59" s="379">
        <v>1</v>
      </c>
      <c r="P59" s="385">
        <v>1</v>
      </c>
      <c r="Q59" s="385">
        <v>1</v>
      </c>
      <c r="R59" s="380">
        <v>80</v>
      </c>
      <c r="S59" s="385">
        <v>1</v>
      </c>
      <c r="T59" s="380">
        <v>0</v>
      </c>
      <c r="U59" s="380">
        <v>0</v>
      </c>
      <c r="V59" s="380">
        <v>0</v>
      </c>
      <c r="W59" s="380">
        <v>54849.599999999999</v>
      </c>
      <c r="X59" s="380">
        <v>23511.19</v>
      </c>
      <c r="Y59" s="380">
        <v>54849.599999999999</v>
      </c>
      <c r="Z59" s="380">
        <v>23280.82</v>
      </c>
      <c r="AA59" s="376" t="s">
        <v>493</v>
      </c>
      <c r="AB59" s="376" t="s">
        <v>494</v>
      </c>
      <c r="AC59" s="376" t="s">
        <v>495</v>
      </c>
      <c r="AD59" s="376" t="s">
        <v>198</v>
      </c>
      <c r="AE59" s="376" t="s">
        <v>492</v>
      </c>
      <c r="AF59" s="376" t="s">
        <v>301</v>
      </c>
      <c r="AG59" s="376" t="s">
        <v>178</v>
      </c>
      <c r="AH59" s="381">
        <v>26.37</v>
      </c>
      <c r="AI59" s="381">
        <v>29028.1</v>
      </c>
      <c r="AJ59" s="376" t="s">
        <v>179</v>
      </c>
      <c r="AK59" s="376" t="s">
        <v>180</v>
      </c>
      <c r="AL59" s="376" t="s">
        <v>181</v>
      </c>
      <c r="AM59" s="376" t="s">
        <v>182</v>
      </c>
      <c r="AN59" s="376" t="s">
        <v>68</v>
      </c>
      <c r="AO59" s="379">
        <v>80</v>
      </c>
      <c r="AP59" s="385">
        <v>1</v>
      </c>
      <c r="AQ59" s="385">
        <v>1</v>
      </c>
      <c r="AR59" s="383" t="s">
        <v>183</v>
      </c>
      <c r="AS59" s="387">
        <f t="shared" si="27"/>
        <v>1</v>
      </c>
      <c r="AT59">
        <f t="shared" si="28"/>
        <v>1</v>
      </c>
      <c r="AU59" s="387">
        <f>IF(AT59=0,"",IF(AND(AT59=1,M59="F",SUMIF(C2:C1334,C59,AS2:AS1334)&lt;=1),SUMIF(C2:C1334,C59,AS2:AS1334),IF(AND(AT59=1,M59="F",SUMIF(C2:C1334,C59,AS2:AS1334)&gt;1),1,"")))</f>
        <v>1</v>
      </c>
      <c r="AV59" s="387" t="str">
        <f>IF(AT59=0,"",IF(AND(AT59=3,M59="F",SUMIF(C2:C1334,C59,AS2:AS1334)&lt;=1),SUMIF(C2:C1334,C59,AS2:AS1334),IF(AND(AT59=3,M59="F",SUMIF(C2:C1334,C59,AS2:AS1334)&gt;1),1,"")))</f>
        <v/>
      </c>
      <c r="AW59" s="387">
        <f>SUMIF(C2:C1334,C59,O2:O1334)</f>
        <v>2</v>
      </c>
      <c r="AX59" s="387">
        <f>IF(AND(M59="F",AS59&lt;&gt;0),SUMIF(C2:C1334,C59,W2:W1334),0)</f>
        <v>54849.599999999999</v>
      </c>
      <c r="AY59" s="387">
        <f t="shared" si="29"/>
        <v>54849.599999999999</v>
      </c>
      <c r="AZ59" s="387" t="str">
        <f t="shared" si="30"/>
        <v/>
      </c>
      <c r="BA59" s="387">
        <f t="shared" si="31"/>
        <v>0</v>
      </c>
      <c r="BB59" s="387">
        <f t="shared" si="0"/>
        <v>11650</v>
      </c>
      <c r="BC59" s="387">
        <f t="shared" si="1"/>
        <v>0</v>
      </c>
      <c r="BD59" s="387">
        <f t="shared" si="2"/>
        <v>3400.6751999999997</v>
      </c>
      <c r="BE59" s="387">
        <f t="shared" si="3"/>
        <v>795.31920000000002</v>
      </c>
      <c r="BF59" s="387">
        <f t="shared" si="4"/>
        <v>6549.0422399999998</v>
      </c>
      <c r="BG59" s="387">
        <f t="shared" si="5"/>
        <v>395.46561600000001</v>
      </c>
      <c r="BH59" s="387">
        <f t="shared" si="6"/>
        <v>268.76303999999999</v>
      </c>
      <c r="BI59" s="387">
        <f t="shared" si="7"/>
        <v>303.592536</v>
      </c>
      <c r="BJ59" s="387">
        <f t="shared" si="8"/>
        <v>148.09392</v>
      </c>
      <c r="BK59" s="387">
        <f t="shared" si="9"/>
        <v>0</v>
      </c>
      <c r="BL59" s="387">
        <f t="shared" si="32"/>
        <v>11860.951751999997</v>
      </c>
      <c r="BM59" s="387">
        <f t="shared" si="33"/>
        <v>0</v>
      </c>
      <c r="BN59" s="387">
        <f t="shared" si="10"/>
        <v>11650</v>
      </c>
      <c r="BO59" s="387">
        <f t="shared" si="11"/>
        <v>0</v>
      </c>
      <c r="BP59" s="387">
        <f t="shared" si="12"/>
        <v>3400.6751999999997</v>
      </c>
      <c r="BQ59" s="387">
        <f t="shared" si="13"/>
        <v>795.31920000000002</v>
      </c>
      <c r="BR59" s="387">
        <f t="shared" si="14"/>
        <v>6549.0422399999998</v>
      </c>
      <c r="BS59" s="387">
        <f t="shared" si="15"/>
        <v>395.46561600000001</v>
      </c>
      <c r="BT59" s="387">
        <f t="shared" si="16"/>
        <v>0</v>
      </c>
      <c r="BU59" s="387">
        <f t="shared" si="17"/>
        <v>303.592536</v>
      </c>
      <c r="BV59" s="387">
        <f t="shared" si="18"/>
        <v>186.48863999999998</v>
      </c>
      <c r="BW59" s="387">
        <f t="shared" si="19"/>
        <v>0</v>
      </c>
      <c r="BX59" s="387">
        <f t="shared" si="34"/>
        <v>11630.583431999998</v>
      </c>
      <c r="BY59" s="387">
        <f t="shared" si="35"/>
        <v>0</v>
      </c>
      <c r="BZ59" s="387">
        <f t="shared" si="36"/>
        <v>0</v>
      </c>
      <c r="CA59" s="387">
        <f t="shared" si="37"/>
        <v>0</v>
      </c>
      <c r="CB59" s="387">
        <f t="shared" si="38"/>
        <v>0</v>
      </c>
      <c r="CC59" s="387">
        <f t="shared" si="20"/>
        <v>0</v>
      </c>
      <c r="CD59" s="387">
        <f t="shared" si="21"/>
        <v>0</v>
      </c>
      <c r="CE59" s="387">
        <f t="shared" si="22"/>
        <v>0</v>
      </c>
      <c r="CF59" s="387">
        <f t="shared" si="23"/>
        <v>-268.76303999999999</v>
      </c>
      <c r="CG59" s="387">
        <f t="shared" si="24"/>
        <v>0</v>
      </c>
      <c r="CH59" s="387">
        <f t="shared" si="25"/>
        <v>38.394719999999978</v>
      </c>
      <c r="CI59" s="387">
        <f t="shared" si="26"/>
        <v>0</v>
      </c>
      <c r="CJ59" s="387">
        <f t="shared" si="39"/>
        <v>-230.36832000000001</v>
      </c>
      <c r="CK59" s="387" t="str">
        <f t="shared" si="40"/>
        <v/>
      </c>
      <c r="CL59" s="387" t="str">
        <f t="shared" si="41"/>
        <v/>
      </c>
      <c r="CM59" s="387" t="str">
        <f t="shared" si="42"/>
        <v/>
      </c>
      <c r="CN59" s="387" t="str">
        <f t="shared" si="43"/>
        <v>0348-31</v>
      </c>
    </row>
    <row r="60" spans="1:92" ht="15.75" thickBot="1" x14ac:dyDescent="0.3">
      <c r="A60" s="376" t="s">
        <v>161</v>
      </c>
      <c r="B60" s="376" t="s">
        <v>162</v>
      </c>
      <c r="C60" s="376" t="s">
        <v>496</v>
      </c>
      <c r="D60" s="376" t="s">
        <v>497</v>
      </c>
      <c r="E60" s="376" t="s">
        <v>224</v>
      </c>
      <c r="F60" s="382" t="s">
        <v>225</v>
      </c>
      <c r="G60" s="376" t="s">
        <v>167</v>
      </c>
      <c r="H60" s="378"/>
      <c r="I60" s="378"/>
      <c r="J60" s="376" t="s">
        <v>215</v>
      </c>
      <c r="K60" s="376" t="s">
        <v>498</v>
      </c>
      <c r="L60" s="376" t="s">
        <v>170</v>
      </c>
      <c r="M60" s="376" t="s">
        <v>171</v>
      </c>
      <c r="N60" s="376" t="s">
        <v>172</v>
      </c>
      <c r="O60" s="379">
        <v>1</v>
      </c>
      <c r="P60" s="385">
        <v>1</v>
      </c>
      <c r="Q60" s="385">
        <v>1</v>
      </c>
      <c r="R60" s="380">
        <v>80</v>
      </c>
      <c r="S60" s="385">
        <v>1</v>
      </c>
      <c r="T60" s="380">
        <v>0</v>
      </c>
      <c r="U60" s="380">
        <v>0</v>
      </c>
      <c r="V60" s="380">
        <v>0</v>
      </c>
      <c r="W60" s="380">
        <v>66123.199999999997</v>
      </c>
      <c r="X60" s="380">
        <v>25949.11</v>
      </c>
      <c r="Y60" s="380">
        <v>66123.199999999997</v>
      </c>
      <c r="Z60" s="380">
        <v>25671.39</v>
      </c>
      <c r="AA60" s="376" t="s">
        <v>499</v>
      </c>
      <c r="AB60" s="376" t="s">
        <v>500</v>
      </c>
      <c r="AC60" s="376" t="s">
        <v>501</v>
      </c>
      <c r="AD60" s="376" t="s">
        <v>502</v>
      </c>
      <c r="AE60" s="376" t="s">
        <v>498</v>
      </c>
      <c r="AF60" s="376" t="s">
        <v>177</v>
      </c>
      <c r="AG60" s="376" t="s">
        <v>178</v>
      </c>
      <c r="AH60" s="381">
        <v>31.79</v>
      </c>
      <c r="AI60" s="381">
        <v>9658.5</v>
      </c>
      <c r="AJ60" s="376" t="s">
        <v>179</v>
      </c>
      <c r="AK60" s="376" t="s">
        <v>180</v>
      </c>
      <c r="AL60" s="376" t="s">
        <v>181</v>
      </c>
      <c r="AM60" s="376" t="s">
        <v>182</v>
      </c>
      <c r="AN60" s="376" t="s">
        <v>68</v>
      </c>
      <c r="AO60" s="379">
        <v>80</v>
      </c>
      <c r="AP60" s="385">
        <v>1</v>
      </c>
      <c r="AQ60" s="385">
        <v>1</v>
      </c>
      <c r="AR60" s="383" t="s">
        <v>183</v>
      </c>
      <c r="AS60" s="387">
        <f t="shared" si="27"/>
        <v>1</v>
      </c>
      <c r="AT60">
        <f t="shared" si="28"/>
        <v>1</v>
      </c>
      <c r="AU60" s="387">
        <f>IF(AT60=0,"",IF(AND(AT60=1,M60="F",SUMIF(C2:C1334,C60,AS2:AS1334)&lt;=1),SUMIF(C2:C1334,C60,AS2:AS1334),IF(AND(AT60=1,M60="F",SUMIF(C2:C1334,C60,AS2:AS1334)&gt;1),1,"")))</f>
        <v>1</v>
      </c>
      <c r="AV60" s="387" t="str">
        <f>IF(AT60=0,"",IF(AND(AT60=3,M60="F",SUMIF(C2:C1334,C60,AS2:AS1334)&lt;=1),SUMIF(C2:C1334,C60,AS2:AS1334),IF(AND(AT60=3,M60="F",SUMIF(C2:C1334,C60,AS2:AS1334)&gt;1),1,"")))</f>
        <v/>
      </c>
      <c r="AW60" s="387">
        <f>SUMIF(C2:C1334,C60,O2:O1334)</f>
        <v>2</v>
      </c>
      <c r="AX60" s="387">
        <f>IF(AND(M60="F",AS60&lt;&gt;0),SUMIF(C2:C1334,C60,W2:W1334),0)</f>
        <v>66123.199999999997</v>
      </c>
      <c r="AY60" s="387">
        <f t="shared" si="29"/>
        <v>66123.199999999997</v>
      </c>
      <c r="AZ60" s="387" t="str">
        <f t="shared" si="30"/>
        <v/>
      </c>
      <c r="BA60" s="387">
        <f t="shared" si="31"/>
        <v>0</v>
      </c>
      <c r="BB60" s="387">
        <f t="shared" si="0"/>
        <v>11650</v>
      </c>
      <c r="BC60" s="387">
        <f t="shared" si="1"/>
        <v>0</v>
      </c>
      <c r="BD60" s="387">
        <f t="shared" si="2"/>
        <v>4099.6383999999998</v>
      </c>
      <c r="BE60" s="387">
        <f t="shared" si="3"/>
        <v>958.78639999999996</v>
      </c>
      <c r="BF60" s="387">
        <f t="shared" si="4"/>
        <v>7895.1100800000004</v>
      </c>
      <c r="BG60" s="387">
        <f t="shared" si="5"/>
        <v>476.74827199999999</v>
      </c>
      <c r="BH60" s="387">
        <f t="shared" si="6"/>
        <v>324.00367999999997</v>
      </c>
      <c r="BI60" s="387">
        <f t="shared" si="7"/>
        <v>365.99191199999996</v>
      </c>
      <c r="BJ60" s="387">
        <f t="shared" si="8"/>
        <v>178.53264000000001</v>
      </c>
      <c r="BK60" s="387">
        <f t="shared" si="9"/>
        <v>0</v>
      </c>
      <c r="BL60" s="387">
        <f t="shared" si="32"/>
        <v>14298.811383999999</v>
      </c>
      <c r="BM60" s="387">
        <f t="shared" si="33"/>
        <v>0</v>
      </c>
      <c r="BN60" s="387">
        <f t="shared" si="10"/>
        <v>11650</v>
      </c>
      <c r="BO60" s="387">
        <f t="shared" si="11"/>
        <v>0</v>
      </c>
      <c r="BP60" s="387">
        <f t="shared" si="12"/>
        <v>4099.6383999999998</v>
      </c>
      <c r="BQ60" s="387">
        <f t="shared" si="13"/>
        <v>958.78639999999996</v>
      </c>
      <c r="BR60" s="387">
        <f t="shared" si="14"/>
        <v>7895.1100800000004</v>
      </c>
      <c r="BS60" s="387">
        <f t="shared" si="15"/>
        <v>476.74827199999999</v>
      </c>
      <c r="BT60" s="387">
        <f t="shared" si="16"/>
        <v>0</v>
      </c>
      <c r="BU60" s="387">
        <f t="shared" si="17"/>
        <v>365.99191199999996</v>
      </c>
      <c r="BV60" s="387">
        <f t="shared" si="18"/>
        <v>224.81887999999998</v>
      </c>
      <c r="BW60" s="387">
        <f t="shared" si="19"/>
        <v>0</v>
      </c>
      <c r="BX60" s="387">
        <f t="shared" si="34"/>
        <v>14021.093944</v>
      </c>
      <c r="BY60" s="387">
        <f t="shared" si="35"/>
        <v>0</v>
      </c>
      <c r="BZ60" s="387">
        <f t="shared" si="36"/>
        <v>0</v>
      </c>
      <c r="CA60" s="387">
        <f t="shared" si="37"/>
        <v>0</v>
      </c>
      <c r="CB60" s="387">
        <f t="shared" si="38"/>
        <v>0</v>
      </c>
      <c r="CC60" s="387">
        <f t="shared" si="20"/>
        <v>0</v>
      </c>
      <c r="CD60" s="387">
        <f t="shared" si="21"/>
        <v>0</v>
      </c>
      <c r="CE60" s="387">
        <f t="shared" si="22"/>
        <v>0</v>
      </c>
      <c r="CF60" s="387">
        <f t="shared" si="23"/>
        <v>-324.00367999999997</v>
      </c>
      <c r="CG60" s="387">
        <f t="shared" si="24"/>
        <v>0</v>
      </c>
      <c r="CH60" s="387">
        <f t="shared" si="25"/>
        <v>46.286239999999978</v>
      </c>
      <c r="CI60" s="387">
        <f t="shared" si="26"/>
        <v>0</v>
      </c>
      <c r="CJ60" s="387">
        <f t="shared" si="39"/>
        <v>-277.71744000000001</v>
      </c>
      <c r="CK60" s="387" t="str">
        <f t="shared" si="40"/>
        <v/>
      </c>
      <c r="CL60" s="387" t="str">
        <f t="shared" si="41"/>
        <v/>
      </c>
      <c r="CM60" s="387" t="str">
        <f t="shared" si="42"/>
        <v/>
      </c>
      <c r="CN60" s="387" t="str">
        <f t="shared" si="43"/>
        <v>0348-31</v>
      </c>
    </row>
    <row r="61" spans="1:92" ht="15.75" thickBot="1" x14ac:dyDescent="0.3">
      <c r="A61" s="376" t="s">
        <v>161</v>
      </c>
      <c r="B61" s="376" t="s">
        <v>162</v>
      </c>
      <c r="C61" s="376" t="s">
        <v>503</v>
      </c>
      <c r="D61" s="376" t="s">
        <v>504</v>
      </c>
      <c r="E61" s="376" t="s">
        <v>224</v>
      </c>
      <c r="F61" s="382" t="s">
        <v>225</v>
      </c>
      <c r="G61" s="376" t="s">
        <v>167</v>
      </c>
      <c r="H61" s="378"/>
      <c r="I61" s="378"/>
      <c r="J61" s="376" t="s">
        <v>239</v>
      </c>
      <c r="K61" s="376" t="s">
        <v>505</v>
      </c>
      <c r="L61" s="376" t="s">
        <v>432</v>
      </c>
      <c r="M61" s="376" t="s">
        <v>171</v>
      </c>
      <c r="N61" s="376" t="s">
        <v>172</v>
      </c>
      <c r="O61" s="379">
        <v>1</v>
      </c>
      <c r="P61" s="385">
        <v>0.85</v>
      </c>
      <c r="Q61" s="385">
        <v>0.85</v>
      </c>
      <c r="R61" s="380">
        <v>80</v>
      </c>
      <c r="S61" s="385">
        <v>0.85</v>
      </c>
      <c r="T61" s="380">
        <v>0</v>
      </c>
      <c r="U61" s="380">
        <v>0</v>
      </c>
      <c r="V61" s="380">
        <v>0</v>
      </c>
      <c r="W61" s="380">
        <v>93597.92</v>
      </c>
      <c r="X61" s="380">
        <v>30143.03</v>
      </c>
      <c r="Y61" s="380">
        <v>93597.92</v>
      </c>
      <c r="Z61" s="380">
        <v>29749.919999999998</v>
      </c>
      <c r="AA61" s="376" t="s">
        <v>506</v>
      </c>
      <c r="AB61" s="376" t="s">
        <v>507</v>
      </c>
      <c r="AC61" s="376" t="s">
        <v>508</v>
      </c>
      <c r="AD61" s="376" t="s">
        <v>324</v>
      </c>
      <c r="AE61" s="376" t="s">
        <v>505</v>
      </c>
      <c r="AF61" s="376" t="s">
        <v>436</v>
      </c>
      <c r="AG61" s="376" t="s">
        <v>178</v>
      </c>
      <c r="AH61" s="381">
        <v>52.94</v>
      </c>
      <c r="AI61" s="381">
        <v>18153.5</v>
      </c>
      <c r="AJ61" s="376" t="s">
        <v>179</v>
      </c>
      <c r="AK61" s="376" t="s">
        <v>180</v>
      </c>
      <c r="AL61" s="376" t="s">
        <v>181</v>
      </c>
      <c r="AM61" s="376" t="s">
        <v>182</v>
      </c>
      <c r="AN61" s="376" t="s">
        <v>68</v>
      </c>
      <c r="AO61" s="379">
        <v>80</v>
      </c>
      <c r="AP61" s="385">
        <v>1</v>
      </c>
      <c r="AQ61" s="385">
        <v>0.85</v>
      </c>
      <c r="AR61" s="383" t="s">
        <v>183</v>
      </c>
      <c r="AS61" s="387">
        <f t="shared" si="27"/>
        <v>0.85</v>
      </c>
      <c r="AT61">
        <f t="shared" si="28"/>
        <v>1</v>
      </c>
      <c r="AU61" s="387">
        <f>IF(AT61=0,"",IF(AND(AT61=1,M61="F",SUMIF(C2:C1334,C61,AS2:AS1334)&lt;=1),SUMIF(C2:C1334,C61,AS2:AS1334),IF(AND(AT61=1,M61="F",SUMIF(C2:C1334,C61,AS2:AS1334)&gt;1),1,"")))</f>
        <v>1</v>
      </c>
      <c r="AV61" s="387" t="str">
        <f>IF(AT61=0,"",IF(AND(AT61=3,M61="F",SUMIF(C2:C1334,C61,AS2:AS1334)&lt;=1),SUMIF(C2:C1334,C61,AS2:AS1334),IF(AND(AT61=3,M61="F",SUMIF(C2:C1334,C61,AS2:AS1334)&gt;1),1,"")))</f>
        <v/>
      </c>
      <c r="AW61" s="387">
        <f>SUMIF(C2:C1334,C61,O2:O1334)</f>
        <v>3</v>
      </c>
      <c r="AX61" s="387">
        <f>IF(AND(M61="F",AS61&lt;&gt;0),SUMIF(C2:C1334,C61,W2:W1334),0)</f>
        <v>110115.2</v>
      </c>
      <c r="AY61" s="387">
        <f t="shared" si="29"/>
        <v>93597.92</v>
      </c>
      <c r="AZ61" s="387" t="str">
        <f t="shared" si="30"/>
        <v/>
      </c>
      <c r="BA61" s="387">
        <f t="shared" si="31"/>
        <v>0</v>
      </c>
      <c r="BB61" s="387">
        <f t="shared" si="0"/>
        <v>9902.5</v>
      </c>
      <c r="BC61" s="387">
        <f t="shared" si="1"/>
        <v>0</v>
      </c>
      <c r="BD61" s="387">
        <f t="shared" si="2"/>
        <v>5803.0710399999998</v>
      </c>
      <c r="BE61" s="387">
        <f t="shared" si="3"/>
        <v>1357.16984</v>
      </c>
      <c r="BF61" s="387">
        <f t="shared" si="4"/>
        <v>11175.591648</v>
      </c>
      <c r="BG61" s="387">
        <f t="shared" si="5"/>
        <v>674.84100320000005</v>
      </c>
      <c r="BH61" s="387">
        <f t="shared" si="6"/>
        <v>458.62980799999997</v>
      </c>
      <c r="BI61" s="387">
        <f t="shared" si="7"/>
        <v>518.06448720000003</v>
      </c>
      <c r="BJ61" s="387">
        <f t="shared" si="8"/>
        <v>252.714384</v>
      </c>
      <c r="BK61" s="387">
        <f t="shared" si="9"/>
        <v>0</v>
      </c>
      <c r="BL61" s="387">
        <f t="shared" si="32"/>
        <v>20240.0822104</v>
      </c>
      <c r="BM61" s="387">
        <f t="shared" si="33"/>
        <v>0</v>
      </c>
      <c r="BN61" s="387">
        <f t="shared" si="10"/>
        <v>9902.5</v>
      </c>
      <c r="BO61" s="387">
        <f t="shared" si="11"/>
        <v>0</v>
      </c>
      <c r="BP61" s="387">
        <f t="shared" si="12"/>
        <v>5803.0710399999998</v>
      </c>
      <c r="BQ61" s="387">
        <f t="shared" si="13"/>
        <v>1357.16984</v>
      </c>
      <c r="BR61" s="387">
        <f t="shared" si="14"/>
        <v>11175.591648</v>
      </c>
      <c r="BS61" s="387">
        <f t="shared" si="15"/>
        <v>674.84100320000005</v>
      </c>
      <c r="BT61" s="387">
        <f t="shared" si="16"/>
        <v>0</v>
      </c>
      <c r="BU61" s="387">
        <f t="shared" si="17"/>
        <v>518.06448720000003</v>
      </c>
      <c r="BV61" s="387">
        <f t="shared" si="18"/>
        <v>318.23292799999996</v>
      </c>
      <c r="BW61" s="387">
        <f t="shared" si="19"/>
        <v>0</v>
      </c>
      <c r="BX61" s="387">
        <f t="shared" si="34"/>
        <v>19846.970946400001</v>
      </c>
      <c r="BY61" s="387">
        <f t="shared" si="35"/>
        <v>0</v>
      </c>
      <c r="BZ61" s="387">
        <f t="shared" si="36"/>
        <v>0</v>
      </c>
      <c r="CA61" s="387">
        <f t="shared" si="37"/>
        <v>0</v>
      </c>
      <c r="CB61" s="387">
        <f t="shared" si="38"/>
        <v>0</v>
      </c>
      <c r="CC61" s="387">
        <f t="shared" si="20"/>
        <v>0</v>
      </c>
      <c r="CD61" s="387">
        <f t="shared" si="21"/>
        <v>0</v>
      </c>
      <c r="CE61" s="387">
        <f t="shared" si="22"/>
        <v>0</v>
      </c>
      <c r="CF61" s="387">
        <f t="shared" si="23"/>
        <v>-458.62980799999997</v>
      </c>
      <c r="CG61" s="387">
        <f t="shared" si="24"/>
        <v>0</v>
      </c>
      <c r="CH61" s="387">
        <f t="shared" si="25"/>
        <v>65.518543999999963</v>
      </c>
      <c r="CI61" s="387">
        <f t="shared" si="26"/>
        <v>0</v>
      </c>
      <c r="CJ61" s="387">
        <f t="shared" si="39"/>
        <v>-393.11126400000001</v>
      </c>
      <c r="CK61" s="387" t="str">
        <f t="shared" si="40"/>
        <v/>
      </c>
      <c r="CL61" s="387" t="str">
        <f t="shared" si="41"/>
        <v/>
      </c>
      <c r="CM61" s="387" t="str">
        <f t="shared" si="42"/>
        <v/>
      </c>
      <c r="CN61" s="387" t="str">
        <f t="shared" si="43"/>
        <v>0348-31</v>
      </c>
    </row>
    <row r="62" spans="1:92" ht="15.75" thickBot="1" x14ac:dyDescent="0.3">
      <c r="A62" s="376" t="s">
        <v>161</v>
      </c>
      <c r="B62" s="376" t="s">
        <v>162</v>
      </c>
      <c r="C62" s="376" t="s">
        <v>509</v>
      </c>
      <c r="D62" s="376" t="s">
        <v>238</v>
      </c>
      <c r="E62" s="376" t="s">
        <v>224</v>
      </c>
      <c r="F62" s="382" t="s">
        <v>225</v>
      </c>
      <c r="G62" s="376" t="s">
        <v>167</v>
      </c>
      <c r="H62" s="378"/>
      <c r="I62" s="378"/>
      <c r="J62" s="376" t="s">
        <v>215</v>
      </c>
      <c r="K62" s="376" t="s">
        <v>285</v>
      </c>
      <c r="L62" s="376" t="s">
        <v>170</v>
      </c>
      <c r="M62" s="376" t="s">
        <v>171</v>
      </c>
      <c r="N62" s="376" t="s">
        <v>172</v>
      </c>
      <c r="O62" s="379">
        <v>1</v>
      </c>
      <c r="P62" s="385">
        <v>1</v>
      </c>
      <c r="Q62" s="385">
        <v>1</v>
      </c>
      <c r="R62" s="380">
        <v>80</v>
      </c>
      <c r="S62" s="385">
        <v>1</v>
      </c>
      <c r="T62" s="380">
        <v>0</v>
      </c>
      <c r="U62" s="380">
        <v>0</v>
      </c>
      <c r="V62" s="380">
        <v>0</v>
      </c>
      <c r="W62" s="380">
        <v>60652.800000000003</v>
      </c>
      <c r="X62" s="380">
        <v>24766.13</v>
      </c>
      <c r="Y62" s="380">
        <v>60652.800000000003</v>
      </c>
      <c r="Z62" s="380">
        <v>24511.39</v>
      </c>
      <c r="AA62" s="376" t="s">
        <v>510</v>
      </c>
      <c r="AB62" s="376" t="s">
        <v>511</v>
      </c>
      <c r="AC62" s="376" t="s">
        <v>512</v>
      </c>
      <c r="AD62" s="376" t="s">
        <v>513</v>
      </c>
      <c r="AE62" s="376" t="s">
        <v>285</v>
      </c>
      <c r="AF62" s="376" t="s">
        <v>177</v>
      </c>
      <c r="AG62" s="376" t="s">
        <v>178</v>
      </c>
      <c r="AH62" s="381">
        <v>29.16</v>
      </c>
      <c r="AI62" s="379">
        <v>17505</v>
      </c>
      <c r="AJ62" s="376" t="s">
        <v>179</v>
      </c>
      <c r="AK62" s="376" t="s">
        <v>180</v>
      </c>
      <c r="AL62" s="376" t="s">
        <v>181</v>
      </c>
      <c r="AM62" s="376" t="s">
        <v>182</v>
      </c>
      <c r="AN62" s="376" t="s">
        <v>68</v>
      </c>
      <c r="AO62" s="379">
        <v>80</v>
      </c>
      <c r="AP62" s="385">
        <v>1</v>
      </c>
      <c r="AQ62" s="385">
        <v>1</v>
      </c>
      <c r="AR62" s="383" t="s">
        <v>183</v>
      </c>
      <c r="AS62" s="387">
        <f t="shared" si="27"/>
        <v>1</v>
      </c>
      <c r="AT62">
        <f t="shared" si="28"/>
        <v>1</v>
      </c>
      <c r="AU62" s="387">
        <f>IF(AT62=0,"",IF(AND(AT62=1,M62="F",SUMIF(C2:C1334,C62,AS2:AS1334)&lt;=1),SUMIF(C2:C1334,C62,AS2:AS1334),IF(AND(AT62=1,M62="F",SUMIF(C2:C1334,C62,AS2:AS1334)&gt;1),1,"")))</f>
        <v>1</v>
      </c>
      <c r="AV62" s="387" t="str">
        <f>IF(AT62=0,"",IF(AND(AT62=3,M62="F",SUMIF(C2:C1334,C62,AS2:AS1334)&lt;=1),SUMIF(C2:C1334,C62,AS2:AS1334),IF(AND(AT62=3,M62="F",SUMIF(C2:C1334,C62,AS2:AS1334)&gt;1),1,"")))</f>
        <v/>
      </c>
      <c r="AW62" s="387">
        <f>SUMIF(C2:C1334,C62,O2:O1334)</f>
        <v>3</v>
      </c>
      <c r="AX62" s="387">
        <f>IF(AND(M62="F",AS62&lt;&gt;0),SUMIF(C2:C1334,C62,W2:W1334),0)</f>
        <v>60652.800000000003</v>
      </c>
      <c r="AY62" s="387">
        <f t="shared" si="29"/>
        <v>60652.800000000003</v>
      </c>
      <c r="AZ62" s="387" t="str">
        <f t="shared" si="30"/>
        <v/>
      </c>
      <c r="BA62" s="387">
        <f t="shared" si="31"/>
        <v>0</v>
      </c>
      <c r="BB62" s="387">
        <f t="shared" si="0"/>
        <v>11650</v>
      </c>
      <c r="BC62" s="387">
        <f t="shared" si="1"/>
        <v>0</v>
      </c>
      <c r="BD62" s="387">
        <f t="shared" si="2"/>
        <v>3760.4736000000003</v>
      </c>
      <c r="BE62" s="387">
        <f t="shared" si="3"/>
        <v>879.46560000000011</v>
      </c>
      <c r="BF62" s="387">
        <f t="shared" si="4"/>
        <v>7241.9443200000005</v>
      </c>
      <c r="BG62" s="387">
        <f t="shared" si="5"/>
        <v>437.30668800000007</v>
      </c>
      <c r="BH62" s="387">
        <f t="shared" si="6"/>
        <v>297.19871999999998</v>
      </c>
      <c r="BI62" s="387">
        <f t="shared" si="7"/>
        <v>335.71324800000002</v>
      </c>
      <c r="BJ62" s="387">
        <f t="shared" si="8"/>
        <v>163.76256000000001</v>
      </c>
      <c r="BK62" s="387">
        <f t="shared" si="9"/>
        <v>0</v>
      </c>
      <c r="BL62" s="387">
        <f t="shared" si="32"/>
        <v>13115.864736000001</v>
      </c>
      <c r="BM62" s="387">
        <f t="shared" si="33"/>
        <v>0</v>
      </c>
      <c r="BN62" s="387">
        <f t="shared" si="10"/>
        <v>11650</v>
      </c>
      <c r="BO62" s="387">
        <f t="shared" si="11"/>
        <v>0</v>
      </c>
      <c r="BP62" s="387">
        <f t="shared" si="12"/>
        <v>3760.4736000000003</v>
      </c>
      <c r="BQ62" s="387">
        <f t="shared" si="13"/>
        <v>879.46560000000011</v>
      </c>
      <c r="BR62" s="387">
        <f t="shared" si="14"/>
        <v>7241.9443200000005</v>
      </c>
      <c r="BS62" s="387">
        <f t="shared" si="15"/>
        <v>437.30668800000007</v>
      </c>
      <c r="BT62" s="387">
        <f t="shared" si="16"/>
        <v>0</v>
      </c>
      <c r="BU62" s="387">
        <f t="shared" si="17"/>
        <v>335.71324800000002</v>
      </c>
      <c r="BV62" s="387">
        <f t="shared" si="18"/>
        <v>206.21951999999999</v>
      </c>
      <c r="BW62" s="387">
        <f t="shared" si="19"/>
        <v>0</v>
      </c>
      <c r="BX62" s="387">
        <f t="shared" si="34"/>
        <v>12861.122976000002</v>
      </c>
      <c r="BY62" s="387">
        <f t="shared" si="35"/>
        <v>0</v>
      </c>
      <c r="BZ62" s="387">
        <f t="shared" si="36"/>
        <v>0</v>
      </c>
      <c r="CA62" s="387">
        <f t="shared" si="37"/>
        <v>0</v>
      </c>
      <c r="CB62" s="387">
        <f t="shared" si="38"/>
        <v>0</v>
      </c>
      <c r="CC62" s="387">
        <f t="shared" si="20"/>
        <v>0</v>
      </c>
      <c r="CD62" s="387">
        <f t="shared" si="21"/>
        <v>0</v>
      </c>
      <c r="CE62" s="387">
        <f t="shared" si="22"/>
        <v>0</v>
      </c>
      <c r="CF62" s="387">
        <f t="shared" si="23"/>
        <v>-297.19871999999998</v>
      </c>
      <c r="CG62" s="387">
        <f t="shared" si="24"/>
        <v>0</v>
      </c>
      <c r="CH62" s="387">
        <f t="shared" si="25"/>
        <v>42.456959999999981</v>
      </c>
      <c r="CI62" s="387">
        <f t="shared" si="26"/>
        <v>0</v>
      </c>
      <c r="CJ62" s="387">
        <f t="shared" si="39"/>
        <v>-254.74176</v>
      </c>
      <c r="CK62" s="387" t="str">
        <f t="shared" si="40"/>
        <v/>
      </c>
      <c r="CL62" s="387" t="str">
        <f t="shared" si="41"/>
        <v/>
      </c>
      <c r="CM62" s="387" t="str">
        <f t="shared" si="42"/>
        <v/>
      </c>
      <c r="CN62" s="387" t="str">
        <f t="shared" si="43"/>
        <v>0348-31</v>
      </c>
    </row>
    <row r="63" spans="1:92" ht="15.75" thickBot="1" x14ac:dyDescent="0.3">
      <c r="A63" s="376" t="s">
        <v>161</v>
      </c>
      <c r="B63" s="376" t="s">
        <v>162</v>
      </c>
      <c r="C63" s="376" t="s">
        <v>514</v>
      </c>
      <c r="D63" s="376" t="s">
        <v>497</v>
      </c>
      <c r="E63" s="376" t="s">
        <v>224</v>
      </c>
      <c r="F63" s="382" t="s">
        <v>225</v>
      </c>
      <c r="G63" s="376" t="s">
        <v>167</v>
      </c>
      <c r="H63" s="378"/>
      <c r="I63" s="378"/>
      <c r="J63" s="376" t="s">
        <v>215</v>
      </c>
      <c r="K63" s="376" t="s">
        <v>515</v>
      </c>
      <c r="L63" s="376" t="s">
        <v>181</v>
      </c>
      <c r="M63" s="376" t="s">
        <v>171</v>
      </c>
      <c r="N63" s="376" t="s">
        <v>172</v>
      </c>
      <c r="O63" s="379">
        <v>1</v>
      </c>
      <c r="P63" s="385">
        <v>1</v>
      </c>
      <c r="Q63" s="385">
        <v>1</v>
      </c>
      <c r="R63" s="380">
        <v>80</v>
      </c>
      <c r="S63" s="385">
        <v>1</v>
      </c>
      <c r="T63" s="380">
        <v>0</v>
      </c>
      <c r="U63" s="380">
        <v>0</v>
      </c>
      <c r="V63" s="380">
        <v>0</v>
      </c>
      <c r="W63" s="380">
        <v>78062.399999999994</v>
      </c>
      <c r="X63" s="380">
        <v>28530.95</v>
      </c>
      <c r="Y63" s="380">
        <v>78062.399999999994</v>
      </c>
      <c r="Z63" s="380">
        <v>28203.1</v>
      </c>
      <c r="AA63" s="376" t="s">
        <v>516</v>
      </c>
      <c r="AB63" s="376" t="s">
        <v>517</v>
      </c>
      <c r="AC63" s="376" t="s">
        <v>518</v>
      </c>
      <c r="AD63" s="376" t="s">
        <v>324</v>
      </c>
      <c r="AE63" s="376" t="s">
        <v>515</v>
      </c>
      <c r="AF63" s="376" t="s">
        <v>211</v>
      </c>
      <c r="AG63" s="376" t="s">
        <v>178</v>
      </c>
      <c r="AH63" s="381">
        <v>37.53</v>
      </c>
      <c r="AI63" s="381">
        <v>15471.1</v>
      </c>
      <c r="AJ63" s="376" t="s">
        <v>179</v>
      </c>
      <c r="AK63" s="376" t="s">
        <v>180</v>
      </c>
      <c r="AL63" s="376" t="s">
        <v>181</v>
      </c>
      <c r="AM63" s="376" t="s">
        <v>182</v>
      </c>
      <c r="AN63" s="376" t="s">
        <v>68</v>
      </c>
      <c r="AO63" s="379">
        <v>80</v>
      </c>
      <c r="AP63" s="385">
        <v>1</v>
      </c>
      <c r="AQ63" s="385">
        <v>1</v>
      </c>
      <c r="AR63" s="383" t="s">
        <v>183</v>
      </c>
      <c r="AS63" s="387">
        <f t="shared" si="27"/>
        <v>1</v>
      </c>
      <c r="AT63">
        <f t="shared" si="28"/>
        <v>1</v>
      </c>
      <c r="AU63" s="387">
        <f>IF(AT63=0,"",IF(AND(AT63=1,M63="F",SUMIF(C2:C1334,C63,AS2:AS1334)&lt;=1),SUMIF(C2:C1334,C63,AS2:AS1334),IF(AND(AT63=1,M63="F",SUMIF(C2:C1334,C63,AS2:AS1334)&gt;1),1,"")))</f>
        <v>1</v>
      </c>
      <c r="AV63" s="387" t="str">
        <f>IF(AT63=0,"",IF(AND(AT63=3,M63="F",SUMIF(C2:C1334,C63,AS2:AS1334)&lt;=1),SUMIF(C2:C1334,C63,AS2:AS1334),IF(AND(AT63=3,M63="F",SUMIF(C2:C1334,C63,AS2:AS1334)&gt;1),1,"")))</f>
        <v/>
      </c>
      <c r="AW63" s="387">
        <f>SUMIF(C2:C1334,C63,O2:O1334)</f>
        <v>2</v>
      </c>
      <c r="AX63" s="387">
        <f>IF(AND(M63="F",AS63&lt;&gt;0),SUMIF(C2:C1334,C63,W2:W1334),0)</f>
        <v>78062.399999999994</v>
      </c>
      <c r="AY63" s="387">
        <f t="shared" si="29"/>
        <v>78062.399999999994</v>
      </c>
      <c r="AZ63" s="387" t="str">
        <f t="shared" si="30"/>
        <v/>
      </c>
      <c r="BA63" s="387">
        <f t="shared" si="31"/>
        <v>0</v>
      </c>
      <c r="BB63" s="387">
        <f t="shared" si="0"/>
        <v>11650</v>
      </c>
      <c r="BC63" s="387">
        <f t="shared" si="1"/>
        <v>0</v>
      </c>
      <c r="BD63" s="387">
        <f t="shared" si="2"/>
        <v>4839.8687999999993</v>
      </c>
      <c r="BE63" s="387">
        <f t="shared" si="3"/>
        <v>1131.9048</v>
      </c>
      <c r="BF63" s="387">
        <f t="shared" si="4"/>
        <v>9320.65056</v>
      </c>
      <c r="BG63" s="387">
        <f t="shared" si="5"/>
        <v>562.82990399999994</v>
      </c>
      <c r="BH63" s="387">
        <f t="shared" si="6"/>
        <v>382.50575999999995</v>
      </c>
      <c r="BI63" s="387">
        <f t="shared" si="7"/>
        <v>432.07538399999999</v>
      </c>
      <c r="BJ63" s="387">
        <f t="shared" si="8"/>
        <v>210.76847999999998</v>
      </c>
      <c r="BK63" s="387">
        <f t="shared" si="9"/>
        <v>0</v>
      </c>
      <c r="BL63" s="387">
        <f t="shared" si="32"/>
        <v>16880.603687999999</v>
      </c>
      <c r="BM63" s="387">
        <f t="shared" si="33"/>
        <v>0</v>
      </c>
      <c r="BN63" s="387">
        <f t="shared" si="10"/>
        <v>11650</v>
      </c>
      <c r="BO63" s="387">
        <f t="shared" si="11"/>
        <v>0</v>
      </c>
      <c r="BP63" s="387">
        <f t="shared" si="12"/>
        <v>4839.8687999999993</v>
      </c>
      <c r="BQ63" s="387">
        <f t="shared" si="13"/>
        <v>1131.9048</v>
      </c>
      <c r="BR63" s="387">
        <f t="shared" si="14"/>
        <v>9320.65056</v>
      </c>
      <c r="BS63" s="387">
        <f t="shared" si="15"/>
        <v>562.82990399999994</v>
      </c>
      <c r="BT63" s="387">
        <f t="shared" si="16"/>
        <v>0</v>
      </c>
      <c r="BU63" s="387">
        <f t="shared" si="17"/>
        <v>432.07538399999999</v>
      </c>
      <c r="BV63" s="387">
        <f t="shared" si="18"/>
        <v>265.41215999999997</v>
      </c>
      <c r="BW63" s="387">
        <f t="shared" si="19"/>
        <v>0</v>
      </c>
      <c r="BX63" s="387">
        <f t="shared" si="34"/>
        <v>16552.741608</v>
      </c>
      <c r="BY63" s="387">
        <f t="shared" si="35"/>
        <v>0</v>
      </c>
      <c r="BZ63" s="387">
        <f t="shared" si="36"/>
        <v>0</v>
      </c>
      <c r="CA63" s="387">
        <f t="shared" si="37"/>
        <v>0</v>
      </c>
      <c r="CB63" s="387">
        <f t="shared" si="38"/>
        <v>0</v>
      </c>
      <c r="CC63" s="387">
        <f t="shared" si="20"/>
        <v>0</v>
      </c>
      <c r="CD63" s="387">
        <f t="shared" si="21"/>
        <v>0</v>
      </c>
      <c r="CE63" s="387">
        <f t="shared" si="22"/>
        <v>0</v>
      </c>
      <c r="CF63" s="387">
        <f t="shared" si="23"/>
        <v>-382.50575999999995</v>
      </c>
      <c r="CG63" s="387">
        <f t="shared" si="24"/>
        <v>0</v>
      </c>
      <c r="CH63" s="387">
        <f t="shared" si="25"/>
        <v>54.643679999999968</v>
      </c>
      <c r="CI63" s="387">
        <f t="shared" si="26"/>
        <v>0</v>
      </c>
      <c r="CJ63" s="387">
        <f t="shared" si="39"/>
        <v>-327.86207999999999</v>
      </c>
      <c r="CK63" s="387" t="str">
        <f t="shared" si="40"/>
        <v/>
      </c>
      <c r="CL63" s="387" t="str">
        <f t="shared" si="41"/>
        <v/>
      </c>
      <c r="CM63" s="387" t="str">
        <f t="shared" si="42"/>
        <v/>
      </c>
      <c r="CN63" s="387" t="str">
        <f t="shared" si="43"/>
        <v>0348-31</v>
      </c>
    </row>
    <row r="64" spans="1:92" ht="15.75" thickBot="1" x14ac:dyDescent="0.3">
      <c r="A64" s="376" t="s">
        <v>161</v>
      </c>
      <c r="B64" s="376" t="s">
        <v>162</v>
      </c>
      <c r="C64" s="376" t="s">
        <v>519</v>
      </c>
      <c r="D64" s="376" t="s">
        <v>326</v>
      </c>
      <c r="E64" s="376" t="s">
        <v>224</v>
      </c>
      <c r="F64" s="382" t="s">
        <v>225</v>
      </c>
      <c r="G64" s="376" t="s">
        <v>167</v>
      </c>
      <c r="H64" s="378"/>
      <c r="I64" s="378"/>
      <c r="J64" s="376" t="s">
        <v>215</v>
      </c>
      <c r="K64" s="376" t="s">
        <v>520</v>
      </c>
      <c r="L64" s="376" t="s">
        <v>210</v>
      </c>
      <c r="M64" s="376" t="s">
        <v>171</v>
      </c>
      <c r="N64" s="376" t="s">
        <v>172</v>
      </c>
      <c r="O64" s="379">
        <v>1</v>
      </c>
      <c r="P64" s="385">
        <v>1</v>
      </c>
      <c r="Q64" s="385">
        <v>1</v>
      </c>
      <c r="R64" s="380">
        <v>80</v>
      </c>
      <c r="S64" s="385">
        <v>1</v>
      </c>
      <c r="T64" s="380">
        <v>0</v>
      </c>
      <c r="U64" s="380">
        <v>0</v>
      </c>
      <c r="V64" s="380">
        <v>0</v>
      </c>
      <c r="W64" s="380">
        <v>70449.600000000006</v>
      </c>
      <c r="X64" s="380">
        <v>26884.7</v>
      </c>
      <c r="Y64" s="380">
        <v>70449.600000000006</v>
      </c>
      <c r="Z64" s="380">
        <v>26588.81</v>
      </c>
      <c r="AA64" s="376" t="s">
        <v>521</v>
      </c>
      <c r="AB64" s="376" t="s">
        <v>522</v>
      </c>
      <c r="AC64" s="376" t="s">
        <v>310</v>
      </c>
      <c r="AD64" s="376" t="s">
        <v>419</v>
      </c>
      <c r="AE64" s="376" t="s">
        <v>520</v>
      </c>
      <c r="AF64" s="376" t="s">
        <v>245</v>
      </c>
      <c r="AG64" s="376" t="s">
        <v>178</v>
      </c>
      <c r="AH64" s="381">
        <v>33.869999999999997</v>
      </c>
      <c r="AI64" s="381">
        <v>7430.5</v>
      </c>
      <c r="AJ64" s="376" t="s">
        <v>179</v>
      </c>
      <c r="AK64" s="376" t="s">
        <v>180</v>
      </c>
      <c r="AL64" s="376" t="s">
        <v>181</v>
      </c>
      <c r="AM64" s="376" t="s">
        <v>182</v>
      </c>
      <c r="AN64" s="376" t="s">
        <v>68</v>
      </c>
      <c r="AO64" s="379">
        <v>80</v>
      </c>
      <c r="AP64" s="385">
        <v>1</v>
      </c>
      <c r="AQ64" s="385">
        <v>1</v>
      </c>
      <c r="AR64" s="383" t="s">
        <v>183</v>
      </c>
      <c r="AS64" s="387">
        <f t="shared" si="27"/>
        <v>1</v>
      </c>
      <c r="AT64">
        <f t="shared" si="28"/>
        <v>1</v>
      </c>
      <c r="AU64" s="387">
        <f>IF(AT64=0,"",IF(AND(AT64=1,M64="F",SUMIF(C2:C1334,C64,AS2:AS1334)&lt;=1),SUMIF(C2:C1334,C64,AS2:AS1334),IF(AND(AT64=1,M64="F",SUMIF(C2:C1334,C64,AS2:AS1334)&gt;1),1,"")))</f>
        <v>1</v>
      </c>
      <c r="AV64" s="387" t="str">
        <f>IF(AT64=0,"",IF(AND(AT64=3,M64="F",SUMIF(C2:C1334,C64,AS2:AS1334)&lt;=1),SUMIF(C2:C1334,C64,AS2:AS1334),IF(AND(AT64=3,M64="F",SUMIF(C2:C1334,C64,AS2:AS1334)&gt;1),1,"")))</f>
        <v/>
      </c>
      <c r="AW64" s="387">
        <f>SUMIF(C2:C1334,C64,O2:O1334)</f>
        <v>2</v>
      </c>
      <c r="AX64" s="387">
        <f>IF(AND(M64="F",AS64&lt;&gt;0),SUMIF(C2:C1334,C64,W2:W1334),0)</f>
        <v>70449.600000000006</v>
      </c>
      <c r="AY64" s="387">
        <f t="shared" si="29"/>
        <v>70449.600000000006</v>
      </c>
      <c r="AZ64" s="387" t="str">
        <f t="shared" si="30"/>
        <v/>
      </c>
      <c r="BA64" s="387">
        <f t="shared" si="31"/>
        <v>0</v>
      </c>
      <c r="BB64" s="387">
        <f t="shared" si="0"/>
        <v>11650</v>
      </c>
      <c r="BC64" s="387">
        <f t="shared" si="1"/>
        <v>0</v>
      </c>
      <c r="BD64" s="387">
        <f t="shared" si="2"/>
        <v>4367.8752000000004</v>
      </c>
      <c r="BE64" s="387">
        <f t="shared" si="3"/>
        <v>1021.5192000000002</v>
      </c>
      <c r="BF64" s="387">
        <f t="shared" si="4"/>
        <v>8411.6822400000019</v>
      </c>
      <c r="BG64" s="387">
        <f t="shared" si="5"/>
        <v>507.94161600000007</v>
      </c>
      <c r="BH64" s="387">
        <f t="shared" si="6"/>
        <v>345.20304000000004</v>
      </c>
      <c r="BI64" s="387">
        <f t="shared" si="7"/>
        <v>389.93853600000006</v>
      </c>
      <c r="BJ64" s="387">
        <f t="shared" si="8"/>
        <v>190.21392000000003</v>
      </c>
      <c r="BK64" s="387">
        <f t="shared" si="9"/>
        <v>0</v>
      </c>
      <c r="BL64" s="387">
        <f t="shared" si="32"/>
        <v>15234.373752000003</v>
      </c>
      <c r="BM64" s="387">
        <f t="shared" si="33"/>
        <v>0</v>
      </c>
      <c r="BN64" s="387">
        <f t="shared" si="10"/>
        <v>11650</v>
      </c>
      <c r="BO64" s="387">
        <f t="shared" si="11"/>
        <v>0</v>
      </c>
      <c r="BP64" s="387">
        <f t="shared" si="12"/>
        <v>4367.8752000000004</v>
      </c>
      <c r="BQ64" s="387">
        <f t="shared" si="13"/>
        <v>1021.5192000000002</v>
      </c>
      <c r="BR64" s="387">
        <f t="shared" si="14"/>
        <v>8411.6822400000019</v>
      </c>
      <c r="BS64" s="387">
        <f t="shared" si="15"/>
        <v>507.94161600000007</v>
      </c>
      <c r="BT64" s="387">
        <f t="shared" si="16"/>
        <v>0</v>
      </c>
      <c r="BU64" s="387">
        <f t="shared" si="17"/>
        <v>389.93853600000006</v>
      </c>
      <c r="BV64" s="387">
        <f t="shared" si="18"/>
        <v>239.52864</v>
      </c>
      <c r="BW64" s="387">
        <f t="shared" si="19"/>
        <v>0</v>
      </c>
      <c r="BX64" s="387">
        <f t="shared" si="34"/>
        <v>14938.485432000003</v>
      </c>
      <c r="BY64" s="387">
        <f t="shared" si="35"/>
        <v>0</v>
      </c>
      <c r="BZ64" s="387">
        <f t="shared" si="36"/>
        <v>0</v>
      </c>
      <c r="CA64" s="387">
        <f t="shared" si="37"/>
        <v>0</v>
      </c>
      <c r="CB64" s="387">
        <f t="shared" si="38"/>
        <v>0</v>
      </c>
      <c r="CC64" s="387">
        <f t="shared" si="20"/>
        <v>0</v>
      </c>
      <c r="CD64" s="387">
        <f t="shared" si="21"/>
        <v>0</v>
      </c>
      <c r="CE64" s="387">
        <f t="shared" si="22"/>
        <v>0</v>
      </c>
      <c r="CF64" s="387">
        <f t="shared" si="23"/>
        <v>-345.20304000000004</v>
      </c>
      <c r="CG64" s="387">
        <f t="shared" si="24"/>
        <v>0</v>
      </c>
      <c r="CH64" s="387">
        <f t="shared" si="25"/>
        <v>49.31471999999998</v>
      </c>
      <c r="CI64" s="387">
        <f t="shared" si="26"/>
        <v>0</v>
      </c>
      <c r="CJ64" s="387">
        <f t="shared" si="39"/>
        <v>-295.88832000000008</v>
      </c>
      <c r="CK64" s="387" t="str">
        <f t="shared" si="40"/>
        <v/>
      </c>
      <c r="CL64" s="387" t="str">
        <f t="shared" si="41"/>
        <v/>
      </c>
      <c r="CM64" s="387" t="str">
        <f t="shared" si="42"/>
        <v/>
      </c>
      <c r="CN64" s="387" t="str">
        <f t="shared" si="43"/>
        <v>0348-31</v>
      </c>
    </row>
    <row r="65" spans="1:92" ht="15.75" thickBot="1" x14ac:dyDescent="0.3">
      <c r="A65" s="376" t="s">
        <v>161</v>
      </c>
      <c r="B65" s="376" t="s">
        <v>162</v>
      </c>
      <c r="C65" s="376" t="s">
        <v>523</v>
      </c>
      <c r="D65" s="376" t="s">
        <v>524</v>
      </c>
      <c r="E65" s="376" t="s">
        <v>224</v>
      </c>
      <c r="F65" s="382" t="s">
        <v>225</v>
      </c>
      <c r="G65" s="376" t="s">
        <v>167</v>
      </c>
      <c r="H65" s="378"/>
      <c r="I65" s="378"/>
      <c r="J65" s="376" t="s">
        <v>215</v>
      </c>
      <c r="K65" s="376" t="s">
        <v>525</v>
      </c>
      <c r="L65" s="376" t="s">
        <v>170</v>
      </c>
      <c r="M65" s="376" t="s">
        <v>171</v>
      </c>
      <c r="N65" s="376" t="s">
        <v>172</v>
      </c>
      <c r="O65" s="379">
        <v>1</v>
      </c>
      <c r="P65" s="385">
        <v>1</v>
      </c>
      <c r="Q65" s="385">
        <v>1</v>
      </c>
      <c r="R65" s="380">
        <v>80</v>
      </c>
      <c r="S65" s="385">
        <v>1</v>
      </c>
      <c r="T65" s="380">
        <v>0</v>
      </c>
      <c r="U65" s="380">
        <v>0</v>
      </c>
      <c r="V65" s="380">
        <v>0</v>
      </c>
      <c r="W65" s="380">
        <v>47840</v>
      </c>
      <c r="X65" s="380">
        <v>21995.37</v>
      </c>
      <c r="Y65" s="380">
        <v>47840</v>
      </c>
      <c r="Z65" s="380">
        <v>21794.45</v>
      </c>
      <c r="AA65" s="376" t="s">
        <v>526</v>
      </c>
      <c r="AB65" s="376" t="s">
        <v>527</v>
      </c>
      <c r="AC65" s="376" t="s">
        <v>528</v>
      </c>
      <c r="AD65" s="376" t="s">
        <v>324</v>
      </c>
      <c r="AE65" s="376" t="s">
        <v>525</v>
      </c>
      <c r="AF65" s="376" t="s">
        <v>177</v>
      </c>
      <c r="AG65" s="376" t="s">
        <v>178</v>
      </c>
      <c r="AH65" s="379">
        <v>23</v>
      </c>
      <c r="AI65" s="379">
        <v>80</v>
      </c>
      <c r="AJ65" s="376" t="s">
        <v>179</v>
      </c>
      <c r="AK65" s="376" t="s">
        <v>180</v>
      </c>
      <c r="AL65" s="376" t="s">
        <v>181</v>
      </c>
      <c r="AM65" s="376" t="s">
        <v>182</v>
      </c>
      <c r="AN65" s="376" t="s">
        <v>68</v>
      </c>
      <c r="AO65" s="379">
        <v>80</v>
      </c>
      <c r="AP65" s="385">
        <v>1</v>
      </c>
      <c r="AQ65" s="385">
        <v>1</v>
      </c>
      <c r="AR65" s="383" t="s">
        <v>183</v>
      </c>
      <c r="AS65" s="387">
        <f t="shared" si="27"/>
        <v>1</v>
      </c>
      <c r="AT65">
        <f t="shared" si="28"/>
        <v>1</v>
      </c>
      <c r="AU65" s="387">
        <f>IF(AT65=0,"",IF(AND(AT65=1,M65="F",SUMIF(C2:C1334,C65,AS2:AS1334)&lt;=1),SUMIF(C2:C1334,C65,AS2:AS1334),IF(AND(AT65=1,M65="F",SUMIF(C2:C1334,C65,AS2:AS1334)&gt;1),1,"")))</f>
        <v>1</v>
      </c>
      <c r="AV65" s="387" t="str">
        <f>IF(AT65=0,"",IF(AND(AT65=3,M65="F",SUMIF(C2:C1334,C65,AS2:AS1334)&lt;=1),SUMIF(C2:C1334,C65,AS2:AS1334),IF(AND(AT65=3,M65="F",SUMIF(C2:C1334,C65,AS2:AS1334)&gt;1),1,"")))</f>
        <v/>
      </c>
      <c r="AW65" s="387">
        <f>SUMIF(C2:C1334,C65,O2:O1334)</f>
        <v>4</v>
      </c>
      <c r="AX65" s="387">
        <f>IF(AND(M65="F",AS65&lt;&gt;0),SUMIF(C2:C1334,C65,W2:W1334),0)</f>
        <v>47840</v>
      </c>
      <c r="AY65" s="387">
        <f t="shared" si="29"/>
        <v>47840</v>
      </c>
      <c r="AZ65" s="387" t="str">
        <f t="shared" si="30"/>
        <v/>
      </c>
      <c r="BA65" s="387">
        <f t="shared" si="31"/>
        <v>0</v>
      </c>
      <c r="BB65" s="387">
        <f t="shared" si="0"/>
        <v>11650</v>
      </c>
      <c r="BC65" s="387">
        <f t="shared" si="1"/>
        <v>0</v>
      </c>
      <c r="BD65" s="387">
        <f t="shared" si="2"/>
        <v>2966.08</v>
      </c>
      <c r="BE65" s="387">
        <f t="shared" si="3"/>
        <v>693.68000000000006</v>
      </c>
      <c r="BF65" s="387">
        <f t="shared" si="4"/>
        <v>5712.0960000000005</v>
      </c>
      <c r="BG65" s="387">
        <f t="shared" si="5"/>
        <v>344.9264</v>
      </c>
      <c r="BH65" s="387">
        <f t="shared" si="6"/>
        <v>234.416</v>
      </c>
      <c r="BI65" s="387">
        <f t="shared" si="7"/>
        <v>264.7944</v>
      </c>
      <c r="BJ65" s="387">
        <f t="shared" si="8"/>
        <v>129.16800000000001</v>
      </c>
      <c r="BK65" s="387">
        <f t="shared" si="9"/>
        <v>0</v>
      </c>
      <c r="BL65" s="387">
        <f t="shared" si="32"/>
        <v>10345.1608</v>
      </c>
      <c r="BM65" s="387">
        <f t="shared" si="33"/>
        <v>0</v>
      </c>
      <c r="BN65" s="387">
        <f t="shared" si="10"/>
        <v>11650</v>
      </c>
      <c r="BO65" s="387">
        <f t="shared" si="11"/>
        <v>0</v>
      </c>
      <c r="BP65" s="387">
        <f t="shared" si="12"/>
        <v>2966.08</v>
      </c>
      <c r="BQ65" s="387">
        <f t="shared" si="13"/>
        <v>693.68000000000006</v>
      </c>
      <c r="BR65" s="387">
        <f t="shared" si="14"/>
        <v>5712.0960000000005</v>
      </c>
      <c r="BS65" s="387">
        <f t="shared" si="15"/>
        <v>344.9264</v>
      </c>
      <c r="BT65" s="387">
        <f t="shared" si="16"/>
        <v>0</v>
      </c>
      <c r="BU65" s="387">
        <f t="shared" si="17"/>
        <v>264.7944</v>
      </c>
      <c r="BV65" s="387">
        <f t="shared" si="18"/>
        <v>162.65599999999998</v>
      </c>
      <c r="BW65" s="387">
        <f t="shared" si="19"/>
        <v>0</v>
      </c>
      <c r="BX65" s="387">
        <f t="shared" si="34"/>
        <v>10144.232800000002</v>
      </c>
      <c r="BY65" s="387">
        <f t="shared" si="35"/>
        <v>0</v>
      </c>
      <c r="BZ65" s="387">
        <f t="shared" si="36"/>
        <v>0</v>
      </c>
      <c r="CA65" s="387">
        <f t="shared" si="37"/>
        <v>0</v>
      </c>
      <c r="CB65" s="387">
        <f t="shared" si="38"/>
        <v>0</v>
      </c>
      <c r="CC65" s="387">
        <f t="shared" si="20"/>
        <v>0</v>
      </c>
      <c r="CD65" s="387">
        <f t="shared" si="21"/>
        <v>0</v>
      </c>
      <c r="CE65" s="387">
        <f t="shared" si="22"/>
        <v>0</v>
      </c>
      <c r="CF65" s="387">
        <f t="shared" si="23"/>
        <v>-234.416</v>
      </c>
      <c r="CG65" s="387">
        <f t="shared" si="24"/>
        <v>0</v>
      </c>
      <c r="CH65" s="387">
        <f t="shared" si="25"/>
        <v>33.487999999999985</v>
      </c>
      <c r="CI65" s="387">
        <f t="shared" si="26"/>
        <v>0</v>
      </c>
      <c r="CJ65" s="387">
        <f t="shared" si="39"/>
        <v>-200.928</v>
      </c>
      <c r="CK65" s="387" t="str">
        <f t="shared" si="40"/>
        <v/>
      </c>
      <c r="CL65" s="387" t="str">
        <f t="shared" si="41"/>
        <v/>
      </c>
      <c r="CM65" s="387" t="str">
        <f t="shared" si="42"/>
        <v/>
      </c>
      <c r="CN65" s="387" t="str">
        <f t="shared" si="43"/>
        <v>0348-31</v>
      </c>
    </row>
    <row r="66" spans="1:92" ht="15.75" thickBot="1" x14ac:dyDescent="0.3">
      <c r="A66" s="376" t="s">
        <v>161</v>
      </c>
      <c r="B66" s="376" t="s">
        <v>162</v>
      </c>
      <c r="C66" s="376" t="s">
        <v>529</v>
      </c>
      <c r="D66" s="376" t="s">
        <v>485</v>
      </c>
      <c r="E66" s="376" t="s">
        <v>224</v>
      </c>
      <c r="F66" s="382" t="s">
        <v>225</v>
      </c>
      <c r="G66" s="376" t="s">
        <v>167</v>
      </c>
      <c r="H66" s="378"/>
      <c r="I66" s="378"/>
      <c r="J66" s="376" t="s">
        <v>239</v>
      </c>
      <c r="K66" s="376" t="s">
        <v>530</v>
      </c>
      <c r="L66" s="376" t="s">
        <v>181</v>
      </c>
      <c r="M66" s="376" t="s">
        <v>171</v>
      </c>
      <c r="N66" s="376" t="s">
        <v>172</v>
      </c>
      <c r="O66" s="379">
        <v>1</v>
      </c>
      <c r="P66" s="385">
        <v>0.25</v>
      </c>
      <c r="Q66" s="385">
        <v>0.25</v>
      </c>
      <c r="R66" s="380">
        <v>80</v>
      </c>
      <c r="S66" s="385">
        <v>0.25</v>
      </c>
      <c r="T66" s="380">
        <v>0</v>
      </c>
      <c r="U66" s="380">
        <v>0</v>
      </c>
      <c r="V66" s="380">
        <v>0</v>
      </c>
      <c r="W66" s="380">
        <v>25932.400000000001</v>
      </c>
      <c r="X66" s="380">
        <v>8520.3700000000008</v>
      </c>
      <c r="Y66" s="380">
        <v>25932.400000000001</v>
      </c>
      <c r="Z66" s="380">
        <v>8411.4599999999991</v>
      </c>
      <c r="AA66" s="376" t="s">
        <v>531</v>
      </c>
      <c r="AB66" s="376" t="s">
        <v>532</v>
      </c>
      <c r="AC66" s="376" t="s">
        <v>533</v>
      </c>
      <c r="AD66" s="376" t="s">
        <v>534</v>
      </c>
      <c r="AE66" s="376" t="s">
        <v>530</v>
      </c>
      <c r="AF66" s="376" t="s">
        <v>211</v>
      </c>
      <c r="AG66" s="376" t="s">
        <v>178</v>
      </c>
      <c r="AH66" s="381">
        <v>49.87</v>
      </c>
      <c r="AI66" s="381">
        <v>41301.5</v>
      </c>
      <c r="AJ66" s="376" t="s">
        <v>179</v>
      </c>
      <c r="AK66" s="376" t="s">
        <v>180</v>
      </c>
      <c r="AL66" s="376" t="s">
        <v>181</v>
      </c>
      <c r="AM66" s="376" t="s">
        <v>182</v>
      </c>
      <c r="AN66" s="376" t="s">
        <v>68</v>
      </c>
      <c r="AO66" s="379">
        <v>80</v>
      </c>
      <c r="AP66" s="385">
        <v>1</v>
      </c>
      <c r="AQ66" s="385">
        <v>0.25</v>
      </c>
      <c r="AR66" s="383" t="s">
        <v>183</v>
      </c>
      <c r="AS66" s="387">
        <f t="shared" si="27"/>
        <v>0.25</v>
      </c>
      <c r="AT66">
        <f t="shared" si="28"/>
        <v>1</v>
      </c>
      <c r="AU66" s="387">
        <f>IF(AT66=0,"",IF(AND(AT66=1,M66="F",SUMIF(C2:C1334,C66,AS2:AS1334)&lt;=1),SUMIF(C2:C1334,C66,AS2:AS1334),IF(AND(AT66=1,M66="F",SUMIF(C2:C1334,C66,AS2:AS1334)&gt;1),1,"")))</f>
        <v>1</v>
      </c>
      <c r="AV66" s="387" t="str">
        <f>IF(AT66=0,"",IF(AND(AT66=3,M66="F",SUMIF(C2:C1334,C66,AS2:AS1334)&lt;=1),SUMIF(C2:C1334,C66,AS2:AS1334),IF(AND(AT66=3,M66="F",SUMIF(C2:C1334,C66,AS2:AS1334)&gt;1),1,"")))</f>
        <v/>
      </c>
      <c r="AW66" s="387">
        <f>SUMIF(C2:C1334,C66,O2:O1334)</f>
        <v>4</v>
      </c>
      <c r="AX66" s="387">
        <f>IF(AND(M66="F",AS66&lt;&gt;0),SUMIF(C2:C1334,C66,W2:W1334),0)</f>
        <v>103729.60000000001</v>
      </c>
      <c r="AY66" s="387">
        <f t="shared" si="29"/>
        <v>25932.400000000001</v>
      </c>
      <c r="AZ66" s="387" t="str">
        <f t="shared" si="30"/>
        <v/>
      </c>
      <c r="BA66" s="387">
        <f t="shared" si="31"/>
        <v>0</v>
      </c>
      <c r="BB66" s="387">
        <f t="shared" ref="BB66:BB129" si="44">IF(AND(AT66=1,AK66="E",AU66&gt;=0.75,AW66=1),Health,IF(AND(AT66=1,AK66="E",AU66&gt;=0.75),Health*P66,IF(AND(AT66=1,AK66="E",AU66&gt;=0.5,AW66=1),PTHealth,IF(AND(AT66=1,AK66="E",AU66&gt;=0.5),PTHealth*P66,0))))</f>
        <v>2912.5</v>
      </c>
      <c r="BC66" s="387">
        <f t="shared" ref="BC66:BC129" si="45">IF(AND(AT66=3,AK66="E",AV66&gt;=0.75,AW66=1),Health,IF(AND(AT66=3,AK66="E",AV66&gt;=0.75),Health*P66,IF(AND(AT66=3,AK66="E",AV66&gt;=0.5,AW66=1),PTHealth,IF(AND(AT66=3,AK66="E",AV66&gt;=0.5),PTHealth*P66,0))))</f>
        <v>0</v>
      </c>
      <c r="BD66" s="387">
        <f t="shared" ref="BD66:BD129" si="46">IF(AND(AT66&lt;&gt;0,AX66&gt;=MAXSSDI),SSDI*MAXSSDI*P66,IF(AT66&lt;&gt;0,SSDI*W66,0))</f>
        <v>1607.8088</v>
      </c>
      <c r="BE66" s="387">
        <f t="shared" ref="BE66:BE129" si="47">IF(AT66&lt;&gt;0,SSHI*W66,0)</f>
        <v>376.01980000000003</v>
      </c>
      <c r="BF66" s="387">
        <f t="shared" ref="BF66:BF129" si="48">IF(AND(AT66&lt;&gt;0,AN66&lt;&gt;"NE"),VLOOKUP(AN66,Retirement_Rates,3,FALSE)*W66,0)</f>
        <v>3096.3285600000004</v>
      </c>
      <c r="BG66" s="387">
        <f t="shared" ref="BG66:BG129" si="49">IF(AND(AT66&lt;&gt;0,AJ66&lt;&gt;"PF"),Life*W66,0)</f>
        <v>186.97260400000002</v>
      </c>
      <c r="BH66" s="387">
        <f t="shared" ref="BH66:BH129" si="50">IF(AND(AT66&lt;&gt;0,AM66="Y"),UI*W66,0)</f>
        <v>127.06876</v>
      </c>
      <c r="BI66" s="387">
        <f t="shared" ref="BI66:BI129" si="51">IF(AND(AT66&lt;&gt;0,N66&lt;&gt;"NR"),DHR*W66,0)</f>
        <v>143.53583399999999</v>
      </c>
      <c r="BJ66" s="387">
        <f t="shared" ref="BJ66:BJ129" si="52">IF(AT66&lt;&gt;0,WC*W66,0)</f>
        <v>70.017480000000006</v>
      </c>
      <c r="BK66" s="387">
        <f t="shared" ref="BK66:BK129" si="53">IF(OR(AND(AT66&lt;&gt;0,AJ66&lt;&gt;"PF",AN66&lt;&gt;"NE",AG66&lt;&gt;"A"),AND(AL66="E",OR(AT66=1,AT66=3))),Sick*W66,0)</f>
        <v>0</v>
      </c>
      <c r="BL66" s="387">
        <f t="shared" si="32"/>
        <v>5607.751838000001</v>
      </c>
      <c r="BM66" s="387">
        <f t="shared" si="33"/>
        <v>0</v>
      </c>
      <c r="BN66" s="387">
        <f t="shared" ref="BN66:BN129" si="54">IF(AND(AT66=1,AK66="E",AU66&gt;=0.75,AW66=1),HealthBY,IF(AND(AT66=1,AK66="E",AU66&gt;=0.75),HealthBY*P66,IF(AND(AT66=1,AK66="E",AU66&gt;=0.5,AW66=1),PTHealthBY,IF(AND(AT66=1,AK66="E",AU66&gt;=0.5),PTHealthBY*P66,0))))</f>
        <v>2912.5</v>
      </c>
      <c r="BO66" s="387">
        <f t="shared" ref="BO66:BO129" si="55">IF(AND(AT66=3,AK66="E",AV66&gt;=0.75,AW66=1),HealthBY,IF(AND(AT66=3,AK66="E",AV66&gt;=0.75),HealthBY*P66,IF(AND(AT66=3,AK66="E",AV66&gt;=0.5,AW66=1),PTHealthBY,IF(AND(AT66=3,AK66="E",AV66&gt;=0.5),PTHealthBY*P66,0))))</f>
        <v>0</v>
      </c>
      <c r="BP66" s="387">
        <f t="shared" ref="BP66:BP129" si="56">IF(AND(AT66&lt;&gt;0,(AX66+BA66)&gt;=MAXSSDIBY),SSDIBY*MAXSSDIBY*P66,IF(AT66&lt;&gt;0,SSDIBY*W66,0))</f>
        <v>1607.8088</v>
      </c>
      <c r="BQ66" s="387">
        <f t="shared" ref="BQ66:BQ129" si="57">IF(AT66&lt;&gt;0,SSHIBY*W66,0)</f>
        <v>376.01980000000003</v>
      </c>
      <c r="BR66" s="387">
        <f t="shared" ref="BR66:BR129" si="58">IF(AND(AT66&lt;&gt;0,AN66&lt;&gt;"NE"),VLOOKUP(AN66,Retirement_Rates,4,FALSE)*W66,0)</f>
        <v>3096.3285600000004</v>
      </c>
      <c r="BS66" s="387">
        <f t="shared" ref="BS66:BS129" si="59">IF(AND(AT66&lt;&gt;0,AJ66&lt;&gt;"PF"),LifeBY*W66,0)</f>
        <v>186.97260400000002</v>
      </c>
      <c r="BT66" s="387">
        <f t="shared" ref="BT66:BT129" si="60">IF(AND(AT66&lt;&gt;0,AM66="Y"),UIBY*W66,0)</f>
        <v>0</v>
      </c>
      <c r="BU66" s="387">
        <f t="shared" ref="BU66:BU129" si="61">IF(AND(AT66&lt;&gt;0,N66&lt;&gt;"NR"),DHRBY*W66,0)</f>
        <v>143.53583399999999</v>
      </c>
      <c r="BV66" s="387">
        <f t="shared" ref="BV66:BV129" si="62">IF(AT66&lt;&gt;0,WCBY*W66,0)</f>
        <v>88.170159999999996</v>
      </c>
      <c r="BW66" s="387">
        <f t="shared" ref="BW66:BW129" si="63">IF(OR(AND(AT66&lt;&gt;0,AJ66&lt;&gt;"PF",AN66&lt;&gt;"NE",AG66&lt;&gt;"A"),AND(AL66="E",OR(AT66=1,AT66=3))),SickBY*W66,0)</f>
        <v>0</v>
      </c>
      <c r="BX66" s="387">
        <f t="shared" si="34"/>
        <v>5498.8357580000002</v>
      </c>
      <c r="BY66" s="387">
        <f t="shared" si="35"/>
        <v>0</v>
      </c>
      <c r="BZ66" s="387">
        <f t="shared" si="36"/>
        <v>0</v>
      </c>
      <c r="CA66" s="387">
        <f t="shared" si="37"/>
        <v>0</v>
      </c>
      <c r="CB66" s="387">
        <f t="shared" si="38"/>
        <v>0</v>
      </c>
      <c r="CC66" s="387">
        <f t="shared" ref="CC66:CC129" si="64">IF(AT66&lt;&gt;0,SSHICHG*Y66,0)</f>
        <v>0</v>
      </c>
      <c r="CD66" s="387">
        <f t="shared" ref="CD66:CD129" si="65">IF(AND(AT66&lt;&gt;0,AN66&lt;&gt;"NE"),VLOOKUP(AN66,Retirement_Rates,5,FALSE)*Y66,0)</f>
        <v>0</v>
      </c>
      <c r="CE66" s="387">
        <f t="shared" ref="CE66:CE129" si="66">IF(AND(AT66&lt;&gt;0,AJ66&lt;&gt;"PF"),LifeCHG*Y66,0)</f>
        <v>0</v>
      </c>
      <c r="CF66" s="387">
        <f t="shared" ref="CF66:CF129" si="67">IF(AND(AT66&lt;&gt;0,AM66="Y"),UICHG*Y66,0)</f>
        <v>-127.06876</v>
      </c>
      <c r="CG66" s="387">
        <f t="shared" ref="CG66:CG129" si="68">IF(AND(AT66&lt;&gt;0,N66&lt;&gt;"NR"),DHRCHG*Y66,0)</f>
        <v>0</v>
      </c>
      <c r="CH66" s="387">
        <f t="shared" ref="CH66:CH129" si="69">IF(AT66&lt;&gt;0,WCCHG*Y66,0)</f>
        <v>18.152679999999993</v>
      </c>
      <c r="CI66" s="387">
        <f t="shared" ref="CI66:CI129" si="70">IF(OR(AND(AT66&lt;&gt;0,AJ66&lt;&gt;"PF",AN66&lt;&gt;"NE",AG66&lt;&gt;"A"),AND(AL66="E",OR(AT66=1,AT66=3))),SickCHG*Y66,0)</f>
        <v>0</v>
      </c>
      <c r="CJ66" s="387">
        <f t="shared" si="39"/>
        <v>-108.91608000000001</v>
      </c>
      <c r="CK66" s="387" t="str">
        <f t="shared" si="40"/>
        <v/>
      </c>
      <c r="CL66" s="387" t="str">
        <f t="shared" si="41"/>
        <v/>
      </c>
      <c r="CM66" s="387" t="str">
        <f t="shared" si="42"/>
        <v/>
      </c>
      <c r="CN66" s="387" t="str">
        <f t="shared" si="43"/>
        <v>0348-31</v>
      </c>
    </row>
    <row r="67" spans="1:92" ht="15.75" thickBot="1" x14ac:dyDescent="0.3">
      <c r="A67" s="376" t="s">
        <v>161</v>
      </c>
      <c r="B67" s="376" t="s">
        <v>162</v>
      </c>
      <c r="C67" s="376" t="s">
        <v>535</v>
      </c>
      <c r="D67" s="376" t="s">
        <v>326</v>
      </c>
      <c r="E67" s="376" t="s">
        <v>224</v>
      </c>
      <c r="F67" s="382" t="s">
        <v>225</v>
      </c>
      <c r="G67" s="376" t="s">
        <v>167</v>
      </c>
      <c r="H67" s="378"/>
      <c r="I67" s="378"/>
      <c r="J67" s="376" t="s">
        <v>215</v>
      </c>
      <c r="K67" s="376" t="s">
        <v>520</v>
      </c>
      <c r="L67" s="376" t="s">
        <v>210</v>
      </c>
      <c r="M67" s="376" t="s">
        <v>171</v>
      </c>
      <c r="N67" s="376" t="s">
        <v>172</v>
      </c>
      <c r="O67" s="379">
        <v>1</v>
      </c>
      <c r="P67" s="385">
        <v>1</v>
      </c>
      <c r="Q67" s="385">
        <v>1</v>
      </c>
      <c r="R67" s="380">
        <v>80</v>
      </c>
      <c r="S67" s="385">
        <v>1</v>
      </c>
      <c r="T67" s="380">
        <v>0</v>
      </c>
      <c r="U67" s="380">
        <v>0</v>
      </c>
      <c r="V67" s="380">
        <v>0</v>
      </c>
      <c r="W67" s="380">
        <v>78332.800000000003</v>
      </c>
      <c r="X67" s="380">
        <v>28589.43</v>
      </c>
      <c r="Y67" s="380">
        <v>78332.800000000003</v>
      </c>
      <c r="Z67" s="380">
        <v>28260.44</v>
      </c>
      <c r="AA67" s="376" t="s">
        <v>536</v>
      </c>
      <c r="AB67" s="376" t="s">
        <v>537</v>
      </c>
      <c r="AC67" s="376" t="s">
        <v>538</v>
      </c>
      <c r="AD67" s="376" t="s">
        <v>210</v>
      </c>
      <c r="AE67" s="376" t="s">
        <v>520</v>
      </c>
      <c r="AF67" s="376" t="s">
        <v>245</v>
      </c>
      <c r="AG67" s="376" t="s">
        <v>178</v>
      </c>
      <c r="AH67" s="381">
        <v>37.659999999999997</v>
      </c>
      <c r="AI67" s="381">
        <v>44985.599999999999</v>
      </c>
      <c r="AJ67" s="376" t="s">
        <v>179</v>
      </c>
      <c r="AK67" s="376" t="s">
        <v>180</v>
      </c>
      <c r="AL67" s="376" t="s">
        <v>181</v>
      </c>
      <c r="AM67" s="376" t="s">
        <v>182</v>
      </c>
      <c r="AN67" s="376" t="s">
        <v>68</v>
      </c>
      <c r="AO67" s="379">
        <v>80</v>
      </c>
      <c r="AP67" s="385">
        <v>1</v>
      </c>
      <c r="AQ67" s="385">
        <v>1</v>
      </c>
      <c r="AR67" s="383" t="s">
        <v>183</v>
      </c>
      <c r="AS67" s="387">
        <f t="shared" ref="AS67:AS130" si="71">IF(((AO67/80)*AP67*P67)&gt;1,AQ67,((AO67/80)*AP67*P67))</f>
        <v>1</v>
      </c>
      <c r="AT67">
        <f t="shared" ref="AT67:AT130" si="72">IF(AND(M67="F",N67&lt;&gt;"NG",AS67&lt;&gt;0,AND(AR67&lt;&gt;6,AR67&lt;&gt;36,AR67&lt;&gt;56),AG67&lt;&gt;"A",OR(AG67="H",AJ67="FS")),1,IF(AND(M67="F",N67&lt;&gt;"NG",AS67&lt;&gt;0,AG67="A"),3,0))</f>
        <v>1</v>
      </c>
      <c r="AU67" s="387">
        <f>IF(AT67=0,"",IF(AND(AT67=1,M67="F",SUMIF(C2:C1334,C67,AS2:AS1334)&lt;=1),SUMIF(C2:C1334,C67,AS2:AS1334),IF(AND(AT67=1,M67="F",SUMIF(C2:C1334,C67,AS2:AS1334)&gt;1),1,"")))</f>
        <v>1</v>
      </c>
      <c r="AV67" s="387" t="str">
        <f>IF(AT67=0,"",IF(AND(AT67=3,M67="F",SUMIF(C2:C1334,C67,AS2:AS1334)&lt;=1),SUMIF(C2:C1334,C67,AS2:AS1334),IF(AND(AT67=3,M67="F",SUMIF(C2:C1334,C67,AS2:AS1334)&gt;1),1,"")))</f>
        <v/>
      </c>
      <c r="AW67" s="387">
        <f>SUMIF(C2:C1334,C67,O2:O1334)</f>
        <v>2</v>
      </c>
      <c r="AX67" s="387">
        <f>IF(AND(M67="F",AS67&lt;&gt;0),SUMIF(C2:C1334,C67,W2:W1334),0)</f>
        <v>78332.800000000003</v>
      </c>
      <c r="AY67" s="387">
        <f t="shared" ref="AY67:AY130" si="73">IF(AT67=1,W67,"")</f>
        <v>78332.800000000003</v>
      </c>
      <c r="AZ67" s="387" t="str">
        <f t="shared" ref="AZ67:AZ130" si="74">IF(AT67=3,W67,"")</f>
        <v/>
      </c>
      <c r="BA67" s="387">
        <f t="shared" ref="BA67:BA130" si="75">IF(AT67=1,Y67-W67,0)</f>
        <v>0</v>
      </c>
      <c r="BB67" s="387">
        <f t="shared" si="44"/>
        <v>11650</v>
      </c>
      <c r="BC67" s="387">
        <f t="shared" si="45"/>
        <v>0</v>
      </c>
      <c r="BD67" s="387">
        <f t="shared" si="46"/>
        <v>4856.6336000000001</v>
      </c>
      <c r="BE67" s="387">
        <f t="shared" si="47"/>
        <v>1135.8256000000001</v>
      </c>
      <c r="BF67" s="387">
        <f t="shared" si="48"/>
        <v>9352.9363200000007</v>
      </c>
      <c r="BG67" s="387">
        <f t="shared" si="49"/>
        <v>564.77948800000001</v>
      </c>
      <c r="BH67" s="387">
        <f t="shared" si="50"/>
        <v>383.83071999999999</v>
      </c>
      <c r="BI67" s="387">
        <f t="shared" si="51"/>
        <v>433.572048</v>
      </c>
      <c r="BJ67" s="387">
        <f t="shared" si="52"/>
        <v>211.49856000000003</v>
      </c>
      <c r="BK67" s="387">
        <f t="shared" si="53"/>
        <v>0</v>
      </c>
      <c r="BL67" s="387">
        <f t="shared" ref="BL67:BL130" si="76">IF(AT67=1,SUM(BD67:BK67),0)</f>
        <v>16939.076336000002</v>
      </c>
      <c r="BM67" s="387">
        <f t="shared" ref="BM67:BM130" si="77">IF(AT67=3,SUM(BD67:BK67),0)</f>
        <v>0</v>
      </c>
      <c r="BN67" s="387">
        <f t="shared" si="54"/>
        <v>11650</v>
      </c>
      <c r="BO67" s="387">
        <f t="shared" si="55"/>
        <v>0</v>
      </c>
      <c r="BP67" s="387">
        <f t="shared" si="56"/>
        <v>4856.6336000000001</v>
      </c>
      <c r="BQ67" s="387">
        <f t="shared" si="57"/>
        <v>1135.8256000000001</v>
      </c>
      <c r="BR67" s="387">
        <f t="shared" si="58"/>
        <v>9352.9363200000007</v>
      </c>
      <c r="BS67" s="387">
        <f t="shared" si="59"/>
        <v>564.77948800000001</v>
      </c>
      <c r="BT67" s="387">
        <f t="shared" si="60"/>
        <v>0</v>
      </c>
      <c r="BU67" s="387">
        <f t="shared" si="61"/>
        <v>433.572048</v>
      </c>
      <c r="BV67" s="387">
        <f t="shared" si="62"/>
        <v>266.33152000000001</v>
      </c>
      <c r="BW67" s="387">
        <f t="shared" si="63"/>
        <v>0</v>
      </c>
      <c r="BX67" s="387">
        <f t="shared" ref="BX67:BX130" si="78">IF(AT67=1,SUM(BP67:BW67),0)</f>
        <v>16610.078576000004</v>
      </c>
      <c r="BY67" s="387">
        <f t="shared" ref="BY67:BY130" si="79">IF(AT67=3,SUM(BP67:BW67),0)</f>
        <v>0</v>
      </c>
      <c r="BZ67" s="387">
        <f t="shared" ref="BZ67:BZ130" si="80">IF(AT67=1,BN67-BB67,0)</f>
        <v>0</v>
      </c>
      <c r="CA67" s="387">
        <f t="shared" ref="CA67:CA130" si="81">IF(AT67=3,BO67-BC67,0)</f>
        <v>0</v>
      </c>
      <c r="CB67" s="387">
        <f t="shared" ref="CB67:CB130" si="82">BP67-BD67</f>
        <v>0</v>
      </c>
      <c r="CC67" s="387">
        <f t="shared" si="64"/>
        <v>0</v>
      </c>
      <c r="CD67" s="387">
        <f t="shared" si="65"/>
        <v>0</v>
      </c>
      <c r="CE67" s="387">
        <f t="shared" si="66"/>
        <v>0</v>
      </c>
      <c r="CF67" s="387">
        <f t="shared" si="67"/>
        <v>-383.83071999999999</v>
      </c>
      <c r="CG67" s="387">
        <f t="shared" si="68"/>
        <v>0</v>
      </c>
      <c r="CH67" s="387">
        <f t="shared" si="69"/>
        <v>54.832959999999979</v>
      </c>
      <c r="CI67" s="387">
        <f t="shared" si="70"/>
        <v>0</v>
      </c>
      <c r="CJ67" s="387">
        <f t="shared" ref="CJ67:CJ130" si="83">IF(AT67=1,SUM(CB67:CI67),0)</f>
        <v>-328.99776000000003</v>
      </c>
      <c r="CK67" s="387" t="str">
        <f t="shared" ref="CK67:CK130" si="84">IF(AT67=3,SUM(CB67:CI67),"")</f>
        <v/>
      </c>
      <c r="CL67" s="387" t="str">
        <f t="shared" ref="CL67:CL130" si="85">IF(OR(N67="NG",AG67="D"),(T67+U67),"")</f>
        <v/>
      </c>
      <c r="CM67" s="387" t="str">
        <f t="shared" ref="CM67:CM130" si="86">IF(OR(N67="NG",AG67="D"),V67,"")</f>
        <v/>
      </c>
      <c r="CN67" s="387" t="str">
        <f t="shared" ref="CN67:CN130" si="87">E67 &amp; "-" &amp; F67</f>
        <v>0348-31</v>
      </c>
    </row>
    <row r="68" spans="1:92" ht="15.75" thickBot="1" x14ac:dyDescent="0.3">
      <c r="A68" s="376" t="s">
        <v>161</v>
      </c>
      <c r="B68" s="376" t="s">
        <v>162</v>
      </c>
      <c r="C68" s="376" t="s">
        <v>539</v>
      </c>
      <c r="D68" s="376" t="s">
        <v>504</v>
      </c>
      <c r="E68" s="376" t="s">
        <v>224</v>
      </c>
      <c r="F68" s="382" t="s">
        <v>225</v>
      </c>
      <c r="G68" s="376" t="s">
        <v>167</v>
      </c>
      <c r="H68" s="378"/>
      <c r="I68" s="378"/>
      <c r="J68" s="376" t="s">
        <v>215</v>
      </c>
      <c r="K68" s="376" t="s">
        <v>505</v>
      </c>
      <c r="L68" s="376" t="s">
        <v>432</v>
      </c>
      <c r="M68" s="376" t="s">
        <v>171</v>
      </c>
      <c r="N68" s="376" t="s">
        <v>172</v>
      </c>
      <c r="O68" s="379">
        <v>1</v>
      </c>
      <c r="P68" s="385">
        <v>1</v>
      </c>
      <c r="Q68" s="385">
        <v>1</v>
      </c>
      <c r="R68" s="380">
        <v>80</v>
      </c>
      <c r="S68" s="385">
        <v>1</v>
      </c>
      <c r="T68" s="380">
        <v>0</v>
      </c>
      <c r="U68" s="380">
        <v>0</v>
      </c>
      <c r="V68" s="380">
        <v>0</v>
      </c>
      <c r="W68" s="380">
        <v>91707.199999999997</v>
      </c>
      <c r="X68" s="380">
        <v>31481.63</v>
      </c>
      <c r="Y68" s="380">
        <v>91707.199999999997</v>
      </c>
      <c r="Z68" s="380">
        <v>31096.47</v>
      </c>
      <c r="AA68" s="376" t="s">
        <v>540</v>
      </c>
      <c r="AB68" s="376" t="s">
        <v>541</v>
      </c>
      <c r="AC68" s="376" t="s">
        <v>542</v>
      </c>
      <c r="AD68" s="376" t="s">
        <v>252</v>
      </c>
      <c r="AE68" s="376" t="s">
        <v>505</v>
      </c>
      <c r="AF68" s="376" t="s">
        <v>436</v>
      </c>
      <c r="AG68" s="376" t="s">
        <v>178</v>
      </c>
      <c r="AH68" s="381">
        <v>44.09</v>
      </c>
      <c r="AI68" s="381">
        <v>1410.5</v>
      </c>
      <c r="AJ68" s="376" t="s">
        <v>179</v>
      </c>
      <c r="AK68" s="376" t="s">
        <v>180</v>
      </c>
      <c r="AL68" s="376" t="s">
        <v>181</v>
      </c>
      <c r="AM68" s="376" t="s">
        <v>182</v>
      </c>
      <c r="AN68" s="376" t="s">
        <v>68</v>
      </c>
      <c r="AO68" s="379">
        <v>80</v>
      </c>
      <c r="AP68" s="385">
        <v>1</v>
      </c>
      <c r="AQ68" s="385">
        <v>1</v>
      </c>
      <c r="AR68" s="383" t="s">
        <v>183</v>
      </c>
      <c r="AS68" s="387">
        <f t="shared" si="71"/>
        <v>1</v>
      </c>
      <c r="AT68">
        <f t="shared" si="72"/>
        <v>1</v>
      </c>
      <c r="AU68" s="387">
        <f>IF(AT68=0,"",IF(AND(AT68=1,M68="F",SUMIF(C2:C1334,C68,AS2:AS1334)&lt;=1),SUMIF(C2:C1334,C68,AS2:AS1334),IF(AND(AT68=1,M68="F",SUMIF(C2:C1334,C68,AS2:AS1334)&gt;1),1,"")))</f>
        <v>1</v>
      </c>
      <c r="AV68" s="387" t="str">
        <f>IF(AT68=0,"",IF(AND(AT68=3,M68="F",SUMIF(C2:C1334,C68,AS2:AS1334)&lt;=1),SUMIF(C2:C1334,C68,AS2:AS1334),IF(AND(AT68=3,M68="F",SUMIF(C2:C1334,C68,AS2:AS1334)&gt;1),1,"")))</f>
        <v/>
      </c>
      <c r="AW68" s="387">
        <f>SUMIF(C2:C1334,C68,O2:O1334)</f>
        <v>2</v>
      </c>
      <c r="AX68" s="387">
        <f>IF(AND(M68="F",AS68&lt;&gt;0),SUMIF(C2:C1334,C68,W2:W1334),0)</f>
        <v>91707.199999999997</v>
      </c>
      <c r="AY68" s="387">
        <f t="shared" si="73"/>
        <v>91707.199999999997</v>
      </c>
      <c r="AZ68" s="387" t="str">
        <f t="shared" si="74"/>
        <v/>
      </c>
      <c r="BA68" s="387">
        <f t="shared" si="75"/>
        <v>0</v>
      </c>
      <c r="BB68" s="387">
        <f t="shared" si="44"/>
        <v>11650</v>
      </c>
      <c r="BC68" s="387">
        <f t="shared" si="45"/>
        <v>0</v>
      </c>
      <c r="BD68" s="387">
        <f t="shared" si="46"/>
        <v>5685.8463999999994</v>
      </c>
      <c r="BE68" s="387">
        <f t="shared" si="47"/>
        <v>1329.7544</v>
      </c>
      <c r="BF68" s="387">
        <f t="shared" si="48"/>
        <v>10949.839680000001</v>
      </c>
      <c r="BG68" s="387">
        <f t="shared" si="49"/>
        <v>661.20891200000005</v>
      </c>
      <c r="BH68" s="387">
        <f t="shared" si="50"/>
        <v>449.36527999999998</v>
      </c>
      <c r="BI68" s="387">
        <f t="shared" si="51"/>
        <v>507.59935200000001</v>
      </c>
      <c r="BJ68" s="387">
        <f t="shared" si="52"/>
        <v>247.60944000000001</v>
      </c>
      <c r="BK68" s="387">
        <f t="shared" si="53"/>
        <v>0</v>
      </c>
      <c r="BL68" s="387">
        <f t="shared" si="76"/>
        <v>19831.223463999999</v>
      </c>
      <c r="BM68" s="387">
        <f t="shared" si="77"/>
        <v>0</v>
      </c>
      <c r="BN68" s="387">
        <f t="shared" si="54"/>
        <v>11650</v>
      </c>
      <c r="BO68" s="387">
        <f t="shared" si="55"/>
        <v>0</v>
      </c>
      <c r="BP68" s="387">
        <f t="shared" si="56"/>
        <v>5685.8463999999994</v>
      </c>
      <c r="BQ68" s="387">
        <f t="shared" si="57"/>
        <v>1329.7544</v>
      </c>
      <c r="BR68" s="387">
        <f t="shared" si="58"/>
        <v>10949.839680000001</v>
      </c>
      <c r="BS68" s="387">
        <f t="shared" si="59"/>
        <v>661.20891200000005</v>
      </c>
      <c r="BT68" s="387">
        <f t="shared" si="60"/>
        <v>0</v>
      </c>
      <c r="BU68" s="387">
        <f t="shared" si="61"/>
        <v>507.59935200000001</v>
      </c>
      <c r="BV68" s="387">
        <f t="shared" si="62"/>
        <v>311.80447999999996</v>
      </c>
      <c r="BW68" s="387">
        <f t="shared" si="63"/>
        <v>0</v>
      </c>
      <c r="BX68" s="387">
        <f t="shared" si="78"/>
        <v>19446.053223999999</v>
      </c>
      <c r="BY68" s="387">
        <f t="shared" si="79"/>
        <v>0</v>
      </c>
      <c r="BZ68" s="387">
        <f t="shared" si="80"/>
        <v>0</v>
      </c>
      <c r="CA68" s="387">
        <f t="shared" si="81"/>
        <v>0</v>
      </c>
      <c r="CB68" s="387">
        <f t="shared" si="82"/>
        <v>0</v>
      </c>
      <c r="CC68" s="387">
        <f t="shared" si="64"/>
        <v>0</v>
      </c>
      <c r="CD68" s="387">
        <f t="shared" si="65"/>
        <v>0</v>
      </c>
      <c r="CE68" s="387">
        <f t="shared" si="66"/>
        <v>0</v>
      </c>
      <c r="CF68" s="387">
        <f t="shared" si="67"/>
        <v>-449.36527999999998</v>
      </c>
      <c r="CG68" s="387">
        <f t="shared" si="68"/>
        <v>0</v>
      </c>
      <c r="CH68" s="387">
        <f t="shared" si="69"/>
        <v>64.195039999999963</v>
      </c>
      <c r="CI68" s="387">
        <f t="shared" si="70"/>
        <v>0</v>
      </c>
      <c r="CJ68" s="387">
        <f t="shared" si="83"/>
        <v>-385.17024000000004</v>
      </c>
      <c r="CK68" s="387" t="str">
        <f t="shared" si="84"/>
        <v/>
      </c>
      <c r="CL68" s="387" t="str">
        <f t="shared" si="85"/>
        <v/>
      </c>
      <c r="CM68" s="387" t="str">
        <f t="shared" si="86"/>
        <v/>
      </c>
      <c r="CN68" s="387" t="str">
        <f t="shared" si="87"/>
        <v>0348-31</v>
      </c>
    </row>
    <row r="69" spans="1:92" ht="15.75" thickBot="1" x14ac:dyDescent="0.3">
      <c r="A69" s="376" t="s">
        <v>161</v>
      </c>
      <c r="B69" s="376" t="s">
        <v>162</v>
      </c>
      <c r="C69" s="376" t="s">
        <v>184</v>
      </c>
      <c r="D69" s="376" t="s">
        <v>164</v>
      </c>
      <c r="E69" s="376" t="s">
        <v>224</v>
      </c>
      <c r="F69" s="382" t="s">
        <v>225</v>
      </c>
      <c r="G69" s="376" t="s">
        <v>167</v>
      </c>
      <c r="H69" s="378"/>
      <c r="I69" s="378"/>
      <c r="J69" s="376" t="s">
        <v>168</v>
      </c>
      <c r="K69" s="376" t="s">
        <v>169</v>
      </c>
      <c r="L69" s="376" t="s">
        <v>170</v>
      </c>
      <c r="M69" s="376" t="s">
        <v>171</v>
      </c>
      <c r="N69" s="376" t="s">
        <v>172</v>
      </c>
      <c r="O69" s="379">
        <v>1</v>
      </c>
      <c r="P69" s="385">
        <v>0.5</v>
      </c>
      <c r="Q69" s="385">
        <v>0.5</v>
      </c>
      <c r="R69" s="380">
        <v>80</v>
      </c>
      <c r="S69" s="385">
        <v>0.5</v>
      </c>
      <c r="T69" s="380">
        <v>0</v>
      </c>
      <c r="U69" s="380">
        <v>0</v>
      </c>
      <c r="V69" s="380">
        <v>0</v>
      </c>
      <c r="W69" s="380">
        <v>30711.200000000001</v>
      </c>
      <c r="X69" s="380">
        <v>12466.28</v>
      </c>
      <c r="Y69" s="380">
        <v>30711.200000000001</v>
      </c>
      <c r="Z69" s="380">
        <v>12337.29</v>
      </c>
      <c r="AA69" s="376" t="s">
        <v>185</v>
      </c>
      <c r="AB69" s="376" t="s">
        <v>186</v>
      </c>
      <c r="AC69" s="376" t="s">
        <v>187</v>
      </c>
      <c r="AD69" s="376" t="s">
        <v>188</v>
      </c>
      <c r="AE69" s="376" t="s">
        <v>169</v>
      </c>
      <c r="AF69" s="376" t="s">
        <v>177</v>
      </c>
      <c r="AG69" s="376" t="s">
        <v>178</v>
      </c>
      <c r="AH69" s="381">
        <v>29.53</v>
      </c>
      <c r="AI69" s="381">
        <v>10657.6</v>
      </c>
      <c r="AJ69" s="376" t="s">
        <v>179</v>
      </c>
      <c r="AK69" s="376" t="s">
        <v>180</v>
      </c>
      <c r="AL69" s="376" t="s">
        <v>181</v>
      </c>
      <c r="AM69" s="376" t="s">
        <v>182</v>
      </c>
      <c r="AN69" s="376" t="s">
        <v>68</v>
      </c>
      <c r="AO69" s="379">
        <v>80</v>
      </c>
      <c r="AP69" s="385">
        <v>1</v>
      </c>
      <c r="AQ69" s="385">
        <v>0.5</v>
      </c>
      <c r="AR69" s="383" t="s">
        <v>183</v>
      </c>
      <c r="AS69" s="387">
        <f t="shared" si="71"/>
        <v>0.5</v>
      </c>
      <c r="AT69">
        <f t="shared" si="72"/>
        <v>1</v>
      </c>
      <c r="AU69" s="387">
        <f>IF(AT69=0,"",IF(AND(AT69=1,M69="F",SUMIF(C2:C1334,C69,AS2:AS1334)&lt;=1),SUMIF(C2:C1334,C69,AS2:AS1334),IF(AND(AT69=1,M69="F",SUMIF(C2:C1334,C69,AS2:AS1334)&gt;1),1,"")))</f>
        <v>1</v>
      </c>
      <c r="AV69" s="387" t="str">
        <f>IF(AT69=0,"",IF(AND(AT69=3,M69="F",SUMIF(C2:C1334,C69,AS2:AS1334)&lt;=1),SUMIF(C2:C1334,C69,AS2:AS1334),IF(AND(AT69=3,M69="F",SUMIF(C2:C1334,C69,AS2:AS1334)&gt;1),1,"")))</f>
        <v/>
      </c>
      <c r="AW69" s="387">
        <f>SUMIF(C2:C1334,C69,O2:O1334)</f>
        <v>4</v>
      </c>
      <c r="AX69" s="387">
        <f>IF(AND(M69="F",AS69&lt;&gt;0),SUMIF(C2:C1334,C69,W2:W1334),0)</f>
        <v>61422.400000000001</v>
      </c>
      <c r="AY69" s="387">
        <f t="shared" si="73"/>
        <v>30711.200000000001</v>
      </c>
      <c r="AZ69" s="387" t="str">
        <f t="shared" si="74"/>
        <v/>
      </c>
      <c r="BA69" s="387">
        <f t="shared" si="75"/>
        <v>0</v>
      </c>
      <c r="BB69" s="387">
        <f t="shared" si="44"/>
        <v>5825</v>
      </c>
      <c r="BC69" s="387">
        <f t="shared" si="45"/>
        <v>0</v>
      </c>
      <c r="BD69" s="387">
        <f t="shared" si="46"/>
        <v>1904.0944</v>
      </c>
      <c r="BE69" s="387">
        <f t="shared" si="47"/>
        <v>445.31240000000003</v>
      </c>
      <c r="BF69" s="387">
        <f t="shared" si="48"/>
        <v>3666.9172800000001</v>
      </c>
      <c r="BG69" s="387">
        <f t="shared" si="49"/>
        <v>221.42775200000003</v>
      </c>
      <c r="BH69" s="387">
        <f t="shared" si="50"/>
        <v>150.48488</v>
      </c>
      <c r="BI69" s="387">
        <f t="shared" si="51"/>
        <v>169.986492</v>
      </c>
      <c r="BJ69" s="387">
        <f t="shared" si="52"/>
        <v>82.920240000000007</v>
      </c>
      <c r="BK69" s="387">
        <f t="shared" si="53"/>
        <v>0</v>
      </c>
      <c r="BL69" s="387">
        <f t="shared" si="76"/>
        <v>6641.1434440000003</v>
      </c>
      <c r="BM69" s="387">
        <f t="shared" si="77"/>
        <v>0</v>
      </c>
      <c r="BN69" s="387">
        <f t="shared" si="54"/>
        <v>5825</v>
      </c>
      <c r="BO69" s="387">
        <f t="shared" si="55"/>
        <v>0</v>
      </c>
      <c r="BP69" s="387">
        <f t="shared" si="56"/>
        <v>1904.0944</v>
      </c>
      <c r="BQ69" s="387">
        <f t="shared" si="57"/>
        <v>445.31240000000003</v>
      </c>
      <c r="BR69" s="387">
        <f t="shared" si="58"/>
        <v>3666.9172800000001</v>
      </c>
      <c r="BS69" s="387">
        <f t="shared" si="59"/>
        <v>221.42775200000003</v>
      </c>
      <c r="BT69" s="387">
        <f t="shared" si="60"/>
        <v>0</v>
      </c>
      <c r="BU69" s="387">
        <f t="shared" si="61"/>
        <v>169.986492</v>
      </c>
      <c r="BV69" s="387">
        <f t="shared" si="62"/>
        <v>104.41808</v>
      </c>
      <c r="BW69" s="387">
        <f t="shared" si="63"/>
        <v>0</v>
      </c>
      <c r="BX69" s="387">
        <f t="shared" si="78"/>
        <v>6512.1564040000003</v>
      </c>
      <c r="BY69" s="387">
        <f t="shared" si="79"/>
        <v>0</v>
      </c>
      <c r="BZ69" s="387">
        <f t="shared" si="80"/>
        <v>0</v>
      </c>
      <c r="CA69" s="387">
        <f t="shared" si="81"/>
        <v>0</v>
      </c>
      <c r="CB69" s="387">
        <f t="shared" si="82"/>
        <v>0</v>
      </c>
      <c r="CC69" s="387">
        <f t="shared" si="64"/>
        <v>0</v>
      </c>
      <c r="CD69" s="387">
        <f t="shared" si="65"/>
        <v>0</v>
      </c>
      <c r="CE69" s="387">
        <f t="shared" si="66"/>
        <v>0</v>
      </c>
      <c r="CF69" s="387">
        <f t="shared" si="67"/>
        <v>-150.48488</v>
      </c>
      <c r="CG69" s="387">
        <f t="shared" si="68"/>
        <v>0</v>
      </c>
      <c r="CH69" s="387">
        <f t="shared" si="69"/>
        <v>21.497839999999989</v>
      </c>
      <c r="CI69" s="387">
        <f t="shared" si="70"/>
        <v>0</v>
      </c>
      <c r="CJ69" s="387">
        <f t="shared" si="83"/>
        <v>-128.98704000000001</v>
      </c>
      <c r="CK69" s="387" t="str">
        <f t="shared" si="84"/>
        <v/>
      </c>
      <c r="CL69" s="387" t="str">
        <f t="shared" si="85"/>
        <v/>
      </c>
      <c r="CM69" s="387" t="str">
        <f t="shared" si="86"/>
        <v/>
      </c>
      <c r="CN69" s="387" t="str">
        <f t="shared" si="87"/>
        <v>0348-31</v>
      </c>
    </row>
    <row r="70" spans="1:92" ht="15.75" thickBot="1" x14ac:dyDescent="0.3">
      <c r="A70" s="376" t="s">
        <v>161</v>
      </c>
      <c r="B70" s="376" t="s">
        <v>162</v>
      </c>
      <c r="C70" s="376" t="s">
        <v>543</v>
      </c>
      <c r="D70" s="376" t="s">
        <v>326</v>
      </c>
      <c r="E70" s="376" t="s">
        <v>224</v>
      </c>
      <c r="F70" s="382" t="s">
        <v>225</v>
      </c>
      <c r="G70" s="376" t="s">
        <v>167</v>
      </c>
      <c r="H70" s="378"/>
      <c r="I70" s="378"/>
      <c r="J70" s="376" t="s">
        <v>215</v>
      </c>
      <c r="K70" s="376" t="s">
        <v>327</v>
      </c>
      <c r="L70" s="376" t="s">
        <v>170</v>
      </c>
      <c r="M70" s="376" t="s">
        <v>272</v>
      </c>
      <c r="N70" s="376" t="s">
        <v>172</v>
      </c>
      <c r="O70" s="379">
        <v>0</v>
      </c>
      <c r="P70" s="385">
        <v>1</v>
      </c>
      <c r="Q70" s="385">
        <v>1</v>
      </c>
      <c r="R70" s="380">
        <v>80</v>
      </c>
      <c r="S70" s="385">
        <v>1</v>
      </c>
      <c r="T70" s="380">
        <v>0</v>
      </c>
      <c r="U70" s="380">
        <v>0</v>
      </c>
      <c r="V70" s="380">
        <v>0</v>
      </c>
      <c r="W70" s="380">
        <v>53476.800000000003</v>
      </c>
      <c r="X70" s="380">
        <v>23422.83</v>
      </c>
      <c r="Y70" s="380">
        <v>53476.800000000003</v>
      </c>
      <c r="Z70" s="380">
        <v>23155.45</v>
      </c>
      <c r="AA70" s="378"/>
      <c r="AB70" s="376" t="s">
        <v>45</v>
      </c>
      <c r="AC70" s="376" t="s">
        <v>45</v>
      </c>
      <c r="AD70" s="378"/>
      <c r="AE70" s="378"/>
      <c r="AF70" s="378"/>
      <c r="AG70" s="378"/>
      <c r="AH70" s="379">
        <v>0</v>
      </c>
      <c r="AI70" s="379">
        <v>0</v>
      </c>
      <c r="AJ70" s="378"/>
      <c r="AK70" s="378"/>
      <c r="AL70" s="376" t="s">
        <v>181</v>
      </c>
      <c r="AM70" s="378"/>
      <c r="AN70" s="378"/>
      <c r="AO70" s="379">
        <v>0</v>
      </c>
      <c r="AP70" s="385">
        <v>0</v>
      </c>
      <c r="AQ70" s="385">
        <v>0</v>
      </c>
      <c r="AR70" s="384"/>
      <c r="AS70" s="387">
        <f t="shared" si="71"/>
        <v>0</v>
      </c>
      <c r="AT70">
        <f t="shared" si="72"/>
        <v>0</v>
      </c>
      <c r="AU70" s="387" t="str">
        <f>IF(AT70=0,"",IF(AND(AT70=1,M70="F",SUMIF(C2:C1334,C70,AS2:AS1334)&lt;=1),SUMIF(C2:C1334,C70,AS2:AS1334),IF(AND(AT70=1,M70="F",SUMIF(C2:C1334,C70,AS2:AS1334)&gt;1),1,"")))</f>
        <v/>
      </c>
      <c r="AV70" s="387" t="str">
        <f>IF(AT70=0,"",IF(AND(AT70=3,M70="F",SUMIF(C2:C1334,C70,AS2:AS1334)&lt;=1),SUMIF(C2:C1334,C70,AS2:AS1334),IF(AND(AT70=3,M70="F",SUMIF(C2:C1334,C70,AS2:AS1334)&gt;1),1,"")))</f>
        <v/>
      </c>
      <c r="AW70" s="387">
        <f>SUMIF(C2:C1334,C70,O2:O1334)</f>
        <v>0</v>
      </c>
      <c r="AX70" s="387">
        <f>IF(AND(M70="F",AS70&lt;&gt;0),SUMIF(C2:C1334,C70,W2:W1334),0)</f>
        <v>0</v>
      </c>
      <c r="AY70" s="387" t="str">
        <f t="shared" si="73"/>
        <v/>
      </c>
      <c r="AZ70" s="387" t="str">
        <f t="shared" si="74"/>
        <v/>
      </c>
      <c r="BA70" s="387">
        <f t="shared" si="75"/>
        <v>0</v>
      </c>
      <c r="BB70" s="387">
        <f t="shared" si="44"/>
        <v>0</v>
      </c>
      <c r="BC70" s="387">
        <f t="shared" si="45"/>
        <v>0</v>
      </c>
      <c r="BD70" s="387">
        <f t="shared" si="46"/>
        <v>0</v>
      </c>
      <c r="BE70" s="387">
        <f t="shared" si="47"/>
        <v>0</v>
      </c>
      <c r="BF70" s="387">
        <f t="shared" si="48"/>
        <v>0</v>
      </c>
      <c r="BG70" s="387">
        <f t="shared" si="49"/>
        <v>0</v>
      </c>
      <c r="BH70" s="387">
        <f t="shared" si="50"/>
        <v>0</v>
      </c>
      <c r="BI70" s="387">
        <f t="shared" si="51"/>
        <v>0</v>
      </c>
      <c r="BJ70" s="387">
        <f t="shared" si="52"/>
        <v>0</v>
      </c>
      <c r="BK70" s="387">
        <f t="shared" si="53"/>
        <v>0</v>
      </c>
      <c r="BL70" s="387">
        <f t="shared" si="76"/>
        <v>0</v>
      </c>
      <c r="BM70" s="387">
        <f t="shared" si="77"/>
        <v>0</v>
      </c>
      <c r="BN70" s="387">
        <f t="shared" si="54"/>
        <v>0</v>
      </c>
      <c r="BO70" s="387">
        <f t="shared" si="55"/>
        <v>0</v>
      </c>
      <c r="BP70" s="387">
        <f t="shared" si="56"/>
        <v>0</v>
      </c>
      <c r="BQ70" s="387">
        <f t="shared" si="57"/>
        <v>0</v>
      </c>
      <c r="BR70" s="387">
        <f t="shared" si="58"/>
        <v>0</v>
      </c>
      <c r="BS70" s="387">
        <f t="shared" si="59"/>
        <v>0</v>
      </c>
      <c r="BT70" s="387">
        <f t="shared" si="60"/>
        <v>0</v>
      </c>
      <c r="BU70" s="387">
        <f t="shared" si="61"/>
        <v>0</v>
      </c>
      <c r="BV70" s="387">
        <f t="shared" si="62"/>
        <v>0</v>
      </c>
      <c r="BW70" s="387">
        <f t="shared" si="63"/>
        <v>0</v>
      </c>
      <c r="BX70" s="387">
        <f t="shared" si="78"/>
        <v>0</v>
      </c>
      <c r="BY70" s="387">
        <f t="shared" si="79"/>
        <v>0</v>
      </c>
      <c r="BZ70" s="387">
        <f t="shared" si="80"/>
        <v>0</v>
      </c>
      <c r="CA70" s="387">
        <f t="shared" si="81"/>
        <v>0</v>
      </c>
      <c r="CB70" s="387">
        <f t="shared" si="82"/>
        <v>0</v>
      </c>
      <c r="CC70" s="387">
        <f t="shared" si="64"/>
        <v>0</v>
      </c>
      <c r="CD70" s="387">
        <f t="shared" si="65"/>
        <v>0</v>
      </c>
      <c r="CE70" s="387">
        <f t="shared" si="66"/>
        <v>0</v>
      </c>
      <c r="CF70" s="387">
        <f t="shared" si="67"/>
        <v>0</v>
      </c>
      <c r="CG70" s="387">
        <f t="shared" si="68"/>
        <v>0</v>
      </c>
      <c r="CH70" s="387">
        <f t="shared" si="69"/>
        <v>0</v>
      </c>
      <c r="CI70" s="387">
        <f t="shared" si="70"/>
        <v>0</v>
      </c>
      <c r="CJ70" s="387">
        <f t="shared" si="83"/>
        <v>0</v>
      </c>
      <c r="CK70" s="387" t="str">
        <f t="shared" si="84"/>
        <v/>
      </c>
      <c r="CL70" s="387" t="str">
        <f t="shared" si="85"/>
        <v/>
      </c>
      <c r="CM70" s="387" t="str">
        <f t="shared" si="86"/>
        <v/>
      </c>
      <c r="CN70" s="387" t="str">
        <f t="shared" si="87"/>
        <v>0348-31</v>
      </c>
    </row>
    <row r="71" spans="1:92" ht="15.75" thickBot="1" x14ac:dyDescent="0.3">
      <c r="A71" s="376" t="s">
        <v>161</v>
      </c>
      <c r="B71" s="376" t="s">
        <v>162</v>
      </c>
      <c r="C71" s="376" t="s">
        <v>544</v>
      </c>
      <c r="D71" s="376" t="s">
        <v>263</v>
      </c>
      <c r="E71" s="376" t="s">
        <v>224</v>
      </c>
      <c r="F71" s="382" t="s">
        <v>225</v>
      </c>
      <c r="G71" s="376" t="s">
        <v>167</v>
      </c>
      <c r="H71" s="378"/>
      <c r="I71" s="378"/>
      <c r="J71" s="376" t="s">
        <v>215</v>
      </c>
      <c r="K71" s="376" t="s">
        <v>264</v>
      </c>
      <c r="L71" s="376" t="s">
        <v>210</v>
      </c>
      <c r="M71" s="376" t="s">
        <v>171</v>
      </c>
      <c r="N71" s="376" t="s">
        <v>172</v>
      </c>
      <c r="O71" s="379">
        <v>1</v>
      </c>
      <c r="P71" s="385">
        <v>1</v>
      </c>
      <c r="Q71" s="385">
        <v>1</v>
      </c>
      <c r="R71" s="380">
        <v>80</v>
      </c>
      <c r="S71" s="385">
        <v>1</v>
      </c>
      <c r="T71" s="380">
        <v>0</v>
      </c>
      <c r="U71" s="380">
        <v>0</v>
      </c>
      <c r="V71" s="380">
        <v>0</v>
      </c>
      <c r="W71" s="380">
        <v>65124.800000000003</v>
      </c>
      <c r="X71" s="380">
        <v>25733.200000000001</v>
      </c>
      <c r="Y71" s="380">
        <v>65124.800000000003</v>
      </c>
      <c r="Z71" s="380">
        <v>25459.68</v>
      </c>
      <c r="AA71" s="376" t="s">
        <v>545</v>
      </c>
      <c r="AB71" s="376" t="s">
        <v>546</v>
      </c>
      <c r="AC71" s="376" t="s">
        <v>458</v>
      </c>
      <c r="AD71" s="376" t="s">
        <v>406</v>
      </c>
      <c r="AE71" s="376" t="s">
        <v>264</v>
      </c>
      <c r="AF71" s="376" t="s">
        <v>245</v>
      </c>
      <c r="AG71" s="376" t="s">
        <v>178</v>
      </c>
      <c r="AH71" s="381">
        <v>31.31</v>
      </c>
      <c r="AI71" s="381">
        <v>46544.3</v>
      </c>
      <c r="AJ71" s="376" t="s">
        <v>179</v>
      </c>
      <c r="AK71" s="376" t="s">
        <v>180</v>
      </c>
      <c r="AL71" s="376" t="s">
        <v>181</v>
      </c>
      <c r="AM71" s="376" t="s">
        <v>182</v>
      </c>
      <c r="AN71" s="376" t="s">
        <v>68</v>
      </c>
      <c r="AO71" s="379">
        <v>80</v>
      </c>
      <c r="AP71" s="385">
        <v>1</v>
      </c>
      <c r="AQ71" s="385">
        <v>1</v>
      </c>
      <c r="AR71" s="383" t="s">
        <v>183</v>
      </c>
      <c r="AS71" s="387">
        <f t="shared" si="71"/>
        <v>1</v>
      </c>
      <c r="AT71">
        <f t="shared" si="72"/>
        <v>1</v>
      </c>
      <c r="AU71" s="387">
        <f>IF(AT71=0,"",IF(AND(AT71=1,M71="F",SUMIF(C2:C1334,C71,AS2:AS1334)&lt;=1),SUMIF(C2:C1334,C71,AS2:AS1334),IF(AND(AT71=1,M71="F",SUMIF(C2:C1334,C71,AS2:AS1334)&gt;1),1,"")))</f>
        <v>1</v>
      </c>
      <c r="AV71" s="387" t="str">
        <f>IF(AT71=0,"",IF(AND(AT71=3,M71="F",SUMIF(C2:C1334,C71,AS2:AS1334)&lt;=1),SUMIF(C2:C1334,C71,AS2:AS1334),IF(AND(AT71=3,M71="F",SUMIF(C2:C1334,C71,AS2:AS1334)&gt;1),1,"")))</f>
        <v/>
      </c>
      <c r="AW71" s="387">
        <f>SUMIF(C2:C1334,C71,O2:O1334)</f>
        <v>4</v>
      </c>
      <c r="AX71" s="387">
        <f>IF(AND(M71="F",AS71&lt;&gt;0),SUMIF(C2:C1334,C71,W2:W1334),0)</f>
        <v>65124.800000000003</v>
      </c>
      <c r="AY71" s="387">
        <f t="shared" si="73"/>
        <v>65124.800000000003</v>
      </c>
      <c r="AZ71" s="387" t="str">
        <f t="shared" si="74"/>
        <v/>
      </c>
      <c r="BA71" s="387">
        <f t="shared" si="75"/>
        <v>0</v>
      </c>
      <c r="BB71" s="387">
        <f t="shared" si="44"/>
        <v>11650</v>
      </c>
      <c r="BC71" s="387">
        <f t="shared" si="45"/>
        <v>0</v>
      </c>
      <c r="BD71" s="387">
        <f t="shared" si="46"/>
        <v>4037.7375999999999</v>
      </c>
      <c r="BE71" s="387">
        <f t="shared" si="47"/>
        <v>944.30960000000005</v>
      </c>
      <c r="BF71" s="387">
        <f t="shared" si="48"/>
        <v>7775.9011200000004</v>
      </c>
      <c r="BG71" s="387">
        <f t="shared" si="49"/>
        <v>469.54980800000004</v>
      </c>
      <c r="BH71" s="387">
        <f t="shared" si="50"/>
        <v>319.11151999999998</v>
      </c>
      <c r="BI71" s="387">
        <f t="shared" si="51"/>
        <v>360.46576800000003</v>
      </c>
      <c r="BJ71" s="387">
        <f t="shared" si="52"/>
        <v>175.83696</v>
      </c>
      <c r="BK71" s="387">
        <f t="shared" si="53"/>
        <v>0</v>
      </c>
      <c r="BL71" s="387">
        <f t="shared" si="76"/>
        <v>14082.912376</v>
      </c>
      <c r="BM71" s="387">
        <f t="shared" si="77"/>
        <v>0</v>
      </c>
      <c r="BN71" s="387">
        <f t="shared" si="54"/>
        <v>11650</v>
      </c>
      <c r="BO71" s="387">
        <f t="shared" si="55"/>
        <v>0</v>
      </c>
      <c r="BP71" s="387">
        <f t="shared" si="56"/>
        <v>4037.7375999999999</v>
      </c>
      <c r="BQ71" s="387">
        <f t="shared" si="57"/>
        <v>944.30960000000005</v>
      </c>
      <c r="BR71" s="387">
        <f t="shared" si="58"/>
        <v>7775.9011200000004</v>
      </c>
      <c r="BS71" s="387">
        <f t="shared" si="59"/>
        <v>469.54980800000004</v>
      </c>
      <c r="BT71" s="387">
        <f t="shared" si="60"/>
        <v>0</v>
      </c>
      <c r="BU71" s="387">
        <f t="shared" si="61"/>
        <v>360.46576800000003</v>
      </c>
      <c r="BV71" s="387">
        <f t="shared" si="62"/>
        <v>221.42431999999999</v>
      </c>
      <c r="BW71" s="387">
        <f t="shared" si="63"/>
        <v>0</v>
      </c>
      <c r="BX71" s="387">
        <f t="shared" si="78"/>
        <v>13809.388215999999</v>
      </c>
      <c r="BY71" s="387">
        <f t="shared" si="79"/>
        <v>0</v>
      </c>
      <c r="BZ71" s="387">
        <f t="shared" si="80"/>
        <v>0</v>
      </c>
      <c r="CA71" s="387">
        <f t="shared" si="81"/>
        <v>0</v>
      </c>
      <c r="CB71" s="387">
        <f t="shared" si="82"/>
        <v>0</v>
      </c>
      <c r="CC71" s="387">
        <f t="shared" si="64"/>
        <v>0</v>
      </c>
      <c r="CD71" s="387">
        <f t="shared" si="65"/>
        <v>0</v>
      </c>
      <c r="CE71" s="387">
        <f t="shared" si="66"/>
        <v>0</v>
      </c>
      <c r="CF71" s="387">
        <f t="shared" si="67"/>
        <v>-319.11151999999998</v>
      </c>
      <c r="CG71" s="387">
        <f t="shared" si="68"/>
        <v>0</v>
      </c>
      <c r="CH71" s="387">
        <f t="shared" si="69"/>
        <v>45.587359999999983</v>
      </c>
      <c r="CI71" s="387">
        <f t="shared" si="70"/>
        <v>0</v>
      </c>
      <c r="CJ71" s="387">
        <f t="shared" si="83"/>
        <v>-273.52415999999999</v>
      </c>
      <c r="CK71" s="387" t="str">
        <f t="shared" si="84"/>
        <v/>
      </c>
      <c r="CL71" s="387" t="str">
        <f t="shared" si="85"/>
        <v/>
      </c>
      <c r="CM71" s="387" t="str">
        <f t="shared" si="86"/>
        <v/>
      </c>
      <c r="CN71" s="387" t="str">
        <f t="shared" si="87"/>
        <v>0348-31</v>
      </c>
    </row>
    <row r="72" spans="1:92" ht="15.75" thickBot="1" x14ac:dyDescent="0.3">
      <c r="A72" s="376" t="s">
        <v>161</v>
      </c>
      <c r="B72" s="376" t="s">
        <v>162</v>
      </c>
      <c r="C72" s="376" t="s">
        <v>547</v>
      </c>
      <c r="D72" s="376" t="s">
        <v>238</v>
      </c>
      <c r="E72" s="376" t="s">
        <v>224</v>
      </c>
      <c r="F72" s="382" t="s">
        <v>225</v>
      </c>
      <c r="G72" s="376" t="s">
        <v>167</v>
      </c>
      <c r="H72" s="378"/>
      <c r="I72" s="378"/>
      <c r="J72" s="376" t="s">
        <v>215</v>
      </c>
      <c r="K72" s="376" t="s">
        <v>343</v>
      </c>
      <c r="L72" s="376" t="s">
        <v>296</v>
      </c>
      <c r="M72" s="376" t="s">
        <v>171</v>
      </c>
      <c r="N72" s="376" t="s">
        <v>172</v>
      </c>
      <c r="O72" s="379">
        <v>1</v>
      </c>
      <c r="P72" s="385">
        <v>1</v>
      </c>
      <c r="Q72" s="385">
        <v>1</v>
      </c>
      <c r="R72" s="380">
        <v>80</v>
      </c>
      <c r="S72" s="385">
        <v>1</v>
      </c>
      <c r="T72" s="380">
        <v>0</v>
      </c>
      <c r="U72" s="380">
        <v>0</v>
      </c>
      <c r="V72" s="380">
        <v>0</v>
      </c>
      <c r="W72" s="380">
        <v>41641.599999999999</v>
      </c>
      <c r="X72" s="380">
        <v>20654.96</v>
      </c>
      <c r="Y72" s="380">
        <v>41641.599999999999</v>
      </c>
      <c r="Z72" s="380">
        <v>20480.07</v>
      </c>
      <c r="AA72" s="376" t="s">
        <v>548</v>
      </c>
      <c r="AB72" s="376" t="s">
        <v>549</v>
      </c>
      <c r="AC72" s="376" t="s">
        <v>550</v>
      </c>
      <c r="AD72" s="376" t="s">
        <v>268</v>
      </c>
      <c r="AE72" s="376" t="s">
        <v>343</v>
      </c>
      <c r="AF72" s="376" t="s">
        <v>301</v>
      </c>
      <c r="AG72" s="376" t="s">
        <v>178</v>
      </c>
      <c r="AH72" s="381">
        <v>20.02</v>
      </c>
      <c r="AI72" s="379">
        <v>129</v>
      </c>
      <c r="AJ72" s="376" t="s">
        <v>179</v>
      </c>
      <c r="AK72" s="376" t="s">
        <v>180</v>
      </c>
      <c r="AL72" s="376" t="s">
        <v>181</v>
      </c>
      <c r="AM72" s="376" t="s">
        <v>182</v>
      </c>
      <c r="AN72" s="376" t="s">
        <v>68</v>
      </c>
      <c r="AO72" s="379">
        <v>80</v>
      </c>
      <c r="AP72" s="385">
        <v>1</v>
      </c>
      <c r="AQ72" s="385">
        <v>1</v>
      </c>
      <c r="AR72" s="383" t="s">
        <v>183</v>
      </c>
      <c r="AS72" s="387">
        <f t="shared" si="71"/>
        <v>1</v>
      </c>
      <c r="AT72">
        <f t="shared" si="72"/>
        <v>1</v>
      </c>
      <c r="AU72" s="387">
        <f>IF(AT72=0,"",IF(AND(AT72=1,M72="F",SUMIF(C2:C1334,C72,AS2:AS1334)&lt;=1),SUMIF(C2:C1334,C72,AS2:AS1334),IF(AND(AT72=1,M72="F",SUMIF(C2:C1334,C72,AS2:AS1334)&gt;1),1,"")))</f>
        <v>1</v>
      </c>
      <c r="AV72" s="387" t="str">
        <f>IF(AT72=0,"",IF(AND(AT72=3,M72="F",SUMIF(C2:C1334,C72,AS2:AS1334)&lt;=1),SUMIF(C2:C1334,C72,AS2:AS1334),IF(AND(AT72=3,M72="F",SUMIF(C2:C1334,C72,AS2:AS1334)&gt;1),1,"")))</f>
        <v/>
      </c>
      <c r="AW72" s="387">
        <f>SUMIF(C2:C1334,C72,O2:O1334)</f>
        <v>4</v>
      </c>
      <c r="AX72" s="387">
        <f>IF(AND(M72="F",AS72&lt;&gt;0),SUMIF(C2:C1334,C72,W2:W1334),0)</f>
        <v>41641.599999999999</v>
      </c>
      <c r="AY72" s="387">
        <f t="shared" si="73"/>
        <v>41641.599999999999</v>
      </c>
      <c r="AZ72" s="387" t="str">
        <f t="shared" si="74"/>
        <v/>
      </c>
      <c r="BA72" s="387">
        <f t="shared" si="75"/>
        <v>0</v>
      </c>
      <c r="BB72" s="387">
        <f t="shared" si="44"/>
        <v>11650</v>
      </c>
      <c r="BC72" s="387">
        <f t="shared" si="45"/>
        <v>0</v>
      </c>
      <c r="BD72" s="387">
        <f t="shared" si="46"/>
        <v>2581.7791999999999</v>
      </c>
      <c r="BE72" s="387">
        <f t="shared" si="47"/>
        <v>603.80320000000006</v>
      </c>
      <c r="BF72" s="387">
        <f t="shared" si="48"/>
        <v>4972.0070400000004</v>
      </c>
      <c r="BG72" s="387">
        <f t="shared" si="49"/>
        <v>300.23593599999998</v>
      </c>
      <c r="BH72" s="387">
        <f t="shared" si="50"/>
        <v>204.04383999999999</v>
      </c>
      <c r="BI72" s="387">
        <f t="shared" si="51"/>
        <v>230.486256</v>
      </c>
      <c r="BJ72" s="387">
        <f t="shared" si="52"/>
        <v>112.43232</v>
      </c>
      <c r="BK72" s="387">
        <f t="shared" si="53"/>
        <v>0</v>
      </c>
      <c r="BL72" s="387">
        <f t="shared" si="76"/>
        <v>9004.787792000001</v>
      </c>
      <c r="BM72" s="387">
        <f t="shared" si="77"/>
        <v>0</v>
      </c>
      <c r="BN72" s="387">
        <f t="shared" si="54"/>
        <v>11650</v>
      </c>
      <c r="BO72" s="387">
        <f t="shared" si="55"/>
        <v>0</v>
      </c>
      <c r="BP72" s="387">
        <f t="shared" si="56"/>
        <v>2581.7791999999999</v>
      </c>
      <c r="BQ72" s="387">
        <f t="shared" si="57"/>
        <v>603.80320000000006</v>
      </c>
      <c r="BR72" s="387">
        <f t="shared" si="58"/>
        <v>4972.0070400000004</v>
      </c>
      <c r="BS72" s="387">
        <f t="shared" si="59"/>
        <v>300.23593599999998</v>
      </c>
      <c r="BT72" s="387">
        <f t="shared" si="60"/>
        <v>0</v>
      </c>
      <c r="BU72" s="387">
        <f t="shared" si="61"/>
        <v>230.486256</v>
      </c>
      <c r="BV72" s="387">
        <f t="shared" si="62"/>
        <v>141.58143999999999</v>
      </c>
      <c r="BW72" s="387">
        <f t="shared" si="63"/>
        <v>0</v>
      </c>
      <c r="BX72" s="387">
        <f t="shared" si="78"/>
        <v>8829.8930720000008</v>
      </c>
      <c r="BY72" s="387">
        <f t="shared" si="79"/>
        <v>0</v>
      </c>
      <c r="BZ72" s="387">
        <f t="shared" si="80"/>
        <v>0</v>
      </c>
      <c r="CA72" s="387">
        <f t="shared" si="81"/>
        <v>0</v>
      </c>
      <c r="CB72" s="387">
        <f t="shared" si="82"/>
        <v>0</v>
      </c>
      <c r="CC72" s="387">
        <f t="shared" si="64"/>
        <v>0</v>
      </c>
      <c r="CD72" s="387">
        <f t="shared" si="65"/>
        <v>0</v>
      </c>
      <c r="CE72" s="387">
        <f t="shared" si="66"/>
        <v>0</v>
      </c>
      <c r="CF72" s="387">
        <f t="shared" si="67"/>
        <v>-204.04383999999999</v>
      </c>
      <c r="CG72" s="387">
        <f t="shared" si="68"/>
        <v>0</v>
      </c>
      <c r="CH72" s="387">
        <f t="shared" si="69"/>
        <v>29.149119999999986</v>
      </c>
      <c r="CI72" s="387">
        <f t="shared" si="70"/>
        <v>0</v>
      </c>
      <c r="CJ72" s="387">
        <f t="shared" si="83"/>
        <v>-174.89472000000001</v>
      </c>
      <c r="CK72" s="387" t="str">
        <f t="shared" si="84"/>
        <v/>
      </c>
      <c r="CL72" s="387" t="str">
        <f t="shared" si="85"/>
        <v/>
      </c>
      <c r="CM72" s="387" t="str">
        <f t="shared" si="86"/>
        <v/>
      </c>
      <c r="CN72" s="387" t="str">
        <f t="shared" si="87"/>
        <v>0348-31</v>
      </c>
    </row>
    <row r="73" spans="1:92" ht="15.75" thickBot="1" x14ac:dyDescent="0.3">
      <c r="A73" s="376" t="s">
        <v>161</v>
      </c>
      <c r="B73" s="376" t="s">
        <v>162</v>
      </c>
      <c r="C73" s="376" t="s">
        <v>189</v>
      </c>
      <c r="D73" s="376" t="s">
        <v>164</v>
      </c>
      <c r="E73" s="376" t="s">
        <v>224</v>
      </c>
      <c r="F73" s="382" t="s">
        <v>225</v>
      </c>
      <c r="G73" s="376" t="s">
        <v>167</v>
      </c>
      <c r="H73" s="378"/>
      <c r="I73" s="378"/>
      <c r="J73" s="376" t="s">
        <v>168</v>
      </c>
      <c r="K73" s="376" t="s">
        <v>169</v>
      </c>
      <c r="L73" s="376" t="s">
        <v>170</v>
      </c>
      <c r="M73" s="376" t="s">
        <v>171</v>
      </c>
      <c r="N73" s="376" t="s">
        <v>172</v>
      </c>
      <c r="O73" s="379">
        <v>1</v>
      </c>
      <c r="P73" s="385">
        <v>0.35</v>
      </c>
      <c r="Q73" s="385">
        <v>0.35</v>
      </c>
      <c r="R73" s="380">
        <v>80</v>
      </c>
      <c r="S73" s="385">
        <v>0.35</v>
      </c>
      <c r="T73" s="380">
        <v>0</v>
      </c>
      <c r="U73" s="380">
        <v>0</v>
      </c>
      <c r="V73" s="380">
        <v>0</v>
      </c>
      <c r="W73" s="380">
        <v>19925.36</v>
      </c>
      <c r="X73" s="380">
        <v>8386.34</v>
      </c>
      <c r="Y73" s="380">
        <v>19925.36</v>
      </c>
      <c r="Z73" s="380">
        <v>8302.66</v>
      </c>
      <c r="AA73" s="376" t="s">
        <v>190</v>
      </c>
      <c r="AB73" s="376" t="s">
        <v>191</v>
      </c>
      <c r="AC73" s="376" t="s">
        <v>192</v>
      </c>
      <c r="AD73" s="376" t="s">
        <v>193</v>
      </c>
      <c r="AE73" s="376" t="s">
        <v>169</v>
      </c>
      <c r="AF73" s="376" t="s">
        <v>177</v>
      </c>
      <c r="AG73" s="376" t="s">
        <v>178</v>
      </c>
      <c r="AH73" s="381">
        <v>27.37</v>
      </c>
      <c r="AI73" s="379">
        <v>1764</v>
      </c>
      <c r="AJ73" s="376" t="s">
        <v>179</v>
      </c>
      <c r="AK73" s="376" t="s">
        <v>180</v>
      </c>
      <c r="AL73" s="376" t="s">
        <v>181</v>
      </c>
      <c r="AM73" s="376" t="s">
        <v>182</v>
      </c>
      <c r="AN73" s="376" t="s">
        <v>68</v>
      </c>
      <c r="AO73" s="379">
        <v>80</v>
      </c>
      <c r="AP73" s="385">
        <v>1</v>
      </c>
      <c r="AQ73" s="385">
        <v>0.35</v>
      </c>
      <c r="AR73" s="383" t="s">
        <v>183</v>
      </c>
      <c r="AS73" s="387">
        <f t="shared" si="71"/>
        <v>0.35</v>
      </c>
      <c r="AT73">
        <f t="shared" si="72"/>
        <v>1</v>
      </c>
      <c r="AU73" s="387">
        <f>IF(AT73=0,"",IF(AND(AT73=1,M73="F",SUMIF(C2:C1334,C73,AS2:AS1334)&lt;=1),SUMIF(C2:C1334,C73,AS2:AS1334),IF(AND(AT73=1,M73="F",SUMIF(C2:C1334,C73,AS2:AS1334)&gt;1),1,"")))</f>
        <v>1</v>
      </c>
      <c r="AV73" s="387" t="str">
        <f>IF(AT73=0,"",IF(AND(AT73=3,M73="F",SUMIF(C2:C1334,C73,AS2:AS1334)&lt;=1),SUMIF(C2:C1334,C73,AS2:AS1334),IF(AND(AT73=3,M73="F",SUMIF(C2:C1334,C73,AS2:AS1334)&gt;1),1,"")))</f>
        <v/>
      </c>
      <c r="AW73" s="387">
        <f>SUMIF(C2:C1334,C73,O2:O1334)</f>
        <v>4</v>
      </c>
      <c r="AX73" s="387">
        <f>IF(AND(M73="F",AS73&lt;&gt;0),SUMIF(C2:C1334,C73,W2:W1334),0)</f>
        <v>56929.599999999999</v>
      </c>
      <c r="AY73" s="387">
        <f t="shared" si="73"/>
        <v>19925.36</v>
      </c>
      <c r="AZ73" s="387" t="str">
        <f t="shared" si="74"/>
        <v/>
      </c>
      <c r="BA73" s="387">
        <f t="shared" si="75"/>
        <v>0</v>
      </c>
      <c r="BB73" s="387">
        <f t="shared" si="44"/>
        <v>4077.4999999999995</v>
      </c>
      <c r="BC73" s="387">
        <f t="shared" si="45"/>
        <v>0</v>
      </c>
      <c r="BD73" s="387">
        <f t="shared" si="46"/>
        <v>1235.3723199999999</v>
      </c>
      <c r="BE73" s="387">
        <f t="shared" si="47"/>
        <v>288.91772000000003</v>
      </c>
      <c r="BF73" s="387">
        <f t="shared" si="48"/>
        <v>2379.0879840000002</v>
      </c>
      <c r="BG73" s="387">
        <f t="shared" si="49"/>
        <v>143.66184560000002</v>
      </c>
      <c r="BH73" s="387">
        <f t="shared" si="50"/>
        <v>97.634264000000002</v>
      </c>
      <c r="BI73" s="387">
        <f t="shared" si="51"/>
        <v>110.28686760000001</v>
      </c>
      <c r="BJ73" s="387">
        <f t="shared" si="52"/>
        <v>53.798472000000004</v>
      </c>
      <c r="BK73" s="387">
        <f t="shared" si="53"/>
        <v>0</v>
      </c>
      <c r="BL73" s="387">
        <f t="shared" si="76"/>
        <v>4308.7594732000007</v>
      </c>
      <c r="BM73" s="387">
        <f t="shared" si="77"/>
        <v>0</v>
      </c>
      <c r="BN73" s="387">
        <f t="shared" si="54"/>
        <v>4077.4999999999995</v>
      </c>
      <c r="BO73" s="387">
        <f t="shared" si="55"/>
        <v>0</v>
      </c>
      <c r="BP73" s="387">
        <f t="shared" si="56"/>
        <v>1235.3723199999999</v>
      </c>
      <c r="BQ73" s="387">
        <f t="shared" si="57"/>
        <v>288.91772000000003</v>
      </c>
      <c r="BR73" s="387">
        <f t="shared" si="58"/>
        <v>2379.0879840000002</v>
      </c>
      <c r="BS73" s="387">
        <f t="shared" si="59"/>
        <v>143.66184560000002</v>
      </c>
      <c r="BT73" s="387">
        <f t="shared" si="60"/>
        <v>0</v>
      </c>
      <c r="BU73" s="387">
        <f t="shared" si="61"/>
        <v>110.28686760000001</v>
      </c>
      <c r="BV73" s="387">
        <f t="shared" si="62"/>
        <v>67.746223999999998</v>
      </c>
      <c r="BW73" s="387">
        <f t="shared" si="63"/>
        <v>0</v>
      </c>
      <c r="BX73" s="387">
        <f t="shared" si="78"/>
        <v>4225.0729612000005</v>
      </c>
      <c r="BY73" s="387">
        <f t="shared" si="79"/>
        <v>0</v>
      </c>
      <c r="BZ73" s="387">
        <f t="shared" si="80"/>
        <v>0</v>
      </c>
      <c r="CA73" s="387">
        <f t="shared" si="81"/>
        <v>0</v>
      </c>
      <c r="CB73" s="387">
        <f t="shared" si="82"/>
        <v>0</v>
      </c>
      <c r="CC73" s="387">
        <f t="shared" si="64"/>
        <v>0</v>
      </c>
      <c r="CD73" s="387">
        <f t="shared" si="65"/>
        <v>0</v>
      </c>
      <c r="CE73" s="387">
        <f t="shared" si="66"/>
        <v>0</v>
      </c>
      <c r="CF73" s="387">
        <f t="shared" si="67"/>
        <v>-97.634264000000002</v>
      </c>
      <c r="CG73" s="387">
        <f t="shared" si="68"/>
        <v>0</v>
      </c>
      <c r="CH73" s="387">
        <f t="shared" si="69"/>
        <v>13.947751999999994</v>
      </c>
      <c r="CI73" s="387">
        <f t="shared" si="70"/>
        <v>0</v>
      </c>
      <c r="CJ73" s="387">
        <f t="shared" si="83"/>
        <v>-83.686512000000008</v>
      </c>
      <c r="CK73" s="387" t="str">
        <f t="shared" si="84"/>
        <v/>
      </c>
      <c r="CL73" s="387" t="str">
        <f t="shared" si="85"/>
        <v/>
      </c>
      <c r="CM73" s="387" t="str">
        <f t="shared" si="86"/>
        <v/>
      </c>
      <c r="CN73" s="387" t="str">
        <f t="shared" si="87"/>
        <v>0348-31</v>
      </c>
    </row>
    <row r="74" spans="1:92" ht="15.75" thickBot="1" x14ac:dyDescent="0.3">
      <c r="A74" s="376" t="s">
        <v>161</v>
      </c>
      <c r="B74" s="376" t="s">
        <v>162</v>
      </c>
      <c r="C74" s="376" t="s">
        <v>551</v>
      </c>
      <c r="D74" s="376" t="s">
        <v>294</v>
      </c>
      <c r="E74" s="376" t="s">
        <v>224</v>
      </c>
      <c r="F74" s="382" t="s">
        <v>225</v>
      </c>
      <c r="G74" s="376" t="s">
        <v>167</v>
      </c>
      <c r="H74" s="378"/>
      <c r="I74" s="378"/>
      <c r="J74" s="376" t="s">
        <v>215</v>
      </c>
      <c r="K74" s="376" t="s">
        <v>295</v>
      </c>
      <c r="L74" s="376" t="s">
        <v>296</v>
      </c>
      <c r="M74" s="376" t="s">
        <v>171</v>
      </c>
      <c r="N74" s="376" t="s">
        <v>172</v>
      </c>
      <c r="O74" s="379">
        <v>1</v>
      </c>
      <c r="P74" s="385">
        <v>1</v>
      </c>
      <c r="Q74" s="385">
        <v>1</v>
      </c>
      <c r="R74" s="380">
        <v>80</v>
      </c>
      <c r="S74" s="385">
        <v>1</v>
      </c>
      <c r="T74" s="380">
        <v>0</v>
      </c>
      <c r="U74" s="380">
        <v>0</v>
      </c>
      <c r="V74" s="380">
        <v>0</v>
      </c>
      <c r="W74" s="380">
        <v>53289.599999999999</v>
      </c>
      <c r="X74" s="380">
        <v>23173.83</v>
      </c>
      <c r="Y74" s="380">
        <v>53289.599999999999</v>
      </c>
      <c r="Z74" s="380">
        <v>22950.02</v>
      </c>
      <c r="AA74" s="376" t="s">
        <v>552</v>
      </c>
      <c r="AB74" s="376" t="s">
        <v>553</v>
      </c>
      <c r="AC74" s="376" t="s">
        <v>554</v>
      </c>
      <c r="AD74" s="376" t="s">
        <v>324</v>
      </c>
      <c r="AE74" s="376" t="s">
        <v>295</v>
      </c>
      <c r="AF74" s="376" t="s">
        <v>301</v>
      </c>
      <c r="AG74" s="376" t="s">
        <v>178</v>
      </c>
      <c r="AH74" s="381">
        <v>25.62</v>
      </c>
      <c r="AI74" s="381">
        <v>46147.4</v>
      </c>
      <c r="AJ74" s="376" t="s">
        <v>179</v>
      </c>
      <c r="AK74" s="376" t="s">
        <v>180</v>
      </c>
      <c r="AL74" s="376" t="s">
        <v>181</v>
      </c>
      <c r="AM74" s="376" t="s">
        <v>182</v>
      </c>
      <c r="AN74" s="376" t="s">
        <v>68</v>
      </c>
      <c r="AO74" s="379">
        <v>80</v>
      </c>
      <c r="AP74" s="385">
        <v>1</v>
      </c>
      <c r="AQ74" s="385">
        <v>1</v>
      </c>
      <c r="AR74" s="383" t="s">
        <v>183</v>
      </c>
      <c r="AS74" s="387">
        <f t="shared" si="71"/>
        <v>1</v>
      </c>
      <c r="AT74">
        <f t="shared" si="72"/>
        <v>1</v>
      </c>
      <c r="AU74" s="387">
        <f>IF(AT74=0,"",IF(AND(AT74=1,M74="F",SUMIF(C2:C1334,C74,AS2:AS1334)&lt;=1),SUMIF(C2:C1334,C74,AS2:AS1334),IF(AND(AT74=1,M74="F",SUMIF(C2:C1334,C74,AS2:AS1334)&gt;1),1,"")))</f>
        <v>1</v>
      </c>
      <c r="AV74" s="387" t="str">
        <f>IF(AT74=0,"",IF(AND(AT74=3,M74="F",SUMIF(C2:C1334,C74,AS2:AS1334)&lt;=1),SUMIF(C2:C1334,C74,AS2:AS1334),IF(AND(AT74=3,M74="F",SUMIF(C2:C1334,C74,AS2:AS1334)&gt;1),1,"")))</f>
        <v/>
      </c>
      <c r="AW74" s="387">
        <f>SUMIF(C2:C1334,C74,O2:O1334)</f>
        <v>2</v>
      </c>
      <c r="AX74" s="387">
        <f>IF(AND(M74="F",AS74&lt;&gt;0),SUMIF(C2:C1334,C74,W2:W1334),0)</f>
        <v>53289.599999999999</v>
      </c>
      <c r="AY74" s="387">
        <f t="shared" si="73"/>
        <v>53289.599999999999</v>
      </c>
      <c r="AZ74" s="387" t="str">
        <f t="shared" si="74"/>
        <v/>
      </c>
      <c r="BA74" s="387">
        <f t="shared" si="75"/>
        <v>0</v>
      </c>
      <c r="BB74" s="387">
        <f t="shared" si="44"/>
        <v>11650</v>
      </c>
      <c r="BC74" s="387">
        <f t="shared" si="45"/>
        <v>0</v>
      </c>
      <c r="BD74" s="387">
        <f t="shared" si="46"/>
        <v>3303.9551999999999</v>
      </c>
      <c r="BE74" s="387">
        <f t="shared" si="47"/>
        <v>772.69920000000002</v>
      </c>
      <c r="BF74" s="387">
        <f t="shared" si="48"/>
        <v>6362.7782400000006</v>
      </c>
      <c r="BG74" s="387">
        <f t="shared" si="49"/>
        <v>384.21801599999998</v>
      </c>
      <c r="BH74" s="387">
        <f t="shared" si="50"/>
        <v>261.11903999999998</v>
      </c>
      <c r="BI74" s="387">
        <f t="shared" si="51"/>
        <v>294.95793600000002</v>
      </c>
      <c r="BJ74" s="387">
        <f t="shared" si="52"/>
        <v>143.88192000000001</v>
      </c>
      <c r="BK74" s="387">
        <f t="shared" si="53"/>
        <v>0</v>
      </c>
      <c r="BL74" s="387">
        <f t="shared" si="76"/>
        <v>11523.609552000002</v>
      </c>
      <c r="BM74" s="387">
        <f t="shared" si="77"/>
        <v>0</v>
      </c>
      <c r="BN74" s="387">
        <f t="shared" si="54"/>
        <v>11650</v>
      </c>
      <c r="BO74" s="387">
        <f t="shared" si="55"/>
        <v>0</v>
      </c>
      <c r="BP74" s="387">
        <f t="shared" si="56"/>
        <v>3303.9551999999999</v>
      </c>
      <c r="BQ74" s="387">
        <f t="shared" si="57"/>
        <v>772.69920000000002</v>
      </c>
      <c r="BR74" s="387">
        <f t="shared" si="58"/>
        <v>6362.7782400000006</v>
      </c>
      <c r="BS74" s="387">
        <f t="shared" si="59"/>
        <v>384.21801599999998</v>
      </c>
      <c r="BT74" s="387">
        <f t="shared" si="60"/>
        <v>0</v>
      </c>
      <c r="BU74" s="387">
        <f t="shared" si="61"/>
        <v>294.95793600000002</v>
      </c>
      <c r="BV74" s="387">
        <f t="shared" si="62"/>
        <v>181.18463999999997</v>
      </c>
      <c r="BW74" s="387">
        <f t="shared" si="63"/>
        <v>0</v>
      </c>
      <c r="BX74" s="387">
        <f t="shared" si="78"/>
        <v>11299.793232000002</v>
      </c>
      <c r="BY74" s="387">
        <f t="shared" si="79"/>
        <v>0</v>
      </c>
      <c r="BZ74" s="387">
        <f t="shared" si="80"/>
        <v>0</v>
      </c>
      <c r="CA74" s="387">
        <f t="shared" si="81"/>
        <v>0</v>
      </c>
      <c r="CB74" s="387">
        <f t="shared" si="82"/>
        <v>0</v>
      </c>
      <c r="CC74" s="387">
        <f t="shared" si="64"/>
        <v>0</v>
      </c>
      <c r="CD74" s="387">
        <f t="shared" si="65"/>
        <v>0</v>
      </c>
      <c r="CE74" s="387">
        <f t="shared" si="66"/>
        <v>0</v>
      </c>
      <c r="CF74" s="387">
        <f t="shared" si="67"/>
        <v>-261.11903999999998</v>
      </c>
      <c r="CG74" s="387">
        <f t="shared" si="68"/>
        <v>0</v>
      </c>
      <c r="CH74" s="387">
        <f t="shared" si="69"/>
        <v>37.302719999999979</v>
      </c>
      <c r="CI74" s="387">
        <f t="shared" si="70"/>
        <v>0</v>
      </c>
      <c r="CJ74" s="387">
        <f t="shared" si="83"/>
        <v>-223.81632000000002</v>
      </c>
      <c r="CK74" s="387" t="str">
        <f t="shared" si="84"/>
        <v/>
      </c>
      <c r="CL74" s="387" t="str">
        <f t="shared" si="85"/>
        <v/>
      </c>
      <c r="CM74" s="387" t="str">
        <f t="shared" si="86"/>
        <v/>
      </c>
      <c r="CN74" s="387" t="str">
        <f t="shared" si="87"/>
        <v>0348-31</v>
      </c>
    </row>
    <row r="75" spans="1:92" ht="15.75" thickBot="1" x14ac:dyDescent="0.3">
      <c r="A75" s="376" t="s">
        <v>161</v>
      </c>
      <c r="B75" s="376" t="s">
        <v>162</v>
      </c>
      <c r="C75" s="376" t="s">
        <v>555</v>
      </c>
      <c r="D75" s="376" t="s">
        <v>556</v>
      </c>
      <c r="E75" s="376" t="s">
        <v>224</v>
      </c>
      <c r="F75" s="382" t="s">
        <v>225</v>
      </c>
      <c r="G75" s="376" t="s">
        <v>167</v>
      </c>
      <c r="H75" s="378"/>
      <c r="I75" s="378"/>
      <c r="J75" s="376" t="s">
        <v>215</v>
      </c>
      <c r="K75" s="376" t="s">
        <v>557</v>
      </c>
      <c r="L75" s="376" t="s">
        <v>406</v>
      </c>
      <c r="M75" s="376" t="s">
        <v>171</v>
      </c>
      <c r="N75" s="376" t="s">
        <v>172</v>
      </c>
      <c r="O75" s="379">
        <v>1</v>
      </c>
      <c r="P75" s="385">
        <v>1</v>
      </c>
      <c r="Q75" s="385">
        <v>1</v>
      </c>
      <c r="R75" s="380">
        <v>80</v>
      </c>
      <c r="S75" s="385">
        <v>1</v>
      </c>
      <c r="T75" s="380">
        <v>0</v>
      </c>
      <c r="U75" s="380">
        <v>0</v>
      </c>
      <c r="V75" s="380">
        <v>0</v>
      </c>
      <c r="W75" s="380">
        <v>30929.599999999999</v>
      </c>
      <c r="X75" s="380">
        <v>18338.48</v>
      </c>
      <c r="Y75" s="380">
        <v>30929.599999999999</v>
      </c>
      <c r="Z75" s="380">
        <v>18208.59</v>
      </c>
      <c r="AA75" s="376" t="s">
        <v>558</v>
      </c>
      <c r="AB75" s="376" t="s">
        <v>559</v>
      </c>
      <c r="AC75" s="376" t="s">
        <v>560</v>
      </c>
      <c r="AD75" s="376" t="s">
        <v>561</v>
      </c>
      <c r="AE75" s="376" t="s">
        <v>557</v>
      </c>
      <c r="AF75" s="376" t="s">
        <v>562</v>
      </c>
      <c r="AG75" s="376" t="s">
        <v>178</v>
      </c>
      <c r="AH75" s="381">
        <v>14.87</v>
      </c>
      <c r="AI75" s="379">
        <v>1719</v>
      </c>
      <c r="AJ75" s="376" t="s">
        <v>179</v>
      </c>
      <c r="AK75" s="376" t="s">
        <v>180</v>
      </c>
      <c r="AL75" s="376" t="s">
        <v>181</v>
      </c>
      <c r="AM75" s="376" t="s">
        <v>182</v>
      </c>
      <c r="AN75" s="376" t="s">
        <v>68</v>
      </c>
      <c r="AO75" s="379">
        <v>80</v>
      </c>
      <c r="AP75" s="385">
        <v>1</v>
      </c>
      <c r="AQ75" s="385">
        <v>1</v>
      </c>
      <c r="AR75" s="383" t="s">
        <v>183</v>
      </c>
      <c r="AS75" s="387">
        <f t="shared" si="71"/>
        <v>1</v>
      </c>
      <c r="AT75">
        <f t="shared" si="72"/>
        <v>1</v>
      </c>
      <c r="AU75" s="387">
        <f>IF(AT75=0,"",IF(AND(AT75=1,M75="F",SUMIF(C2:C1334,C75,AS2:AS1334)&lt;=1),SUMIF(C2:C1334,C75,AS2:AS1334),IF(AND(AT75=1,M75="F",SUMIF(C2:C1334,C75,AS2:AS1334)&gt;1),1,"")))</f>
        <v>1</v>
      </c>
      <c r="AV75" s="387" t="str">
        <f>IF(AT75=0,"",IF(AND(AT75=3,M75="F",SUMIF(C2:C1334,C75,AS2:AS1334)&lt;=1),SUMIF(C2:C1334,C75,AS2:AS1334),IF(AND(AT75=3,M75="F",SUMIF(C2:C1334,C75,AS2:AS1334)&gt;1),1,"")))</f>
        <v/>
      </c>
      <c r="AW75" s="387">
        <f>SUMIF(C2:C1334,C75,O2:O1334)</f>
        <v>2</v>
      </c>
      <c r="AX75" s="387">
        <f>IF(AND(M75="F",AS75&lt;&gt;0),SUMIF(C2:C1334,C75,W2:W1334),0)</f>
        <v>30929.599999999999</v>
      </c>
      <c r="AY75" s="387">
        <f t="shared" si="73"/>
        <v>30929.599999999999</v>
      </c>
      <c r="AZ75" s="387" t="str">
        <f t="shared" si="74"/>
        <v/>
      </c>
      <c r="BA75" s="387">
        <f t="shared" si="75"/>
        <v>0</v>
      </c>
      <c r="BB75" s="387">
        <f t="shared" si="44"/>
        <v>11650</v>
      </c>
      <c r="BC75" s="387">
        <f t="shared" si="45"/>
        <v>0</v>
      </c>
      <c r="BD75" s="387">
        <f t="shared" si="46"/>
        <v>1917.6351999999999</v>
      </c>
      <c r="BE75" s="387">
        <f t="shared" si="47"/>
        <v>448.47919999999999</v>
      </c>
      <c r="BF75" s="387">
        <f t="shared" si="48"/>
        <v>3692.99424</v>
      </c>
      <c r="BG75" s="387">
        <f t="shared" si="49"/>
        <v>223.00241600000001</v>
      </c>
      <c r="BH75" s="387">
        <f t="shared" si="50"/>
        <v>151.55503999999999</v>
      </c>
      <c r="BI75" s="387">
        <f t="shared" si="51"/>
        <v>171.195336</v>
      </c>
      <c r="BJ75" s="387">
        <f t="shared" si="52"/>
        <v>83.509919999999994</v>
      </c>
      <c r="BK75" s="387">
        <f t="shared" si="53"/>
        <v>0</v>
      </c>
      <c r="BL75" s="387">
        <f t="shared" si="76"/>
        <v>6688.371352000001</v>
      </c>
      <c r="BM75" s="387">
        <f t="shared" si="77"/>
        <v>0</v>
      </c>
      <c r="BN75" s="387">
        <f t="shared" si="54"/>
        <v>11650</v>
      </c>
      <c r="BO75" s="387">
        <f t="shared" si="55"/>
        <v>0</v>
      </c>
      <c r="BP75" s="387">
        <f t="shared" si="56"/>
        <v>1917.6351999999999</v>
      </c>
      <c r="BQ75" s="387">
        <f t="shared" si="57"/>
        <v>448.47919999999999</v>
      </c>
      <c r="BR75" s="387">
        <f t="shared" si="58"/>
        <v>3692.99424</v>
      </c>
      <c r="BS75" s="387">
        <f t="shared" si="59"/>
        <v>223.00241600000001</v>
      </c>
      <c r="BT75" s="387">
        <f t="shared" si="60"/>
        <v>0</v>
      </c>
      <c r="BU75" s="387">
        <f t="shared" si="61"/>
        <v>171.195336</v>
      </c>
      <c r="BV75" s="387">
        <f t="shared" si="62"/>
        <v>105.16063999999999</v>
      </c>
      <c r="BW75" s="387">
        <f t="shared" si="63"/>
        <v>0</v>
      </c>
      <c r="BX75" s="387">
        <f t="shared" si="78"/>
        <v>6558.4670320000005</v>
      </c>
      <c r="BY75" s="387">
        <f t="shared" si="79"/>
        <v>0</v>
      </c>
      <c r="BZ75" s="387">
        <f t="shared" si="80"/>
        <v>0</v>
      </c>
      <c r="CA75" s="387">
        <f t="shared" si="81"/>
        <v>0</v>
      </c>
      <c r="CB75" s="387">
        <f t="shared" si="82"/>
        <v>0</v>
      </c>
      <c r="CC75" s="387">
        <f t="shared" si="64"/>
        <v>0</v>
      </c>
      <c r="CD75" s="387">
        <f t="shared" si="65"/>
        <v>0</v>
      </c>
      <c r="CE75" s="387">
        <f t="shared" si="66"/>
        <v>0</v>
      </c>
      <c r="CF75" s="387">
        <f t="shared" si="67"/>
        <v>-151.55503999999999</v>
      </c>
      <c r="CG75" s="387">
        <f t="shared" si="68"/>
        <v>0</v>
      </c>
      <c r="CH75" s="387">
        <f t="shared" si="69"/>
        <v>21.650719999999989</v>
      </c>
      <c r="CI75" s="387">
        <f t="shared" si="70"/>
        <v>0</v>
      </c>
      <c r="CJ75" s="387">
        <f t="shared" si="83"/>
        <v>-129.90432000000001</v>
      </c>
      <c r="CK75" s="387" t="str">
        <f t="shared" si="84"/>
        <v/>
      </c>
      <c r="CL75" s="387" t="str">
        <f t="shared" si="85"/>
        <v/>
      </c>
      <c r="CM75" s="387" t="str">
        <f t="shared" si="86"/>
        <v/>
      </c>
      <c r="CN75" s="387" t="str">
        <f t="shared" si="87"/>
        <v>0348-31</v>
      </c>
    </row>
    <row r="76" spans="1:92" ht="15.75" thickBot="1" x14ac:dyDescent="0.3">
      <c r="A76" s="376" t="s">
        <v>161</v>
      </c>
      <c r="B76" s="376" t="s">
        <v>162</v>
      </c>
      <c r="C76" s="376" t="s">
        <v>194</v>
      </c>
      <c r="D76" s="376" t="s">
        <v>164</v>
      </c>
      <c r="E76" s="376" t="s">
        <v>224</v>
      </c>
      <c r="F76" s="382" t="s">
        <v>225</v>
      </c>
      <c r="G76" s="376" t="s">
        <v>167</v>
      </c>
      <c r="H76" s="378"/>
      <c r="I76" s="378"/>
      <c r="J76" s="376" t="s">
        <v>168</v>
      </c>
      <c r="K76" s="376" t="s">
        <v>169</v>
      </c>
      <c r="L76" s="376" t="s">
        <v>170</v>
      </c>
      <c r="M76" s="376" t="s">
        <v>171</v>
      </c>
      <c r="N76" s="376" t="s">
        <v>172</v>
      </c>
      <c r="O76" s="379">
        <v>1</v>
      </c>
      <c r="P76" s="385">
        <v>0.35</v>
      </c>
      <c r="Q76" s="385">
        <v>0.35</v>
      </c>
      <c r="R76" s="380">
        <v>80</v>
      </c>
      <c r="S76" s="385">
        <v>0.35</v>
      </c>
      <c r="T76" s="380">
        <v>0</v>
      </c>
      <c r="U76" s="380">
        <v>0</v>
      </c>
      <c r="V76" s="380">
        <v>0</v>
      </c>
      <c r="W76" s="380">
        <v>25239.759999999998</v>
      </c>
      <c r="X76" s="380">
        <v>9535.58</v>
      </c>
      <c r="Y76" s="380">
        <v>25239.759999999998</v>
      </c>
      <c r="Z76" s="380">
        <v>9429.57</v>
      </c>
      <c r="AA76" s="376" t="s">
        <v>195</v>
      </c>
      <c r="AB76" s="376" t="s">
        <v>196</v>
      </c>
      <c r="AC76" s="376" t="s">
        <v>197</v>
      </c>
      <c r="AD76" s="376" t="s">
        <v>198</v>
      </c>
      <c r="AE76" s="376" t="s">
        <v>169</v>
      </c>
      <c r="AF76" s="376" t="s">
        <v>177</v>
      </c>
      <c r="AG76" s="376" t="s">
        <v>178</v>
      </c>
      <c r="AH76" s="381">
        <v>34.67</v>
      </c>
      <c r="AI76" s="381">
        <v>75673.8</v>
      </c>
      <c r="AJ76" s="376" t="s">
        <v>179</v>
      </c>
      <c r="AK76" s="376" t="s">
        <v>180</v>
      </c>
      <c r="AL76" s="376" t="s">
        <v>181</v>
      </c>
      <c r="AM76" s="376" t="s">
        <v>182</v>
      </c>
      <c r="AN76" s="376" t="s">
        <v>68</v>
      </c>
      <c r="AO76" s="379">
        <v>80</v>
      </c>
      <c r="AP76" s="385">
        <v>1</v>
      </c>
      <c r="AQ76" s="385">
        <v>0.35</v>
      </c>
      <c r="AR76" s="383" t="s">
        <v>183</v>
      </c>
      <c r="AS76" s="387">
        <f t="shared" si="71"/>
        <v>0.35</v>
      </c>
      <c r="AT76">
        <f t="shared" si="72"/>
        <v>1</v>
      </c>
      <c r="AU76" s="387">
        <f>IF(AT76=0,"",IF(AND(AT76=1,M76="F",SUMIF(C2:C1334,C76,AS2:AS1334)&lt;=1),SUMIF(C2:C1334,C76,AS2:AS1334),IF(AND(AT76=1,M76="F",SUMIF(C2:C1334,C76,AS2:AS1334)&gt;1),1,"")))</f>
        <v>1</v>
      </c>
      <c r="AV76" s="387" t="str">
        <f>IF(AT76=0,"",IF(AND(AT76=3,M76="F",SUMIF(C2:C1334,C76,AS2:AS1334)&lt;=1),SUMIF(C2:C1334,C76,AS2:AS1334),IF(AND(AT76=3,M76="F",SUMIF(C2:C1334,C76,AS2:AS1334)&gt;1),1,"")))</f>
        <v/>
      </c>
      <c r="AW76" s="387">
        <f>SUMIF(C2:C1334,C76,O2:O1334)</f>
        <v>4</v>
      </c>
      <c r="AX76" s="387">
        <f>IF(AND(M76="F",AS76&lt;&gt;0),SUMIF(C2:C1334,C76,W2:W1334),0)</f>
        <v>72113.600000000006</v>
      </c>
      <c r="AY76" s="387">
        <f t="shared" si="73"/>
        <v>25239.759999999998</v>
      </c>
      <c r="AZ76" s="387" t="str">
        <f t="shared" si="74"/>
        <v/>
      </c>
      <c r="BA76" s="387">
        <f t="shared" si="75"/>
        <v>0</v>
      </c>
      <c r="BB76" s="387">
        <f t="shared" si="44"/>
        <v>4077.4999999999995</v>
      </c>
      <c r="BC76" s="387">
        <f t="shared" si="45"/>
        <v>0</v>
      </c>
      <c r="BD76" s="387">
        <f t="shared" si="46"/>
        <v>1564.8651199999999</v>
      </c>
      <c r="BE76" s="387">
        <f t="shared" si="47"/>
        <v>365.97651999999999</v>
      </c>
      <c r="BF76" s="387">
        <f t="shared" si="48"/>
        <v>3013.627344</v>
      </c>
      <c r="BG76" s="387">
        <f t="shared" si="49"/>
        <v>181.97866959999999</v>
      </c>
      <c r="BH76" s="387">
        <f t="shared" si="50"/>
        <v>123.67482399999999</v>
      </c>
      <c r="BI76" s="387">
        <f t="shared" si="51"/>
        <v>139.70207159999998</v>
      </c>
      <c r="BJ76" s="387">
        <f t="shared" si="52"/>
        <v>68.147351999999998</v>
      </c>
      <c r="BK76" s="387">
        <f t="shared" si="53"/>
        <v>0</v>
      </c>
      <c r="BL76" s="387">
        <f t="shared" si="76"/>
        <v>5457.9719011999996</v>
      </c>
      <c r="BM76" s="387">
        <f t="shared" si="77"/>
        <v>0</v>
      </c>
      <c r="BN76" s="387">
        <f t="shared" si="54"/>
        <v>4077.4999999999995</v>
      </c>
      <c r="BO76" s="387">
        <f t="shared" si="55"/>
        <v>0</v>
      </c>
      <c r="BP76" s="387">
        <f t="shared" si="56"/>
        <v>1564.8651199999999</v>
      </c>
      <c r="BQ76" s="387">
        <f t="shared" si="57"/>
        <v>365.97651999999999</v>
      </c>
      <c r="BR76" s="387">
        <f t="shared" si="58"/>
        <v>3013.627344</v>
      </c>
      <c r="BS76" s="387">
        <f t="shared" si="59"/>
        <v>181.97866959999999</v>
      </c>
      <c r="BT76" s="387">
        <f t="shared" si="60"/>
        <v>0</v>
      </c>
      <c r="BU76" s="387">
        <f t="shared" si="61"/>
        <v>139.70207159999998</v>
      </c>
      <c r="BV76" s="387">
        <f t="shared" si="62"/>
        <v>85.815183999999988</v>
      </c>
      <c r="BW76" s="387">
        <f t="shared" si="63"/>
        <v>0</v>
      </c>
      <c r="BX76" s="387">
        <f t="shared" si="78"/>
        <v>5351.9649092</v>
      </c>
      <c r="BY76" s="387">
        <f t="shared" si="79"/>
        <v>0</v>
      </c>
      <c r="BZ76" s="387">
        <f t="shared" si="80"/>
        <v>0</v>
      </c>
      <c r="CA76" s="387">
        <f t="shared" si="81"/>
        <v>0</v>
      </c>
      <c r="CB76" s="387">
        <f t="shared" si="82"/>
        <v>0</v>
      </c>
      <c r="CC76" s="387">
        <f t="shared" si="64"/>
        <v>0</v>
      </c>
      <c r="CD76" s="387">
        <f t="shared" si="65"/>
        <v>0</v>
      </c>
      <c r="CE76" s="387">
        <f t="shared" si="66"/>
        <v>0</v>
      </c>
      <c r="CF76" s="387">
        <f t="shared" si="67"/>
        <v>-123.67482399999999</v>
      </c>
      <c r="CG76" s="387">
        <f t="shared" si="68"/>
        <v>0</v>
      </c>
      <c r="CH76" s="387">
        <f t="shared" si="69"/>
        <v>17.66783199999999</v>
      </c>
      <c r="CI76" s="387">
        <f t="shared" si="70"/>
        <v>0</v>
      </c>
      <c r="CJ76" s="387">
        <f t="shared" si="83"/>
        <v>-106.006992</v>
      </c>
      <c r="CK76" s="387" t="str">
        <f t="shared" si="84"/>
        <v/>
      </c>
      <c r="CL76" s="387" t="str">
        <f t="shared" si="85"/>
        <v/>
      </c>
      <c r="CM76" s="387" t="str">
        <f t="shared" si="86"/>
        <v/>
      </c>
      <c r="CN76" s="387" t="str">
        <f t="shared" si="87"/>
        <v>0348-31</v>
      </c>
    </row>
    <row r="77" spans="1:92" ht="15.75" thickBot="1" x14ac:dyDescent="0.3">
      <c r="A77" s="376" t="s">
        <v>161</v>
      </c>
      <c r="B77" s="376" t="s">
        <v>162</v>
      </c>
      <c r="C77" s="376" t="s">
        <v>563</v>
      </c>
      <c r="D77" s="376" t="s">
        <v>238</v>
      </c>
      <c r="E77" s="376" t="s">
        <v>224</v>
      </c>
      <c r="F77" s="382" t="s">
        <v>225</v>
      </c>
      <c r="G77" s="376" t="s">
        <v>167</v>
      </c>
      <c r="H77" s="378"/>
      <c r="I77" s="378"/>
      <c r="J77" s="376" t="s">
        <v>239</v>
      </c>
      <c r="K77" s="376" t="s">
        <v>343</v>
      </c>
      <c r="L77" s="376" t="s">
        <v>296</v>
      </c>
      <c r="M77" s="376" t="s">
        <v>171</v>
      </c>
      <c r="N77" s="376" t="s">
        <v>172</v>
      </c>
      <c r="O77" s="379">
        <v>1</v>
      </c>
      <c r="P77" s="385">
        <v>0.95</v>
      </c>
      <c r="Q77" s="385">
        <v>0.95</v>
      </c>
      <c r="R77" s="380">
        <v>80</v>
      </c>
      <c r="S77" s="385">
        <v>0.95</v>
      </c>
      <c r="T77" s="380">
        <v>0</v>
      </c>
      <c r="U77" s="380">
        <v>0</v>
      </c>
      <c r="V77" s="380">
        <v>0</v>
      </c>
      <c r="W77" s="380">
        <v>53786.720000000001</v>
      </c>
      <c r="X77" s="380">
        <v>22698.85</v>
      </c>
      <c r="Y77" s="380">
        <v>53786.720000000001</v>
      </c>
      <c r="Z77" s="380">
        <v>22472.95</v>
      </c>
      <c r="AA77" s="376" t="s">
        <v>564</v>
      </c>
      <c r="AB77" s="376" t="s">
        <v>565</v>
      </c>
      <c r="AC77" s="376" t="s">
        <v>260</v>
      </c>
      <c r="AD77" s="376" t="s">
        <v>566</v>
      </c>
      <c r="AE77" s="376" t="s">
        <v>343</v>
      </c>
      <c r="AF77" s="376" t="s">
        <v>301</v>
      </c>
      <c r="AG77" s="376" t="s">
        <v>178</v>
      </c>
      <c r="AH77" s="381">
        <v>27.22</v>
      </c>
      <c r="AI77" s="381">
        <v>46199.6</v>
      </c>
      <c r="AJ77" s="376" t="s">
        <v>179</v>
      </c>
      <c r="AK77" s="376" t="s">
        <v>180</v>
      </c>
      <c r="AL77" s="376" t="s">
        <v>181</v>
      </c>
      <c r="AM77" s="376" t="s">
        <v>182</v>
      </c>
      <c r="AN77" s="376" t="s">
        <v>68</v>
      </c>
      <c r="AO77" s="379">
        <v>80</v>
      </c>
      <c r="AP77" s="385">
        <v>1</v>
      </c>
      <c r="AQ77" s="385">
        <v>0.95</v>
      </c>
      <c r="AR77" s="383" t="s">
        <v>183</v>
      </c>
      <c r="AS77" s="387">
        <f t="shared" si="71"/>
        <v>0.95</v>
      </c>
      <c r="AT77">
        <f t="shared" si="72"/>
        <v>1</v>
      </c>
      <c r="AU77" s="387">
        <f>IF(AT77=0,"",IF(AND(AT77=1,M77="F",SUMIF(C2:C1334,C77,AS2:AS1334)&lt;=1),SUMIF(C2:C1334,C77,AS2:AS1334),IF(AND(AT77=1,M77="F",SUMIF(C2:C1334,C77,AS2:AS1334)&gt;1),1,"")))</f>
        <v>1</v>
      </c>
      <c r="AV77" s="387" t="str">
        <f>IF(AT77=0,"",IF(AND(AT77=3,M77="F",SUMIF(C2:C1334,C77,AS2:AS1334)&lt;=1),SUMIF(C2:C1334,C77,AS2:AS1334),IF(AND(AT77=3,M77="F",SUMIF(C2:C1334,C77,AS2:AS1334)&gt;1),1,"")))</f>
        <v/>
      </c>
      <c r="AW77" s="387">
        <f>SUMIF(C2:C1334,C77,O2:O1334)</f>
        <v>3</v>
      </c>
      <c r="AX77" s="387">
        <f>IF(AND(M77="F",AS77&lt;&gt;0),SUMIF(C2:C1334,C77,W2:W1334),0)</f>
        <v>56617.599999999999</v>
      </c>
      <c r="AY77" s="387">
        <f t="shared" si="73"/>
        <v>53786.720000000001</v>
      </c>
      <c r="AZ77" s="387" t="str">
        <f t="shared" si="74"/>
        <v/>
      </c>
      <c r="BA77" s="387">
        <f t="shared" si="75"/>
        <v>0</v>
      </c>
      <c r="BB77" s="387">
        <f t="shared" si="44"/>
        <v>11067.5</v>
      </c>
      <c r="BC77" s="387">
        <f t="shared" si="45"/>
        <v>0</v>
      </c>
      <c r="BD77" s="387">
        <f t="shared" si="46"/>
        <v>3334.77664</v>
      </c>
      <c r="BE77" s="387">
        <f t="shared" si="47"/>
        <v>779.90744000000007</v>
      </c>
      <c r="BF77" s="387">
        <f t="shared" si="48"/>
        <v>6422.1343680000009</v>
      </c>
      <c r="BG77" s="387">
        <f t="shared" si="49"/>
        <v>387.8022512</v>
      </c>
      <c r="BH77" s="387">
        <f t="shared" si="50"/>
        <v>263.55492800000002</v>
      </c>
      <c r="BI77" s="387">
        <f t="shared" si="51"/>
        <v>297.70949519999999</v>
      </c>
      <c r="BJ77" s="387">
        <f t="shared" si="52"/>
        <v>145.22414400000002</v>
      </c>
      <c r="BK77" s="387">
        <f t="shared" si="53"/>
        <v>0</v>
      </c>
      <c r="BL77" s="387">
        <f t="shared" si="76"/>
        <v>11631.109266400003</v>
      </c>
      <c r="BM77" s="387">
        <f t="shared" si="77"/>
        <v>0</v>
      </c>
      <c r="BN77" s="387">
        <f t="shared" si="54"/>
        <v>11067.5</v>
      </c>
      <c r="BO77" s="387">
        <f t="shared" si="55"/>
        <v>0</v>
      </c>
      <c r="BP77" s="387">
        <f t="shared" si="56"/>
        <v>3334.77664</v>
      </c>
      <c r="BQ77" s="387">
        <f t="shared" si="57"/>
        <v>779.90744000000007</v>
      </c>
      <c r="BR77" s="387">
        <f t="shared" si="58"/>
        <v>6422.1343680000009</v>
      </c>
      <c r="BS77" s="387">
        <f t="shared" si="59"/>
        <v>387.8022512</v>
      </c>
      <c r="BT77" s="387">
        <f t="shared" si="60"/>
        <v>0</v>
      </c>
      <c r="BU77" s="387">
        <f t="shared" si="61"/>
        <v>297.70949519999999</v>
      </c>
      <c r="BV77" s="387">
        <f t="shared" si="62"/>
        <v>182.87484799999999</v>
      </c>
      <c r="BW77" s="387">
        <f t="shared" si="63"/>
        <v>0</v>
      </c>
      <c r="BX77" s="387">
        <f t="shared" si="78"/>
        <v>11405.205042400003</v>
      </c>
      <c r="BY77" s="387">
        <f t="shared" si="79"/>
        <v>0</v>
      </c>
      <c r="BZ77" s="387">
        <f t="shared" si="80"/>
        <v>0</v>
      </c>
      <c r="CA77" s="387">
        <f t="shared" si="81"/>
        <v>0</v>
      </c>
      <c r="CB77" s="387">
        <f t="shared" si="82"/>
        <v>0</v>
      </c>
      <c r="CC77" s="387">
        <f t="shared" si="64"/>
        <v>0</v>
      </c>
      <c r="CD77" s="387">
        <f t="shared" si="65"/>
        <v>0</v>
      </c>
      <c r="CE77" s="387">
        <f t="shared" si="66"/>
        <v>0</v>
      </c>
      <c r="CF77" s="387">
        <f t="shared" si="67"/>
        <v>-263.55492800000002</v>
      </c>
      <c r="CG77" s="387">
        <f t="shared" si="68"/>
        <v>0</v>
      </c>
      <c r="CH77" s="387">
        <f t="shared" si="69"/>
        <v>37.650703999999983</v>
      </c>
      <c r="CI77" s="387">
        <f t="shared" si="70"/>
        <v>0</v>
      </c>
      <c r="CJ77" s="387">
        <f t="shared" si="83"/>
        <v>-225.90422400000003</v>
      </c>
      <c r="CK77" s="387" t="str">
        <f t="shared" si="84"/>
        <v/>
      </c>
      <c r="CL77" s="387" t="str">
        <f t="shared" si="85"/>
        <v/>
      </c>
      <c r="CM77" s="387" t="str">
        <f t="shared" si="86"/>
        <v/>
      </c>
      <c r="CN77" s="387" t="str">
        <f t="shared" si="87"/>
        <v>0348-31</v>
      </c>
    </row>
    <row r="78" spans="1:92" ht="15.75" thickBot="1" x14ac:dyDescent="0.3">
      <c r="A78" s="376" t="s">
        <v>161</v>
      </c>
      <c r="B78" s="376" t="s">
        <v>162</v>
      </c>
      <c r="C78" s="376" t="s">
        <v>567</v>
      </c>
      <c r="D78" s="376" t="s">
        <v>568</v>
      </c>
      <c r="E78" s="376" t="s">
        <v>224</v>
      </c>
      <c r="F78" s="382" t="s">
        <v>225</v>
      </c>
      <c r="G78" s="376" t="s">
        <v>167</v>
      </c>
      <c r="H78" s="378"/>
      <c r="I78" s="378"/>
      <c r="J78" s="376" t="s">
        <v>215</v>
      </c>
      <c r="K78" s="376" t="s">
        <v>569</v>
      </c>
      <c r="L78" s="376" t="s">
        <v>210</v>
      </c>
      <c r="M78" s="376" t="s">
        <v>171</v>
      </c>
      <c r="N78" s="376" t="s">
        <v>172</v>
      </c>
      <c r="O78" s="379">
        <v>1</v>
      </c>
      <c r="P78" s="385">
        <v>1</v>
      </c>
      <c r="Q78" s="385">
        <v>1</v>
      </c>
      <c r="R78" s="380">
        <v>80</v>
      </c>
      <c r="S78" s="385">
        <v>1</v>
      </c>
      <c r="T78" s="380">
        <v>0</v>
      </c>
      <c r="U78" s="380">
        <v>0</v>
      </c>
      <c r="V78" s="380">
        <v>0</v>
      </c>
      <c r="W78" s="380">
        <v>68640</v>
      </c>
      <c r="X78" s="380">
        <v>26493.37</v>
      </c>
      <c r="Y78" s="380">
        <v>68640</v>
      </c>
      <c r="Z78" s="380">
        <v>26205.09</v>
      </c>
      <c r="AA78" s="376" t="s">
        <v>570</v>
      </c>
      <c r="AB78" s="376" t="s">
        <v>571</v>
      </c>
      <c r="AC78" s="376" t="s">
        <v>572</v>
      </c>
      <c r="AD78" s="376" t="s">
        <v>296</v>
      </c>
      <c r="AE78" s="376" t="s">
        <v>569</v>
      </c>
      <c r="AF78" s="376" t="s">
        <v>245</v>
      </c>
      <c r="AG78" s="376" t="s">
        <v>178</v>
      </c>
      <c r="AH78" s="379">
        <v>33</v>
      </c>
      <c r="AI78" s="379">
        <v>203</v>
      </c>
      <c r="AJ78" s="376" t="s">
        <v>179</v>
      </c>
      <c r="AK78" s="376" t="s">
        <v>180</v>
      </c>
      <c r="AL78" s="376" t="s">
        <v>181</v>
      </c>
      <c r="AM78" s="376" t="s">
        <v>182</v>
      </c>
      <c r="AN78" s="376" t="s">
        <v>68</v>
      </c>
      <c r="AO78" s="379">
        <v>80</v>
      </c>
      <c r="AP78" s="385">
        <v>1</v>
      </c>
      <c r="AQ78" s="385">
        <v>1</v>
      </c>
      <c r="AR78" s="383" t="s">
        <v>183</v>
      </c>
      <c r="AS78" s="387">
        <f t="shared" si="71"/>
        <v>1</v>
      </c>
      <c r="AT78">
        <f t="shared" si="72"/>
        <v>1</v>
      </c>
      <c r="AU78" s="387">
        <f>IF(AT78=0,"",IF(AND(AT78=1,M78="F",SUMIF(C2:C1334,C78,AS2:AS1334)&lt;=1),SUMIF(C2:C1334,C78,AS2:AS1334),IF(AND(AT78=1,M78="F",SUMIF(C2:C1334,C78,AS2:AS1334)&gt;1),1,"")))</f>
        <v>1</v>
      </c>
      <c r="AV78" s="387" t="str">
        <f>IF(AT78=0,"",IF(AND(AT78=3,M78="F",SUMIF(C2:C1334,C78,AS2:AS1334)&lt;=1),SUMIF(C2:C1334,C78,AS2:AS1334),IF(AND(AT78=3,M78="F",SUMIF(C2:C1334,C78,AS2:AS1334)&gt;1),1,"")))</f>
        <v/>
      </c>
      <c r="AW78" s="387">
        <f>SUMIF(C2:C1334,C78,O2:O1334)</f>
        <v>2</v>
      </c>
      <c r="AX78" s="387">
        <f>IF(AND(M78="F",AS78&lt;&gt;0),SUMIF(C2:C1334,C78,W2:W1334),0)</f>
        <v>68640</v>
      </c>
      <c r="AY78" s="387">
        <f t="shared" si="73"/>
        <v>68640</v>
      </c>
      <c r="AZ78" s="387" t="str">
        <f t="shared" si="74"/>
        <v/>
      </c>
      <c r="BA78" s="387">
        <f t="shared" si="75"/>
        <v>0</v>
      </c>
      <c r="BB78" s="387">
        <f t="shared" si="44"/>
        <v>11650</v>
      </c>
      <c r="BC78" s="387">
        <f t="shared" si="45"/>
        <v>0</v>
      </c>
      <c r="BD78" s="387">
        <f t="shared" si="46"/>
        <v>4255.68</v>
      </c>
      <c r="BE78" s="387">
        <f t="shared" si="47"/>
        <v>995.28000000000009</v>
      </c>
      <c r="BF78" s="387">
        <f t="shared" si="48"/>
        <v>8195.616</v>
      </c>
      <c r="BG78" s="387">
        <f t="shared" si="49"/>
        <v>494.89440000000002</v>
      </c>
      <c r="BH78" s="387">
        <f t="shared" si="50"/>
        <v>336.33600000000001</v>
      </c>
      <c r="BI78" s="387">
        <f t="shared" si="51"/>
        <v>379.92239999999998</v>
      </c>
      <c r="BJ78" s="387">
        <f t="shared" si="52"/>
        <v>185.328</v>
      </c>
      <c r="BK78" s="387">
        <f t="shared" si="53"/>
        <v>0</v>
      </c>
      <c r="BL78" s="387">
        <f t="shared" si="76"/>
        <v>14843.056799999998</v>
      </c>
      <c r="BM78" s="387">
        <f t="shared" si="77"/>
        <v>0</v>
      </c>
      <c r="BN78" s="387">
        <f t="shared" si="54"/>
        <v>11650</v>
      </c>
      <c r="BO78" s="387">
        <f t="shared" si="55"/>
        <v>0</v>
      </c>
      <c r="BP78" s="387">
        <f t="shared" si="56"/>
        <v>4255.68</v>
      </c>
      <c r="BQ78" s="387">
        <f t="shared" si="57"/>
        <v>995.28000000000009</v>
      </c>
      <c r="BR78" s="387">
        <f t="shared" si="58"/>
        <v>8195.616</v>
      </c>
      <c r="BS78" s="387">
        <f t="shared" si="59"/>
        <v>494.89440000000002</v>
      </c>
      <c r="BT78" s="387">
        <f t="shared" si="60"/>
        <v>0</v>
      </c>
      <c r="BU78" s="387">
        <f t="shared" si="61"/>
        <v>379.92239999999998</v>
      </c>
      <c r="BV78" s="387">
        <f t="shared" si="62"/>
        <v>233.37599999999998</v>
      </c>
      <c r="BW78" s="387">
        <f t="shared" si="63"/>
        <v>0</v>
      </c>
      <c r="BX78" s="387">
        <f t="shared" si="78"/>
        <v>14554.7688</v>
      </c>
      <c r="BY78" s="387">
        <f t="shared" si="79"/>
        <v>0</v>
      </c>
      <c r="BZ78" s="387">
        <f t="shared" si="80"/>
        <v>0</v>
      </c>
      <c r="CA78" s="387">
        <f t="shared" si="81"/>
        <v>0</v>
      </c>
      <c r="CB78" s="387">
        <f t="shared" si="82"/>
        <v>0</v>
      </c>
      <c r="CC78" s="387">
        <f t="shared" si="64"/>
        <v>0</v>
      </c>
      <c r="CD78" s="387">
        <f t="shared" si="65"/>
        <v>0</v>
      </c>
      <c r="CE78" s="387">
        <f t="shared" si="66"/>
        <v>0</v>
      </c>
      <c r="CF78" s="387">
        <f t="shared" si="67"/>
        <v>-336.33600000000001</v>
      </c>
      <c r="CG78" s="387">
        <f t="shared" si="68"/>
        <v>0</v>
      </c>
      <c r="CH78" s="387">
        <f t="shared" si="69"/>
        <v>48.047999999999981</v>
      </c>
      <c r="CI78" s="387">
        <f t="shared" si="70"/>
        <v>0</v>
      </c>
      <c r="CJ78" s="387">
        <f t="shared" si="83"/>
        <v>-288.28800000000001</v>
      </c>
      <c r="CK78" s="387" t="str">
        <f t="shared" si="84"/>
        <v/>
      </c>
      <c r="CL78" s="387" t="str">
        <f t="shared" si="85"/>
        <v/>
      </c>
      <c r="CM78" s="387" t="str">
        <f t="shared" si="86"/>
        <v/>
      </c>
      <c r="CN78" s="387" t="str">
        <f t="shared" si="87"/>
        <v>0348-31</v>
      </c>
    </row>
    <row r="79" spans="1:92" ht="15.75" thickBot="1" x14ac:dyDescent="0.3">
      <c r="A79" s="376" t="s">
        <v>161</v>
      </c>
      <c r="B79" s="376" t="s">
        <v>162</v>
      </c>
      <c r="C79" s="376" t="s">
        <v>573</v>
      </c>
      <c r="D79" s="376" t="s">
        <v>574</v>
      </c>
      <c r="E79" s="376" t="s">
        <v>224</v>
      </c>
      <c r="F79" s="382" t="s">
        <v>225</v>
      </c>
      <c r="G79" s="376" t="s">
        <v>167</v>
      </c>
      <c r="H79" s="378"/>
      <c r="I79" s="378"/>
      <c r="J79" s="376" t="s">
        <v>215</v>
      </c>
      <c r="K79" s="376" t="s">
        <v>575</v>
      </c>
      <c r="L79" s="376" t="s">
        <v>351</v>
      </c>
      <c r="M79" s="376" t="s">
        <v>171</v>
      </c>
      <c r="N79" s="376" t="s">
        <v>172</v>
      </c>
      <c r="O79" s="379">
        <v>1</v>
      </c>
      <c r="P79" s="385">
        <v>1</v>
      </c>
      <c r="Q79" s="385">
        <v>1</v>
      </c>
      <c r="R79" s="380">
        <v>80</v>
      </c>
      <c r="S79" s="385">
        <v>1</v>
      </c>
      <c r="T79" s="380">
        <v>0</v>
      </c>
      <c r="U79" s="380">
        <v>0</v>
      </c>
      <c r="V79" s="380">
        <v>0</v>
      </c>
      <c r="W79" s="380">
        <v>122948.8</v>
      </c>
      <c r="X79" s="380">
        <v>38237.64</v>
      </c>
      <c r="Y79" s="380">
        <v>122948.8</v>
      </c>
      <c r="Z79" s="380">
        <v>37721.26</v>
      </c>
      <c r="AA79" s="376" t="s">
        <v>576</v>
      </c>
      <c r="AB79" s="376" t="s">
        <v>577</v>
      </c>
      <c r="AC79" s="376" t="s">
        <v>578</v>
      </c>
      <c r="AD79" s="376" t="s">
        <v>324</v>
      </c>
      <c r="AE79" s="376" t="s">
        <v>575</v>
      </c>
      <c r="AF79" s="376" t="s">
        <v>355</v>
      </c>
      <c r="AG79" s="376" t="s">
        <v>178</v>
      </c>
      <c r="AH79" s="381">
        <v>59.11</v>
      </c>
      <c r="AI79" s="381">
        <v>60583.6</v>
      </c>
      <c r="AJ79" s="376" t="s">
        <v>179</v>
      </c>
      <c r="AK79" s="376" t="s">
        <v>180</v>
      </c>
      <c r="AL79" s="376" t="s">
        <v>181</v>
      </c>
      <c r="AM79" s="376" t="s">
        <v>182</v>
      </c>
      <c r="AN79" s="376" t="s">
        <v>68</v>
      </c>
      <c r="AO79" s="379">
        <v>80</v>
      </c>
      <c r="AP79" s="385">
        <v>1</v>
      </c>
      <c r="AQ79" s="385">
        <v>1</v>
      </c>
      <c r="AR79" s="383" t="s">
        <v>183</v>
      </c>
      <c r="AS79" s="387">
        <f t="shared" si="71"/>
        <v>1</v>
      </c>
      <c r="AT79">
        <f t="shared" si="72"/>
        <v>1</v>
      </c>
      <c r="AU79" s="387">
        <f>IF(AT79=0,"",IF(AND(AT79=1,M79="F",SUMIF(C2:C1334,C79,AS2:AS1334)&lt;=1),SUMIF(C2:C1334,C79,AS2:AS1334),IF(AND(AT79=1,M79="F",SUMIF(C2:C1334,C79,AS2:AS1334)&gt;1),1,"")))</f>
        <v>1</v>
      </c>
      <c r="AV79" s="387" t="str">
        <f>IF(AT79=0,"",IF(AND(AT79=3,M79="F",SUMIF(C2:C1334,C79,AS2:AS1334)&lt;=1),SUMIF(C2:C1334,C79,AS2:AS1334),IF(AND(AT79=3,M79="F",SUMIF(C2:C1334,C79,AS2:AS1334)&gt;1),1,"")))</f>
        <v/>
      </c>
      <c r="AW79" s="387">
        <f>SUMIF(C2:C1334,C79,O2:O1334)</f>
        <v>3</v>
      </c>
      <c r="AX79" s="387">
        <f>IF(AND(M79="F",AS79&lt;&gt;0),SUMIF(C2:C1334,C79,W2:W1334),0)</f>
        <v>122948.8</v>
      </c>
      <c r="AY79" s="387">
        <f t="shared" si="73"/>
        <v>122948.8</v>
      </c>
      <c r="AZ79" s="387" t="str">
        <f t="shared" si="74"/>
        <v/>
      </c>
      <c r="BA79" s="387">
        <f t="shared" si="75"/>
        <v>0</v>
      </c>
      <c r="BB79" s="387">
        <f t="shared" si="44"/>
        <v>11650</v>
      </c>
      <c r="BC79" s="387">
        <f t="shared" si="45"/>
        <v>0</v>
      </c>
      <c r="BD79" s="387">
        <f t="shared" si="46"/>
        <v>7622.8256000000001</v>
      </c>
      <c r="BE79" s="387">
        <f t="shared" si="47"/>
        <v>1782.7576000000001</v>
      </c>
      <c r="BF79" s="387">
        <f t="shared" si="48"/>
        <v>14680.086720000001</v>
      </c>
      <c r="BG79" s="387">
        <f t="shared" si="49"/>
        <v>886.46084800000006</v>
      </c>
      <c r="BH79" s="387">
        <f t="shared" si="50"/>
        <v>602.44911999999999</v>
      </c>
      <c r="BI79" s="387">
        <f t="shared" si="51"/>
        <v>680.52160800000001</v>
      </c>
      <c r="BJ79" s="387">
        <f t="shared" si="52"/>
        <v>331.96176000000003</v>
      </c>
      <c r="BK79" s="387">
        <f t="shared" si="53"/>
        <v>0</v>
      </c>
      <c r="BL79" s="387">
        <f t="shared" si="76"/>
        <v>26587.063255999998</v>
      </c>
      <c r="BM79" s="387">
        <f t="shared" si="77"/>
        <v>0</v>
      </c>
      <c r="BN79" s="387">
        <f t="shared" si="54"/>
        <v>11650</v>
      </c>
      <c r="BO79" s="387">
        <f t="shared" si="55"/>
        <v>0</v>
      </c>
      <c r="BP79" s="387">
        <f t="shared" si="56"/>
        <v>7622.8256000000001</v>
      </c>
      <c r="BQ79" s="387">
        <f t="shared" si="57"/>
        <v>1782.7576000000001</v>
      </c>
      <c r="BR79" s="387">
        <f t="shared" si="58"/>
        <v>14680.086720000001</v>
      </c>
      <c r="BS79" s="387">
        <f t="shared" si="59"/>
        <v>886.46084800000006</v>
      </c>
      <c r="BT79" s="387">
        <f t="shared" si="60"/>
        <v>0</v>
      </c>
      <c r="BU79" s="387">
        <f t="shared" si="61"/>
        <v>680.52160800000001</v>
      </c>
      <c r="BV79" s="387">
        <f t="shared" si="62"/>
        <v>418.02591999999999</v>
      </c>
      <c r="BW79" s="387">
        <f t="shared" si="63"/>
        <v>0</v>
      </c>
      <c r="BX79" s="387">
        <f t="shared" si="78"/>
        <v>26070.678295999998</v>
      </c>
      <c r="BY79" s="387">
        <f t="shared" si="79"/>
        <v>0</v>
      </c>
      <c r="BZ79" s="387">
        <f t="shared" si="80"/>
        <v>0</v>
      </c>
      <c r="CA79" s="387">
        <f t="shared" si="81"/>
        <v>0</v>
      </c>
      <c r="CB79" s="387">
        <f t="shared" si="82"/>
        <v>0</v>
      </c>
      <c r="CC79" s="387">
        <f t="shared" si="64"/>
        <v>0</v>
      </c>
      <c r="CD79" s="387">
        <f t="shared" si="65"/>
        <v>0</v>
      </c>
      <c r="CE79" s="387">
        <f t="shared" si="66"/>
        <v>0</v>
      </c>
      <c r="CF79" s="387">
        <f t="shared" si="67"/>
        <v>-602.44911999999999</v>
      </c>
      <c r="CG79" s="387">
        <f t="shared" si="68"/>
        <v>0</v>
      </c>
      <c r="CH79" s="387">
        <f t="shared" si="69"/>
        <v>86.064159999999958</v>
      </c>
      <c r="CI79" s="387">
        <f t="shared" si="70"/>
        <v>0</v>
      </c>
      <c r="CJ79" s="387">
        <f t="shared" si="83"/>
        <v>-516.38496000000009</v>
      </c>
      <c r="CK79" s="387" t="str">
        <f t="shared" si="84"/>
        <v/>
      </c>
      <c r="CL79" s="387" t="str">
        <f t="shared" si="85"/>
        <v/>
      </c>
      <c r="CM79" s="387" t="str">
        <f t="shared" si="86"/>
        <v/>
      </c>
      <c r="CN79" s="387" t="str">
        <f t="shared" si="87"/>
        <v>0348-31</v>
      </c>
    </row>
    <row r="80" spans="1:92" ht="15.75" thickBot="1" x14ac:dyDescent="0.3">
      <c r="A80" s="376" t="s">
        <v>161</v>
      </c>
      <c r="B80" s="376" t="s">
        <v>162</v>
      </c>
      <c r="C80" s="376" t="s">
        <v>579</v>
      </c>
      <c r="D80" s="376" t="s">
        <v>326</v>
      </c>
      <c r="E80" s="376" t="s">
        <v>224</v>
      </c>
      <c r="F80" s="382" t="s">
        <v>225</v>
      </c>
      <c r="G80" s="376" t="s">
        <v>167</v>
      </c>
      <c r="H80" s="378"/>
      <c r="I80" s="378"/>
      <c r="J80" s="376" t="s">
        <v>215</v>
      </c>
      <c r="K80" s="376" t="s">
        <v>520</v>
      </c>
      <c r="L80" s="376" t="s">
        <v>210</v>
      </c>
      <c r="M80" s="376" t="s">
        <v>171</v>
      </c>
      <c r="N80" s="376" t="s">
        <v>172</v>
      </c>
      <c r="O80" s="379">
        <v>1</v>
      </c>
      <c r="P80" s="385">
        <v>1</v>
      </c>
      <c r="Q80" s="385">
        <v>1</v>
      </c>
      <c r="R80" s="380">
        <v>80</v>
      </c>
      <c r="S80" s="385">
        <v>1</v>
      </c>
      <c r="T80" s="380">
        <v>0</v>
      </c>
      <c r="U80" s="380">
        <v>0</v>
      </c>
      <c r="V80" s="380">
        <v>0</v>
      </c>
      <c r="W80" s="380">
        <v>72987.199999999997</v>
      </c>
      <c r="X80" s="380">
        <v>27433.439999999999</v>
      </c>
      <c r="Y80" s="380">
        <v>72987.199999999997</v>
      </c>
      <c r="Z80" s="380">
        <v>27126.9</v>
      </c>
      <c r="AA80" s="376" t="s">
        <v>580</v>
      </c>
      <c r="AB80" s="376" t="s">
        <v>581</v>
      </c>
      <c r="AC80" s="376" t="s">
        <v>582</v>
      </c>
      <c r="AD80" s="376" t="s">
        <v>583</v>
      </c>
      <c r="AE80" s="376" t="s">
        <v>520</v>
      </c>
      <c r="AF80" s="376" t="s">
        <v>245</v>
      </c>
      <c r="AG80" s="376" t="s">
        <v>178</v>
      </c>
      <c r="AH80" s="381">
        <v>35.090000000000003</v>
      </c>
      <c r="AI80" s="381">
        <v>41093.199999999997</v>
      </c>
      <c r="AJ80" s="376" t="s">
        <v>179</v>
      </c>
      <c r="AK80" s="376" t="s">
        <v>180</v>
      </c>
      <c r="AL80" s="376" t="s">
        <v>181</v>
      </c>
      <c r="AM80" s="376" t="s">
        <v>182</v>
      </c>
      <c r="AN80" s="376" t="s">
        <v>68</v>
      </c>
      <c r="AO80" s="379">
        <v>80</v>
      </c>
      <c r="AP80" s="385">
        <v>1</v>
      </c>
      <c r="AQ80" s="385">
        <v>1</v>
      </c>
      <c r="AR80" s="383" t="s">
        <v>183</v>
      </c>
      <c r="AS80" s="387">
        <f t="shared" si="71"/>
        <v>1</v>
      </c>
      <c r="AT80">
        <f t="shared" si="72"/>
        <v>1</v>
      </c>
      <c r="AU80" s="387">
        <f>IF(AT80=0,"",IF(AND(AT80=1,M80="F",SUMIF(C2:C1334,C80,AS2:AS1334)&lt;=1),SUMIF(C2:C1334,C80,AS2:AS1334),IF(AND(AT80=1,M80="F",SUMIF(C2:C1334,C80,AS2:AS1334)&gt;1),1,"")))</f>
        <v>1</v>
      </c>
      <c r="AV80" s="387" t="str">
        <f>IF(AT80=0,"",IF(AND(AT80=3,M80="F",SUMIF(C2:C1334,C80,AS2:AS1334)&lt;=1),SUMIF(C2:C1334,C80,AS2:AS1334),IF(AND(AT80=3,M80="F",SUMIF(C2:C1334,C80,AS2:AS1334)&gt;1),1,"")))</f>
        <v/>
      </c>
      <c r="AW80" s="387">
        <f>SUMIF(C2:C1334,C80,O2:O1334)</f>
        <v>2</v>
      </c>
      <c r="AX80" s="387">
        <f>IF(AND(M80="F",AS80&lt;&gt;0),SUMIF(C2:C1334,C80,W2:W1334),0)</f>
        <v>72987.199999999997</v>
      </c>
      <c r="AY80" s="387">
        <f t="shared" si="73"/>
        <v>72987.199999999997</v>
      </c>
      <c r="AZ80" s="387" t="str">
        <f t="shared" si="74"/>
        <v/>
      </c>
      <c r="BA80" s="387">
        <f t="shared" si="75"/>
        <v>0</v>
      </c>
      <c r="BB80" s="387">
        <f t="shared" si="44"/>
        <v>11650</v>
      </c>
      <c r="BC80" s="387">
        <f t="shared" si="45"/>
        <v>0</v>
      </c>
      <c r="BD80" s="387">
        <f t="shared" si="46"/>
        <v>4525.2064</v>
      </c>
      <c r="BE80" s="387">
        <f t="shared" si="47"/>
        <v>1058.3144</v>
      </c>
      <c r="BF80" s="387">
        <f t="shared" si="48"/>
        <v>8714.6716799999995</v>
      </c>
      <c r="BG80" s="387">
        <f t="shared" si="49"/>
        <v>526.23771199999999</v>
      </c>
      <c r="BH80" s="387">
        <f t="shared" si="50"/>
        <v>357.63727999999998</v>
      </c>
      <c r="BI80" s="387">
        <f t="shared" si="51"/>
        <v>403.98415199999999</v>
      </c>
      <c r="BJ80" s="387">
        <f t="shared" si="52"/>
        <v>197.06544</v>
      </c>
      <c r="BK80" s="387">
        <f t="shared" si="53"/>
        <v>0</v>
      </c>
      <c r="BL80" s="387">
        <f t="shared" si="76"/>
        <v>15783.117064</v>
      </c>
      <c r="BM80" s="387">
        <f t="shared" si="77"/>
        <v>0</v>
      </c>
      <c r="BN80" s="387">
        <f t="shared" si="54"/>
        <v>11650</v>
      </c>
      <c r="BO80" s="387">
        <f t="shared" si="55"/>
        <v>0</v>
      </c>
      <c r="BP80" s="387">
        <f t="shared" si="56"/>
        <v>4525.2064</v>
      </c>
      <c r="BQ80" s="387">
        <f t="shared" si="57"/>
        <v>1058.3144</v>
      </c>
      <c r="BR80" s="387">
        <f t="shared" si="58"/>
        <v>8714.6716799999995</v>
      </c>
      <c r="BS80" s="387">
        <f t="shared" si="59"/>
        <v>526.23771199999999</v>
      </c>
      <c r="BT80" s="387">
        <f t="shared" si="60"/>
        <v>0</v>
      </c>
      <c r="BU80" s="387">
        <f t="shared" si="61"/>
        <v>403.98415199999999</v>
      </c>
      <c r="BV80" s="387">
        <f t="shared" si="62"/>
        <v>248.15647999999999</v>
      </c>
      <c r="BW80" s="387">
        <f t="shared" si="63"/>
        <v>0</v>
      </c>
      <c r="BX80" s="387">
        <f t="shared" si="78"/>
        <v>15476.570824</v>
      </c>
      <c r="BY80" s="387">
        <f t="shared" si="79"/>
        <v>0</v>
      </c>
      <c r="BZ80" s="387">
        <f t="shared" si="80"/>
        <v>0</v>
      </c>
      <c r="CA80" s="387">
        <f t="shared" si="81"/>
        <v>0</v>
      </c>
      <c r="CB80" s="387">
        <f t="shared" si="82"/>
        <v>0</v>
      </c>
      <c r="CC80" s="387">
        <f t="shared" si="64"/>
        <v>0</v>
      </c>
      <c r="CD80" s="387">
        <f t="shared" si="65"/>
        <v>0</v>
      </c>
      <c r="CE80" s="387">
        <f t="shared" si="66"/>
        <v>0</v>
      </c>
      <c r="CF80" s="387">
        <f t="shared" si="67"/>
        <v>-357.63727999999998</v>
      </c>
      <c r="CG80" s="387">
        <f t="shared" si="68"/>
        <v>0</v>
      </c>
      <c r="CH80" s="387">
        <f t="shared" si="69"/>
        <v>51.091039999999971</v>
      </c>
      <c r="CI80" s="387">
        <f t="shared" si="70"/>
        <v>0</v>
      </c>
      <c r="CJ80" s="387">
        <f t="shared" si="83"/>
        <v>-306.54624000000001</v>
      </c>
      <c r="CK80" s="387" t="str">
        <f t="shared" si="84"/>
        <v/>
      </c>
      <c r="CL80" s="387" t="str">
        <f t="shared" si="85"/>
        <v/>
      </c>
      <c r="CM80" s="387" t="str">
        <f t="shared" si="86"/>
        <v/>
      </c>
      <c r="CN80" s="387" t="str">
        <f t="shared" si="87"/>
        <v>0348-31</v>
      </c>
    </row>
    <row r="81" spans="1:92" ht="15.75" thickBot="1" x14ac:dyDescent="0.3">
      <c r="A81" s="376" t="s">
        <v>161</v>
      </c>
      <c r="B81" s="376" t="s">
        <v>162</v>
      </c>
      <c r="C81" s="376" t="s">
        <v>584</v>
      </c>
      <c r="D81" s="376" t="s">
        <v>238</v>
      </c>
      <c r="E81" s="376" t="s">
        <v>224</v>
      </c>
      <c r="F81" s="382" t="s">
        <v>225</v>
      </c>
      <c r="G81" s="376" t="s">
        <v>167</v>
      </c>
      <c r="H81" s="378"/>
      <c r="I81" s="378"/>
      <c r="J81" s="376" t="s">
        <v>215</v>
      </c>
      <c r="K81" s="376" t="s">
        <v>343</v>
      </c>
      <c r="L81" s="376" t="s">
        <v>296</v>
      </c>
      <c r="M81" s="376" t="s">
        <v>171</v>
      </c>
      <c r="N81" s="376" t="s">
        <v>172</v>
      </c>
      <c r="O81" s="379">
        <v>1</v>
      </c>
      <c r="P81" s="385">
        <v>1</v>
      </c>
      <c r="Q81" s="385">
        <v>1</v>
      </c>
      <c r="R81" s="380">
        <v>80</v>
      </c>
      <c r="S81" s="385">
        <v>1</v>
      </c>
      <c r="T81" s="380">
        <v>0</v>
      </c>
      <c r="U81" s="380">
        <v>0</v>
      </c>
      <c r="V81" s="380">
        <v>0</v>
      </c>
      <c r="W81" s="380">
        <v>48443.199999999997</v>
      </c>
      <c r="X81" s="380">
        <v>22125.8</v>
      </c>
      <c r="Y81" s="380">
        <v>48443.199999999997</v>
      </c>
      <c r="Z81" s="380">
        <v>21922.34</v>
      </c>
      <c r="AA81" s="376" t="s">
        <v>585</v>
      </c>
      <c r="AB81" s="376" t="s">
        <v>586</v>
      </c>
      <c r="AC81" s="376" t="s">
        <v>278</v>
      </c>
      <c r="AD81" s="376" t="s">
        <v>587</v>
      </c>
      <c r="AE81" s="376" t="s">
        <v>343</v>
      </c>
      <c r="AF81" s="376" t="s">
        <v>301</v>
      </c>
      <c r="AG81" s="376" t="s">
        <v>178</v>
      </c>
      <c r="AH81" s="381">
        <v>23.29</v>
      </c>
      <c r="AI81" s="381">
        <v>15091.8</v>
      </c>
      <c r="AJ81" s="376" t="s">
        <v>179</v>
      </c>
      <c r="AK81" s="376" t="s">
        <v>180</v>
      </c>
      <c r="AL81" s="376" t="s">
        <v>181</v>
      </c>
      <c r="AM81" s="376" t="s">
        <v>182</v>
      </c>
      <c r="AN81" s="376" t="s">
        <v>68</v>
      </c>
      <c r="AO81" s="379">
        <v>80</v>
      </c>
      <c r="AP81" s="385">
        <v>1</v>
      </c>
      <c r="AQ81" s="385">
        <v>1</v>
      </c>
      <c r="AR81" s="383" t="s">
        <v>183</v>
      </c>
      <c r="AS81" s="387">
        <f t="shared" si="71"/>
        <v>1</v>
      </c>
      <c r="AT81">
        <f t="shared" si="72"/>
        <v>1</v>
      </c>
      <c r="AU81" s="387">
        <f>IF(AT81=0,"",IF(AND(AT81=1,M81="F",SUMIF(C2:C1334,C81,AS2:AS1334)&lt;=1),SUMIF(C2:C1334,C81,AS2:AS1334),IF(AND(AT81=1,M81="F",SUMIF(C2:C1334,C81,AS2:AS1334)&gt;1),1,"")))</f>
        <v>1</v>
      </c>
      <c r="AV81" s="387" t="str">
        <f>IF(AT81=0,"",IF(AND(AT81=3,M81="F",SUMIF(C2:C1334,C81,AS2:AS1334)&lt;=1),SUMIF(C2:C1334,C81,AS2:AS1334),IF(AND(AT81=3,M81="F",SUMIF(C2:C1334,C81,AS2:AS1334)&gt;1),1,"")))</f>
        <v/>
      </c>
      <c r="AW81" s="387">
        <f>SUMIF(C2:C1334,C81,O2:O1334)</f>
        <v>3</v>
      </c>
      <c r="AX81" s="387">
        <f>IF(AND(M81="F",AS81&lt;&gt;0),SUMIF(C2:C1334,C81,W2:W1334),0)</f>
        <v>48443.199999999997</v>
      </c>
      <c r="AY81" s="387">
        <f t="shared" si="73"/>
        <v>48443.199999999997</v>
      </c>
      <c r="AZ81" s="387" t="str">
        <f t="shared" si="74"/>
        <v/>
      </c>
      <c r="BA81" s="387">
        <f t="shared" si="75"/>
        <v>0</v>
      </c>
      <c r="BB81" s="387">
        <f t="shared" si="44"/>
        <v>11650</v>
      </c>
      <c r="BC81" s="387">
        <f t="shared" si="45"/>
        <v>0</v>
      </c>
      <c r="BD81" s="387">
        <f t="shared" si="46"/>
        <v>3003.4784</v>
      </c>
      <c r="BE81" s="387">
        <f t="shared" si="47"/>
        <v>702.42639999999994</v>
      </c>
      <c r="BF81" s="387">
        <f t="shared" si="48"/>
        <v>5784.1180800000002</v>
      </c>
      <c r="BG81" s="387">
        <f t="shared" si="49"/>
        <v>349.27547199999998</v>
      </c>
      <c r="BH81" s="387">
        <f t="shared" si="50"/>
        <v>237.37167999999997</v>
      </c>
      <c r="BI81" s="387">
        <f t="shared" si="51"/>
        <v>268.13311199999998</v>
      </c>
      <c r="BJ81" s="387">
        <f t="shared" si="52"/>
        <v>130.79664</v>
      </c>
      <c r="BK81" s="387">
        <f t="shared" si="53"/>
        <v>0</v>
      </c>
      <c r="BL81" s="387">
        <f t="shared" si="76"/>
        <v>10475.599784</v>
      </c>
      <c r="BM81" s="387">
        <f t="shared" si="77"/>
        <v>0</v>
      </c>
      <c r="BN81" s="387">
        <f t="shared" si="54"/>
        <v>11650</v>
      </c>
      <c r="BO81" s="387">
        <f t="shared" si="55"/>
        <v>0</v>
      </c>
      <c r="BP81" s="387">
        <f t="shared" si="56"/>
        <v>3003.4784</v>
      </c>
      <c r="BQ81" s="387">
        <f t="shared" si="57"/>
        <v>702.42639999999994</v>
      </c>
      <c r="BR81" s="387">
        <f t="shared" si="58"/>
        <v>5784.1180800000002</v>
      </c>
      <c r="BS81" s="387">
        <f t="shared" si="59"/>
        <v>349.27547199999998</v>
      </c>
      <c r="BT81" s="387">
        <f t="shared" si="60"/>
        <v>0</v>
      </c>
      <c r="BU81" s="387">
        <f t="shared" si="61"/>
        <v>268.13311199999998</v>
      </c>
      <c r="BV81" s="387">
        <f t="shared" si="62"/>
        <v>164.70687999999998</v>
      </c>
      <c r="BW81" s="387">
        <f t="shared" si="63"/>
        <v>0</v>
      </c>
      <c r="BX81" s="387">
        <f t="shared" si="78"/>
        <v>10272.138343999999</v>
      </c>
      <c r="BY81" s="387">
        <f t="shared" si="79"/>
        <v>0</v>
      </c>
      <c r="BZ81" s="387">
        <f t="shared" si="80"/>
        <v>0</v>
      </c>
      <c r="CA81" s="387">
        <f t="shared" si="81"/>
        <v>0</v>
      </c>
      <c r="CB81" s="387">
        <f t="shared" si="82"/>
        <v>0</v>
      </c>
      <c r="CC81" s="387">
        <f t="shared" si="64"/>
        <v>0</v>
      </c>
      <c r="CD81" s="387">
        <f t="shared" si="65"/>
        <v>0</v>
      </c>
      <c r="CE81" s="387">
        <f t="shared" si="66"/>
        <v>0</v>
      </c>
      <c r="CF81" s="387">
        <f t="shared" si="67"/>
        <v>-237.37167999999997</v>
      </c>
      <c r="CG81" s="387">
        <f t="shared" si="68"/>
        <v>0</v>
      </c>
      <c r="CH81" s="387">
        <f t="shared" si="69"/>
        <v>33.91023999999998</v>
      </c>
      <c r="CI81" s="387">
        <f t="shared" si="70"/>
        <v>0</v>
      </c>
      <c r="CJ81" s="387">
        <f t="shared" si="83"/>
        <v>-203.46143999999998</v>
      </c>
      <c r="CK81" s="387" t="str">
        <f t="shared" si="84"/>
        <v/>
      </c>
      <c r="CL81" s="387" t="str">
        <f t="shared" si="85"/>
        <v/>
      </c>
      <c r="CM81" s="387" t="str">
        <f t="shared" si="86"/>
        <v/>
      </c>
      <c r="CN81" s="387" t="str">
        <f t="shared" si="87"/>
        <v>0348-31</v>
      </c>
    </row>
    <row r="82" spans="1:92" ht="15.75" thickBot="1" x14ac:dyDescent="0.3">
      <c r="A82" s="376" t="s">
        <v>161</v>
      </c>
      <c r="B82" s="376" t="s">
        <v>162</v>
      </c>
      <c r="C82" s="376" t="s">
        <v>588</v>
      </c>
      <c r="D82" s="376" t="s">
        <v>270</v>
      </c>
      <c r="E82" s="376" t="s">
        <v>224</v>
      </c>
      <c r="F82" s="382" t="s">
        <v>225</v>
      </c>
      <c r="G82" s="376" t="s">
        <v>167</v>
      </c>
      <c r="H82" s="378"/>
      <c r="I82" s="378"/>
      <c r="J82" s="376" t="s">
        <v>215</v>
      </c>
      <c r="K82" s="376" t="s">
        <v>271</v>
      </c>
      <c r="L82" s="376" t="s">
        <v>217</v>
      </c>
      <c r="M82" s="376" t="s">
        <v>171</v>
      </c>
      <c r="N82" s="376" t="s">
        <v>172</v>
      </c>
      <c r="O82" s="379">
        <v>1</v>
      </c>
      <c r="P82" s="385">
        <v>1</v>
      </c>
      <c r="Q82" s="385">
        <v>1</v>
      </c>
      <c r="R82" s="380">
        <v>80</v>
      </c>
      <c r="S82" s="385">
        <v>1</v>
      </c>
      <c r="T82" s="380">
        <v>0</v>
      </c>
      <c r="U82" s="380">
        <v>0</v>
      </c>
      <c r="V82" s="380">
        <v>0</v>
      </c>
      <c r="W82" s="380">
        <v>23686</v>
      </c>
      <c r="X82" s="380">
        <v>16772.07</v>
      </c>
      <c r="Y82" s="380">
        <v>23686</v>
      </c>
      <c r="Z82" s="380">
        <v>16672.59</v>
      </c>
      <c r="AA82" s="376" t="s">
        <v>589</v>
      </c>
      <c r="AB82" s="376" t="s">
        <v>590</v>
      </c>
      <c r="AC82" s="376" t="s">
        <v>591</v>
      </c>
      <c r="AD82" s="376" t="s">
        <v>279</v>
      </c>
      <c r="AE82" s="376" t="s">
        <v>271</v>
      </c>
      <c r="AF82" s="376" t="s">
        <v>221</v>
      </c>
      <c r="AG82" s="376" t="s">
        <v>178</v>
      </c>
      <c r="AH82" s="381">
        <v>18.22</v>
      </c>
      <c r="AI82" s="381">
        <v>13846.6</v>
      </c>
      <c r="AJ82" s="376" t="s">
        <v>473</v>
      </c>
      <c r="AK82" s="376" t="s">
        <v>180</v>
      </c>
      <c r="AL82" s="376" t="s">
        <v>181</v>
      </c>
      <c r="AM82" s="376" t="s">
        <v>182</v>
      </c>
      <c r="AN82" s="376" t="s">
        <v>68</v>
      </c>
      <c r="AO82" s="379">
        <v>50</v>
      </c>
      <c r="AP82" s="385">
        <v>1</v>
      </c>
      <c r="AQ82" s="385">
        <v>0.62</v>
      </c>
      <c r="AR82" s="383" t="s">
        <v>183</v>
      </c>
      <c r="AS82" s="387">
        <f t="shared" si="71"/>
        <v>0.625</v>
      </c>
      <c r="AT82">
        <f t="shared" si="72"/>
        <v>1</v>
      </c>
      <c r="AU82" s="387">
        <f>IF(AT82=0,"",IF(AND(AT82=1,M82="F",SUMIF(C2:C1334,C82,AS2:AS1334)&lt;=1),SUMIF(C2:C1334,C82,AS2:AS1334),IF(AND(AT82=1,M82="F",SUMIF(C2:C1334,C82,AS2:AS1334)&gt;1),1,"")))</f>
        <v>0.625</v>
      </c>
      <c r="AV82" s="387" t="str">
        <f>IF(AT82=0,"",IF(AND(AT82=3,M82="F",SUMIF(C2:C1334,C82,AS2:AS1334)&lt;=1),SUMIF(C2:C1334,C82,AS2:AS1334),IF(AND(AT82=3,M82="F",SUMIF(C2:C1334,C82,AS2:AS1334)&gt;1),1,"")))</f>
        <v/>
      </c>
      <c r="AW82" s="387">
        <f>SUMIF(C2:C1334,C82,O2:O1334)</f>
        <v>2</v>
      </c>
      <c r="AX82" s="387">
        <f>IF(AND(M82="F",AS82&lt;&gt;0),SUMIF(C2:C1334,C82,W2:W1334),0)</f>
        <v>23686</v>
      </c>
      <c r="AY82" s="387">
        <f t="shared" si="73"/>
        <v>23686</v>
      </c>
      <c r="AZ82" s="387" t="str">
        <f t="shared" si="74"/>
        <v/>
      </c>
      <c r="BA82" s="387">
        <f t="shared" si="75"/>
        <v>0</v>
      </c>
      <c r="BB82" s="387">
        <f t="shared" si="44"/>
        <v>9320</v>
      </c>
      <c r="BC82" s="387">
        <f t="shared" si="45"/>
        <v>0</v>
      </c>
      <c r="BD82" s="387">
        <f t="shared" si="46"/>
        <v>1468.5319999999999</v>
      </c>
      <c r="BE82" s="387">
        <f t="shared" si="47"/>
        <v>343.447</v>
      </c>
      <c r="BF82" s="387">
        <f t="shared" si="48"/>
        <v>2828.1084000000001</v>
      </c>
      <c r="BG82" s="387">
        <f t="shared" si="49"/>
        <v>170.77606</v>
      </c>
      <c r="BH82" s="387">
        <f t="shared" si="50"/>
        <v>116.06139999999999</v>
      </c>
      <c r="BI82" s="387">
        <f t="shared" si="51"/>
        <v>131.10201000000001</v>
      </c>
      <c r="BJ82" s="387">
        <f t="shared" si="52"/>
        <v>63.952200000000005</v>
      </c>
      <c r="BK82" s="387">
        <f t="shared" si="53"/>
        <v>0</v>
      </c>
      <c r="BL82" s="387">
        <f t="shared" si="76"/>
        <v>5121.9790699999994</v>
      </c>
      <c r="BM82" s="387">
        <f t="shared" si="77"/>
        <v>0</v>
      </c>
      <c r="BN82" s="387">
        <f t="shared" si="54"/>
        <v>9320</v>
      </c>
      <c r="BO82" s="387">
        <f t="shared" si="55"/>
        <v>0</v>
      </c>
      <c r="BP82" s="387">
        <f t="shared" si="56"/>
        <v>1468.5319999999999</v>
      </c>
      <c r="BQ82" s="387">
        <f t="shared" si="57"/>
        <v>343.447</v>
      </c>
      <c r="BR82" s="387">
        <f t="shared" si="58"/>
        <v>2828.1084000000001</v>
      </c>
      <c r="BS82" s="387">
        <f t="shared" si="59"/>
        <v>170.77606</v>
      </c>
      <c r="BT82" s="387">
        <f t="shared" si="60"/>
        <v>0</v>
      </c>
      <c r="BU82" s="387">
        <f t="shared" si="61"/>
        <v>131.10201000000001</v>
      </c>
      <c r="BV82" s="387">
        <f t="shared" si="62"/>
        <v>80.532399999999996</v>
      </c>
      <c r="BW82" s="387">
        <f t="shared" si="63"/>
        <v>0</v>
      </c>
      <c r="BX82" s="387">
        <f t="shared" si="78"/>
        <v>5022.4978700000001</v>
      </c>
      <c r="BY82" s="387">
        <f t="shared" si="79"/>
        <v>0</v>
      </c>
      <c r="BZ82" s="387">
        <f t="shared" si="80"/>
        <v>0</v>
      </c>
      <c r="CA82" s="387">
        <f t="shared" si="81"/>
        <v>0</v>
      </c>
      <c r="CB82" s="387">
        <f t="shared" si="82"/>
        <v>0</v>
      </c>
      <c r="CC82" s="387">
        <f t="shared" si="64"/>
        <v>0</v>
      </c>
      <c r="CD82" s="387">
        <f t="shared" si="65"/>
        <v>0</v>
      </c>
      <c r="CE82" s="387">
        <f t="shared" si="66"/>
        <v>0</v>
      </c>
      <c r="CF82" s="387">
        <f t="shared" si="67"/>
        <v>-116.06139999999999</v>
      </c>
      <c r="CG82" s="387">
        <f t="shared" si="68"/>
        <v>0</v>
      </c>
      <c r="CH82" s="387">
        <f t="shared" si="69"/>
        <v>16.580199999999991</v>
      </c>
      <c r="CI82" s="387">
        <f t="shared" si="70"/>
        <v>0</v>
      </c>
      <c r="CJ82" s="387">
        <f t="shared" si="83"/>
        <v>-99.481200000000001</v>
      </c>
      <c r="CK82" s="387" t="str">
        <f t="shared" si="84"/>
        <v/>
      </c>
      <c r="CL82" s="387" t="str">
        <f t="shared" si="85"/>
        <v/>
      </c>
      <c r="CM82" s="387" t="str">
        <f t="shared" si="86"/>
        <v/>
      </c>
      <c r="CN82" s="387" t="str">
        <f t="shared" si="87"/>
        <v>0348-31</v>
      </c>
    </row>
    <row r="83" spans="1:92" ht="15.75" thickBot="1" x14ac:dyDescent="0.3">
      <c r="A83" s="376" t="s">
        <v>161</v>
      </c>
      <c r="B83" s="376" t="s">
        <v>162</v>
      </c>
      <c r="C83" s="376" t="s">
        <v>592</v>
      </c>
      <c r="D83" s="376" t="s">
        <v>294</v>
      </c>
      <c r="E83" s="376" t="s">
        <v>224</v>
      </c>
      <c r="F83" s="382" t="s">
        <v>225</v>
      </c>
      <c r="G83" s="376" t="s">
        <v>167</v>
      </c>
      <c r="H83" s="378"/>
      <c r="I83" s="378"/>
      <c r="J83" s="376" t="s">
        <v>215</v>
      </c>
      <c r="K83" s="376" t="s">
        <v>295</v>
      </c>
      <c r="L83" s="376" t="s">
        <v>296</v>
      </c>
      <c r="M83" s="376" t="s">
        <v>171</v>
      </c>
      <c r="N83" s="376" t="s">
        <v>172</v>
      </c>
      <c r="O83" s="379">
        <v>1</v>
      </c>
      <c r="P83" s="385">
        <v>1</v>
      </c>
      <c r="Q83" s="385">
        <v>1</v>
      </c>
      <c r="R83" s="380">
        <v>80</v>
      </c>
      <c r="S83" s="385">
        <v>1</v>
      </c>
      <c r="T83" s="380">
        <v>0</v>
      </c>
      <c r="U83" s="380">
        <v>0</v>
      </c>
      <c r="V83" s="380">
        <v>0</v>
      </c>
      <c r="W83" s="380">
        <v>46841.599999999999</v>
      </c>
      <c r="X83" s="380">
        <v>21779.46</v>
      </c>
      <c r="Y83" s="380">
        <v>46841.599999999999</v>
      </c>
      <c r="Z83" s="380">
        <v>21582.73</v>
      </c>
      <c r="AA83" s="376" t="s">
        <v>593</v>
      </c>
      <c r="AB83" s="376" t="s">
        <v>594</v>
      </c>
      <c r="AC83" s="376" t="s">
        <v>595</v>
      </c>
      <c r="AD83" s="376" t="s">
        <v>324</v>
      </c>
      <c r="AE83" s="376" t="s">
        <v>295</v>
      </c>
      <c r="AF83" s="376" t="s">
        <v>301</v>
      </c>
      <c r="AG83" s="376" t="s">
        <v>178</v>
      </c>
      <c r="AH83" s="381">
        <v>22.52</v>
      </c>
      <c r="AI83" s="381">
        <v>23786.799999999999</v>
      </c>
      <c r="AJ83" s="376" t="s">
        <v>179</v>
      </c>
      <c r="AK83" s="376" t="s">
        <v>180</v>
      </c>
      <c r="AL83" s="376" t="s">
        <v>181</v>
      </c>
      <c r="AM83" s="376" t="s">
        <v>182</v>
      </c>
      <c r="AN83" s="376" t="s">
        <v>68</v>
      </c>
      <c r="AO83" s="379">
        <v>80</v>
      </c>
      <c r="AP83" s="385">
        <v>1</v>
      </c>
      <c r="AQ83" s="385">
        <v>1</v>
      </c>
      <c r="AR83" s="383" t="s">
        <v>183</v>
      </c>
      <c r="AS83" s="387">
        <f t="shared" si="71"/>
        <v>1</v>
      </c>
      <c r="AT83">
        <f t="shared" si="72"/>
        <v>1</v>
      </c>
      <c r="AU83" s="387">
        <f>IF(AT83=0,"",IF(AND(AT83=1,M83="F",SUMIF(C2:C1334,C83,AS2:AS1334)&lt;=1),SUMIF(C2:C1334,C83,AS2:AS1334),IF(AND(AT83=1,M83="F",SUMIF(C2:C1334,C83,AS2:AS1334)&gt;1),1,"")))</f>
        <v>1</v>
      </c>
      <c r="AV83" s="387" t="str">
        <f>IF(AT83=0,"",IF(AND(AT83=3,M83="F",SUMIF(C2:C1334,C83,AS2:AS1334)&lt;=1),SUMIF(C2:C1334,C83,AS2:AS1334),IF(AND(AT83=3,M83="F",SUMIF(C2:C1334,C83,AS2:AS1334)&gt;1),1,"")))</f>
        <v/>
      </c>
      <c r="AW83" s="387">
        <f>SUMIF(C2:C1334,C83,O2:O1334)</f>
        <v>3</v>
      </c>
      <c r="AX83" s="387">
        <f>IF(AND(M83="F",AS83&lt;&gt;0),SUMIF(C2:C1334,C83,W2:W1334),0)</f>
        <v>46841.599999999999</v>
      </c>
      <c r="AY83" s="387">
        <f t="shared" si="73"/>
        <v>46841.599999999999</v>
      </c>
      <c r="AZ83" s="387" t="str">
        <f t="shared" si="74"/>
        <v/>
      </c>
      <c r="BA83" s="387">
        <f t="shared" si="75"/>
        <v>0</v>
      </c>
      <c r="BB83" s="387">
        <f t="shared" si="44"/>
        <v>11650</v>
      </c>
      <c r="BC83" s="387">
        <f t="shared" si="45"/>
        <v>0</v>
      </c>
      <c r="BD83" s="387">
        <f t="shared" si="46"/>
        <v>2904.1792</v>
      </c>
      <c r="BE83" s="387">
        <f t="shared" si="47"/>
        <v>679.20320000000004</v>
      </c>
      <c r="BF83" s="387">
        <f t="shared" si="48"/>
        <v>5592.8870400000005</v>
      </c>
      <c r="BG83" s="387">
        <f t="shared" si="49"/>
        <v>337.727936</v>
      </c>
      <c r="BH83" s="387">
        <f t="shared" si="50"/>
        <v>229.52383999999998</v>
      </c>
      <c r="BI83" s="387">
        <f t="shared" si="51"/>
        <v>259.26825600000001</v>
      </c>
      <c r="BJ83" s="387">
        <f t="shared" si="52"/>
        <v>126.47232</v>
      </c>
      <c r="BK83" s="387">
        <f t="shared" si="53"/>
        <v>0</v>
      </c>
      <c r="BL83" s="387">
        <f t="shared" si="76"/>
        <v>10129.261791999999</v>
      </c>
      <c r="BM83" s="387">
        <f t="shared" si="77"/>
        <v>0</v>
      </c>
      <c r="BN83" s="387">
        <f t="shared" si="54"/>
        <v>11650</v>
      </c>
      <c r="BO83" s="387">
        <f t="shared" si="55"/>
        <v>0</v>
      </c>
      <c r="BP83" s="387">
        <f t="shared" si="56"/>
        <v>2904.1792</v>
      </c>
      <c r="BQ83" s="387">
        <f t="shared" si="57"/>
        <v>679.20320000000004</v>
      </c>
      <c r="BR83" s="387">
        <f t="shared" si="58"/>
        <v>5592.8870400000005</v>
      </c>
      <c r="BS83" s="387">
        <f t="shared" si="59"/>
        <v>337.727936</v>
      </c>
      <c r="BT83" s="387">
        <f t="shared" si="60"/>
        <v>0</v>
      </c>
      <c r="BU83" s="387">
        <f t="shared" si="61"/>
        <v>259.26825600000001</v>
      </c>
      <c r="BV83" s="387">
        <f t="shared" si="62"/>
        <v>159.26143999999999</v>
      </c>
      <c r="BW83" s="387">
        <f t="shared" si="63"/>
        <v>0</v>
      </c>
      <c r="BX83" s="387">
        <f t="shared" si="78"/>
        <v>9932.527071999999</v>
      </c>
      <c r="BY83" s="387">
        <f t="shared" si="79"/>
        <v>0</v>
      </c>
      <c r="BZ83" s="387">
        <f t="shared" si="80"/>
        <v>0</v>
      </c>
      <c r="CA83" s="387">
        <f t="shared" si="81"/>
        <v>0</v>
      </c>
      <c r="CB83" s="387">
        <f t="shared" si="82"/>
        <v>0</v>
      </c>
      <c r="CC83" s="387">
        <f t="shared" si="64"/>
        <v>0</v>
      </c>
      <c r="CD83" s="387">
        <f t="shared" si="65"/>
        <v>0</v>
      </c>
      <c r="CE83" s="387">
        <f t="shared" si="66"/>
        <v>0</v>
      </c>
      <c r="CF83" s="387">
        <f t="shared" si="67"/>
        <v>-229.52383999999998</v>
      </c>
      <c r="CG83" s="387">
        <f t="shared" si="68"/>
        <v>0</v>
      </c>
      <c r="CH83" s="387">
        <f t="shared" si="69"/>
        <v>32.789119999999983</v>
      </c>
      <c r="CI83" s="387">
        <f t="shared" si="70"/>
        <v>0</v>
      </c>
      <c r="CJ83" s="387">
        <f t="shared" si="83"/>
        <v>-196.73471999999998</v>
      </c>
      <c r="CK83" s="387" t="str">
        <f t="shared" si="84"/>
        <v/>
      </c>
      <c r="CL83" s="387" t="str">
        <f t="shared" si="85"/>
        <v/>
      </c>
      <c r="CM83" s="387" t="str">
        <f t="shared" si="86"/>
        <v/>
      </c>
      <c r="CN83" s="387" t="str">
        <f t="shared" si="87"/>
        <v>0348-31</v>
      </c>
    </row>
    <row r="84" spans="1:92" ht="15.75" thickBot="1" x14ac:dyDescent="0.3">
      <c r="A84" s="376" t="s">
        <v>161</v>
      </c>
      <c r="B84" s="376" t="s">
        <v>162</v>
      </c>
      <c r="C84" s="376" t="s">
        <v>199</v>
      </c>
      <c r="D84" s="376" t="s">
        <v>164</v>
      </c>
      <c r="E84" s="376" t="s">
        <v>224</v>
      </c>
      <c r="F84" s="382" t="s">
        <v>225</v>
      </c>
      <c r="G84" s="376" t="s">
        <v>167</v>
      </c>
      <c r="H84" s="378"/>
      <c r="I84" s="378"/>
      <c r="J84" s="376" t="s">
        <v>168</v>
      </c>
      <c r="K84" s="376" t="s">
        <v>169</v>
      </c>
      <c r="L84" s="376" t="s">
        <v>170</v>
      </c>
      <c r="M84" s="376" t="s">
        <v>171</v>
      </c>
      <c r="N84" s="376" t="s">
        <v>172</v>
      </c>
      <c r="O84" s="379">
        <v>1</v>
      </c>
      <c r="P84" s="385">
        <v>0.35</v>
      </c>
      <c r="Q84" s="385">
        <v>0.35</v>
      </c>
      <c r="R84" s="380">
        <v>80</v>
      </c>
      <c r="S84" s="385">
        <v>0.35</v>
      </c>
      <c r="T84" s="380">
        <v>0</v>
      </c>
      <c r="U84" s="380">
        <v>0</v>
      </c>
      <c r="V84" s="380">
        <v>0</v>
      </c>
      <c r="W84" s="380">
        <v>22713.599999999999</v>
      </c>
      <c r="X84" s="380">
        <v>8989.2999999999993</v>
      </c>
      <c r="Y84" s="380">
        <v>22713.599999999999</v>
      </c>
      <c r="Z84" s="380">
        <v>8893.91</v>
      </c>
      <c r="AA84" s="376" t="s">
        <v>200</v>
      </c>
      <c r="AB84" s="376" t="s">
        <v>201</v>
      </c>
      <c r="AC84" s="376" t="s">
        <v>202</v>
      </c>
      <c r="AD84" s="376" t="s">
        <v>170</v>
      </c>
      <c r="AE84" s="376" t="s">
        <v>169</v>
      </c>
      <c r="AF84" s="376" t="s">
        <v>177</v>
      </c>
      <c r="AG84" s="376" t="s">
        <v>178</v>
      </c>
      <c r="AH84" s="381">
        <v>31.2</v>
      </c>
      <c r="AI84" s="381">
        <v>36521.800000000003</v>
      </c>
      <c r="AJ84" s="376" t="s">
        <v>179</v>
      </c>
      <c r="AK84" s="376" t="s">
        <v>180</v>
      </c>
      <c r="AL84" s="376" t="s">
        <v>181</v>
      </c>
      <c r="AM84" s="376" t="s">
        <v>182</v>
      </c>
      <c r="AN84" s="376" t="s">
        <v>68</v>
      </c>
      <c r="AO84" s="379">
        <v>80</v>
      </c>
      <c r="AP84" s="385">
        <v>1</v>
      </c>
      <c r="AQ84" s="385">
        <v>0.35</v>
      </c>
      <c r="AR84" s="383" t="s">
        <v>183</v>
      </c>
      <c r="AS84" s="387">
        <f t="shared" si="71"/>
        <v>0.35</v>
      </c>
      <c r="AT84">
        <f t="shared" si="72"/>
        <v>1</v>
      </c>
      <c r="AU84" s="387">
        <f>IF(AT84=0,"",IF(AND(AT84=1,M84="F",SUMIF(C2:C1334,C84,AS2:AS1334)&lt;=1),SUMIF(C2:C1334,C84,AS2:AS1334),IF(AND(AT84=1,M84="F",SUMIF(C2:C1334,C84,AS2:AS1334)&gt;1),1,"")))</f>
        <v>1</v>
      </c>
      <c r="AV84" s="387" t="str">
        <f>IF(AT84=0,"",IF(AND(AT84=3,M84="F",SUMIF(C2:C1334,C84,AS2:AS1334)&lt;=1),SUMIF(C2:C1334,C84,AS2:AS1334),IF(AND(AT84=3,M84="F",SUMIF(C2:C1334,C84,AS2:AS1334)&gt;1),1,"")))</f>
        <v/>
      </c>
      <c r="AW84" s="387">
        <f>SUMIF(C2:C1334,C84,O2:O1334)</f>
        <v>4</v>
      </c>
      <c r="AX84" s="387">
        <f>IF(AND(M84="F",AS84&lt;&gt;0),SUMIF(C2:C1334,C84,W2:W1334),0)</f>
        <v>64896</v>
      </c>
      <c r="AY84" s="387">
        <f t="shared" si="73"/>
        <v>22713.599999999999</v>
      </c>
      <c r="AZ84" s="387" t="str">
        <f t="shared" si="74"/>
        <v/>
      </c>
      <c r="BA84" s="387">
        <f t="shared" si="75"/>
        <v>0</v>
      </c>
      <c r="BB84" s="387">
        <f t="shared" si="44"/>
        <v>4077.4999999999995</v>
      </c>
      <c r="BC84" s="387">
        <f t="shared" si="45"/>
        <v>0</v>
      </c>
      <c r="BD84" s="387">
        <f t="shared" si="46"/>
        <v>1408.2431999999999</v>
      </c>
      <c r="BE84" s="387">
        <f t="shared" si="47"/>
        <v>329.34719999999999</v>
      </c>
      <c r="BF84" s="387">
        <f t="shared" si="48"/>
        <v>2712.0038399999999</v>
      </c>
      <c r="BG84" s="387">
        <f t="shared" si="49"/>
        <v>163.76505599999999</v>
      </c>
      <c r="BH84" s="387">
        <f t="shared" si="50"/>
        <v>111.29663999999998</v>
      </c>
      <c r="BI84" s="387">
        <f t="shared" si="51"/>
        <v>125.719776</v>
      </c>
      <c r="BJ84" s="387">
        <f t="shared" si="52"/>
        <v>61.326720000000002</v>
      </c>
      <c r="BK84" s="387">
        <f t="shared" si="53"/>
        <v>0</v>
      </c>
      <c r="BL84" s="387">
        <f t="shared" si="76"/>
        <v>4911.7024319999991</v>
      </c>
      <c r="BM84" s="387">
        <f t="shared" si="77"/>
        <v>0</v>
      </c>
      <c r="BN84" s="387">
        <f t="shared" si="54"/>
        <v>4077.4999999999995</v>
      </c>
      <c r="BO84" s="387">
        <f t="shared" si="55"/>
        <v>0</v>
      </c>
      <c r="BP84" s="387">
        <f t="shared" si="56"/>
        <v>1408.2431999999999</v>
      </c>
      <c r="BQ84" s="387">
        <f t="shared" si="57"/>
        <v>329.34719999999999</v>
      </c>
      <c r="BR84" s="387">
        <f t="shared" si="58"/>
        <v>2712.0038399999999</v>
      </c>
      <c r="BS84" s="387">
        <f t="shared" si="59"/>
        <v>163.76505599999999</v>
      </c>
      <c r="BT84" s="387">
        <f t="shared" si="60"/>
        <v>0</v>
      </c>
      <c r="BU84" s="387">
        <f t="shared" si="61"/>
        <v>125.719776</v>
      </c>
      <c r="BV84" s="387">
        <f t="shared" si="62"/>
        <v>77.22623999999999</v>
      </c>
      <c r="BW84" s="387">
        <f t="shared" si="63"/>
        <v>0</v>
      </c>
      <c r="BX84" s="387">
        <f t="shared" si="78"/>
        <v>4816.3053119999995</v>
      </c>
      <c r="BY84" s="387">
        <f t="shared" si="79"/>
        <v>0</v>
      </c>
      <c r="BZ84" s="387">
        <f t="shared" si="80"/>
        <v>0</v>
      </c>
      <c r="CA84" s="387">
        <f t="shared" si="81"/>
        <v>0</v>
      </c>
      <c r="CB84" s="387">
        <f t="shared" si="82"/>
        <v>0</v>
      </c>
      <c r="CC84" s="387">
        <f t="shared" si="64"/>
        <v>0</v>
      </c>
      <c r="CD84" s="387">
        <f t="shared" si="65"/>
        <v>0</v>
      </c>
      <c r="CE84" s="387">
        <f t="shared" si="66"/>
        <v>0</v>
      </c>
      <c r="CF84" s="387">
        <f t="shared" si="67"/>
        <v>-111.29663999999998</v>
      </c>
      <c r="CG84" s="387">
        <f t="shared" si="68"/>
        <v>0</v>
      </c>
      <c r="CH84" s="387">
        <f t="shared" si="69"/>
        <v>15.899519999999992</v>
      </c>
      <c r="CI84" s="387">
        <f t="shared" si="70"/>
        <v>0</v>
      </c>
      <c r="CJ84" s="387">
        <f t="shared" si="83"/>
        <v>-95.397119999999987</v>
      </c>
      <c r="CK84" s="387" t="str">
        <f t="shared" si="84"/>
        <v/>
      </c>
      <c r="CL84" s="387" t="str">
        <f t="shared" si="85"/>
        <v/>
      </c>
      <c r="CM84" s="387" t="str">
        <f t="shared" si="86"/>
        <v/>
      </c>
      <c r="CN84" s="387" t="str">
        <f t="shared" si="87"/>
        <v>0348-31</v>
      </c>
    </row>
    <row r="85" spans="1:92" ht="15.75" thickBot="1" x14ac:dyDescent="0.3">
      <c r="A85" s="376" t="s">
        <v>161</v>
      </c>
      <c r="B85" s="376" t="s">
        <v>162</v>
      </c>
      <c r="C85" s="376" t="s">
        <v>596</v>
      </c>
      <c r="D85" s="376" t="s">
        <v>274</v>
      </c>
      <c r="E85" s="376" t="s">
        <v>224</v>
      </c>
      <c r="F85" s="382" t="s">
        <v>225</v>
      </c>
      <c r="G85" s="376" t="s">
        <v>167</v>
      </c>
      <c r="H85" s="378"/>
      <c r="I85" s="378"/>
      <c r="J85" s="376" t="s">
        <v>215</v>
      </c>
      <c r="K85" s="376" t="s">
        <v>275</v>
      </c>
      <c r="L85" s="376" t="s">
        <v>178</v>
      </c>
      <c r="M85" s="376" t="s">
        <v>272</v>
      </c>
      <c r="N85" s="376" t="s">
        <v>172</v>
      </c>
      <c r="O85" s="379">
        <v>0</v>
      </c>
      <c r="P85" s="385">
        <v>1</v>
      </c>
      <c r="Q85" s="385">
        <v>1</v>
      </c>
      <c r="R85" s="380">
        <v>80</v>
      </c>
      <c r="S85" s="385">
        <v>1</v>
      </c>
      <c r="T85" s="380">
        <v>0</v>
      </c>
      <c r="U85" s="380">
        <v>0</v>
      </c>
      <c r="V85" s="380">
        <v>0</v>
      </c>
      <c r="W85" s="380">
        <v>32094.400000000001</v>
      </c>
      <c r="X85" s="380">
        <v>14057.34</v>
      </c>
      <c r="Y85" s="380">
        <v>32094.400000000001</v>
      </c>
      <c r="Z85" s="380">
        <v>13896.87</v>
      </c>
      <c r="AA85" s="378"/>
      <c r="AB85" s="376" t="s">
        <v>45</v>
      </c>
      <c r="AC85" s="376" t="s">
        <v>45</v>
      </c>
      <c r="AD85" s="378"/>
      <c r="AE85" s="378"/>
      <c r="AF85" s="378"/>
      <c r="AG85" s="378"/>
      <c r="AH85" s="379">
        <v>0</v>
      </c>
      <c r="AI85" s="379">
        <v>0</v>
      </c>
      <c r="AJ85" s="378"/>
      <c r="AK85" s="378"/>
      <c r="AL85" s="376" t="s">
        <v>181</v>
      </c>
      <c r="AM85" s="378"/>
      <c r="AN85" s="378"/>
      <c r="AO85" s="379">
        <v>0</v>
      </c>
      <c r="AP85" s="385">
        <v>0</v>
      </c>
      <c r="AQ85" s="385">
        <v>0</v>
      </c>
      <c r="AR85" s="384"/>
      <c r="AS85" s="387">
        <f t="shared" si="71"/>
        <v>0</v>
      </c>
      <c r="AT85">
        <f t="shared" si="72"/>
        <v>0</v>
      </c>
      <c r="AU85" s="387" t="str">
        <f>IF(AT85=0,"",IF(AND(AT85=1,M85="F",SUMIF(C2:C1334,C85,AS2:AS1334)&lt;=1),SUMIF(C2:C1334,C85,AS2:AS1334),IF(AND(AT85=1,M85="F",SUMIF(C2:C1334,C85,AS2:AS1334)&gt;1),1,"")))</f>
        <v/>
      </c>
      <c r="AV85" s="387" t="str">
        <f>IF(AT85=0,"",IF(AND(AT85=3,M85="F",SUMIF(C2:C1334,C85,AS2:AS1334)&lt;=1),SUMIF(C2:C1334,C85,AS2:AS1334),IF(AND(AT85=3,M85="F",SUMIF(C2:C1334,C85,AS2:AS1334)&gt;1),1,"")))</f>
        <v/>
      </c>
      <c r="AW85" s="387">
        <f>SUMIF(C2:C1334,C85,O2:O1334)</f>
        <v>0</v>
      </c>
      <c r="AX85" s="387">
        <f>IF(AND(M85="F",AS85&lt;&gt;0),SUMIF(C2:C1334,C85,W2:W1334),0)</f>
        <v>0</v>
      </c>
      <c r="AY85" s="387" t="str">
        <f t="shared" si="73"/>
        <v/>
      </c>
      <c r="AZ85" s="387" t="str">
        <f t="shared" si="74"/>
        <v/>
      </c>
      <c r="BA85" s="387">
        <f t="shared" si="75"/>
        <v>0</v>
      </c>
      <c r="BB85" s="387">
        <f t="shared" si="44"/>
        <v>0</v>
      </c>
      <c r="BC85" s="387">
        <f t="shared" si="45"/>
        <v>0</v>
      </c>
      <c r="BD85" s="387">
        <f t="shared" si="46"/>
        <v>0</v>
      </c>
      <c r="BE85" s="387">
        <f t="shared" si="47"/>
        <v>0</v>
      </c>
      <c r="BF85" s="387">
        <f t="shared" si="48"/>
        <v>0</v>
      </c>
      <c r="BG85" s="387">
        <f t="shared" si="49"/>
        <v>0</v>
      </c>
      <c r="BH85" s="387">
        <f t="shared" si="50"/>
        <v>0</v>
      </c>
      <c r="BI85" s="387">
        <f t="shared" si="51"/>
        <v>0</v>
      </c>
      <c r="BJ85" s="387">
        <f t="shared" si="52"/>
        <v>0</v>
      </c>
      <c r="BK85" s="387">
        <f t="shared" si="53"/>
        <v>0</v>
      </c>
      <c r="BL85" s="387">
        <f t="shared" si="76"/>
        <v>0</v>
      </c>
      <c r="BM85" s="387">
        <f t="shared" si="77"/>
        <v>0</v>
      </c>
      <c r="BN85" s="387">
        <f t="shared" si="54"/>
        <v>0</v>
      </c>
      <c r="BO85" s="387">
        <f t="shared" si="55"/>
        <v>0</v>
      </c>
      <c r="BP85" s="387">
        <f t="shared" si="56"/>
        <v>0</v>
      </c>
      <c r="BQ85" s="387">
        <f t="shared" si="57"/>
        <v>0</v>
      </c>
      <c r="BR85" s="387">
        <f t="shared" si="58"/>
        <v>0</v>
      </c>
      <c r="BS85" s="387">
        <f t="shared" si="59"/>
        <v>0</v>
      </c>
      <c r="BT85" s="387">
        <f t="shared" si="60"/>
        <v>0</v>
      </c>
      <c r="BU85" s="387">
        <f t="shared" si="61"/>
        <v>0</v>
      </c>
      <c r="BV85" s="387">
        <f t="shared" si="62"/>
        <v>0</v>
      </c>
      <c r="BW85" s="387">
        <f t="shared" si="63"/>
        <v>0</v>
      </c>
      <c r="BX85" s="387">
        <f t="shared" si="78"/>
        <v>0</v>
      </c>
      <c r="BY85" s="387">
        <f t="shared" si="79"/>
        <v>0</v>
      </c>
      <c r="BZ85" s="387">
        <f t="shared" si="80"/>
        <v>0</v>
      </c>
      <c r="CA85" s="387">
        <f t="shared" si="81"/>
        <v>0</v>
      </c>
      <c r="CB85" s="387">
        <f t="shared" si="82"/>
        <v>0</v>
      </c>
      <c r="CC85" s="387">
        <f t="shared" si="64"/>
        <v>0</v>
      </c>
      <c r="CD85" s="387">
        <f t="shared" si="65"/>
        <v>0</v>
      </c>
      <c r="CE85" s="387">
        <f t="shared" si="66"/>
        <v>0</v>
      </c>
      <c r="CF85" s="387">
        <f t="shared" si="67"/>
        <v>0</v>
      </c>
      <c r="CG85" s="387">
        <f t="shared" si="68"/>
        <v>0</v>
      </c>
      <c r="CH85" s="387">
        <f t="shared" si="69"/>
        <v>0</v>
      </c>
      <c r="CI85" s="387">
        <f t="shared" si="70"/>
        <v>0</v>
      </c>
      <c r="CJ85" s="387">
        <f t="shared" si="83"/>
        <v>0</v>
      </c>
      <c r="CK85" s="387" t="str">
        <f t="shared" si="84"/>
        <v/>
      </c>
      <c r="CL85" s="387" t="str">
        <f t="shared" si="85"/>
        <v/>
      </c>
      <c r="CM85" s="387" t="str">
        <f t="shared" si="86"/>
        <v/>
      </c>
      <c r="CN85" s="387" t="str">
        <f t="shared" si="87"/>
        <v>0348-31</v>
      </c>
    </row>
    <row r="86" spans="1:92" ht="15.75" thickBot="1" x14ac:dyDescent="0.3">
      <c r="A86" s="376" t="s">
        <v>161</v>
      </c>
      <c r="B86" s="376" t="s">
        <v>162</v>
      </c>
      <c r="C86" s="376" t="s">
        <v>597</v>
      </c>
      <c r="D86" s="376" t="s">
        <v>329</v>
      </c>
      <c r="E86" s="376" t="s">
        <v>224</v>
      </c>
      <c r="F86" s="382" t="s">
        <v>225</v>
      </c>
      <c r="G86" s="376" t="s">
        <v>167</v>
      </c>
      <c r="H86" s="378"/>
      <c r="I86" s="378"/>
      <c r="J86" s="376" t="s">
        <v>215</v>
      </c>
      <c r="K86" s="376" t="s">
        <v>330</v>
      </c>
      <c r="L86" s="376" t="s">
        <v>210</v>
      </c>
      <c r="M86" s="376" t="s">
        <v>171</v>
      </c>
      <c r="N86" s="376" t="s">
        <v>172</v>
      </c>
      <c r="O86" s="379">
        <v>1</v>
      </c>
      <c r="P86" s="385">
        <v>1</v>
      </c>
      <c r="Q86" s="385">
        <v>1</v>
      </c>
      <c r="R86" s="380">
        <v>80</v>
      </c>
      <c r="S86" s="385">
        <v>1</v>
      </c>
      <c r="T86" s="380">
        <v>0</v>
      </c>
      <c r="U86" s="380">
        <v>0</v>
      </c>
      <c r="V86" s="380">
        <v>0</v>
      </c>
      <c r="W86" s="380">
        <v>62483.199999999997</v>
      </c>
      <c r="X86" s="380">
        <v>25161.95</v>
      </c>
      <c r="Y86" s="380">
        <v>62483.199999999997</v>
      </c>
      <c r="Z86" s="380">
        <v>24899.53</v>
      </c>
      <c r="AA86" s="376" t="s">
        <v>598</v>
      </c>
      <c r="AB86" s="376" t="s">
        <v>599</v>
      </c>
      <c r="AC86" s="376" t="s">
        <v>600</v>
      </c>
      <c r="AD86" s="376" t="s">
        <v>601</v>
      </c>
      <c r="AE86" s="376" t="s">
        <v>330</v>
      </c>
      <c r="AF86" s="376" t="s">
        <v>245</v>
      </c>
      <c r="AG86" s="376" t="s">
        <v>178</v>
      </c>
      <c r="AH86" s="381">
        <v>30.04</v>
      </c>
      <c r="AI86" s="381">
        <v>6680.7</v>
      </c>
      <c r="AJ86" s="376" t="s">
        <v>179</v>
      </c>
      <c r="AK86" s="376" t="s">
        <v>180</v>
      </c>
      <c r="AL86" s="376" t="s">
        <v>181</v>
      </c>
      <c r="AM86" s="376" t="s">
        <v>182</v>
      </c>
      <c r="AN86" s="376" t="s">
        <v>68</v>
      </c>
      <c r="AO86" s="379">
        <v>80</v>
      </c>
      <c r="AP86" s="385">
        <v>1</v>
      </c>
      <c r="AQ86" s="385">
        <v>1</v>
      </c>
      <c r="AR86" s="383" t="s">
        <v>183</v>
      </c>
      <c r="AS86" s="387">
        <f t="shared" si="71"/>
        <v>1</v>
      </c>
      <c r="AT86">
        <f t="shared" si="72"/>
        <v>1</v>
      </c>
      <c r="AU86" s="387">
        <f>IF(AT86=0,"",IF(AND(AT86=1,M86="F",SUMIF(C2:C1334,C86,AS2:AS1334)&lt;=1),SUMIF(C2:C1334,C86,AS2:AS1334),IF(AND(AT86=1,M86="F",SUMIF(C2:C1334,C86,AS2:AS1334)&gt;1),1,"")))</f>
        <v>1</v>
      </c>
      <c r="AV86" s="387" t="str">
        <f>IF(AT86=0,"",IF(AND(AT86=3,M86="F",SUMIF(C2:C1334,C86,AS2:AS1334)&lt;=1),SUMIF(C2:C1334,C86,AS2:AS1334),IF(AND(AT86=3,M86="F",SUMIF(C2:C1334,C86,AS2:AS1334)&gt;1),1,"")))</f>
        <v/>
      </c>
      <c r="AW86" s="387">
        <f>SUMIF(C2:C1334,C86,O2:O1334)</f>
        <v>2</v>
      </c>
      <c r="AX86" s="387">
        <f>IF(AND(M86="F",AS86&lt;&gt;0),SUMIF(C2:C1334,C86,W2:W1334),0)</f>
        <v>62483.199999999997</v>
      </c>
      <c r="AY86" s="387">
        <f t="shared" si="73"/>
        <v>62483.199999999997</v>
      </c>
      <c r="AZ86" s="387" t="str">
        <f t="shared" si="74"/>
        <v/>
      </c>
      <c r="BA86" s="387">
        <f t="shared" si="75"/>
        <v>0</v>
      </c>
      <c r="BB86" s="387">
        <f t="shared" si="44"/>
        <v>11650</v>
      </c>
      <c r="BC86" s="387">
        <f t="shared" si="45"/>
        <v>0</v>
      </c>
      <c r="BD86" s="387">
        <f t="shared" si="46"/>
        <v>3873.9584</v>
      </c>
      <c r="BE86" s="387">
        <f t="shared" si="47"/>
        <v>906.00639999999999</v>
      </c>
      <c r="BF86" s="387">
        <f t="shared" si="48"/>
        <v>7460.4940800000004</v>
      </c>
      <c r="BG86" s="387">
        <f t="shared" si="49"/>
        <v>450.503872</v>
      </c>
      <c r="BH86" s="387">
        <f t="shared" si="50"/>
        <v>306.16767999999996</v>
      </c>
      <c r="BI86" s="387">
        <f t="shared" si="51"/>
        <v>345.84451200000001</v>
      </c>
      <c r="BJ86" s="387">
        <f t="shared" si="52"/>
        <v>168.70464000000001</v>
      </c>
      <c r="BK86" s="387">
        <f t="shared" si="53"/>
        <v>0</v>
      </c>
      <c r="BL86" s="387">
        <f t="shared" si="76"/>
        <v>13511.679584</v>
      </c>
      <c r="BM86" s="387">
        <f t="shared" si="77"/>
        <v>0</v>
      </c>
      <c r="BN86" s="387">
        <f t="shared" si="54"/>
        <v>11650</v>
      </c>
      <c r="BO86" s="387">
        <f t="shared" si="55"/>
        <v>0</v>
      </c>
      <c r="BP86" s="387">
        <f t="shared" si="56"/>
        <v>3873.9584</v>
      </c>
      <c r="BQ86" s="387">
        <f t="shared" si="57"/>
        <v>906.00639999999999</v>
      </c>
      <c r="BR86" s="387">
        <f t="shared" si="58"/>
        <v>7460.4940800000004</v>
      </c>
      <c r="BS86" s="387">
        <f t="shared" si="59"/>
        <v>450.503872</v>
      </c>
      <c r="BT86" s="387">
        <f t="shared" si="60"/>
        <v>0</v>
      </c>
      <c r="BU86" s="387">
        <f t="shared" si="61"/>
        <v>345.84451200000001</v>
      </c>
      <c r="BV86" s="387">
        <f t="shared" si="62"/>
        <v>212.44287999999997</v>
      </c>
      <c r="BW86" s="387">
        <f t="shared" si="63"/>
        <v>0</v>
      </c>
      <c r="BX86" s="387">
        <f t="shared" si="78"/>
        <v>13249.250144</v>
      </c>
      <c r="BY86" s="387">
        <f t="shared" si="79"/>
        <v>0</v>
      </c>
      <c r="BZ86" s="387">
        <f t="shared" si="80"/>
        <v>0</v>
      </c>
      <c r="CA86" s="387">
        <f t="shared" si="81"/>
        <v>0</v>
      </c>
      <c r="CB86" s="387">
        <f t="shared" si="82"/>
        <v>0</v>
      </c>
      <c r="CC86" s="387">
        <f t="shared" si="64"/>
        <v>0</v>
      </c>
      <c r="CD86" s="387">
        <f t="shared" si="65"/>
        <v>0</v>
      </c>
      <c r="CE86" s="387">
        <f t="shared" si="66"/>
        <v>0</v>
      </c>
      <c r="CF86" s="387">
        <f t="shared" si="67"/>
        <v>-306.16767999999996</v>
      </c>
      <c r="CG86" s="387">
        <f t="shared" si="68"/>
        <v>0</v>
      </c>
      <c r="CH86" s="387">
        <f t="shared" si="69"/>
        <v>43.738239999999976</v>
      </c>
      <c r="CI86" s="387">
        <f t="shared" si="70"/>
        <v>0</v>
      </c>
      <c r="CJ86" s="387">
        <f t="shared" si="83"/>
        <v>-262.42944</v>
      </c>
      <c r="CK86" s="387" t="str">
        <f t="shared" si="84"/>
        <v/>
      </c>
      <c r="CL86" s="387" t="str">
        <f t="shared" si="85"/>
        <v/>
      </c>
      <c r="CM86" s="387" t="str">
        <f t="shared" si="86"/>
        <v/>
      </c>
      <c r="CN86" s="387" t="str">
        <f t="shared" si="87"/>
        <v>0348-31</v>
      </c>
    </row>
    <row r="87" spans="1:92" ht="15.75" thickBot="1" x14ac:dyDescent="0.3">
      <c r="A87" s="376" t="s">
        <v>161</v>
      </c>
      <c r="B87" s="376" t="s">
        <v>162</v>
      </c>
      <c r="C87" s="376" t="s">
        <v>602</v>
      </c>
      <c r="D87" s="376" t="s">
        <v>238</v>
      </c>
      <c r="E87" s="376" t="s">
        <v>224</v>
      </c>
      <c r="F87" s="382" t="s">
        <v>225</v>
      </c>
      <c r="G87" s="376" t="s">
        <v>167</v>
      </c>
      <c r="H87" s="378"/>
      <c r="I87" s="378"/>
      <c r="J87" s="376" t="s">
        <v>215</v>
      </c>
      <c r="K87" s="376" t="s">
        <v>240</v>
      </c>
      <c r="L87" s="376" t="s">
        <v>210</v>
      </c>
      <c r="M87" s="376" t="s">
        <v>171</v>
      </c>
      <c r="N87" s="376" t="s">
        <v>172</v>
      </c>
      <c r="O87" s="379">
        <v>1</v>
      </c>
      <c r="P87" s="385">
        <v>1</v>
      </c>
      <c r="Q87" s="385">
        <v>1</v>
      </c>
      <c r="R87" s="380">
        <v>80</v>
      </c>
      <c r="S87" s="385">
        <v>1</v>
      </c>
      <c r="T87" s="380">
        <v>0</v>
      </c>
      <c r="U87" s="380">
        <v>0</v>
      </c>
      <c r="V87" s="380">
        <v>0</v>
      </c>
      <c r="W87" s="380">
        <v>70324.800000000003</v>
      </c>
      <c r="X87" s="380">
        <v>26857.7</v>
      </c>
      <c r="Y87" s="380">
        <v>70324.800000000003</v>
      </c>
      <c r="Z87" s="380">
        <v>26562.34</v>
      </c>
      <c r="AA87" s="376" t="s">
        <v>603</v>
      </c>
      <c r="AB87" s="376" t="s">
        <v>604</v>
      </c>
      <c r="AC87" s="376" t="s">
        <v>605</v>
      </c>
      <c r="AD87" s="376" t="s">
        <v>606</v>
      </c>
      <c r="AE87" s="376" t="s">
        <v>240</v>
      </c>
      <c r="AF87" s="376" t="s">
        <v>245</v>
      </c>
      <c r="AG87" s="376" t="s">
        <v>178</v>
      </c>
      <c r="AH87" s="381">
        <v>33.81</v>
      </c>
      <c r="AI87" s="381">
        <v>19060.599999999999</v>
      </c>
      <c r="AJ87" s="376" t="s">
        <v>179</v>
      </c>
      <c r="AK87" s="376" t="s">
        <v>180</v>
      </c>
      <c r="AL87" s="376" t="s">
        <v>181</v>
      </c>
      <c r="AM87" s="376" t="s">
        <v>182</v>
      </c>
      <c r="AN87" s="376" t="s">
        <v>68</v>
      </c>
      <c r="AO87" s="379">
        <v>80</v>
      </c>
      <c r="AP87" s="385">
        <v>1</v>
      </c>
      <c r="AQ87" s="385">
        <v>1</v>
      </c>
      <c r="AR87" s="383" t="s">
        <v>183</v>
      </c>
      <c r="AS87" s="387">
        <f t="shared" si="71"/>
        <v>1</v>
      </c>
      <c r="AT87">
        <f t="shared" si="72"/>
        <v>1</v>
      </c>
      <c r="AU87" s="387">
        <f>IF(AT87=0,"",IF(AND(AT87=1,M87="F",SUMIF(C2:C1334,C87,AS2:AS1334)&lt;=1),SUMIF(C2:C1334,C87,AS2:AS1334),IF(AND(AT87=1,M87="F",SUMIF(C2:C1334,C87,AS2:AS1334)&gt;1),1,"")))</f>
        <v>1</v>
      </c>
      <c r="AV87" s="387" t="str">
        <f>IF(AT87=0,"",IF(AND(AT87=3,M87="F",SUMIF(C2:C1334,C87,AS2:AS1334)&lt;=1),SUMIF(C2:C1334,C87,AS2:AS1334),IF(AND(AT87=3,M87="F",SUMIF(C2:C1334,C87,AS2:AS1334)&gt;1),1,"")))</f>
        <v/>
      </c>
      <c r="AW87" s="387">
        <f>SUMIF(C2:C1334,C87,O2:O1334)</f>
        <v>2</v>
      </c>
      <c r="AX87" s="387">
        <f>IF(AND(M87="F",AS87&lt;&gt;0),SUMIF(C2:C1334,C87,W2:W1334),0)</f>
        <v>70324.800000000003</v>
      </c>
      <c r="AY87" s="387">
        <f t="shared" si="73"/>
        <v>70324.800000000003</v>
      </c>
      <c r="AZ87" s="387" t="str">
        <f t="shared" si="74"/>
        <v/>
      </c>
      <c r="BA87" s="387">
        <f t="shared" si="75"/>
        <v>0</v>
      </c>
      <c r="BB87" s="387">
        <f t="shared" si="44"/>
        <v>11650</v>
      </c>
      <c r="BC87" s="387">
        <f t="shared" si="45"/>
        <v>0</v>
      </c>
      <c r="BD87" s="387">
        <f t="shared" si="46"/>
        <v>4360.1376</v>
      </c>
      <c r="BE87" s="387">
        <f t="shared" si="47"/>
        <v>1019.7096000000001</v>
      </c>
      <c r="BF87" s="387">
        <f t="shared" si="48"/>
        <v>8396.7811200000015</v>
      </c>
      <c r="BG87" s="387">
        <f t="shared" si="49"/>
        <v>507.04180800000006</v>
      </c>
      <c r="BH87" s="387">
        <f t="shared" si="50"/>
        <v>344.59152</v>
      </c>
      <c r="BI87" s="387">
        <f t="shared" si="51"/>
        <v>389.24776800000001</v>
      </c>
      <c r="BJ87" s="387">
        <f t="shared" si="52"/>
        <v>189.87696000000003</v>
      </c>
      <c r="BK87" s="387">
        <f t="shared" si="53"/>
        <v>0</v>
      </c>
      <c r="BL87" s="387">
        <f t="shared" si="76"/>
        <v>15207.386376</v>
      </c>
      <c r="BM87" s="387">
        <f t="shared" si="77"/>
        <v>0</v>
      </c>
      <c r="BN87" s="387">
        <f t="shared" si="54"/>
        <v>11650</v>
      </c>
      <c r="BO87" s="387">
        <f t="shared" si="55"/>
        <v>0</v>
      </c>
      <c r="BP87" s="387">
        <f t="shared" si="56"/>
        <v>4360.1376</v>
      </c>
      <c r="BQ87" s="387">
        <f t="shared" si="57"/>
        <v>1019.7096000000001</v>
      </c>
      <c r="BR87" s="387">
        <f t="shared" si="58"/>
        <v>8396.7811200000015</v>
      </c>
      <c r="BS87" s="387">
        <f t="shared" si="59"/>
        <v>507.04180800000006</v>
      </c>
      <c r="BT87" s="387">
        <f t="shared" si="60"/>
        <v>0</v>
      </c>
      <c r="BU87" s="387">
        <f t="shared" si="61"/>
        <v>389.24776800000001</v>
      </c>
      <c r="BV87" s="387">
        <f t="shared" si="62"/>
        <v>239.10432</v>
      </c>
      <c r="BW87" s="387">
        <f t="shared" si="63"/>
        <v>0</v>
      </c>
      <c r="BX87" s="387">
        <f t="shared" si="78"/>
        <v>14912.022216000001</v>
      </c>
      <c r="BY87" s="387">
        <f t="shared" si="79"/>
        <v>0</v>
      </c>
      <c r="BZ87" s="387">
        <f t="shared" si="80"/>
        <v>0</v>
      </c>
      <c r="CA87" s="387">
        <f t="shared" si="81"/>
        <v>0</v>
      </c>
      <c r="CB87" s="387">
        <f t="shared" si="82"/>
        <v>0</v>
      </c>
      <c r="CC87" s="387">
        <f t="shared" si="64"/>
        <v>0</v>
      </c>
      <c r="CD87" s="387">
        <f t="shared" si="65"/>
        <v>0</v>
      </c>
      <c r="CE87" s="387">
        <f t="shared" si="66"/>
        <v>0</v>
      </c>
      <c r="CF87" s="387">
        <f t="shared" si="67"/>
        <v>-344.59152</v>
      </c>
      <c r="CG87" s="387">
        <f t="shared" si="68"/>
        <v>0</v>
      </c>
      <c r="CH87" s="387">
        <f t="shared" si="69"/>
        <v>49.227359999999976</v>
      </c>
      <c r="CI87" s="387">
        <f t="shared" si="70"/>
        <v>0</v>
      </c>
      <c r="CJ87" s="387">
        <f t="shared" si="83"/>
        <v>-295.36416000000003</v>
      </c>
      <c r="CK87" s="387" t="str">
        <f t="shared" si="84"/>
        <v/>
      </c>
      <c r="CL87" s="387" t="str">
        <f t="shared" si="85"/>
        <v/>
      </c>
      <c r="CM87" s="387" t="str">
        <f t="shared" si="86"/>
        <v/>
      </c>
      <c r="CN87" s="387" t="str">
        <f t="shared" si="87"/>
        <v>0348-31</v>
      </c>
    </row>
    <row r="88" spans="1:92" ht="15.75" thickBot="1" x14ac:dyDescent="0.3">
      <c r="A88" s="376" t="s">
        <v>161</v>
      </c>
      <c r="B88" s="376" t="s">
        <v>162</v>
      </c>
      <c r="C88" s="376" t="s">
        <v>607</v>
      </c>
      <c r="D88" s="376" t="s">
        <v>608</v>
      </c>
      <c r="E88" s="376" t="s">
        <v>224</v>
      </c>
      <c r="F88" s="382" t="s">
        <v>225</v>
      </c>
      <c r="G88" s="376" t="s">
        <v>167</v>
      </c>
      <c r="H88" s="378"/>
      <c r="I88" s="378"/>
      <c r="J88" s="376" t="s">
        <v>215</v>
      </c>
      <c r="K88" s="376" t="s">
        <v>609</v>
      </c>
      <c r="L88" s="376" t="s">
        <v>181</v>
      </c>
      <c r="M88" s="376" t="s">
        <v>171</v>
      </c>
      <c r="N88" s="376" t="s">
        <v>172</v>
      </c>
      <c r="O88" s="379">
        <v>1</v>
      </c>
      <c r="P88" s="385">
        <v>1</v>
      </c>
      <c r="Q88" s="385">
        <v>1</v>
      </c>
      <c r="R88" s="380">
        <v>80</v>
      </c>
      <c r="S88" s="385">
        <v>1</v>
      </c>
      <c r="T88" s="380">
        <v>0</v>
      </c>
      <c r="U88" s="380">
        <v>0</v>
      </c>
      <c r="V88" s="380">
        <v>0</v>
      </c>
      <c r="W88" s="380">
        <v>69555.199999999997</v>
      </c>
      <c r="X88" s="380">
        <v>26691.29</v>
      </c>
      <c r="Y88" s="380">
        <v>69555.199999999997</v>
      </c>
      <c r="Z88" s="380">
        <v>26399.16</v>
      </c>
      <c r="AA88" s="376" t="s">
        <v>610</v>
      </c>
      <c r="AB88" s="376" t="s">
        <v>611</v>
      </c>
      <c r="AC88" s="376" t="s">
        <v>612</v>
      </c>
      <c r="AD88" s="376" t="s">
        <v>252</v>
      </c>
      <c r="AE88" s="376" t="s">
        <v>609</v>
      </c>
      <c r="AF88" s="376" t="s">
        <v>211</v>
      </c>
      <c r="AG88" s="376" t="s">
        <v>178</v>
      </c>
      <c r="AH88" s="381">
        <v>33.44</v>
      </c>
      <c r="AI88" s="381">
        <v>2379.6999999999998</v>
      </c>
      <c r="AJ88" s="376" t="s">
        <v>179</v>
      </c>
      <c r="AK88" s="376" t="s">
        <v>180</v>
      </c>
      <c r="AL88" s="376" t="s">
        <v>181</v>
      </c>
      <c r="AM88" s="376" t="s">
        <v>182</v>
      </c>
      <c r="AN88" s="376" t="s">
        <v>68</v>
      </c>
      <c r="AO88" s="379">
        <v>80</v>
      </c>
      <c r="AP88" s="385">
        <v>1</v>
      </c>
      <c r="AQ88" s="385">
        <v>1</v>
      </c>
      <c r="AR88" s="383" t="s">
        <v>183</v>
      </c>
      <c r="AS88" s="387">
        <f t="shared" si="71"/>
        <v>1</v>
      </c>
      <c r="AT88">
        <f t="shared" si="72"/>
        <v>1</v>
      </c>
      <c r="AU88" s="387">
        <f>IF(AT88=0,"",IF(AND(AT88=1,M88="F",SUMIF(C2:C1334,C88,AS2:AS1334)&lt;=1),SUMIF(C2:C1334,C88,AS2:AS1334),IF(AND(AT88=1,M88="F",SUMIF(C2:C1334,C88,AS2:AS1334)&gt;1),1,"")))</f>
        <v>1</v>
      </c>
      <c r="AV88" s="387" t="str">
        <f>IF(AT88=0,"",IF(AND(AT88=3,M88="F",SUMIF(C2:C1334,C88,AS2:AS1334)&lt;=1),SUMIF(C2:C1334,C88,AS2:AS1334),IF(AND(AT88=3,M88="F",SUMIF(C2:C1334,C88,AS2:AS1334)&gt;1),1,"")))</f>
        <v/>
      </c>
      <c r="AW88" s="387">
        <f>SUMIF(C2:C1334,C88,O2:O1334)</f>
        <v>2</v>
      </c>
      <c r="AX88" s="387">
        <f>IF(AND(M88="F",AS88&lt;&gt;0),SUMIF(C2:C1334,C88,W2:W1334),0)</f>
        <v>69555.199999999997</v>
      </c>
      <c r="AY88" s="387">
        <f t="shared" si="73"/>
        <v>69555.199999999997</v>
      </c>
      <c r="AZ88" s="387" t="str">
        <f t="shared" si="74"/>
        <v/>
      </c>
      <c r="BA88" s="387">
        <f t="shared" si="75"/>
        <v>0</v>
      </c>
      <c r="BB88" s="387">
        <f t="shared" si="44"/>
        <v>11650</v>
      </c>
      <c r="BC88" s="387">
        <f t="shared" si="45"/>
        <v>0</v>
      </c>
      <c r="BD88" s="387">
        <f t="shared" si="46"/>
        <v>4312.4223999999995</v>
      </c>
      <c r="BE88" s="387">
        <f t="shared" si="47"/>
        <v>1008.5504</v>
      </c>
      <c r="BF88" s="387">
        <f t="shared" si="48"/>
        <v>8304.8908800000008</v>
      </c>
      <c r="BG88" s="387">
        <f t="shared" si="49"/>
        <v>501.49299200000002</v>
      </c>
      <c r="BH88" s="387">
        <f t="shared" si="50"/>
        <v>340.82047999999998</v>
      </c>
      <c r="BI88" s="387">
        <f t="shared" si="51"/>
        <v>384.98803199999998</v>
      </c>
      <c r="BJ88" s="387">
        <f t="shared" si="52"/>
        <v>187.79903999999999</v>
      </c>
      <c r="BK88" s="387">
        <f t="shared" si="53"/>
        <v>0</v>
      </c>
      <c r="BL88" s="387">
        <f t="shared" si="76"/>
        <v>15040.964223999999</v>
      </c>
      <c r="BM88" s="387">
        <f t="shared" si="77"/>
        <v>0</v>
      </c>
      <c r="BN88" s="387">
        <f t="shared" si="54"/>
        <v>11650</v>
      </c>
      <c r="BO88" s="387">
        <f t="shared" si="55"/>
        <v>0</v>
      </c>
      <c r="BP88" s="387">
        <f t="shared" si="56"/>
        <v>4312.4223999999995</v>
      </c>
      <c r="BQ88" s="387">
        <f t="shared" si="57"/>
        <v>1008.5504</v>
      </c>
      <c r="BR88" s="387">
        <f t="shared" si="58"/>
        <v>8304.8908800000008</v>
      </c>
      <c r="BS88" s="387">
        <f t="shared" si="59"/>
        <v>501.49299200000002</v>
      </c>
      <c r="BT88" s="387">
        <f t="shared" si="60"/>
        <v>0</v>
      </c>
      <c r="BU88" s="387">
        <f t="shared" si="61"/>
        <v>384.98803199999998</v>
      </c>
      <c r="BV88" s="387">
        <f t="shared" si="62"/>
        <v>236.48767999999998</v>
      </c>
      <c r="BW88" s="387">
        <f t="shared" si="63"/>
        <v>0</v>
      </c>
      <c r="BX88" s="387">
        <f t="shared" si="78"/>
        <v>14748.832383999999</v>
      </c>
      <c r="BY88" s="387">
        <f t="shared" si="79"/>
        <v>0</v>
      </c>
      <c r="BZ88" s="387">
        <f t="shared" si="80"/>
        <v>0</v>
      </c>
      <c r="CA88" s="387">
        <f t="shared" si="81"/>
        <v>0</v>
      </c>
      <c r="CB88" s="387">
        <f t="shared" si="82"/>
        <v>0</v>
      </c>
      <c r="CC88" s="387">
        <f t="shared" si="64"/>
        <v>0</v>
      </c>
      <c r="CD88" s="387">
        <f t="shared" si="65"/>
        <v>0</v>
      </c>
      <c r="CE88" s="387">
        <f t="shared" si="66"/>
        <v>0</v>
      </c>
      <c r="CF88" s="387">
        <f t="shared" si="67"/>
        <v>-340.82047999999998</v>
      </c>
      <c r="CG88" s="387">
        <f t="shared" si="68"/>
        <v>0</v>
      </c>
      <c r="CH88" s="387">
        <f t="shared" si="69"/>
        <v>48.688639999999978</v>
      </c>
      <c r="CI88" s="387">
        <f t="shared" si="70"/>
        <v>0</v>
      </c>
      <c r="CJ88" s="387">
        <f t="shared" si="83"/>
        <v>-292.13184000000001</v>
      </c>
      <c r="CK88" s="387" t="str">
        <f t="shared" si="84"/>
        <v/>
      </c>
      <c r="CL88" s="387" t="str">
        <f t="shared" si="85"/>
        <v/>
      </c>
      <c r="CM88" s="387" t="str">
        <f t="shared" si="86"/>
        <v/>
      </c>
      <c r="CN88" s="387" t="str">
        <f t="shared" si="87"/>
        <v>0348-31</v>
      </c>
    </row>
    <row r="89" spans="1:92" ht="15.75" thickBot="1" x14ac:dyDescent="0.3">
      <c r="A89" s="376" t="s">
        <v>161</v>
      </c>
      <c r="B89" s="376" t="s">
        <v>162</v>
      </c>
      <c r="C89" s="376" t="s">
        <v>613</v>
      </c>
      <c r="D89" s="376" t="s">
        <v>614</v>
      </c>
      <c r="E89" s="376" t="s">
        <v>224</v>
      </c>
      <c r="F89" s="382" t="s">
        <v>225</v>
      </c>
      <c r="G89" s="376" t="s">
        <v>167</v>
      </c>
      <c r="H89" s="378"/>
      <c r="I89" s="378"/>
      <c r="J89" s="376" t="s">
        <v>215</v>
      </c>
      <c r="K89" s="376" t="s">
        <v>615</v>
      </c>
      <c r="L89" s="376" t="s">
        <v>181</v>
      </c>
      <c r="M89" s="376" t="s">
        <v>171</v>
      </c>
      <c r="N89" s="376" t="s">
        <v>172</v>
      </c>
      <c r="O89" s="379">
        <v>1</v>
      </c>
      <c r="P89" s="385">
        <v>1</v>
      </c>
      <c r="Q89" s="385">
        <v>1</v>
      </c>
      <c r="R89" s="380">
        <v>80</v>
      </c>
      <c r="S89" s="385">
        <v>1</v>
      </c>
      <c r="T89" s="380">
        <v>0</v>
      </c>
      <c r="U89" s="380">
        <v>0</v>
      </c>
      <c r="V89" s="380">
        <v>0</v>
      </c>
      <c r="W89" s="380">
        <v>65374.400000000001</v>
      </c>
      <c r="X89" s="380">
        <v>25787.18</v>
      </c>
      <c r="Y89" s="380">
        <v>65374.400000000001</v>
      </c>
      <c r="Z89" s="380">
        <v>25512.61</v>
      </c>
      <c r="AA89" s="376" t="s">
        <v>616</v>
      </c>
      <c r="AB89" s="376" t="s">
        <v>617</v>
      </c>
      <c r="AC89" s="376" t="s">
        <v>618</v>
      </c>
      <c r="AD89" s="376" t="s">
        <v>170</v>
      </c>
      <c r="AE89" s="376" t="s">
        <v>615</v>
      </c>
      <c r="AF89" s="376" t="s">
        <v>211</v>
      </c>
      <c r="AG89" s="376" t="s">
        <v>178</v>
      </c>
      <c r="AH89" s="381">
        <v>31.43</v>
      </c>
      <c r="AI89" s="381">
        <v>3473.5</v>
      </c>
      <c r="AJ89" s="376" t="s">
        <v>179</v>
      </c>
      <c r="AK89" s="376" t="s">
        <v>180</v>
      </c>
      <c r="AL89" s="376" t="s">
        <v>181</v>
      </c>
      <c r="AM89" s="376" t="s">
        <v>182</v>
      </c>
      <c r="AN89" s="376" t="s">
        <v>68</v>
      </c>
      <c r="AO89" s="379">
        <v>80</v>
      </c>
      <c r="AP89" s="385">
        <v>1</v>
      </c>
      <c r="AQ89" s="385">
        <v>1</v>
      </c>
      <c r="AR89" s="383" t="s">
        <v>183</v>
      </c>
      <c r="AS89" s="387">
        <f t="shared" si="71"/>
        <v>1</v>
      </c>
      <c r="AT89">
        <f t="shared" si="72"/>
        <v>1</v>
      </c>
      <c r="AU89" s="387">
        <f>IF(AT89=0,"",IF(AND(AT89=1,M89="F",SUMIF(C2:C1334,C89,AS2:AS1334)&lt;=1),SUMIF(C2:C1334,C89,AS2:AS1334),IF(AND(AT89=1,M89="F",SUMIF(C2:C1334,C89,AS2:AS1334)&gt;1),1,"")))</f>
        <v>1</v>
      </c>
      <c r="AV89" s="387" t="str">
        <f>IF(AT89=0,"",IF(AND(AT89=3,M89="F",SUMIF(C2:C1334,C89,AS2:AS1334)&lt;=1),SUMIF(C2:C1334,C89,AS2:AS1334),IF(AND(AT89=3,M89="F",SUMIF(C2:C1334,C89,AS2:AS1334)&gt;1),1,"")))</f>
        <v/>
      </c>
      <c r="AW89" s="387">
        <f>SUMIF(C2:C1334,C89,O2:O1334)</f>
        <v>3</v>
      </c>
      <c r="AX89" s="387">
        <f>IF(AND(M89="F",AS89&lt;&gt;0),SUMIF(C2:C1334,C89,W2:W1334),0)</f>
        <v>65374.400000000001</v>
      </c>
      <c r="AY89" s="387">
        <f t="shared" si="73"/>
        <v>65374.400000000001</v>
      </c>
      <c r="AZ89" s="387" t="str">
        <f t="shared" si="74"/>
        <v/>
      </c>
      <c r="BA89" s="387">
        <f t="shared" si="75"/>
        <v>0</v>
      </c>
      <c r="BB89" s="387">
        <f t="shared" si="44"/>
        <v>11650</v>
      </c>
      <c r="BC89" s="387">
        <f t="shared" si="45"/>
        <v>0</v>
      </c>
      <c r="BD89" s="387">
        <f t="shared" si="46"/>
        <v>4053.2128000000002</v>
      </c>
      <c r="BE89" s="387">
        <f t="shared" si="47"/>
        <v>947.92880000000002</v>
      </c>
      <c r="BF89" s="387">
        <f t="shared" si="48"/>
        <v>7805.7033600000004</v>
      </c>
      <c r="BG89" s="387">
        <f t="shared" si="49"/>
        <v>471.34942400000006</v>
      </c>
      <c r="BH89" s="387">
        <f t="shared" si="50"/>
        <v>320.33456000000001</v>
      </c>
      <c r="BI89" s="387">
        <f t="shared" si="51"/>
        <v>361.84730400000001</v>
      </c>
      <c r="BJ89" s="387">
        <f t="shared" si="52"/>
        <v>176.51088000000001</v>
      </c>
      <c r="BK89" s="387">
        <f t="shared" si="53"/>
        <v>0</v>
      </c>
      <c r="BL89" s="387">
        <f t="shared" si="76"/>
        <v>14136.887128</v>
      </c>
      <c r="BM89" s="387">
        <f t="shared" si="77"/>
        <v>0</v>
      </c>
      <c r="BN89" s="387">
        <f t="shared" si="54"/>
        <v>11650</v>
      </c>
      <c r="BO89" s="387">
        <f t="shared" si="55"/>
        <v>0</v>
      </c>
      <c r="BP89" s="387">
        <f t="shared" si="56"/>
        <v>4053.2128000000002</v>
      </c>
      <c r="BQ89" s="387">
        <f t="shared" si="57"/>
        <v>947.92880000000002</v>
      </c>
      <c r="BR89" s="387">
        <f t="shared" si="58"/>
        <v>7805.7033600000004</v>
      </c>
      <c r="BS89" s="387">
        <f t="shared" si="59"/>
        <v>471.34942400000006</v>
      </c>
      <c r="BT89" s="387">
        <f t="shared" si="60"/>
        <v>0</v>
      </c>
      <c r="BU89" s="387">
        <f t="shared" si="61"/>
        <v>361.84730400000001</v>
      </c>
      <c r="BV89" s="387">
        <f t="shared" si="62"/>
        <v>222.27295999999998</v>
      </c>
      <c r="BW89" s="387">
        <f t="shared" si="63"/>
        <v>0</v>
      </c>
      <c r="BX89" s="387">
        <f t="shared" si="78"/>
        <v>13862.314648000001</v>
      </c>
      <c r="BY89" s="387">
        <f t="shared" si="79"/>
        <v>0</v>
      </c>
      <c r="BZ89" s="387">
        <f t="shared" si="80"/>
        <v>0</v>
      </c>
      <c r="CA89" s="387">
        <f t="shared" si="81"/>
        <v>0</v>
      </c>
      <c r="CB89" s="387">
        <f t="shared" si="82"/>
        <v>0</v>
      </c>
      <c r="CC89" s="387">
        <f t="shared" si="64"/>
        <v>0</v>
      </c>
      <c r="CD89" s="387">
        <f t="shared" si="65"/>
        <v>0</v>
      </c>
      <c r="CE89" s="387">
        <f t="shared" si="66"/>
        <v>0</v>
      </c>
      <c r="CF89" s="387">
        <f t="shared" si="67"/>
        <v>-320.33456000000001</v>
      </c>
      <c r="CG89" s="387">
        <f t="shared" si="68"/>
        <v>0</v>
      </c>
      <c r="CH89" s="387">
        <f t="shared" si="69"/>
        <v>45.762079999999976</v>
      </c>
      <c r="CI89" s="387">
        <f t="shared" si="70"/>
        <v>0</v>
      </c>
      <c r="CJ89" s="387">
        <f t="shared" si="83"/>
        <v>-274.57248000000004</v>
      </c>
      <c r="CK89" s="387" t="str">
        <f t="shared" si="84"/>
        <v/>
      </c>
      <c r="CL89" s="387" t="str">
        <f t="shared" si="85"/>
        <v/>
      </c>
      <c r="CM89" s="387" t="str">
        <f t="shared" si="86"/>
        <v/>
      </c>
      <c r="CN89" s="387" t="str">
        <f t="shared" si="87"/>
        <v>0348-31</v>
      </c>
    </row>
    <row r="90" spans="1:92" ht="15.75" thickBot="1" x14ac:dyDescent="0.3">
      <c r="A90" s="376" t="s">
        <v>161</v>
      </c>
      <c r="B90" s="376" t="s">
        <v>162</v>
      </c>
      <c r="C90" s="376" t="s">
        <v>619</v>
      </c>
      <c r="D90" s="376" t="s">
        <v>263</v>
      </c>
      <c r="E90" s="376" t="s">
        <v>224</v>
      </c>
      <c r="F90" s="382" t="s">
        <v>225</v>
      </c>
      <c r="G90" s="376" t="s">
        <v>167</v>
      </c>
      <c r="H90" s="378"/>
      <c r="I90" s="378"/>
      <c r="J90" s="376" t="s">
        <v>215</v>
      </c>
      <c r="K90" s="376" t="s">
        <v>264</v>
      </c>
      <c r="L90" s="376" t="s">
        <v>210</v>
      </c>
      <c r="M90" s="376" t="s">
        <v>171</v>
      </c>
      <c r="N90" s="376" t="s">
        <v>172</v>
      </c>
      <c r="O90" s="379">
        <v>1</v>
      </c>
      <c r="P90" s="385">
        <v>1</v>
      </c>
      <c r="Q90" s="385">
        <v>1</v>
      </c>
      <c r="R90" s="380">
        <v>80</v>
      </c>
      <c r="S90" s="385">
        <v>1</v>
      </c>
      <c r="T90" s="380">
        <v>0</v>
      </c>
      <c r="U90" s="380">
        <v>0</v>
      </c>
      <c r="V90" s="380">
        <v>0</v>
      </c>
      <c r="W90" s="380">
        <v>52582.400000000001</v>
      </c>
      <c r="X90" s="380">
        <v>23020.9</v>
      </c>
      <c r="Y90" s="380">
        <v>52582.400000000001</v>
      </c>
      <c r="Z90" s="380">
        <v>22800.06</v>
      </c>
      <c r="AA90" s="376" t="s">
        <v>620</v>
      </c>
      <c r="AB90" s="376" t="s">
        <v>621</v>
      </c>
      <c r="AC90" s="376" t="s">
        <v>622</v>
      </c>
      <c r="AD90" s="376" t="s">
        <v>623</v>
      </c>
      <c r="AE90" s="376" t="s">
        <v>264</v>
      </c>
      <c r="AF90" s="376" t="s">
        <v>245</v>
      </c>
      <c r="AG90" s="376" t="s">
        <v>178</v>
      </c>
      <c r="AH90" s="381">
        <v>25.28</v>
      </c>
      <c r="AI90" s="381">
        <v>562.5</v>
      </c>
      <c r="AJ90" s="376" t="s">
        <v>179</v>
      </c>
      <c r="AK90" s="376" t="s">
        <v>180</v>
      </c>
      <c r="AL90" s="376" t="s">
        <v>181</v>
      </c>
      <c r="AM90" s="376" t="s">
        <v>182</v>
      </c>
      <c r="AN90" s="376" t="s">
        <v>68</v>
      </c>
      <c r="AO90" s="379">
        <v>80</v>
      </c>
      <c r="AP90" s="385">
        <v>1</v>
      </c>
      <c r="AQ90" s="385">
        <v>1</v>
      </c>
      <c r="AR90" s="383" t="s">
        <v>183</v>
      </c>
      <c r="AS90" s="387">
        <f t="shared" si="71"/>
        <v>1</v>
      </c>
      <c r="AT90">
        <f t="shared" si="72"/>
        <v>1</v>
      </c>
      <c r="AU90" s="387">
        <f>IF(AT90=0,"",IF(AND(AT90=1,M90="F",SUMIF(C2:C1334,C90,AS2:AS1334)&lt;=1),SUMIF(C2:C1334,C90,AS2:AS1334),IF(AND(AT90=1,M90="F",SUMIF(C2:C1334,C90,AS2:AS1334)&gt;1),1,"")))</f>
        <v>1</v>
      </c>
      <c r="AV90" s="387" t="str">
        <f>IF(AT90=0,"",IF(AND(AT90=3,M90="F",SUMIF(C2:C1334,C90,AS2:AS1334)&lt;=1),SUMIF(C2:C1334,C90,AS2:AS1334),IF(AND(AT90=3,M90="F",SUMIF(C2:C1334,C90,AS2:AS1334)&gt;1),1,"")))</f>
        <v/>
      </c>
      <c r="AW90" s="387">
        <f>SUMIF(C2:C1334,C90,O2:O1334)</f>
        <v>2</v>
      </c>
      <c r="AX90" s="387">
        <f>IF(AND(M90="F",AS90&lt;&gt;0),SUMIF(C2:C1334,C90,W2:W1334),0)</f>
        <v>52582.400000000001</v>
      </c>
      <c r="AY90" s="387">
        <f t="shared" si="73"/>
        <v>52582.400000000001</v>
      </c>
      <c r="AZ90" s="387" t="str">
        <f t="shared" si="74"/>
        <v/>
      </c>
      <c r="BA90" s="387">
        <f t="shared" si="75"/>
        <v>0</v>
      </c>
      <c r="BB90" s="387">
        <f t="shared" si="44"/>
        <v>11650</v>
      </c>
      <c r="BC90" s="387">
        <f t="shared" si="45"/>
        <v>0</v>
      </c>
      <c r="BD90" s="387">
        <f t="shared" si="46"/>
        <v>3260.1088</v>
      </c>
      <c r="BE90" s="387">
        <f t="shared" si="47"/>
        <v>762.4448000000001</v>
      </c>
      <c r="BF90" s="387">
        <f t="shared" si="48"/>
        <v>6278.3385600000001</v>
      </c>
      <c r="BG90" s="387">
        <f t="shared" si="49"/>
        <v>379.11910400000005</v>
      </c>
      <c r="BH90" s="387">
        <f t="shared" si="50"/>
        <v>257.65375999999998</v>
      </c>
      <c r="BI90" s="387">
        <f t="shared" si="51"/>
        <v>291.04358400000001</v>
      </c>
      <c r="BJ90" s="387">
        <f t="shared" si="52"/>
        <v>141.97248000000002</v>
      </c>
      <c r="BK90" s="387">
        <f t="shared" si="53"/>
        <v>0</v>
      </c>
      <c r="BL90" s="387">
        <f t="shared" si="76"/>
        <v>11370.681087999998</v>
      </c>
      <c r="BM90" s="387">
        <f t="shared" si="77"/>
        <v>0</v>
      </c>
      <c r="BN90" s="387">
        <f t="shared" si="54"/>
        <v>11650</v>
      </c>
      <c r="BO90" s="387">
        <f t="shared" si="55"/>
        <v>0</v>
      </c>
      <c r="BP90" s="387">
        <f t="shared" si="56"/>
        <v>3260.1088</v>
      </c>
      <c r="BQ90" s="387">
        <f t="shared" si="57"/>
        <v>762.4448000000001</v>
      </c>
      <c r="BR90" s="387">
        <f t="shared" si="58"/>
        <v>6278.3385600000001</v>
      </c>
      <c r="BS90" s="387">
        <f t="shared" si="59"/>
        <v>379.11910400000005</v>
      </c>
      <c r="BT90" s="387">
        <f t="shared" si="60"/>
        <v>0</v>
      </c>
      <c r="BU90" s="387">
        <f t="shared" si="61"/>
        <v>291.04358400000001</v>
      </c>
      <c r="BV90" s="387">
        <f t="shared" si="62"/>
        <v>178.78016</v>
      </c>
      <c r="BW90" s="387">
        <f t="shared" si="63"/>
        <v>0</v>
      </c>
      <c r="BX90" s="387">
        <f t="shared" si="78"/>
        <v>11149.835008</v>
      </c>
      <c r="BY90" s="387">
        <f t="shared" si="79"/>
        <v>0</v>
      </c>
      <c r="BZ90" s="387">
        <f t="shared" si="80"/>
        <v>0</v>
      </c>
      <c r="CA90" s="387">
        <f t="shared" si="81"/>
        <v>0</v>
      </c>
      <c r="CB90" s="387">
        <f t="shared" si="82"/>
        <v>0</v>
      </c>
      <c r="CC90" s="387">
        <f t="shared" si="64"/>
        <v>0</v>
      </c>
      <c r="CD90" s="387">
        <f t="shared" si="65"/>
        <v>0</v>
      </c>
      <c r="CE90" s="387">
        <f t="shared" si="66"/>
        <v>0</v>
      </c>
      <c r="CF90" s="387">
        <f t="shared" si="67"/>
        <v>-257.65375999999998</v>
      </c>
      <c r="CG90" s="387">
        <f t="shared" si="68"/>
        <v>0</v>
      </c>
      <c r="CH90" s="387">
        <f t="shared" si="69"/>
        <v>36.807679999999984</v>
      </c>
      <c r="CI90" s="387">
        <f t="shared" si="70"/>
        <v>0</v>
      </c>
      <c r="CJ90" s="387">
        <f t="shared" si="83"/>
        <v>-220.84608</v>
      </c>
      <c r="CK90" s="387" t="str">
        <f t="shared" si="84"/>
        <v/>
      </c>
      <c r="CL90" s="387" t="str">
        <f t="shared" si="85"/>
        <v/>
      </c>
      <c r="CM90" s="387" t="str">
        <f t="shared" si="86"/>
        <v/>
      </c>
      <c r="CN90" s="387" t="str">
        <f t="shared" si="87"/>
        <v>0348-31</v>
      </c>
    </row>
    <row r="91" spans="1:92" ht="15.75" thickBot="1" x14ac:dyDescent="0.3">
      <c r="A91" s="376" t="s">
        <v>161</v>
      </c>
      <c r="B91" s="376" t="s">
        <v>162</v>
      </c>
      <c r="C91" s="376" t="s">
        <v>624</v>
      </c>
      <c r="D91" s="376" t="s">
        <v>625</v>
      </c>
      <c r="E91" s="376" t="s">
        <v>224</v>
      </c>
      <c r="F91" s="382" t="s">
        <v>225</v>
      </c>
      <c r="G91" s="376" t="s">
        <v>167</v>
      </c>
      <c r="H91" s="378"/>
      <c r="I91" s="378"/>
      <c r="J91" s="376" t="s">
        <v>215</v>
      </c>
      <c r="K91" s="376" t="s">
        <v>626</v>
      </c>
      <c r="L91" s="376" t="s">
        <v>217</v>
      </c>
      <c r="M91" s="376" t="s">
        <v>171</v>
      </c>
      <c r="N91" s="376" t="s">
        <v>172</v>
      </c>
      <c r="O91" s="379">
        <v>1</v>
      </c>
      <c r="P91" s="385">
        <v>1</v>
      </c>
      <c r="Q91" s="385">
        <v>1</v>
      </c>
      <c r="R91" s="380">
        <v>80</v>
      </c>
      <c r="S91" s="385">
        <v>1</v>
      </c>
      <c r="T91" s="380">
        <v>0</v>
      </c>
      <c r="U91" s="380">
        <v>0</v>
      </c>
      <c r="V91" s="380">
        <v>0</v>
      </c>
      <c r="W91" s="380">
        <v>47382.400000000001</v>
      </c>
      <c r="X91" s="380">
        <v>21896.400000000001</v>
      </c>
      <c r="Y91" s="380">
        <v>47382.400000000001</v>
      </c>
      <c r="Z91" s="380">
        <v>21697.4</v>
      </c>
      <c r="AA91" s="376" t="s">
        <v>627</v>
      </c>
      <c r="AB91" s="376" t="s">
        <v>628</v>
      </c>
      <c r="AC91" s="376" t="s">
        <v>629</v>
      </c>
      <c r="AD91" s="376" t="s">
        <v>252</v>
      </c>
      <c r="AE91" s="376" t="s">
        <v>626</v>
      </c>
      <c r="AF91" s="376" t="s">
        <v>221</v>
      </c>
      <c r="AG91" s="376" t="s">
        <v>178</v>
      </c>
      <c r="AH91" s="381">
        <v>22.78</v>
      </c>
      <c r="AI91" s="381">
        <v>24627.7</v>
      </c>
      <c r="AJ91" s="376" t="s">
        <v>179</v>
      </c>
      <c r="AK91" s="376" t="s">
        <v>180</v>
      </c>
      <c r="AL91" s="376" t="s">
        <v>181</v>
      </c>
      <c r="AM91" s="376" t="s">
        <v>182</v>
      </c>
      <c r="AN91" s="376" t="s">
        <v>68</v>
      </c>
      <c r="AO91" s="379">
        <v>80</v>
      </c>
      <c r="AP91" s="385">
        <v>1</v>
      </c>
      <c r="AQ91" s="385">
        <v>1</v>
      </c>
      <c r="AR91" s="383" t="s">
        <v>183</v>
      </c>
      <c r="AS91" s="387">
        <f t="shared" si="71"/>
        <v>1</v>
      </c>
      <c r="AT91">
        <f t="shared" si="72"/>
        <v>1</v>
      </c>
      <c r="AU91" s="387">
        <f>IF(AT91=0,"",IF(AND(AT91=1,M91="F",SUMIF(C2:C1334,C91,AS2:AS1334)&lt;=1),SUMIF(C2:C1334,C91,AS2:AS1334),IF(AND(AT91=1,M91="F",SUMIF(C2:C1334,C91,AS2:AS1334)&gt;1),1,"")))</f>
        <v>1</v>
      </c>
      <c r="AV91" s="387" t="str">
        <f>IF(AT91=0,"",IF(AND(AT91=3,M91="F",SUMIF(C2:C1334,C91,AS2:AS1334)&lt;=1),SUMIF(C2:C1334,C91,AS2:AS1334),IF(AND(AT91=3,M91="F",SUMIF(C2:C1334,C91,AS2:AS1334)&gt;1),1,"")))</f>
        <v/>
      </c>
      <c r="AW91" s="387">
        <f>SUMIF(C2:C1334,C91,O2:O1334)</f>
        <v>3</v>
      </c>
      <c r="AX91" s="387">
        <f>IF(AND(M91="F",AS91&lt;&gt;0),SUMIF(C2:C1334,C91,W2:W1334),0)</f>
        <v>47382.400000000001</v>
      </c>
      <c r="AY91" s="387">
        <f t="shared" si="73"/>
        <v>47382.400000000001</v>
      </c>
      <c r="AZ91" s="387" t="str">
        <f t="shared" si="74"/>
        <v/>
      </c>
      <c r="BA91" s="387">
        <f t="shared" si="75"/>
        <v>0</v>
      </c>
      <c r="BB91" s="387">
        <f t="shared" si="44"/>
        <v>11650</v>
      </c>
      <c r="BC91" s="387">
        <f t="shared" si="45"/>
        <v>0</v>
      </c>
      <c r="BD91" s="387">
        <f t="shared" si="46"/>
        <v>2937.7087999999999</v>
      </c>
      <c r="BE91" s="387">
        <f t="shared" si="47"/>
        <v>687.04480000000001</v>
      </c>
      <c r="BF91" s="387">
        <f t="shared" si="48"/>
        <v>5657.45856</v>
      </c>
      <c r="BG91" s="387">
        <f t="shared" si="49"/>
        <v>341.62710400000003</v>
      </c>
      <c r="BH91" s="387">
        <f t="shared" si="50"/>
        <v>232.17375999999999</v>
      </c>
      <c r="BI91" s="387">
        <f t="shared" si="51"/>
        <v>262.26158400000003</v>
      </c>
      <c r="BJ91" s="387">
        <f t="shared" si="52"/>
        <v>127.93248000000001</v>
      </c>
      <c r="BK91" s="387">
        <f t="shared" si="53"/>
        <v>0</v>
      </c>
      <c r="BL91" s="387">
        <f t="shared" si="76"/>
        <v>10246.207087999997</v>
      </c>
      <c r="BM91" s="387">
        <f t="shared" si="77"/>
        <v>0</v>
      </c>
      <c r="BN91" s="387">
        <f t="shared" si="54"/>
        <v>11650</v>
      </c>
      <c r="BO91" s="387">
        <f t="shared" si="55"/>
        <v>0</v>
      </c>
      <c r="BP91" s="387">
        <f t="shared" si="56"/>
        <v>2937.7087999999999</v>
      </c>
      <c r="BQ91" s="387">
        <f t="shared" si="57"/>
        <v>687.04480000000001</v>
      </c>
      <c r="BR91" s="387">
        <f t="shared" si="58"/>
        <v>5657.45856</v>
      </c>
      <c r="BS91" s="387">
        <f t="shared" si="59"/>
        <v>341.62710400000003</v>
      </c>
      <c r="BT91" s="387">
        <f t="shared" si="60"/>
        <v>0</v>
      </c>
      <c r="BU91" s="387">
        <f t="shared" si="61"/>
        <v>262.26158400000003</v>
      </c>
      <c r="BV91" s="387">
        <f t="shared" si="62"/>
        <v>161.10015999999999</v>
      </c>
      <c r="BW91" s="387">
        <f t="shared" si="63"/>
        <v>0</v>
      </c>
      <c r="BX91" s="387">
        <f t="shared" si="78"/>
        <v>10047.201007999998</v>
      </c>
      <c r="BY91" s="387">
        <f t="shared" si="79"/>
        <v>0</v>
      </c>
      <c r="BZ91" s="387">
        <f t="shared" si="80"/>
        <v>0</v>
      </c>
      <c r="CA91" s="387">
        <f t="shared" si="81"/>
        <v>0</v>
      </c>
      <c r="CB91" s="387">
        <f t="shared" si="82"/>
        <v>0</v>
      </c>
      <c r="CC91" s="387">
        <f t="shared" si="64"/>
        <v>0</v>
      </c>
      <c r="CD91" s="387">
        <f t="shared" si="65"/>
        <v>0</v>
      </c>
      <c r="CE91" s="387">
        <f t="shared" si="66"/>
        <v>0</v>
      </c>
      <c r="CF91" s="387">
        <f t="shared" si="67"/>
        <v>-232.17375999999999</v>
      </c>
      <c r="CG91" s="387">
        <f t="shared" si="68"/>
        <v>0</v>
      </c>
      <c r="CH91" s="387">
        <f t="shared" si="69"/>
        <v>33.167679999999983</v>
      </c>
      <c r="CI91" s="387">
        <f t="shared" si="70"/>
        <v>0</v>
      </c>
      <c r="CJ91" s="387">
        <f t="shared" si="83"/>
        <v>-199.00608</v>
      </c>
      <c r="CK91" s="387" t="str">
        <f t="shared" si="84"/>
        <v/>
      </c>
      <c r="CL91" s="387" t="str">
        <f t="shared" si="85"/>
        <v/>
      </c>
      <c r="CM91" s="387" t="str">
        <f t="shared" si="86"/>
        <v/>
      </c>
      <c r="CN91" s="387" t="str">
        <f t="shared" si="87"/>
        <v>0348-31</v>
      </c>
    </row>
    <row r="92" spans="1:92" ht="15.75" thickBot="1" x14ac:dyDescent="0.3">
      <c r="A92" s="376" t="s">
        <v>161</v>
      </c>
      <c r="B92" s="376" t="s">
        <v>162</v>
      </c>
      <c r="C92" s="376" t="s">
        <v>630</v>
      </c>
      <c r="D92" s="376" t="s">
        <v>497</v>
      </c>
      <c r="E92" s="376" t="s">
        <v>224</v>
      </c>
      <c r="F92" s="382" t="s">
        <v>225</v>
      </c>
      <c r="G92" s="376" t="s">
        <v>167</v>
      </c>
      <c r="H92" s="378"/>
      <c r="I92" s="378"/>
      <c r="J92" s="376" t="s">
        <v>215</v>
      </c>
      <c r="K92" s="376" t="s">
        <v>498</v>
      </c>
      <c r="L92" s="376" t="s">
        <v>170</v>
      </c>
      <c r="M92" s="376" t="s">
        <v>171</v>
      </c>
      <c r="N92" s="376" t="s">
        <v>172</v>
      </c>
      <c r="O92" s="379">
        <v>1</v>
      </c>
      <c r="P92" s="385">
        <v>1</v>
      </c>
      <c r="Q92" s="385">
        <v>1</v>
      </c>
      <c r="R92" s="380">
        <v>80</v>
      </c>
      <c r="S92" s="385">
        <v>1</v>
      </c>
      <c r="T92" s="380">
        <v>0</v>
      </c>
      <c r="U92" s="380">
        <v>0</v>
      </c>
      <c r="V92" s="380">
        <v>0</v>
      </c>
      <c r="W92" s="380">
        <v>61360</v>
      </c>
      <c r="X92" s="380">
        <v>24919.08</v>
      </c>
      <c r="Y92" s="380">
        <v>61360</v>
      </c>
      <c r="Z92" s="380">
        <v>24661.37</v>
      </c>
      <c r="AA92" s="376" t="s">
        <v>631</v>
      </c>
      <c r="AB92" s="376" t="s">
        <v>632</v>
      </c>
      <c r="AC92" s="376" t="s">
        <v>633</v>
      </c>
      <c r="AD92" s="376" t="s">
        <v>170</v>
      </c>
      <c r="AE92" s="376" t="s">
        <v>498</v>
      </c>
      <c r="AF92" s="376" t="s">
        <v>177</v>
      </c>
      <c r="AG92" s="376" t="s">
        <v>178</v>
      </c>
      <c r="AH92" s="381">
        <v>29.5</v>
      </c>
      <c r="AI92" s="379">
        <v>644</v>
      </c>
      <c r="AJ92" s="376" t="s">
        <v>179</v>
      </c>
      <c r="AK92" s="376" t="s">
        <v>180</v>
      </c>
      <c r="AL92" s="376" t="s">
        <v>181</v>
      </c>
      <c r="AM92" s="376" t="s">
        <v>182</v>
      </c>
      <c r="AN92" s="376" t="s">
        <v>68</v>
      </c>
      <c r="AO92" s="379">
        <v>80</v>
      </c>
      <c r="AP92" s="385">
        <v>1</v>
      </c>
      <c r="AQ92" s="385">
        <v>1</v>
      </c>
      <c r="AR92" s="383" t="s">
        <v>183</v>
      </c>
      <c r="AS92" s="387">
        <f t="shared" si="71"/>
        <v>1</v>
      </c>
      <c r="AT92">
        <f t="shared" si="72"/>
        <v>1</v>
      </c>
      <c r="AU92" s="387">
        <f>IF(AT92=0,"",IF(AND(AT92=1,M92="F",SUMIF(C2:C1334,C92,AS2:AS1334)&lt;=1),SUMIF(C2:C1334,C92,AS2:AS1334),IF(AND(AT92=1,M92="F",SUMIF(C2:C1334,C92,AS2:AS1334)&gt;1),1,"")))</f>
        <v>1</v>
      </c>
      <c r="AV92" s="387" t="str">
        <f>IF(AT92=0,"",IF(AND(AT92=3,M92="F",SUMIF(C2:C1334,C92,AS2:AS1334)&lt;=1),SUMIF(C2:C1334,C92,AS2:AS1334),IF(AND(AT92=3,M92="F",SUMIF(C2:C1334,C92,AS2:AS1334)&gt;1),1,"")))</f>
        <v/>
      </c>
      <c r="AW92" s="387">
        <f>SUMIF(C2:C1334,C92,O2:O1334)</f>
        <v>2</v>
      </c>
      <c r="AX92" s="387">
        <f>IF(AND(M92="F",AS92&lt;&gt;0),SUMIF(C2:C1334,C92,W2:W1334),0)</f>
        <v>61360</v>
      </c>
      <c r="AY92" s="387">
        <f t="shared" si="73"/>
        <v>61360</v>
      </c>
      <c r="AZ92" s="387" t="str">
        <f t="shared" si="74"/>
        <v/>
      </c>
      <c r="BA92" s="387">
        <f t="shared" si="75"/>
        <v>0</v>
      </c>
      <c r="BB92" s="387">
        <f t="shared" si="44"/>
        <v>11650</v>
      </c>
      <c r="BC92" s="387">
        <f t="shared" si="45"/>
        <v>0</v>
      </c>
      <c r="BD92" s="387">
        <f t="shared" si="46"/>
        <v>3804.32</v>
      </c>
      <c r="BE92" s="387">
        <f t="shared" si="47"/>
        <v>889.72</v>
      </c>
      <c r="BF92" s="387">
        <f t="shared" si="48"/>
        <v>7326.384</v>
      </c>
      <c r="BG92" s="387">
        <f t="shared" si="49"/>
        <v>442.40559999999999</v>
      </c>
      <c r="BH92" s="387">
        <f t="shared" si="50"/>
        <v>300.66399999999999</v>
      </c>
      <c r="BI92" s="387">
        <f t="shared" si="51"/>
        <v>339.62759999999997</v>
      </c>
      <c r="BJ92" s="387">
        <f t="shared" si="52"/>
        <v>165.672</v>
      </c>
      <c r="BK92" s="387">
        <f t="shared" si="53"/>
        <v>0</v>
      </c>
      <c r="BL92" s="387">
        <f t="shared" si="76"/>
        <v>13268.7932</v>
      </c>
      <c r="BM92" s="387">
        <f t="shared" si="77"/>
        <v>0</v>
      </c>
      <c r="BN92" s="387">
        <f t="shared" si="54"/>
        <v>11650</v>
      </c>
      <c r="BO92" s="387">
        <f t="shared" si="55"/>
        <v>0</v>
      </c>
      <c r="BP92" s="387">
        <f t="shared" si="56"/>
        <v>3804.32</v>
      </c>
      <c r="BQ92" s="387">
        <f t="shared" si="57"/>
        <v>889.72</v>
      </c>
      <c r="BR92" s="387">
        <f t="shared" si="58"/>
        <v>7326.384</v>
      </c>
      <c r="BS92" s="387">
        <f t="shared" si="59"/>
        <v>442.40559999999999</v>
      </c>
      <c r="BT92" s="387">
        <f t="shared" si="60"/>
        <v>0</v>
      </c>
      <c r="BU92" s="387">
        <f t="shared" si="61"/>
        <v>339.62759999999997</v>
      </c>
      <c r="BV92" s="387">
        <f t="shared" si="62"/>
        <v>208.624</v>
      </c>
      <c r="BW92" s="387">
        <f t="shared" si="63"/>
        <v>0</v>
      </c>
      <c r="BX92" s="387">
        <f t="shared" si="78"/>
        <v>13011.081199999999</v>
      </c>
      <c r="BY92" s="387">
        <f t="shared" si="79"/>
        <v>0</v>
      </c>
      <c r="BZ92" s="387">
        <f t="shared" si="80"/>
        <v>0</v>
      </c>
      <c r="CA92" s="387">
        <f t="shared" si="81"/>
        <v>0</v>
      </c>
      <c r="CB92" s="387">
        <f t="shared" si="82"/>
        <v>0</v>
      </c>
      <c r="CC92" s="387">
        <f t="shared" si="64"/>
        <v>0</v>
      </c>
      <c r="CD92" s="387">
        <f t="shared" si="65"/>
        <v>0</v>
      </c>
      <c r="CE92" s="387">
        <f t="shared" si="66"/>
        <v>0</v>
      </c>
      <c r="CF92" s="387">
        <f t="shared" si="67"/>
        <v>-300.66399999999999</v>
      </c>
      <c r="CG92" s="387">
        <f t="shared" si="68"/>
        <v>0</v>
      </c>
      <c r="CH92" s="387">
        <f t="shared" si="69"/>
        <v>42.951999999999977</v>
      </c>
      <c r="CI92" s="387">
        <f t="shared" si="70"/>
        <v>0</v>
      </c>
      <c r="CJ92" s="387">
        <f t="shared" si="83"/>
        <v>-257.71199999999999</v>
      </c>
      <c r="CK92" s="387" t="str">
        <f t="shared" si="84"/>
        <v/>
      </c>
      <c r="CL92" s="387" t="str">
        <f t="shared" si="85"/>
        <v/>
      </c>
      <c r="CM92" s="387" t="str">
        <f t="shared" si="86"/>
        <v/>
      </c>
      <c r="CN92" s="387" t="str">
        <f t="shared" si="87"/>
        <v>0348-31</v>
      </c>
    </row>
    <row r="93" spans="1:92" ht="15.75" thickBot="1" x14ac:dyDescent="0.3">
      <c r="A93" s="376" t="s">
        <v>161</v>
      </c>
      <c r="B93" s="376" t="s">
        <v>162</v>
      </c>
      <c r="C93" s="376" t="s">
        <v>634</v>
      </c>
      <c r="D93" s="376" t="s">
        <v>408</v>
      </c>
      <c r="E93" s="376" t="s">
        <v>224</v>
      </c>
      <c r="F93" s="382" t="s">
        <v>225</v>
      </c>
      <c r="G93" s="376" t="s">
        <v>167</v>
      </c>
      <c r="H93" s="378"/>
      <c r="I93" s="378"/>
      <c r="J93" s="376" t="s">
        <v>215</v>
      </c>
      <c r="K93" s="376" t="s">
        <v>409</v>
      </c>
      <c r="L93" s="376" t="s">
        <v>181</v>
      </c>
      <c r="M93" s="376" t="s">
        <v>171</v>
      </c>
      <c r="N93" s="376" t="s">
        <v>172</v>
      </c>
      <c r="O93" s="379">
        <v>1</v>
      </c>
      <c r="P93" s="385">
        <v>1</v>
      </c>
      <c r="Q93" s="385">
        <v>1</v>
      </c>
      <c r="R93" s="380">
        <v>80</v>
      </c>
      <c r="S93" s="385">
        <v>1</v>
      </c>
      <c r="T93" s="380">
        <v>0</v>
      </c>
      <c r="U93" s="380">
        <v>0</v>
      </c>
      <c r="V93" s="380">
        <v>0</v>
      </c>
      <c r="W93" s="380">
        <v>84011.199999999997</v>
      </c>
      <c r="X93" s="380">
        <v>29817.4</v>
      </c>
      <c r="Y93" s="380">
        <v>84011.199999999997</v>
      </c>
      <c r="Z93" s="380">
        <v>29464.55</v>
      </c>
      <c r="AA93" s="376" t="s">
        <v>635</v>
      </c>
      <c r="AB93" s="376" t="s">
        <v>636</v>
      </c>
      <c r="AC93" s="376" t="s">
        <v>637</v>
      </c>
      <c r="AD93" s="376" t="s">
        <v>300</v>
      </c>
      <c r="AE93" s="376" t="s">
        <v>409</v>
      </c>
      <c r="AF93" s="376" t="s">
        <v>211</v>
      </c>
      <c r="AG93" s="376" t="s">
        <v>178</v>
      </c>
      <c r="AH93" s="381">
        <v>40.39</v>
      </c>
      <c r="AI93" s="381">
        <v>12265.1</v>
      </c>
      <c r="AJ93" s="376" t="s">
        <v>179</v>
      </c>
      <c r="AK93" s="376" t="s">
        <v>180</v>
      </c>
      <c r="AL93" s="376" t="s">
        <v>181</v>
      </c>
      <c r="AM93" s="376" t="s">
        <v>182</v>
      </c>
      <c r="AN93" s="376" t="s">
        <v>68</v>
      </c>
      <c r="AO93" s="379">
        <v>80</v>
      </c>
      <c r="AP93" s="385">
        <v>1</v>
      </c>
      <c r="AQ93" s="385">
        <v>1</v>
      </c>
      <c r="AR93" s="383" t="s">
        <v>183</v>
      </c>
      <c r="AS93" s="387">
        <f t="shared" si="71"/>
        <v>1</v>
      </c>
      <c r="AT93">
        <f t="shared" si="72"/>
        <v>1</v>
      </c>
      <c r="AU93" s="387">
        <f>IF(AT93=0,"",IF(AND(AT93=1,M93="F",SUMIF(C2:C1334,C93,AS2:AS1334)&lt;=1),SUMIF(C2:C1334,C93,AS2:AS1334),IF(AND(AT93=1,M93="F",SUMIF(C2:C1334,C93,AS2:AS1334)&gt;1),1,"")))</f>
        <v>1</v>
      </c>
      <c r="AV93" s="387" t="str">
        <f>IF(AT93=0,"",IF(AND(AT93=3,M93="F",SUMIF(C2:C1334,C93,AS2:AS1334)&lt;=1),SUMIF(C2:C1334,C93,AS2:AS1334),IF(AND(AT93=3,M93="F",SUMIF(C2:C1334,C93,AS2:AS1334)&gt;1),1,"")))</f>
        <v/>
      </c>
      <c r="AW93" s="387">
        <f>SUMIF(C2:C1334,C93,O2:O1334)</f>
        <v>2</v>
      </c>
      <c r="AX93" s="387">
        <f>IF(AND(M93="F",AS93&lt;&gt;0),SUMIF(C2:C1334,C93,W2:W1334),0)</f>
        <v>84011.199999999997</v>
      </c>
      <c r="AY93" s="387">
        <f t="shared" si="73"/>
        <v>84011.199999999997</v>
      </c>
      <c r="AZ93" s="387" t="str">
        <f t="shared" si="74"/>
        <v/>
      </c>
      <c r="BA93" s="387">
        <f t="shared" si="75"/>
        <v>0</v>
      </c>
      <c r="BB93" s="387">
        <f t="shared" si="44"/>
        <v>11650</v>
      </c>
      <c r="BC93" s="387">
        <f t="shared" si="45"/>
        <v>0</v>
      </c>
      <c r="BD93" s="387">
        <f t="shared" si="46"/>
        <v>5208.6943999999994</v>
      </c>
      <c r="BE93" s="387">
        <f t="shared" si="47"/>
        <v>1218.1623999999999</v>
      </c>
      <c r="BF93" s="387">
        <f t="shared" si="48"/>
        <v>10030.93728</v>
      </c>
      <c r="BG93" s="387">
        <f t="shared" si="49"/>
        <v>605.72075199999995</v>
      </c>
      <c r="BH93" s="387">
        <f t="shared" si="50"/>
        <v>411.65487999999999</v>
      </c>
      <c r="BI93" s="387">
        <f t="shared" si="51"/>
        <v>465.00199199999997</v>
      </c>
      <c r="BJ93" s="387">
        <f t="shared" si="52"/>
        <v>226.83024</v>
      </c>
      <c r="BK93" s="387">
        <f t="shared" si="53"/>
        <v>0</v>
      </c>
      <c r="BL93" s="387">
        <f t="shared" si="76"/>
        <v>18167.001944</v>
      </c>
      <c r="BM93" s="387">
        <f t="shared" si="77"/>
        <v>0</v>
      </c>
      <c r="BN93" s="387">
        <f t="shared" si="54"/>
        <v>11650</v>
      </c>
      <c r="BO93" s="387">
        <f t="shared" si="55"/>
        <v>0</v>
      </c>
      <c r="BP93" s="387">
        <f t="shared" si="56"/>
        <v>5208.6943999999994</v>
      </c>
      <c r="BQ93" s="387">
        <f t="shared" si="57"/>
        <v>1218.1623999999999</v>
      </c>
      <c r="BR93" s="387">
        <f t="shared" si="58"/>
        <v>10030.93728</v>
      </c>
      <c r="BS93" s="387">
        <f t="shared" si="59"/>
        <v>605.72075199999995</v>
      </c>
      <c r="BT93" s="387">
        <f t="shared" si="60"/>
        <v>0</v>
      </c>
      <c r="BU93" s="387">
        <f t="shared" si="61"/>
        <v>465.00199199999997</v>
      </c>
      <c r="BV93" s="387">
        <f t="shared" si="62"/>
        <v>285.63808</v>
      </c>
      <c r="BW93" s="387">
        <f t="shared" si="63"/>
        <v>0</v>
      </c>
      <c r="BX93" s="387">
        <f t="shared" si="78"/>
        <v>17814.154904000003</v>
      </c>
      <c r="BY93" s="387">
        <f t="shared" si="79"/>
        <v>0</v>
      </c>
      <c r="BZ93" s="387">
        <f t="shared" si="80"/>
        <v>0</v>
      </c>
      <c r="CA93" s="387">
        <f t="shared" si="81"/>
        <v>0</v>
      </c>
      <c r="CB93" s="387">
        <f t="shared" si="82"/>
        <v>0</v>
      </c>
      <c r="CC93" s="387">
        <f t="shared" si="64"/>
        <v>0</v>
      </c>
      <c r="CD93" s="387">
        <f t="shared" si="65"/>
        <v>0</v>
      </c>
      <c r="CE93" s="387">
        <f t="shared" si="66"/>
        <v>0</v>
      </c>
      <c r="CF93" s="387">
        <f t="shared" si="67"/>
        <v>-411.65487999999999</v>
      </c>
      <c r="CG93" s="387">
        <f t="shared" si="68"/>
        <v>0</v>
      </c>
      <c r="CH93" s="387">
        <f t="shared" si="69"/>
        <v>58.80783999999997</v>
      </c>
      <c r="CI93" s="387">
        <f t="shared" si="70"/>
        <v>0</v>
      </c>
      <c r="CJ93" s="387">
        <f t="shared" si="83"/>
        <v>-352.84703999999999</v>
      </c>
      <c r="CK93" s="387" t="str">
        <f t="shared" si="84"/>
        <v/>
      </c>
      <c r="CL93" s="387" t="str">
        <f t="shared" si="85"/>
        <v/>
      </c>
      <c r="CM93" s="387" t="str">
        <f t="shared" si="86"/>
        <v/>
      </c>
      <c r="CN93" s="387" t="str">
        <f t="shared" si="87"/>
        <v>0348-31</v>
      </c>
    </row>
    <row r="94" spans="1:92" ht="15.75" thickBot="1" x14ac:dyDescent="0.3">
      <c r="A94" s="376" t="s">
        <v>161</v>
      </c>
      <c r="B94" s="376" t="s">
        <v>162</v>
      </c>
      <c r="C94" s="376" t="s">
        <v>638</v>
      </c>
      <c r="D94" s="376" t="s">
        <v>270</v>
      </c>
      <c r="E94" s="376" t="s">
        <v>224</v>
      </c>
      <c r="F94" s="382" t="s">
        <v>225</v>
      </c>
      <c r="G94" s="376" t="s">
        <v>167</v>
      </c>
      <c r="H94" s="378"/>
      <c r="I94" s="378"/>
      <c r="J94" s="376" t="s">
        <v>239</v>
      </c>
      <c r="K94" s="376" t="s">
        <v>271</v>
      </c>
      <c r="L94" s="376" t="s">
        <v>217</v>
      </c>
      <c r="M94" s="376" t="s">
        <v>171</v>
      </c>
      <c r="N94" s="376" t="s">
        <v>172</v>
      </c>
      <c r="O94" s="379">
        <v>1</v>
      </c>
      <c r="P94" s="385">
        <v>0.5</v>
      </c>
      <c r="Q94" s="385">
        <v>0.5</v>
      </c>
      <c r="R94" s="380">
        <v>80</v>
      </c>
      <c r="S94" s="385">
        <v>0.5</v>
      </c>
      <c r="T94" s="380">
        <v>0</v>
      </c>
      <c r="U94" s="380">
        <v>0</v>
      </c>
      <c r="V94" s="380">
        <v>0</v>
      </c>
      <c r="W94" s="380">
        <v>19146.400000000001</v>
      </c>
      <c r="X94" s="380">
        <v>9965.4</v>
      </c>
      <c r="Y94" s="380">
        <v>19146.400000000001</v>
      </c>
      <c r="Z94" s="380">
        <v>9884.98</v>
      </c>
      <c r="AA94" s="376" t="s">
        <v>639</v>
      </c>
      <c r="AB94" s="376" t="s">
        <v>640</v>
      </c>
      <c r="AC94" s="376" t="s">
        <v>455</v>
      </c>
      <c r="AD94" s="376" t="s">
        <v>198</v>
      </c>
      <c r="AE94" s="376" t="s">
        <v>271</v>
      </c>
      <c r="AF94" s="376" t="s">
        <v>221</v>
      </c>
      <c r="AG94" s="376" t="s">
        <v>178</v>
      </c>
      <c r="AH94" s="381">
        <v>18.41</v>
      </c>
      <c r="AI94" s="381">
        <v>16722.599999999999</v>
      </c>
      <c r="AJ94" s="376" t="s">
        <v>179</v>
      </c>
      <c r="AK94" s="376" t="s">
        <v>180</v>
      </c>
      <c r="AL94" s="376" t="s">
        <v>181</v>
      </c>
      <c r="AM94" s="376" t="s">
        <v>182</v>
      </c>
      <c r="AN94" s="376" t="s">
        <v>68</v>
      </c>
      <c r="AO94" s="379">
        <v>80</v>
      </c>
      <c r="AP94" s="385">
        <v>1</v>
      </c>
      <c r="AQ94" s="385">
        <v>0.5</v>
      </c>
      <c r="AR94" s="383" t="s">
        <v>183</v>
      </c>
      <c r="AS94" s="387">
        <f t="shared" si="71"/>
        <v>0.5</v>
      </c>
      <c r="AT94">
        <f t="shared" si="72"/>
        <v>1</v>
      </c>
      <c r="AU94" s="387">
        <f>IF(AT94=0,"",IF(AND(AT94=1,M94="F",SUMIF(C2:C1334,C94,AS2:AS1334)&lt;=1),SUMIF(C2:C1334,C94,AS2:AS1334),IF(AND(AT94=1,M94="F",SUMIF(C2:C1334,C94,AS2:AS1334)&gt;1),1,"")))</f>
        <v>1</v>
      </c>
      <c r="AV94" s="387" t="str">
        <f>IF(AT94=0,"",IF(AND(AT94=3,M94="F",SUMIF(C2:C1334,C94,AS2:AS1334)&lt;=1),SUMIF(C2:C1334,C94,AS2:AS1334),IF(AND(AT94=3,M94="F",SUMIF(C2:C1334,C94,AS2:AS1334)&gt;1),1,"")))</f>
        <v/>
      </c>
      <c r="AW94" s="387">
        <f>SUMIF(C2:C1334,C94,O2:O1334)</f>
        <v>3</v>
      </c>
      <c r="AX94" s="387">
        <f>IF(AND(M94="F",AS94&lt;&gt;0),SUMIF(C2:C1334,C94,W2:W1334),0)</f>
        <v>38292.800000000003</v>
      </c>
      <c r="AY94" s="387">
        <f t="shared" si="73"/>
        <v>19146.400000000001</v>
      </c>
      <c r="AZ94" s="387" t="str">
        <f t="shared" si="74"/>
        <v/>
      </c>
      <c r="BA94" s="387">
        <f t="shared" si="75"/>
        <v>0</v>
      </c>
      <c r="BB94" s="387">
        <f t="shared" si="44"/>
        <v>5825</v>
      </c>
      <c r="BC94" s="387">
        <f t="shared" si="45"/>
        <v>0</v>
      </c>
      <c r="BD94" s="387">
        <f t="shared" si="46"/>
        <v>1187.0768</v>
      </c>
      <c r="BE94" s="387">
        <f t="shared" si="47"/>
        <v>277.62280000000004</v>
      </c>
      <c r="BF94" s="387">
        <f t="shared" si="48"/>
        <v>2286.0801600000004</v>
      </c>
      <c r="BG94" s="387">
        <f t="shared" si="49"/>
        <v>138.04554400000001</v>
      </c>
      <c r="BH94" s="387">
        <f t="shared" si="50"/>
        <v>93.817360000000008</v>
      </c>
      <c r="BI94" s="387">
        <f t="shared" si="51"/>
        <v>105.97532400000001</v>
      </c>
      <c r="BJ94" s="387">
        <f t="shared" si="52"/>
        <v>51.695280000000004</v>
      </c>
      <c r="BK94" s="387">
        <f t="shared" si="53"/>
        <v>0</v>
      </c>
      <c r="BL94" s="387">
        <f t="shared" si="76"/>
        <v>4140.3132680000008</v>
      </c>
      <c r="BM94" s="387">
        <f t="shared" si="77"/>
        <v>0</v>
      </c>
      <c r="BN94" s="387">
        <f t="shared" si="54"/>
        <v>5825</v>
      </c>
      <c r="BO94" s="387">
        <f t="shared" si="55"/>
        <v>0</v>
      </c>
      <c r="BP94" s="387">
        <f t="shared" si="56"/>
        <v>1187.0768</v>
      </c>
      <c r="BQ94" s="387">
        <f t="shared" si="57"/>
        <v>277.62280000000004</v>
      </c>
      <c r="BR94" s="387">
        <f t="shared" si="58"/>
        <v>2286.0801600000004</v>
      </c>
      <c r="BS94" s="387">
        <f t="shared" si="59"/>
        <v>138.04554400000001</v>
      </c>
      <c r="BT94" s="387">
        <f t="shared" si="60"/>
        <v>0</v>
      </c>
      <c r="BU94" s="387">
        <f t="shared" si="61"/>
        <v>105.97532400000001</v>
      </c>
      <c r="BV94" s="387">
        <f t="shared" si="62"/>
        <v>65.097760000000008</v>
      </c>
      <c r="BW94" s="387">
        <f t="shared" si="63"/>
        <v>0</v>
      </c>
      <c r="BX94" s="387">
        <f t="shared" si="78"/>
        <v>4059.8983880000005</v>
      </c>
      <c r="BY94" s="387">
        <f t="shared" si="79"/>
        <v>0</v>
      </c>
      <c r="BZ94" s="387">
        <f t="shared" si="80"/>
        <v>0</v>
      </c>
      <c r="CA94" s="387">
        <f t="shared" si="81"/>
        <v>0</v>
      </c>
      <c r="CB94" s="387">
        <f t="shared" si="82"/>
        <v>0</v>
      </c>
      <c r="CC94" s="387">
        <f t="shared" si="64"/>
        <v>0</v>
      </c>
      <c r="CD94" s="387">
        <f t="shared" si="65"/>
        <v>0</v>
      </c>
      <c r="CE94" s="387">
        <f t="shared" si="66"/>
        <v>0</v>
      </c>
      <c r="CF94" s="387">
        <f t="shared" si="67"/>
        <v>-93.817360000000008</v>
      </c>
      <c r="CG94" s="387">
        <f t="shared" si="68"/>
        <v>0</v>
      </c>
      <c r="CH94" s="387">
        <f t="shared" si="69"/>
        <v>13.402479999999995</v>
      </c>
      <c r="CI94" s="387">
        <f t="shared" si="70"/>
        <v>0</v>
      </c>
      <c r="CJ94" s="387">
        <f t="shared" si="83"/>
        <v>-80.414880000000011</v>
      </c>
      <c r="CK94" s="387" t="str">
        <f t="shared" si="84"/>
        <v/>
      </c>
      <c r="CL94" s="387" t="str">
        <f t="shared" si="85"/>
        <v/>
      </c>
      <c r="CM94" s="387" t="str">
        <f t="shared" si="86"/>
        <v/>
      </c>
      <c r="CN94" s="387" t="str">
        <f t="shared" si="87"/>
        <v>0348-31</v>
      </c>
    </row>
    <row r="95" spans="1:92" ht="15.75" thickBot="1" x14ac:dyDescent="0.3">
      <c r="A95" s="376" t="s">
        <v>161</v>
      </c>
      <c r="B95" s="376" t="s">
        <v>162</v>
      </c>
      <c r="C95" s="376" t="s">
        <v>641</v>
      </c>
      <c r="D95" s="376" t="s">
        <v>326</v>
      </c>
      <c r="E95" s="376" t="s">
        <v>224</v>
      </c>
      <c r="F95" s="382" t="s">
        <v>225</v>
      </c>
      <c r="G95" s="376" t="s">
        <v>167</v>
      </c>
      <c r="H95" s="378"/>
      <c r="I95" s="378"/>
      <c r="J95" s="376" t="s">
        <v>215</v>
      </c>
      <c r="K95" s="376" t="s">
        <v>520</v>
      </c>
      <c r="L95" s="376" t="s">
        <v>210</v>
      </c>
      <c r="M95" s="376" t="s">
        <v>171</v>
      </c>
      <c r="N95" s="376" t="s">
        <v>172</v>
      </c>
      <c r="O95" s="379">
        <v>1</v>
      </c>
      <c r="P95" s="385">
        <v>1</v>
      </c>
      <c r="Q95" s="385">
        <v>1</v>
      </c>
      <c r="R95" s="380">
        <v>80</v>
      </c>
      <c r="S95" s="385">
        <v>1</v>
      </c>
      <c r="T95" s="380">
        <v>0</v>
      </c>
      <c r="U95" s="380">
        <v>0</v>
      </c>
      <c r="V95" s="380">
        <v>0</v>
      </c>
      <c r="W95" s="380">
        <v>69680</v>
      </c>
      <c r="X95" s="380">
        <v>26718.28</v>
      </c>
      <c r="Y95" s="380">
        <v>69680</v>
      </c>
      <c r="Z95" s="380">
        <v>26425.63</v>
      </c>
      <c r="AA95" s="376" t="s">
        <v>642</v>
      </c>
      <c r="AB95" s="376" t="s">
        <v>643</v>
      </c>
      <c r="AC95" s="376" t="s">
        <v>644</v>
      </c>
      <c r="AD95" s="376" t="s">
        <v>324</v>
      </c>
      <c r="AE95" s="376" t="s">
        <v>520</v>
      </c>
      <c r="AF95" s="376" t="s">
        <v>245</v>
      </c>
      <c r="AG95" s="376" t="s">
        <v>178</v>
      </c>
      <c r="AH95" s="381">
        <v>33.5</v>
      </c>
      <c r="AI95" s="379">
        <v>436</v>
      </c>
      <c r="AJ95" s="376" t="s">
        <v>179</v>
      </c>
      <c r="AK95" s="376" t="s">
        <v>180</v>
      </c>
      <c r="AL95" s="376" t="s">
        <v>181</v>
      </c>
      <c r="AM95" s="376" t="s">
        <v>182</v>
      </c>
      <c r="AN95" s="376" t="s">
        <v>68</v>
      </c>
      <c r="AO95" s="379">
        <v>80</v>
      </c>
      <c r="AP95" s="385">
        <v>1</v>
      </c>
      <c r="AQ95" s="385">
        <v>1</v>
      </c>
      <c r="AR95" s="383" t="s">
        <v>183</v>
      </c>
      <c r="AS95" s="387">
        <f t="shared" si="71"/>
        <v>1</v>
      </c>
      <c r="AT95">
        <f t="shared" si="72"/>
        <v>1</v>
      </c>
      <c r="AU95" s="387">
        <f>IF(AT95=0,"",IF(AND(AT95=1,M95="F",SUMIF(C2:C1334,C95,AS2:AS1334)&lt;=1),SUMIF(C2:C1334,C95,AS2:AS1334),IF(AND(AT95=1,M95="F",SUMIF(C2:C1334,C95,AS2:AS1334)&gt;1),1,"")))</f>
        <v>1</v>
      </c>
      <c r="AV95" s="387" t="str">
        <f>IF(AT95=0,"",IF(AND(AT95=3,M95="F",SUMIF(C2:C1334,C95,AS2:AS1334)&lt;=1),SUMIF(C2:C1334,C95,AS2:AS1334),IF(AND(AT95=3,M95="F",SUMIF(C2:C1334,C95,AS2:AS1334)&gt;1),1,"")))</f>
        <v/>
      </c>
      <c r="AW95" s="387">
        <f>SUMIF(C2:C1334,C95,O2:O1334)</f>
        <v>2</v>
      </c>
      <c r="AX95" s="387">
        <f>IF(AND(M95="F",AS95&lt;&gt;0),SUMIF(C2:C1334,C95,W2:W1334),0)</f>
        <v>69680</v>
      </c>
      <c r="AY95" s="387">
        <f t="shared" si="73"/>
        <v>69680</v>
      </c>
      <c r="AZ95" s="387" t="str">
        <f t="shared" si="74"/>
        <v/>
      </c>
      <c r="BA95" s="387">
        <f t="shared" si="75"/>
        <v>0</v>
      </c>
      <c r="BB95" s="387">
        <f t="shared" si="44"/>
        <v>11650</v>
      </c>
      <c r="BC95" s="387">
        <f t="shared" si="45"/>
        <v>0</v>
      </c>
      <c r="BD95" s="387">
        <f t="shared" si="46"/>
        <v>4320.16</v>
      </c>
      <c r="BE95" s="387">
        <f t="shared" si="47"/>
        <v>1010.36</v>
      </c>
      <c r="BF95" s="387">
        <f t="shared" si="48"/>
        <v>8319.7920000000013</v>
      </c>
      <c r="BG95" s="387">
        <f t="shared" si="49"/>
        <v>502.39280000000002</v>
      </c>
      <c r="BH95" s="387">
        <f t="shared" si="50"/>
        <v>341.43200000000002</v>
      </c>
      <c r="BI95" s="387">
        <f t="shared" si="51"/>
        <v>385.67880000000002</v>
      </c>
      <c r="BJ95" s="387">
        <f t="shared" si="52"/>
        <v>188.13600000000002</v>
      </c>
      <c r="BK95" s="387">
        <f t="shared" si="53"/>
        <v>0</v>
      </c>
      <c r="BL95" s="387">
        <f t="shared" si="76"/>
        <v>15067.951600000002</v>
      </c>
      <c r="BM95" s="387">
        <f t="shared" si="77"/>
        <v>0</v>
      </c>
      <c r="BN95" s="387">
        <f t="shared" si="54"/>
        <v>11650</v>
      </c>
      <c r="BO95" s="387">
        <f t="shared" si="55"/>
        <v>0</v>
      </c>
      <c r="BP95" s="387">
        <f t="shared" si="56"/>
        <v>4320.16</v>
      </c>
      <c r="BQ95" s="387">
        <f t="shared" si="57"/>
        <v>1010.36</v>
      </c>
      <c r="BR95" s="387">
        <f t="shared" si="58"/>
        <v>8319.7920000000013</v>
      </c>
      <c r="BS95" s="387">
        <f t="shared" si="59"/>
        <v>502.39280000000002</v>
      </c>
      <c r="BT95" s="387">
        <f t="shared" si="60"/>
        <v>0</v>
      </c>
      <c r="BU95" s="387">
        <f t="shared" si="61"/>
        <v>385.67880000000002</v>
      </c>
      <c r="BV95" s="387">
        <f t="shared" si="62"/>
        <v>236.91199999999998</v>
      </c>
      <c r="BW95" s="387">
        <f t="shared" si="63"/>
        <v>0</v>
      </c>
      <c r="BX95" s="387">
        <f t="shared" si="78"/>
        <v>14775.295600000001</v>
      </c>
      <c r="BY95" s="387">
        <f t="shared" si="79"/>
        <v>0</v>
      </c>
      <c r="BZ95" s="387">
        <f t="shared" si="80"/>
        <v>0</v>
      </c>
      <c r="CA95" s="387">
        <f t="shared" si="81"/>
        <v>0</v>
      </c>
      <c r="CB95" s="387">
        <f t="shared" si="82"/>
        <v>0</v>
      </c>
      <c r="CC95" s="387">
        <f t="shared" si="64"/>
        <v>0</v>
      </c>
      <c r="CD95" s="387">
        <f t="shared" si="65"/>
        <v>0</v>
      </c>
      <c r="CE95" s="387">
        <f t="shared" si="66"/>
        <v>0</v>
      </c>
      <c r="CF95" s="387">
        <f t="shared" si="67"/>
        <v>-341.43200000000002</v>
      </c>
      <c r="CG95" s="387">
        <f t="shared" si="68"/>
        <v>0</v>
      </c>
      <c r="CH95" s="387">
        <f t="shared" si="69"/>
        <v>48.775999999999975</v>
      </c>
      <c r="CI95" s="387">
        <f t="shared" si="70"/>
        <v>0</v>
      </c>
      <c r="CJ95" s="387">
        <f t="shared" si="83"/>
        <v>-292.65600000000006</v>
      </c>
      <c r="CK95" s="387" t="str">
        <f t="shared" si="84"/>
        <v/>
      </c>
      <c r="CL95" s="387" t="str">
        <f t="shared" si="85"/>
        <v/>
      </c>
      <c r="CM95" s="387" t="str">
        <f t="shared" si="86"/>
        <v/>
      </c>
      <c r="CN95" s="387" t="str">
        <f t="shared" si="87"/>
        <v>0348-31</v>
      </c>
    </row>
    <row r="96" spans="1:92" ht="15.75" thickBot="1" x14ac:dyDescent="0.3">
      <c r="A96" s="376" t="s">
        <v>161</v>
      </c>
      <c r="B96" s="376" t="s">
        <v>162</v>
      </c>
      <c r="C96" s="376" t="s">
        <v>645</v>
      </c>
      <c r="D96" s="376" t="s">
        <v>556</v>
      </c>
      <c r="E96" s="376" t="s">
        <v>224</v>
      </c>
      <c r="F96" s="382" t="s">
        <v>225</v>
      </c>
      <c r="G96" s="376" t="s">
        <v>167</v>
      </c>
      <c r="H96" s="378"/>
      <c r="I96" s="378"/>
      <c r="J96" s="376" t="s">
        <v>239</v>
      </c>
      <c r="K96" s="376" t="s">
        <v>557</v>
      </c>
      <c r="L96" s="376" t="s">
        <v>406</v>
      </c>
      <c r="M96" s="376" t="s">
        <v>171</v>
      </c>
      <c r="N96" s="376" t="s">
        <v>172</v>
      </c>
      <c r="O96" s="379">
        <v>1</v>
      </c>
      <c r="P96" s="385">
        <v>0.8</v>
      </c>
      <c r="Q96" s="385">
        <v>0.8</v>
      </c>
      <c r="R96" s="380">
        <v>80</v>
      </c>
      <c r="S96" s="385">
        <v>0.8</v>
      </c>
      <c r="T96" s="380">
        <v>0</v>
      </c>
      <c r="U96" s="380">
        <v>0</v>
      </c>
      <c r="V96" s="380">
        <v>0</v>
      </c>
      <c r="W96" s="380">
        <v>25891.84</v>
      </c>
      <c r="X96" s="380">
        <v>14919.08</v>
      </c>
      <c r="Y96" s="380">
        <v>25891.84</v>
      </c>
      <c r="Z96" s="380">
        <v>14810.34</v>
      </c>
      <c r="AA96" s="376" t="s">
        <v>646</v>
      </c>
      <c r="AB96" s="376" t="s">
        <v>647</v>
      </c>
      <c r="AC96" s="376" t="s">
        <v>648</v>
      </c>
      <c r="AD96" s="376" t="s">
        <v>441</v>
      </c>
      <c r="AE96" s="376" t="s">
        <v>557</v>
      </c>
      <c r="AF96" s="376" t="s">
        <v>562</v>
      </c>
      <c r="AG96" s="376" t="s">
        <v>178</v>
      </c>
      <c r="AH96" s="381">
        <v>15.56</v>
      </c>
      <c r="AI96" s="381">
        <v>25627.599999999999</v>
      </c>
      <c r="AJ96" s="376" t="s">
        <v>179</v>
      </c>
      <c r="AK96" s="376" t="s">
        <v>180</v>
      </c>
      <c r="AL96" s="376" t="s">
        <v>181</v>
      </c>
      <c r="AM96" s="376" t="s">
        <v>182</v>
      </c>
      <c r="AN96" s="376" t="s">
        <v>68</v>
      </c>
      <c r="AO96" s="379">
        <v>80</v>
      </c>
      <c r="AP96" s="385">
        <v>1</v>
      </c>
      <c r="AQ96" s="385">
        <v>0.8</v>
      </c>
      <c r="AR96" s="383" t="s">
        <v>183</v>
      </c>
      <c r="AS96" s="387">
        <f t="shared" si="71"/>
        <v>0.8</v>
      </c>
      <c r="AT96">
        <f t="shared" si="72"/>
        <v>1</v>
      </c>
      <c r="AU96" s="387">
        <f>IF(AT96=0,"",IF(AND(AT96=1,M96="F",SUMIF(C2:C1334,C96,AS2:AS1334)&lt;=1),SUMIF(C2:C1334,C96,AS2:AS1334),IF(AND(AT96=1,M96="F",SUMIF(C2:C1334,C96,AS2:AS1334)&gt;1),1,"")))</f>
        <v>1</v>
      </c>
      <c r="AV96" s="387" t="str">
        <f>IF(AT96=0,"",IF(AND(AT96=3,M96="F",SUMIF(C2:C1334,C96,AS2:AS1334)&lt;=1),SUMIF(C2:C1334,C96,AS2:AS1334),IF(AND(AT96=3,M96="F",SUMIF(C2:C1334,C96,AS2:AS1334)&gt;1),1,"")))</f>
        <v/>
      </c>
      <c r="AW96" s="387">
        <f>SUMIF(C2:C1334,C96,O2:O1334)</f>
        <v>3</v>
      </c>
      <c r="AX96" s="387">
        <f>IF(AND(M96="F",AS96&lt;&gt;0),SUMIF(C2:C1334,C96,W2:W1334),0)</f>
        <v>32364.799999999999</v>
      </c>
      <c r="AY96" s="387">
        <f t="shared" si="73"/>
        <v>25891.84</v>
      </c>
      <c r="AZ96" s="387" t="str">
        <f t="shared" si="74"/>
        <v/>
      </c>
      <c r="BA96" s="387">
        <f t="shared" si="75"/>
        <v>0</v>
      </c>
      <c r="BB96" s="387">
        <f t="shared" si="44"/>
        <v>9320</v>
      </c>
      <c r="BC96" s="387">
        <f t="shared" si="45"/>
        <v>0</v>
      </c>
      <c r="BD96" s="387">
        <f t="shared" si="46"/>
        <v>1605.2940799999999</v>
      </c>
      <c r="BE96" s="387">
        <f t="shared" si="47"/>
        <v>375.43168000000003</v>
      </c>
      <c r="BF96" s="387">
        <f t="shared" si="48"/>
        <v>3091.4856960000002</v>
      </c>
      <c r="BG96" s="387">
        <f t="shared" si="49"/>
        <v>186.68016640000002</v>
      </c>
      <c r="BH96" s="387">
        <f t="shared" si="50"/>
        <v>126.87001599999999</v>
      </c>
      <c r="BI96" s="387">
        <f t="shared" si="51"/>
        <v>143.31133439999999</v>
      </c>
      <c r="BJ96" s="387">
        <f t="shared" si="52"/>
        <v>69.907968000000011</v>
      </c>
      <c r="BK96" s="387">
        <f t="shared" si="53"/>
        <v>0</v>
      </c>
      <c r="BL96" s="387">
        <f t="shared" si="76"/>
        <v>5598.980940800001</v>
      </c>
      <c r="BM96" s="387">
        <f t="shared" si="77"/>
        <v>0</v>
      </c>
      <c r="BN96" s="387">
        <f t="shared" si="54"/>
        <v>9320</v>
      </c>
      <c r="BO96" s="387">
        <f t="shared" si="55"/>
        <v>0</v>
      </c>
      <c r="BP96" s="387">
        <f t="shared" si="56"/>
        <v>1605.2940799999999</v>
      </c>
      <c r="BQ96" s="387">
        <f t="shared" si="57"/>
        <v>375.43168000000003</v>
      </c>
      <c r="BR96" s="387">
        <f t="shared" si="58"/>
        <v>3091.4856960000002</v>
      </c>
      <c r="BS96" s="387">
        <f t="shared" si="59"/>
        <v>186.68016640000002</v>
      </c>
      <c r="BT96" s="387">
        <f t="shared" si="60"/>
        <v>0</v>
      </c>
      <c r="BU96" s="387">
        <f t="shared" si="61"/>
        <v>143.31133439999999</v>
      </c>
      <c r="BV96" s="387">
        <f t="shared" si="62"/>
        <v>88.03225599999999</v>
      </c>
      <c r="BW96" s="387">
        <f t="shared" si="63"/>
        <v>0</v>
      </c>
      <c r="BX96" s="387">
        <f t="shared" si="78"/>
        <v>5490.2352128000011</v>
      </c>
      <c r="BY96" s="387">
        <f t="shared" si="79"/>
        <v>0</v>
      </c>
      <c r="BZ96" s="387">
        <f t="shared" si="80"/>
        <v>0</v>
      </c>
      <c r="CA96" s="387">
        <f t="shared" si="81"/>
        <v>0</v>
      </c>
      <c r="CB96" s="387">
        <f t="shared" si="82"/>
        <v>0</v>
      </c>
      <c r="CC96" s="387">
        <f t="shared" si="64"/>
        <v>0</v>
      </c>
      <c r="CD96" s="387">
        <f t="shared" si="65"/>
        <v>0</v>
      </c>
      <c r="CE96" s="387">
        <f t="shared" si="66"/>
        <v>0</v>
      </c>
      <c r="CF96" s="387">
        <f t="shared" si="67"/>
        <v>-126.87001599999999</v>
      </c>
      <c r="CG96" s="387">
        <f t="shared" si="68"/>
        <v>0</v>
      </c>
      <c r="CH96" s="387">
        <f t="shared" si="69"/>
        <v>18.124287999999993</v>
      </c>
      <c r="CI96" s="387">
        <f t="shared" si="70"/>
        <v>0</v>
      </c>
      <c r="CJ96" s="387">
        <f t="shared" si="83"/>
        <v>-108.745728</v>
      </c>
      <c r="CK96" s="387" t="str">
        <f t="shared" si="84"/>
        <v/>
      </c>
      <c r="CL96" s="387" t="str">
        <f t="shared" si="85"/>
        <v/>
      </c>
      <c r="CM96" s="387" t="str">
        <f t="shared" si="86"/>
        <v/>
      </c>
      <c r="CN96" s="387" t="str">
        <f t="shared" si="87"/>
        <v>0348-31</v>
      </c>
    </row>
    <row r="97" spans="1:92" ht="15.75" thickBot="1" x14ac:dyDescent="0.3">
      <c r="A97" s="376" t="s">
        <v>161</v>
      </c>
      <c r="B97" s="376" t="s">
        <v>162</v>
      </c>
      <c r="C97" s="376" t="s">
        <v>649</v>
      </c>
      <c r="D97" s="376" t="s">
        <v>625</v>
      </c>
      <c r="E97" s="376" t="s">
        <v>224</v>
      </c>
      <c r="F97" s="382" t="s">
        <v>225</v>
      </c>
      <c r="G97" s="376" t="s">
        <v>167</v>
      </c>
      <c r="H97" s="378"/>
      <c r="I97" s="378"/>
      <c r="J97" s="376" t="s">
        <v>215</v>
      </c>
      <c r="K97" s="376" t="s">
        <v>626</v>
      </c>
      <c r="L97" s="376" t="s">
        <v>217</v>
      </c>
      <c r="M97" s="376" t="s">
        <v>171</v>
      </c>
      <c r="N97" s="376" t="s">
        <v>172</v>
      </c>
      <c r="O97" s="379">
        <v>1</v>
      </c>
      <c r="P97" s="385">
        <v>1</v>
      </c>
      <c r="Q97" s="385">
        <v>1</v>
      </c>
      <c r="R97" s="380">
        <v>80</v>
      </c>
      <c r="S97" s="385">
        <v>1</v>
      </c>
      <c r="T97" s="380">
        <v>0</v>
      </c>
      <c r="U97" s="380">
        <v>0</v>
      </c>
      <c r="V97" s="380">
        <v>0</v>
      </c>
      <c r="W97" s="380">
        <v>43638.400000000001</v>
      </c>
      <c r="X97" s="380">
        <v>21086.77</v>
      </c>
      <c r="Y97" s="380">
        <v>43638.400000000001</v>
      </c>
      <c r="Z97" s="380">
        <v>20903.5</v>
      </c>
      <c r="AA97" s="376" t="s">
        <v>650</v>
      </c>
      <c r="AB97" s="376" t="s">
        <v>651</v>
      </c>
      <c r="AC97" s="376" t="s">
        <v>652</v>
      </c>
      <c r="AD97" s="376" t="s">
        <v>653</v>
      </c>
      <c r="AE97" s="376" t="s">
        <v>626</v>
      </c>
      <c r="AF97" s="376" t="s">
        <v>221</v>
      </c>
      <c r="AG97" s="376" t="s">
        <v>178</v>
      </c>
      <c r="AH97" s="381">
        <v>20.98</v>
      </c>
      <c r="AI97" s="381">
        <v>34506.199999999997</v>
      </c>
      <c r="AJ97" s="376" t="s">
        <v>179</v>
      </c>
      <c r="AK97" s="376" t="s">
        <v>180</v>
      </c>
      <c r="AL97" s="376" t="s">
        <v>181</v>
      </c>
      <c r="AM97" s="376" t="s">
        <v>182</v>
      </c>
      <c r="AN97" s="376" t="s">
        <v>68</v>
      </c>
      <c r="AO97" s="379">
        <v>80</v>
      </c>
      <c r="AP97" s="385">
        <v>1</v>
      </c>
      <c r="AQ97" s="385">
        <v>1</v>
      </c>
      <c r="AR97" s="383" t="s">
        <v>183</v>
      </c>
      <c r="AS97" s="387">
        <f t="shared" si="71"/>
        <v>1</v>
      </c>
      <c r="AT97">
        <f t="shared" si="72"/>
        <v>1</v>
      </c>
      <c r="AU97" s="387">
        <f>IF(AT97=0,"",IF(AND(AT97=1,M97="F",SUMIF(C2:C1334,C97,AS2:AS1334)&lt;=1),SUMIF(C2:C1334,C97,AS2:AS1334),IF(AND(AT97=1,M97="F",SUMIF(C2:C1334,C97,AS2:AS1334)&gt;1),1,"")))</f>
        <v>1</v>
      </c>
      <c r="AV97" s="387" t="str">
        <f>IF(AT97=0,"",IF(AND(AT97=3,M97="F",SUMIF(C2:C1334,C97,AS2:AS1334)&lt;=1),SUMIF(C2:C1334,C97,AS2:AS1334),IF(AND(AT97=3,M97="F",SUMIF(C2:C1334,C97,AS2:AS1334)&gt;1),1,"")))</f>
        <v/>
      </c>
      <c r="AW97" s="387">
        <f>SUMIF(C2:C1334,C97,O2:O1334)</f>
        <v>2</v>
      </c>
      <c r="AX97" s="387">
        <f>IF(AND(M97="F",AS97&lt;&gt;0),SUMIF(C2:C1334,C97,W2:W1334),0)</f>
        <v>43638.400000000001</v>
      </c>
      <c r="AY97" s="387">
        <f t="shared" si="73"/>
        <v>43638.400000000001</v>
      </c>
      <c r="AZ97" s="387" t="str">
        <f t="shared" si="74"/>
        <v/>
      </c>
      <c r="BA97" s="387">
        <f t="shared" si="75"/>
        <v>0</v>
      </c>
      <c r="BB97" s="387">
        <f t="shared" si="44"/>
        <v>11650</v>
      </c>
      <c r="BC97" s="387">
        <f t="shared" si="45"/>
        <v>0</v>
      </c>
      <c r="BD97" s="387">
        <f t="shared" si="46"/>
        <v>2705.5808000000002</v>
      </c>
      <c r="BE97" s="387">
        <f t="shared" si="47"/>
        <v>632.7568</v>
      </c>
      <c r="BF97" s="387">
        <f t="shared" si="48"/>
        <v>5210.4249600000003</v>
      </c>
      <c r="BG97" s="387">
        <f t="shared" si="49"/>
        <v>314.63286400000004</v>
      </c>
      <c r="BH97" s="387">
        <f t="shared" si="50"/>
        <v>213.82816</v>
      </c>
      <c r="BI97" s="387">
        <f t="shared" si="51"/>
        <v>241.538544</v>
      </c>
      <c r="BJ97" s="387">
        <f t="shared" si="52"/>
        <v>117.82368000000001</v>
      </c>
      <c r="BK97" s="387">
        <f t="shared" si="53"/>
        <v>0</v>
      </c>
      <c r="BL97" s="387">
        <f t="shared" si="76"/>
        <v>9436.585807999998</v>
      </c>
      <c r="BM97" s="387">
        <f t="shared" si="77"/>
        <v>0</v>
      </c>
      <c r="BN97" s="387">
        <f t="shared" si="54"/>
        <v>11650</v>
      </c>
      <c r="BO97" s="387">
        <f t="shared" si="55"/>
        <v>0</v>
      </c>
      <c r="BP97" s="387">
        <f t="shared" si="56"/>
        <v>2705.5808000000002</v>
      </c>
      <c r="BQ97" s="387">
        <f t="shared" si="57"/>
        <v>632.7568</v>
      </c>
      <c r="BR97" s="387">
        <f t="shared" si="58"/>
        <v>5210.4249600000003</v>
      </c>
      <c r="BS97" s="387">
        <f t="shared" si="59"/>
        <v>314.63286400000004</v>
      </c>
      <c r="BT97" s="387">
        <f t="shared" si="60"/>
        <v>0</v>
      </c>
      <c r="BU97" s="387">
        <f t="shared" si="61"/>
        <v>241.538544</v>
      </c>
      <c r="BV97" s="387">
        <f t="shared" si="62"/>
        <v>148.37055999999998</v>
      </c>
      <c r="BW97" s="387">
        <f t="shared" si="63"/>
        <v>0</v>
      </c>
      <c r="BX97" s="387">
        <f t="shared" si="78"/>
        <v>9253.3045280000006</v>
      </c>
      <c r="BY97" s="387">
        <f t="shared" si="79"/>
        <v>0</v>
      </c>
      <c r="BZ97" s="387">
        <f t="shared" si="80"/>
        <v>0</v>
      </c>
      <c r="CA97" s="387">
        <f t="shared" si="81"/>
        <v>0</v>
      </c>
      <c r="CB97" s="387">
        <f t="shared" si="82"/>
        <v>0</v>
      </c>
      <c r="CC97" s="387">
        <f t="shared" si="64"/>
        <v>0</v>
      </c>
      <c r="CD97" s="387">
        <f t="shared" si="65"/>
        <v>0</v>
      </c>
      <c r="CE97" s="387">
        <f t="shared" si="66"/>
        <v>0</v>
      </c>
      <c r="CF97" s="387">
        <f t="shared" si="67"/>
        <v>-213.82816</v>
      </c>
      <c r="CG97" s="387">
        <f t="shared" si="68"/>
        <v>0</v>
      </c>
      <c r="CH97" s="387">
        <f t="shared" si="69"/>
        <v>30.546879999999987</v>
      </c>
      <c r="CI97" s="387">
        <f t="shared" si="70"/>
        <v>0</v>
      </c>
      <c r="CJ97" s="387">
        <f t="shared" si="83"/>
        <v>-183.28128000000001</v>
      </c>
      <c r="CK97" s="387" t="str">
        <f t="shared" si="84"/>
        <v/>
      </c>
      <c r="CL97" s="387" t="str">
        <f t="shared" si="85"/>
        <v/>
      </c>
      <c r="CM97" s="387" t="str">
        <f t="shared" si="86"/>
        <v/>
      </c>
      <c r="CN97" s="387" t="str">
        <f t="shared" si="87"/>
        <v>0348-31</v>
      </c>
    </row>
    <row r="98" spans="1:92" ht="15.75" thickBot="1" x14ac:dyDescent="0.3">
      <c r="A98" s="376" t="s">
        <v>161</v>
      </c>
      <c r="B98" s="376" t="s">
        <v>162</v>
      </c>
      <c r="C98" s="376" t="s">
        <v>654</v>
      </c>
      <c r="D98" s="376" t="s">
        <v>655</v>
      </c>
      <c r="E98" s="376" t="s">
        <v>224</v>
      </c>
      <c r="F98" s="382" t="s">
        <v>225</v>
      </c>
      <c r="G98" s="376" t="s">
        <v>167</v>
      </c>
      <c r="H98" s="378"/>
      <c r="I98" s="378"/>
      <c r="J98" s="376" t="s">
        <v>239</v>
      </c>
      <c r="K98" s="376" t="s">
        <v>656</v>
      </c>
      <c r="L98" s="376" t="s">
        <v>210</v>
      </c>
      <c r="M98" s="376" t="s">
        <v>171</v>
      </c>
      <c r="N98" s="376" t="s">
        <v>172</v>
      </c>
      <c r="O98" s="379">
        <v>1</v>
      </c>
      <c r="P98" s="385">
        <v>0.85</v>
      </c>
      <c r="Q98" s="385">
        <v>0.85</v>
      </c>
      <c r="R98" s="380">
        <v>80</v>
      </c>
      <c r="S98" s="385">
        <v>0.85</v>
      </c>
      <c r="T98" s="380">
        <v>0</v>
      </c>
      <c r="U98" s="380">
        <v>0</v>
      </c>
      <c r="V98" s="380">
        <v>0</v>
      </c>
      <c r="W98" s="380">
        <v>54808</v>
      </c>
      <c r="X98" s="380">
        <v>21754.71</v>
      </c>
      <c r="Y98" s="380">
        <v>54808</v>
      </c>
      <c r="Z98" s="380">
        <v>21524.52</v>
      </c>
      <c r="AA98" s="376" t="s">
        <v>657</v>
      </c>
      <c r="AB98" s="376" t="s">
        <v>658</v>
      </c>
      <c r="AC98" s="376" t="s">
        <v>659</v>
      </c>
      <c r="AD98" s="376" t="s">
        <v>406</v>
      </c>
      <c r="AE98" s="376" t="s">
        <v>656</v>
      </c>
      <c r="AF98" s="376" t="s">
        <v>245</v>
      </c>
      <c r="AG98" s="376" t="s">
        <v>178</v>
      </c>
      <c r="AH98" s="379">
        <v>31</v>
      </c>
      <c r="AI98" s="381">
        <v>6015.5</v>
      </c>
      <c r="AJ98" s="376" t="s">
        <v>179</v>
      </c>
      <c r="AK98" s="376" t="s">
        <v>180</v>
      </c>
      <c r="AL98" s="376" t="s">
        <v>181</v>
      </c>
      <c r="AM98" s="376" t="s">
        <v>182</v>
      </c>
      <c r="AN98" s="376" t="s">
        <v>68</v>
      </c>
      <c r="AO98" s="379">
        <v>80</v>
      </c>
      <c r="AP98" s="385">
        <v>1</v>
      </c>
      <c r="AQ98" s="385">
        <v>0.85</v>
      </c>
      <c r="AR98" s="383" t="s">
        <v>183</v>
      </c>
      <c r="AS98" s="387">
        <f t="shared" si="71"/>
        <v>0.85</v>
      </c>
      <c r="AT98">
        <f t="shared" si="72"/>
        <v>1</v>
      </c>
      <c r="AU98" s="387">
        <f>IF(AT98=0,"",IF(AND(AT98=1,M98="F",SUMIF(C2:C1334,C98,AS2:AS1334)&lt;=1),SUMIF(C2:C1334,C98,AS2:AS1334),IF(AND(AT98=1,M98="F",SUMIF(C2:C1334,C98,AS2:AS1334)&gt;1),1,"")))</f>
        <v>1</v>
      </c>
      <c r="AV98" s="387" t="str">
        <f>IF(AT98=0,"",IF(AND(AT98=3,M98="F",SUMIF(C2:C1334,C98,AS2:AS1334)&lt;=1),SUMIF(C2:C1334,C98,AS2:AS1334),IF(AND(AT98=3,M98="F",SUMIF(C2:C1334,C98,AS2:AS1334)&gt;1),1,"")))</f>
        <v/>
      </c>
      <c r="AW98" s="387">
        <f>SUMIF(C2:C1334,C98,O2:O1334)</f>
        <v>3</v>
      </c>
      <c r="AX98" s="387">
        <f>IF(AND(M98="F",AS98&lt;&gt;0),SUMIF(C2:C1334,C98,W2:W1334),0)</f>
        <v>64480</v>
      </c>
      <c r="AY98" s="387">
        <f t="shared" si="73"/>
        <v>54808</v>
      </c>
      <c r="AZ98" s="387" t="str">
        <f t="shared" si="74"/>
        <v/>
      </c>
      <c r="BA98" s="387">
        <f t="shared" si="75"/>
        <v>0</v>
      </c>
      <c r="BB98" s="387">
        <f t="shared" si="44"/>
        <v>9902.5</v>
      </c>
      <c r="BC98" s="387">
        <f t="shared" si="45"/>
        <v>0</v>
      </c>
      <c r="BD98" s="387">
        <f t="shared" si="46"/>
        <v>3398.096</v>
      </c>
      <c r="BE98" s="387">
        <f t="shared" si="47"/>
        <v>794.71600000000001</v>
      </c>
      <c r="BF98" s="387">
        <f t="shared" si="48"/>
        <v>6544.0752000000002</v>
      </c>
      <c r="BG98" s="387">
        <f t="shared" si="49"/>
        <v>395.16568000000001</v>
      </c>
      <c r="BH98" s="387">
        <f t="shared" si="50"/>
        <v>268.55919999999998</v>
      </c>
      <c r="BI98" s="387">
        <f t="shared" si="51"/>
        <v>303.36228</v>
      </c>
      <c r="BJ98" s="387">
        <f t="shared" si="52"/>
        <v>147.98160000000001</v>
      </c>
      <c r="BK98" s="387">
        <f t="shared" si="53"/>
        <v>0</v>
      </c>
      <c r="BL98" s="387">
        <f t="shared" si="76"/>
        <v>11851.955959999999</v>
      </c>
      <c r="BM98" s="387">
        <f t="shared" si="77"/>
        <v>0</v>
      </c>
      <c r="BN98" s="387">
        <f t="shared" si="54"/>
        <v>9902.5</v>
      </c>
      <c r="BO98" s="387">
        <f t="shared" si="55"/>
        <v>0</v>
      </c>
      <c r="BP98" s="387">
        <f t="shared" si="56"/>
        <v>3398.096</v>
      </c>
      <c r="BQ98" s="387">
        <f t="shared" si="57"/>
        <v>794.71600000000001</v>
      </c>
      <c r="BR98" s="387">
        <f t="shared" si="58"/>
        <v>6544.0752000000002</v>
      </c>
      <c r="BS98" s="387">
        <f t="shared" si="59"/>
        <v>395.16568000000001</v>
      </c>
      <c r="BT98" s="387">
        <f t="shared" si="60"/>
        <v>0</v>
      </c>
      <c r="BU98" s="387">
        <f t="shared" si="61"/>
        <v>303.36228</v>
      </c>
      <c r="BV98" s="387">
        <f t="shared" si="62"/>
        <v>186.34719999999999</v>
      </c>
      <c r="BW98" s="387">
        <f t="shared" si="63"/>
        <v>0</v>
      </c>
      <c r="BX98" s="387">
        <f t="shared" si="78"/>
        <v>11621.762360000001</v>
      </c>
      <c r="BY98" s="387">
        <f t="shared" si="79"/>
        <v>0</v>
      </c>
      <c r="BZ98" s="387">
        <f t="shared" si="80"/>
        <v>0</v>
      </c>
      <c r="CA98" s="387">
        <f t="shared" si="81"/>
        <v>0</v>
      </c>
      <c r="CB98" s="387">
        <f t="shared" si="82"/>
        <v>0</v>
      </c>
      <c r="CC98" s="387">
        <f t="shared" si="64"/>
        <v>0</v>
      </c>
      <c r="CD98" s="387">
        <f t="shared" si="65"/>
        <v>0</v>
      </c>
      <c r="CE98" s="387">
        <f t="shared" si="66"/>
        <v>0</v>
      </c>
      <c r="CF98" s="387">
        <f t="shared" si="67"/>
        <v>-268.55919999999998</v>
      </c>
      <c r="CG98" s="387">
        <f t="shared" si="68"/>
        <v>0</v>
      </c>
      <c r="CH98" s="387">
        <f t="shared" si="69"/>
        <v>38.365599999999979</v>
      </c>
      <c r="CI98" s="387">
        <f t="shared" si="70"/>
        <v>0</v>
      </c>
      <c r="CJ98" s="387">
        <f t="shared" si="83"/>
        <v>-230.1936</v>
      </c>
      <c r="CK98" s="387" t="str">
        <f t="shared" si="84"/>
        <v/>
      </c>
      <c r="CL98" s="387" t="str">
        <f t="shared" si="85"/>
        <v/>
      </c>
      <c r="CM98" s="387" t="str">
        <f t="shared" si="86"/>
        <v/>
      </c>
      <c r="CN98" s="387" t="str">
        <f t="shared" si="87"/>
        <v>0348-31</v>
      </c>
    </row>
    <row r="99" spans="1:92" ht="15.75" thickBot="1" x14ac:dyDescent="0.3">
      <c r="A99" s="376" t="s">
        <v>161</v>
      </c>
      <c r="B99" s="376" t="s">
        <v>162</v>
      </c>
      <c r="C99" s="376" t="s">
        <v>660</v>
      </c>
      <c r="D99" s="376" t="s">
        <v>368</v>
      </c>
      <c r="E99" s="376" t="s">
        <v>224</v>
      </c>
      <c r="F99" s="382" t="s">
        <v>225</v>
      </c>
      <c r="G99" s="376" t="s">
        <v>167</v>
      </c>
      <c r="H99" s="378"/>
      <c r="I99" s="378"/>
      <c r="J99" s="376" t="s">
        <v>239</v>
      </c>
      <c r="K99" s="376" t="s">
        <v>424</v>
      </c>
      <c r="L99" s="376" t="s">
        <v>210</v>
      </c>
      <c r="M99" s="376" t="s">
        <v>171</v>
      </c>
      <c r="N99" s="376" t="s">
        <v>172</v>
      </c>
      <c r="O99" s="379">
        <v>1</v>
      </c>
      <c r="P99" s="385">
        <v>0.85</v>
      </c>
      <c r="Q99" s="385">
        <v>0.85</v>
      </c>
      <c r="R99" s="380">
        <v>80</v>
      </c>
      <c r="S99" s="385">
        <v>0.85</v>
      </c>
      <c r="T99" s="380">
        <v>0</v>
      </c>
      <c r="U99" s="380">
        <v>0</v>
      </c>
      <c r="V99" s="380">
        <v>0</v>
      </c>
      <c r="W99" s="380">
        <v>69058.080000000002</v>
      </c>
      <c r="X99" s="380">
        <v>24836.26</v>
      </c>
      <c r="Y99" s="380">
        <v>69058.080000000002</v>
      </c>
      <c r="Z99" s="380">
        <v>24546.23</v>
      </c>
      <c r="AA99" s="376" t="s">
        <v>661</v>
      </c>
      <c r="AB99" s="376" t="s">
        <v>662</v>
      </c>
      <c r="AC99" s="376" t="s">
        <v>663</v>
      </c>
      <c r="AD99" s="376" t="s">
        <v>252</v>
      </c>
      <c r="AE99" s="376" t="s">
        <v>424</v>
      </c>
      <c r="AF99" s="376" t="s">
        <v>245</v>
      </c>
      <c r="AG99" s="376" t="s">
        <v>178</v>
      </c>
      <c r="AH99" s="381">
        <v>39.06</v>
      </c>
      <c r="AI99" s="379">
        <v>49880</v>
      </c>
      <c r="AJ99" s="376" t="s">
        <v>179</v>
      </c>
      <c r="AK99" s="376" t="s">
        <v>180</v>
      </c>
      <c r="AL99" s="376" t="s">
        <v>181</v>
      </c>
      <c r="AM99" s="376" t="s">
        <v>182</v>
      </c>
      <c r="AN99" s="376" t="s">
        <v>68</v>
      </c>
      <c r="AO99" s="379">
        <v>80</v>
      </c>
      <c r="AP99" s="385">
        <v>1</v>
      </c>
      <c r="AQ99" s="385">
        <v>0.85</v>
      </c>
      <c r="AR99" s="383" t="s">
        <v>183</v>
      </c>
      <c r="AS99" s="387">
        <f t="shared" si="71"/>
        <v>0.85</v>
      </c>
      <c r="AT99">
        <f t="shared" si="72"/>
        <v>1</v>
      </c>
      <c r="AU99" s="387">
        <f>IF(AT99=0,"",IF(AND(AT99=1,M99="F",SUMIF(C2:C1334,C99,AS2:AS1334)&lt;=1),SUMIF(C2:C1334,C99,AS2:AS1334),IF(AND(AT99=1,M99="F",SUMIF(C2:C1334,C99,AS2:AS1334)&gt;1),1,"")))</f>
        <v>1</v>
      </c>
      <c r="AV99" s="387" t="str">
        <f>IF(AT99=0,"",IF(AND(AT99=3,M99="F",SUMIF(C2:C1334,C99,AS2:AS1334)&lt;=1),SUMIF(C2:C1334,C99,AS2:AS1334),IF(AND(AT99=3,M99="F",SUMIF(C2:C1334,C99,AS2:AS1334)&gt;1),1,"")))</f>
        <v/>
      </c>
      <c r="AW99" s="387">
        <f>SUMIF(C2:C1334,C99,O2:O1334)</f>
        <v>3</v>
      </c>
      <c r="AX99" s="387">
        <f>IF(AND(M99="F",AS99&lt;&gt;0),SUMIF(C2:C1334,C99,W2:W1334),0)</f>
        <v>81244.800000000003</v>
      </c>
      <c r="AY99" s="387">
        <f t="shared" si="73"/>
        <v>69058.080000000002</v>
      </c>
      <c r="AZ99" s="387" t="str">
        <f t="shared" si="74"/>
        <v/>
      </c>
      <c r="BA99" s="387">
        <f t="shared" si="75"/>
        <v>0</v>
      </c>
      <c r="BB99" s="387">
        <f t="shared" si="44"/>
        <v>9902.5</v>
      </c>
      <c r="BC99" s="387">
        <f t="shared" si="45"/>
        <v>0</v>
      </c>
      <c r="BD99" s="387">
        <f t="shared" si="46"/>
        <v>4281.6009599999998</v>
      </c>
      <c r="BE99" s="387">
        <f t="shared" si="47"/>
        <v>1001.34216</v>
      </c>
      <c r="BF99" s="387">
        <f t="shared" si="48"/>
        <v>8245.5347520000014</v>
      </c>
      <c r="BG99" s="387">
        <f t="shared" si="49"/>
        <v>497.90875680000005</v>
      </c>
      <c r="BH99" s="387">
        <f t="shared" si="50"/>
        <v>338.384592</v>
      </c>
      <c r="BI99" s="387">
        <f t="shared" si="51"/>
        <v>382.2364728</v>
      </c>
      <c r="BJ99" s="387">
        <f t="shared" si="52"/>
        <v>186.456816</v>
      </c>
      <c r="BK99" s="387">
        <f t="shared" si="53"/>
        <v>0</v>
      </c>
      <c r="BL99" s="387">
        <f t="shared" si="76"/>
        <v>14933.4645096</v>
      </c>
      <c r="BM99" s="387">
        <f t="shared" si="77"/>
        <v>0</v>
      </c>
      <c r="BN99" s="387">
        <f t="shared" si="54"/>
        <v>9902.5</v>
      </c>
      <c r="BO99" s="387">
        <f t="shared" si="55"/>
        <v>0</v>
      </c>
      <c r="BP99" s="387">
        <f t="shared" si="56"/>
        <v>4281.6009599999998</v>
      </c>
      <c r="BQ99" s="387">
        <f t="shared" si="57"/>
        <v>1001.34216</v>
      </c>
      <c r="BR99" s="387">
        <f t="shared" si="58"/>
        <v>8245.5347520000014</v>
      </c>
      <c r="BS99" s="387">
        <f t="shared" si="59"/>
        <v>497.90875680000005</v>
      </c>
      <c r="BT99" s="387">
        <f t="shared" si="60"/>
        <v>0</v>
      </c>
      <c r="BU99" s="387">
        <f t="shared" si="61"/>
        <v>382.2364728</v>
      </c>
      <c r="BV99" s="387">
        <f t="shared" si="62"/>
        <v>234.797472</v>
      </c>
      <c r="BW99" s="387">
        <f t="shared" si="63"/>
        <v>0</v>
      </c>
      <c r="BX99" s="387">
        <f t="shared" si="78"/>
        <v>14643.4205736</v>
      </c>
      <c r="BY99" s="387">
        <f t="shared" si="79"/>
        <v>0</v>
      </c>
      <c r="BZ99" s="387">
        <f t="shared" si="80"/>
        <v>0</v>
      </c>
      <c r="CA99" s="387">
        <f t="shared" si="81"/>
        <v>0</v>
      </c>
      <c r="CB99" s="387">
        <f t="shared" si="82"/>
        <v>0</v>
      </c>
      <c r="CC99" s="387">
        <f t="shared" si="64"/>
        <v>0</v>
      </c>
      <c r="CD99" s="387">
        <f t="shared" si="65"/>
        <v>0</v>
      </c>
      <c r="CE99" s="387">
        <f t="shared" si="66"/>
        <v>0</v>
      </c>
      <c r="CF99" s="387">
        <f t="shared" si="67"/>
        <v>-338.384592</v>
      </c>
      <c r="CG99" s="387">
        <f t="shared" si="68"/>
        <v>0</v>
      </c>
      <c r="CH99" s="387">
        <f t="shared" si="69"/>
        <v>48.340655999999981</v>
      </c>
      <c r="CI99" s="387">
        <f t="shared" si="70"/>
        <v>0</v>
      </c>
      <c r="CJ99" s="387">
        <f t="shared" si="83"/>
        <v>-290.04393600000003</v>
      </c>
      <c r="CK99" s="387" t="str">
        <f t="shared" si="84"/>
        <v/>
      </c>
      <c r="CL99" s="387" t="str">
        <f t="shared" si="85"/>
        <v/>
      </c>
      <c r="CM99" s="387" t="str">
        <f t="shared" si="86"/>
        <v/>
      </c>
      <c r="CN99" s="387" t="str">
        <f t="shared" si="87"/>
        <v>0348-31</v>
      </c>
    </row>
    <row r="100" spans="1:92" ht="15.75" thickBot="1" x14ac:dyDescent="0.3">
      <c r="A100" s="376" t="s">
        <v>161</v>
      </c>
      <c r="B100" s="376" t="s">
        <v>162</v>
      </c>
      <c r="C100" s="376" t="s">
        <v>664</v>
      </c>
      <c r="D100" s="376" t="s">
        <v>368</v>
      </c>
      <c r="E100" s="376" t="s">
        <v>224</v>
      </c>
      <c r="F100" s="382" t="s">
        <v>225</v>
      </c>
      <c r="G100" s="376" t="s">
        <v>167</v>
      </c>
      <c r="H100" s="378"/>
      <c r="I100" s="378"/>
      <c r="J100" s="376" t="s">
        <v>239</v>
      </c>
      <c r="K100" s="376" t="s">
        <v>424</v>
      </c>
      <c r="L100" s="376" t="s">
        <v>210</v>
      </c>
      <c r="M100" s="376" t="s">
        <v>272</v>
      </c>
      <c r="N100" s="376" t="s">
        <v>172</v>
      </c>
      <c r="O100" s="379">
        <v>0</v>
      </c>
      <c r="P100" s="385">
        <v>0.5</v>
      </c>
      <c r="Q100" s="385">
        <v>0.5</v>
      </c>
      <c r="R100" s="380">
        <v>80</v>
      </c>
      <c r="S100" s="385">
        <v>0.5</v>
      </c>
      <c r="T100" s="380">
        <v>0</v>
      </c>
      <c r="U100" s="380">
        <v>0</v>
      </c>
      <c r="V100" s="380">
        <v>0</v>
      </c>
      <c r="W100" s="380">
        <v>30232.799999999999</v>
      </c>
      <c r="X100" s="380">
        <v>13241.96</v>
      </c>
      <c r="Y100" s="380">
        <v>30232.799999999999</v>
      </c>
      <c r="Z100" s="380">
        <v>13090.8</v>
      </c>
      <c r="AA100" s="378"/>
      <c r="AB100" s="376" t="s">
        <v>45</v>
      </c>
      <c r="AC100" s="376" t="s">
        <v>45</v>
      </c>
      <c r="AD100" s="378"/>
      <c r="AE100" s="378"/>
      <c r="AF100" s="378"/>
      <c r="AG100" s="378"/>
      <c r="AH100" s="379">
        <v>0</v>
      </c>
      <c r="AI100" s="379">
        <v>0</v>
      </c>
      <c r="AJ100" s="378"/>
      <c r="AK100" s="378"/>
      <c r="AL100" s="376" t="s">
        <v>181</v>
      </c>
      <c r="AM100" s="378"/>
      <c r="AN100" s="378"/>
      <c r="AO100" s="379">
        <v>0</v>
      </c>
      <c r="AP100" s="385">
        <v>0</v>
      </c>
      <c r="AQ100" s="385">
        <v>0</v>
      </c>
      <c r="AR100" s="384"/>
      <c r="AS100" s="387">
        <f t="shared" si="71"/>
        <v>0</v>
      </c>
      <c r="AT100">
        <f t="shared" si="72"/>
        <v>0</v>
      </c>
      <c r="AU100" s="387" t="str">
        <f>IF(AT100=0,"",IF(AND(AT100=1,M100="F",SUMIF(C2:C1334,C100,AS2:AS1334)&lt;=1),SUMIF(C2:C1334,C100,AS2:AS1334),IF(AND(AT100=1,M100="F",SUMIF(C2:C1334,C100,AS2:AS1334)&gt;1),1,"")))</f>
        <v/>
      </c>
      <c r="AV100" s="387" t="str">
        <f>IF(AT100=0,"",IF(AND(AT100=3,M100="F",SUMIF(C2:C1334,C100,AS2:AS1334)&lt;=1),SUMIF(C2:C1334,C100,AS2:AS1334),IF(AND(AT100=3,M100="F",SUMIF(C2:C1334,C100,AS2:AS1334)&gt;1),1,"")))</f>
        <v/>
      </c>
      <c r="AW100" s="387">
        <f>SUMIF(C2:C1334,C100,O2:O1334)</f>
        <v>0</v>
      </c>
      <c r="AX100" s="387">
        <f>IF(AND(M100="F",AS100&lt;&gt;0),SUMIF(C2:C1334,C100,W2:W1334),0)</f>
        <v>0</v>
      </c>
      <c r="AY100" s="387" t="str">
        <f t="shared" si="73"/>
        <v/>
      </c>
      <c r="AZ100" s="387" t="str">
        <f t="shared" si="74"/>
        <v/>
      </c>
      <c r="BA100" s="387">
        <f t="shared" si="75"/>
        <v>0</v>
      </c>
      <c r="BB100" s="387">
        <f t="shared" si="44"/>
        <v>0</v>
      </c>
      <c r="BC100" s="387">
        <f t="shared" si="45"/>
        <v>0</v>
      </c>
      <c r="BD100" s="387">
        <f t="shared" si="46"/>
        <v>0</v>
      </c>
      <c r="BE100" s="387">
        <f t="shared" si="47"/>
        <v>0</v>
      </c>
      <c r="BF100" s="387">
        <f t="shared" si="48"/>
        <v>0</v>
      </c>
      <c r="BG100" s="387">
        <f t="shared" si="49"/>
        <v>0</v>
      </c>
      <c r="BH100" s="387">
        <f t="shared" si="50"/>
        <v>0</v>
      </c>
      <c r="BI100" s="387">
        <f t="shared" si="51"/>
        <v>0</v>
      </c>
      <c r="BJ100" s="387">
        <f t="shared" si="52"/>
        <v>0</v>
      </c>
      <c r="BK100" s="387">
        <f t="shared" si="53"/>
        <v>0</v>
      </c>
      <c r="BL100" s="387">
        <f t="shared" si="76"/>
        <v>0</v>
      </c>
      <c r="BM100" s="387">
        <f t="shared" si="77"/>
        <v>0</v>
      </c>
      <c r="BN100" s="387">
        <f t="shared" si="54"/>
        <v>0</v>
      </c>
      <c r="BO100" s="387">
        <f t="shared" si="55"/>
        <v>0</v>
      </c>
      <c r="BP100" s="387">
        <f t="shared" si="56"/>
        <v>0</v>
      </c>
      <c r="BQ100" s="387">
        <f t="shared" si="57"/>
        <v>0</v>
      </c>
      <c r="BR100" s="387">
        <f t="shared" si="58"/>
        <v>0</v>
      </c>
      <c r="BS100" s="387">
        <f t="shared" si="59"/>
        <v>0</v>
      </c>
      <c r="BT100" s="387">
        <f t="shared" si="60"/>
        <v>0</v>
      </c>
      <c r="BU100" s="387">
        <f t="shared" si="61"/>
        <v>0</v>
      </c>
      <c r="BV100" s="387">
        <f t="shared" si="62"/>
        <v>0</v>
      </c>
      <c r="BW100" s="387">
        <f t="shared" si="63"/>
        <v>0</v>
      </c>
      <c r="BX100" s="387">
        <f t="shared" si="78"/>
        <v>0</v>
      </c>
      <c r="BY100" s="387">
        <f t="shared" si="79"/>
        <v>0</v>
      </c>
      <c r="BZ100" s="387">
        <f t="shared" si="80"/>
        <v>0</v>
      </c>
      <c r="CA100" s="387">
        <f t="shared" si="81"/>
        <v>0</v>
      </c>
      <c r="CB100" s="387">
        <f t="shared" si="82"/>
        <v>0</v>
      </c>
      <c r="CC100" s="387">
        <f t="shared" si="64"/>
        <v>0</v>
      </c>
      <c r="CD100" s="387">
        <f t="shared" si="65"/>
        <v>0</v>
      </c>
      <c r="CE100" s="387">
        <f t="shared" si="66"/>
        <v>0</v>
      </c>
      <c r="CF100" s="387">
        <f t="shared" si="67"/>
        <v>0</v>
      </c>
      <c r="CG100" s="387">
        <f t="shared" si="68"/>
        <v>0</v>
      </c>
      <c r="CH100" s="387">
        <f t="shared" si="69"/>
        <v>0</v>
      </c>
      <c r="CI100" s="387">
        <f t="shared" si="70"/>
        <v>0</v>
      </c>
      <c r="CJ100" s="387">
        <f t="shared" si="83"/>
        <v>0</v>
      </c>
      <c r="CK100" s="387" t="str">
        <f t="shared" si="84"/>
        <v/>
      </c>
      <c r="CL100" s="387" t="str">
        <f t="shared" si="85"/>
        <v/>
      </c>
      <c r="CM100" s="387" t="str">
        <f t="shared" si="86"/>
        <v/>
      </c>
      <c r="CN100" s="387" t="str">
        <f t="shared" si="87"/>
        <v>0348-31</v>
      </c>
    </row>
    <row r="101" spans="1:92" ht="15.75" thickBot="1" x14ac:dyDescent="0.3">
      <c r="A101" s="376" t="s">
        <v>161</v>
      </c>
      <c r="B101" s="376" t="s">
        <v>162</v>
      </c>
      <c r="C101" s="376" t="s">
        <v>665</v>
      </c>
      <c r="D101" s="376" t="s">
        <v>368</v>
      </c>
      <c r="E101" s="376" t="s">
        <v>224</v>
      </c>
      <c r="F101" s="382" t="s">
        <v>225</v>
      </c>
      <c r="G101" s="376" t="s">
        <v>167</v>
      </c>
      <c r="H101" s="378"/>
      <c r="I101" s="378"/>
      <c r="J101" s="376" t="s">
        <v>215</v>
      </c>
      <c r="K101" s="376" t="s">
        <v>424</v>
      </c>
      <c r="L101" s="376" t="s">
        <v>210</v>
      </c>
      <c r="M101" s="376" t="s">
        <v>171</v>
      </c>
      <c r="N101" s="376" t="s">
        <v>172</v>
      </c>
      <c r="O101" s="379">
        <v>1</v>
      </c>
      <c r="P101" s="385">
        <v>1</v>
      </c>
      <c r="Q101" s="385">
        <v>1</v>
      </c>
      <c r="R101" s="380">
        <v>80</v>
      </c>
      <c r="S101" s="385">
        <v>1</v>
      </c>
      <c r="T101" s="380">
        <v>0</v>
      </c>
      <c r="U101" s="380">
        <v>0</v>
      </c>
      <c r="V101" s="380">
        <v>0</v>
      </c>
      <c r="W101" s="380">
        <v>85321.600000000006</v>
      </c>
      <c r="X101" s="380">
        <v>30100.75</v>
      </c>
      <c r="Y101" s="380">
        <v>85321.600000000006</v>
      </c>
      <c r="Z101" s="380">
        <v>29742.41</v>
      </c>
      <c r="AA101" s="376" t="s">
        <v>666</v>
      </c>
      <c r="AB101" s="376" t="s">
        <v>667</v>
      </c>
      <c r="AC101" s="376" t="s">
        <v>668</v>
      </c>
      <c r="AD101" s="376" t="s">
        <v>406</v>
      </c>
      <c r="AE101" s="376" t="s">
        <v>424</v>
      </c>
      <c r="AF101" s="376" t="s">
        <v>245</v>
      </c>
      <c r="AG101" s="376" t="s">
        <v>178</v>
      </c>
      <c r="AH101" s="381">
        <v>41.02</v>
      </c>
      <c r="AI101" s="381">
        <v>37514.699999999997</v>
      </c>
      <c r="AJ101" s="376" t="s">
        <v>179</v>
      </c>
      <c r="AK101" s="376" t="s">
        <v>180</v>
      </c>
      <c r="AL101" s="376" t="s">
        <v>181</v>
      </c>
      <c r="AM101" s="376" t="s">
        <v>182</v>
      </c>
      <c r="AN101" s="376" t="s">
        <v>68</v>
      </c>
      <c r="AO101" s="379">
        <v>80</v>
      </c>
      <c r="AP101" s="385">
        <v>1</v>
      </c>
      <c r="AQ101" s="385">
        <v>1</v>
      </c>
      <c r="AR101" s="383" t="s">
        <v>183</v>
      </c>
      <c r="AS101" s="387">
        <f t="shared" si="71"/>
        <v>1</v>
      </c>
      <c r="AT101">
        <f t="shared" si="72"/>
        <v>1</v>
      </c>
      <c r="AU101" s="387">
        <f>IF(AT101=0,"",IF(AND(AT101=1,M101="F",SUMIF(C2:C1334,C101,AS2:AS1334)&lt;=1),SUMIF(C2:C1334,C101,AS2:AS1334),IF(AND(AT101=1,M101="F",SUMIF(C2:C1334,C101,AS2:AS1334)&gt;1),1,"")))</f>
        <v>1</v>
      </c>
      <c r="AV101" s="387" t="str">
        <f>IF(AT101=0,"",IF(AND(AT101=3,M101="F",SUMIF(C2:C1334,C101,AS2:AS1334)&lt;=1),SUMIF(C2:C1334,C101,AS2:AS1334),IF(AND(AT101=3,M101="F",SUMIF(C2:C1334,C101,AS2:AS1334)&gt;1),1,"")))</f>
        <v/>
      </c>
      <c r="AW101" s="387">
        <f>SUMIF(C2:C1334,C101,O2:O1334)</f>
        <v>2</v>
      </c>
      <c r="AX101" s="387">
        <f>IF(AND(M101="F",AS101&lt;&gt;0),SUMIF(C2:C1334,C101,W2:W1334),0)</f>
        <v>85321.600000000006</v>
      </c>
      <c r="AY101" s="387">
        <f t="shared" si="73"/>
        <v>85321.600000000006</v>
      </c>
      <c r="AZ101" s="387" t="str">
        <f t="shared" si="74"/>
        <v/>
      </c>
      <c r="BA101" s="387">
        <f t="shared" si="75"/>
        <v>0</v>
      </c>
      <c r="BB101" s="387">
        <f t="shared" si="44"/>
        <v>11650</v>
      </c>
      <c r="BC101" s="387">
        <f t="shared" si="45"/>
        <v>0</v>
      </c>
      <c r="BD101" s="387">
        <f t="shared" si="46"/>
        <v>5289.9392000000007</v>
      </c>
      <c r="BE101" s="387">
        <f t="shared" si="47"/>
        <v>1237.1632000000002</v>
      </c>
      <c r="BF101" s="387">
        <f t="shared" si="48"/>
        <v>10187.399040000002</v>
      </c>
      <c r="BG101" s="387">
        <f t="shared" si="49"/>
        <v>615.16873600000008</v>
      </c>
      <c r="BH101" s="387">
        <f t="shared" si="50"/>
        <v>418.07584000000003</v>
      </c>
      <c r="BI101" s="387">
        <f t="shared" si="51"/>
        <v>472.25505600000002</v>
      </c>
      <c r="BJ101" s="387">
        <f t="shared" si="52"/>
        <v>230.36832000000004</v>
      </c>
      <c r="BK101" s="387">
        <f t="shared" si="53"/>
        <v>0</v>
      </c>
      <c r="BL101" s="387">
        <f t="shared" si="76"/>
        <v>18450.369392000008</v>
      </c>
      <c r="BM101" s="387">
        <f t="shared" si="77"/>
        <v>0</v>
      </c>
      <c r="BN101" s="387">
        <f t="shared" si="54"/>
        <v>11650</v>
      </c>
      <c r="BO101" s="387">
        <f t="shared" si="55"/>
        <v>0</v>
      </c>
      <c r="BP101" s="387">
        <f t="shared" si="56"/>
        <v>5289.9392000000007</v>
      </c>
      <c r="BQ101" s="387">
        <f t="shared" si="57"/>
        <v>1237.1632000000002</v>
      </c>
      <c r="BR101" s="387">
        <f t="shared" si="58"/>
        <v>10187.399040000002</v>
      </c>
      <c r="BS101" s="387">
        <f t="shared" si="59"/>
        <v>615.16873600000008</v>
      </c>
      <c r="BT101" s="387">
        <f t="shared" si="60"/>
        <v>0</v>
      </c>
      <c r="BU101" s="387">
        <f t="shared" si="61"/>
        <v>472.25505600000002</v>
      </c>
      <c r="BV101" s="387">
        <f t="shared" si="62"/>
        <v>290.09343999999999</v>
      </c>
      <c r="BW101" s="387">
        <f t="shared" si="63"/>
        <v>0</v>
      </c>
      <c r="BX101" s="387">
        <f t="shared" si="78"/>
        <v>18092.018672000006</v>
      </c>
      <c r="BY101" s="387">
        <f t="shared" si="79"/>
        <v>0</v>
      </c>
      <c r="BZ101" s="387">
        <f t="shared" si="80"/>
        <v>0</v>
      </c>
      <c r="CA101" s="387">
        <f t="shared" si="81"/>
        <v>0</v>
      </c>
      <c r="CB101" s="387">
        <f t="shared" si="82"/>
        <v>0</v>
      </c>
      <c r="CC101" s="387">
        <f t="shared" si="64"/>
        <v>0</v>
      </c>
      <c r="CD101" s="387">
        <f t="shared" si="65"/>
        <v>0</v>
      </c>
      <c r="CE101" s="387">
        <f t="shared" si="66"/>
        <v>0</v>
      </c>
      <c r="CF101" s="387">
        <f t="shared" si="67"/>
        <v>-418.07584000000003</v>
      </c>
      <c r="CG101" s="387">
        <f t="shared" si="68"/>
        <v>0</v>
      </c>
      <c r="CH101" s="387">
        <f t="shared" si="69"/>
        <v>59.725119999999976</v>
      </c>
      <c r="CI101" s="387">
        <f t="shared" si="70"/>
        <v>0</v>
      </c>
      <c r="CJ101" s="387">
        <f t="shared" si="83"/>
        <v>-358.35072000000002</v>
      </c>
      <c r="CK101" s="387" t="str">
        <f t="shared" si="84"/>
        <v/>
      </c>
      <c r="CL101" s="387" t="str">
        <f t="shared" si="85"/>
        <v/>
      </c>
      <c r="CM101" s="387" t="str">
        <f t="shared" si="86"/>
        <v/>
      </c>
      <c r="CN101" s="387" t="str">
        <f t="shared" si="87"/>
        <v>0348-31</v>
      </c>
    </row>
    <row r="102" spans="1:92" ht="15.75" thickBot="1" x14ac:dyDescent="0.3">
      <c r="A102" s="376" t="s">
        <v>161</v>
      </c>
      <c r="B102" s="376" t="s">
        <v>162</v>
      </c>
      <c r="C102" s="376" t="s">
        <v>328</v>
      </c>
      <c r="D102" s="376" t="s">
        <v>329</v>
      </c>
      <c r="E102" s="376" t="s">
        <v>669</v>
      </c>
      <c r="F102" s="382" t="s">
        <v>225</v>
      </c>
      <c r="G102" s="376" t="s">
        <v>167</v>
      </c>
      <c r="H102" s="378"/>
      <c r="I102" s="378"/>
      <c r="J102" s="376" t="s">
        <v>239</v>
      </c>
      <c r="K102" s="376" t="s">
        <v>330</v>
      </c>
      <c r="L102" s="376" t="s">
        <v>210</v>
      </c>
      <c r="M102" s="376" t="s">
        <v>171</v>
      </c>
      <c r="N102" s="376" t="s">
        <v>172</v>
      </c>
      <c r="O102" s="379">
        <v>1</v>
      </c>
      <c r="P102" s="385">
        <v>0.05</v>
      </c>
      <c r="Q102" s="385">
        <v>0.05</v>
      </c>
      <c r="R102" s="380">
        <v>80</v>
      </c>
      <c r="S102" s="385">
        <v>0.05</v>
      </c>
      <c r="T102" s="380">
        <v>0</v>
      </c>
      <c r="U102" s="380">
        <v>0</v>
      </c>
      <c r="V102" s="380">
        <v>0</v>
      </c>
      <c r="W102" s="380">
        <v>3328</v>
      </c>
      <c r="X102" s="380">
        <v>1302.17</v>
      </c>
      <c r="Y102" s="380">
        <v>3328</v>
      </c>
      <c r="Z102" s="380">
        <v>1288.2</v>
      </c>
      <c r="AA102" s="376" t="s">
        <v>331</v>
      </c>
      <c r="AB102" s="376" t="s">
        <v>332</v>
      </c>
      <c r="AC102" s="376" t="s">
        <v>251</v>
      </c>
      <c r="AD102" s="376" t="s">
        <v>170</v>
      </c>
      <c r="AE102" s="376" t="s">
        <v>330</v>
      </c>
      <c r="AF102" s="376" t="s">
        <v>245</v>
      </c>
      <c r="AG102" s="376" t="s">
        <v>178</v>
      </c>
      <c r="AH102" s="379">
        <v>32</v>
      </c>
      <c r="AI102" s="381">
        <v>66344.5</v>
      </c>
      <c r="AJ102" s="376" t="s">
        <v>179</v>
      </c>
      <c r="AK102" s="376" t="s">
        <v>180</v>
      </c>
      <c r="AL102" s="376" t="s">
        <v>181</v>
      </c>
      <c r="AM102" s="376" t="s">
        <v>182</v>
      </c>
      <c r="AN102" s="376" t="s">
        <v>68</v>
      </c>
      <c r="AO102" s="379">
        <v>80</v>
      </c>
      <c r="AP102" s="385">
        <v>1</v>
      </c>
      <c r="AQ102" s="385">
        <v>0.05</v>
      </c>
      <c r="AR102" s="383" t="s">
        <v>183</v>
      </c>
      <c r="AS102" s="387">
        <f t="shared" si="71"/>
        <v>0.05</v>
      </c>
      <c r="AT102">
        <f t="shared" si="72"/>
        <v>1</v>
      </c>
      <c r="AU102" s="387">
        <f>IF(AT102=0,"",IF(AND(AT102=1,M102="F",SUMIF(C2:C1334,C102,AS2:AS1334)&lt;=1),SUMIF(C2:C1334,C102,AS2:AS1334),IF(AND(AT102=1,M102="F",SUMIF(C2:C1334,C102,AS2:AS1334)&gt;1),1,"")))</f>
        <v>1</v>
      </c>
      <c r="AV102" s="387" t="str">
        <f>IF(AT102=0,"",IF(AND(AT102=3,M102="F",SUMIF(C2:C1334,C102,AS2:AS1334)&lt;=1),SUMIF(C2:C1334,C102,AS2:AS1334),IF(AND(AT102=3,M102="F",SUMIF(C2:C1334,C102,AS2:AS1334)&gt;1),1,"")))</f>
        <v/>
      </c>
      <c r="AW102" s="387">
        <f>SUMIF(C2:C1334,C102,O2:O1334)</f>
        <v>4</v>
      </c>
      <c r="AX102" s="387">
        <f>IF(AND(M102="F",AS102&lt;&gt;0),SUMIF(C2:C1334,C102,W2:W1334),0)</f>
        <v>66560</v>
      </c>
      <c r="AY102" s="387">
        <f t="shared" si="73"/>
        <v>3328</v>
      </c>
      <c r="AZ102" s="387" t="str">
        <f t="shared" si="74"/>
        <v/>
      </c>
      <c r="BA102" s="387">
        <f t="shared" si="75"/>
        <v>0</v>
      </c>
      <c r="BB102" s="387">
        <f t="shared" si="44"/>
        <v>582.5</v>
      </c>
      <c r="BC102" s="387">
        <f t="shared" si="45"/>
        <v>0</v>
      </c>
      <c r="BD102" s="387">
        <f t="shared" si="46"/>
        <v>206.33600000000001</v>
      </c>
      <c r="BE102" s="387">
        <f t="shared" si="47"/>
        <v>48.256</v>
      </c>
      <c r="BF102" s="387">
        <f t="shared" si="48"/>
        <v>397.36320000000001</v>
      </c>
      <c r="BG102" s="387">
        <f t="shared" si="49"/>
        <v>23.994880000000002</v>
      </c>
      <c r="BH102" s="387">
        <f t="shared" si="50"/>
        <v>16.307199999999998</v>
      </c>
      <c r="BI102" s="387">
        <f t="shared" si="51"/>
        <v>18.420480000000001</v>
      </c>
      <c r="BJ102" s="387">
        <f t="shared" si="52"/>
        <v>8.9855999999999998</v>
      </c>
      <c r="BK102" s="387">
        <f t="shared" si="53"/>
        <v>0</v>
      </c>
      <c r="BL102" s="387">
        <f t="shared" si="76"/>
        <v>719.6633599999999</v>
      </c>
      <c r="BM102" s="387">
        <f t="shared" si="77"/>
        <v>0</v>
      </c>
      <c r="BN102" s="387">
        <f t="shared" si="54"/>
        <v>582.5</v>
      </c>
      <c r="BO102" s="387">
        <f t="shared" si="55"/>
        <v>0</v>
      </c>
      <c r="BP102" s="387">
        <f t="shared" si="56"/>
        <v>206.33600000000001</v>
      </c>
      <c r="BQ102" s="387">
        <f t="shared" si="57"/>
        <v>48.256</v>
      </c>
      <c r="BR102" s="387">
        <f t="shared" si="58"/>
        <v>397.36320000000001</v>
      </c>
      <c r="BS102" s="387">
        <f t="shared" si="59"/>
        <v>23.994880000000002</v>
      </c>
      <c r="BT102" s="387">
        <f t="shared" si="60"/>
        <v>0</v>
      </c>
      <c r="BU102" s="387">
        <f t="shared" si="61"/>
        <v>18.420480000000001</v>
      </c>
      <c r="BV102" s="387">
        <f t="shared" si="62"/>
        <v>11.315199999999999</v>
      </c>
      <c r="BW102" s="387">
        <f t="shared" si="63"/>
        <v>0</v>
      </c>
      <c r="BX102" s="387">
        <f t="shared" si="78"/>
        <v>705.68575999999996</v>
      </c>
      <c r="BY102" s="387">
        <f t="shared" si="79"/>
        <v>0</v>
      </c>
      <c r="BZ102" s="387">
        <f t="shared" si="80"/>
        <v>0</v>
      </c>
      <c r="CA102" s="387">
        <f t="shared" si="81"/>
        <v>0</v>
      </c>
      <c r="CB102" s="387">
        <f t="shared" si="82"/>
        <v>0</v>
      </c>
      <c r="CC102" s="387">
        <f t="shared" si="64"/>
        <v>0</v>
      </c>
      <c r="CD102" s="387">
        <f t="shared" si="65"/>
        <v>0</v>
      </c>
      <c r="CE102" s="387">
        <f t="shared" si="66"/>
        <v>0</v>
      </c>
      <c r="CF102" s="387">
        <f t="shared" si="67"/>
        <v>-16.307199999999998</v>
      </c>
      <c r="CG102" s="387">
        <f t="shared" si="68"/>
        <v>0</v>
      </c>
      <c r="CH102" s="387">
        <f t="shared" si="69"/>
        <v>2.3295999999999988</v>
      </c>
      <c r="CI102" s="387">
        <f t="shared" si="70"/>
        <v>0</v>
      </c>
      <c r="CJ102" s="387">
        <f t="shared" si="83"/>
        <v>-13.977599999999999</v>
      </c>
      <c r="CK102" s="387" t="str">
        <f t="shared" si="84"/>
        <v/>
      </c>
      <c r="CL102" s="387" t="str">
        <f t="shared" si="85"/>
        <v/>
      </c>
      <c r="CM102" s="387" t="str">
        <f t="shared" si="86"/>
        <v/>
      </c>
      <c r="CN102" s="387" t="str">
        <f t="shared" si="87"/>
        <v>0349-31</v>
      </c>
    </row>
    <row r="103" spans="1:92" ht="15.75" thickBot="1" x14ac:dyDescent="0.3">
      <c r="A103" s="376" t="s">
        <v>161</v>
      </c>
      <c r="B103" s="376" t="s">
        <v>162</v>
      </c>
      <c r="C103" s="376" t="s">
        <v>670</v>
      </c>
      <c r="D103" s="376" t="s">
        <v>263</v>
      </c>
      <c r="E103" s="376" t="s">
        <v>669</v>
      </c>
      <c r="F103" s="382" t="s">
        <v>225</v>
      </c>
      <c r="G103" s="376" t="s">
        <v>167</v>
      </c>
      <c r="H103" s="378"/>
      <c r="I103" s="378"/>
      <c r="J103" s="376" t="s">
        <v>239</v>
      </c>
      <c r="K103" s="376" t="s">
        <v>264</v>
      </c>
      <c r="L103" s="376" t="s">
        <v>210</v>
      </c>
      <c r="M103" s="376" t="s">
        <v>171</v>
      </c>
      <c r="N103" s="376" t="s">
        <v>172</v>
      </c>
      <c r="O103" s="379">
        <v>1</v>
      </c>
      <c r="P103" s="385">
        <v>0.75</v>
      </c>
      <c r="Q103" s="385">
        <v>0.75</v>
      </c>
      <c r="R103" s="380">
        <v>80</v>
      </c>
      <c r="S103" s="385">
        <v>0.75</v>
      </c>
      <c r="T103" s="380">
        <v>0</v>
      </c>
      <c r="U103" s="380">
        <v>0</v>
      </c>
      <c r="V103" s="380">
        <v>0</v>
      </c>
      <c r="W103" s="380">
        <v>42728.4</v>
      </c>
      <c r="X103" s="380">
        <v>17977.5</v>
      </c>
      <c r="Y103" s="380">
        <v>42728.4</v>
      </c>
      <c r="Z103" s="380">
        <v>17798.04</v>
      </c>
      <c r="AA103" s="376" t="s">
        <v>671</v>
      </c>
      <c r="AB103" s="376" t="s">
        <v>672</v>
      </c>
      <c r="AC103" s="376" t="s">
        <v>673</v>
      </c>
      <c r="AD103" s="376" t="s">
        <v>176</v>
      </c>
      <c r="AE103" s="376" t="s">
        <v>264</v>
      </c>
      <c r="AF103" s="376" t="s">
        <v>245</v>
      </c>
      <c r="AG103" s="376" t="s">
        <v>178</v>
      </c>
      <c r="AH103" s="381">
        <v>27.39</v>
      </c>
      <c r="AI103" s="381">
        <v>5961.5</v>
      </c>
      <c r="AJ103" s="376" t="s">
        <v>179</v>
      </c>
      <c r="AK103" s="376" t="s">
        <v>180</v>
      </c>
      <c r="AL103" s="376" t="s">
        <v>181</v>
      </c>
      <c r="AM103" s="376" t="s">
        <v>182</v>
      </c>
      <c r="AN103" s="376" t="s">
        <v>68</v>
      </c>
      <c r="AO103" s="379">
        <v>80</v>
      </c>
      <c r="AP103" s="385">
        <v>1</v>
      </c>
      <c r="AQ103" s="385">
        <v>0.75</v>
      </c>
      <c r="AR103" s="383" t="s">
        <v>183</v>
      </c>
      <c r="AS103" s="387">
        <f t="shared" si="71"/>
        <v>0.75</v>
      </c>
      <c r="AT103">
        <f t="shared" si="72"/>
        <v>1</v>
      </c>
      <c r="AU103" s="387">
        <f>IF(AT103=0,"",IF(AND(AT103=1,M103="F",SUMIF(C2:C1334,C103,AS2:AS1334)&lt;=1),SUMIF(C2:C1334,C103,AS2:AS1334),IF(AND(AT103=1,M103="F",SUMIF(C2:C1334,C103,AS2:AS1334)&gt;1),1,"")))</f>
        <v>1</v>
      </c>
      <c r="AV103" s="387" t="str">
        <f>IF(AT103=0,"",IF(AND(AT103=3,M103="F",SUMIF(C2:C1334,C103,AS2:AS1334)&lt;=1),SUMIF(C2:C1334,C103,AS2:AS1334),IF(AND(AT103=3,M103="F",SUMIF(C2:C1334,C103,AS2:AS1334)&gt;1),1,"")))</f>
        <v/>
      </c>
      <c r="AW103" s="387">
        <f>SUMIF(C2:C1334,C103,O2:O1334)</f>
        <v>6</v>
      </c>
      <c r="AX103" s="387">
        <f>IF(AND(M103="F",AS103&lt;&gt;0),SUMIF(C2:C1334,C103,W2:W1334),0)</f>
        <v>56971.199999999997</v>
      </c>
      <c r="AY103" s="387">
        <f t="shared" si="73"/>
        <v>42728.4</v>
      </c>
      <c r="AZ103" s="387" t="str">
        <f t="shared" si="74"/>
        <v/>
      </c>
      <c r="BA103" s="387">
        <f t="shared" si="75"/>
        <v>0</v>
      </c>
      <c r="BB103" s="387">
        <f t="shared" si="44"/>
        <v>8737.5</v>
      </c>
      <c r="BC103" s="387">
        <f t="shared" si="45"/>
        <v>0</v>
      </c>
      <c r="BD103" s="387">
        <f t="shared" si="46"/>
        <v>2649.1608000000001</v>
      </c>
      <c r="BE103" s="387">
        <f t="shared" si="47"/>
        <v>619.56180000000006</v>
      </c>
      <c r="BF103" s="387">
        <f t="shared" si="48"/>
        <v>5101.7709600000007</v>
      </c>
      <c r="BG103" s="387">
        <f t="shared" si="49"/>
        <v>308.07176400000003</v>
      </c>
      <c r="BH103" s="387">
        <f t="shared" si="50"/>
        <v>209.36915999999999</v>
      </c>
      <c r="BI103" s="387">
        <f t="shared" si="51"/>
        <v>236.50169400000001</v>
      </c>
      <c r="BJ103" s="387">
        <f t="shared" si="52"/>
        <v>115.36668000000002</v>
      </c>
      <c r="BK103" s="387">
        <f t="shared" si="53"/>
        <v>0</v>
      </c>
      <c r="BL103" s="387">
        <f t="shared" si="76"/>
        <v>9239.8028580000009</v>
      </c>
      <c r="BM103" s="387">
        <f t="shared" si="77"/>
        <v>0</v>
      </c>
      <c r="BN103" s="387">
        <f t="shared" si="54"/>
        <v>8737.5</v>
      </c>
      <c r="BO103" s="387">
        <f t="shared" si="55"/>
        <v>0</v>
      </c>
      <c r="BP103" s="387">
        <f t="shared" si="56"/>
        <v>2649.1608000000001</v>
      </c>
      <c r="BQ103" s="387">
        <f t="shared" si="57"/>
        <v>619.56180000000006</v>
      </c>
      <c r="BR103" s="387">
        <f t="shared" si="58"/>
        <v>5101.7709600000007</v>
      </c>
      <c r="BS103" s="387">
        <f t="shared" si="59"/>
        <v>308.07176400000003</v>
      </c>
      <c r="BT103" s="387">
        <f t="shared" si="60"/>
        <v>0</v>
      </c>
      <c r="BU103" s="387">
        <f t="shared" si="61"/>
        <v>236.50169400000001</v>
      </c>
      <c r="BV103" s="387">
        <f t="shared" si="62"/>
        <v>145.27655999999999</v>
      </c>
      <c r="BW103" s="387">
        <f t="shared" si="63"/>
        <v>0</v>
      </c>
      <c r="BX103" s="387">
        <f t="shared" si="78"/>
        <v>9060.3435780000018</v>
      </c>
      <c r="BY103" s="387">
        <f t="shared" si="79"/>
        <v>0</v>
      </c>
      <c r="BZ103" s="387">
        <f t="shared" si="80"/>
        <v>0</v>
      </c>
      <c r="CA103" s="387">
        <f t="shared" si="81"/>
        <v>0</v>
      </c>
      <c r="CB103" s="387">
        <f t="shared" si="82"/>
        <v>0</v>
      </c>
      <c r="CC103" s="387">
        <f t="shared" si="64"/>
        <v>0</v>
      </c>
      <c r="CD103" s="387">
        <f t="shared" si="65"/>
        <v>0</v>
      </c>
      <c r="CE103" s="387">
        <f t="shared" si="66"/>
        <v>0</v>
      </c>
      <c r="CF103" s="387">
        <f t="shared" si="67"/>
        <v>-209.36915999999999</v>
      </c>
      <c r="CG103" s="387">
        <f t="shared" si="68"/>
        <v>0</v>
      </c>
      <c r="CH103" s="387">
        <f t="shared" si="69"/>
        <v>29.909879999999987</v>
      </c>
      <c r="CI103" s="387">
        <f t="shared" si="70"/>
        <v>0</v>
      </c>
      <c r="CJ103" s="387">
        <f t="shared" si="83"/>
        <v>-179.45928000000001</v>
      </c>
      <c r="CK103" s="387" t="str">
        <f t="shared" si="84"/>
        <v/>
      </c>
      <c r="CL103" s="387" t="str">
        <f t="shared" si="85"/>
        <v/>
      </c>
      <c r="CM103" s="387" t="str">
        <f t="shared" si="86"/>
        <v/>
      </c>
      <c r="CN103" s="387" t="str">
        <f t="shared" si="87"/>
        <v>0349-31</v>
      </c>
    </row>
    <row r="104" spans="1:92" ht="15.75" thickBot="1" x14ac:dyDescent="0.3">
      <c r="A104" s="376" t="s">
        <v>161</v>
      </c>
      <c r="B104" s="376" t="s">
        <v>162</v>
      </c>
      <c r="C104" s="376" t="s">
        <v>333</v>
      </c>
      <c r="D104" s="376" t="s">
        <v>334</v>
      </c>
      <c r="E104" s="376" t="s">
        <v>674</v>
      </c>
      <c r="F104" s="377" t="s">
        <v>166</v>
      </c>
      <c r="G104" s="376" t="s">
        <v>675</v>
      </c>
      <c r="H104" s="378"/>
      <c r="I104" s="378"/>
      <c r="J104" s="376" t="s">
        <v>215</v>
      </c>
      <c r="K104" s="376" t="s">
        <v>335</v>
      </c>
      <c r="L104" s="376" t="s">
        <v>170</v>
      </c>
      <c r="M104" s="376" t="s">
        <v>272</v>
      </c>
      <c r="N104" s="376" t="s">
        <v>257</v>
      </c>
      <c r="O104" s="379">
        <v>0</v>
      </c>
      <c r="P104" s="385">
        <v>0</v>
      </c>
      <c r="Q104" s="385">
        <v>0</v>
      </c>
      <c r="R104" s="380">
        <v>80</v>
      </c>
      <c r="S104" s="385">
        <v>0</v>
      </c>
      <c r="T104" s="380">
        <v>16.809999999999999</v>
      </c>
      <c r="U104" s="380">
        <v>0</v>
      </c>
      <c r="V104" s="380">
        <v>6.39</v>
      </c>
      <c r="W104" s="380">
        <v>0</v>
      </c>
      <c r="X104" s="380">
        <v>0</v>
      </c>
      <c r="Y104" s="380">
        <v>0</v>
      </c>
      <c r="Z104" s="380">
        <v>0</v>
      </c>
      <c r="AA104" s="378"/>
      <c r="AB104" s="376" t="s">
        <v>45</v>
      </c>
      <c r="AC104" s="376" t="s">
        <v>45</v>
      </c>
      <c r="AD104" s="378"/>
      <c r="AE104" s="378"/>
      <c r="AF104" s="378"/>
      <c r="AG104" s="378"/>
      <c r="AH104" s="379">
        <v>0</v>
      </c>
      <c r="AI104" s="379">
        <v>0</v>
      </c>
      <c r="AJ104" s="378"/>
      <c r="AK104" s="378"/>
      <c r="AL104" s="376" t="s">
        <v>181</v>
      </c>
      <c r="AM104" s="378"/>
      <c r="AN104" s="378"/>
      <c r="AO104" s="379">
        <v>0</v>
      </c>
      <c r="AP104" s="385">
        <v>0</v>
      </c>
      <c r="AQ104" s="385">
        <v>0</v>
      </c>
      <c r="AR104" s="384"/>
      <c r="AS104" s="387">
        <f t="shared" si="71"/>
        <v>0</v>
      </c>
      <c r="AT104">
        <f t="shared" si="72"/>
        <v>0</v>
      </c>
      <c r="AU104" s="387" t="str">
        <f>IF(AT104=0,"",IF(AND(AT104=1,M104="F",SUMIF(C2:C1334,C104,AS2:AS1334)&lt;=1),SUMIF(C2:C1334,C104,AS2:AS1334),IF(AND(AT104=1,M104="F",SUMIF(C2:C1334,C104,AS2:AS1334)&gt;1),1,"")))</f>
        <v/>
      </c>
      <c r="AV104" s="387" t="str">
        <f>IF(AT104=0,"",IF(AND(AT104=3,M104="F",SUMIF(C2:C1334,C104,AS2:AS1334)&lt;=1),SUMIF(C2:C1334,C104,AS2:AS1334),IF(AND(AT104=3,M104="F",SUMIF(C2:C1334,C104,AS2:AS1334)&gt;1),1,"")))</f>
        <v/>
      </c>
      <c r="AW104" s="387">
        <f>SUMIF(C2:C1334,C104,O2:O1334)</f>
        <v>0</v>
      </c>
      <c r="AX104" s="387">
        <f>IF(AND(M104="F",AS104&lt;&gt;0),SUMIF(C2:C1334,C104,W2:W1334),0)</f>
        <v>0</v>
      </c>
      <c r="AY104" s="387" t="str">
        <f t="shared" si="73"/>
        <v/>
      </c>
      <c r="AZ104" s="387" t="str">
        <f t="shared" si="74"/>
        <v/>
      </c>
      <c r="BA104" s="387">
        <f t="shared" si="75"/>
        <v>0</v>
      </c>
      <c r="BB104" s="387">
        <f t="shared" si="44"/>
        <v>0</v>
      </c>
      <c r="BC104" s="387">
        <f t="shared" si="45"/>
        <v>0</v>
      </c>
      <c r="BD104" s="387">
        <f t="shared" si="46"/>
        <v>0</v>
      </c>
      <c r="BE104" s="387">
        <f t="shared" si="47"/>
        <v>0</v>
      </c>
      <c r="BF104" s="387">
        <f t="shared" si="48"/>
        <v>0</v>
      </c>
      <c r="BG104" s="387">
        <f t="shared" si="49"/>
        <v>0</v>
      </c>
      <c r="BH104" s="387">
        <f t="shared" si="50"/>
        <v>0</v>
      </c>
      <c r="BI104" s="387">
        <f t="shared" si="51"/>
        <v>0</v>
      </c>
      <c r="BJ104" s="387">
        <f t="shared" si="52"/>
        <v>0</v>
      </c>
      <c r="BK104" s="387">
        <f t="shared" si="53"/>
        <v>0</v>
      </c>
      <c r="BL104" s="387">
        <f t="shared" si="76"/>
        <v>0</v>
      </c>
      <c r="BM104" s="387">
        <f t="shared" si="77"/>
        <v>0</v>
      </c>
      <c r="BN104" s="387">
        <f t="shared" si="54"/>
        <v>0</v>
      </c>
      <c r="BO104" s="387">
        <f t="shared" si="55"/>
        <v>0</v>
      </c>
      <c r="BP104" s="387">
        <f t="shared" si="56"/>
        <v>0</v>
      </c>
      <c r="BQ104" s="387">
        <f t="shared" si="57"/>
        <v>0</v>
      </c>
      <c r="BR104" s="387">
        <f t="shared" si="58"/>
        <v>0</v>
      </c>
      <c r="BS104" s="387">
        <f t="shared" si="59"/>
        <v>0</v>
      </c>
      <c r="BT104" s="387">
        <f t="shared" si="60"/>
        <v>0</v>
      </c>
      <c r="BU104" s="387">
        <f t="shared" si="61"/>
        <v>0</v>
      </c>
      <c r="BV104" s="387">
        <f t="shared" si="62"/>
        <v>0</v>
      </c>
      <c r="BW104" s="387">
        <f t="shared" si="63"/>
        <v>0</v>
      </c>
      <c r="BX104" s="387">
        <f t="shared" si="78"/>
        <v>0</v>
      </c>
      <c r="BY104" s="387">
        <f t="shared" si="79"/>
        <v>0</v>
      </c>
      <c r="BZ104" s="387">
        <f t="shared" si="80"/>
        <v>0</v>
      </c>
      <c r="CA104" s="387">
        <f t="shared" si="81"/>
        <v>0</v>
      </c>
      <c r="CB104" s="387">
        <f t="shared" si="82"/>
        <v>0</v>
      </c>
      <c r="CC104" s="387">
        <f t="shared" si="64"/>
        <v>0</v>
      </c>
      <c r="CD104" s="387">
        <f t="shared" si="65"/>
        <v>0</v>
      </c>
      <c r="CE104" s="387">
        <f t="shared" si="66"/>
        <v>0</v>
      </c>
      <c r="CF104" s="387">
        <f t="shared" si="67"/>
        <v>0</v>
      </c>
      <c r="CG104" s="387">
        <f t="shared" si="68"/>
        <v>0</v>
      </c>
      <c r="CH104" s="387">
        <f t="shared" si="69"/>
        <v>0</v>
      </c>
      <c r="CI104" s="387">
        <f t="shared" si="70"/>
        <v>0</v>
      </c>
      <c r="CJ104" s="387">
        <f t="shared" si="83"/>
        <v>0</v>
      </c>
      <c r="CK104" s="387" t="str">
        <f t="shared" si="84"/>
        <v/>
      </c>
      <c r="CL104" s="387" t="str">
        <f t="shared" si="85"/>
        <v/>
      </c>
      <c r="CM104" s="387" t="str">
        <f t="shared" si="86"/>
        <v/>
      </c>
      <c r="CN104" s="387" t="str">
        <f t="shared" si="87"/>
        <v>0001-00</v>
      </c>
    </row>
    <row r="105" spans="1:92" ht="15.75" thickBot="1" x14ac:dyDescent="0.3">
      <c r="A105" s="376" t="s">
        <v>161</v>
      </c>
      <c r="B105" s="376" t="s">
        <v>162</v>
      </c>
      <c r="C105" s="376" t="s">
        <v>311</v>
      </c>
      <c r="D105" s="376" t="s">
        <v>312</v>
      </c>
      <c r="E105" s="376" t="s">
        <v>674</v>
      </c>
      <c r="F105" s="377" t="s">
        <v>166</v>
      </c>
      <c r="G105" s="376" t="s">
        <v>675</v>
      </c>
      <c r="H105" s="378"/>
      <c r="I105" s="378"/>
      <c r="J105" s="376" t="s">
        <v>205</v>
      </c>
      <c r="K105" s="376" t="s">
        <v>313</v>
      </c>
      <c r="L105" s="376" t="s">
        <v>166</v>
      </c>
      <c r="M105" s="376" t="s">
        <v>171</v>
      </c>
      <c r="N105" s="376" t="s">
        <v>257</v>
      </c>
      <c r="O105" s="379">
        <v>1</v>
      </c>
      <c r="P105" s="385">
        <v>0</v>
      </c>
      <c r="Q105" s="385">
        <v>0</v>
      </c>
      <c r="R105" s="380">
        <v>80</v>
      </c>
      <c r="S105" s="385">
        <v>0</v>
      </c>
      <c r="T105" s="380">
        <v>111.7</v>
      </c>
      <c r="U105" s="380">
        <v>0</v>
      </c>
      <c r="V105" s="380">
        <v>33.81</v>
      </c>
      <c r="W105" s="380">
        <v>0</v>
      </c>
      <c r="X105" s="380">
        <v>0</v>
      </c>
      <c r="Y105" s="380">
        <v>0</v>
      </c>
      <c r="Z105" s="380">
        <v>0</v>
      </c>
      <c r="AA105" s="376" t="s">
        <v>314</v>
      </c>
      <c r="AB105" s="376" t="s">
        <v>315</v>
      </c>
      <c r="AC105" s="376" t="s">
        <v>316</v>
      </c>
      <c r="AD105" s="376" t="s">
        <v>317</v>
      </c>
      <c r="AE105" s="376" t="s">
        <v>313</v>
      </c>
      <c r="AF105" s="376" t="s">
        <v>261</v>
      </c>
      <c r="AG105" s="376" t="s">
        <v>178</v>
      </c>
      <c r="AH105" s="381">
        <v>57.67</v>
      </c>
      <c r="AI105" s="381">
        <v>73354.2</v>
      </c>
      <c r="AJ105" s="376" t="s">
        <v>179</v>
      </c>
      <c r="AK105" s="376" t="s">
        <v>180</v>
      </c>
      <c r="AL105" s="376" t="s">
        <v>181</v>
      </c>
      <c r="AM105" s="376" t="s">
        <v>182</v>
      </c>
      <c r="AN105" s="376" t="s">
        <v>68</v>
      </c>
      <c r="AO105" s="379">
        <v>80</v>
      </c>
      <c r="AP105" s="385">
        <v>1</v>
      </c>
      <c r="AQ105" s="385">
        <v>0</v>
      </c>
      <c r="AR105" s="383" t="s">
        <v>183</v>
      </c>
      <c r="AS105" s="387">
        <f t="shared" si="71"/>
        <v>0</v>
      </c>
      <c r="AT105">
        <f t="shared" si="72"/>
        <v>0</v>
      </c>
      <c r="AU105" s="387" t="str">
        <f>IF(AT105=0,"",IF(AND(AT105=1,M105="F",SUMIF(C2:C1334,C105,AS2:AS1334)&lt;=1),SUMIF(C2:C1334,C105,AS2:AS1334),IF(AND(AT105=1,M105="F",SUMIF(C2:C1334,C105,AS2:AS1334)&gt;1),1,"")))</f>
        <v/>
      </c>
      <c r="AV105" s="387" t="str">
        <f>IF(AT105=0,"",IF(AND(AT105=3,M105="F",SUMIF(C2:C1334,C105,AS2:AS1334)&lt;=1),SUMIF(C2:C1334,C105,AS2:AS1334),IF(AND(AT105=3,M105="F",SUMIF(C2:C1334,C105,AS2:AS1334)&gt;1),1,"")))</f>
        <v/>
      </c>
      <c r="AW105" s="387">
        <f>SUMIF(C2:C1334,C105,O2:O1334)</f>
        <v>9</v>
      </c>
      <c r="AX105" s="387">
        <f>IF(AND(M105="F",AS105&lt;&gt;0),SUMIF(C2:C1334,C105,W2:W1334),0)</f>
        <v>0</v>
      </c>
      <c r="AY105" s="387" t="str">
        <f t="shared" si="73"/>
        <v/>
      </c>
      <c r="AZ105" s="387" t="str">
        <f t="shared" si="74"/>
        <v/>
      </c>
      <c r="BA105" s="387">
        <f t="shared" si="75"/>
        <v>0</v>
      </c>
      <c r="BB105" s="387">
        <f t="shared" si="44"/>
        <v>0</v>
      </c>
      <c r="BC105" s="387">
        <f t="shared" si="45"/>
        <v>0</v>
      </c>
      <c r="BD105" s="387">
        <f t="shared" si="46"/>
        <v>0</v>
      </c>
      <c r="BE105" s="387">
        <f t="shared" si="47"/>
        <v>0</v>
      </c>
      <c r="BF105" s="387">
        <f t="shared" si="48"/>
        <v>0</v>
      </c>
      <c r="BG105" s="387">
        <f t="shared" si="49"/>
        <v>0</v>
      </c>
      <c r="BH105" s="387">
        <f t="shared" si="50"/>
        <v>0</v>
      </c>
      <c r="BI105" s="387">
        <f t="shared" si="51"/>
        <v>0</v>
      </c>
      <c r="BJ105" s="387">
        <f t="shared" si="52"/>
        <v>0</v>
      </c>
      <c r="BK105" s="387">
        <f t="shared" si="53"/>
        <v>0</v>
      </c>
      <c r="BL105" s="387">
        <f t="shared" si="76"/>
        <v>0</v>
      </c>
      <c r="BM105" s="387">
        <f t="shared" si="77"/>
        <v>0</v>
      </c>
      <c r="BN105" s="387">
        <f t="shared" si="54"/>
        <v>0</v>
      </c>
      <c r="BO105" s="387">
        <f t="shared" si="55"/>
        <v>0</v>
      </c>
      <c r="BP105" s="387">
        <f t="shared" si="56"/>
        <v>0</v>
      </c>
      <c r="BQ105" s="387">
        <f t="shared" si="57"/>
        <v>0</v>
      </c>
      <c r="BR105" s="387">
        <f t="shared" si="58"/>
        <v>0</v>
      </c>
      <c r="BS105" s="387">
        <f t="shared" si="59"/>
        <v>0</v>
      </c>
      <c r="BT105" s="387">
        <f t="shared" si="60"/>
        <v>0</v>
      </c>
      <c r="BU105" s="387">
        <f t="shared" si="61"/>
        <v>0</v>
      </c>
      <c r="BV105" s="387">
        <f t="shared" si="62"/>
        <v>0</v>
      </c>
      <c r="BW105" s="387">
        <f t="shared" si="63"/>
        <v>0</v>
      </c>
      <c r="BX105" s="387">
        <f t="shared" si="78"/>
        <v>0</v>
      </c>
      <c r="BY105" s="387">
        <f t="shared" si="79"/>
        <v>0</v>
      </c>
      <c r="BZ105" s="387">
        <f t="shared" si="80"/>
        <v>0</v>
      </c>
      <c r="CA105" s="387">
        <f t="shared" si="81"/>
        <v>0</v>
      </c>
      <c r="CB105" s="387">
        <f t="shared" si="82"/>
        <v>0</v>
      </c>
      <c r="CC105" s="387">
        <f t="shared" si="64"/>
        <v>0</v>
      </c>
      <c r="CD105" s="387">
        <f t="shared" si="65"/>
        <v>0</v>
      </c>
      <c r="CE105" s="387">
        <f t="shared" si="66"/>
        <v>0</v>
      </c>
      <c r="CF105" s="387">
        <f t="shared" si="67"/>
        <v>0</v>
      </c>
      <c r="CG105" s="387">
        <f t="shared" si="68"/>
        <v>0</v>
      </c>
      <c r="CH105" s="387">
        <f t="shared" si="69"/>
        <v>0</v>
      </c>
      <c r="CI105" s="387">
        <f t="shared" si="70"/>
        <v>0</v>
      </c>
      <c r="CJ105" s="387">
        <f t="shared" si="83"/>
        <v>0</v>
      </c>
      <c r="CK105" s="387" t="str">
        <f t="shared" si="84"/>
        <v/>
      </c>
      <c r="CL105" s="387" t="str">
        <f t="shared" si="85"/>
        <v/>
      </c>
      <c r="CM105" s="387" t="str">
        <f t="shared" si="86"/>
        <v/>
      </c>
      <c r="CN105" s="387" t="str">
        <f t="shared" si="87"/>
        <v>0001-00</v>
      </c>
    </row>
    <row r="106" spans="1:92" ht="15.75" thickBot="1" x14ac:dyDescent="0.3">
      <c r="A106" s="376" t="s">
        <v>161</v>
      </c>
      <c r="B106" s="376" t="s">
        <v>162</v>
      </c>
      <c r="C106" s="376" t="s">
        <v>676</v>
      </c>
      <c r="D106" s="376" t="s">
        <v>270</v>
      </c>
      <c r="E106" s="376" t="s">
        <v>674</v>
      </c>
      <c r="F106" s="377" t="s">
        <v>166</v>
      </c>
      <c r="G106" s="376" t="s">
        <v>675</v>
      </c>
      <c r="H106" s="378"/>
      <c r="I106" s="378"/>
      <c r="J106" s="376" t="s">
        <v>215</v>
      </c>
      <c r="K106" s="376" t="s">
        <v>271</v>
      </c>
      <c r="L106" s="376" t="s">
        <v>217</v>
      </c>
      <c r="M106" s="376" t="s">
        <v>171</v>
      </c>
      <c r="N106" s="376" t="s">
        <v>172</v>
      </c>
      <c r="O106" s="379">
        <v>1</v>
      </c>
      <c r="P106" s="385">
        <v>0</v>
      </c>
      <c r="Q106" s="385">
        <v>0</v>
      </c>
      <c r="R106" s="380">
        <v>80</v>
      </c>
      <c r="S106" s="385">
        <v>0</v>
      </c>
      <c r="T106" s="380">
        <v>39035.22</v>
      </c>
      <c r="U106" s="380">
        <v>0</v>
      </c>
      <c r="V106" s="380">
        <v>19812.14</v>
      </c>
      <c r="W106" s="380">
        <v>0</v>
      </c>
      <c r="X106" s="380">
        <v>0</v>
      </c>
      <c r="Y106" s="380">
        <v>0</v>
      </c>
      <c r="Z106" s="380">
        <v>0</v>
      </c>
      <c r="AA106" s="376" t="s">
        <v>677</v>
      </c>
      <c r="AB106" s="376" t="s">
        <v>678</v>
      </c>
      <c r="AC106" s="376" t="s">
        <v>679</v>
      </c>
      <c r="AD106" s="376" t="s">
        <v>210</v>
      </c>
      <c r="AE106" s="376" t="s">
        <v>271</v>
      </c>
      <c r="AF106" s="376" t="s">
        <v>221</v>
      </c>
      <c r="AG106" s="376" t="s">
        <v>178</v>
      </c>
      <c r="AH106" s="381">
        <v>19.510000000000002</v>
      </c>
      <c r="AI106" s="381">
        <v>28162.3</v>
      </c>
      <c r="AJ106" s="376" t="s">
        <v>179</v>
      </c>
      <c r="AK106" s="376" t="s">
        <v>180</v>
      </c>
      <c r="AL106" s="376" t="s">
        <v>181</v>
      </c>
      <c r="AM106" s="376" t="s">
        <v>182</v>
      </c>
      <c r="AN106" s="376" t="s">
        <v>68</v>
      </c>
      <c r="AO106" s="379">
        <v>80</v>
      </c>
      <c r="AP106" s="385">
        <v>1</v>
      </c>
      <c r="AQ106" s="385">
        <v>0</v>
      </c>
      <c r="AR106" s="383" t="s">
        <v>183</v>
      </c>
      <c r="AS106" s="387">
        <f t="shared" si="71"/>
        <v>0</v>
      </c>
      <c r="AT106">
        <f t="shared" si="72"/>
        <v>0</v>
      </c>
      <c r="AU106" s="387" t="str">
        <f>IF(AT106=0,"",IF(AND(AT106=1,M106="F",SUMIF(C2:C1334,C106,AS2:AS1334)&lt;=1),SUMIF(C2:C1334,C106,AS2:AS1334),IF(AND(AT106=1,M106="F",SUMIF(C2:C1334,C106,AS2:AS1334)&gt;1),1,"")))</f>
        <v/>
      </c>
      <c r="AV106" s="387" t="str">
        <f>IF(AT106=0,"",IF(AND(AT106=3,M106="F",SUMIF(C2:C1334,C106,AS2:AS1334)&lt;=1),SUMIF(C2:C1334,C106,AS2:AS1334),IF(AND(AT106=3,M106="F",SUMIF(C2:C1334,C106,AS2:AS1334)&gt;1),1,"")))</f>
        <v/>
      </c>
      <c r="AW106" s="387">
        <f>SUMIF(C2:C1334,C106,O2:O1334)</f>
        <v>2</v>
      </c>
      <c r="AX106" s="387">
        <f>IF(AND(M106="F",AS106&lt;&gt;0),SUMIF(C2:C1334,C106,W2:W1334),0)</f>
        <v>0</v>
      </c>
      <c r="AY106" s="387" t="str">
        <f t="shared" si="73"/>
        <v/>
      </c>
      <c r="AZ106" s="387" t="str">
        <f t="shared" si="74"/>
        <v/>
      </c>
      <c r="BA106" s="387">
        <f t="shared" si="75"/>
        <v>0</v>
      </c>
      <c r="BB106" s="387">
        <f t="shared" si="44"/>
        <v>0</v>
      </c>
      <c r="BC106" s="387">
        <f t="shared" si="45"/>
        <v>0</v>
      </c>
      <c r="BD106" s="387">
        <f t="shared" si="46"/>
        <v>0</v>
      </c>
      <c r="BE106" s="387">
        <f t="shared" si="47"/>
        <v>0</v>
      </c>
      <c r="BF106" s="387">
        <f t="shared" si="48"/>
        <v>0</v>
      </c>
      <c r="BG106" s="387">
        <f t="shared" si="49"/>
        <v>0</v>
      </c>
      <c r="BH106" s="387">
        <f t="shared" si="50"/>
        <v>0</v>
      </c>
      <c r="BI106" s="387">
        <f t="shared" si="51"/>
        <v>0</v>
      </c>
      <c r="BJ106" s="387">
        <f t="shared" si="52"/>
        <v>0</v>
      </c>
      <c r="BK106" s="387">
        <f t="shared" si="53"/>
        <v>0</v>
      </c>
      <c r="BL106" s="387">
        <f t="shared" si="76"/>
        <v>0</v>
      </c>
      <c r="BM106" s="387">
        <f t="shared" si="77"/>
        <v>0</v>
      </c>
      <c r="BN106" s="387">
        <f t="shared" si="54"/>
        <v>0</v>
      </c>
      <c r="BO106" s="387">
        <f t="shared" si="55"/>
        <v>0</v>
      </c>
      <c r="BP106" s="387">
        <f t="shared" si="56"/>
        <v>0</v>
      </c>
      <c r="BQ106" s="387">
        <f t="shared" si="57"/>
        <v>0</v>
      </c>
      <c r="BR106" s="387">
        <f t="shared" si="58"/>
        <v>0</v>
      </c>
      <c r="BS106" s="387">
        <f t="shared" si="59"/>
        <v>0</v>
      </c>
      <c r="BT106" s="387">
        <f t="shared" si="60"/>
        <v>0</v>
      </c>
      <c r="BU106" s="387">
        <f t="shared" si="61"/>
        <v>0</v>
      </c>
      <c r="BV106" s="387">
        <f t="shared" si="62"/>
        <v>0</v>
      </c>
      <c r="BW106" s="387">
        <f t="shared" si="63"/>
        <v>0</v>
      </c>
      <c r="BX106" s="387">
        <f t="shared" si="78"/>
        <v>0</v>
      </c>
      <c r="BY106" s="387">
        <f t="shared" si="79"/>
        <v>0</v>
      </c>
      <c r="BZ106" s="387">
        <f t="shared" si="80"/>
        <v>0</v>
      </c>
      <c r="CA106" s="387">
        <f t="shared" si="81"/>
        <v>0</v>
      </c>
      <c r="CB106" s="387">
        <f t="shared" si="82"/>
        <v>0</v>
      </c>
      <c r="CC106" s="387">
        <f t="shared" si="64"/>
        <v>0</v>
      </c>
      <c r="CD106" s="387">
        <f t="shared" si="65"/>
        <v>0</v>
      </c>
      <c r="CE106" s="387">
        <f t="shared" si="66"/>
        <v>0</v>
      </c>
      <c r="CF106" s="387">
        <f t="shared" si="67"/>
        <v>0</v>
      </c>
      <c r="CG106" s="387">
        <f t="shared" si="68"/>
        <v>0</v>
      </c>
      <c r="CH106" s="387">
        <f t="shared" si="69"/>
        <v>0</v>
      </c>
      <c r="CI106" s="387">
        <f t="shared" si="70"/>
        <v>0</v>
      </c>
      <c r="CJ106" s="387">
        <f t="shared" si="83"/>
        <v>0</v>
      </c>
      <c r="CK106" s="387" t="str">
        <f t="shared" si="84"/>
        <v/>
      </c>
      <c r="CL106" s="387" t="str">
        <f t="shared" si="85"/>
        <v/>
      </c>
      <c r="CM106" s="387" t="str">
        <f t="shared" si="86"/>
        <v/>
      </c>
      <c r="CN106" s="387" t="str">
        <f t="shared" si="87"/>
        <v>0001-00</v>
      </c>
    </row>
    <row r="107" spans="1:92" ht="15.75" thickBot="1" x14ac:dyDescent="0.3">
      <c r="A107" s="376" t="s">
        <v>161</v>
      </c>
      <c r="B107" s="376" t="s">
        <v>162</v>
      </c>
      <c r="C107" s="376" t="s">
        <v>680</v>
      </c>
      <c r="D107" s="376" t="s">
        <v>681</v>
      </c>
      <c r="E107" s="376" t="s">
        <v>674</v>
      </c>
      <c r="F107" s="377" t="s">
        <v>166</v>
      </c>
      <c r="G107" s="376" t="s">
        <v>675</v>
      </c>
      <c r="H107" s="378"/>
      <c r="I107" s="378"/>
      <c r="J107" s="376" t="s">
        <v>215</v>
      </c>
      <c r="K107" s="376" t="s">
        <v>682</v>
      </c>
      <c r="L107" s="376" t="s">
        <v>296</v>
      </c>
      <c r="M107" s="376" t="s">
        <v>171</v>
      </c>
      <c r="N107" s="376" t="s">
        <v>172</v>
      </c>
      <c r="O107" s="379">
        <v>1</v>
      </c>
      <c r="P107" s="385">
        <v>0</v>
      </c>
      <c r="Q107" s="385">
        <v>0</v>
      </c>
      <c r="R107" s="380">
        <v>80</v>
      </c>
      <c r="S107" s="385">
        <v>0</v>
      </c>
      <c r="T107" s="380">
        <v>41154.42</v>
      </c>
      <c r="U107" s="380">
        <v>0</v>
      </c>
      <c r="V107" s="380">
        <v>19999.560000000001</v>
      </c>
      <c r="W107" s="380">
        <v>0</v>
      </c>
      <c r="X107" s="380">
        <v>0</v>
      </c>
      <c r="Y107" s="380">
        <v>0</v>
      </c>
      <c r="Z107" s="380">
        <v>0</v>
      </c>
      <c r="AA107" s="376" t="s">
        <v>683</v>
      </c>
      <c r="AB107" s="376" t="s">
        <v>684</v>
      </c>
      <c r="AC107" s="376" t="s">
        <v>685</v>
      </c>
      <c r="AD107" s="376" t="s">
        <v>686</v>
      </c>
      <c r="AE107" s="376" t="s">
        <v>682</v>
      </c>
      <c r="AF107" s="376" t="s">
        <v>301</v>
      </c>
      <c r="AG107" s="376" t="s">
        <v>178</v>
      </c>
      <c r="AH107" s="381">
        <v>20.75</v>
      </c>
      <c r="AI107" s="381">
        <v>26143.4</v>
      </c>
      <c r="AJ107" s="376" t="s">
        <v>179</v>
      </c>
      <c r="AK107" s="376" t="s">
        <v>180</v>
      </c>
      <c r="AL107" s="376" t="s">
        <v>181</v>
      </c>
      <c r="AM107" s="376" t="s">
        <v>182</v>
      </c>
      <c r="AN107" s="376" t="s">
        <v>68</v>
      </c>
      <c r="AO107" s="379">
        <v>80</v>
      </c>
      <c r="AP107" s="385">
        <v>1</v>
      </c>
      <c r="AQ107" s="385">
        <v>0</v>
      </c>
      <c r="AR107" s="383" t="s">
        <v>183</v>
      </c>
      <c r="AS107" s="387">
        <f t="shared" si="71"/>
        <v>0</v>
      </c>
      <c r="AT107">
        <f t="shared" si="72"/>
        <v>0</v>
      </c>
      <c r="AU107" s="387" t="str">
        <f>IF(AT107=0,"",IF(AND(AT107=1,M107="F",SUMIF(C2:C1334,C107,AS2:AS1334)&lt;=1),SUMIF(C2:C1334,C107,AS2:AS1334),IF(AND(AT107=1,M107="F",SUMIF(C2:C1334,C107,AS2:AS1334)&gt;1),1,"")))</f>
        <v/>
      </c>
      <c r="AV107" s="387" t="str">
        <f>IF(AT107=0,"",IF(AND(AT107=3,M107="F",SUMIF(C2:C1334,C107,AS2:AS1334)&lt;=1),SUMIF(C2:C1334,C107,AS2:AS1334),IF(AND(AT107=3,M107="F",SUMIF(C2:C1334,C107,AS2:AS1334)&gt;1),1,"")))</f>
        <v/>
      </c>
      <c r="AW107" s="387">
        <f>SUMIF(C2:C1334,C107,O2:O1334)</f>
        <v>2</v>
      </c>
      <c r="AX107" s="387">
        <f>IF(AND(M107="F",AS107&lt;&gt;0),SUMIF(C2:C1334,C107,W2:W1334),0)</f>
        <v>0</v>
      </c>
      <c r="AY107" s="387" t="str">
        <f t="shared" si="73"/>
        <v/>
      </c>
      <c r="AZ107" s="387" t="str">
        <f t="shared" si="74"/>
        <v/>
      </c>
      <c r="BA107" s="387">
        <f t="shared" si="75"/>
        <v>0</v>
      </c>
      <c r="BB107" s="387">
        <f t="shared" si="44"/>
        <v>0</v>
      </c>
      <c r="BC107" s="387">
        <f t="shared" si="45"/>
        <v>0</v>
      </c>
      <c r="BD107" s="387">
        <f t="shared" si="46"/>
        <v>0</v>
      </c>
      <c r="BE107" s="387">
        <f t="shared" si="47"/>
        <v>0</v>
      </c>
      <c r="BF107" s="387">
        <f t="shared" si="48"/>
        <v>0</v>
      </c>
      <c r="BG107" s="387">
        <f t="shared" si="49"/>
        <v>0</v>
      </c>
      <c r="BH107" s="387">
        <f t="shared" si="50"/>
        <v>0</v>
      </c>
      <c r="BI107" s="387">
        <f t="shared" si="51"/>
        <v>0</v>
      </c>
      <c r="BJ107" s="387">
        <f t="shared" si="52"/>
        <v>0</v>
      </c>
      <c r="BK107" s="387">
        <f t="shared" si="53"/>
        <v>0</v>
      </c>
      <c r="BL107" s="387">
        <f t="shared" si="76"/>
        <v>0</v>
      </c>
      <c r="BM107" s="387">
        <f t="shared" si="77"/>
        <v>0</v>
      </c>
      <c r="BN107" s="387">
        <f t="shared" si="54"/>
        <v>0</v>
      </c>
      <c r="BO107" s="387">
        <f t="shared" si="55"/>
        <v>0</v>
      </c>
      <c r="BP107" s="387">
        <f t="shared" si="56"/>
        <v>0</v>
      </c>
      <c r="BQ107" s="387">
        <f t="shared" si="57"/>
        <v>0</v>
      </c>
      <c r="BR107" s="387">
        <f t="shared" si="58"/>
        <v>0</v>
      </c>
      <c r="BS107" s="387">
        <f t="shared" si="59"/>
        <v>0</v>
      </c>
      <c r="BT107" s="387">
        <f t="shared" si="60"/>
        <v>0</v>
      </c>
      <c r="BU107" s="387">
        <f t="shared" si="61"/>
        <v>0</v>
      </c>
      <c r="BV107" s="387">
        <f t="shared" si="62"/>
        <v>0</v>
      </c>
      <c r="BW107" s="387">
        <f t="shared" si="63"/>
        <v>0</v>
      </c>
      <c r="BX107" s="387">
        <f t="shared" si="78"/>
        <v>0</v>
      </c>
      <c r="BY107" s="387">
        <f t="shared" si="79"/>
        <v>0</v>
      </c>
      <c r="BZ107" s="387">
        <f t="shared" si="80"/>
        <v>0</v>
      </c>
      <c r="CA107" s="387">
        <f t="shared" si="81"/>
        <v>0</v>
      </c>
      <c r="CB107" s="387">
        <f t="shared" si="82"/>
        <v>0</v>
      </c>
      <c r="CC107" s="387">
        <f t="shared" si="64"/>
        <v>0</v>
      </c>
      <c r="CD107" s="387">
        <f t="shared" si="65"/>
        <v>0</v>
      </c>
      <c r="CE107" s="387">
        <f t="shared" si="66"/>
        <v>0</v>
      </c>
      <c r="CF107" s="387">
        <f t="shared" si="67"/>
        <v>0</v>
      </c>
      <c r="CG107" s="387">
        <f t="shared" si="68"/>
        <v>0</v>
      </c>
      <c r="CH107" s="387">
        <f t="shared" si="69"/>
        <v>0</v>
      </c>
      <c r="CI107" s="387">
        <f t="shared" si="70"/>
        <v>0</v>
      </c>
      <c r="CJ107" s="387">
        <f t="shared" si="83"/>
        <v>0</v>
      </c>
      <c r="CK107" s="387" t="str">
        <f t="shared" si="84"/>
        <v/>
      </c>
      <c r="CL107" s="387" t="str">
        <f t="shared" si="85"/>
        <v/>
      </c>
      <c r="CM107" s="387" t="str">
        <f t="shared" si="86"/>
        <v/>
      </c>
      <c r="CN107" s="387" t="str">
        <f t="shared" si="87"/>
        <v>0001-00</v>
      </c>
    </row>
    <row r="108" spans="1:92" ht="15.75" thickBot="1" x14ac:dyDescent="0.3">
      <c r="A108" s="376" t="s">
        <v>161</v>
      </c>
      <c r="B108" s="376" t="s">
        <v>162</v>
      </c>
      <c r="C108" s="376" t="s">
        <v>687</v>
      </c>
      <c r="D108" s="376" t="s">
        <v>681</v>
      </c>
      <c r="E108" s="376" t="s">
        <v>674</v>
      </c>
      <c r="F108" s="377" t="s">
        <v>166</v>
      </c>
      <c r="G108" s="376" t="s">
        <v>675</v>
      </c>
      <c r="H108" s="378"/>
      <c r="I108" s="378"/>
      <c r="J108" s="376" t="s">
        <v>215</v>
      </c>
      <c r="K108" s="376" t="s">
        <v>682</v>
      </c>
      <c r="L108" s="376" t="s">
        <v>296</v>
      </c>
      <c r="M108" s="376" t="s">
        <v>171</v>
      </c>
      <c r="N108" s="376" t="s">
        <v>172</v>
      </c>
      <c r="O108" s="379">
        <v>1</v>
      </c>
      <c r="P108" s="385">
        <v>0</v>
      </c>
      <c r="Q108" s="385">
        <v>0</v>
      </c>
      <c r="R108" s="380">
        <v>80</v>
      </c>
      <c r="S108" s="385">
        <v>0</v>
      </c>
      <c r="T108" s="380">
        <v>49594.42</v>
      </c>
      <c r="U108" s="380">
        <v>0</v>
      </c>
      <c r="V108" s="380">
        <v>21911.01</v>
      </c>
      <c r="W108" s="380">
        <v>0</v>
      </c>
      <c r="X108" s="380">
        <v>0</v>
      </c>
      <c r="Y108" s="380">
        <v>0</v>
      </c>
      <c r="Z108" s="380">
        <v>0</v>
      </c>
      <c r="AA108" s="376" t="s">
        <v>688</v>
      </c>
      <c r="AB108" s="376" t="s">
        <v>689</v>
      </c>
      <c r="AC108" s="376" t="s">
        <v>690</v>
      </c>
      <c r="AD108" s="376" t="s">
        <v>324</v>
      </c>
      <c r="AE108" s="376" t="s">
        <v>682</v>
      </c>
      <c r="AF108" s="376" t="s">
        <v>301</v>
      </c>
      <c r="AG108" s="376" t="s">
        <v>178</v>
      </c>
      <c r="AH108" s="381">
        <v>24.79</v>
      </c>
      <c r="AI108" s="381">
        <v>42198.8</v>
      </c>
      <c r="AJ108" s="376" t="s">
        <v>179</v>
      </c>
      <c r="AK108" s="376" t="s">
        <v>180</v>
      </c>
      <c r="AL108" s="376" t="s">
        <v>181</v>
      </c>
      <c r="AM108" s="376" t="s">
        <v>182</v>
      </c>
      <c r="AN108" s="376" t="s">
        <v>68</v>
      </c>
      <c r="AO108" s="379">
        <v>80</v>
      </c>
      <c r="AP108" s="385">
        <v>1</v>
      </c>
      <c r="AQ108" s="385">
        <v>0</v>
      </c>
      <c r="AR108" s="383" t="s">
        <v>183</v>
      </c>
      <c r="AS108" s="387">
        <f t="shared" si="71"/>
        <v>0</v>
      </c>
      <c r="AT108">
        <f t="shared" si="72"/>
        <v>0</v>
      </c>
      <c r="AU108" s="387" t="str">
        <f>IF(AT108=0,"",IF(AND(AT108=1,M108="F",SUMIF(C2:C1334,C108,AS2:AS1334)&lt;=1),SUMIF(C2:C1334,C108,AS2:AS1334),IF(AND(AT108=1,M108="F",SUMIF(C2:C1334,C108,AS2:AS1334)&gt;1),1,"")))</f>
        <v/>
      </c>
      <c r="AV108" s="387" t="str">
        <f>IF(AT108=0,"",IF(AND(AT108=3,M108="F",SUMIF(C2:C1334,C108,AS2:AS1334)&lt;=1),SUMIF(C2:C1334,C108,AS2:AS1334),IF(AND(AT108=3,M108="F",SUMIF(C2:C1334,C108,AS2:AS1334)&gt;1),1,"")))</f>
        <v/>
      </c>
      <c r="AW108" s="387">
        <f>SUMIF(C2:C1334,C108,O2:O1334)</f>
        <v>2</v>
      </c>
      <c r="AX108" s="387">
        <f>IF(AND(M108="F",AS108&lt;&gt;0),SUMIF(C2:C1334,C108,W2:W1334),0)</f>
        <v>0</v>
      </c>
      <c r="AY108" s="387" t="str">
        <f t="shared" si="73"/>
        <v/>
      </c>
      <c r="AZ108" s="387" t="str">
        <f t="shared" si="74"/>
        <v/>
      </c>
      <c r="BA108" s="387">
        <f t="shared" si="75"/>
        <v>0</v>
      </c>
      <c r="BB108" s="387">
        <f t="shared" si="44"/>
        <v>0</v>
      </c>
      <c r="BC108" s="387">
        <f t="shared" si="45"/>
        <v>0</v>
      </c>
      <c r="BD108" s="387">
        <f t="shared" si="46"/>
        <v>0</v>
      </c>
      <c r="BE108" s="387">
        <f t="shared" si="47"/>
        <v>0</v>
      </c>
      <c r="BF108" s="387">
        <f t="shared" si="48"/>
        <v>0</v>
      </c>
      <c r="BG108" s="387">
        <f t="shared" si="49"/>
        <v>0</v>
      </c>
      <c r="BH108" s="387">
        <f t="shared" si="50"/>
        <v>0</v>
      </c>
      <c r="BI108" s="387">
        <f t="shared" si="51"/>
        <v>0</v>
      </c>
      <c r="BJ108" s="387">
        <f t="shared" si="52"/>
        <v>0</v>
      </c>
      <c r="BK108" s="387">
        <f t="shared" si="53"/>
        <v>0</v>
      </c>
      <c r="BL108" s="387">
        <f t="shared" si="76"/>
        <v>0</v>
      </c>
      <c r="BM108" s="387">
        <f t="shared" si="77"/>
        <v>0</v>
      </c>
      <c r="BN108" s="387">
        <f t="shared" si="54"/>
        <v>0</v>
      </c>
      <c r="BO108" s="387">
        <f t="shared" si="55"/>
        <v>0</v>
      </c>
      <c r="BP108" s="387">
        <f t="shared" si="56"/>
        <v>0</v>
      </c>
      <c r="BQ108" s="387">
        <f t="shared" si="57"/>
        <v>0</v>
      </c>
      <c r="BR108" s="387">
        <f t="shared" si="58"/>
        <v>0</v>
      </c>
      <c r="BS108" s="387">
        <f t="shared" si="59"/>
        <v>0</v>
      </c>
      <c r="BT108" s="387">
        <f t="shared" si="60"/>
        <v>0</v>
      </c>
      <c r="BU108" s="387">
        <f t="shared" si="61"/>
        <v>0</v>
      </c>
      <c r="BV108" s="387">
        <f t="shared" si="62"/>
        <v>0</v>
      </c>
      <c r="BW108" s="387">
        <f t="shared" si="63"/>
        <v>0</v>
      </c>
      <c r="BX108" s="387">
        <f t="shared" si="78"/>
        <v>0</v>
      </c>
      <c r="BY108" s="387">
        <f t="shared" si="79"/>
        <v>0</v>
      </c>
      <c r="BZ108" s="387">
        <f t="shared" si="80"/>
        <v>0</v>
      </c>
      <c r="CA108" s="387">
        <f t="shared" si="81"/>
        <v>0</v>
      </c>
      <c r="CB108" s="387">
        <f t="shared" si="82"/>
        <v>0</v>
      </c>
      <c r="CC108" s="387">
        <f t="shared" si="64"/>
        <v>0</v>
      </c>
      <c r="CD108" s="387">
        <f t="shared" si="65"/>
        <v>0</v>
      </c>
      <c r="CE108" s="387">
        <f t="shared" si="66"/>
        <v>0</v>
      </c>
      <c r="CF108" s="387">
        <f t="shared" si="67"/>
        <v>0</v>
      </c>
      <c r="CG108" s="387">
        <f t="shared" si="68"/>
        <v>0</v>
      </c>
      <c r="CH108" s="387">
        <f t="shared" si="69"/>
        <v>0</v>
      </c>
      <c r="CI108" s="387">
        <f t="shared" si="70"/>
        <v>0</v>
      </c>
      <c r="CJ108" s="387">
        <f t="shared" si="83"/>
        <v>0</v>
      </c>
      <c r="CK108" s="387" t="str">
        <f t="shared" si="84"/>
        <v/>
      </c>
      <c r="CL108" s="387" t="str">
        <f t="shared" si="85"/>
        <v/>
      </c>
      <c r="CM108" s="387" t="str">
        <f t="shared" si="86"/>
        <v/>
      </c>
      <c r="CN108" s="387" t="str">
        <f t="shared" si="87"/>
        <v>0001-00</v>
      </c>
    </row>
    <row r="109" spans="1:92" ht="15.75" thickBot="1" x14ac:dyDescent="0.3">
      <c r="A109" s="376" t="s">
        <v>161</v>
      </c>
      <c r="B109" s="376" t="s">
        <v>162</v>
      </c>
      <c r="C109" s="376" t="s">
        <v>691</v>
      </c>
      <c r="D109" s="376" t="s">
        <v>681</v>
      </c>
      <c r="E109" s="376" t="s">
        <v>674</v>
      </c>
      <c r="F109" s="377" t="s">
        <v>166</v>
      </c>
      <c r="G109" s="376" t="s">
        <v>675</v>
      </c>
      <c r="H109" s="378"/>
      <c r="I109" s="378"/>
      <c r="J109" s="376" t="s">
        <v>215</v>
      </c>
      <c r="K109" s="376" t="s">
        <v>682</v>
      </c>
      <c r="L109" s="376" t="s">
        <v>296</v>
      </c>
      <c r="M109" s="376" t="s">
        <v>171</v>
      </c>
      <c r="N109" s="376" t="s">
        <v>172</v>
      </c>
      <c r="O109" s="379">
        <v>1</v>
      </c>
      <c r="P109" s="385">
        <v>0</v>
      </c>
      <c r="Q109" s="385">
        <v>0</v>
      </c>
      <c r="R109" s="380">
        <v>80</v>
      </c>
      <c r="S109" s="385">
        <v>0</v>
      </c>
      <c r="T109" s="380">
        <v>35396.01</v>
      </c>
      <c r="U109" s="380">
        <v>0</v>
      </c>
      <c r="V109" s="380">
        <v>18530.77</v>
      </c>
      <c r="W109" s="380">
        <v>0</v>
      </c>
      <c r="X109" s="380">
        <v>0</v>
      </c>
      <c r="Y109" s="380">
        <v>0</v>
      </c>
      <c r="Z109" s="380">
        <v>0</v>
      </c>
      <c r="AA109" s="376" t="s">
        <v>692</v>
      </c>
      <c r="AB109" s="376" t="s">
        <v>693</v>
      </c>
      <c r="AC109" s="376" t="s">
        <v>694</v>
      </c>
      <c r="AD109" s="376" t="s">
        <v>268</v>
      </c>
      <c r="AE109" s="376" t="s">
        <v>695</v>
      </c>
      <c r="AF109" s="376" t="s">
        <v>221</v>
      </c>
      <c r="AG109" s="376" t="s">
        <v>178</v>
      </c>
      <c r="AH109" s="381">
        <v>18.8</v>
      </c>
      <c r="AI109" s="381">
        <v>24281.200000000001</v>
      </c>
      <c r="AJ109" s="376" t="s">
        <v>179</v>
      </c>
      <c r="AK109" s="376" t="s">
        <v>180</v>
      </c>
      <c r="AL109" s="376" t="s">
        <v>181</v>
      </c>
      <c r="AM109" s="376" t="s">
        <v>182</v>
      </c>
      <c r="AN109" s="376" t="s">
        <v>68</v>
      </c>
      <c r="AO109" s="379">
        <v>80</v>
      </c>
      <c r="AP109" s="385">
        <v>1</v>
      </c>
      <c r="AQ109" s="385">
        <v>0</v>
      </c>
      <c r="AR109" s="383">
        <v>3</v>
      </c>
      <c r="AS109" s="387">
        <f t="shared" si="71"/>
        <v>0</v>
      </c>
      <c r="AT109">
        <f t="shared" si="72"/>
        <v>0</v>
      </c>
      <c r="AU109" s="387" t="str">
        <f>IF(AT109=0,"",IF(AND(AT109=1,M109="F",SUMIF(C2:C1334,C109,AS2:AS1334)&lt;=1),SUMIF(C2:C1334,C109,AS2:AS1334),IF(AND(AT109=1,M109="F",SUMIF(C2:C1334,C109,AS2:AS1334)&gt;1),1,"")))</f>
        <v/>
      </c>
      <c r="AV109" s="387" t="str">
        <f>IF(AT109=0,"",IF(AND(AT109=3,M109="F",SUMIF(C2:C1334,C109,AS2:AS1334)&lt;=1),SUMIF(C2:C1334,C109,AS2:AS1334),IF(AND(AT109=3,M109="F",SUMIF(C2:C1334,C109,AS2:AS1334)&gt;1),1,"")))</f>
        <v/>
      </c>
      <c r="AW109" s="387">
        <f>SUMIF(C2:C1334,C109,O2:O1334)</f>
        <v>2</v>
      </c>
      <c r="AX109" s="387">
        <f>IF(AND(M109="F",AS109&lt;&gt;0),SUMIF(C2:C1334,C109,W2:W1334),0)</f>
        <v>0</v>
      </c>
      <c r="AY109" s="387" t="str">
        <f t="shared" si="73"/>
        <v/>
      </c>
      <c r="AZ109" s="387" t="str">
        <f t="shared" si="74"/>
        <v/>
      </c>
      <c r="BA109" s="387">
        <f t="shared" si="75"/>
        <v>0</v>
      </c>
      <c r="BB109" s="387">
        <f t="shared" si="44"/>
        <v>0</v>
      </c>
      <c r="BC109" s="387">
        <f t="shared" si="45"/>
        <v>0</v>
      </c>
      <c r="BD109" s="387">
        <f t="shared" si="46"/>
        <v>0</v>
      </c>
      <c r="BE109" s="387">
        <f t="shared" si="47"/>
        <v>0</v>
      </c>
      <c r="BF109" s="387">
        <f t="shared" si="48"/>
        <v>0</v>
      </c>
      <c r="BG109" s="387">
        <f t="shared" si="49"/>
        <v>0</v>
      </c>
      <c r="BH109" s="387">
        <f t="shared" si="50"/>
        <v>0</v>
      </c>
      <c r="BI109" s="387">
        <f t="shared" si="51"/>
        <v>0</v>
      </c>
      <c r="BJ109" s="387">
        <f t="shared" si="52"/>
        <v>0</v>
      </c>
      <c r="BK109" s="387">
        <f t="shared" si="53"/>
        <v>0</v>
      </c>
      <c r="BL109" s="387">
        <f t="shared" si="76"/>
        <v>0</v>
      </c>
      <c r="BM109" s="387">
        <f t="shared" si="77"/>
        <v>0</v>
      </c>
      <c r="BN109" s="387">
        <f t="shared" si="54"/>
        <v>0</v>
      </c>
      <c r="BO109" s="387">
        <f t="shared" si="55"/>
        <v>0</v>
      </c>
      <c r="BP109" s="387">
        <f t="shared" si="56"/>
        <v>0</v>
      </c>
      <c r="BQ109" s="387">
        <f t="shared" si="57"/>
        <v>0</v>
      </c>
      <c r="BR109" s="387">
        <f t="shared" si="58"/>
        <v>0</v>
      </c>
      <c r="BS109" s="387">
        <f t="shared" si="59"/>
        <v>0</v>
      </c>
      <c r="BT109" s="387">
        <f t="shared" si="60"/>
        <v>0</v>
      </c>
      <c r="BU109" s="387">
        <f t="shared" si="61"/>
        <v>0</v>
      </c>
      <c r="BV109" s="387">
        <f t="shared" si="62"/>
        <v>0</v>
      </c>
      <c r="BW109" s="387">
        <f t="shared" si="63"/>
        <v>0</v>
      </c>
      <c r="BX109" s="387">
        <f t="shared" si="78"/>
        <v>0</v>
      </c>
      <c r="BY109" s="387">
        <f t="shared" si="79"/>
        <v>0</v>
      </c>
      <c r="BZ109" s="387">
        <f t="shared" si="80"/>
        <v>0</v>
      </c>
      <c r="CA109" s="387">
        <f t="shared" si="81"/>
        <v>0</v>
      </c>
      <c r="CB109" s="387">
        <f t="shared" si="82"/>
        <v>0</v>
      </c>
      <c r="CC109" s="387">
        <f t="shared" si="64"/>
        <v>0</v>
      </c>
      <c r="CD109" s="387">
        <f t="shared" si="65"/>
        <v>0</v>
      </c>
      <c r="CE109" s="387">
        <f t="shared" si="66"/>
        <v>0</v>
      </c>
      <c r="CF109" s="387">
        <f t="shared" si="67"/>
        <v>0</v>
      </c>
      <c r="CG109" s="387">
        <f t="shared" si="68"/>
        <v>0</v>
      </c>
      <c r="CH109" s="387">
        <f t="shared" si="69"/>
        <v>0</v>
      </c>
      <c r="CI109" s="387">
        <f t="shared" si="70"/>
        <v>0</v>
      </c>
      <c r="CJ109" s="387">
        <f t="shared" si="83"/>
        <v>0</v>
      </c>
      <c r="CK109" s="387" t="str">
        <f t="shared" si="84"/>
        <v/>
      </c>
      <c r="CL109" s="387" t="str">
        <f t="shared" si="85"/>
        <v/>
      </c>
      <c r="CM109" s="387" t="str">
        <f t="shared" si="86"/>
        <v/>
      </c>
      <c r="CN109" s="387" t="str">
        <f t="shared" si="87"/>
        <v>0001-00</v>
      </c>
    </row>
    <row r="110" spans="1:92" ht="15.75" thickBot="1" x14ac:dyDescent="0.3">
      <c r="A110" s="376" t="s">
        <v>161</v>
      </c>
      <c r="B110" s="376" t="s">
        <v>162</v>
      </c>
      <c r="C110" s="376" t="s">
        <v>696</v>
      </c>
      <c r="D110" s="376" t="s">
        <v>681</v>
      </c>
      <c r="E110" s="376" t="s">
        <v>674</v>
      </c>
      <c r="F110" s="377" t="s">
        <v>166</v>
      </c>
      <c r="G110" s="376" t="s">
        <v>675</v>
      </c>
      <c r="H110" s="378"/>
      <c r="I110" s="378"/>
      <c r="J110" s="376" t="s">
        <v>239</v>
      </c>
      <c r="K110" s="376" t="s">
        <v>682</v>
      </c>
      <c r="L110" s="376" t="s">
        <v>296</v>
      </c>
      <c r="M110" s="376" t="s">
        <v>171</v>
      </c>
      <c r="N110" s="376" t="s">
        <v>172</v>
      </c>
      <c r="O110" s="379">
        <v>1</v>
      </c>
      <c r="P110" s="385">
        <v>0</v>
      </c>
      <c r="Q110" s="385">
        <v>0</v>
      </c>
      <c r="R110" s="380">
        <v>80</v>
      </c>
      <c r="S110" s="385">
        <v>0</v>
      </c>
      <c r="T110" s="380">
        <v>39704.19</v>
      </c>
      <c r="U110" s="380">
        <v>0</v>
      </c>
      <c r="V110" s="380">
        <v>18863.939999999999</v>
      </c>
      <c r="W110" s="380">
        <v>0</v>
      </c>
      <c r="X110" s="380">
        <v>0</v>
      </c>
      <c r="Y110" s="380">
        <v>0</v>
      </c>
      <c r="Z110" s="380">
        <v>0</v>
      </c>
      <c r="AA110" s="376" t="s">
        <v>697</v>
      </c>
      <c r="AB110" s="376" t="s">
        <v>698</v>
      </c>
      <c r="AC110" s="376" t="s">
        <v>542</v>
      </c>
      <c r="AD110" s="376" t="s">
        <v>180</v>
      </c>
      <c r="AE110" s="376" t="s">
        <v>682</v>
      </c>
      <c r="AF110" s="376" t="s">
        <v>301</v>
      </c>
      <c r="AG110" s="376" t="s">
        <v>178</v>
      </c>
      <c r="AH110" s="381">
        <v>21.54</v>
      </c>
      <c r="AI110" s="381">
        <v>43319.3</v>
      </c>
      <c r="AJ110" s="376" t="s">
        <v>179</v>
      </c>
      <c r="AK110" s="376" t="s">
        <v>180</v>
      </c>
      <c r="AL110" s="376" t="s">
        <v>181</v>
      </c>
      <c r="AM110" s="376" t="s">
        <v>182</v>
      </c>
      <c r="AN110" s="376" t="s">
        <v>68</v>
      </c>
      <c r="AO110" s="379">
        <v>80</v>
      </c>
      <c r="AP110" s="385">
        <v>1</v>
      </c>
      <c r="AQ110" s="385">
        <v>0</v>
      </c>
      <c r="AR110" s="383" t="s">
        <v>183</v>
      </c>
      <c r="AS110" s="387">
        <f t="shared" si="71"/>
        <v>0</v>
      </c>
      <c r="AT110">
        <f t="shared" si="72"/>
        <v>0</v>
      </c>
      <c r="AU110" s="387" t="str">
        <f>IF(AT110=0,"",IF(AND(AT110=1,M110="F",SUMIF(C2:C1334,C110,AS2:AS1334)&lt;=1),SUMIF(C2:C1334,C110,AS2:AS1334),IF(AND(AT110=1,M110="F",SUMIF(C2:C1334,C110,AS2:AS1334)&gt;1),1,"")))</f>
        <v/>
      </c>
      <c r="AV110" s="387" t="str">
        <f>IF(AT110=0,"",IF(AND(AT110=3,M110="F",SUMIF(C2:C1334,C110,AS2:AS1334)&lt;=1),SUMIF(C2:C1334,C110,AS2:AS1334),IF(AND(AT110=3,M110="F",SUMIF(C2:C1334,C110,AS2:AS1334)&gt;1),1,"")))</f>
        <v/>
      </c>
      <c r="AW110" s="387">
        <f>SUMIF(C2:C1334,C110,O2:O1334)</f>
        <v>3</v>
      </c>
      <c r="AX110" s="387">
        <f>IF(AND(M110="F",AS110&lt;&gt;0),SUMIF(C2:C1334,C110,W2:W1334),0)</f>
        <v>0</v>
      </c>
      <c r="AY110" s="387" t="str">
        <f t="shared" si="73"/>
        <v/>
      </c>
      <c r="AZ110" s="387" t="str">
        <f t="shared" si="74"/>
        <v/>
      </c>
      <c r="BA110" s="387">
        <f t="shared" si="75"/>
        <v>0</v>
      </c>
      <c r="BB110" s="387">
        <f t="shared" si="44"/>
        <v>0</v>
      </c>
      <c r="BC110" s="387">
        <f t="shared" si="45"/>
        <v>0</v>
      </c>
      <c r="BD110" s="387">
        <f t="shared" si="46"/>
        <v>0</v>
      </c>
      <c r="BE110" s="387">
        <f t="shared" si="47"/>
        <v>0</v>
      </c>
      <c r="BF110" s="387">
        <f t="shared" si="48"/>
        <v>0</v>
      </c>
      <c r="BG110" s="387">
        <f t="shared" si="49"/>
        <v>0</v>
      </c>
      <c r="BH110" s="387">
        <f t="shared" si="50"/>
        <v>0</v>
      </c>
      <c r="BI110" s="387">
        <f t="shared" si="51"/>
        <v>0</v>
      </c>
      <c r="BJ110" s="387">
        <f t="shared" si="52"/>
        <v>0</v>
      </c>
      <c r="BK110" s="387">
        <f t="shared" si="53"/>
        <v>0</v>
      </c>
      <c r="BL110" s="387">
        <f t="shared" si="76"/>
        <v>0</v>
      </c>
      <c r="BM110" s="387">
        <f t="shared" si="77"/>
        <v>0</v>
      </c>
      <c r="BN110" s="387">
        <f t="shared" si="54"/>
        <v>0</v>
      </c>
      <c r="BO110" s="387">
        <f t="shared" si="55"/>
        <v>0</v>
      </c>
      <c r="BP110" s="387">
        <f t="shared" si="56"/>
        <v>0</v>
      </c>
      <c r="BQ110" s="387">
        <f t="shared" si="57"/>
        <v>0</v>
      </c>
      <c r="BR110" s="387">
        <f t="shared" si="58"/>
        <v>0</v>
      </c>
      <c r="BS110" s="387">
        <f t="shared" si="59"/>
        <v>0</v>
      </c>
      <c r="BT110" s="387">
        <f t="shared" si="60"/>
        <v>0</v>
      </c>
      <c r="BU110" s="387">
        <f t="shared" si="61"/>
        <v>0</v>
      </c>
      <c r="BV110" s="387">
        <f t="shared" si="62"/>
        <v>0</v>
      </c>
      <c r="BW110" s="387">
        <f t="shared" si="63"/>
        <v>0</v>
      </c>
      <c r="BX110" s="387">
        <f t="shared" si="78"/>
        <v>0</v>
      </c>
      <c r="BY110" s="387">
        <f t="shared" si="79"/>
        <v>0</v>
      </c>
      <c r="BZ110" s="387">
        <f t="shared" si="80"/>
        <v>0</v>
      </c>
      <c r="CA110" s="387">
        <f t="shared" si="81"/>
        <v>0</v>
      </c>
      <c r="CB110" s="387">
        <f t="shared" si="82"/>
        <v>0</v>
      </c>
      <c r="CC110" s="387">
        <f t="shared" si="64"/>
        <v>0</v>
      </c>
      <c r="CD110" s="387">
        <f t="shared" si="65"/>
        <v>0</v>
      </c>
      <c r="CE110" s="387">
        <f t="shared" si="66"/>
        <v>0</v>
      </c>
      <c r="CF110" s="387">
        <f t="shared" si="67"/>
        <v>0</v>
      </c>
      <c r="CG110" s="387">
        <f t="shared" si="68"/>
        <v>0</v>
      </c>
      <c r="CH110" s="387">
        <f t="shared" si="69"/>
        <v>0</v>
      </c>
      <c r="CI110" s="387">
        <f t="shared" si="70"/>
        <v>0</v>
      </c>
      <c r="CJ110" s="387">
        <f t="shared" si="83"/>
        <v>0</v>
      </c>
      <c r="CK110" s="387" t="str">
        <f t="shared" si="84"/>
        <v/>
      </c>
      <c r="CL110" s="387" t="str">
        <f t="shared" si="85"/>
        <v/>
      </c>
      <c r="CM110" s="387" t="str">
        <f t="shared" si="86"/>
        <v/>
      </c>
      <c r="CN110" s="387" t="str">
        <f t="shared" si="87"/>
        <v>0001-00</v>
      </c>
    </row>
    <row r="111" spans="1:92" ht="15.75" thickBot="1" x14ac:dyDescent="0.3">
      <c r="A111" s="376" t="s">
        <v>161</v>
      </c>
      <c r="B111" s="376" t="s">
        <v>162</v>
      </c>
      <c r="C111" s="376" t="s">
        <v>699</v>
      </c>
      <c r="D111" s="376" t="s">
        <v>700</v>
      </c>
      <c r="E111" s="376" t="s">
        <v>674</v>
      </c>
      <c r="F111" s="377" t="s">
        <v>166</v>
      </c>
      <c r="G111" s="376" t="s">
        <v>675</v>
      </c>
      <c r="H111" s="378"/>
      <c r="I111" s="378"/>
      <c r="J111" s="376" t="s">
        <v>215</v>
      </c>
      <c r="K111" s="376" t="s">
        <v>701</v>
      </c>
      <c r="L111" s="376" t="s">
        <v>170</v>
      </c>
      <c r="M111" s="376" t="s">
        <v>171</v>
      </c>
      <c r="N111" s="376" t="s">
        <v>172</v>
      </c>
      <c r="O111" s="379">
        <v>1</v>
      </c>
      <c r="P111" s="385">
        <v>0</v>
      </c>
      <c r="Q111" s="385">
        <v>0</v>
      </c>
      <c r="R111" s="380">
        <v>80</v>
      </c>
      <c r="S111" s="385">
        <v>0</v>
      </c>
      <c r="T111" s="380">
        <v>2888.38</v>
      </c>
      <c r="U111" s="380">
        <v>103.8</v>
      </c>
      <c r="V111" s="380">
        <v>1104.58</v>
      </c>
      <c r="W111" s="380">
        <v>0</v>
      </c>
      <c r="X111" s="380">
        <v>0</v>
      </c>
      <c r="Y111" s="380">
        <v>0</v>
      </c>
      <c r="Z111" s="380">
        <v>0</v>
      </c>
      <c r="AA111" s="376" t="s">
        <v>702</v>
      </c>
      <c r="AB111" s="376" t="s">
        <v>703</v>
      </c>
      <c r="AC111" s="376" t="s">
        <v>704</v>
      </c>
      <c r="AD111" s="376" t="s">
        <v>583</v>
      </c>
      <c r="AE111" s="376" t="s">
        <v>701</v>
      </c>
      <c r="AF111" s="376" t="s">
        <v>177</v>
      </c>
      <c r="AG111" s="376" t="s">
        <v>178</v>
      </c>
      <c r="AH111" s="381">
        <v>36.24</v>
      </c>
      <c r="AI111" s="381">
        <v>56635.199999999997</v>
      </c>
      <c r="AJ111" s="376" t="s">
        <v>179</v>
      </c>
      <c r="AK111" s="376" t="s">
        <v>180</v>
      </c>
      <c r="AL111" s="376" t="s">
        <v>181</v>
      </c>
      <c r="AM111" s="376" t="s">
        <v>182</v>
      </c>
      <c r="AN111" s="376" t="s">
        <v>68</v>
      </c>
      <c r="AO111" s="379">
        <v>80</v>
      </c>
      <c r="AP111" s="385">
        <v>1</v>
      </c>
      <c r="AQ111" s="385">
        <v>0</v>
      </c>
      <c r="AR111" s="383" t="s">
        <v>183</v>
      </c>
      <c r="AS111" s="387">
        <f t="shared" si="71"/>
        <v>0</v>
      </c>
      <c r="AT111">
        <f t="shared" si="72"/>
        <v>0</v>
      </c>
      <c r="AU111" s="387" t="str">
        <f>IF(AT111=0,"",IF(AND(AT111=1,M111="F",SUMIF(C2:C1334,C111,AS2:AS1334)&lt;=1),SUMIF(C2:C1334,C111,AS2:AS1334),IF(AND(AT111=1,M111="F",SUMIF(C2:C1334,C111,AS2:AS1334)&gt;1),1,"")))</f>
        <v/>
      </c>
      <c r="AV111" s="387" t="str">
        <f>IF(AT111=0,"",IF(AND(AT111=3,M111="F",SUMIF(C2:C1334,C111,AS2:AS1334)&lt;=1),SUMIF(C2:C1334,C111,AS2:AS1334),IF(AND(AT111=3,M111="F",SUMIF(C2:C1334,C111,AS2:AS1334)&gt;1),1,"")))</f>
        <v/>
      </c>
      <c r="AW111" s="387">
        <f>SUMIF(C2:C1334,C111,O2:O1334)</f>
        <v>3</v>
      </c>
      <c r="AX111" s="387">
        <f>IF(AND(M111="F",AS111&lt;&gt;0),SUMIF(C2:C1334,C111,W2:W1334),0)</f>
        <v>0</v>
      </c>
      <c r="AY111" s="387" t="str">
        <f t="shared" si="73"/>
        <v/>
      </c>
      <c r="AZ111" s="387" t="str">
        <f t="shared" si="74"/>
        <v/>
      </c>
      <c r="BA111" s="387">
        <f t="shared" si="75"/>
        <v>0</v>
      </c>
      <c r="BB111" s="387">
        <f t="shared" si="44"/>
        <v>0</v>
      </c>
      <c r="BC111" s="387">
        <f t="shared" si="45"/>
        <v>0</v>
      </c>
      <c r="BD111" s="387">
        <f t="shared" si="46"/>
        <v>0</v>
      </c>
      <c r="BE111" s="387">
        <f t="shared" si="47"/>
        <v>0</v>
      </c>
      <c r="BF111" s="387">
        <f t="shared" si="48"/>
        <v>0</v>
      </c>
      <c r="BG111" s="387">
        <f t="shared" si="49"/>
        <v>0</v>
      </c>
      <c r="BH111" s="387">
        <f t="shared" si="50"/>
        <v>0</v>
      </c>
      <c r="BI111" s="387">
        <f t="shared" si="51"/>
        <v>0</v>
      </c>
      <c r="BJ111" s="387">
        <f t="shared" si="52"/>
        <v>0</v>
      </c>
      <c r="BK111" s="387">
        <f t="shared" si="53"/>
        <v>0</v>
      </c>
      <c r="BL111" s="387">
        <f t="shared" si="76"/>
        <v>0</v>
      </c>
      <c r="BM111" s="387">
        <f t="shared" si="77"/>
        <v>0</v>
      </c>
      <c r="BN111" s="387">
        <f t="shared" si="54"/>
        <v>0</v>
      </c>
      <c r="BO111" s="387">
        <f t="shared" si="55"/>
        <v>0</v>
      </c>
      <c r="BP111" s="387">
        <f t="shared" si="56"/>
        <v>0</v>
      </c>
      <c r="BQ111" s="387">
        <f t="shared" si="57"/>
        <v>0</v>
      </c>
      <c r="BR111" s="387">
        <f t="shared" si="58"/>
        <v>0</v>
      </c>
      <c r="BS111" s="387">
        <f t="shared" si="59"/>
        <v>0</v>
      </c>
      <c r="BT111" s="387">
        <f t="shared" si="60"/>
        <v>0</v>
      </c>
      <c r="BU111" s="387">
        <f t="shared" si="61"/>
        <v>0</v>
      </c>
      <c r="BV111" s="387">
        <f t="shared" si="62"/>
        <v>0</v>
      </c>
      <c r="BW111" s="387">
        <f t="shared" si="63"/>
        <v>0</v>
      </c>
      <c r="BX111" s="387">
        <f t="shared" si="78"/>
        <v>0</v>
      </c>
      <c r="BY111" s="387">
        <f t="shared" si="79"/>
        <v>0</v>
      </c>
      <c r="BZ111" s="387">
        <f t="shared" si="80"/>
        <v>0</v>
      </c>
      <c r="CA111" s="387">
        <f t="shared" si="81"/>
        <v>0</v>
      </c>
      <c r="CB111" s="387">
        <f t="shared" si="82"/>
        <v>0</v>
      </c>
      <c r="CC111" s="387">
        <f t="shared" si="64"/>
        <v>0</v>
      </c>
      <c r="CD111" s="387">
        <f t="shared" si="65"/>
        <v>0</v>
      </c>
      <c r="CE111" s="387">
        <f t="shared" si="66"/>
        <v>0</v>
      </c>
      <c r="CF111" s="387">
        <f t="shared" si="67"/>
        <v>0</v>
      </c>
      <c r="CG111" s="387">
        <f t="shared" si="68"/>
        <v>0</v>
      </c>
      <c r="CH111" s="387">
        <f t="shared" si="69"/>
        <v>0</v>
      </c>
      <c r="CI111" s="387">
        <f t="shared" si="70"/>
        <v>0</v>
      </c>
      <c r="CJ111" s="387">
        <f t="shared" si="83"/>
        <v>0</v>
      </c>
      <c r="CK111" s="387" t="str">
        <f t="shared" si="84"/>
        <v/>
      </c>
      <c r="CL111" s="387" t="str">
        <f t="shared" si="85"/>
        <v/>
      </c>
      <c r="CM111" s="387" t="str">
        <f t="shared" si="86"/>
        <v/>
      </c>
      <c r="CN111" s="387" t="str">
        <f t="shared" si="87"/>
        <v>0001-00</v>
      </c>
    </row>
    <row r="112" spans="1:92" ht="15.75" thickBot="1" x14ac:dyDescent="0.3">
      <c r="A112" s="376" t="s">
        <v>161</v>
      </c>
      <c r="B112" s="376" t="s">
        <v>162</v>
      </c>
      <c r="C112" s="376" t="s">
        <v>705</v>
      </c>
      <c r="D112" s="376" t="s">
        <v>706</v>
      </c>
      <c r="E112" s="376" t="s">
        <v>674</v>
      </c>
      <c r="F112" s="377" t="s">
        <v>166</v>
      </c>
      <c r="G112" s="376" t="s">
        <v>675</v>
      </c>
      <c r="H112" s="378"/>
      <c r="I112" s="378"/>
      <c r="J112" s="376" t="s">
        <v>215</v>
      </c>
      <c r="K112" s="376" t="s">
        <v>707</v>
      </c>
      <c r="L112" s="376" t="s">
        <v>210</v>
      </c>
      <c r="M112" s="376" t="s">
        <v>171</v>
      </c>
      <c r="N112" s="376" t="s">
        <v>172</v>
      </c>
      <c r="O112" s="379">
        <v>1</v>
      </c>
      <c r="P112" s="385">
        <v>0</v>
      </c>
      <c r="Q112" s="385">
        <v>0</v>
      </c>
      <c r="R112" s="380">
        <v>80</v>
      </c>
      <c r="S112" s="385">
        <v>0</v>
      </c>
      <c r="T112" s="380">
        <v>69916.86</v>
      </c>
      <c r="U112" s="380">
        <v>0</v>
      </c>
      <c r="V112" s="380">
        <v>26335.55</v>
      </c>
      <c r="W112" s="380">
        <v>0</v>
      </c>
      <c r="X112" s="380">
        <v>0</v>
      </c>
      <c r="Y112" s="380">
        <v>0</v>
      </c>
      <c r="Z112" s="380">
        <v>0</v>
      </c>
      <c r="AA112" s="376" t="s">
        <v>708</v>
      </c>
      <c r="AB112" s="376" t="s">
        <v>709</v>
      </c>
      <c r="AC112" s="376" t="s">
        <v>710</v>
      </c>
      <c r="AD112" s="376" t="s">
        <v>170</v>
      </c>
      <c r="AE112" s="376" t="s">
        <v>707</v>
      </c>
      <c r="AF112" s="376" t="s">
        <v>245</v>
      </c>
      <c r="AG112" s="376" t="s">
        <v>178</v>
      </c>
      <c r="AH112" s="381">
        <v>34.869999999999997</v>
      </c>
      <c r="AI112" s="381">
        <v>47786.3</v>
      </c>
      <c r="AJ112" s="376" t="s">
        <v>179</v>
      </c>
      <c r="AK112" s="376" t="s">
        <v>180</v>
      </c>
      <c r="AL112" s="376" t="s">
        <v>181</v>
      </c>
      <c r="AM112" s="376" t="s">
        <v>182</v>
      </c>
      <c r="AN112" s="376" t="s">
        <v>68</v>
      </c>
      <c r="AO112" s="379">
        <v>80</v>
      </c>
      <c r="AP112" s="385">
        <v>1</v>
      </c>
      <c r="AQ112" s="385">
        <v>0</v>
      </c>
      <c r="AR112" s="383" t="s">
        <v>183</v>
      </c>
      <c r="AS112" s="387">
        <f t="shared" si="71"/>
        <v>0</v>
      </c>
      <c r="AT112">
        <f t="shared" si="72"/>
        <v>0</v>
      </c>
      <c r="AU112" s="387" t="str">
        <f>IF(AT112=0,"",IF(AND(AT112=1,M112="F",SUMIF(C2:C1334,C112,AS2:AS1334)&lt;=1),SUMIF(C2:C1334,C112,AS2:AS1334),IF(AND(AT112=1,M112="F",SUMIF(C2:C1334,C112,AS2:AS1334)&gt;1),1,"")))</f>
        <v/>
      </c>
      <c r="AV112" s="387" t="str">
        <f>IF(AT112=0,"",IF(AND(AT112=3,M112="F",SUMIF(C2:C1334,C112,AS2:AS1334)&lt;=1),SUMIF(C2:C1334,C112,AS2:AS1334),IF(AND(AT112=3,M112="F",SUMIF(C2:C1334,C112,AS2:AS1334)&gt;1),1,"")))</f>
        <v/>
      </c>
      <c r="AW112" s="387">
        <f>SUMIF(C2:C1334,C112,O2:O1334)</f>
        <v>4</v>
      </c>
      <c r="AX112" s="387">
        <f>IF(AND(M112="F",AS112&lt;&gt;0),SUMIF(C2:C1334,C112,W2:W1334),0)</f>
        <v>0</v>
      </c>
      <c r="AY112" s="387" t="str">
        <f t="shared" si="73"/>
        <v/>
      </c>
      <c r="AZ112" s="387" t="str">
        <f t="shared" si="74"/>
        <v/>
      </c>
      <c r="BA112" s="387">
        <f t="shared" si="75"/>
        <v>0</v>
      </c>
      <c r="BB112" s="387">
        <f t="shared" si="44"/>
        <v>0</v>
      </c>
      <c r="BC112" s="387">
        <f t="shared" si="45"/>
        <v>0</v>
      </c>
      <c r="BD112" s="387">
        <f t="shared" si="46"/>
        <v>0</v>
      </c>
      <c r="BE112" s="387">
        <f t="shared" si="47"/>
        <v>0</v>
      </c>
      <c r="BF112" s="387">
        <f t="shared" si="48"/>
        <v>0</v>
      </c>
      <c r="BG112" s="387">
        <f t="shared" si="49"/>
        <v>0</v>
      </c>
      <c r="BH112" s="387">
        <f t="shared" si="50"/>
        <v>0</v>
      </c>
      <c r="BI112" s="387">
        <f t="shared" si="51"/>
        <v>0</v>
      </c>
      <c r="BJ112" s="387">
        <f t="shared" si="52"/>
        <v>0</v>
      </c>
      <c r="BK112" s="387">
        <f t="shared" si="53"/>
        <v>0</v>
      </c>
      <c r="BL112" s="387">
        <f t="shared" si="76"/>
        <v>0</v>
      </c>
      <c r="BM112" s="387">
        <f t="shared" si="77"/>
        <v>0</v>
      </c>
      <c r="BN112" s="387">
        <f t="shared" si="54"/>
        <v>0</v>
      </c>
      <c r="BO112" s="387">
        <f t="shared" si="55"/>
        <v>0</v>
      </c>
      <c r="BP112" s="387">
        <f t="shared" si="56"/>
        <v>0</v>
      </c>
      <c r="BQ112" s="387">
        <f t="shared" si="57"/>
        <v>0</v>
      </c>
      <c r="BR112" s="387">
        <f t="shared" si="58"/>
        <v>0</v>
      </c>
      <c r="BS112" s="387">
        <f t="shared" si="59"/>
        <v>0</v>
      </c>
      <c r="BT112" s="387">
        <f t="shared" si="60"/>
        <v>0</v>
      </c>
      <c r="BU112" s="387">
        <f t="shared" si="61"/>
        <v>0</v>
      </c>
      <c r="BV112" s="387">
        <f t="shared" si="62"/>
        <v>0</v>
      </c>
      <c r="BW112" s="387">
        <f t="shared" si="63"/>
        <v>0</v>
      </c>
      <c r="BX112" s="387">
        <f t="shared" si="78"/>
        <v>0</v>
      </c>
      <c r="BY112" s="387">
        <f t="shared" si="79"/>
        <v>0</v>
      </c>
      <c r="BZ112" s="387">
        <f t="shared" si="80"/>
        <v>0</v>
      </c>
      <c r="CA112" s="387">
        <f t="shared" si="81"/>
        <v>0</v>
      </c>
      <c r="CB112" s="387">
        <f t="shared" si="82"/>
        <v>0</v>
      </c>
      <c r="CC112" s="387">
        <f t="shared" si="64"/>
        <v>0</v>
      </c>
      <c r="CD112" s="387">
        <f t="shared" si="65"/>
        <v>0</v>
      </c>
      <c r="CE112" s="387">
        <f t="shared" si="66"/>
        <v>0</v>
      </c>
      <c r="CF112" s="387">
        <f t="shared" si="67"/>
        <v>0</v>
      </c>
      <c r="CG112" s="387">
        <f t="shared" si="68"/>
        <v>0</v>
      </c>
      <c r="CH112" s="387">
        <f t="shared" si="69"/>
        <v>0</v>
      </c>
      <c r="CI112" s="387">
        <f t="shared" si="70"/>
        <v>0</v>
      </c>
      <c r="CJ112" s="387">
        <f t="shared" si="83"/>
        <v>0</v>
      </c>
      <c r="CK112" s="387" t="str">
        <f t="shared" si="84"/>
        <v/>
      </c>
      <c r="CL112" s="387" t="str">
        <f t="shared" si="85"/>
        <v/>
      </c>
      <c r="CM112" s="387" t="str">
        <f t="shared" si="86"/>
        <v/>
      </c>
      <c r="CN112" s="387" t="str">
        <f t="shared" si="87"/>
        <v>0001-00</v>
      </c>
    </row>
    <row r="113" spans="1:92" ht="15.75" thickBot="1" x14ac:dyDescent="0.3">
      <c r="A113" s="376" t="s">
        <v>161</v>
      </c>
      <c r="B113" s="376" t="s">
        <v>162</v>
      </c>
      <c r="C113" s="376" t="s">
        <v>286</v>
      </c>
      <c r="D113" s="376" t="s">
        <v>287</v>
      </c>
      <c r="E113" s="376" t="s">
        <v>674</v>
      </c>
      <c r="F113" s="377" t="s">
        <v>166</v>
      </c>
      <c r="G113" s="376" t="s">
        <v>675</v>
      </c>
      <c r="H113" s="378"/>
      <c r="I113" s="378"/>
      <c r="J113" s="376" t="s">
        <v>288</v>
      </c>
      <c r="K113" s="376" t="s">
        <v>289</v>
      </c>
      <c r="L113" s="376" t="s">
        <v>170</v>
      </c>
      <c r="M113" s="376" t="s">
        <v>171</v>
      </c>
      <c r="N113" s="376" t="s">
        <v>172</v>
      </c>
      <c r="O113" s="379">
        <v>1</v>
      </c>
      <c r="P113" s="385">
        <v>0</v>
      </c>
      <c r="Q113" s="385">
        <v>0</v>
      </c>
      <c r="R113" s="380">
        <v>80</v>
      </c>
      <c r="S113" s="385">
        <v>0</v>
      </c>
      <c r="T113" s="380">
        <v>14.19</v>
      </c>
      <c r="U113" s="380">
        <v>0</v>
      </c>
      <c r="V113" s="380">
        <v>5.92</v>
      </c>
      <c r="W113" s="380">
        <v>0</v>
      </c>
      <c r="X113" s="380">
        <v>0</v>
      </c>
      <c r="Y113" s="380">
        <v>0</v>
      </c>
      <c r="Z113" s="380">
        <v>0</v>
      </c>
      <c r="AA113" s="376" t="s">
        <v>290</v>
      </c>
      <c r="AB113" s="376" t="s">
        <v>291</v>
      </c>
      <c r="AC113" s="376" t="s">
        <v>292</v>
      </c>
      <c r="AD113" s="376" t="s">
        <v>210</v>
      </c>
      <c r="AE113" s="376" t="s">
        <v>289</v>
      </c>
      <c r="AF113" s="376" t="s">
        <v>177</v>
      </c>
      <c r="AG113" s="376" t="s">
        <v>178</v>
      </c>
      <c r="AH113" s="381">
        <v>29.58</v>
      </c>
      <c r="AI113" s="379">
        <v>41341</v>
      </c>
      <c r="AJ113" s="376" t="s">
        <v>179</v>
      </c>
      <c r="AK113" s="376" t="s">
        <v>180</v>
      </c>
      <c r="AL113" s="376" t="s">
        <v>181</v>
      </c>
      <c r="AM113" s="376" t="s">
        <v>182</v>
      </c>
      <c r="AN113" s="376" t="s">
        <v>68</v>
      </c>
      <c r="AO113" s="379">
        <v>80</v>
      </c>
      <c r="AP113" s="385">
        <v>1</v>
      </c>
      <c r="AQ113" s="385">
        <v>0</v>
      </c>
      <c r="AR113" s="383" t="s">
        <v>183</v>
      </c>
      <c r="AS113" s="387">
        <f t="shared" si="71"/>
        <v>0</v>
      </c>
      <c r="AT113">
        <f t="shared" si="72"/>
        <v>0</v>
      </c>
      <c r="AU113" s="387" t="str">
        <f>IF(AT113=0,"",IF(AND(AT113=1,M113="F",SUMIF(C2:C1334,C113,AS2:AS1334)&lt;=1),SUMIF(C2:C1334,C113,AS2:AS1334),IF(AND(AT113=1,M113="F",SUMIF(C2:C1334,C113,AS2:AS1334)&gt;1),1,"")))</f>
        <v/>
      </c>
      <c r="AV113" s="387" t="str">
        <f>IF(AT113=0,"",IF(AND(AT113=3,M113="F",SUMIF(C2:C1334,C113,AS2:AS1334)&lt;=1),SUMIF(C2:C1334,C113,AS2:AS1334),IF(AND(AT113=3,M113="F",SUMIF(C2:C1334,C113,AS2:AS1334)&gt;1),1,"")))</f>
        <v/>
      </c>
      <c r="AW113" s="387">
        <f>SUMIF(C2:C1334,C113,O2:O1334)</f>
        <v>7</v>
      </c>
      <c r="AX113" s="387">
        <f>IF(AND(M113="F",AS113&lt;&gt;0),SUMIF(C2:C1334,C113,W2:W1334),0)</f>
        <v>0</v>
      </c>
      <c r="AY113" s="387" t="str">
        <f t="shared" si="73"/>
        <v/>
      </c>
      <c r="AZ113" s="387" t="str">
        <f t="shared" si="74"/>
        <v/>
      </c>
      <c r="BA113" s="387">
        <f t="shared" si="75"/>
        <v>0</v>
      </c>
      <c r="BB113" s="387">
        <f t="shared" si="44"/>
        <v>0</v>
      </c>
      <c r="BC113" s="387">
        <f t="shared" si="45"/>
        <v>0</v>
      </c>
      <c r="BD113" s="387">
        <f t="shared" si="46"/>
        <v>0</v>
      </c>
      <c r="BE113" s="387">
        <f t="shared" si="47"/>
        <v>0</v>
      </c>
      <c r="BF113" s="387">
        <f t="shared" si="48"/>
        <v>0</v>
      </c>
      <c r="BG113" s="387">
        <f t="shared" si="49"/>
        <v>0</v>
      </c>
      <c r="BH113" s="387">
        <f t="shared" si="50"/>
        <v>0</v>
      </c>
      <c r="BI113" s="387">
        <f t="shared" si="51"/>
        <v>0</v>
      </c>
      <c r="BJ113" s="387">
        <f t="shared" si="52"/>
        <v>0</v>
      </c>
      <c r="BK113" s="387">
        <f t="shared" si="53"/>
        <v>0</v>
      </c>
      <c r="BL113" s="387">
        <f t="shared" si="76"/>
        <v>0</v>
      </c>
      <c r="BM113" s="387">
        <f t="shared" si="77"/>
        <v>0</v>
      </c>
      <c r="BN113" s="387">
        <f t="shared" si="54"/>
        <v>0</v>
      </c>
      <c r="BO113" s="387">
        <f t="shared" si="55"/>
        <v>0</v>
      </c>
      <c r="BP113" s="387">
        <f t="shared" si="56"/>
        <v>0</v>
      </c>
      <c r="BQ113" s="387">
        <f t="shared" si="57"/>
        <v>0</v>
      </c>
      <c r="BR113" s="387">
        <f t="shared" si="58"/>
        <v>0</v>
      </c>
      <c r="BS113" s="387">
        <f t="shared" si="59"/>
        <v>0</v>
      </c>
      <c r="BT113" s="387">
        <f t="shared" si="60"/>
        <v>0</v>
      </c>
      <c r="BU113" s="387">
        <f t="shared" si="61"/>
        <v>0</v>
      </c>
      <c r="BV113" s="387">
        <f t="shared" si="62"/>
        <v>0</v>
      </c>
      <c r="BW113" s="387">
        <f t="shared" si="63"/>
        <v>0</v>
      </c>
      <c r="BX113" s="387">
        <f t="shared" si="78"/>
        <v>0</v>
      </c>
      <c r="BY113" s="387">
        <f t="shared" si="79"/>
        <v>0</v>
      </c>
      <c r="BZ113" s="387">
        <f t="shared" si="80"/>
        <v>0</v>
      </c>
      <c r="CA113" s="387">
        <f t="shared" si="81"/>
        <v>0</v>
      </c>
      <c r="CB113" s="387">
        <f t="shared" si="82"/>
        <v>0</v>
      </c>
      <c r="CC113" s="387">
        <f t="shared" si="64"/>
        <v>0</v>
      </c>
      <c r="CD113" s="387">
        <f t="shared" si="65"/>
        <v>0</v>
      </c>
      <c r="CE113" s="387">
        <f t="shared" si="66"/>
        <v>0</v>
      </c>
      <c r="CF113" s="387">
        <f t="shared" si="67"/>
        <v>0</v>
      </c>
      <c r="CG113" s="387">
        <f t="shared" si="68"/>
        <v>0</v>
      </c>
      <c r="CH113" s="387">
        <f t="shared" si="69"/>
        <v>0</v>
      </c>
      <c r="CI113" s="387">
        <f t="shared" si="70"/>
        <v>0</v>
      </c>
      <c r="CJ113" s="387">
        <f t="shared" si="83"/>
        <v>0</v>
      </c>
      <c r="CK113" s="387" t="str">
        <f t="shared" si="84"/>
        <v/>
      </c>
      <c r="CL113" s="387" t="str">
        <f t="shared" si="85"/>
        <v/>
      </c>
      <c r="CM113" s="387" t="str">
        <f t="shared" si="86"/>
        <v/>
      </c>
      <c r="CN113" s="387" t="str">
        <f t="shared" si="87"/>
        <v>0001-00</v>
      </c>
    </row>
    <row r="114" spans="1:92" ht="15.75" thickBot="1" x14ac:dyDescent="0.3">
      <c r="A114" s="376" t="s">
        <v>161</v>
      </c>
      <c r="B114" s="376" t="s">
        <v>162</v>
      </c>
      <c r="C114" s="376" t="s">
        <v>381</v>
      </c>
      <c r="D114" s="376" t="s">
        <v>368</v>
      </c>
      <c r="E114" s="376" t="s">
        <v>674</v>
      </c>
      <c r="F114" s="377" t="s">
        <v>166</v>
      </c>
      <c r="G114" s="376" t="s">
        <v>675</v>
      </c>
      <c r="H114" s="378"/>
      <c r="I114" s="378"/>
      <c r="J114" s="376" t="s">
        <v>239</v>
      </c>
      <c r="K114" s="376" t="s">
        <v>382</v>
      </c>
      <c r="L114" s="376" t="s">
        <v>296</v>
      </c>
      <c r="M114" s="376" t="s">
        <v>171</v>
      </c>
      <c r="N114" s="376" t="s">
        <v>172</v>
      </c>
      <c r="O114" s="379">
        <v>1</v>
      </c>
      <c r="P114" s="385">
        <v>0</v>
      </c>
      <c r="Q114" s="385">
        <v>0</v>
      </c>
      <c r="R114" s="380">
        <v>80</v>
      </c>
      <c r="S114" s="385">
        <v>0</v>
      </c>
      <c r="T114" s="380">
        <v>267.57</v>
      </c>
      <c r="U114" s="380">
        <v>0</v>
      </c>
      <c r="V114" s="380">
        <v>113.83</v>
      </c>
      <c r="W114" s="380">
        <v>0</v>
      </c>
      <c r="X114" s="380">
        <v>0</v>
      </c>
      <c r="Y114" s="380">
        <v>0</v>
      </c>
      <c r="Z114" s="380">
        <v>0</v>
      </c>
      <c r="AA114" s="376" t="s">
        <v>383</v>
      </c>
      <c r="AB114" s="376" t="s">
        <v>384</v>
      </c>
      <c r="AC114" s="376" t="s">
        <v>385</v>
      </c>
      <c r="AD114" s="376" t="s">
        <v>386</v>
      </c>
      <c r="AE114" s="376" t="s">
        <v>382</v>
      </c>
      <c r="AF114" s="376" t="s">
        <v>301</v>
      </c>
      <c r="AG114" s="376" t="s">
        <v>178</v>
      </c>
      <c r="AH114" s="381">
        <v>28.44</v>
      </c>
      <c r="AI114" s="379">
        <v>8925</v>
      </c>
      <c r="AJ114" s="376" t="s">
        <v>179</v>
      </c>
      <c r="AK114" s="376" t="s">
        <v>180</v>
      </c>
      <c r="AL114" s="376" t="s">
        <v>181</v>
      </c>
      <c r="AM114" s="376" t="s">
        <v>182</v>
      </c>
      <c r="AN114" s="376" t="s">
        <v>68</v>
      </c>
      <c r="AO114" s="379">
        <v>80</v>
      </c>
      <c r="AP114" s="385">
        <v>1</v>
      </c>
      <c r="AQ114" s="385">
        <v>0</v>
      </c>
      <c r="AR114" s="383" t="s">
        <v>183</v>
      </c>
      <c r="AS114" s="387">
        <f t="shared" si="71"/>
        <v>0</v>
      </c>
      <c r="AT114">
        <f t="shared" si="72"/>
        <v>0</v>
      </c>
      <c r="AU114" s="387" t="str">
        <f>IF(AT114=0,"",IF(AND(AT114=1,M114="F",SUMIF(C2:C1334,C114,AS2:AS1334)&lt;=1),SUMIF(C2:C1334,C114,AS2:AS1334),IF(AND(AT114=1,M114="F",SUMIF(C2:C1334,C114,AS2:AS1334)&gt;1),1,"")))</f>
        <v/>
      </c>
      <c r="AV114" s="387" t="str">
        <f>IF(AT114=0,"",IF(AND(AT114=3,M114="F",SUMIF(C2:C1334,C114,AS2:AS1334)&lt;=1),SUMIF(C2:C1334,C114,AS2:AS1334),IF(AND(AT114=3,M114="F",SUMIF(C2:C1334,C114,AS2:AS1334)&gt;1),1,"")))</f>
        <v/>
      </c>
      <c r="AW114" s="387">
        <f>SUMIF(C2:C1334,C114,O2:O1334)</f>
        <v>6</v>
      </c>
      <c r="AX114" s="387">
        <f>IF(AND(M114="F",AS114&lt;&gt;0),SUMIF(C2:C1334,C114,W2:W1334),0)</f>
        <v>0</v>
      </c>
      <c r="AY114" s="387" t="str">
        <f t="shared" si="73"/>
        <v/>
      </c>
      <c r="AZ114" s="387" t="str">
        <f t="shared" si="74"/>
        <v/>
      </c>
      <c r="BA114" s="387">
        <f t="shared" si="75"/>
        <v>0</v>
      </c>
      <c r="BB114" s="387">
        <f t="shared" si="44"/>
        <v>0</v>
      </c>
      <c r="BC114" s="387">
        <f t="shared" si="45"/>
        <v>0</v>
      </c>
      <c r="BD114" s="387">
        <f t="shared" si="46"/>
        <v>0</v>
      </c>
      <c r="BE114" s="387">
        <f t="shared" si="47"/>
        <v>0</v>
      </c>
      <c r="BF114" s="387">
        <f t="shared" si="48"/>
        <v>0</v>
      </c>
      <c r="BG114" s="387">
        <f t="shared" si="49"/>
        <v>0</v>
      </c>
      <c r="BH114" s="387">
        <f t="shared" si="50"/>
        <v>0</v>
      </c>
      <c r="BI114" s="387">
        <f t="shared" si="51"/>
        <v>0</v>
      </c>
      <c r="BJ114" s="387">
        <f t="shared" si="52"/>
        <v>0</v>
      </c>
      <c r="BK114" s="387">
        <f t="shared" si="53"/>
        <v>0</v>
      </c>
      <c r="BL114" s="387">
        <f t="shared" si="76"/>
        <v>0</v>
      </c>
      <c r="BM114" s="387">
        <f t="shared" si="77"/>
        <v>0</v>
      </c>
      <c r="BN114" s="387">
        <f t="shared" si="54"/>
        <v>0</v>
      </c>
      <c r="BO114" s="387">
        <f t="shared" si="55"/>
        <v>0</v>
      </c>
      <c r="BP114" s="387">
        <f t="shared" si="56"/>
        <v>0</v>
      </c>
      <c r="BQ114" s="387">
        <f t="shared" si="57"/>
        <v>0</v>
      </c>
      <c r="BR114" s="387">
        <f t="shared" si="58"/>
        <v>0</v>
      </c>
      <c r="BS114" s="387">
        <f t="shared" si="59"/>
        <v>0</v>
      </c>
      <c r="BT114" s="387">
        <f t="shared" si="60"/>
        <v>0</v>
      </c>
      <c r="BU114" s="387">
        <f t="shared" si="61"/>
        <v>0</v>
      </c>
      <c r="BV114" s="387">
        <f t="shared" si="62"/>
        <v>0</v>
      </c>
      <c r="BW114" s="387">
        <f t="shared" si="63"/>
        <v>0</v>
      </c>
      <c r="BX114" s="387">
        <f t="shared" si="78"/>
        <v>0</v>
      </c>
      <c r="BY114" s="387">
        <f t="shared" si="79"/>
        <v>0</v>
      </c>
      <c r="BZ114" s="387">
        <f t="shared" si="80"/>
        <v>0</v>
      </c>
      <c r="CA114" s="387">
        <f t="shared" si="81"/>
        <v>0</v>
      </c>
      <c r="CB114" s="387">
        <f t="shared" si="82"/>
        <v>0</v>
      </c>
      <c r="CC114" s="387">
        <f t="shared" si="64"/>
        <v>0</v>
      </c>
      <c r="CD114" s="387">
        <f t="shared" si="65"/>
        <v>0</v>
      </c>
      <c r="CE114" s="387">
        <f t="shared" si="66"/>
        <v>0</v>
      </c>
      <c r="CF114" s="387">
        <f t="shared" si="67"/>
        <v>0</v>
      </c>
      <c r="CG114" s="387">
        <f t="shared" si="68"/>
        <v>0</v>
      </c>
      <c r="CH114" s="387">
        <f t="shared" si="69"/>
        <v>0</v>
      </c>
      <c r="CI114" s="387">
        <f t="shared" si="70"/>
        <v>0</v>
      </c>
      <c r="CJ114" s="387">
        <f t="shared" si="83"/>
        <v>0</v>
      </c>
      <c r="CK114" s="387" t="str">
        <f t="shared" si="84"/>
        <v/>
      </c>
      <c r="CL114" s="387" t="str">
        <f t="shared" si="85"/>
        <v/>
      </c>
      <c r="CM114" s="387" t="str">
        <f t="shared" si="86"/>
        <v/>
      </c>
      <c r="CN114" s="387" t="str">
        <f t="shared" si="87"/>
        <v>0001-00</v>
      </c>
    </row>
    <row r="115" spans="1:92" ht="15.75" thickBot="1" x14ac:dyDescent="0.3">
      <c r="A115" s="376" t="s">
        <v>161</v>
      </c>
      <c r="B115" s="376" t="s">
        <v>162</v>
      </c>
      <c r="C115" s="376" t="s">
        <v>711</v>
      </c>
      <c r="D115" s="376" t="s">
        <v>270</v>
      </c>
      <c r="E115" s="376" t="s">
        <v>165</v>
      </c>
      <c r="F115" s="377" t="s">
        <v>166</v>
      </c>
      <c r="G115" s="376" t="s">
        <v>675</v>
      </c>
      <c r="H115" s="378"/>
      <c r="I115" s="378"/>
      <c r="J115" s="376" t="s">
        <v>215</v>
      </c>
      <c r="K115" s="376" t="s">
        <v>271</v>
      </c>
      <c r="L115" s="376" t="s">
        <v>217</v>
      </c>
      <c r="M115" s="376" t="s">
        <v>272</v>
      </c>
      <c r="N115" s="376" t="s">
        <v>172</v>
      </c>
      <c r="O115" s="379">
        <v>0</v>
      </c>
      <c r="P115" s="385">
        <v>0</v>
      </c>
      <c r="Q115" s="385">
        <v>0</v>
      </c>
      <c r="R115" s="380">
        <v>80</v>
      </c>
      <c r="S115" s="385">
        <v>0</v>
      </c>
      <c r="T115" s="380">
        <v>195.97</v>
      </c>
      <c r="U115" s="380">
        <v>0</v>
      </c>
      <c r="V115" s="380">
        <v>30.63</v>
      </c>
      <c r="W115" s="380">
        <v>0</v>
      </c>
      <c r="X115" s="380">
        <v>0</v>
      </c>
      <c r="Y115" s="380">
        <v>0</v>
      </c>
      <c r="Z115" s="380">
        <v>0</v>
      </c>
      <c r="AA115" s="378"/>
      <c r="AB115" s="376" t="s">
        <v>45</v>
      </c>
      <c r="AC115" s="376" t="s">
        <v>45</v>
      </c>
      <c r="AD115" s="378"/>
      <c r="AE115" s="378"/>
      <c r="AF115" s="378"/>
      <c r="AG115" s="378"/>
      <c r="AH115" s="379">
        <v>0</v>
      </c>
      <c r="AI115" s="379">
        <v>0</v>
      </c>
      <c r="AJ115" s="378"/>
      <c r="AK115" s="378"/>
      <c r="AL115" s="376" t="s">
        <v>181</v>
      </c>
      <c r="AM115" s="378"/>
      <c r="AN115" s="378"/>
      <c r="AO115" s="379">
        <v>0</v>
      </c>
      <c r="AP115" s="385">
        <v>0</v>
      </c>
      <c r="AQ115" s="385">
        <v>0</v>
      </c>
      <c r="AR115" s="384"/>
      <c r="AS115" s="387">
        <f t="shared" si="71"/>
        <v>0</v>
      </c>
      <c r="AT115">
        <f t="shared" si="72"/>
        <v>0</v>
      </c>
      <c r="AU115" s="387" t="str">
        <f>IF(AT115=0,"",IF(AND(AT115=1,M115="F",SUMIF(C2:C1334,C115,AS2:AS1334)&lt;=1),SUMIF(C2:C1334,C115,AS2:AS1334),IF(AND(AT115=1,M115="F",SUMIF(C2:C1334,C115,AS2:AS1334)&gt;1),1,"")))</f>
        <v/>
      </c>
      <c r="AV115" s="387" t="str">
        <f>IF(AT115=0,"",IF(AND(AT115=3,M115="F",SUMIF(C2:C1334,C115,AS2:AS1334)&lt;=1),SUMIF(C2:C1334,C115,AS2:AS1334),IF(AND(AT115=3,M115="F",SUMIF(C2:C1334,C115,AS2:AS1334)&gt;1),1,"")))</f>
        <v/>
      </c>
      <c r="AW115" s="387">
        <f>SUMIF(C2:C1334,C115,O2:O1334)</f>
        <v>0</v>
      </c>
      <c r="AX115" s="387">
        <f>IF(AND(M115="F",AS115&lt;&gt;0),SUMIF(C2:C1334,C115,W2:W1334),0)</f>
        <v>0</v>
      </c>
      <c r="AY115" s="387" t="str">
        <f t="shared" si="73"/>
        <v/>
      </c>
      <c r="AZ115" s="387" t="str">
        <f t="shared" si="74"/>
        <v/>
      </c>
      <c r="BA115" s="387">
        <f t="shared" si="75"/>
        <v>0</v>
      </c>
      <c r="BB115" s="387">
        <f t="shared" si="44"/>
        <v>0</v>
      </c>
      <c r="BC115" s="387">
        <f t="shared" si="45"/>
        <v>0</v>
      </c>
      <c r="BD115" s="387">
        <f t="shared" si="46"/>
        <v>0</v>
      </c>
      <c r="BE115" s="387">
        <f t="shared" si="47"/>
        <v>0</v>
      </c>
      <c r="BF115" s="387">
        <f t="shared" si="48"/>
        <v>0</v>
      </c>
      <c r="BG115" s="387">
        <f t="shared" si="49"/>
        <v>0</v>
      </c>
      <c r="BH115" s="387">
        <f t="shared" si="50"/>
        <v>0</v>
      </c>
      <c r="BI115" s="387">
        <f t="shared" si="51"/>
        <v>0</v>
      </c>
      <c r="BJ115" s="387">
        <f t="shared" si="52"/>
        <v>0</v>
      </c>
      <c r="BK115" s="387">
        <f t="shared" si="53"/>
        <v>0</v>
      </c>
      <c r="BL115" s="387">
        <f t="shared" si="76"/>
        <v>0</v>
      </c>
      <c r="BM115" s="387">
        <f t="shared" si="77"/>
        <v>0</v>
      </c>
      <c r="BN115" s="387">
        <f t="shared" si="54"/>
        <v>0</v>
      </c>
      <c r="BO115" s="387">
        <f t="shared" si="55"/>
        <v>0</v>
      </c>
      <c r="BP115" s="387">
        <f t="shared" si="56"/>
        <v>0</v>
      </c>
      <c r="BQ115" s="387">
        <f t="shared" si="57"/>
        <v>0</v>
      </c>
      <c r="BR115" s="387">
        <f t="shared" si="58"/>
        <v>0</v>
      </c>
      <c r="BS115" s="387">
        <f t="shared" si="59"/>
        <v>0</v>
      </c>
      <c r="BT115" s="387">
        <f t="shared" si="60"/>
        <v>0</v>
      </c>
      <c r="BU115" s="387">
        <f t="shared" si="61"/>
        <v>0</v>
      </c>
      <c r="BV115" s="387">
        <f t="shared" si="62"/>
        <v>0</v>
      </c>
      <c r="BW115" s="387">
        <f t="shared" si="63"/>
        <v>0</v>
      </c>
      <c r="BX115" s="387">
        <f t="shared" si="78"/>
        <v>0</v>
      </c>
      <c r="BY115" s="387">
        <f t="shared" si="79"/>
        <v>0</v>
      </c>
      <c r="BZ115" s="387">
        <f t="shared" si="80"/>
        <v>0</v>
      </c>
      <c r="CA115" s="387">
        <f t="shared" si="81"/>
        <v>0</v>
      </c>
      <c r="CB115" s="387">
        <f t="shared" si="82"/>
        <v>0</v>
      </c>
      <c r="CC115" s="387">
        <f t="shared" si="64"/>
        <v>0</v>
      </c>
      <c r="CD115" s="387">
        <f t="shared" si="65"/>
        <v>0</v>
      </c>
      <c r="CE115" s="387">
        <f t="shared" si="66"/>
        <v>0</v>
      </c>
      <c r="CF115" s="387">
        <f t="shared" si="67"/>
        <v>0</v>
      </c>
      <c r="CG115" s="387">
        <f t="shared" si="68"/>
        <v>0</v>
      </c>
      <c r="CH115" s="387">
        <f t="shared" si="69"/>
        <v>0</v>
      </c>
      <c r="CI115" s="387">
        <f t="shared" si="70"/>
        <v>0</v>
      </c>
      <c r="CJ115" s="387">
        <f t="shared" si="83"/>
        <v>0</v>
      </c>
      <c r="CK115" s="387" t="str">
        <f t="shared" si="84"/>
        <v/>
      </c>
      <c r="CL115" s="387" t="str">
        <f t="shared" si="85"/>
        <v/>
      </c>
      <c r="CM115" s="387" t="str">
        <f t="shared" si="86"/>
        <v/>
      </c>
      <c r="CN115" s="387" t="str">
        <f t="shared" si="87"/>
        <v>0302-00</v>
      </c>
    </row>
    <row r="116" spans="1:92" ht="15.75" thickBot="1" x14ac:dyDescent="0.3">
      <c r="A116" s="376" t="s">
        <v>161</v>
      </c>
      <c r="B116" s="376" t="s">
        <v>162</v>
      </c>
      <c r="C116" s="376" t="s">
        <v>712</v>
      </c>
      <c r="D116" s="376" t="s">
        <v>614</v>
      </c>
      <c r="E116" s="376" t="s">
        <v>165</v>
      </c>
      <c r="F116" s="377" t="s">
        <v>166</v>
      </c>
      <c r="G116" s="376" t="s">
        <v>713</v>
      </c>
      <c r="H116" s="378"/>
      <c r="I116" s="378"/>
      <c r="J116" s="376" t="s">
        <v>215</v>
      </c>
      <c r="K116" s="376" t="s">
        <v>615</v>
      </c>
      <c r="L116" s="376" t="s">
        <v>181</v>
      </c>
      <c r="M116" s="376" t="s">
        <v>171</v>
      </c>
      <c r="N116" s="376" t="s">
        <v>257</v>
      </c>
      <c r="O116" s="379">
        <v>1</v>
      </c>
      <c r="P116" s="385">
        <v>0</v>
      </c>
      <c r="Q116" s="385">
        <v>0</v>
      </c>
      <c r="R116" s="380">
        <v>80</v>
      </c>
      <c r="S116" s="385">
        <v>0</v>
      </c>
      <c r="T116" s="380">
        <v>1304.1300000000001</v>
      </c>
      <c r="U116" s="380">
        <v>0</v>
      </c>
      <c r="V116" s="380">
        <v>488.49</v>
      </c>
      <c r="W116" s="380">
        <v>0</v>
      </c>
      <c r="X116" s="380">
        <v>0</v>
      </c>
      <c r="Y116" s="380">
        <v>0</v>
      </c>
      <c r="Z116" s="380">
        <v>0</v>
      </c>
      <c r="AA116" s="376" t="s">
        <v>714</v>
      </c>
      <c r="AB116" s="376" t="s">
        <v>715</v>
      </c>
      <c r="AC116" s="376" t="s">
        <v>716</v>
      </c>
      <c r="AD116" s="376" t="s">
        <v>279</v>
      </c>
      <c r="AE116" s="376" t="s">
        <v>615</v>
      </c>
      <c r="AF116" s="376" t="s">
        <v>211</v>
      </c>
      <c r="AG116" s="376" t="s">
        <v>178</v>
      </c>
      <c r="AH116" s="381">
        <v>31.65</v>
      </c>
      <c r="AI116" s="381">
        <v>14716.9</v>
      </c>
      <c r="AJ116" s="376" t="s">
        <v>179</v>
      </c>
      <c r="AK116" s="376" t="s">
        <v>180</v>
      </c>
      <c r="AL116" s="376" t="s">
        <v>181</v>
      </c>
      <c r="AM116" s="376" t="s">
        <v>182</v>
      </c>
      <c r="AN116" s="376" t="s">
        <v>68</v>
      </c>
      <c r="AO116" s="379">
        <v>80</v>
      </c>
      <c r="AP116" s="385">
        <v>1</v>
      </c>
      <c r="AQ116" s="385">
        <v>0</v>
      </c>
      <c r="AR116" s="383" t="s">
        <v>183</v>
      </c>
      <c r="AS116" s="387">
        <f t="shared" si="71"/>
        <v>0</v>
      </c>
      <c r="AT116">
        <f t="shared" si="72"/>
        <v>0</v>
      </c>
      <c r="AU116" s="387" t="str">
        <f>IF(AT116=0,"",IF(AND(AT116=1,M116="F",SUMIF(C2:C1334,C116,AS2:AS1334)&lt;=1),SUMIF(C2:C1334,C116,AS2:AS1334),IF(AND(AT116=1,M116="F",SUMIF(C2:C1334,C116,AS2:AS1334)&gt;1),1,"")))</f>
        <v/>
      </c>
      <c r="AV116" s="387" t="str">
        <f>IF(AT116=0,"",IF(AND(AT116=3,M116="F",SUMIF(C2:C1334,C116,AS2:AS1334)&lt;=1),SUMIF(C2:C1334,C116,AS2:AS1334),IF(AND(AT116=3,M116="F",SUMIF(C2:C1334,C116,AS2:AS1334)&gt;1),1,"")))</f>
        <v/>
      </c>
      <c r="AW116" s="387">
        <f>SUMIF(C2:C1334,C116,O2:O1334)</f>
        <v>3</v>
      </c>
      <c r="AX116" s="387">
        <f>IF(AND(M116="F",AS116&lt;&gt;0),SUMIF(C2:C1334,C116,W2:W1334),0)</f>
        <v>0</v>
      </c>
      <c r="AY116" s="387" t="str">
        <f t="shared" si="73"/>
        <v/>
      </c>
      <c r="AZ116" s="387" t="str">
        <f t="shared" si="74"/>
        <v/>
      </c>
      <c r="BA116" s="387">
        <f t="shared" si="75"/>
        <v>0</v>
      </c>
      <c r="BB116" s="387">
        <f t="shared" si="44"/>
        <v>0</v>
      </c>
      <c r="BC116" s="387">
        <f t="shared" si="45"/>
        <v>0</v>
      </c>
      <c r="BD116" s="387">
        <f t="shared" si="46"/>
        <v>0</v>
      </c>
      <c r="BE116" s="387">
        <f t="shared" si="47"/>
        <v>0</v>
      </c>
      <c r="BF116" s="387">
        <f t="shared" si="48"/>
        <v>0</v>
      </c>
      <c r="BG116" s="387">
        <f t="shared" si="49"/>
        <v>0</v>
      </c>
      <c r="BH116" s="387">
        <f t="shared" si="50"/>
        <v>0</v>
      </c>
      <c r="BI116" s="387">
        <f t="shared" si="51"/>
        <v>0</v>
      </c>
      <c r="BJ116" s="387">
        <f t="shared" si="52"/>
        <v>0</v>
      </c>
      <c r="BK116" s="387">
        <f t="shared" si="53"/>
        <v>0</v>
      </c>
      <c r="BL116" s="387">
        <f t="shared" si="76"/>
        <v>0</v>
      </c>
      <c r="BM116" s="387">
        <f t="shared" si="77"/>
        <v>0</v>
      </c>
      <c r="BN116" s="387">
        <f t="shared" si="54"/>
        <v>0</v>
      </c>
      <c r="BO116" s="387">
        <f t="shared" si="55"/>
        <v>0</v>
      </c>
      <c r="BP116" s="387">
        <f t="shared" si="56"/>
        <v>0</v>
      </c>
      <c r="BQ116" s="387">
        <f t="shared" si="57"/>
        <v>0</v>
      </c>
      <c r="BR116" s="387">
        <f t="shared" si="58"/>
        <v>0</v>
      </c>
      <c r="BS116" s="387">
        <f t="shared" si="59"/>
        <v>0</v>
      </c>
      <c r="BT116" s="387">
        <f t="shared" si="60"/>
        <v>0</v>
      </c>
      <c r="BU116" s="387">
        <f t="shared" si="61"/>
        <v>0</v>
      </c>
      <c r="BV116" s="387">
        <f t="shared" si="62"/>
        <v>0</v>
      </c>
      <c r="BW116" s="387">
        <f t="shared" si="63"/>
        <v>0</v>
      </c>
      <c r="BX116" s="387">
        <f t="shared" si="78"/>
        <v>0</v>
      </c>
      <c r="BY116" s="387">
        <f t="shared" si="79"/>
        <v>0</v>
      </c>
      <c r="BZ116" s="387">
        <f t="shared" si="80"/>
        <v>0</v>
      </c>
      <c r="CA116" s="387">
        <f t="shared" si="81"/>
        <v>0</v>
      </c>
      <c r="CB116" s="387">
        <f t="shared" si="82"/>
        <v>0</v>
      </c>
      <c r="CC116" s="387">
        <f t="shared" si="64"/>
        <v>0</v>
      </c>
      <c r="CD116" s="387">
        <f t="shared" si="65"/>
        <v>0</v>
      </c>
      <c r="CE116" s="387">
        <f t="shared" si="66"/>
        <v>0</v>
      </c>
      <c r="CF116" s="387">
        <f t="shared" si="67"/>
        <v>0</v>
      </c>
      <c r="CG116" s="387">
        <f t="shared" si="68"/>
        <v>0</v>
      </c>
      <c r="CH116" s="387">
        <f t="shared" si="69"/>
        <v>0</v>
      </c>
      <c r="CI116" s="387">
        <f t="shared" si="70"/>
        <v>0</v>
      </c>
      <c r="CJ116" s="387">
        <f t="shared" si="83"/>
        <v>0</v>
      </c>
      <c r="CK116" s="387" t="str">
        <f t="shared" si="84"/>
        <v/>
      </c>
      <c r="CL116" s="387" t="str">
        <f t="shared" si="85"/>
        <v/>
      </c>
      <c r="CM116" s="387" t="str">
        <f t="shared" si="86"/>
        <v/>
      </c>
      <c r="CN116" s="387" t="str">
        <f t="shared" si="87"/>
        <v>0302-00</v>
      </c>
    </row>
    <row r="117" spans="1:92" ht="15.75" thickBot="1" x14ac:dyDescent="0.3">
      <c r="A117" s="376" t="s">
        <v>161</v>
      </c>
      <c r="B117" s="376" t="s">
        <v>162</v>
      </c>
      <c r="C117" s="376" t="s">
        <v>717</v>
      </c>
      <c r="D117" s="376" t="s">
        <v>238</v>
      </c>
      <c r="E117" s="376" t="s">
        <v>165</v>
      </c>
      <c r="F117" s="377" t="s">
        <v>166</v>
      </c>
      <c r="G117" s="376" t="s">
        <v>713</v>
      </c>
      <c r="H117" s="378"/>
      <c r="I117" s="378"/>
      <c r="J117" s="376" t="s">
        <v>215</v>
      </c>
      <c r="K117" s="376" t="s">
        <v>343</v>
      </c>
      <c r="L117" s="376" t="s">
        <v>296</v>
      </c>
      <c r="M117" s="376" t="s">
        <v>171</v>
      </c>
      <c r="N117" s="376" t="s">
        <v>257</v>
      </c>
      <c r="O117" s="379">
        <v>1</v>
      </c>
      <c r="P117" s="385">
        <v>0</v>
      </c>
      <c r="Q117" s="385">
        <v>0</v>
      </c>
      <c r="R117" s="380">
        <v>80</v>
      </c>
      <c r="S117" s="385">
        <v>0</v>
      </c>
      <c r="T117" s="380">
        <v>80.849999999999994</v>
      </c>
      <c r="U117" s="380">
        <v>0</v>
      </c>
      <c r="V117" s="380">
        <v>25.46</v>
      </c>
      <c r="W117" s="380">
        <v>0</v>
      </c>
      <c r="X117" s="380">
        <v>0</v>
      </c>
      <c r="Y117" s="380">
        <v>0</v>
      </c>
      <c r="Z117" s="380">
        <v>0</v>
      </c>
      <c r="AA117" s="376" t="s">
        <v>718</v>
      </c>
      <c r="AB117" s="376" t="s">
        <v>719</v>
      </c>
      <c r="AC117" s="376" t="s">
        <v>720</v>
      </c>
      <c r="AD117" s="376" t="s">
        <v>279</v>
      </c>
      <c r="AE117" s="376" t="s">
        <v>343</v>
      </c>
      <c r="AF117" s="376" t="s">
        <v>301</v>
      </c>
      <c r="AG117" s="376" t="s">
        <v>178</v>
      </c>
      <c r="AH117" s="381">
        <v>25.6</v>
      </c>
      <c r="AI117" s="379">
        <v>13840</v>
      </c>
      <c r="AJ117" s="376" t="s">
        <v>179</v>
      </c>
      <c r="AK117" s="376" t="s">
        <v>180</v>
      </c>
      <c r="AL117" s="376" t="s">
        <v>181</v>
      </c>
      <c r="AM117" s="376" t="s">
        <v>182</v>
      </c>
      <c r="AN117" s="376" t="s">
        <v>68</v>
      </c>
      <c r="AO117" s="379">
        <v>80</v>
      </c>
      <c r="AP117" s="385">
        <v>1</v>
      </c>
      <c r="AQ117" s="385">
        <v>0</v>
      </c>
      <c r="AR117" s="383" t="s">
        <v>183</v>
      </c>
      <c r="AS117" s="387">
        <f t="shared" si="71"/>
        <v>0</v>
      </c>
      <c r="AT117">
        <f t="shared" si="72"/>
        <v>0</v>
      </c>
      <c r="AU117" s="387" t="str">
        <f>IF(AT117=0,"",IF(AND(AT117=1,M117="F",SUMIF(C2:C1334,C117,AS2:AS1334)&lt;=1),SUMIF(C2:C1334,C117,AS2:AS1334),IF(AND(AT117=1,M117="F",SUMIF(C2:C1334,C117,AS2:AS1334)&gt;1),1,"")))</f>
        <v/>
      </c>
      <c r="AV117" s="387" t="str">
        <f>IF(AT117=0,"",IF(AND(AT117=3,M117="F",SUMIF(C2:C1334,C117,AS2:AS1334)&lt;=1),SUMIF(C2:C1334,C117,AS2:AS1334),IF(AND(AT117=3,M117="F",SUMIF(C2:C1334,C117,AS2:AS1334)&gt;1),1,"")))</f>
        <v/>
      </c>
      <c r="AW117" s="387">
        <f>SUMIF(C2:C1334,C117,O2:O1334)</f>
        <v>3</v>
      </c>
      <c r="AX117" s="387">
        <f>IF(AND(M117="F",AS117&lt;&gt;0),SUMIF(C2:C1334,C117,W2:W1334),0)</f>
        <v>0</v>
      </c>
      <c r="AY117" s="387" t="str">
        <f t="shared" si="73"/>
        <v/>
      </c>
      <c r="AZ117" s="387" t="str">
        <f t="shared" si="74"/>
        <v/>
      </c>
      <c r="BA117" s="387">
        <f t="shared" si="75"/>
        <v>0</v>
      </c>
      <c r="BB117" s="387">
        <f t="shared" si="44"/>
        <v>0</v>
      </c>
      <c r="BC117" s="387">
        <f t="shared" si="45"/>
        <v>0</v>
      </c>
      <c r="BD117" s="387">
        <f t="shared" si="46"/>
        <v>0</v>
      </c>
      <c r="BE117" s="387">
        <f t="shared" si="47"/>
        <v>0</v>
      </c>
      <c r="BF117" s="387">
        <f t="shared" si="48"/>
        <v>0</v>
      </c>
      <c r="BG117" s="387">
        <f t="shared" si="49"/>
        <v>0</v>
      </c>
      <c r="BH117" s="387">
        <f t="shared" si="50"/>
        <v>0</v>
      </c>
      <c r="BI117" s="387">
        <f t="shared" si="51"/>
        <v>0</v>
      </c>
      <c r="BJ117" s="387">
        <f t="shared" si="52"/>
        <v>0</v>
      </c>
      <c r="BK117" s="387">
        <f t="shared" si="53"/>
        <v>0</v>
      </c>
      <c r="BL117" s="387">
        <f t="shared" si="76"/>
        <v>0</v>
      </c>
      <c r="BM117" s="387">
        <f t="shared" si="77"/>
        <v>0</v>
      </c>
      <c r="BN117" s="387">
        <f t="shared" si="54"/>
        <v>0</v>
      </c>
      <c r="BO117" s="387">
        <f t="shared" si="55"/>
        <v>0</v>
      </c>
      <c r="BP117" s="387">
        <f t="shared" si="56"/>
        <v>0</v>
      </c>
      <c r="BQ117" s="387">
        <f t="shared" si="57"/>
        <v>0</v>
      </c>
      <c r="BR117" s="387">
        <f t="shared" si="58"/>
        <v>0</v>
      </c>
      <c r="BS117" s="387">
        <f t="shared" si="59"/>
        <v>0</v>
      </c>
      <c r="BT117" s="387">
        <f t="shared" si="60"/>
        <v>0</v>
      </c>
      <c r="BU117" s="387">
        <f t="shared" si="61"/>
        <v>0</v>
      </c>
      <c r="BV117" s="387">
        <f t="shared" si="62"/>
        <v>0</v>
      </c>
      <c r="BW117" s="387">
        <f t="shared" si="63"/>
        <v>0</v>
      </c>
      <c r="BX117" s="387">
        <f t="shared" si="78"/>
        <v>0</v>
      </c>
      <c r="BY117" s="387">
        <f t="shared" si="79"/>
        <v>0</v>
      </c>
      <c r="BZ117" s="387">
        <f t="shared" si="80"/>
        <v>0</v>
      </c>
      <c r="CA117" s="387">
        <f t="shared" si="81"/>
        <v>0</v>
      </c>
      <c r="CB117" s="387">
        <f t="shared" si="82"/>
        <v>0</v>
      </c>
      <c r="CC117" s="387">
        <f t="shared" si="64"/>
        <v>0</v>
      </c>
      <c r="CD117" s="387">
        <f t="shared" si="65"/>
        <v>0</v>
      </c>
      <c r="CE117" s="387">
        <f t="shared" si="66"/>
        <v>0</v>
      </c>
      <c r="CF117" s="387">
        <f t="shared" si="67"/>
        <v>0</v>
      </c>
      <c r="CG117" s="387">
        <f t="shared" si="68"/>
        <v>0</v>
      </c>
      <c r="CH117" s="387">
        <f t="shared" si="69"/>
        <v>0</v>
      </c>
      <c r="CI117" s="387">
        <f t="shared" si="70"/>
        <v>0</v>
      </c>
      <c r="CJ117" s="387">
        <f t="shared" si="83"/>
        <v>0</v>
      </c>
      <c r="CK117" s="387" t="str">
        <f t="shared" si="84"/>
        <v/>
      </c>
      <c r="CL117" s="387" t="str">
        <f t="shared" si="85"/>
        <v/>
      </c>
      <c r="CM117" s="387" t="str">
        <f t="shared" si="86"/>
        <v/>
      </c>
      <c r="CN117" s="387" t="str">
        <f t="shared" si="87"/>
        <v>0302-00</v>
      </c>
    </row>
    <row r="118" spans="1:92" ht="15.75" thickBot="1" x14ac:dyDescent="0.3">
      <c r="A118" s="376" t="s">
        <v>161</v>
      </c>
      <c r="B118" s="376" t="s">
        <v>162</v>
      </c>
      <c r="C118" s="376" t="s">
        <v>333</v>
      </c>
      <c r="D118" s="376" t="s">
        <v>334</v>
      </c>
      <c r="E118" s="376" t="s">
        <v>224</v>
      </c>
      <c r="F118" s="382" t="s">
        <v>225</v>
      </c>
      <c r="G118" s="376" t="s">
        <v>713</v>
      </c>
      <c r="H118" s="378"/>
      <c r="I118" s="378"/>
      <c r="J118" s="376" t="s">
        <v>215</v>
      </c>
      <c r="K118" s="376" t="s">
        <v>335</v>
      </c>
      <c r="L118" s="376" t="s">
        <v>170</v>
      </c>
      <c r="M118" s="376" t="s">
        <v>272</v>
      </c>
      <c r="N118" s="376" t="s">
        <v>257</v>
      </c>
      <c r="O118" s="379">
        <v>0</v>
      </c>
      <c r="P118" s="385">
        <v>0</v>
      </c>
      <c r="Q118" s="385">
        <v>0</v>
      </c>
      <c r="R118" s="380">
        <v>80</v>
      </c>
      <c r="S118" s="385">
        <v>0</v>
      </c>
      <c r="T118" s="380">
        <v>161.34</v>
      </c>
      <c r="U118" s="380">
        <v>0</v>
      </c>
      <c r="V118" s="380">
        <v>61.47</v>
      </c>
      <c r="W118" s="380">
        <v>0</v>
      </c>
      <c r="X118" s="380">
        <v>0</v>
      </c>
      <c r="Y118" s="380">
        <v>0</v>
      </c>
      <c r="Z118" s="380">
        <v>0</v>
      </c>
      <c r="AA118" s="378"/>
      <c r="AB118" s="376" t="s">
        <v>45</v>
      </c>
      <c r="AC118" s="376" t="s">
        <v>45</v>
      </c>
      <c r="AD118" s="378"/>
      <c r="AE118" s="378"/>
      <c r="AF118" s="378"/>
      <c r="AG118" s="378"/>
      <c r="AH118" s="379">
        <v>0</v>
      </c>
      <c r="AI118" s="379">
        <v>0</v>
      </c>
      <c r="AJ118" s="378"/>
      <c r="AK118" s="378"/>
      <c r="AL118" s="376" t="s">
        <v>181</v>
      </c>
      <c r="AM118" s="378"/>
      <c r="AN118" s="378"/>
      <c r="AO118" s="379">
        <v>0</v>
      </c>
      <c r="AP118" s="385">
        <v>0</v>
      </c>
      <c r="AQ118" s="385">
        <v>0</v>
      </c>
      <c r="AR118" s="384"/>
      <c r="AS118" s="387">
        <f t="shared" si="71"/>
        <v>0</v>
      </c>
      <c r="AT118">
        <f t="shared" si="72"/>
        <v>0</v>
      </c>
      <c r="AU118" s="387" t="str">
        <f>IF(AT118=0,"",IF(AND(AT118=1,M118="F",SUMIF(C2:C1334,C118,AS2:AS1334)&lt;=1),SUMIF(C2:C1334,C118,AS2:AS1334),IF(AND(AT118=1,M118="F",SUMIF(C2:C1334,C118,AS2:AS1334)&gt;1),1,"")))</f>
        <v/>
      </c>
      <c r="AV118" s="387" t="str">
        <f>IF(AT118=0,"",IF(AND(AT118=3,M118="F",SUMIF(C2:C1334,C118,AS2:AS1334)&lt;=1),SUMIF(C2:C1334,C118,AS2:AS1334),IF(AND(AT118=3,M118="F",SUMIF(C2:C1334,C118,AS2:AS1334)&gt;1),1,"")))</f>
        <v/>
      </c>
      <c r="AW118" s="387">
        <f>SUMIF(C2:C1334,C118,O2:O1334)</f>
        <v>0</v>
      </c>
      <c r="AX118" s="387">
        <f>IF(AND(M118="F",AS118&lt;&gt;0),SUMIF(C2:C1334,C118,W2:W1334),0)</f>
        <v>0</v>
      </c>
      <c r="AY118" s="387" t="str">
        <f t="shared" si="73"/>
        <v/>
      </c>
      <c r="AZ118" s="387" t="str">
        <f t="shared" si="74"/>
        <v/>
      </c>
      <c r="BA118" s="387">
        <f t="shared" si="75"/>
        <v>0</v>
      </c>
      <c r="BB118" s="387">
        <f t="shared" si="44"/>
        <v>0</v>
      </c>
      <c r="BC118" s="387">
        <f t="shared" si="45"/>
        <v>0</v>
      </c>
      <c r="BD118" s="387">
        <f t="shared" si="46"/>
        <v>0</v>
      </c>
      <c r="BE118" s="387">
        <f t="shared" si="47"/>
        <v>0</v>
      </c>
      <c r="BF118" s="387">
        <f t="shared" si="48"/>
        <v>0</v>
      </c>
      <c r="BG118" s="387">
        <f t="shared" si="49"/>
        <v>0</v>
      </c>
      <c r="BH118" s="387">
        <f t="shared" si="50"/>
        <v>0</v>
      </c>
      <c r="BI118" s="387">
        <f t="shared" si="51"/>
        <v>0</v>
      </c>
      <c r="BJ118" s="387">
        <f t="shared" si="52"/>
        <v>0</v>
      </c>
      <c r="BK118" s="387">
        <f t="shared" si="53"/>
        <v>0</v>
      </c>
      <c r="BL118" s="387">
        <f t="shared" si="76"/>
        <v>0</v>
      </c>
      <c r="BM118" s="387">
        <f t="shared" si="77"/>
        <v>0</v>
      </c>
      <c r="BN118" s="387">
        <f t="shared" si="54"/>
        <v>0</v>
      </c>
      <c r="BO118" s="387">
        <f t="shared" si="55"/>
        <v>0</v>
      </c>
      <c r="BP118" s="387">
        <f t="shared" si="56"/>
        <v>0</v>
      </c>
      <c r="BQ118" s="387">
        <f t="shared" si="57"/>
        <v>0</v>
      </c>
      <c r="BR118" s="387">
        <f t="shared" si="58"/>
        <v>0</v>
      </c>
      <c r="BS118" s="387">
        <f t="shared" si="59"/>
        <v>0</v>
      </c>
      <c r="BT118" s="387">
        <f t="shared" si="60"/>
        <v>0</v>
      </c>
      <c r="BU118" s="387">
        <f t="shared" si="61"/>
        <v>0</v>
      </c>
      <c r="BV118" s="387">
        <f t="shared" si="62"/>
        <v>0</v>
      </c>
      <c r="BW118" s="387">
        <f t="shared" si="63"/>
        <v>0</v>
      </c>
      <c r="BX118" s="387">
        <f t="shared" si="78"/>
        <v>0</v>
      </c>
      <c r="BY118" s="387">
        <f t="shared" si="79"/>
        <v>0</v>
      </c>
      <c r="BZ118" s="387">
        <f t="shared" si="80"/>
        <v>0</v>
      </c>
      <c r="CA118" s="387">
        <f t="shared" si="81"/>
        <v>0</v>
      </c>
      <c r="CB118" s="387">
        <f t="shared" si="82"/>
        <v>0</v>
      </c>
      <c r="CC118" s="387">
        <f t="shared" si="64"/>
        <v>0</v>
      </c>
      <c r="CD118" s="387">
        <f t="shared" si="65"/>
        <v>0</v>
      </c>
      <c r="CE118" s="387">
        <f t="shared" si="66"/>
        <v>0</v>
      </c>
      <c r="CF118" s="387">
        <f t="shared" si="67"/>
        <v>0</v>
      </c>
      <c r="CG118" s="387">
        <f t="shared" si="68"/>
        <v>0</v>
      </c>
      <c r="CH118" s="387">
        <f t="shared" si="69"/>
        <v>0</v>
      </c>
      <c r="CI118" s="387">
        <f t="shared" si="70"/>
        <v>0</v>
      </c>
      <c r="CJ118" s="387">
        <f t="shared" si="83"/>
        <v>0</v>
      </c>
      <c r="CK118" s="387" t="str">
        <f t="shared" si="84"/>
        <v/>
      </c>
      <c r="CL118" s="387" t="str">
        <f t="shared" si="85"/>
        <v/>
      </c>
      <c r="CM118" s="387" t="str">
        <f t="shared" si="86"/>
        <v/>
      </c>
      <c r="CN118" s="387" t="str">
        <f t="shared" si="87"/>
        <v>0348-31</v>
      </c>
    </row>
    <row r="119" spans="1:92" ht="15.75" thickBot="1" x14ac:dyDescent="0.3">
      <c r="A119" s="376" t="s">
        <v>161</v>
      </c>
      <c r="B119" s="376" t="s">
        <v>162</v>
      </c>
      <c r="C119" s="376" t="s">
        <v>311</v>
      </c>
      <c r="D119" s="376" t="s">
        <v>312</v>
      </c>
      <c r="E119" s="376" t="s">
        <v>224</v>
      </c>
      <c r="F119" s="382" t="s">
        <v>225</v>
      </c>
      <c r="G119" s="376" t="s">
        <v>713</v>
      </c>
      <c r="H119" s="378"/>
      <c r="I119" s="378"/>
      <c r="J119" s="376" t="s">
        <v>205</v>
      </c>
      <c r="K119" s="376" t="s">
        <v>313</v>
      </c>
      <c r="L119" s="376" t="s">
        <v>166</v>
      </c>
      <c r="M119" s="376" t="s">
        <v>171</v>
      </c>
      <c r="N119" s="376" t="s">
        <v>257</v>
      </c>
      <c r="O119" s="379">
        <v>1</v>
      </c>
      <c r="P119" s="385">
        <v>0</v>
      </c>
      <c r="Q119" s="385">
        <v>0</v>
      </c>
      <c r="R119" s="380">
        <v>80</v>
      </c>
      <c r="S119" s="385">
        <v>0</v>
      </c>
      <c r="T119" s="380">
        <v>449.82</v>
      </c>
      <c r="U119" s="380">
        <v>0</v>
      </c>
      <c r="V119" s="380">
        <v>140.65</v>
      </c>
      <c r="W119" s="380">
        <v>0</v>
      </c>
      <c r="X119" s="380">
        <v>0</v>
      </c>
      <c r="Y119" s="380">
        <v>0</v>
      </c>
      <c r="Z119" s="380">
        <v>0</v>
      </c>
      <c r="AA119" s="376" t="s">
        <v>314</v>
      </c>
      <c r="AB119" s="376" t="s">
        <v>315</v>
      </c>
      <c r="AC119" s="376" t="s">
        <v>316</v>
      </c>
      <c r="AD119" s="376" t="s">
        <v>317</v>
      </c>
      <c r="AE119" s="376" t="s">
        <v>313</v>
      </c>
      <c r="AF119" s="376" t="s">
        <v>261</v>
      </c>
      <c r="AG119" s="376" t="s">
        <v>178</v>
      </c>
      <c r="AH119" s="381">
        <v>57.67</v>
      </c>
      <c r="AI119" s="381">
        <v>73354.2</v>
      </c>
      <c r="AJ119" s="376" t="s">
        <v>179</v>
      </c>
      <c r="AK119" s="376" t="s">
        <v>180</v>
      </c>
      <c r="AL119" s="376" t="s">
        <v>181</v>
      </c>
      <c r="AM119" s="376" t="s">
        <v>182</v>
      </c>
      <c r="AN119" s="376" t="s">
        <v>68</v>
      </c>
      <c r="AO119" s="379">
        <v>80</v>
      </c>
      <c r="AP119" s="385">
        <v>1</v>
      </c>
      <c r="AQ119" s="385">
        <v>0</v>
      </c>
      <c r="AR119" s="383" t="s">
        <v>183</v>
      </c>
      <c r="AS119" s="387">
        <f t="shared" si="71"/>
        <v>0</v>
      </c>
      <c r="AT119">
        <f t="shared" si="72"/>
        <v>0</v>
      </c>
      <c r="AU119" s="387" t="str">
        <f>IF(AT119=0,"",IF(AND(AT119=1,M119="F",SUMIF(C2:C1334,C119,AS2:AS1334)&lt;=1),SUMIF(C2:C1334,C119,AS2:AS1334),IF(AND(AT119=1,M119="F",SUMIF(C2:C1334,C119,AS2:AS1334)&gt;1),1,"")))</f>
        <v/>
      </c>
      <c r="AV119" s="387" t="str">
        <f>IF(AT119=0,"",IF(AND(AT119=3,M119="F",SUMIF(C2:C1334,C119,AS2:AS1334)&lt;=1),SUMIF(C2:C1334,C119,AS2:AS1334),IF(AND(AT119=3,M119="F",SUMIF(C2:C1334,C119,AS2:AS1334)&gt;1),1,"")))</f>
        <v/>
      </c>
      <c r="AW119" s="387">
        <f>SUMIF(C2:C1334,C119,O2:O1334)</f>
        <v>9</v>
      </c>
      <c r="AX119" s="387">
        <f>IF(AND(M119="F",AS119&lt;&gt;0),SUMIF(C2:C1334,C119,W2:W1334),0)</f>
        <v>0</v>
      </c>
      <c r="AY119" s="387" t="str">
        <f t="shared" si="73"/>
        <v/>
      </c>
      <c r="AZ119" s="387" t="str">
        <f t="shared" si="74"/>
        <v/>
      </c>
      <c r="BA119" s="387">
        <f t="shared" si="75"/>
        <v>0</v>
      </c>
      <c r="BB119" s="387">
        <f t="shared" si="44"/>
        <v>0</v>
      </c>
      <c r="BC119" s="387">
        <f t="shared" si="45"/>
        <v>0</v>
      </c>
      <c r="BD119" s="387">
        <f t="shared" si="46"/>
        <v>0</v>
      </c>
      <c r="BE119" s="387">
        <f t="shared" si="47"/>
        <v>0</v>
      </c>
      <c r="BF119" s="387">
        <f t="shared" si="48"/>
        <v>0</v>
      </c>
      <c r="BG119" s="387">
        <f t="shared" si="49"/>
        <v>0</v>
      </c>
      <c r="BH119" s="387">
        <f t="shared" si="50"/>
        <v>0</v>
      </c>
      <c r="BI119" s="387">
        <f t="shared" si="51"/>
        <v>0</v>
      </c>
      <c r="BJ119" s="387">
        <f t="shared" si="52"/>
        <v>0</v>
      </c>
      <c r="BK119" s="387">
        <f t="shared" si="53"/>
        <v>0</v>
      </c>
      <c r="BL119" s="387">
        <f t="shared" si="76"/>
        <v>0</v>
      </c>
      <c r="BM119" s="387">
        <f t="shared" si="77"/>
        <v>0</v>
      </c>
      <c r="BN119" s="387">
        <f t="shared" si="54"/>
        <v>0</v>
      </c>
      <c r="BO119" s="387">
        <f t="shared" si="55"/>
        <v>0</v>
      </c>
      <c r="BP119" s="387">
        <f t="shared" si="56"/>
        <v>0</v>
      </c>
      <c r="BQ119" s="387">
        <f t="shared" si="57"/>
        <v>0</v>
      </c>
      <c r="BR119" s="387">
        <f t="shared" si="58"/>
        <v>0</v>
      </c>
      <c r="BS119" s="387">
        <f t="shared" si="59"/>
        <v>0</v>
      </c>
      <c r="BT119" s="387">
        <f t="shared" si="60"/>
        <v>0</v>
      </c>
      <c r="BU119" s="387">
        <f t="shared" si="61"/>
        <v>0</v>
      </c>
      <c r="BV119" s="387">
        <f t="shared" si="62"/>
        <v>0</v>
      </c>
      <c r="BW119" s="387">
        <f t="shared" si="63"/>
        <v>0</v>
      </c>
      <c r="BX119" s="387">
        <f t="shared" si="78"/>
        <v>0</v>
      </c>
      <c r="BY119" s="387">
        <f t="shared" si="79"/>
        <v>0</v>
      </c>
      <c r="BZ119" s="387">
        <f t="shared" si="80"/>
        <v>0</v>
      </c>
      <c r="CA119" s="387">
        <f t="shared" si="81"/>
        <v>0</v>
      </c>
      <c r="CB119" s="387">
        <f t="shared" si="82"/>
        <v>0</v>
      </c>
      <c r="CC119" s="387">
        <f t="shared" si="64"/>
        <v>0</v>
      </c>
      <c r="CD119" s="387">
        <f t="shared" si="65"/>
        <v>0</v>
      </c>
      <c r="CE119" s="387">
        <f t="shared" si="66"/>
        <v>0</v>
      </c>
      <c r="CF119" s="387">
        <f t="shared" si="67"/>
        <v>0</v>
      </c>
      <c r="CG119" s="387">
        <f t="shared" si="68"/>
        <v>0</v>
      </c>
      <c r="CH119" s="387">
        <f t="shared" si="69"/>
        <v>0</v>
      </c>
      <c r="CI119" s="387">
        <f t="shared" si="70"/>
        <v>0</v>
      </c>
      <c r="CJ119" s="387">
        <f t="shared" si="83"/>
        <v>0</v>
      </c>
      <c r="CK119" s="387" t="str">
        <f t="shared" si="84"/>
        <v/>
      </c>
      <c r="CL119" s="387" t="str">
        <f t="shared" si="85"/>
        <v/>
      </c>
      <c r="CM119" s="387" t="str">
        <f t="shared" si="86"/>
        <v/>
      </c>
      <c r="CN119" s="387" t="str">
        <f t="shared" si="87"/>
        <v>0348-31</v>
      </c>
    </row>
    <row r="120" spans="1:92" ht="15.75" thickBot="1" x14ac:dyDescent="0.3">
      <c r="A120" s="376" t="s">
        <v>161</v>
      </c>
      <c r="B120" s="376" t="s">
        <v>162</v>
      </c>
      <c r="C120" s="376" t="s">
        <v>336</v>
      </c>
      <c r="D120" s="376" t="s">
        <v>337</v>
      </c>
      <c r="E120" s="376" t="s">
        <v>224</v>
      </c>
      <c r="F120" s="382" t="s">
        <v>225</v>
      </c>
      <c r="G120" s="376" t="s">
        <v>713</v>
      </c>
      <c r="H120" s="378"/>
      <c r="I120" s="378"/>
      <c r="J120" s="376" t="s">
        <v>215</v>
      </c>
      <c r="K120" s="376" t="s">
        <v>338</v>
      </c>
      <c r="L120" s="376" t="s">
        <v>166</v>
      </c>
      <c r="M120" s="376" t="s">
        <v>171</v>
      </c>
      <c r="N120" s="376" t="s">
        <v>257</v>
      </c>
      <c r="O120" s="379">
        <v>1</v>
      </c>
      <c r="P120" s="385">
        <v>0</v>
      </c>
      <c r="Q120" s="385">
        <v>0</v>
      </c>
      <c r="R120" s="380">
        <v>80</v>
      </c>
      <c r="S120" s="385">
        <v>0</v>
      </c>
      <c r="T120" s="380">
        <v>38.76</v>
      </c>
      <c r="U120" s="380">
        <v>0</v>
      </c>
      <c r="V120" s="380">
        <v>13.67</v>
      </c>
      <c r="W120" s="380">
        <v>0</v>
      </c>
      <c r="X120" s="380">
        <v>0</v>
      </c>
      <c r="Y120" s="380">
        <v>0</v>
      </c>
      <c r="Z120" s="380">
        <v>0</v>
      </c>
      <c r="AA120" s="376" t="s">
        <v>339</v>
      </c>
      <c r="AB120" s="376" t="s">
        <v>340</v>
      </c>
      <c r="AC120" s="376" t="s">
        <v>341</v>
      </c>
      <c r="AD120" s="376" t="s">
        <v>279</v>
      </c>
      <c r="AE120" s="376" t="s">
        <v>338</v>
      </c>
      <c r="AF120" s="376" t="s">
        <v>261</v>
      </c>
      <c r="AG120" s="376" t="s">
        <v>178</v>
      </c>
      <c r="AH120" s="381">
        <v>38.76</v>
      </c>
      <c r="AI120" s="379">
        <v>17897</v>
      </c>
      <c r="AJ120" s="376" t="s">
        <v>179</v>
      </c>
      <c r="AK120" s="376" t="s">
        <v>180</v>
      </c>
      <c r="AL120" s="376" t="s">
        <v>181</v>
      </c>
      <c r="AM120" s="376" t="s">
        <v>182</v>
      </c>
      <c r="AN120" s="376" t="s">
        <v>68</v>
      </c>
      <c r="AO120" s="379">
        <v>80</v>
      </c>
      <c r="AP120" s="385">
        <v>1</v>
      </c>
      <c r="AQ120" s="385">
        <v>0</v>
      </c>
      <c r="AR120" s="383" t="s">
        <v>183</v>
      </c>
      <c r="AS120" s="387">
        <f t="shared" si="71"/>
        <v>0</v>
      </c>
      <c r="AT120">
        <f t="shared" si="72"/>
        <v>0</v>
      </c>
      <c r="AU120" s="387" t="str">
        <f>IF(AT120=0,"",IF(AND(AT120=1,M120="F",SUMIF(C2:C1334,C120,AS2:AS1334)&lt;=1),SUMIF(C2:C1334,C120,AS2:AS1334),IF(AND(AT120=1,M120="F",SUMIF(C2:C1334,C120,AS2:AS1334)&gt;1),1,"")))</f>
        <v/>
      </c>
      <c r="AV120" s="387" t="str">
        <f>IF(AT120=0,"",IF(AND(AT120=3,M120="F",SUMIF(C2:C1334,C120,AS2:AS1334)&lt;=1),SUMIF(C2:C1334,C120,AS2:AS1334),IF(AND(AT120=3,M120="F",SUMIF(C2:C1334,C120,AS2:AS1334)&gt;1),1,"")))</f>
        <v/>
      </c>
      <c r="AW120" s="387">
        <f>SUMIF(C2:C1334,C120,O2:O1334)</f>
        <v>4</v>
      </c>
      <c r="AX120" s="387">
        <f>IF(AND(M120="F",AS120&lt;&gt;0),SUMIF(C2:C1334,C120,W2:W1334),0)</f>
        <v>0</v>
      </c>
      <c r="AY120" s="387" t="str">
        <f t="shared" si="73"/>
        <v/>
      </c>
      <c r="AZ120" s="387" t="str">
        <f t="shared" si="74"/>
        <v/>
      </c>
      <c r="BA120" s="387">
        <f t="shared" si="75"/>
        <v>0</v>
      </c>
      <c r="BB120" s="387">
        <f t="shared" si="44"/>
        <v>0</v>
      </c>
      <c r="BC120" s="387">
        <f t="shared" si="45"/>
        <v>0</v>
      </c>
      <c r="BD120" s="387">
        <f t="shared" si="46"/>
        <v>0</v>
      </c>
      <c r="BE120" s="387">
        <f t="shared" si="47"/>
        <v>0</v>
      </c>
      <c r="BF120" s="387">
        <f t="shared" si="48"/>
        <v>0</v>
      </c>
      <c r="BG120" s="387">
        <f t="shared" si="49"/>
        <v>0</v>
      </c>
      <c r="BH120" s="387">
        <f t="shared" si="50"/>
        <v>0</v>
      </c>
      <c r="BI120" s="387">
        <f t="shared" si="51"/>
        <v>0</v>
      </c>
      <c r="BJ120" s="387">
        <f t="shared" si="52"/>
        <v>0</v>
      </c>
      <c r="BK120" s="387">
        <f t="shared" si="53"/>
        <v>0</v>
      </c>
      <c r="BL120" s="387">
        <f t="shared" si="76"/>
        <v>0</v>
      </c>
      <c r="BM120" s="387">
        <f t="shared" si="77"/>
        <v>0</v>
      </c>
      <c r="BN120" s="387">
        <f t="shared" si="54"/>
        <v>0</v>
      </c>
      <c r="BO120" s="387">
        <f t="shared" si="55"/>
        <v>0</v>
      </c>
      <c r="BP120" s="387">
        <f t="shared" si="56"/>
        <v>0</v>
      </c>
      <c r="BQ120" s="387">
        <f t="shared" si="57"/>
        <v>0</v>
      </c>
      <c r="BR120" s="387">
        <f t="shared" si="58"/>
        <v>0</v>
      </c>
      <c r="BS120" s="387">
        <f t="shared" si="59"/>
        <v>0</v>
      </c>
      <c r="BT120" s="387">
        <f t="shared" si="60"/>
        <v>0</v>
      </c>
      <c r="BU120" s="387">
        <f t="shared" si="61"/>
        <v>0</v>
      </c>
      <c r="BV120" s="387">
        <f t="shared" si="62"/>
        <v>0</v>
      </c>
      <c r="BW120" s="387">
        <f t="shared" si="63"/>
        <v>0</v>
      </c>
      <c r="BX120" s="387">
        <f t="shared" si="78"/>
        <v>0</v>
      </c>
      <c r="BY120" s="387">
        <f t="shared" si="79"/>
        <v>0</v>
      </c>
      <c r="BZ120" s="387">
        <f t="shared" si="80"/>
        <v>0</v>
      </c>
      <c r="CA120" s="387">
        <f t="shared" si="81"/>
        <v>0</v>
      </c>
      <c r="CB120" s="387">
        <f t="shared" si="82"/>
        <v>0</v>
      </c>
      <c r="CC120" s="387">
        <f t="shared" si="64"/>
        <v>0</v>
      </c>
      <c r="CD120" s="387">
        <f t="shared" si="65"/>
        <v>0</v>
      </c>
      <c r="CE120" s="387">
        <f t="shared" si="66"/>
        <v>0</v>
      </c>
      <c r="CF120" s="387">
        <f t="shared" si="67"/>
        <v>0</v>
      </c>
      <c r="CG120" s="387">
        <f t="shared" si="68"/>
        <v>0</v>
      </c>
      <c r="CH120" s="387">
        <f t="shared" si="69"/>
        <v>0</v>
      </c>
      <c r="CI120" s="387">
        <f t="shared" si="70"/>
        <v>0</v>
      </c>
      <c r="CJ120" s="387">
        <f t="shared" si="83"/>
        <v>0</v>
      </c>
      <c r="CK120" s="387" t="str">
        <f t="shared" si="84"/>
        <v/>
      </c>
      <c r="CL120" s="387" t="str">
        <f t="shared" si="85"/>
        <v/>
      </c>
      <c r="CM120" s="387" t="str">
        <f t="shared" si="86"/>
        <v/>
      </c>
      <c r="CN120" s="387" t="str">
        <f t="shared" si="87"/>
        <v>0348-31</v>
      </c>
    </row>
    <row r="121" spans="1:92" ht="15.75" thickBot="1" x14ac:dyDescent="0.3">
      <c r="A121" s="376" t="s">
        <v>161</v>
      </c>
      <c r="B121" s="376" t="s">
        <v>162</v>
      </c>
      <c r="C121" s="376" t="s">
        <v>721</v>
      </c>
      <c r="D121" s="376" t="s">
        <v>287</v>
      </c>
      <c r="E121" s="376" t="s">
        <v>224</v>
      </c>
      <c r="F121" s="382" t="s">
        <v>225</v>
      </c>
      <c r="G121" s="376" t="s">
        <v>713</v>
      </c>
      <c r="H121" s="378"/>
      <c r="I121" s="378"/>
      <c r="J121" s="376" t="s">
        <v>215</v>
      </c>
      <c r="K121" s="376" t="s">
        <v>289</v>
      </c>
      <c r="L121" s="376" t="s">
        <v>170</v>
      </c>
      <c r="M121" s="376" t="s">
        <v>171</v>
      </c>
      <c r="N121" s="376" t="s">
        <v>257</v>
      </c>
      <c r="O121" s="379">
        <v>1</v>
      </c>
      <c r="P121" s="385">
        <v>0</v>
      </c>
      <c r="Q121" s="385">
        <v>0</v>
      </c>
      <c r="R121" s="380">
        <v>80</v>
      </c>
      <c r="S121" s="385">
        <v>0</v>
      </c>
      <c r="T121" s="380">
        <v>42612.69</v>
      </c>
      <c r="U121" s="380">
        <v>0</v>
      </c>
      <c r="V121" s="380">
        <v>20424.13</v>
      </c>
      <c r="W121" s="380">
        <v>0</v>
      </c>
      <c r="X121" s="380">
        <v>0</v>
      </c>
      <c r="Y121" s="380">
        <v>0</v>
      </c>
      <c r="Z121" s="380">
        <v>0</v>
      </c>
      <c r="AA121" s="376" t="s">
        <v>722</v>
      </c>
      <c r="AB121" s="376" t="s">
        <v>723</v>
      </c>
      <c r="AC121" s="376" t="s">
        <v>724</v>
      </c>
      <c r="AD121" s="376" t="s">
        <v>198</v>
      </c>
      <c r="AE121" s="376" t="s">
        <v>289</v>
      </c>
      <c r="AF121" s="376" t="s">
        <v>261</v>
      </c>
      <c r="AG121" s="376" t="s">
        <v>178</v>
      </c>
      <c r="AH121" s="381">
        <v>23.24</v>
      </c>
      <c r="AI121" s="381">
        <v>753.1</v>
      </c>
      <c r="AJ121" s="376" t="s">
        <v>179</v>
      </c>
      <c r="AK121" s="376" t="s">
        <v>180</v>
      </c>
      <c r="AL121" s="376" t="s">
        <v>181</v>
      </c>
      <c r="AM121" s="376" t="s">
        <v>182</v>
      </c>
      <c r="AN121" s="376" t="s">
        <v>68</v>
      </c>
      <c r="AO121" s="379">
        <v>80</v>
      </c>
      <c r="AP121" s="385">
        <v>1</v>
      </c>
      <c r="AQ121" s="385">
        <v>0</v>
      </c>
      <c r="AR121" s="383" t="s">
        <v>183</v>
      </c>
      <c r="AS121" s="387">
        <f t="shared" si="71"/>
        <v>0</v>
      </c>
      <c r="AT121">
        <f t="shared" si="72"/>
        <v>0</v>
      </c>
      <c r="AU121" s="387" t="str">
        <f>IF(AT121=0,"",IF(AND(AT121=1,M121="F",SUMIF(C2:C1334,C121,AS2:AS1334)&lt;=1),SUMIF(C2:C1334,C121,AS2:AS1334),IF(AND(AT121=1,M121="F",SUMIF(C2:C1334,C121,AS2:AS1334)&gt;1),1,"")))</f>
        <v/>
      </c>
      <c r="AV121" s="387" t="str">
        <f>IF(AT121=0,"",IF(AND(AT121=3,M121="F",SUMIF(C2:C1334,C121,AS2:AS1334)&lt;=1),SUMIF(C2:C1334,C121,AS2:AS1334),IF(AND(AT121=3,M121="F",SUMIF(C2:C1334,C121,AS2:AS1334)&gt;1),1,"")))</f>
        <v/>
      </c>
      <c r="AW121" s="387">
        <f>SUMIF(C2:C1334,C121,O2:O1334)</f>
        <v>2</v>
      </c>
      <c r="AX121" s="387">
        <f>IF(AND(M121="F",AS121&lt;&gt;0),SUMIF(C2:C1334,C121,W2:W1334),0)</f>
        <v>0</v>
      </c>
      <c r="AY121" s="387" t="str">
        <f t="shared" si="73"/>
        <v/>
      </c>
      <c r="AZ121" s="387" t="str">
        <f t="shared" si="74"/>
        <v/>
      </c>
      <c r="BA121" s="387">
        <f t="shared" si="75"/>
        <v>0</v>
      </c>
      <c r="BB121" s="387">
        <f t="shared" si="44"/>
        <v>0</v>
      </c>
      <c r="BC121" s="387">
        <f t="shared" si="45"/>
        <v>0</v>
      </c>
      <c r="BD121" s="387">
        <f t="shared" si="46"/>
        <v>0</v>
      </c>
      <c r="BE121" s="387">
        <f t="shared" si="47"/>
        <v>0</v>
      </c>
      <c r="BF121" s="387">
        <f t="shared" si="48"/>
        <v>0</v>
      </c>
      <c r="BG121" s="387">
        <f t="shared" si="49"/>
        <v>0</v>
      </c>
      <c r="BH121" s="387">
        <f t="shared" si="50"/>
        <v>0</v>
      </c>
      <c r="BI121" s="387">
        <f t="shared" si="51"/>
        <v>0</v>
      </c>
      <c r="BJ121" s="387">
        <f t="shared" si="52"/>
        <v>0</v>
      </c>
      <c r="BK121" s="387">
        <f t="shared" si="53"/>
        <v>0</v>
      </c>
      <c r="BL121" s="387">
        <f t="shared" si="76"/>
        <v>0</v>
      </c>
      <c r="BM121" s="387">
        <f t="shared" si="77"/>
        <v>0</v>
      </c>
      <c r="BN121" s="387">
        <f t="shared" si="54"/>
        <v>0</v>
      </c>
      <c r="BO121" s="387">
        <f t="shared" si="55"/>
        <v>0</v>
      </c>
      <c r="BP121" s="387">
        <f t="shared" si="56"/>
        <v>0</v>
      </c>
      <c r="BQ121" s="387">
        <f t="shared" si="57"/>
        <v>0</v>
      </c>
      <c r="BR121" s="387">
        <f t="shared" si="58"/>
        <v>0</v>
      </c>
      <c r="BS121" s="387">
        <f t="shared" si="59"/>
        <v>0</v>
      </c>
      <c r="BT121" s="387">
        <f t="shared" si="60"/>
        <v>0</v>
      </c>
      <c r="BU121" s="387">
        <f t="shared" si="61"/>
        <v>0</v>
      </c>
      <c r="BV121" s="387">
        <f t="shared" si="62"/>
        <v>0</v>
      </c>
      <c r="BW121" s="387">
        <f t="shared" si="63"/>
        <v>0</v>
      </c>
      <c r="BX121" s="387">
        <f t="shared" si="78"/>
        <v>0</v>
      </c>
      <c r="BY121" s="387">
        <f t="shared" si="79"/>
        <v>0</v>
      </c>
      <c r="BZ121" s="387">
        <f t="shared" si="80"/>
        <v>0</v>
      </c>
      <c r="CA121" s="387">
        <f t="shared" si="81"/>
        <v>0</v>
      </c>
      <c r="CB121" s="387">
        <f t="shared" si="82"/>
        <v>0</v>
      </c>
      <c r="CC121" s="387">
        <f t="shared" si="64"/>
        <v>0</v>
      </c>
      <c r="CD121" s="387">
        <f t="shared" si="65"/>
        <v>0</v>
      </c>
      <c r="CE121" s="387">
        <f t="shared" si="66"/>
        <v>0</v>
      </c>
      <c r="CF121" s="387">
        <f t="shared" si="67"/>
        <v>0</v>
      </c>
      <c r="CG121" s="387">
        <f t="shared" si="68"/>
        <v>0</v>
      </c>
      <c r="CH121" s="387">
        <f t="shared" si="69"/>
        <v>0</v>
      </c>
      <c r="CI121" s="387">
        <f t="shared" si="70"/>
        <v>0</v>
      </c>
      <c r="CJ121" s="387">
        <f t="shared" si="83"/>
        <v>0</v>
      </c>
      <c r="CK121" s="387" t="str">
        <f t="shared" si="84"/>
        <v/>
      </c>
      <c r="CL121" s="387" t="str">
        <f t="shared" si="85"/>
        <v/>
      </c>
      <c r="CM121" s="387" t="str">
        <f t="shared" si="86"/>
        <v/>
      </c>
      <c r="CN121" s="387" t="str">
        <f t="shared" si="87"/>
        <v>0348-31</v>
      </c>
    </row>
    <row r="122" spans="1:92" ht="15.75" thickBot="1" x14ac:dyDescent="0.3">
      <c r="A122" s="376" t="s">
        <v>161</v>
      </c>
      <c r="B122" s="376" t="s">
        <v>162</v>
      </c>
      <c r="C122" s="376" t="s">
        <v>725</v>
      </c>
      <c r="D122" s="376" t="s">
        <v>726</v>
      </c>
      <c r="E122" s="376" t="s">
        <v>224</v>
      </c>
      <c r="F122" s="382" t="s">
        <v>225</v>
      </c>
      <c r="G122" s="376" t="s">
        <v>713</v>
      </c>
      <c r="H122" s="378"/>
      <c r="I122" s="378"/>
      <c r="J122" s="376" t="s">
        <v>215</v>
      </c>
      <c r="K122" s="376" t="s">
        <v>727</v>
      </c>
      <c r="L122" s="376" t="s">
        <v>170</v>
      </c>
      <c r="M122" s="376" t="s">
        <v>171</v>
      </c>
      <c r="N122" s="376" t="s">
        <v>257</v>
      </c>
      <c r="O122" s="379">
        <v>1</v>
      </c>
      <c r="P122" s="385">
        <v>0</v>
      </c>
      <c r="Q122" s="385">
        <v>0</v>
      </c>
      <c r="R122" s="380">
        <v>80</v>
      </c>
      <c r="S122" s="385">
        <v>0</v>
      </c>
      <c r="T122" s="380">
        <v>46057.599999999999</v>
      </c>
      <c r="U122" s="380">
        <v>0</v>
      </c>
      <c r="V122" s="380">
        <v>21047.759999999998</v>
      </c>
      <c r="W122" s="380">
        <v>0</v>
      </c>
      <c r="X122" s="380">
        <v>0</v>
      </c>
      <c r="Y122" s="380">
        <v>0</v>
      </c>
      <c r="Z122" s="380">
        <v>0</v>
      </c>
      <c r="AA122" s="376" t="s">
        <v>728</v>
      </c>
      <c r="AB122" s="376" t="s">
        <v>729</v>
      </c>
      <c r="AC122" s="376" t="s">
        <v>730</v>
      </c>
      <c r="AD122" s="376" t="s">
        <v>731</v>
      </c>
      <c r="AE122" s="376" t="s">
        <v>727</v>
      </c>
      <c r="AF122" s="376" t="s">
        <v>177</v>
      </c>
      <c r="AG122" s="376" t="s">
        <v>178</v>
      </c>
      <c r="AH122" s="381">
        <v>23.24</v>
      </c>
      <c r="AI122" s="381">
        <v>3187.5</v>
      </c>
      <c r="AJ122" s="376" t="s">
        <v>179</v>
      </c>
      <c r="AK122" s="376" t="s">
        <v>180</v>
      </c>
      <c r="AL122" s="376" t="s">
        <v>181</v>
      </c>
      <c r="AM122" s="376" t="s">
        <v>182</v>
      </c>
      <c r="AN122" s="376" t="s">
        <v>68</v>
      </c>
      <c r="AO122" s="379">
        <v>80</v>
      </c>
      <c r="AP122" s="385">
        <v>1</v>
      </c>
      <c r="AQ122" s="385">
        <v>0</v>
      </c>
      <c r="AR122" s="383" t="s">
        <v>183</v>
      </c>
      <c r="AS122" s="387">
        <f t="shared" si="71"/>
        <v>0</v>
      </c>
      <c r="AT122">
        <f t="shared" si="72"/>
        <v>0</v>
      </c>
      <c r="AU122" s="387" t="str">
        <f>IF(AT122=0,"",IF(AND(AT122=1,M122="F",SUMIF(C2:C1334,C122,AS2:AS1334)&lt;=1),SUMIF(C2:C1334,C122,AS2:AS1334),IF(AND(AT122=1,M122="F",SUMIF(C2:C1334,C122,AS2:AS1334)&gt;1),1,"")))</f>
        <v/>
      </c>
      <c r="AV122" s="387" t="str">
        <f>IF(AT122=0,"",IF(AND(AT122=3,M122="F",SUMIF(C2:C1334,C122,AS2:AS1334)&lt;=1),SUMIF(C2:C1334,C122,AS2:AS1334),IF(AND(AT122=3,M122="F",SUMIF(C2:C1334,C122,AS2:AS1334)&gt;1),1,"")))</f>
        <v/>
      </c>
      <c r="AW122" s="387">
        <f>SUMIF(C2:C1334,C122,O2:O1334)</f>
        <v>2</v>
      </c>
      <c r="AX122" s="387">
        <f>IF(AND(M122="F",AS122&lt;&gt;0),SUMIF(C2:C1334,C122,W2:W1334),0)</f>
        <v>0</v>
      </c>
      <c r="AY122" s="387" t="str">
        <f t="shared" si="73"/>
        <v/>
      </c>
      <c r="AZ122" s="387" t="str">
        <f t="shared" si="74"/>
        <v/>
      </c>
      <c r="BA122" s="387">
        <f t="shared" si="75"/>
        <v>0</v>
      </c>
      <c r="BB122" s="387">
        <f t="shared" si="44"/>
        <v>0</v>
      </c>
      <c r="BC122" s="387">
        <f t="shared" si="45"/>
        <v>0</v>
      </c>
      <c r="BD122" s="387">
        <f t="shared" si="46"/>
        <v>0</v>
      </c>
      <c r="BE122" s="387">
        <f t="shared" si="47"/>
        <v>0</v>
      </c>
      <c r="BF122" s="387">
        <f t="shared" si="48"/>
        <v>0</v>
      </c>
      <c r="BG122" s="387">
        <f t="shared" si="49"/>
        <v>0</v>
      </c>
      <c r="BH122" s="387">
        <f t="shared" si="50"/>
        <v>0</v>
      </c>
      <c r="BI122" s="387">
        <f t="shared" si="51"/>
        <v>0</v>
      </c>
      <c r="BJ122" s="387">
        <f t="shared" si="52"/>
        <v>0</v>
      </c>
      <c r="BK122" s="387">
        <f t="shared" si="53"/>
        <v>0</v>
      </c>
      <c r="BL122" s="387">
        <f t="shared" si="76"/>
        <v>0</v>
      </c>
      <c r="BM122" s="387">
        <f t="shared" si="77"/>
        <v>0</v>
      </c>
      <c r="BN122" s="387">
        <f t="shared" si="54"/>
        <v>0</v>
      </c>
      <c r="BO122" s="387">
        <f t="shared" si="55"/>
        <v>0</v>
      </c>
      <c r="BP122" s="387">
        <f t="shared" si="56"/>
        <v>0</v>
      </c>
      <c r="BQ122" s="387">
        <f t="shared" si="57"/>
        <v>0</v>
      </c>
      <c r="BR122" s="387">
        <f t="shared" si="58"/>
        <v>0</v>
      </c>
      <c r="BS122" s="387">
        <f t="shared" si="59"/>
        <v>0</v>
      </c>
      <c r="BT122" s="387">
        <f t="shared" si="60"/>
        <v>0</v>
      </c>
      <c r="BU122" s="387">
        <f t="shared" si="61"/>
        <v>0</v>
      </c>
      <c r="BV122" s="387">
        <f t="shared" si="62"/>
        <v>0</v>
      </c>
      <c r="BW122" s="387">
        <f t="shared" si="63"/>
        <v>0</v>
      </c>
      <c r="BX122" s="387">
        <f t="shared" si="78"/>
        <v>0</v>
      </c>
      <c r="BY122" s="387">
        <f t="shared" si="79"/>
        <v>0</v>
      </c>
      <c r="BZ122" s="387">
        <f t="shared" si="80"/>
        <v>0</v>
      </c>
      <c r="CA122" s="387">
        <f t="shared" si="81"/>
        <v>0</v>
      </c>
      <c r="CB122" s="387">
        <f t="shared" si="82"/>
        <v>0</v>
      </c>
      <c r="CC122" s="387">
        <f t="shared" si="64"/>
        <v>0</v>
      </c>
      <c r="CD122" s="387">
        <f t="shared" si="65"/>
        <v>0</v>
      </c>
      <c r="CE122" s="387">
        <f t="shared" si="66"/>
        <v>0</v>
      </c>
      <c r="CF122" s="387">
        <f t="shared" si="67"/>
        <v>0</v>
      </c>
      <c r="CG122" s="387">
        <f t="shared" si="68"/>
        <v>0</v>
      </c>
      <c r="CH122" s="387">
        <f t="shared" si="69"/>
        <v>0</v>
      </c>
      <c r="CI122" s="387">
        <f t="shared" si="70"/>
        <v>0</v>
      </c>
      <c r="CJ122" s="387">
        <f t="shared" si="83"/>
        <v>0</v>
      </c>
      <c r="CK122" s="387" t="str">
        <f t="shared" si="84"/>
        <v/>
      </c>
      <c r="CL122" s="387" t="str">
        <f t="shared" si="85"/>
        <v/>
      </c>
      <c r="CM122" s="387" t="str">
        <f t="shared" si="86"/>
        <v/>
      </c>
      <c r="CN122" s="387" t="str">
        <f t="shared" si="87"/>
        <v>0348-31</v>
      </c>
    </row>
    <row r="123" spans="1:92" ht="15.75" thickBot="1" x14ac:dyDescent="0.3">
      <c r="A123" s="376" t="s">
        <v>161</v>
      </c>
      <c r="B123" s="376" t="s">
        <v>162</v>
      </c>
      <c r="C123" s="376" t="s">
        <v>712</v>
      </c>
      <c r="D123" s="376" t="s">
        <v>614</v>
      </c>
      <c r="E123" s="376" t="s">
        <v>224</v>
      </c>
      <c r="F123" s="382" t="s">
        <v>225</v>
      </c>
      <c r="G123" s="376" t="s">
        <v>713</v>
      </c>
      <c r="H123" s="378"/>
      <c r="I123" s="378"/>
      <c r="J123" s="376" t="s">
        <v>215</v>
      </c>
      <c r="K123" s="376" t="s">
        <v>615</v>
      </c>
      <c r="L123" s="376" t="s">
        <v>181</v>
      </c>
      <c r="M123" s="376" t="s">
        <v>171</v>
      </c>
      <c r="N123" s="376" t="s">
        <v>257</v>
      </c>
      <c r="O123" s="379">
        <v>1</v>
      </c>
      <c r="P123" s="385">
        <v>0</v>
      </c>
      <c r="Q123" s="385">
        <v>0</v>
      </c>
      <c r="R123" s="380">
        <v>80</v>
      </c>
      <c r="S123" s="385">
        <v>0</v>
      </c>
      <c r="T123" s="380">
        <v>55563.9</v>
      </c>
      <c r="U123" s="380">
        <v>0</v>
      </c>
      <c r="V123" s="380">
        <v>22490</v>
      </c>
      <c r="W123" s="380">
        <v>0</v>
      </c>
      <c r="X123" s="380">
        <v>0</v>
      </c>
      <c r="Y123" s="380">
        <v>0</v>
      </c>
      <c r="Z123" s="380">
        <v>0</v>
      </c>
      <c r="AA123" s="376" t="s">
        <v>714</v>
      </c>
      <c r="AB123" s="376" t="s">
        <v>715</v>
      </c>
      <c r="AC123" s="376" t="s">
        <v>716</v>
      </c>
      <c r="AD123" s="376" t="s">
        <v>279</v>
      </c>
      <c r="AE123" s="376" t="s">
        <v>615</v>
      </c>
      <c r="AF123" s="376" t="s">
        <v>211</v>
      </c>
      <c r="AG123" s="376" t="s">
        <v>178</v>
      </c>
      <c r="AH123" s="381">
        <v>31.65</v>
      </c>
      <c r="AI123" s="381">
        <v>14716.9</v>
      </c>
      <c r="AJ123" s="376" t="s">
        <v>179</v>
      </c>
      <c r="AK123" s="376" t="s">
        <v>180</v>
      </c>
      <c r="AL123" s="376" t="s">
        <v>181</v>
      </c>
      <c r="AM123" s="376" t="s">
        <v>182</v>
      </c>
      <c r="AN123" s="376" t="s">
        <v>68</v>
      </c>
      <c r="AO123" s="379">
        <v>80</v>
      </c>
      <c r="AP123" s="385">
        <v>1</v>
      </c>
      <c r="AQ123" s="385">
        <v>0</v>
      </c>
      <c r="AR123" s="383" t="s">
        <v>183</v>
      </c>
      <c r="AS123" s="387">
        <f t="shared" si="71"/>
        <v>0</v>
      </c>
      <c r="AT123">
        <f t="shared" si="72"/>
        <v>0</v>
      </c>
      <c r="AU123" s="387" t="str">
        <f>IF(AT123=0,"",IF(AND(AT123=1,M123="F",SUMIF(C2:C1334,C123,AS2:AS1334)&lt;=1),SUMIF(C2:C1334,C123,AS2:AS1334),IF(AND(AT123=1,M123="F",SUMIF(C2:C1334,C123,AS2:AS1334)&gt;1),1,"")))</f>
        <v/>
      </c>
      <c r="AV123" s="387" t="str">
        <f>IF(AT123=0,"",IF(AND(AT123=3,M123="F",SUMIF(C2:C1334,C123,AS2:AS1334)&lt;=1),SUMIF(C2:C1334,C123,AS2:AS1334),IF(AND(AT123=3,M123="F",SUMIF(C2:C1334,C123,AS2:AS1334)&gt;1),1,"")))</f>
        <v/>
      </c>
      <c r="AW123" s="387">
        <f>SUMIF(C2:C1334,C123,O2:O1334)</f>
        <v>3</v>
      </c>
      <c r="AX123" s="387">
        <f>IF(AND(M123="F",AS123&lt;&gt;0),SUMIF(C2:C1334,C123,W2:W1334),0)</f>
        <v>0</v>
      </c>
      <c r="AY123" s="387" t="str">
        <f t="shared" si="73"/>
        <v/>
      </c>
      <c r="AZ123" s="387" t="str">
        <f t="shared" si="74"/>
        <v/>
      </c>
      <c r="BA123" s="387">
        <f t="shared" si="75"/>
        <v>0</v>
      </c>
      <c r="BB123" s="387">
        <f t="shared" si="44"/>
        <v>0</v>
      </c>
      <c r="BC123" s="387">
        <f t="shared" si="45"/>
        <v>0</v>
      </c>
      <c r="BD123" s="387">
        <f t="shared" si="46"/>
        <v>0</v>
      </c>
      <c r="BE123" s="387">
        <f t="shared" si="47"/>
        <v>0</v>
      </c>
      <c r="BF123" s="387">
        <f t="shared" si="48"/>
        <v>0</v>
      </c>
      <c r="BG123" s="387">
        <f t="shared" si="49"/>
        <v>0</v>
      </c>
      <c r="BH123" s="387">
        <f t="shared" si="50"/>
        <v>0</v>
      </c>
      <c r="BI123" s="387">
        <f t="shared" si="51"/>
        <v>0</v>
      </c>
      <c r="BJ123" s="387">
        <f t="shared" si="52"/>
        <v>0</v>
      </c>
      <c r="BK123" s="387">
        <f t="shared" si="53"/>
        <v>0</v>
      </c>
      <c r="BL123" s="387">
        <f t="shared" si="76"/>
        <v>0</v>
      </c>
      <c r="BM123" s="387">
        <f t="shared" si="77"/>
        <v>0</v>
      </c>
      <c r="BN123" s="387">
        <f t="shared" si="54"/>
        <v>0</v>
      </c>
      <c r="BO123" s="387">
        <f t="shared" si="55"/>
        <v>0</v>
      </c>
      <c r="BP123" s="387">
        <f t="shared" si="56"/>
        <v>0</v>
      </c>
      <c r="BQ123" s="387">
        <f t="shared" si="57"/>
        <v>0</v>
      </c>
      <c r="BR123" s="387">
        <f t="shared" si="58"/>
        <v>0</v>
      </c>
      <c r="BS123" s="387">
        <f t="shared" si="59"/>
        <v>0</v>
      </c>
      <c r="BT123" s="387">
        <f t="shared" si="60"/>
        <v>0</v>
      </c>
      <c r="BU123" s="387">
        <f t="shared" si="61"/>
        <v>0</v>
      </c>
      <c r="BV123" s="387">
        <f t="shared" si="62"/>
        <v>0</v>
      </c>
      <c r="BW123" s="387">
        <f t="shared" si="63"/>
        <v>0</v>
      </c>
      <c r="BX123" s="387">
        <f t="shared" si="78"/>
        <v>0</v>
      </c>
      <c r="BY123" s="387">
        <f t="shared" si="79"/>
        <v>0</v>
      </c>
      <c r="BZ123" s="387">
        <f t="shared" si="80"/>
        <v>0</v>
      </c>
      <c r="CA123" s="387">
        <f t="shared" si="81"/>
        <v>0</v>
      </c>
      <c r="CB123" s="387">
        <f t="shared" si="82"/>
        <v>0</v>
      </c>
      <c r="CC123" s="387">
        <f t="shared" si="64"/>
        <v>0</v>
      </c>
      <c r="CD123" s="387">
        <f t="shared" si="65"/>
        <v>0</v>
      </c>
      <c r="CE123" s="387">
        <f t="shared" si="66"/>
        <v>0</v>
      </c>
      <c r="CF123" s="387">
        <f t="shared" si="67"/>
        <v>0</v>
      </c>
      <c r="CG123" s="387">
        <f t="shared" si="68"/>
        <v>0</v>
      </c>
      <c r="CH123" s="387">
        <f t="shared" si="69"/>
        <v>0</v>
      </c>
      <c r="CI123" s="387">
        <f t="shared" si="70"/>
        <v>0</v>
      </c>
      <c r="CJ123" s="387">
        <f t="shared" si="83"/>
        <v>0</v>
      </c>
      <c r="CK123" s="387" t="str">
        <f t="shared" si="84"/>
        <v/>
      </c>
      <c r="CL123" s="387" t="str">
        <f t="shared" si="85"/>
        <v/>
      </c>
      <c r="CM123" s="387" t="str">
        <f t="shared" si="86"/>
        <v/>
      </c>
      <c r="CN123" s="387" t="str">
        <f t="shared" si="87"/>
        <v>0348-31</v>
      </c>
    </row>
    <row r="124" spans="1:92" ht="15.75" thickBot="1" x14ac:dyDescent="0.3">
      <c r="A124" s="376" t="s">
        <v>161</v>
      </c>
      <c r="B124" s="376" t="s">
        <v>162</v>
      </c>
      <c r="C124" s="376" t="s">
        <v>717</v>
      </c>
      <c r="D124" s="376" t="s">
        <v>238</v>
      </c>
      <c r="E124" s="376" t="s">
        <v>224</v>
      </c>
      <c r="F124" s="382" t="s">
        <v>225</v>
      </c>
      <c r="G124" s="376" t="s">
        <v>713</v>
      </c>
      <c r="H124" s="378"/>
      <c r="I124" s="378"/>
      <c r="J124" s="376" t="s">
        <v>215</v>
      </c>
      <c r="K124" s="376" t="s">
        <v>343</v>
      </c>
      <c r="L124" s="376" t="s">
        <v>296</v>
      </c>
      <c r="M124" s="376" t="s">
        <v>171</v>
      </c>
      <c r="N124" s="376" t="s">
        <v>257</v>
      </c>
      <c r="O124" s="379">
        <v>1</v>
      </c>
      <c r="P124" s="385">
        <v>0</v>
      </c>
      <c r="Q124" s="385">
        <v>0</v>
      </c>
      <c r="R124" s="380">
        <v>80</v>
      </c>
      <c r="S124" s="385">
        <v>0</v>
      </c>
      <c r="T124" s="380">
        <v>27623.15</v>
      </c>
      <c r="U124" s="380">
        <v>0</v>
      </c>
      <c r="V124" s="380">
        <v>12261.4</v>
      </c>
      <c r="W124" s="380">
        <v>0</v>
      </c>
      <c r="X124" s="380">
        <v>0</v>
      </c>
      <c r="Y124" s="380">
        <v>0</v>
      </c>
      <c r="Z124" s="380">
        <v>0</v>
      </c>
      <c r="AA124" s="376" t="s">
        <v>718</v>
      </c>
      <c r="AB124" s="376" t="s">
        <v>719</v>
      </c>
      <c r="AC124" s="376" t="s">
        <v>720</v>
      </c>
      <c r="AD124" s="376" t="s">
        <v>279</v>
      </c>
      <c r="AE124" s="376" t="s">
        <v>343</v>
      </c>
      <c r="AF124" s="376" t="s">
        <v>301</v>
      </c>
      <c r="AG124" s="376" t="s">
        <v>178</v>
      </c>
      <c r="AH124" s="381">
        <v>25.6</v>
      </c>
      <c r="AI124" s="379">
        <v>13840</v>
      </c>
      <c r="AJ124" s="376" t="s">
        <v>179</v>
      </c>
      <c r="AK124" s="376" t="s">
        <v>180</v>
      </c>
      <c r="AL124" s="376" t="s">
        <v>181</v>
      </c>
      <c r="AM124" s="376" t="s">
        <v>182</v>
      </c>
      <c r="AN124" s="376" t="s">
        <v>68</v>
      </c>
      <c r="AO124" s="379">
        <v>80</v>
      </c>
      <c r="AP124" s="385">
        <v>1</v>
      </c>
      <c r="AQ124" s="385">
        <v>0</v>
      </c>
      <c r="AR124" s="383" t="s">
        <v>183</v>
      </c>
      <c r="AS124" s="387">
        <f t="shared" si="71"/>
        <v>0</v>
      </c>
      <c r="AT124">
        <f t="shared" si="72"/>
        <v>0</v>
      </c>
      <c r="AU124" s="387" t="str">
        <f>IF(AT124=0,"",IF(AND(AT124=1,M124="F",SUMIF(C2:C1334,C124,AS2:AS1334)&lt;=1),SUMIF(C2:C1334,C124,AS2:AS1334),IF(AND(AT124=1,M124="F",SUMIF(C2:C1334,C124,AS2:AS1334)&gt;1),1,"")))</f>
        <v/>
      </c>
      <c r="AV124" s="387" t="str">
        <f>IF(AT124=0,"",IF(AND(AT124=3,M124="F",SUMIF(C2:C1334,C124,AS2:AS1334)&lt;=1),SUMIF(C2:C1334,C124,AS2:AS1334),IF(AND(AT124=3,M124="F",SUMIF(C2:C1334,C124,AS2:AS1334)&gt;1),1,"")))</f>
        <v/>
      </c>
      <c r="AW124" s="387">
        <f>SUMIF(C2:C1334,C124,O2:O1334)</f>
        <v>3</v>
      </c>
      <c r="AX124" s="387">
        <f>IF(AND(M124="F",AS124&lt;&gt;0),SUMIF(C2:C1334,C124,W2:W1334),0)</f>
        <v>0</v>
      </c>
      <c r="AY124" s="387" t="str">
        <f t="shared" si="73"/>
        <v/>
      </c>
      <c r="AZ124" s="387" t="str">
        <f t="shared" si="74"/>
        <v/>
      </c>
      <c r="BA124" s="387">
        <f t="shared" si="75"/>
        <v>0</v>
      </c>
      <c r="BB124" s="387">
        <f t="shared" si="44"/>
        <v>0</v>
      </c>
      <c r="BC124" s="387">
        <f t="shared" si="45"/>
        <v>0</v>
      </c>
      <c r="BD124" s="387">
        <f t="shared" si="46"/>
        <v>0</v>
      </c>
      <c r="BE124" s="387">
        <f t="shared" si="47"/>
        <v>0</v>
      </c>
      <c r="BF124" s="387">
        <f t="shared" si="48"/>
        <v>0</v>
      </c>
      <c r="BG124" s="387">
        <f t="shared" si="49"/>
        <v>0</v>
      </c>
      <c r="BH124" s="387">
        <f t="shared" si="50"/>
        <v>0</v>
      </c>
      <c r="BI124" s="387">
        <f t="shared" si="51"/>
        <v>0</v>
      </c>
      <c r="BJ124" s="387">
        <f t="shared" si="52"/>
        <v>0</v>
      </c>
      <c r="BK124" s="387">
        <f t="shared" si="53"/>
        <v>0</v>
      </c>
      <c r="BL124" s="387">
        <f t="shared" si="76"/>
        <v>0</v>
      </c>
      <c r="BM124" s="387">
        <f t="shared" si="77"/>
        <v>0</v>
      </c>
      <c r="BN124" s="387">
        <f t="shared" si="54"/>
        <v>0</v>
      </c>
      <c r="BO124" s="387">
        <f t="shared" si="55"/>
        <v>0</v>
      </c>
      <c r="BP124" s="387">
        <f t="shared" si="56"/>
        <v>0</v>
      </c>
      <c r="BQ124" s="387">
        <f t="shared" si="57"/>
        <v>0</v>
      </c>
      <c r="BR124" s="387">
        <f t="shared" si="58"/>
        <v>0</v>
      </c>
      <c r="BS124" s="387">
        <f t="shared" si="59"/>
        <v>0</v>
      </c>
      <c r="BT124" s="387">
        <f t="shared" si="60"/>
        <v>0</v>
      </c>
      <c r="BU124" s="387">
        <f t="shared" si="61"/>
        <v>0</v>
      </c>
      <c r="BV124" s="387">
        <f t="shared" si="62"/>
        <v>0</v>
      </c>
      <c r="BW124" s="387">
        <f t="shared" si="63"/>
        <v>0</v>
      </c>
      <c r="BX124" s="387">
        <f t="shared" si="78"/>
        <v>0</v>
      </c>
      <c r="BY124" s="387">
        <f t="shared" si="79"/>
        <v>0</v>
      </c>
      <c r="BZ124" s="387">
        <f t="shared" si="80"/>
        <v>0</v>
      </c>
      <c r="CA124" s="387">
        <f t="shared" si="81"/>
        <v>0</v>
      </c>
      <c r="CB124" s="387">
        <f t="shared" si="82"/>
        <v>0</v>
      </c>
      <c r="CC124" s="387">
        <f t="shared" si="64"/>
        <v>0</v>
      </c>
      <c r="CD124" s="387">
        <f t="shared" si="65"/>
        <v>0</v>
      </c>
      <c r="CE124" s="387">
        <f t="shared" si="66"/>
        <v>0</v>
      </c>
      <c r="CF124" s="387">
        <f t="shared" si="67"/>
        <v>0</v>
      </c>
      <c r="CG124" s="387">
        <f t="shared" si="68"/>
        <v>0</v>
      </c>
      <c r="CH124" s="387">
        <f t="shared" si="69"/>
        <v>0</v>
      </c>
      <c r="CI124" s="387">
        <f t="shared" si="70"/>
        <v>0</v>
      </c>
      <c r="CJ124" s="387">
        <f t="shared" si="83"/>
        <v>0</v>
      </c>
      <c r="CK124" s="387" t="str">
        <f t="shared" si="84"/>
        <v/>
      </c>
      <c r="CL124" s="387" t="str">
        <f t="shared" si="85"/>
        <v/>
      </c>
      <c r="CM124" s="387" t="str">
        <f t="shared" si="86"/>
        <v/>
      </c>
      <c r="CN124" s="387" t="str">
        <f t="shared" si="87"/>
        <v>0348-31</v>
      </c>
    </row>
    <row r="125" spans="1:92" ht="15.75" thickBot="1" x14ac:dyDescent="0.3">
      <c r="A125" s="376" t="s">
        <v>161</v>
      </c>
      <c r="B125" s="376" t="s">
        <v>162</v>
      </c>
      <c r="C125" s="376" t="s">
        <v>286</v>
      </c>
      <c r="D125" s="376" t="s">
        <v>287</v>
      </c>
      <c r="E125" s="376" t="s">
        <v>224</v>
      </c>
      <c r="F125" s="382" t="s">
        <v>225</v>
      </c>
      <c r="G125" s="376" t="s">
        <v>713</v>
      </c>
      <c r="H125" s="378"/>
      <c r="I125" s="378"/>
      <c r="J125" s="376" t="s">
        <v>288</v>
      </c>
      <c r="K125" s="376" t="s">
        <v>289</v>
      </c>
      <c r="L125" s="376" t="s">
        <v>170</v>
      </c>
      <c r="M125" s="376" t="s">
        <v>171</v>
      </c>
      <c r="N125" s="376" t="s">
        <v>172</v>
      </c>
      <c r="O125" s="379">
        <v>1</v>
      </c>
      <c r="P125" s="385">
        <v>0</v>
      </c>
      <c r="Q125" s="385">
        <v>0</v>
      </c>
      <c r="R125" s="380">
        <v>80</v>
      </c>
      <c r="S125" s="385">
        <v>0</v>
      </c>
      <c r="T125" s="380">
        <v>1595.67</v>
      </c>
      <c r="U125" s="380">
        <v>0</v>
      </c>
      <c r="V125" s="380">
        <v>660.43</v>
      </c>
      <c r="W125" s="380">
        <v>0</v>
      </c>
      <c r="X125" s="380">
        <v>0</v>
      </c>
      <c r="Y125" s="380">
        <v>0</v>
      </c>
      <c r="Z125" s="380">
        <v>0</v>
      </c>
      <c r="AA125" s="376" t="s">
        <v>290</v>
      </c>
      <c r="AB125" s="376" t="s">
        <v>291</v>
      </c>
      <c r="AC125" s="376" t="s">
        <v>292</v>
      </c>
      <c r="AD125" s="376" t="s">
        <v>210</v>
      </c>
      <c r="AE125" s="376" t="s">
        <v>289</v>
      </c>
      <c r="AF125" s="376" t="s">
        <v>177</v>
      </c>
      <c r="AG125" s="376" t="s">
        <v>178</v>
      </c>
      <c r="AH125" s="381">
        <v>29.58</v>
      </c>
      <c r="AI125" s="379">
        <v>41341</v>
      </c>
      <c r="AJ125" s="376" t="s">
        <v>179</v>
      </c>
      <c r="AK125" s="376" t="s">
        <v>180</v>
      </c>
      <c r="AL125" s="376" t="s">
        <v>181</v>
      </c>
      <c r="AM125" s="376" t="s">
        <v>182</v>
      </c>
      <c r="AN125" s="376" t="s">
        <v>68</v>
      </c>
      <c r="AO125" s="379">
        <v>80</v>
      </c>
      <c r="AP125" s="385">
        <v>1</v>
      </c>
      <c r="AQ125" s="385">
        <v>0</v>
      </c>
      <c r="AR125" s="383" t="s">
        <v>183</v>
      </c>
      <c r="AS125" s="387">
        <f t="shared" si="71"/>
        <v>0</v>
      </c>
      <c r="AT125">
        <f t="shared" si="72"/>
        <v>0</v>
      </c>
      <c r="AU125" s="387" t="str">
        <f>IF(AT125=0,"",IF(AND(AT125=1,M125="F",SUMIF(C2:C1334,C125,AS2:AS1334)&lt;=1),SUMIF(C2:C1334,C125,AS2:AS1334),IF(AND(AT125=1,M125="F",SUMIF(C2:C1334,C125,AS2:AS1334)&gt;1),1,"")))</f>
        <v/>
      </c>
      <c r="AV125" s="387" t="str">
        <f>IF(AT125=0,"",IF(AND(AT125=3,M125="F",SUMIF(C2:C1334,C125,AS2:AS1334)&lt;=1),SUMIF(C2:C1334,C125,AS2:AS1334),IF(AND(AT125=3,M125="F",SUMIF(C2:C1334,C125,AS2:AS1334)&gt;1),1,"")))</f>
        <v/>
      </c>
      <c r="AW125" s="387">
        <f>SUMIF(C2:C1334,C125,O2:O1334)</f>
        <v>7</v>
      </c>
      <c r="AX125" s="387">
        <f>IF(AND(M125="F",AS125&lt;&gt;0),SUMIF(C2:C1334,C125,W2:W1334),0)</f>
        <v>0</v>
      </c>
      <c r="AY125" s="387" t="str">
        <f t="shared" si="73"/>
        <v/>
      </c>
      <c r="AZ125" s="387" t="str">
        <f t="shared" si="74"/>
        <v/>
      </c>
      <c r="BA125" s="387">
        <f t="shared" si="75"/>
        <v>0</v>
      </c>
      <c r="BB125" s="387">
        <f t="shared" si="44"/>
        <v>0</v>
      </c>
      <c r="BC125" s="387">
        <f t="shared" si="45"/>
        <v>0</v>
      </c>
      <c r="BD125" s="387">
        <f t="shared" si="46"/>
        <v>0</v>
      </c>
      <c r="BE125" s="387">
        <f t="shared" si="47"/>
        <v>0</v>
      </c>
      <c r="BF125" s="387">
        <f t="shared" si="48"/>
        <v>0</v>
      </c>
      <c r="BG125" s="387">
        <f t="shared" si="49"/>
        <v>0</v>
      </c>
      <c r="BH125" s="387">
        <f t="shared" si="50"/>
        <v>0</v>
      </c>
      <c r="BI125" s="387">
        <f t="shared" si="51"/>
        <v>0</v>
      </c>
      <c r="BJ125" s="387">
        <f t="shared" si="52"/>
        <v>0</v>
      </c>
      <c r="BK125" s="387">
        <f t="shared" si="53"/>
        <v>0</v>
      </c>
      <c r="BL125" s="387">
        <f t="shared" si="76"/>
        <v>0</v>
      </c>
      <c r="BM125" s="387">
        <f t="shared" si="77"/>
        <v>0</v>
      </c>
      <c r="BN125" s="387">
        <f t="shared" si="54"/>
        <v>0</v>
      </c>
      <c r="BO125" s="387">
        <f t="shared" si="55"/>
        <v>0</v>
      </c>
      <c r="BP125" s="387">
        <f t="shared" si="56"/>
        <v>0</v>
      </c>
      <c r="BQ125" s="387">
        <f t="shared" si="57"/>
        <v>0</v>
      </c>
      <c r="BR125" s="387">
        <f t="shared" si="58"/>
        <v>0</v>
      </c>
      <c r="BS125" s="387">
        <f t="shared" si="59"/>
        <v>0</v>
      </c>
      <c r="BT125" s="387">
        <f t="shared" si="60"/>
        <v>0</v>
      </c>
      <c r="BU125" s="387">
        <f t="shared" si="61"/>
        <v>0</v>
      </c>
      <c r="BV125" s="387">
        <f t="shared" si="62"/>
        <v>0</v>
      </c>
      <c r="BW125" s="387">
        <f t="shared" si="63"/>
        <v>0</v>
      </c>
      <c r="BX125" s="387">
        <f t="shared" si="78"/>
        <v>0</v>
      </c>
      <c r="BY125" s="387">
        <f t="shared" si="79"/>
        <v>0</v>
      </c>
      <c r="BZ125" s="387">
        <f t="shared" si="80"/>
        <v>0</v>
      </c>
      <c r="CA125" s="387">
        <f t="shared" si="81"/>
        <v>0</v>
      </c>
      <c r="CB125" s="387">
        <f t="shared" si="82"/>
        <v>0</v>
      </c>
      <c r="CC125" s="387">
        <f t="shared" si="64"/>
        <v>0</v>
      </c>
      <c r="CD125" s="387">
        <f t="shared" si="65"/>
        <v>0</v>
      </c>
      <c r="CE125" s="387">
        <f t="shared" si="66"/>
        <v>0</v>
      </c>
      <c r="CF125" s="387">
        <f t="shared" si="67"/>
        <v>0</v>
      </c>
      <c r="CG125" s="387">
        <f t="shared" si="68"/>
        <v>0</v>
      </c>
      <c r="CH125" s="387">
        <f t="shared" si="69"/>
        <v>0</v>
      </c>
      <c r="CI125" s="387">
        <f t="shared" si="70"/>
        <v>0</v>
      </c>
      <c r="CJ125" s="387">
        <f t="shared" si="83"/>
        <v>0</v>
      </c>
      <c r="CK125" s="387" t="str">
        <f t="shared" si="84"/>
        <v/>
      </c>
      <c r="CL125" s="387" t="str">
        <f t="shared" si="85"/>
        <v/>
      </c>
      <c r="CM125" s="387" t="str">
        <f t="shared" si="86"/>
        <v/>
      </c>
      <c r="CN125" s="387" t="str">
        <f t="shared" si="87"/>
        <v>0348-31</v>
      </c>
    </row>
    <row r="126" spans="1:92" ht="15.75" thickBot="1" x14ac:dyDescent="0.3">
      <c r="A126" s="376" t="s">
        <v>161</v>
      </c>
      <c r="B126" s="376" t="s">
        <v>162</v>
      </c>
      <c r="C126" s="376" t="s">
        <v>381</v>
      </c>
      <c r="D126" s="376" t="s">
        <v>368</v>
      </c>
      <c r="E126" s="376" t="s">
        <v>224</v>
      </c>
      <c r="F126" s="382" t="s">
        <v>225</v>
      </c>
      <c r="G126" s="376" t="s">
        <v>713</v>
      </c>
      <c r="H126" s="378"/>
      <c r="I126" s="378"/>
      <c r="J126" s="376" t="s">
        <v>239</v>
      </c>
      <c r="K126" s="376" t="s">
        <v>382</v>
      </c>
      <c r="L126" s="376" t="s">
        <v>296</v>
      </c>
      <c r="M126" s="376" t="s">
        <v>171</v>
      </c>
      <c r="N126" s="376" t="s">
        <v>172</v>
      </c>
      <c r="O126" s="379">
        <v>1</v>
      </c>
      <c r="P126" s="385">
        <v>0</v>
      </c>
      <c r="Q126" s="385">
        <v>0</v>
      </c>
      <c r="R126" s="380">
        <v>80</v>
      </c>
      <c r="S126" s="385">
        <v>0</v>
      </c>
      <c r="T126" s="380">
        <v>1062.21</v>
      </c>
      <c r="U126" s="380">
        <v>0</v>
      </c>
      <c r="V126" s="380">
        <v>448.87</v>
      </c>
      <c r="W126" s="380">
        <v>0</v>
      </c>
      <c r="X126" s="380">
        <v>0</v>
      </c>
      <c r="Y126" s="380">
        <v>0</v>
      </c>
      <c r="Z126" s="380">
        <v>0</v>
      </c>
      <c r="AA126" s="376" t="s">
        <v>383</v>
      </c>
      <c r="AB126" s="376" t="s">
        <v>384</v>
      </c>
      <c r="AC126" s="376" t="s">
        <v>385</v>
      </c>
      <c r="AD126" s="376" t="s">
        <v>386</v>
      </c>
      <c r="AE126" s="376" t="s">
        <v>382</v>
      </c>
      <c r="AF126" s="376" t="s">
        <v>301</v>
      </c>
      <c r="AG126" s="376" t="s">
        <v>178</v>
      </c>
      <c r="AH126" s="381">
        <v>28.44</v>
      </c>
      <c r="AI126" s="379">
        <v>8925</v>
      </c>
      <c r="AJ126" s="376" t="s">
        <v>179</v>
      </c>
      <c r="AK126" s="376" t="s">
        <v>180</v>
      </c>
      <c r="AL126" s="376" t="s">
        <v>181</v>
      </c>
      <c r="AM126" s="376" t="s">
        <v>182</v>
      </c>
      <c r="AN126" s="376" t="s">
        <v>68</v>
      </c>
      <c r="AO126" s="379">
        <v>80</v>
      </c>
      <c r="AP126" s="385">
        <v>1</v>
      </c>
      <c r="AQ126" s="385">
        <v>0</v>
      </c>
      <c r="AR126" s="383" t="s">
        <v>183</v>
      </c>
      <c r="AS126" s="387">
        <f t="shared" si="71"/>
        <v>0</v>
      </c>
      <c r="AT126">
        <f t="shared" si="72"/>
        <v>0</v>
      </c>
      <c r="AU126" s="387" t="str">
        <f>IF(AT126=0,"",IF(AND(AT126=1,M126="F",SUMIF(C2:C1334,C126,AS2:AS1334)&lt;=1),SUMIF(C2:C1334,C126,AS2:AS1334),IF(AND(AT126=1,M126="F",SUMIF(C2:C1334,C126,AS2:AS1334)&gt;1),1,"")))</f>
        <v/>
      </c>
      <c r="AV126" s="387" t="str">
        <f>IF(AT126=0,"",IF(AND(AT126=3,M126="F",SUMIF(C2:C1334,C126,AS2:AS1334)&lt;=1),SUMIF(C2:C1334,C126,AS2:AS1334),IF(AND(AT126=3,M126="F",SUMIF(C2:C1334,C126,AS2:AS1334)&gt;1),1,"")))</f>
        <v/>
      </c>
      <c r="AW126" s="387">
        <f>SUMIF(C2:C1334,C126,O2:O1334)</f>
        <v>6</v>
      </c>
      <c r="AX126" s="387">
        <f>IF(AND(M126="F",AS126&lt;&gt;0),SUMIF(C2:C1334,C126,W2:W1334),0)</f>
        <v>0</v>
      </c>
      <c r="AY126" s="387" t="str">
        <f t="shared" si="73"/>
        <v/>
      </c>
      <c r="AZ126" s="387" t="str">
        <f t="shared" si="74"/>
        <v/>
      </c>
      <c r="BA126" s="387">
        <f t="shared" si="75"/>
        <v>0</v>
      </c>
      <c r="BB126" s="387">
        <f t="shared" si="44"/>
        <v>0</v>
      </c>
      <c r="BC126" s="387">
        <f t="shared" si="45"/>
        <v>0</v>
      </c>
      <c r="BD126" s="387">
        <f t="shared" si="46"/>
        <v>0</v>
      </c>
      <c r="BE126" s="387">
        <f t="shared" si="47"/>
        <v>0</v>
      </c>
      <c r="BF126" s="387">
        <f t="shared" si="48"/>
        <v>0</v>
      </c>
      <c r="BG126" s="387">
        <f t="shared" si="49"/>
        <v>0</v>
      </c>
      <c r="BH126" s="387">
        <f t="shared" si="50"/>
        <v>0</v>
      </c>
      <c r="BI126" s="387">
        <f t="shared" si="51"/>
        <v>0</v>
      </c>
      <c r="BJ126" s="387">
        <f t="shared" si="52"/>
        <v>0</v>
      </c>
      <c r="BK126" s="387">
        <f t="shared" si="53"/>
        <v>0</v>
      </c>
      <c r="BL126" s="387">
        <f t="shared" si="76"/>
        <v>0</v>
      </c>
      <c r="BM126" s="387">
        <f t="shared" si="77"/>
        <v>0</v>
      </c>
      <c r="BN126" s="387">
        <f t="shared" si="54"/>
        <v>0</v>
      </c>
      <c r="BO126" s="387">
        <f t="shared" si="55"/>
        <v>0</v>
      </c>
      <c r="BP126" s="387">
        <f t="shared" si="56"/>
        <v>0</v>
      </c>
      <c r="BQ126" s="387">
        <f t="shared" si="57"/>
        <v>0</v>
      </c>
      <c r="BR126" s="387">
        <f t="shared" si="58"/>
        <v>0</v>
      </c>
      <c r="BS126" s="387">
        <f t="shared" si="59"/>
        <v>0</v>
      </c>
      <c r="BT126" s="387">
        <f t="shared" si="60"/>
        <v>0</v>
      </c>
      <c r="BU126" s="387">
        <f t="shared" si="61"/>
        <v>0</v>
      </c>
      <c r="BV126" s="387">
        <f t="shared" si="62"/>
        <v>0</v>
      </c>
      <c r="BW126" s="387">
        <f t="shared" si="63"/>
        <v>0</v>
      </c>
      <c r="BX126" s="387">
        <f t="shared" si="78"/>
        <v>0</v>
      </c>
      <c r="BY126" s="387">
        <f t="shared" si="79"/>
        <v>0</v>
      </c>
      <c r="BZ126" s="387">
        <f t="shared" si="80"/>
        <v>0</v>
      </c>
      <c r="CA126" s="387">
        <f t="shared" si="81"/>
        <v>0</v>
      </c>
      <c r="CB126" s="387">
        <f t="shared" si="82"/>
        <v>0</v>
      </c>
      <c r="CC126" s="387">
        <f t="shared" si="64"/>
        <v>0</v>
      </c>
      <c r="CD126" s="387">
        <f t="shared" si="65"/>
        <v>0</v>
      </c>
      <c r="CE126" s="387">
        <f t="shared" si="66"/>
        <v>0</v>
      </c>
      <c r="CF126" s="387">
        <f t="shared" si="67"/>
        <v>0</v>
      </c>
      <c r="CG126" s="387">
        <f t="shared" si="68"/>
        <v>0</v>
      </c>
      <c r="CH126" s="387">
        <f t="shared" si="69"/>
        <v>0</v>
      </c>
      <c r="CI126" s="387">
        <f t="shared" si="70"/>
        <v>0</v>
      </c>
      <c r="CJ126" s="387">
        <f t="shared" si="83"/>
        <v>0</v>
      </c>
      <c r="CK126" s="387" t="str">
        <f t="shared" si="84"/>
        <v/>
      </c>
      <c r="CL126" s="387" t="str">
        <f t="shared" si="85"/>
        <v/>
      </c>
      <c r="CM126" s="387" t="str">
        <f t="shared" si="86"/>
        <v/>
      </c>
      <c r="CN126" s="387" t="str">
        <f t="shared" si="87"/>
        <v>0348-31</v>
      </c>
    </row>
    <row r="127" spans="1:92" ht="15.75" thickBot="1" x14ac:dyDescent="0.3">
      <c r="A127" s="376" t="s">
        <v>161</v>
      </c>
      <c r="B127" s="376" t="s">
        <v>162</v>
      </c>
      <c r="C127" s="376" t="s">
        <v>596</v>
      </c>
      <c r="D127" s="376" t="s">
        <v>274</v>
      </c>
      <c r="E127" s="376" t="s">
        <v>224</v>
      </c>
      <c r="F127" s="382" t="s">
        <v>225</v>
      </c>
      <c r="G127" s="376" t="s">
        <v>713</v>
      </c>
      <c r="H127" s="378"/>
      <c r="I127" s="378"/>
      <c r="J127" s="376" t="s">
        <v>215</v>
      </c>
      <c r="K127" s="376" t="s">
        <v>275</v>
      </c>
      <c r="L127" s="376" t="s">
        <v>178</v>
      </c>
      <c r="M127" s="376" t="s">
        <v>272</v>
      </c>
      <c r="N127" s="376" t="s">
        <v>172</v>
      </c>
      <c r="O127" s="379">
        <v>0</v>
      </c>
      <c r="P127" s="385">
        <v>0</v>
      </c>
      <c r="Q127" s="385">
        <v>0</v>
      </c>
      <c r="R127" s="380">
        <v>80</v>
      </c>
      <c r="S127" s="385">
        <v>0</v>
      </c>
      <c r="T127" s="380">
        <v>1181.83</v>
      </c>
      <c r="U127" s="380">
        <v>0</v>
      </c>
      <c r="V127" s="380">
        <v>721</v>
      </c>
      <c r="W127" s="380">
        <v>0</v>
      </c>
      <c r="X127" s="380">
        <v>0</v>
      </c>
      <c r="Y127" s="380">
        <v>0</v>
      </c>
      <c r="Z127" s="380">
        <v>0</v>
      </c>
      <c r="AA127" s="378"/>
      <c r="AB127" s="376" t="s">
        <v>45</v>
      </c>
      <c r="AC127" s="376" t="s">
        <v>45</v>
      </c>
      <c r="AD127" s="378"/>
      <c r="AE127" s="378"/>
      <c r="AF127" s="378"/>
      <c r="AG127" s="378"/>
      <c r="AH127" s="379">
        <v>0</v>
      </c>
      <c r="AI127" s="379">
        <v>0</v>
      </c>
      <c r="AJ127" s="378"/>
      <c r="AK127" s="378"/>
      <c r="AL127" s="376" t="s">
        <v>181</v>
      </c>
      <c r="AM127" s="378"/>
      <c r="AN127" s="378"/>
      <c r="AO127" s="379">
        <v>0</v>
      </c>
      <c r="AP127" s="385">
        <v>0</v>
      </c>
      <c r="AQ127" s="385">
        <v>0</v>
      </c>
      <c r="AR127" s="384"/>
      <c r="AS127" s="387">
        <f t="shared" si="71"/>
        <v>0</v>
      </c>
      <c r="AT127">
        <f t="shared" si="72"/>
        <v>0</v>
      </c>
      <c r="AU127" s="387" t="str">
        <f>IF(AT127=0,"",IF(AND(AT127=1,M127="F",SUMIF(C2:C1334,C127,AS2:AS1334)&lt;=1),SUMIF(C2:C1334,C127,AS2:AS1334),IF(AND(AT127=1,M127="F",SUMIF(C2:C1334,C127,AS2:AS1334)&gt;1),1,"")))</f>
        <v/>
      </c>
      <c r="AV127" s="387" t="str">
        <f>IF(AT127=0,"",IF(AND(AT127=3,M127="F",SUMIF(C2:C1334,C127,AS2:AS1334)&lt;=1),SUMIF(C2:C1334,C127,AS2:AS1334),IF(AND(AT127=3,M127="F",SUMIF(C2:C1334,C127,AS2:AS1334)&gt;1),1,"")))</f>
        <v/>
      </c>
      <c r="AW127" s="387">
        <f>SUMIF(C2:C1334,C127,O2:O1334)</f>
        <v>0</v>
      </c>
      <c r="AX127" s="387">
        <f>IF(AND(M127="F",AS127&lt;&gt;0),SUMIF(C2:C1334,C127,W2:W1334),0)</f>
        <v>0</v>
      </c>
      <c r="AY127" s="387" t="str">
        <f t="shared" si="73"/>
        <v/>
      </c>
      <c r="AZ127" s="387" t="str">
        <f t="shared" si="74"/>
        <v/>
      </c>
      <c r="BA127" s="387">
        <f t="shared" si="75"/>
        <v>0</v>
      </c>
      <c r="BB127" s="387">
        <f t="shared" si="44"/>
        <v>0</v>
      </c>
      <c r="BC127" s="387">
        <f t="shared" si="45"/>
        <v>0</v>
      </c>
      <c r="BD127" s="387">
        <f t="shared" si="46"/>
        <v>0</v>
      </c>
      <c r="BE127" s="387">
        <f t="shared" si="47"/>
        <v>0</v>
      </c>
      <c r="BF127" s="387">
        <f t="shared" si="48"/>
        <v>0</v>
      </c>
      <c r="BG127" s="387">
        <f t="shared" si="49"/>
        <v>0</v>
      </c>
      <c r="BH127" s="387">
        <f t="shared" si="50"/>
        <v>0</v>
      </c>
      <c r="BI127" s="387">
        <f t="shared" si="51"/>
        <v>0</v>
      </c>
      <c r="BJ127" s="387">
        <f t="shared" si="52"/>
        <v>0</v>
      </c>
      <c r="BK127" s="387">
        <f t="shared" si="53"/>
        <v>0</v>
      </c>
      <c r="BL127" s="387">
        <f t="shared" si="76"/>
        <v>0</v>
      </c>
      <c r="BM127" s="387">
        <f t="shared" si="77"/>
        <v>0</v>
      </c>
      <c r="BN127" s="387">
        <f t="shared" si="54"/>
        <v>0</v>
      </c>
      <c r="BO127" s="387">
        <f t="shared" si="55"/>
        <v>0</v>
      </c>
      <c r="BP127" s="387">
        <f t="shared" si="56"/>
        <v>0</v>
      </c>
      <c r="BQ127" s="387">
        <f t="shared" si="57"/>
        <v>0</v>
      </c>
      <c r="BR127" s="387">
        <f t="shared" si="58"/>
        <v>0</v>
      </c>
      <c r="BS127" s="387">
        <f t="shared" si="59"/>
        <v>0</v>
      </c>
      <c r="BT127" s="387">
        <f t="shared" si="60"/>
        <v>0</v>
      </c>
      <c r="BU127" s="387">
        <f t="shared" si="61"/>
        <v>0</v>
      </c>
      <c r="BV127" s="387">
        <f t="shared" si="62"/>
        <v>0</v>
      </c>
      <c r="BW127" s="387">
        <f t="shared" si="63"/>
        <v>0</v>
      </c>
      <c r="BX127" s="387">
        <f t="shared" si="78"/>
        <v>0</v>
      </c>
      <c r="BY127" s="387">
        <f t="shared" si="79"/>
        <v>0</v>
      </c>
      <c r="BZ127" s="387">
        <f t="shared" si="80"/>
        <v>0</v>
      </c>
      <c r="CA127" s="387">
        <f t="shared" si="81"/>
        <v>0</v>
      </c>
      <c r="CB127" s="387">
        <f t="shared" si="82"/>
        <v>0</v>
      </c>
      <c r="CC127" s="387">
        <f t="shared" si="64"/>
        <v>0</v>
      </c>
      <c r="CD127" s="387">
        <f t="shared" si="65"/>
        <v>0</v>
      </c>
      <c r="CE127" s="387">
        <f t="shared" si="66"/>
        <v>0</v>
      </c>
      <c r="CF127" s="387">
        <f t="shared" si="67"/>
        <v>0</v>
      </c>
      <c r="CG127" s="387">
        <f t="shared" si="68"/>
        <v>0</v>
      </c>
      <c r="CH127" s="387">
        <f t="shared" si="69"/>
        <v>0</v>
      </c>
      <c r="CI127" s="387">
        <f t="shared" si="70"/>
        <v>0</v>
      </c>
      <c r="CJ127" s="387">
        <f t="shared" si="83"/>
        <v>0</v>
      </c>
      <c r="CK127" s="387" t="str">
        <f t="shared" si="84"/>
        <v/>
      </c>
      <c r="CL127" s="387" t="str">
        <f t="shared" si="85"/>
        <v/>
      </c>
      <c r="CM127" s="387" t="str">
        <f t="shared" si="86"/>
        <v/>
      </c>
      <c r="CN127" s="387" t="str">
        <f t="shared" si="87"/>
        <v>0348-31</v>
      </c>
    </row>
    <row r="128" spans="1:92" ht="15.75" thickBot="1" x14ac:dyDescent="0.3">
      <c r="A128" s="376" t="s">
        <v>161</v>
      </c>
      <c r="B128" s="376" t="s">
        <v>162</v>
      </c>
      <c r="C128" s="376" t="s">
        <v>311</v>
      </c>
      <c r="D128" s="376" t="s">
        <v>312</v>
      </c>
      <c r="E128" s="376" t="s">
        <v>214</v>
      </c>
      <c r="F128" s="377" t="s">
        <v>166</v>
      </c>
      <c r="G128" s="376" t="s">
        <v>732</v>
      </c>
      <c r="H128" s="378"/>
      <c r="I128" s="378"/>
      <c r="J128" s="376" t="s">
        <v>205</v>
      </c>
      <c r="K128" s="376" t="s">
        <v>313</v>
      </c>
      <c r="L128" s="376" t="s">
        <v>166</v>
      </c>
      <c r="M128" s="376" t="s">
        <v>171</v>
      </c>
      <c r="N128" s="376" t="s">
        <v>257</v>
      </c>
      <c r="O128" s="379">
        <v>1</v>
      </c>
      <c r="P128" s="385">
        <v>0</v>
      </c>
      <c r="Q128" s="385">
        <v>0</v>
      </c>
      <c r="R128" s="380">
        <v>80</v>
      </c>
      <c r="S128" s="385">
        <v>0</v>
      </c>
      <c r="T128" s="380">
        <v>21903.4</v>
      </c>
      <c r="U128" s="380">
        <v>0</v>
      </c>
      <c r="V128" s="380">
        <v>9632.74</v>
      </c>
      <c r="W128" s="380">
        <v>0</v>
      </c>
      <c r="X128" s="380">
        <v>0</v>
      </c>
      <c r="Y128" s="380">
        <v>0</v>
      </c>
      <c r="Z128" s="380">
        <v>0</v>
      </c>
      <c r="AA128" s="376" t="s">
        <v>314</v>
      </c>
      <c r="AB128" s="376" t="s">
        <v>315</v>
      </c>
      <c r="AC128" s="376" t="s">
        <v>316</v>
      </c>
      <c r="AD128" s="376" t="s">
        <v>317</v>
      </c>
      <c r="AE128" s="376" t="s">
        <v>313</v>
      </c>
      <c r="AF128" s="376" t="s">
        <v>261</v>
      </c>
      <c r="AG128" s="376" t="s">
        <v>178</v>
      </c>
      <c r="AH128" s="381">
        <v>57.67</v>
      </c>
      <c r="AI128" s="381">
        <v>73354.2</v>
      </c>
      <c r="AJ128" s="376" t="s">
        <v>179</v>
      </c>
      <c r="AK128" s="376" t="s">
        <v>180</v>
      </c>
      <c r="AL128" s="376" t="s">
        <v>181</v>
      </c>
      <c r="AM128" s="376" t="s">
        <v>182</v>
      </c>
      <c r="AN128" s="376" t="s">
        <v>68</v>
      </c>
      <c r="AO128" s="379">
        <v>80</v>
      </c>
      <c r="AP128" s="385">
        <v>1</v>
      </c>
      <c r="AQ128" s="385">
        <v>0</v>
      </c>
      <c r="AR128" s="383" t="s">
        <v>183</v>
      </c>
      <c r="AS128" s="387">
        <f t="shared" si="71"/>
        <v>0</v>
      </c>
      <c r="AT128">
        <f t="shared" si="72"/>
        <v>0</v>
      </c>
      <c r="AU128" s="387" t="str">
        <f>IF(AT128=0,"",IF(AND(AT128=1,M128="F",SUMIF(C2:C1334,C128,AS2:AS1334)&lt;=1),SUMIF(C2:C1334,C128,AS2:AS1334),IF(AND(AT128=1,M128="F",SUMIF(C2:C1334,C128,AS2:AS1334)&gt;1),1,"")))</f>
        <v/>
      </c>
      <c r="AV128" s="387" t="str">
        <f>IF(AT128=0,"",IF(AND(AT128=3,M128="F",SUMIF(C2:C1334,C128,AS2:AS1334)&lt;=1),SUMIF(C2:C1334,C128,AS2:AS1334),IF(AND(AT128=3,M128="F",SUMIF(C2:C1334,C128,AS2:AS1334)&gt;1),1,"")))</f>
        <v/>
      </c>
      <c r="AW128" s="387">
        <f>SUMIF(C2:C1334,C128,O2:O1334)</f>
        <v>9</v>
      </c>
      <c r="AX128" s="387">
        <f>IF(AND(M128="F",AS128&lt;&gt;0),SUMIF(C2:C1334,C128,W2:W1334),0)</f>
        <v>0</v>
      </c>
      <c r="AY128" s="387" t="str">
        <f t="shared" si="73"/>
        <v/>
      </c>
      <c r="AZ128" s="387" t="str">
        <f t="shared" si="74"/>
        <v/>
      </c>
      <c r="BA128" s="387">
        <f t="shared" si="75"/>
        <v>0</v>
      </c>
      <c r="BB128" s="387">
        <f t="shared" si="44"/>
        <v>0</v>
      </c>
      <c r="BC128" s="387">
        <f t="shared" si="45"/>
        <v>0</v>
      </c>
      <c r="BD128" s="387">
        <f t="shared" si="46"/>
        <v>0</v>
      </c>
      <c r="BE128" s="387">
        <f t="shared" si="47"/>
        <v>0</v>
      </c>
      <c r="BF128" s="387">
        <f t="shared" si="48"/>
        <v>0</v>
      </c>
      <c r="BG128" s="387">
        <f t="shared" si="49"/>
        <v>0</v>
      </c>
      <c r="BH128" s="387">
        <f t="shared" si="50"/>
        <v>0</v>
      </c>
      <c r="BI128" s="387">
        <f t="shared" si="51"/>
        <v>0</v>
      </c>
      <c r="BJ128" s="387">
        <f t="shared" si="52"/>
        <v>0</v>
      </c>
      <c r="BK128" s="387">
        <f t="shared" si="53"/>
        <v>0</v>
      </c>
      <c r="BL128" s="387">
        <f t="shared" si="76"/>
        <v>0</v>
      </c>
      <c r="BM128" s="387">
        <f t="shared" si="77"/>
        <v>0</v>
      </c>
      <c r="BN128" s="387">
        <f t="shared" si="54"/>
        <v>0</v>
      </c>
      <c r="BO128" s="387">
        <f t="shared" si="55"/>
        <v>0</v>
      </c>
      <c r="BP128" s="387">
        <f t="shared" si="56"/>
        <v>0</v>
      </c>
      <c r="BQ128" s="387">
        <f t="shared" si="57"/>
        <v>0</v>
      </c>
      <c r="BR128" s="387">
        <f t="shared" si="58"/>
        <v>0</v>
      </c>
      <c r="BS128" s="387">
        <f t="shared" si="59"/>
        <v>0</v>
      </c>
      <c r="BT128" s="387">
        <f t="shared" si="60"/>
        <v>0</v>
      </c>
      <c r="BU128" s="387">
        <f t="shared" si="61"/>
        <v>0</v>
      </c>
      <c r="BV128" s="387">
        <f t="shared" si="62"/>
        <v>0</v>
      </c>
      <c r="BW128" s="387">
        <f t="shared" si="63"/>
        <v>0</v>
      </c>
      <c r="BX128" s="387">
        <f t="shared" si="78"/>
        <v>0</v>
      </c>
      <c r="BY128" s="387">
        <f t="shared" si="79"/>
        <v>0</v>
      </c>
      <c r="BZ128" s="387">
        <f t="shared" si="80"/>
        <v>0</v>
      </c>
      <c r="CA128" s="387">
        <f t="shared" si="81"/>
        <v>0</v>
      </c>
      <c r="CB128" s="387">
        <f t="shared" si="82"/>
        <v>0</v>
      </c>
      <c r="CC128" s="387">
        <f t="shared" si="64"/>
        <v>0</v>
      </c>
      <c r="CD128" s="387">
        <f t="shared" si="65"/>
        <v>0</v>
      </c>
      <c r="CE128" s="387">
        <f t="shared" si="66"/>
        <v>0</v>
      </c>
      <c r="CF128" s="387">
        <f t="shared" si="67"/>
        <v>0</v>
      </c>
      <c r="CG128" s="387">
        <f t="shared" si="68"/>
        <v>0</v>
      </c>
      <c r="CH128" s="387">
        <f t="shared" si="69"/>
        <v>0</v>
      </c>
      <c r="CI128" s="387">
        <f t="shared" si="70"/>
        <v>0</v>
      </c>
      <c r="CJ128" s="387">
        <f t="shared" si="83"/>
        <v>0</v>
      </c>
      <c r="CK128" s="387" t="str">
        <f t="shared" si="84"/>
        <v/>
      </c>
      <c r="CL128" s="387" t="str">
        <f t="shared" si="85"/>
        <v/>
      </c>
      <c r="CM128" s="387" t="str">
        <f t="shared" si="86"/>
        <v/>
      </c>
      <c r="CN128" s="387" t="str">
        <f t="shared" si="87"/>
        <v>0303-00</v>
      </c>
    </row>
    <row r="129" spans="1:92" ht="15.75" thickBot="1" x14ac:dyDescent="0.3">
      <c r="A129" s="376" t="s">
        <v>161</v>
      </c>
      <c r="B129" s="376" t="s">
        <v>162</v>
      </c>
      <c r="C129" s="376" t="s">
        <v>733</v>
      </c>
      <c r="D129" s="376" t="s">
        <v>734</v>
      </c>
      <c r="E129" s="376" t="s">
        <v>214</v>
      </c>
      <c r="F129" s="377" t="s">
        <v>166</v>
      </c>
      <c r="G129" s="376" t="s">
        <v>732</v>
      </c>
      <c r="H129" s="378"/>
      <c r="I129" s="378"/>
      <c r="J129" s="376" t="s">
        <v>239</v>
      </c>
      <c r="K129" s="376" t="s">
        <v>735</v>
      </c>
      <c r="L129" s="376" t="s">
        <v>166</v>
      </c>
      <c r="M129" s="376" t="s">
        <v>171</v>
      </c>
      <c r="N129" s="376" t="s">
        <v>257</v>
      </c>
      <c r="O129" s="379">
        <v>1</v>
      </c>
      <c r="P129" s="385">
        <v>0</v>
      </c>
      <c r="Q129" s="385">
        <v>0</v>
      </c>
      <c r="R129" s="380">
        <v>80</v>
      </c>
      <c r="S129" s="385">
        <v>0</v>
      </c>
      <c r="T129" s="380">
        <v>83085.600000000006</v>
      </c>
      <c r="U129" s="380">
        <v>0</v>
      </c>
      <c r="V129" s="380">
        <v>31214.99</v>
      </c>
      <c r="W129" s="380">
        <v>0</v>
      </c>
      <c r="X129" s="380">
        <v>0</v>
      </c>
      <c r="Y129" s="380">
        <v>0</v>
      </c>
      <c r="Z129" s="380">
        <v>0</v>
      </c>
      <c r="AA129" s="376" t="s">
        <v>736</v>
      </c>
      <c r="AB129" s="376" t="s">
        <v>737</v>
      </c>
      <c r="AC129" s="376" t="s">
        <v>738</v>
      </c>
      <c r="AD129" s="376" t="s">
        <v>252</v>
      </c>
      <c r="AE129" s="376" t="s">
        <v>735</v>
      </c>
      <c r="AF129" s="376" t="s">
        <v>261</v>
      </c>
      <c r="AG129" s="376" t="s">
        <v>178</v>
      </c>
      <c r="AH129" s="381">
        <v>44.16</v>
      </c>
      <c r="AI129" s="381">
        <v>15464.9</v>
      </c>
      <c r="AJ129" s="376" t="s">
        <v>179</v>
      </c>
      <c r="AK129" s="376" t="s">
        <v>180</v>
      </c>
      <c r="AL129" s="376" t="s">
        <v>181</v>
      </c>
      <c r="AM129" s="376" t="s">
        <v>182</v>
      </c>
      <c r="AN129" s="376" t="s">
        <v>68</v>
      </c>
      <c r="AO129" s="379">
        <v>80</v>
      </c>
      <c r="AP129" s="385">
        <v>1</v>
      </c>
      <c r="AQ129" s="385">
        <v>0</v>
      </c>
      <c r="AR129" s="383" t="s">
        <v>183</v>
      </c>
      <c r="AS129" s="387">
        <f t="shared" si="71"/>
        <v>0</v>
      </c>
      <c r="AT129">
        <f t="shared" si="72"/>
        <v>0</v>
      </c>
      <c r="AU129" s="387" t="str">
        <f>IF(AT129=0,"",IF(AND(AT129=1,M129="F",SUMIF(C2:C1334,C129,AS2:AS1334)&lt;=1),SUMIF(C2:C1334,C129,AS2:AS1334),IF(AND(AT129=1,M129="F",SUMIF(C2:C1334,C129,AS2:AS1334)&gt;1),1,"")))</f>
        <v/>
      </c>
      <c r="AV129" s="387" t="str">
        <f>IF(AT129=0,"",IF(AND(AT129=3,M129="F",SUMIF(C2:C1334,C129,AS2:AS1334)&lt;=1),SUMIF(C2:C1334,C129,AS2:AS1334),IF(AND(AT129=3,M129="F",SUMIF(C2:C1334,C129,AS2:AS1334)&gt;1),1,"")))</f>
        <v/>
      </c>
      <c r="AW129" s="387">
        <f>SUMIF(C2:C1334,C129,O2:O1334)</f>
        <v>4</v>
      </c>
      <c r="AX129" s="387">
        <f>IF(AND(M129="F",AS129&lt;&gt;0),SUMIF(C2:C1334,C129,W2:W1334),0)</f>
        <v>0</v>
      </c>
      <c r="AY129" s="387" t="str">
        <f t="shared" si="73"/>
        <v/>
      </c>
      <c r="AZ129" s="387" t="str">
        <f t="shared" si="74"/>
        <v/>
      </c>
      <c r="BA129" s="387">
        <f t="shared" si="75"/>
        <v>0</v>
      </c>
      <c r="BB129" s="387">
        <f t="shared" si="44"/>
        <v>0</v>
      </c>
      <c r="BC129" s="387">
        <f t="shared" si="45"/>
        <v>0</v>
      </c>
      <c r="BD129" s="387">
        <f t="shared" si="46"/>
        <v>0</v>
      </c>
      <c r="BE129" s="387">
        <f t="shared" si="47"/>
        <v>0</v>
      </c>
      <c r="BF129" s="387">
        <f t="shared" si="48"/>
        <v>0</v>
      </c>
      <c r="BG129" s="387">
        <f t="shared" si="49"/>
        <v>0</v>
      </c>
      <c r="BH129" s="387">
        <f t="shared" si="50"/>
        <v>0</v>
      </c>
      <c r="BI129" s="387">
        <f t="shared" si="51"/>
        <v>0</v>
      </c>
      <c r="BJ129" s="387">
        <f t="shared" si="52"/>
        <v>0</v>
      </c>
      <c r="BK129" s="387">
        <f t="shared" si="53"/>
        <v>0</v>
      </c>
      <c r="BL129" s="387">
        <f t="shared" si="76"/>
        <v>0</v>
      </c>
      <c r="BM129" s="387">
        <f t="shared" si="77"/>
        <v>0</v>
      </c>
      <c r="BN129" s="387">
        <f t="shared" si="54"/>
        <v>0</v>
      </c>
      <c r="BO129" s="387">
        <f t="shared" si="55"/>
        <v>0</v>
      </c>
      <c r="BP129" s="387">
        <f t="shared" si="56"/>
        <v>0</v>
      </c>
      <c r="BQ129" s="387">
        <f t="shared" si="57"/>
        <v>0</v>
      </c>
      <c r="BR129" s="387">
        <f t="shared" si="58"/>
        <v>0</v>
      </c>
      <c r="BS129" s="387">
        <f t="shared" si="59"/>
        <v>0</v>
      </c>
      <c r="BT129" s="387">
        <f t="shared" si="60"/>
        <v>0</v>
      </c>
      <c r="BU129" s="387">
        <f t="shared" si="61"/>
        <v>0</v>
      </c>
      <c r="BV129" s="387">
        <f t="shared" si="62"/>
        <v>0</v>
      </c>
      <c r="BW129" s="387">
        <f t="shared" si="63"/>
        <v>0</v>
      </c>
      <c r="BX129" s="387">
        <f t="shared" si="78"/>
        <v>0</v>
      </c>
      <c r="BY129" s="387">
        <f t="shared" si="79"/>
        <v>0</v>
      </c>
      <c r="BZ129" s="387">
        <f t="shared" si="80"/>
        <v>0</v>
      </c>
      <c r="CA129" s="387">
        <f t="shared" si="81"/>
        <v>0</v>
      </c>
      <c r="CB129" s="387">
        <f t="shared" si="82"/>
        <v>0</v>
      </c>
      <c r="CC129" s="387">
        <f t="shared" si="64"/>
        <v>0</v>
      </c>
      <c r="CD129" s="387">
        <f t="shared" si="65"/>
        <v>0</v>
      </c>
      <c r="CE129" s="387">
        <f t="shared" si="66"/>
        <v>0</v>
      </c>
      <c r="CF129" s="387">
        <f t="shared" si="67"/>
        <v>0</v>
      </c>
      <c r="CG129" s="387">
        <f t="shared" si="68"/>
        <v>0</v>
      </c>
      <c r="CH129" s="387">
        <f t="shared" si="69"/>
        <v>0</v>
      </c>
      <c r="CI129" s="387">
        <f t="shared" si="70"/>
        <v>0</v>
      </c>
      <c r="CJ129" s="387">
        <f t="shared" si="83"/>
        <v>0</v>
      </c>
      <c r="CK129" s="387" t="str">
        <f t="shared" si="84"/>
        <v/>
      </c>
      <c r="CL129" s="387" t="str">
        <f t="shared" si="85"/>
        <v/>
      </c>
      <c r="CM129" s="387" t="str">
        <f t="shared" si="86"/>
        <v/>
      </c>
      <c r="CN129" s="387" t="str">
        <f t="shared" si="87"/>
        <v>0303-00</v>
      </c>
    </row>
    <row r="130" spans="1:92" ht="15.75" thickBot="1" x14ac:dyDescent="0.3">
      <c r="A130" s="376" t="s">
        <v>161</v>
      </c>
      <c r="B130" s="376" t="s">
        <v>162</v>
      </c>
      <c r="C130" s="376" t="s">
        <v>739</v>
      </c>
      <c r="D130" s="376" t="s">
        <v>270</v>
      </c>
      <c r="E130" s="376" t="s">
        <v>214</v>
      </c>
      <c r="F130" s="377" t="s">
        <v>166</v>
      </c>
      <c r="G130" s="376" t="s">
        <v>732</v>
      </c>
      <c r="H130" s="378"/>
      <c r="I130" s="378"/>
      <c r="J130" s="376" t="s">
        <v>239</v>
      </c>
      <c r="K130" s="376" t="s">
        <v>271</v>
      </c>
      <c r="L130" s="376" t="s">
        <v>217</v>
      </c>
      <c r="M130" s="376" t="s">
        <v>171</v>
      </c>
      <c r="N130" s="376" t="s">
        <v>172</v>
      </c>
      <c r="O130" s="379">
        <v>1</v>
      </c>
      <c r="P130" s="385">
        <v>0</v>
      </c>
      <c r="Q130" s="385">
        <v>0</v>
      </c>
      <c r="R130" s="380">
        <v>80</v>
      </c>
      <c r="S130" s="385">
        <v>0</v>
      </c>
      <c r="T130" s="380">
        <v>20662.400000000001</v>
      </c>
      <c r="U130" s="380">
        <v>0</v>
      </c>
      <c r="V130" s="380">
        <v>11573.87</v>
      </c>
      <c r="W130" s="380">
        <v>0</v>
      </c>
      <c r="X130" s="380">
        <v>0</v>
      </c>
      <c r="Y130" s="380">
        <v>0</v>
      </c>
      <c r="Z130" s="380">
        <v>0</v>
      </c>
      <c r="AA130" s="376" t="s">
        <v>740</v>
      </c>
      <c r="AB130" s="376" t="s">
        <v>703</v>
      </c>
      <c r="AC130" s="376" t="s">
        <v>561</v>
      </c>
      <c r="AD130" s="376" t="s">
        <v>741</v>
      </c>
      <c r="AE130" s="376" t="s">
        <v>271</v>
      </c>
      <c r="AF130" s="376" t="s">
        <v>221</v>
      </c>
      <c r="AG130" s="376" t="s">
        <v>178</v>
      </c>
      <c r="AH130" s="381">
        <v>16.760000000000002</v>
      </c>
      <c r="AI130" s="379">
        <v>3752</v>
      </c>
      <c r="AJ130" s="376" t="s">
        <v>179</v>
      </c>
      <c r="AK130" s="376" t="s">
        <v>180</v>
      </c>
      <c r="AL130" s="376" t="s">
        <v>181</v>
      </c>
      <c r="AM130" s="376" t="s">
        <v>182</v>
      </c>
      <c r="AN130" s="376" t="s">
        <v>68</v>
      </c>
      <c r="AO130" s="379">
        <v>80</v>
      </c>
      <c r="AP130" s="385">
        <v>1</v>
      </c>
      <c r="AQ130" s="385">
        <v>0</v>
      </c>
      <c r="AR130" s="383" t="s">
        <v>183</v>
      </c>
      <c r="AS130" s="387">
        <f t="shared" si="71"/>
        <v>0</v>
      </c>
      <c r="AT130">
        <f t="shared" si="72"/>
        <v>0</v>
      </c>
      <c r="AU130" s="387" t="str">
        <f>IF(AT130=0,"",IF(AND(AT130=1,M130="F",SUMIF(C2:C1334,C130,AS2:AS1334)&lt;=1),SUMIF(C2:C1334,C130,AS2:AS1334),IF(AND(AT130=1,M130="F",SUMIF(C2:C1334,C130,AS2:AS1334)&gt;1),1,"")))</f>
        <v/>
      </c>
      <c r="AV130" s="387" t="str">
        <f>IF(AT130=0,"",IF(AND(AT130=3,M130="F",SUMIF(C2:C1334,C130,AS2:AS1334)&lt;=1),SUMIF(C2:C1334,C130,AS2:AS1334),IF(AND(AT130=3,M130="F",SUMIF(C2:C1334,C130,AS2:AS1334)&gt;1),1,"")))</f>
        <v/>
      </c>
      <c r="AW130" s="387">
        <f>SUMIF(C2:C1334,C130,O2:O1334)</f>
        <v>4</v>
      </c>
      <c r="AX130" s="387">
        <f>IF(AND(M130="F",AS130&lt;&gt;0),SUMIF(C2:C1334,C130,W2:W1334),0)</f>
        <v>0</v>
      </c>
      <c r="AY130" s="387" t="str">
        <f t="shared" si="73"/>
        <v/>
      </c>
      <c r="AZ130" s="387" t="str">
        <f t="shared" si="74"/>
        <v/>
      </c>
      <c r="BA130" s="387">
        <f t="shared" si="75"/>
        <v>0</v>
      </c>
      <c r="BB130" s="387">
        <f t="shared" ref="BB130:BB193" si="88">IF(AND(AT130=1,AK130="E",AU130&gt;=0.75,AW130=1),Health,IF(AND(AT130=1,AK130="E",AU130&gt;=0.75),Health*P130,IF(AND(AT130=1,AK130="E",AU130&gt;=0.5,AW130=1),PTHealth,IF(AND(AT130=1,AK130="E",AU130&gt;=0.5),PTHealth*P130,0))))</f>
        <v>0</v>
      </c>
      <c r="BC130" s="387">
        <f t="shared" ref="BC130:BC193" si="89">IF(AND(AT130=3,AK130="E",AV130&gt;=0.75,AW130=1),Health,IF(AND(AT130=3,AK130="E",AV130&gt;=0.75),Health*P130,IF(AND(AT130=3,AK130="E",AV130&gt;=0.5,AW130=1),PTHealth,IF(AND(AT130=3,AK130="E",AV130&gt;=0.5),PTHealth*P130,0))))</f>
        <v>0</v>
      </c>
      <c r="BD130" s="387">
        <f t="shared" ref="BD130:BD193" si="90">IF(AND(AT130&lt;&gt;0,AX130&gt;=MAXSSDI),SSDI*MAXSSDI*P130,IF(AT130&lt;&gt;0,SSDI*W130,0))</f>
        <v>0</v>
      </c>
      <c r="BE130" s="387">
        <f t="shared" ref="BE130:BE193" si="91">IF(AT130&lt;&gt;0,SSHI*W130,0)</f>
        <v>0</v>
      </c>
      <c r="BF130" s="387">
        <f t="shared" ref="BF130:BF193" si="92">IF(AND(AT130&lt;&gt;0,AN130&lt;&gt;"NE"),VLOOKUP(AN130,Retirement_Rates,3,FALSE)*W130,0)</f>
        <v>0</v>
      </c>
      <c r="BG130" s="387">
        <f t="shared" ref="BG130:BG193" si="93">IF(AND(AT130&lt;&gt;0,AJ130&lt;&gt;"PF"),Life*W130,0)</f>
        <v>0</v>
      </c>
      <c r="BH130" s="387">
        <f t="shared" ref="BH130:BH193" si="94">IF(AND(AT130&lt;&gt;0,AM130="Y"),UI*W130,0)</f>
        <v>0</v>
      </c>
      <c r="BI130" s="387">
        <f t="shared" ref="BI130:BI193" si="95">IF(AND(AT130&lt;&gt;0,N130&lt;&gt;"NR"),DHR*W130,0)</f>
        <v>0</v>
      </c>
      <c r="BJ130" s="387">
        <f t="shared" ref="BJ130:BJ193" si="96">IF(AT130&lt;&gt;0,WC*W130,0)</f>
        <v>0</v>
      </c>
      <c r="BK130" s="387">
        <f t="shared" ref="BK130:BK193" si="97">IF(OR(AND(AT130&lt;&gt;0,AJ130&lt;&gt;"PF",AN130&lt;&gt;"NE",AG130&lt;&gt;"A"),AND(AL130="E",OR(AT130=1,AT130=3))),Sick*W130,0)</f>
        <v>0</v>
      </c>
      <c r="BL130" s="387">
        <f t="shared" si="76"/>
        <v>0</v>
      </c>
      <c r="BM130" s="387">
        <f t="shared" si="77"/>
        <v>0</v>
      </c>
      <c r="BN130" s="387">
        <f t="shared" ref="BN130:BN193" si="98">IF(AND(AT130=1,AK130="E",AU130&gt;=0.75,AW130=1),HealthBY,IF(AND(AT130=1,AK130="E",AU130&gt;=0.75),HealthBY*P130,IF(AND(AT130=1,AK130="E",AU130&gt;=0.5,AW130=1),PTHealthBY,IF(AND(AT130=1,AK130="E",AU130&gt;=0.5),PTHealthBY*P130,0))))</f>
        <v>0</v>
      </c>
      <c r="BO130" s="387">
        <f t="shared" ref="BO130:BO193" si="99">IF(AND(AT130=3,AK130="E",AV130&gt;=0.75,AW130=1),HealthBY,IF(AND(AT130=3,AK130="E",AV130&gt;=0.75),HealthBY*P130,IF(AND(AT130=3,AK130="E",AV130&gt;=0.5,AW130=1),PTHealthBY,IF(AND(AT130=3,AK130="E",AV130&gt;=0.5),PTHealthBY*P130,0))))</f>
        <v>0</v>
      </c>
      <c r="BP130" s="387">
        <f t="shared" ref="BP130:BP193" si="100">IF(AND(AT130&lt;&gt;0,(AX130+BA130)&gt;=MAXSSDIBY),SSDIBY*MAXSSDIBY*P130,IF(AT130&lt;&gt;0,SSDIBY*W130,0))</f>
        <v>0</v>
      </c>
      <c r="BQ130" s="387">
        <f t="shared" ref="BQ130:BQ193" si="101">IF(AT130&lt;&gt;0,SSHIBY*W130,0)</f>
        <v>0</v>
      </c>
      <c r="BR130" s="387">
        <f t="shared" ref="BR130:BR193" si="102">IF(AND(AT130&lt;&gt;0,AN130&lt;&gt;"NE"),VLOOKUP(AN130,Retirement_Rates,4,FALSE)*W130,0)</f>
        <v>0</v>
      </c>
      <c r="BS130" s="387">
        <f t="shared" ref="BS130:BS193" si="103">IF(AND(AT130&lt;&gt;0,AJ130&lt;&gt;"PF"),LifeBY*W130,0)</f>
        <v>0</v>
      </c>
      <c r="BT130" s="387">
        <f t="shared" ref="BT130:BT193" si="104">IF(AND(AT130&lt;&gt;0,AM130="Y"),UIBY*W130,0)</f>
        <v>0</v>
      </c>
      <c r="BU130" s="387">
        <f t="shared" ref="BU130:BU193" si="105">IF(AND(AT130&lt;&gt;0,N130&lt;&gt;"NR"),DHRBY*W130,0)</f>
        <v>0</v>
      </c>
      <c r="BV130" s="387">
        <f t="shared" ref="BV130:BV193" si="106">IF(AT130&lt;&gt;0,WCBY*W130,0)</f>
        <v>0</v>
      </c>
      <c r="BW130" s="387">
        <f t="shared" ref="BW130:BW193" si="107">IF(OR(AND(AT130&lt;&gt;0,AJ130&lt;&gt;"PF",AN130&lt;&gt;"NE",AG130&lt;&gt;"A"),AND(AL130="E",OR(AT130=1,AT130=3))),SickBY*W130,0)</f>
        <v>0</v>
      </c>
      <c r="BX130" s="387">
        <f t="shared" si="78"/>
        <v>0</v>
      </c>
      <c r="BY130" s="387">
        <f t="shared" si="79"/>
        <v>0</v>
      </c>
      <c r="BZ130" s="387">
        <f t="shared" si="80"/>
        <v>0</v>
      </c>
      <c r="CA130" s="387">
        <f t="shared" si="81"/>
        <v>0</v>
      </c>
      <c r="CB130" s="387">
        <f t="shared" si="82"/>
        <v>0</v>
      </c>
      <c r="CC130" s="387">
        <f t="shared" ref="CC130:CC193" si="108">IF(AT130&lt;&gt;0,SSHICHG*Y130,0)</f>
        <v>0</v>
      </c>
      <c r="CD130" s="387">
        <f t="shared" ref="CD130:CD193" si="109">IF(AND(AT130&lt;&gt;0,AN130&lt;&gt;"NE"),VLOOKUP(AN130,Retirement_Rates,5,FALSE)*Y130,0)</f>
        <v>0</v>
      </c>
      <c r="CE130" s="387">
        <f t="shared" ref="CE130:CE193" si="110">IF(AND(AT130&lt;&gt;0,AJ130&lt;&gt;"PF"),LifeCHG*Y130,0)</f>
        <v>0</v>
      </c>
      <c r="CF130" s="387">
        <f t="shared" ref="CF130:CF193" si="111">IF(AND(AT130&lt;&gt;0,AM130="Y"),UICHG*Y130,0)</f>
        <v>0</v>
      </c>
      <c r="CG130" s="387">
        <f t="shared" ref="CG130:CG193" si="112">IF(AND(AT130&lt;&gt;0,N130&lt;&gt;"NR"),DHRCHG*Y130,0)</f>
        <v>0</v>
      </c>
      <c r="CH130" s="387">
        <f t="shared" ref="CH130:CH193" si="113">IF(AT130&lt;&gt;0,WCCHG*Y130,0)</f>
        <v>0</v>
      </c>
      <c r="CI130" s="387">
        <f t="shared" ref="CI130:CI193" si="114">IF(OR(AND(AT130&lt;&gt;0,AJ130&lt;&gt;"PF",AN130&lt;&gt;"NE",AG130&lt;&gt;"A"),AND(AL130="E",OR(AT130=1,AT130=3))),SickCHG*Y130,0)</f>
        <v>0</v>
      </c>
      <c r="CJ130" s="387">
        <f t="shared" si="83"/>
        <v>0</v>
      </c>
      <c r="CK130" s="387" t="str">
        <f t="shared" si="84"/>
        <v/>
      </c>
      <c r="CL130" s="387" t="str">
        <f t="shared" si="85"/>
        <v/>
      </c>
      <c r="CM130" s="387" t="str">
        <f t="shared" si="86"/>
        <v/>
      </c>
      <c r="CN130" s="387" t="str">
        <f t="shared" si="87"/>
        <v>0303-00</v>
      </c>
    </row>
    <row r="131" spans="1:92" ht="15.75" thickBot="1" x14ac:dyDescent="0.3">
      <c r="A131" s="376" t="s">
        <v>161</v>
      </c>
      <c r="B131" s="376" t="s">
        <v>162</v>
      </c>
      <c r="C131" s="376" t="s">
        <v>742</v>
      </c>
      <c r="D131" s="376" t="s">
        <v>743</v>
      </c>
      <c r="E131" s="376" t="s">
        <v>214</v>
      </c>
      <c r="F131" s="377" t="s">
        <v>166</v>
      </c>
      <c r="G131" s="376" t="s">
        <v>732</v>
      </c>
      <c r="H131" s="378"/>
      <c r="I131" s="378"/>
      <c r="J131" s="376" t="s">
        <v>239</v>
      </c>
      <c r="K131" s="376" t="s">
        <v>744</v>
      </c>
      <c r="L131" s="376" t="s">
        <v>296</v>
      </c>
      <c r="M131" s="376" t="s">
        <v>171</v>
      </c>
      <c r="N131" s="376" t="s">
        <v>172</v>
      </c>
      <c r="O131" s="379">
        <v>1</v>
      </c>
      <c r="P131" s="385">
        <v>0</v>
      </c>
      <c r="Q131" s="385">
        <v>0</v>
      </c>
      <c r="R131" s="380">
        <v>80</v>
      </c>
      <c r="S131" s="385">
        <v>0</v>
      </c>
      <c r="T131" s="380">
        <v>35794.800000000003</v>
      </c>
      <c r="U131" s="380">
        <v>0</v>
      </c>
      <c r="V131" s="380">
        <v>14850.81</v>
      </c>
      <c r="W131" s="380">
        <v>0</v>
      </c>
      <c r="X131" s="380">
        <v>0</v>
      </c>
      <c r="Y131" s="380">
        <v>0</v>
      </c>
      <c r="Z131" s="380">
        <v>0</v>
      </c>
      <c r="AA131" s="376" t="s">
        <v>745</v>
      </c>
      <c r="AB131" s="376" t="s">
        <v>746</v>
      </c>
      <c r="AC131" s="376" t="s">
        <v>747</v>
      </c>
      <c r="AD131" s="376" t="s">
        <v>748</v>
      </c>
      <c r="AE131" s="376" t="s">
        <v>744</v>
      </c>
      <c r="AF131" s="376" t="s">
        <v>301</v>
      </c>
      <c r="AG131" s="376" t="s">
        <v>178</v>
      </c>
      <c r="AH131" s="381">
        <v>28.05</v>
      </c>
      <c r="AI131" s="381">
        <v>7809.2</v>
      </c>
      <c r="AJ131" s="376" t="s">
        <v>179</v>
      </c>
      <c r="AK131" s="376" t="s">
        <v>180</v>
      </c>
      <c r="AL131" s="376" t="s">
        <v>181</v>
      </c>
      <c r="AM131" s="376" t="s">
        <v>182</v>
      </c>
      <c r="AN131" s="376" t="s">
        <v>68</v>
      </c>
      <c r="AO131" s="379">
        <v>80</v>
      </c>
      <c r="AP131" s="385">
        <v>1</v>
      </c>
      <c r="AQ131" s="385">
        <v>0</v>
      </c>
      <c r="AR131" s="383" t="s">
        <v>183</v>
      </c>
      <c r="AS131" s="387">
        <f t="shared" ref="AS131:AS194" si="115">IF(((AO131/80)*AP131*P131)&gt;1,AQ131,((AO131/80)*AP131*P131))</f>
        <v>0</v>
      </c>
      <c r="AT131">
        <f t="shared" ref="AT131:AT194" si="116">IF(AND(M131="F",N131&lt;&gt;"NG",AS131&lt;&gt;0,AND(AR131&lt;&gt;6,AR131&lt;&gt;36,AR131&lt;&gt;56),AG131&lt;&gt;"A",OR(AG131="H",AJ131="FS")),1,IF(AND(M131="F",N131&lt;&gt;"NG",AS131&lt;&gt;0,AG131="A"),3,0))</f>
        <v>0</v>
      </c>
      <c r="AU131" s="387" t="str">
        <f>IF(AT131=0,"",IF(AND(AT131=1,M131="F",SUMIF(C2:C1334,C131,AS2:AS1334)&lt;=1),SUMIF(C2:C1334,C131,AS2:AS1334),IF(AND(AT131=1,M131="F",SUMIF(C2:C1334,C131,AS2:AS1334)&gt;1),1,"")))</f>
        <v/>
      </c>
      <c r="AV131" s="387" t="str">
        <f>IF(AT131=0,"",IF(AND(AT131=3,M131="F",SUMIF(C2:C1334,C131,AS2:AS1334)&lt;=1),SUMIF(C2:C1334,C131,AS2:AS1334),IF(AND(AT131=3,M131="F",SUMIF(C2:C1334,C131,AS2:AS1334)&gt;1),1,"")))</f>
        <v/>
      </c>
      <c r="AW131" s="387">
        <f>SUMIF(C2:C1334,C131,O2:O1334)</f>
        <v>4</v>
      </c>
      <c r="AX131" s="387">
        <f>IF(AND(M131="F",AS131&lt;&gt;0),SUMIF(C2:C1334,C131,W2:W1334),0)</f>
        <v>0</v>
      </c>
      <c r="AY131" s="387" t="str">
        <f t="shared" ref="AY131:AY194" si="117">IF(AT131=1,W131,"")</f>
        <v/>
      </c>
      <c r="AZ131" s="387" t="str">
        <f t="shared" ref="AZ131:AZ194" si="118">IF(AT131=3,W131,"")</f>
        <v/>
      </c>
      <c r="BA131" s="387">
        <f t="shared" ref="BA131:BA194" si="119">IF(AT131=1,Y131-W131,0)</f>
        <v>0</v>
      </c>
      <c r="BB131" s="387">
        <f t="shared" si="88"/>
        <v>0</v>
      </c>
      <c r="BC131" s="387">
        <f t="shared" si="89"/>
        <v>0</v>
      </c>
      <c r="BD131" s="387">
        <f t="shared" si="90"/>
        <v>0</v>
      </c>
      <c r="BE131" s="387">
        <f t="shared" si="91"/>
        <v>0</v>
      </c>
      <c r="BF131" s="387">
        <f t="shared" si="92"/>
        <v>0</v>
      </c>
      <c r="BG131" s="387">
        <f t="shared" si="93"/>
        <v>0</v>
      </c>
      <c r="BH131" s="387">
        <f t="shared" si="94"/>
        <v>0</v>
      </c>
      <c r="BI131" s="387">
        <f t="shared" si="95"/>
        <v>0</v>
      </c>
      <c r="BJ131" s="387">
        <f t="shared" si="96"/>
        <v>0</v>
      </c>
      <c r="BK131" s="387">
        <f t="shared" si="97"/>
        <v>0</v>
      </c>
      <c r="BL131" s="387">
        <f t="shared" ref="BL131:BL194" si="120">IF(AT131=1,SUM(BD131:BK131),0)</f>
        <v>0</v>
      </c>
      <c r="BM131" s="387">
        <f t="shared" ref="BM131:BM194" si="121">IF(AT131=3,SUM(BD131:BK131),0)</f>
        <v>0</v>
      </c>
      <c r="BN131" s="387">
        <f t="shared" si="98"/>
        <v>0</v>
      </c>
      <c r="BO131" s="387">
        <f t="shared" si="99"/>
        <v>0</v>
      </c>
      <c r="BP131" s="387">
        <f t="shared" si="100"/>
        <v>0</v>
      </c>
      <c r="BQ131" s="387">
        <f t="shared" si="101"/>
        <v>0</v>
      </c>
      <c r="BR131" s="387">
        <f t="shared" si="102"/>
        <v>0</v>
      </c>
      <c r="BS131" s="387">
        <f t="shared" si="103"/>
        <v>0</v>
      </c>
      <c r="BT131" s="387">
        <f t="shared" si="104"/>
        <v>0</v>
      </c>
      <c r="BU131" s="387">
        <f t="shared" si="105"/>
        <v>0</v>
      </c>
      <c r="BV131" s="387">
        <f t="shared" si="106"/>
        <v>0</v>
      </c>
      <c r="BW131" s="387">
        <f t="shared" si="107"/>
        <v>0</v>
      </c>
      <c r="BX131" s="387">
        <f t="shared" ref="BX131:BX194" si="122">IF(AT131=1,SUM(BP131:BW131),0)</f>
        <v>0</v>
      </c>
      <c r="BY131" s="387">
        <f t="shared" ref="BY131:BY194" si="123">IF(AT131=3,SUM(BP131:BW131),0)</f>
        <v>0</v>
      </c>
      <c r="BZ131" s="387">
        <f t="shared" ref="BZ131:BZ194" si="124">IF(AT131=1,BN131-BB131,0)</f>
        <v>0</v>
      </c>
      <c r="CA131" s="387">
        <f t="shared" ref="CA131:CA194" si="125">IF(AT131=3,BO131-BC131,0)</f>
        <v>0</v>
      </c>
      <c r="CB131" s="387">
        <f t="shared" ref="CB131:CB194" si="126">BP131-BD131</f>
        <v>0</v>
      </c>
      <c r="CC131" s="387">
        <f t="shared" si="108"/>
        <v>0</v>
      </c>
      <c r="CD131" s="387">
        <f t="shared" si="109"/>
        <v>0</v>
      </c>
      <c r="CE131" s="387">
        <f t="shared" si="110"/>
        <v>0</v>
      </c>
      <c r="CF131" s="387">
        <f t="shared" si="111"/>
        <v>0</v>
      </c>
      <c r="CG131" s="387">
        <f t="shared" si="112"/>
        <v>0</v>
      </c>
      <c r="CH131" s="387">
        <f t="shared" si="113"/>
        <v>0</v>
      </c>
      <c r="CI131" s="387">
        <f t="shared" si="114"/>
        <v>0</v>
      </c>
      <c r="CJ131" s="387">
        <f t="shared" ref="CJ131:CJ194" si="127">IF(AT131=1,SUM(CB131:CI131),0)</f>
        <v>0</v>
      </c>
      <c r="CK131" s="387" t="str">
        <f t="shared" ref="CK131:CK194" si="128">IF(AT131=3,SUM(CB131:CI131),"")</f>
        <v/>
      </c>
      <c r="CL131" s="387" t="str">
        <f t="shared" ref="CL131:CL194" si="129">IF(OR(N131="NG",AG131="D"),(T131+U131),"")</f>
        <v/>
      </c>
      <c r="CM131" s="387" t="str">
        <f t="shared" ref="CM131:CM194" si="130">IF(OR(N131="NG",AG131="D"),V131,"")</f>
        <v/>
      </c>
      <c r="CN131" s="387" t="str">
        <f t="shared" ref="CN131:CN194" si="131">E131 &amp; "-" &amp; F131</f>
        <v>0303-00</v>
      </c>
    </row>
    <row r="132" spans="1:92" ht="15.75" thickBot="1" x14ac:dyDescent="0.3">
      <c r="A132" s="376" t="s">
        <v>161</v>
      </c>
      <c r="B132" s="376" t="s">
        <v>162</v>
      </c>
      <c r="C132" s="376" t="s">
        <v>749</v>
      </c>
      <c r="D132" s="376" t="s">
        <v>743</v>
      </c>
      <c r="E132" s="376" t="s">
        <v>214</v>
      </c>
      <c r="F132" s="377" t="s">
        <v>166</v>
      </c>
      <c r="G132" s="376" t="s">
        <v>732</v>
      </c>
      <c r="H132" s="378"/>
      <c r="I132" s="378"/>
      <c r="J132" s="376" t="s">
        <v>239</v>
      </c>
      <c r="K132" s="376" t="s">
        <v>744</v>
      </c>
      <c r="L132" s="376" t="s">
        <v>296</v>
      </c>
      <c r="M132" s="376" t="s">
        <v>171</v>
      </c>
      <c r="N132" s="376" t="s">
        <v>172</v>
      </c>
      <c r="O132" s="379">
        <v>1</v>
      </c>
      <c r="P132" s="385">
        <v>0</v>
      </c>
      <c r="Q132" s="385">
        <v>0</v>
      </c>
      <c r="R132" s="380">
        <v>80</v>
      </c>
      <c r="S132" s="385">
        <v>0</v>
      </c>
      <c r="T132" s="380">
        <v>28300</v>
      </c>
      <c r="U132" s="380">
        <v>0</v>
      </c>
      <c r="V132" s="380">
        <v>12740.1</v>
      </c>
      <c r="W132" s="380">
        <v>0</v>
      </c>
      <c r="X132" s="380">
        <v>0</v>
      </c>
      <c r="Y132" s="380">
        <v>0</v>
      </c>
      <c r="Z132" s="380">
        <v>0</v>
      </c>
      <c r="AA132" s="376" t="s">
        <v>750</v>
      </c>
      <c r="AB132" s="376" t="s">
        <v>751</v>
      </c>
      <c r="AC132" s="376" t="s">
        <v>752</v>
      </c>
      <c r="AD132" s="376" t="s">
        <v>587</v>
      </c>
      <c r="AE132" s="376" t="s">
        <v>744</v>
      </c>
      <c r="AF132" s="376" t="s">
        <v>301</v>
      </c>
      <c r="AG132" s="376" t="s">
        <v>178</v>
      </c>
      <c r="AH132" s="381">
        <v>26.25</v>
      </c>
      <c r="AI132" s="379">
        <v>1800</v>
      </c>
      <c r="AJ132" s="376" t="s">
        <v>179</v>
      </c>
      <c r="AK132" s="376" t="s">
        <v>180</v>
      </c>
      <c r="AL132" s="376" t="s">
        <v>181</v>
      </c>
      <c r="AM132" s="376" t="s">
        <v>182</v>
      </c>
      <c r="AN132" s="376" t="s">
        <v>68</v>
      </c>
      <c r="AO132" s="379">
        <v>80</v>
      </c>
      <c r="AP132" s="385">
        <v>1</v>
      </c>
      <c r="AQ132" s="385">
        <v>0</v>
      </c>
      <c r="AR132" s="383" t="s">
        <v>183</v>
      </c>
      <c r="AS132" s="387">
        <f t="shared" si="115"/>
        <v>0</v>
      </c>
      <c r="AT132">
        <f t="shared" si="116"/>
        <v>0</v>
      </c>
      <c r="AU132" s="387" t="str">
        <f>IF(AT132=0,"",IF(AND(AT132=1,M132="F",SUMIF(C2:C1334,C132,AS2:AS1334)&lt;=1),SUMIF(C2:C1334,C132,AS2:AS1334),IF(AND(AT132=1,M132="F",SUMIF(C2:C1334,C132,AS2:AS1334)&gt;1),1,"")))</f>
        <v/>
      </c>
      <c r="AV132" s="387" t="str">
        <f>IF(AT132=0,"",IF(AND(AT132=3,M132="F",SUMIF(C2:C1334,C132,AS2:AS1334)&lt;=1),SUMIF(C2:C1334,C132,AS2:AS1334),IF(AND(AT132=3,M132="F",SUMIF(C2:C1334,C132,AS2:AS1334)&gt;1),1,"")))</f>
        <v/>
      </c>
      <c r="AW132" s="387">
        <f>SUMIF(C2:C1334,C132,O2:O1334)</f>
        <v>4</v>
      </c>
      <c r="AX132" s="387">
        <f>IF(AND(M132="F",AS132&lt;&gt;0),SUMIF(C2:C1334,C132,W2:W1334),0)</f>
        <v>0</v>
      </c>
      <c r="AY132" s="387" t="str">
        <f t="shared" si="117"/>
        <v/>
      </c>
      <c r="AZ132" s="387" t="str">
        <f t="shared" si="118"/>
        <v/>
      </c>
      <c r="BA132" s="387">
        <f t="shared" si="119"/>
        <v>0</v>
      </c>
      <c r="BB132" s="387">
        <f t="shared" si="88"/>
        <v>0</v>
      </c>
      <c r="BC132" s="387">
        <f t="shared" si="89"/>
        <v>0</v>
      </c>
      <c r="BD132" s="387">
        <f t="shared" si="90"/>
        <v>0</v>
      </c>
      <c r="BE132" s="387">
        <f t="shared" si="91"/>
        <v>0</v>
      </c>
      <c r="BF132" s="387">
        <f t="shared" si="92"/>
        <v>0</v>
      </c>
      <c r="BG132" s="387">
        <f t="shared" si="93"/>
        <v>0</v>
      </c>
      <c r="BH132" s="387">
        <f t="shared" si="94"/>
        <v>0</v>
      </c>
      <c r="BI132" s="387">
        <f t="shared" si="95"/>
        <v>0</v>
      </c>
      <c r="BJ132" s="387">
        <f t="shared" si="96"/>
        <v>0</v>
      </c>
      <c r="BK132" s="387">
        <f t="shared" si="97"/>
        <v>0</v>
      </c>
      <c r="BL132" s="387">
        <f t="shared" si="120"/>
        <v>0</v>
      </c>
      <c r="BM132" s="387">
        <f t="shared" si="121"/>
        <v>0</v>
      </c>
      <c r="BN132" s="387">
        <f t="shared" si="98"/>
        <v>0</v>
      </c>
      <c r="BO132" s="387">
        <f t="shared" si="99"/>
        <v>0</v>
      </c>
      <c r="BP132" s="387">
        <f t="shared" si="100"/>
        <v>0</v>
      </c>
      <c r="BQ132" s="387">
        <f t="shared" si="101"/>
        <v>0</v>
      </c>
      <c r="BR132" s="387">
        <f t="shared" si="102"/>
        <v>0</v>
      </c>
      <c r="BS132" s="387">
        <f t="shared" si="103"/>
        <v>0</v>
      </c>
      <c r="BT132" s="387">
        <f t="shared" si="104"/>
        <v>0</v>
      </c>
      <c r="BU132" s="387">
        <f t="shared" si="105"/>
        <v>0</v>
      </c>
      <c r="BV132" s="387">
        <f t="shared" si="106"/>
        <v>0</v>
      </c>
      <c r="BW132" s="387">
        <f t="shared" si="107"/>
        <v>0</v>
      </c>
      <c r="BX132" s="387">
        <f t="shared" si="122"/>
        <v>0</v>
      </c>
      <c r="BY132" s="387">
        <f t="shared" si="123"/>
        <v>0</v>
      </c>
      <c r="BZ132" s="387">
        <f t="shared" si="124"/>
        <v>0</v>
      </c>
      <c r="CA132" s="387">
        <f t="shared" si="125"/>
        <v>0</v>
      </c>
      <c r="CB132" s="387">
        <f t="shared" si="126"/>
        <v>0</v>
      </c>
      <c r="CC132" s="387">
        <f t="shared" si="108"/>
        <v>0</v>
      </c>
      <c r="CD132" s="387">
        <f t="shared" si="109"/>
        <v>0</v>
      </c>
      <c r="CE132" s="387">
        <f t="shared" si="110"/>
        <v>0</v>
      </c>
      <c r="CF132" s="387">
        <f t="shared" si="111"/>
        <v>0</v>
      </c>
      <c r="CG132" s="387">
        <f t="shared" si="112"/>
        <v>0</v>
      </c>
      <c r="CH132" s="387">
        <f t="shared" si="113"/>
        <v>0</v>
      </c>
      <c r="CI132" s="387">
        <f t="shared" si="114"/>
        <v>0</v>
      </c>
      <c r="CJ132" s="387">
        <f t="shared" si="127"/>
        <v>0</v>
      </c>
      <c r="CK132" s="387" t="str">
        <f t="shared" si="128"/>
        <v/>
      </c>
      <c r="CL132" s="387" t="str">
        <f t="shared" si="129"/>
        <v/>
      </c>
      <c r="CM132" s="387" t="str">
        <f t="shared" si="130"/>
        <v/>
      </c>
      <c r="CN132" s="387" t="str">
        <f t="shared" si="131"/>
        <v>0303-00</v>
      </c>
    </row>
    <row r="133" spans="1:92" ht="15.75" thickBot="1" x14ac:dyDescent="0.3">
      <c r="A133" s="376" t="s">
        <v>161</v>
      </c>
      <c r="B133" s="376" t="s">
        <v>162</v>
      </c>
      <c r="C133" s="376" t="s">
        <v>753</v>
      </c>
      <c r="D133" s="376" t="s">
        <v>743</v>
      </c>
      <c r="E133" s="376" t="s">
        <v>214</v>
      </c>
      <c r="F133" s="377" t="s">
        <v>166</v>
      </c>
      <c r="G133" s="376" t="s">
        <v>732</v>
      </c>
      <c r="H133" s="378"/>
      <c r="I133" s="378"/>
      <c r="J133" s="376" t="s">
        <v>239</v>
      </c>
      <c r="K133" s="376" t="s">
        <v>744</v>
      </c>
      <c r="L133" s="376" t="s">
        <v>296</v>
      </c>
      <c r="M133" s="376" t="s">
        <v>171</v>
      </c>
      <c r="N133" s="376" t="s">
        <v>172</v>
      </c>
      <c r="O133" s="379">
        <v>1</v>
      </c>
      <c r="P133" s="385">
        <v>0</v>
      </c>
      <c r="Q133" s="385">
        <v>0</v>
      </c>
      <c r="R133" s="380">
        <v>80</v>
      </c>
      <c r="S133" s="385">
        <v>0</v>
      </c>
      <c r="T133" s="380">
        <v>33416</v>
      </c>
      <c r="U133" s="380">
        <v>0</v>
      </c>
      <c r="V133" s="380">
        <v>14219.05</v>
      </c>
      <c r="W133" s="380">
        <v>0</v>
      </c>
      <c r="X133" s="380">
        <v>0</v>
      </c>
      <c r="Y133" s="380">
        <v>0</v>
      </c>
      <c r="Z133" s="380">
        <v>0</v>
      </c>
      <c r="AA133" s="376" t="s">
        <v>754</v>
      </c>
      <c r="AB133" s="376" t="s">
        <v>755</v>
      </c>
      <c r="AC133" s="376" t="s">
        <v>756</v>
      </c>
      <c r="AD133" s="376" t="s">
        <v>757</v>
      </c>
      <c r="AE133" s="376" t="s">
        <v>744</v>
      </c>
      <c r="AF133" s="376" t="s">
        <v>301</v>
      </c>
      <c r="AG133" s="376" t="s">
        <v>178</v>
      </c>
      <c r="AH133" s="379">
        <v>27</v>
      </c>
      <c r="AI133" s="379">
        <v>8197</v>
      </c>
      <c r="AJ133" s="376" t="s">
        <v>179</v>
      </c>
      <c r="AK133" s="376" t="s">
        <v>180</v>
      </c>
      <c r="AL133" s="376" t="s">
        <v>181</v>
      </c>
      <c r="AM133" s="376" t="s">
        <v>182</v>
      </c>
      <c r="AN133" s="376" t="s">
        <v>68</v>
      </c>
      <c r="AO133" s="379">
        <v>80</v>
      </c>
      <c r="AP133" s="385">
        <v>1</v>
      </c>
      <c r="AQ133" s="385">
        <v>0</v>
      </c>
      <c r="AR133" s="383" t="s">
        <v>183</v>
      </c>
      <c r="AS133" s="387">
        <f t="shared" si="115"/>
        <v>0</v>
      </c>
      <c r="AT133">
        <f t="shared" si="116"/>
        <v>0</v>
      </c>
      <c r="AU133" s="387" t="str">
        <f>IF(AT133=0,"",IF(AND(AT133=1,M133="F",SUMIF(C2:C1334,C133,AS2:AS1334)&lt;=1),SUMIF(C2:C1334,C133,AS2:AS1334),IF(AND(AT133=1,M133="F",SUMIF(C2:C1334,C133,AS2:AS1334)&gt;1),1,"")))</f>
        <v/>
      </c>
      <c r="AV133" s="387" t="str">
        <f>IF(AT133=0,"",IF(AND(AT133=3,M133="F",SUMIF(C2:C1334,C133,AS2:AS1334)&lt;=1),SUMIF(C2:C1334,C133,AS2:AS1334),IF(AND(AT133=3,M133="F",SUMIF(C2:C1334,C133,AS2:AS1334)&gt;1),1,"")))</f>
        <v/>
      </c>
      <c r="AW133" s="387">
        <f>SUMIF(C2:C1334,C133,O2:O1334)</f>
        <v>4</v>
      </c>
      <c r="AX133" s="387">
        <f>IF(AND(M133="F",AS133&lt;&gt;0),SUMIF(C2:C1334,C133,W2:W1334),0)</f>
        <v>0</v>
      </c>
      <c r="AY133" s="387" t="str">
        <f t="shared" si="117"/>
        <v/>
      </c>
      <c r="AZ133" s="387" t="str">
        <f t="shared" si="118"/>
        <v/>
      </c>
      <c r="BA133" s="387">
        <f t="shared" si="119"/>
        <v>0</v>
      </c>
      <c r="BB133" s="387">
        <f t="shared" si="88"/>
        <v>0</v>
      </c>
      <c r="BC133" s="387">
        <f t="shared" si="89"/>
        <v>0</v>
      </c>
      <c r="BD133" s="387">
        <f t="shared" si="90"/>
        <v>0</v>
      </c>
      <c r="BE133" s="387">
        <f t="shared" si="91"/>
        <v>0</v>
      </c>
      <c r="BF133" s="387">
        <f t="shared" si="92"/>
        <v>0</v>
      </c>
      <c r="BG133" s="387">
        <f t="shared" si="93"/>
        <v>0</v>
      </c>
      <c r="BH133" s="387">
        <f t="shared" si="94"/>
        <v>0</v>
      </c>
      <c r="BI133" s="387">
        <f t="shared" si="95"/>
        <v>0</v>
      </c>
      <c r="BJ133" s="387">
        <f t="shared" si="96"/>
        <v>0</v>
      </c>
      <c r="BK133" s="387">
        <f t="shared" si="97"/>
        <v>0</v>
      </c>
      <c r="BL133" s="387">
        <f t="shared" si="120"/>
        <v>0</v>
      </c>
      <c r="BM133" s="387">
        <f t="shared" si="121"/>
        <v>0</v>
      </c>
      <c r="BN133" s="387">
        <f t="shared" si="98"/>
        <v>0</v>
      </c>
      <c r="BO133" s="387">
        <f t="shared" si="99"/>
        <v>0</v>
      </c>
      <c r="BP133" s="387">
        <f t="shared" si="100"/>
        <v>0</v>
      </c>
      <c r="BQ133" s="387">
        <f t="shared" si="101"/>
        <v>0</v>
      </c>
      <c r="BR133" s="387">
        <f t="shared" si="102"/>
        <v>0</v>
      </c>
      <c r="BS133" s="387">
        <f t="shared" si="103"/>
        <v>0</v>
      </c>
      <c r="BT133" s="387">
        <f t="shared" si="104"/>
        <v>0</v>
      </c>
      <c r="BU133" s="387">
        <f t="shared" si="105"/>
        <v>0</v>
      </c>
      <c r="BV133" s="387">
        <f t="shared" si="106"/>
        <v>0</v>
      </c>
      <c r="BW133" s="387">
        <f t="shared" si="107"/>
        <v>0</v>
      </c>
      <c r="BX133" s="387">
        <f t="shared" si="122"/>
        <v>0</v>
      </c>
      <c r="BY133" s="387">
        <f t="shared" si="123"/>
        <v>0</v>
      </c>
      <c r="BZ133" s="387">
        <f t="shared" si="124"/>
        <v>0</v>
      </c>
      <c r="CA133" s="387">
        <f t="shared" si="125"/>
        <v>0</v>
      </c>
      <c r="CB133" s="387">
        <f t="shared" si="126"/>
        <v>0</v>
      </c>
      <c r="CC133" s="387">
        <f t="shared" si="108"/>
        <v>0</v>
      </c>
      <c r="CD133" s="387">
        <f t="shared" si="109"/>
        <v>0</v>
      </c>
      <c r="CE133" s="387">
        <f t="shared" si="110"/>
        <v>0</v>
      </c>
      <c r="CF133" s="387">
        <f t="shared" si="111"/>
        <v>0</v>
      </c>
      <c r="CG133" s="387">
        <f t="shared" si="112"/>
        <v>0</v>
      </c>
      <c r="CH133" s="387">
        <f t="shared" si="113"/>
        <v>0</v>
      </c>
      <c r="CI133" s="387">
        <f t="shared" si="114"/>
        <v>0</v>
      </c>
      <c r="CJ133" s="387">
        <f t="shared" si="127"/>
        <v>0</v>
      </c>
      <c r="CK133" s="387" t="str">
        <f t="shared" si="128"/>
        <v/>
      </c>
      <c r="CL133" s="387" t="str">
        <f t="shared" si="129"/>
        <v/>
      </c>
      <c r="CM133" s="387" t="str">
        <f t="shared" si="130"/>
        <v/>
      </c>
      <c r="CN133" s="387" t="str">
        <f t="shared" si="131"/>
        <v>0303-00</v>
      </c>
    </row>
    <row r="134" spans="1:92" ht="15.75" thickBot="1" x14ac:dyDescent="0.3">
      <c r="A134" s="376" t="s">
        <v>161</v>
      </c>
      <c r="B134" s="376" t="s">
        <v>162</v>
      </c>
      <c r="C134" s="376" t="s">
        <v>758</v>
      </c>
      <c r="D134" s="376" t="s">
        <v>743</v>
      </c>
      <c r="E134" s="376" t="s">
        <v>214</v>
      </c>
      <c r="F134" s="377" t="s">
        <v>166</v>
      </c>
      <c r="G134" s="376" t="s">
        <v>732</v>
      </c>
      <c r="H134" s="378"/>
      <c r="I134" s="378"/>
      <c r="J134" s="376" t="s">
        <v>239</v>
      </c>
      <c r="K134" s="376" t="s">
        <v>744</v>
      </c>
      <c r="L134" s="376" t="s">
        <v>296</v>
      </c>
      <c r="M134" s="376" t="s">
        <v>171</v>
      </c>
      <c r="N134" s="376" t="s">
        <v>172</v>
      </c>
      <c r="O134" s="379">
        <v>1</v>
      </c>
      <c r="P134" s="385">
        <v>0</v>
      </c>
      <c r="Q134" s="385">
        <v>0</v>
      </c>
      <c r="R134" s="380">
        <v>80</v>
      </c>
      <c r="S134" s="385">
        <v>0</v>
      </c>
      <c r="T134" s="380">
        <v>31107.200000000001</v>
      </c>
      <c r="U134" s="380">
        <v>0</v>
      </c>
      <c r="V134" s="380">
        <v>13672.2</v>
      </c>
      <c r="W134" s="380">
        <v>0</v>
      </c>
      <c r="X134" s="380">
        <v>0</v>
      </c>
      <c r="Y134" s="380">
        <v>0</v>
      </c>
      <c r="Z134" s="380">
        <v>0</v>
      </c>
      <c r="AA134" s="376" t="s">
        <v>759</v>
      </c>
      <c r="AB134" s="376" t="s">
        <v>760</v>
      </c>
      <c r="AC134" s="376" t="s">
        <v>577</v>
      </c>
      <c r="AD134" s="376" t="s">
        <v>761</v>
      </c>
      <c r="AE134" s="376" t="s">
        <v>744</v>
      </c>
      <c r="AF134" s="376" t="s">
        <v>301</v>
      </c>
      <c r="AG134" s="376" t="s">
        <v>178</v>
      </c>
      <c r="AH134" s="381">
        <v>25.18</v>
      </c>
      <c r="AI134" s="381">
        <v>8001.6</v>
      </c>
      <c r="AJ134" s="376" t="s">
        <v>179</v>
      </c>
      <c r="AK134" s="376" t="s">
        <v>180</v>
      </c>
      <c r="AL134" s="376" t="s">
        <v>181</v>
      </c>
      <c r="AM134" s="376" t="s">
        <v>182</v>
      </c>
      <c r="AN134" s="376" t="s">
        <v>68</v>
      </c>
      <c r="AO134" s="379">
        <v>80</v>
      </c>
      <c r="AP134" s="385">
        <v>1</v>
      </c>
      <c r="AQ134" s="385">
        <v>0</v>
      </c>
      <c r="AR134" s="383" t="s">
        <v>183</v>
      </c>
      <c r="AS134" s="387">
        <f t="shared" si="115"/>
        <v>0</v>
      </c>
      <c r="AT134">
        <f t="shared" si="116"/>
        <v>0</v>
      </c>
      <c r="AU134" s="387" t="str">
        <f>IF(AT134=0,"",IF(AND(AT134=1,M134="F",SUMIF(C2:C1334,C134,AS2:AS1334)&lt;=1),SUMIF(C2:C1334,C134,AS2:AS1334),IF(AND(AT134=1,M134="F",SUMIF(C2:C1334,C134,AS2:AS1334)&gt;1),1,"")))</f>
        <v/>
      </c>
      <c r="AV134" s="387" t="str">
        <f>IF(AT134=0,"",IF(AND(AT134=3,M134="F",SUMIF(C2:C1334,C134,AS2:AS1334)&lt;=1),SUMIF(C2:C1334,C134,AS2:AS1334),IF(AND(AT134=3,M134="F",SUMIF(C2:C1334,C134,AS2:AS1334)&gt;1),1,"")))</f>
        <v/>
      </c>
      <c r="AW134" s="387">
        <f>SUMIF(C2:C1334,C134,O2:O1334)</f>
        <v>4</v>
      </c>
      <c r="AX134" s="387">
        <f>IF(AND(M134="F",AS134&lt;&gt;0),SUMIF(C2:C1334,C134,W2:W1334),0)</f>
        <v>0</v>
      </c>
      <c r="AY134" s="387" t="str">
        <f t="shared" si="117"/>
        <v/>
      </c>
      <c r="AZ134" s="387" t="str">
        <f t="shared" si="118"/>
        <v/>
      </c>
      <c r="BA134" s="387">
        <f t="shared" si="119"/>
        <v>0</v>
      </c>
      <c r="BB134" s="387">
        <f t="shared" si="88"/>
        <v>0</v>
      </c>
      <c r="BC134" s="387">
        <f t="shared" si="89"/>
        <v>0</v>
      </c>
      <c r="BD134" s="387">
        <f t="shared" si="90"/>
        <v>0</v>
      </c>
      <c r="BE134" s="387">
        <f t="shared" si="91"/>
        <v>0</v>
      </c>
      <c r="BF134" s="387">
        <f t="shared" si="92"/>
        <v>0</v>
      </c>
      <c r="BG134" s="387">
        <f t="shared" si="93"/>
        <v>0</v>
      </c>
      <c r="BH134" s="387">
        <f t="shared" si="94"/>
        <v>0</v>
      </c>
      <c r="BI134" s="387">
        <f t="shared" si="95"/>
        <v>0</v>
      </c>
      <c r="BJ134" s="387">
        <f t="shared" si="96"/>
        <v>0</v>
      </c>
      <c r="BK134" s="387">
        <f t="shared" si="97"/>
        <v>0</v>
      </c>
      <c r="BL134" s="387">
        <f t="shared" si="120"/>
        <v>0</v>
      </c>
      <c r="BM134" s="387">
        <f t="shared" si="121"/>
        <v>0</v>
      </c>
      <c r="BN134" s="387">
        <f t="shared" si="98"/>
        <v>0</v>
      </c>
      <c r="BO134" s="387">
        <f t="shared" si="99"/>
        <v>0</v>
      </c>
      <c r="BP134" s="387">
        <f t="shared" si="100"/>
        <v>0</v>
      </c>
      <c r="BQ134" s="387">
        <f t="shared" si="101"/>
        <v>0</v>
      </c>
      <c r="BR134" s="387">
        <f t="shared" si="102"/>
        <v>0</v>
      </c>
      <c r="BS134" s="387">
        <f t="shared" si="103"/>
        <v>0</v>
      </c>
      <c r="BT134" s="387">
        <f t="shared" si="104"/>
        <v>0</v>
      </c>
      <c r="BU134" s="387">
        <f t="shared" si="105"/>
        <v>0</v>
      </c>
      <c r="BV134" s="387">
        <f t="shared" si="106"/>
        <v>0</v>
      </c>
      <c r="BW134" s="387">
        <f t="shared" si="107"/>
        <v>0</v>
      </c>
      <c r="BX134" s="387">
        <f t="shared" si="122"/>
        <v>0</v>
      </c>
      <c r="BY134" s="387">
        <f t="shared" si="123"/>
        <v>0</v>
      </c>
      <c r="BZ134" s="387">
        <f t="shared" si="124"/>
        <v>0</v>
      </c>
      <c r="CA134" s="387">
        <f t="shared" si="125"/>
        <v>0</v>
      </c>
      <c r="CB134" s="387">
        <f t="shared" si="126"/>
        <v>0</v>
      </c>
      <c r="CC134" s="387">
        <f t="shared" si="108"/>
        <v>0</v>
      </c>
      <c r="CD134" s="387">
        <f t="shared" si="109"/>
        <v>0</v>
      </c>
      <c r="CE134" s="387">
        <f t="shared" si="110"/>
        <v>0</v>
      </c>
      <c r="CF134" s="387">
        <f t="shared" si="111"/>
        <v>0</v>
      </c>
      <c r="CG134" s="387">
        <f t="shared" si="112"/>
        <v>0</v>
      </c>
      <c r="CH134" s="387">
        <f t="shared" si="113"/>
        <v>0</v>
      </c>
      <c r="CI134" s="387">
        <f t="shared" si="114"/>
        <v>0</v>
      </c>
      <c r="CJ134" s="387">
        <f t="shared" si="127"/>
        <v>0</v>
      </c>
      <c r="CK134" s="387" t="str">
        <f t="shared" si="128"/>
        <v/>
      </c>
      <c r="CL134" s="387" t="str">
        <f t="shared" si="129"/>
        <v/>
      </c>
      <c r="CM134" s="387" t="str">
        <f t="shared" si="130"/>
        <v/>
      </c>
      <c r="CN134" s="387" t="str">
        <f t="shared" si="131"/>
        <v>0303-00</v>
      </c>
    </row>
    <row r="135" spans="1:92" ht="15.75" thickBot="1" x14ac:dyDescent="0.3">
      <c r="A135" s="376" t="s">
        <v>161</v>
      </c>
      <c r="B135" s="376" t="s">
        <v>162</v>
      </c>
      <c r="C135" s="376" t="s">
        <v>762</v>
      </c>
      <c r="D135" s="376" t="s">
        <v>743</v>
      </c>
      <c r="E135" s="376" t="s">
        <v>214</v>
      </c>
      <c r="F135" s="377" t="s">
        <v>166</v>
      </c>
      <c r="G135" s="376" t="s">
        <v>732</v>
      </c>
      <c r="H135" s="378"/>
      <c r="I135" s="378"/>
      <c r="J135" s="376" t="s">
        <v>215</v>
      </c>
      <c r="K135" s="376" t="s">
        <v>744</v>
      </c>
      <c r="L135" s="376" t="s">
        <v>296</v>
      </c>
      <c r="M135" s="376" t="s">
        <v>171</v>
      </c>
      <c r="N135" s="376" t="s">
        <v>172</v>
      </c>
      <c r="O135" s="379">
        <v>1</v>
      </c>
      <c r="P135" s="385">
        <v>0</v>
      </c>
      <c r="Q135" s="385">
        <v>0</v>
      </c>
      <c r="R135" s="380">
        <v>80</v>
      </c>
      <c r="S135" s="385">
        <v>0</v>
      </c>
      <c r="T135" s="380">
        <v>27686.34</v>
      </c>
      <c r="U135" s="380">
        <v>0</v>
      </c>
      <c r="V135" s="380">
        <v>10448.65</v>
      </c>
      <c r="W135" s="380">
        <v>0</v>
      </c>
      <c r="X135" s="380">
        <v>0</v>
      </c>
      <c r="Y135" s="380">
        <v>0</v>
      </c>
      <c r="Z135" s="380">
        <v>0</v>
      </c>
      <c r="AA135" s="376" t="s">
        <v>763</v>
      </c>
      <c r="AB135" s="376" t="s">
        <v>764</v>
      </c>
      <c r="AC135" s="376" t="s">
        <v>765</v>
      </c>
      <c r="AD135" s="376" t="s">
        <v>458</v>
      </c>
      <c r="AE135" s="376" t="s">
        <v>744</v>
      </c>
      <c r="AF135" s="376" t="s">
        <v>301</v>
      </c>
      <c r="AG135" s="376" t="s">
        <v>178</v>
      </c>
      <c r="AH135" s="379">
        <v>24</v>
      </c>
      <c r="AI135" s="379">
        <v>320</v>
      </c>
      <c r="AJ135" s="376" t="s">
        <v>179</v>
      </c>
      <c r="AK135" s="376" t="s">
        <v>180</v>
      </c>
      <c r="AL135" s="376" t="s">
        <v>181</v>
      </c>
      <c r="AM135" s="376" t="s">
        <v>182</v>
      </c>
      <c r="AN135" s="376" t="s">
        <v>68</v>
      </c>
      <c r="AO135" s="379">
        <v>80</v>
      </c>
      <c r="AP135" s="385">
        <v>1</v>
      </c>
      <c r="AQ135" s="385">
        <v>0</v>
      </c>
      <c r="AR135" s="383" t="s">
        <v>183</v>
      </c>
      <c r="AS135" s="387">
        <f t="shared" si="115"/>
        <v>0</v>
      </c>
      <c r="AT135">
        <f t="shared" si="116"/>
        <v>0</v>
      </c>
      <c r="AU135" s="387" t="str">
        <f>IF(AT135=0,"",IF(AND(AT135=1,M135="F",SUMIF(C2:C1334,C135,AS2:AS1334)&lt;=1),SUMIF(C2:C1334,C135,AS2:AS1334),IF(AND(AT135=1,M135="F",SUMIF(C2:C1334,C135,AS2:AS1334)&gt;1),1,"")))</f>
        <v/>
      </c>
      <c r="AV135" s="387" t="str">
        <f>IF(AT135=0,"",IF(AND(AT135=3,M135="F",SUMIF(C2:C1334,C135,AS2:AS1334)&lt;=1),SUMIF(C2:C1334,C135,AS2:AS1334),IF(AND(AT135=3,M135="F",SUMIF(C2:C1334,C135,AS2:AS1334)&gt;1),1,"")))</f>
        <v/>
      </c>
      <c r="AW135" s="387">
        <f>SUMIF(C2:C1334,C135,O2:O1334)</f>
        <v>3</v>
      </c>
      <c r="AX135" s="387">
        <f>IF(AND(M135="F",AS135&lt;&gt;0),SUMIF(C2:C1334,C135,W2:W1334),0)</f>
        <v>0</v>
      </c>
      <c r="AY135" s="387" t="str">
        <f t="shared" si="117"/>
        <v/>
      </c>
      <c r="AZ135" s="387" t="str">
        <f t="shared" si="118"/>
        <v/>
      </c>
      <c r="BA135" s="387">
        <f t="shared" si="119"/>
        <v>0</v>
      </c>
      <c r="BB135" s="387">
        <f t="shared" si="88"/>
        <v>0</v>
      </c>
      <c r="BC135" s="387">
        <f t="shared" si="89"/>
        <v>0</v>
      </c>
      <c r="BD135" s="387">
        <f t="shared" si="90"/>
        <v>0</v>
      </c>
      <c r="BE135" s="387">
        <f t="shared" si="91"/>
        <v>0</v>
      </c>
      <c r="BF135" s="387">
        <f t="shared" si="92"/>
        <v>0</v>
      </c>
      <c r="BG135" s="387">
        <f t="shared" si="93"/>
        <v>0</v>
      </c>
      <c r="BH135" s="387">
        <f t="shared" si="94"/>
        <v>0</v>
      </c>
      <c r="BI135" s="387">
        <f t="shared" si="95"/>
        <v>0</v>
      </c>
      <c r="BJ135" s="387">
        <f t="shared" si="96"/>
        <v>0</v>
      </c>
      <c r="BK135" s="387">
        <f t="shared" si="97"/>
        <v>0</v>
      </c>
      <c r="BL135" s="387">
        <f t="shared" si="120"/>
        <v>0</v>
      </c>
      <c r="BM135" s="387">
        <f t="shared" si="121"/>
        <v>0</v>
      </c>
      <c r="BN135" s="387">
        <f t="shared" si="98"/>
        <v>0</v>
      </c>
      <c r="BO135" s="387">
        <f t="shared" si="99"/>
        <v>0</v>
      </c>
      <c r="BP135" s="387">
        <f t="shared" si="100"/>
        <v>0</v>
      </c>
      <c r="BQ135" s="387">
        <f t="shared" si="101"/>
        <v>0</v>
      </c>
      <c r="BR135" s="387">
        <f t="shared" si="102"/>
        <v>0</v>
      </c>
      <c r="BS135" s="387">
        <f t="shared" si="103"/>
        <v>0</v>
      </c>
      <c r="BT135" s="387">
        <f t="shared" si="104"/>
        <v>0</v>
      </c>
      <c r="BU135" s="387">
        <f t="shared" si="105"/>
        <v>0</v>
      </c>
      <c r="BV135" s="387">
        <f t="shared" si="106"/>
        <v>0</v>
      </c>
      <c r="BW135" s="387">
        <f t="shared" si="107"/>
        <v>0</v>
      </c>
      <c r="BX135" s="387">
        <f t="shared" si="122"/>
        <v>0</v>
      </c>
      <c r="BY135" s="387">
        <f t="shared" si="123"/>
        <v>0</v>
      </c>
      <c r="BZ135" s="387">
        <f t="shared" si="124"/>
        <v>0</v>
      </c>
      <c r="CA135" s="387">
        <f t="shared" si="125"/>
        <v>0</v>
      </c>
      <c r="CB135" s="387">
        <f t="shared" si="126"/>
        <v>0</v>
      </c>
      <c r="CC135" s="387">
        <f t="shared" si="108"/>
        <v>0</v>
      </c>
      <c r="CD135" s="387">
        <f t="shared" si="109"/>
        <v>0</v>
      </c>
      <c r="CE135" s="387">
        <f t="shared" si="110"/>
        <v>0</v>
      </c>
      <c r="CF135" s="387">
        <f t="shared" si="111"/>
        <v>0</v>
      </c>
      <c r="CG135" s="387">
        <f t="shared" si="112"/>
        <v>0</v>
      </c>
      <c r="CH135" s="387">
        <f t="shared" si="113"/>
        <v>0</v>
      </c>
      <c r="CI135" s="387">
        <f t="shared" si="114"/>
        <v>0</v>
      </c>
      <c r="CJ135" s="387">
        <f t="shared" si="127"/>
        <v>0</v>
      </c>
      <c r="CK135" s="387" t="str">
        <f t="shared" si="128"/>
        <v/>
      </c>
      <c r="CL135" s="387" t="str">
        <f t="shared" si="129"/>
        <v/>
      </c>
      <c r="CM135" s="387" t="str">
        <f t="shared" si="130"/>
        <v/>
      </c>
      <c r="CN135" s="387" t="str">
        <f t="shared" si="131"/>
        <v>0303-00</v>
      </c>
    </row>
    <row r="136" spans="1:92" ht="15.75" thickBot="1" x14ac:dyDescent="0.3">
      <c r="A136" s="376" t="s">
        <v>161</v>
      </c>
      <c r="B136" s="376" t="s">
        <v>162</v>
      </c>
      <c r="C136" s="376" t="s">
        <v>766</v>
      </c>
      <c r="D136" s="376" t="s">
        <v>767</v>
      </c>
      <c r="E136" s="376" t="s">
        <v>214</v>
      </c>
      <c r="F136" s="377" t="s">
        <v>166</v>
      </c>
      <c r="G136" s="376" t="s">
        <v>732</v>
      </c>
      <c r="H136" s="378"/>
      <c r="I136" s="378"/>
      <c r="J136" s="376" t="s">
        <v>239</v>
      </c>
      <c r="K136" s="376" t="s">
        <v>768</v>
      </c>
      <c r="L136" s="376" t="s">
        <v>170</v>
      </c>
      <c r="M136" s="376" t="s">
        <v>171</v>
      </c>
      <c r="N136" s="376" t="s">
        <v>172</v>
      </c>
      <c r="O136" s="379">
        <v>1</v>
      </c>
      <c r="P136" s="385">
        <v>0</v>
      </c>
      <c r="Q136" s="385">
        <v>0</v>
      </c>
      <c r="R136" s="380">
        <v>80</v>
      </c>
      <c r="S136" s="385">
        <v>0</v>
      </c>
      <c r="T136" s="380">
        <v>36193.599999999999</v>
      </c>
      <c r="U136" s="380">
        <v>0</v>
      </c>
      <c r="V136" s="380">
        <v>14832.59</v>
      </c>
      <c r="W136" s="380">
        <v>0</v>
      </c>
      <c r="X136" s="380">
        <v>0</v>
      </c>
      <c r="Y136" s="380">
        <v>0</v>
      </c>
      <c r="Z136" s="380">
        <v>0</v>
      </c>
      <c r="AA136" s="376" t="s">
        <v>769</v>
      </c>
      <c r="AB136" s="376" t="s">
        <v>770</v>
      </c>
      <c r="AC136" s="376" t="s">
        <v>771</v>
      </c>
      <c r="AD136" s="376" t="s">
        <v>268</v>
      </c>
      <c r="AE136" s="376" t="s">
        <v>768</v>
      </c>
      <c r="AF136" s="376" t="s">
        <v>177</v>
      </c>
      <c r="AG136" s="376" t="s">
        <v>178</v>
      </c>
      <c r="AH136" s="381">
        <v>29.3</v>
      </c>
      <c r="AI136" s="381">
        <v>40249.1</v>
      </c>
      <c r="AJ136" s="376" t="s">
        <v>179</v>
      </c>
      <c r="AK136" s="376" t="s">
        <v>180</v>
      </c>
      <c r="AL136" s="376" t="s">
        <v>181</v>
      </c>
      <c r="AM136" s="376" t="s">
        <v>182</v>
      </c>
      <c r="AN136" s="376" t="s">
        <v>68</v>
      </c>
      <c r="AO136" s="379">
        <v>80</v>
      </c>
      <c r="AP136" s="385">
        <v>1</v>
      </c>
      <c r="AQ136" s="385">
        <v>0</v>
      </c>
      <c r="AR136" s="383" t="s">
        <v>183</v>
      </c>
      <c r="AS136" s="387">
        <f t="shared" si="115"/>
        <v>0</v>
      </c>
      <c r="AT136">
        <f t="shared" si="116"/>
        <v>0</v>
      </c>
      <c r="AU136" s="387" t="str">
        <f>IF(AT136=0,"",IF(AND(AT136=1,M136="F",SUMIF(C2:C1334,C136,AS2:AS1334)&lt;=1),SUMIF(C2:C1334,C136,AS2:AS1334),IF(AND(AT136=1,M136="F",SUMIF(C2:C1334,C136,AS2:AS1334)&gt;1),1,"")))</f>
        <v/>
      </c>
      <c r="AV136" s="387" t="str">
        <f>IF(AT136=0,"",IF(AND(AT136=3,M136="F",SUMIF(C2:C1334,C136,AS2:AS1334)&lt;=1),SUMIF(C2:C1334,C136,AS2:AS1334),IF(AND(AT136=3,M136="F",SUMIF(C2:C1334,C136,AS2:AS1334)&gt;1),1,"")))</f>
        <v/>
      </c>
      <c r="AW136" s="387">
        <f>SUMIF(C2:C1334,C136,O2:O1334)</f>
        <v>4</v>
      </c>
      <c r="AX136" s="387">
        <f>IF(AND(M136="F",AS136&lt;&gt;0),SUMIF(C2:C1334,C136,W2:W1334),0)</f>
        <v>0</v>
      </c>
      <c r="AY136" s="387" t="str">
        <f t="shared" si="117"/>
        <v/>
      </c>
      <c r="AZ136" s="387" t="str">
        <f t="shared" si="118"/>
        <v/>
      </c>
      <c r="BA136" s="387">
        <f t="shared" si="119"/>
        <v>0</v>
      </c>
      <c r="BB136" s="387">
        <f t="shared" si="88"/>
        <v>0</v>
      </c>
      <c r="BC136" s="387">
        <f t="shared" si="89"/>
        <v>0</v>
      </c>
      <c r="BD136" s="387">
        <f t="shared" si="90"/>
        <v>0</v>
      </c>
      <c r="BE136" s="387">
        <f t="shared" si="91"/>
        <v>0</v>
      </c>
      <c r="BF136" s="387">
        <f t="shared" si="92"/>
        <v>0</v>
      </c>
      <c r="BG136" s="387">
        <f t="shared" si="93"/>
        <v>0</v>
      </c>
      <c r="BH136" s="387">
        <f t="shared" si="94"/>
        <v>0</v>
      </c>
      <c r="BI136" s="387">
        <f t="shared" si="95"/>
        <v>0</v>
      </c>
      <c r="BJ136" s="387">
        <f t="shared" si="96"/>
        <v>0</v>
      </c>
      <c r="BK136" s="387">
        <f t="shared" si="97"/>
        <v>0</v>
      </c>
      <c r="BL136" s="387">
        <f t="shared" si="120"/>
        <v>0</v>
      </c>
      <c r="BM136" s="387">
        <f t="shared" si="121"/>
        <v>0</v>
      </c>
      <c r="BN136" s="387">
        <f t="shared" si="98"/>
        <v>0</v>
      </c>
      <c r="BO136" s="387">
        <f t="shared" si="99"/>
        <v>0</v>
      </c>
      <c r="BP136" s="387">
        <f t="shared" si="100"/>
        <v>0</v>
      </c>
      <c r="BQ136" s="387">
        <f t="shared" si="101"/>
        <v>0</v>
      </c>
      <c r="BR136" s="387">
        <f t="shared" si="102"/>
        <v>0</v>
      </c>
      <c r="BS136" s="387">
        <f t="shared" si="103"/>
        <v>0</v>
      </c>
      <c r="BT136" s="387">
        <f t="shared" si="104"/>
        <v>0</v>
      </c>
      <c r="BU136" s="387">
        <f t="shared" si="105"/>
        <v>0</v>
      </c>
      <c r="BV136" s="387">
        <f t="shared" si="106"/>
        <v>0</v>
      </c>
      <c r="BW136" s="387">
        <f t="shared" si="107"/>
        <v>0</v>
      </c>
      <c r="BX136" s="387">
        <f t="shared" si="122"/>
        <v>0</v>
      </c>
      <c r="BY136" s="387">
        <f t="shared" si="123"/>
        <v>0</v>
      </c>
      <c r="BZ136" s="387">
        <f t="shared" si="124"/>
        <v>0</v>
      </c>
      <c r="CA136" s="387">
        <f t="shared" si="125"/>
        <v>0</v>
      </c>
      <c r="CB136" s="387">
        <f t="shared" si="126"/>
        <v>0</v>
      </c>
      <c r="CC136" s="387">
        <f t="shared" si="108"/>
        <v>0</v>
      </c>
      <c r="CD136" s="387">
        <f t="shared" si="109"/>
        <v>0</v>
      </c>
      <c r="CE136" s="387">
        <f t="shared" si="110"/>
        <v>0</v>
      </c>
      <c r="CF136" s="387">
        <f t="shared" si="111"/>
        <v>0</v>
      </c>
      <c r="CG136" s="387">
        <f t="shared" si="112"/>
        <v>0</v>
      </c>
      <c r="CH136" s="387">
        <f t="shared" si="113"/>
        <v>0</v>
      </c>
      <c r="CI136" s="387">
        <f t="shared" si="114"/>
        <v>0</v>
      </c>
      <c r="CJ136" s="387">
        <f t="shared" si="127"/>
        <v>0</v>
      </c>
      <c r="CK136" s="387" t="str">
        <f t="shared" si="128"/>
        <v/>
      </c>
      <c r="CL136" s="387" t="str">
        <f t="shared" si="129"/>
        <v/>
      </c>
      <c r="CM136" s="387" t="str">
        <f t="shared" si="130"/>
        <v/>
      </c>
      <c r="CN136" s="387" t="str">
        <f t="shared" si="131"/>
        <v>0303-00</v>
      </c>
    </row>
    <row r="137" spans="1:92" ht="15.75" thickBot="1" x14ac:dyDescent="0.3">
      <c r="A137" s="376" t="s">
        <v>161</v>
      </c>
      <c r="B137" s="376" t="s">
        <v>162</v>
      </c>
      <c r="C137" s="376" t="s">
        <v>772</v>
      </c>
      <c r="D137" s="376" t="s">
        <v>767</v>
      </c>
      <c r="E137" s="376" t="s">
        <v>214</v>
      </c>
      <c r="F137" s="377" t="s">
        <v>166</v>
      </c>
      <c r="G137" s="376" t="s">
        <v>732</v>
      </c>
      <c r="H137" s="378"/>
      <c r="I137" s="378"/>
      <c r="J137" s="376" t="s">
        <v>239</v>
      </c>
      <c r="K137" s="376" t="s">
        <v>768</v>
      </c>
      <c r="L137" s="376" t="s">
        <v>170</v>
      </c>
      <c r="M137" s="376" t="s">
        <v>171</v>
      </c>
      <c r="N137" s="376" t="s">
        <v>172</v>
      </c>
      <c r="O137" s="379">
        <v>1</v>
      </c>
      <c r="P137" s="385">
        <v>0</v>
      </c>
      <c r="Q137" s="385">
        <v>0</v>
      </c>
      <c r="R137" s="380">
        <v>80</v>
      </c>
      <c r="S137" s="385">
        <v>0</v>
      </c>
      <c r="T137" s="380">
        <v>36193.599999999999</v>
      </c>
      <c r="U137" s="380">
        <v>0</v>
      </c>
      <c r="V137" s="380">
        <v>14867.91</v>
      </c>
      <c r="W137" s="380">
        <v>0</v>
      </c>
      <c r="X137" s="380">
        <v>0</v>
      </c>
      <c r="Y137" s="380">
        <v>0</v>
      </c>
      <c r="Z137" s="380">
        <v>0</v>
      </c>
      <c r="AA137" s="376" t="s">
        <v>773</v>
      </c>
      <c r="AB137" s="376" t="s">
        <v>774</v>
      </c>
      <c r="AC137" s="376" t="s">
        <v>775</v>
      </c>
      <c r="AD137" s="376" t="s">
        <v>776</v>
      </c>
      <c r="AE137" s="376" t="s">
        <v>768</v>
      </c>
      <c r="AF137" s="376" t="s">
        <v>177</v>
      </c>
      <c r="AG137" s="376" t="s">
        <v>178</v>
      </c>
      <c r="AH137" s="381">
        <v>29.3</v>
      </c>
      <c r="AI137" s="379">
        <v>19549</v>
      </c>
      <c r="AJ137" s="376" t="s">
        <v>179</v>
      </c>
      <c r="AK137" s="376" t="s">
        <v>180</v>
      </c>
      <c r="AL137" s="376" t="s">
        <v>181</v>
      </c>
      <c r="AM137" s="376" t="s">
        <v>182</v>
      </c>
      <c r="AN137" s="376" t="s">
        <v>68</v>
      </c>
      <c r="AO137" s="379">
        <v>80</v>
      </c>
      <c r="AP137" s="385">
        <v>1</v>
      </c>
      <c r="AQ137" s="385">
        <v>0</v>
      </c>
      <c r="AR137" s="383" t="s">
        <v>183</v>
      </c>
      <c r="AS137" s="387">
        <f t="shared" si="115"/>
        <v>0</v>
      </c>
      <c r="AT137">
        <f t="shared" si="116"/>
        <v>0</v>
      </c>
      <c r="AU137" s="387" t="str">
        <f>IF(AT137=0,"",IF(AND(AT137=1,M137="F",SUMIF(C2:C1334,C137,AS2:AS1334)&lt;=1),SUMIF(C2:C1334,C137,AS2:AS1334),IF(AND(AT137=1,M137="F",SUMIF(C2:C1334,C137,AS2:AS1334)&gt;1),1,"")))</f>
        <v/>
      </c>
      <c r="AV137" s="387" t="str">
        <f>IF(AT137=0,"",IF(AND(AT137=3,M137="F",SUMIF(C2:C1334,C137,AS2:AS1334)&lt;=1),SUMIF(C2:C1334,C137,AS2:AS1334),IF(AND(AT137=3,M137="F",SUMIF(C2:C1334,C137,AS2:AS1334)&gt;1),1,"")))</f>
        <v/>
      </c>
      <c r="AW137" s="387">
        <f>SUMIF(C2:C1334,C137,O2:O1334)</f>
        <v>4</v>
      </c>
      <c r="AX137" s="387">
        <f>IF(AND(M137="F",AS137&lt;&gt;0),SUMIF(C2:C1334,C137,W2:W1334),0)</f>
        <v>0</v>
      </c>
      <c r="AY137" s="387" t="str">
        <f t="shared" si="117"/>
        <v/>
      </c>
      <c r="AZ137" s="387" t="str">
        <f t="shared" si="118"/>
        <v/>
      </c>
      <c r="BA137" s="387">
        <f t="shared" si="119"/>
        <v>0</v>
      </c>
      <c r="BB137" s="387">
        <f t="shared" si="88"/>
        <v>0</v>
      </c>
      <c r="BC137" s="387">
        <f t="shared" si="89"/>
        <v>0</v>
      </c>
      <c r="BD137" s="387">
        <f t="shared" si="90"/>
        <v>0</v>
      </c>
      <c r="BE137" s="387">
        <f t="shared" si="91"/>
        <v>0</v>
      </c>
      <c r="BF137" s="387">
        <f t="shared" si="92"/>
        <v>0</v>
      </c>
      <c r="BG137" s="387">
        <f t="shared" si="93"/>
        <v>0</v>
      </c>
      <c r="BH137" s="387">
        <f t="shared" si="94"/>
        <v>0</v>
      </c>
      <c r="BI137" s="387">
        <f t="shared" si="95"/>
        <v>0</v>
      </c>
      <c r="BJ137" s="387">
        <f t="shared" si="96"/>
        <v>0</v>
      </c>
      <c r="BK137" s="387">
        <f t="shared" si="97"/>
        <v>0</v>
      </c>
      <c r="BL137" s="387">
        <f t="shared" si="120"/>
        <v>0</v>
      </c>
      <c r="BM137" s="387">
        <f t="shared" si="121"/>
        <v>0</v>
      </c>
      <c r="BN137" s="387">
        <f t="shared" si="98"/>
        <v>0</v>
      </c>
      <c r="BO137" s="387">
        <f t="shared" si="99"/>
        <v>0</v>
      </c>
      <c r="BP137" s="387">
        <f t="shared" si="100"/>
        <v>0</v>
      </c>
      <c r="BQ137" s="387">
        <f t="shared" si="101"/>
        <v>0</v>
      </c>
      <c r="BR137" s="387">
        <f t="shared" si="102"/>
        <v>0</v>
      </c>
      <c r="BS137" s="387">
        <f t="shared" si="103"/>
        <v>0</v>
      </c>
      <c r="BT137" s="387">
        <f t="shared" si="104"/>
        <v>0</v>
      </c>
      <c r="BU137" s="387">
        <f t="shared" si="105"/>
        <v>0</v>
      </c>
      <c r="BV137" s="387">
        <f t="shared" si="106"/>
        <v>0</v>
      </c>
      <c r="BW137" s="387">
        <f t="shared" si="107"/>
        <v>0</v>
      </c>
      <c r="BX137" s="387">
        <f t="shared" si="122"/>
        <v>0</v>
      </c>
      <c r="BY137" s="387">
        <f t="shared" si="123"/>
        <v>0</v>
      </c>
      <c r="BZ137" s="387">
        <f t="shared" si="124"/>
        <v>0</v>
      </c>
      <c r="CA137" s="387">
        <f t="shared" si="125"/>
        <v>0</v>
      </c>
      <c r="CB137" s="387">
        <f t="shared" si="126"/>
        <v>0</v>
      </c>
      <c r="CC137" s="387">
        <f t="shared" si="108"/>
        <v>0</v>
      </c>
      <c r="CD137" s="387">
        <f t="shared" si="109"/>
        <v>0</v>
      </c>
      <c r="CE137" s="387">
        <f t="shared" si="110"/>
        <v>0</v>
      </c>
      <c r="CF137" s="387">
        <f t="shared" si="111"/>
        <v>0</v>
      </c>
      <c r="CG137" s="387">
        <f t="shared" si="112"/>
        <v>0</v>
      </c>
      <c r="CH137" s="387">
        <f t="shared" si="113"/>
        <v>0</v>
      </c>
      <c r="CI137" s="387">
        <f t="shared" si="114"/>
        <v>0</v>
      </c>
      <c r="CJ137" s="387">
        <f t="shared" si="127"/>
        <v>0</v>
      </c>
      <c r="CK137" s="387" t="str">
        <f t="shared" si="128"/>
        <v/>
      </c>
      <c r="CL137" s="387" t="str">
        <f t="shared" si="129"/>
        <v/>
      </c>
      <c r="CM137" s="387" t="str">
        <f t="shared" si="130"/>
        <v/>
      </c>
      <c r="CN137" s="387" t="str">
        <f t="shared" si="131"/>
        <v>0303-00</v>
      </c>
    </row>
    <row r="138" spans="1:92" ht="15.75" thickBot="1" x14ac:dyDescent="0.3">
      <c r="A138" s="376" t="s">
        <v>161</v>
      </c>
      <c r="B138" s="376" t="s">
        <v>162</v>
      </c>
      <c r="C138" s="376" t="s">
        <v>212</v>
      </c>
      <c r="D138" s="376" t="s">
        <v>213</v>
      </c>
      <c r="E138" s="376" t="s">
        <v>214</v>
      </c>
      <c r="F138" s="377" t="s">
        <v>166</v>
      </c>
      <c r="G138" s="376" t="s">
        <v>732</v>
      </c>
      <c r="H138" s="378"/>
      <c r="I138" s="378"/>
      <c r="J138" s="376" t="s">
        <v>215</v>
      </c>
      <c r="K138" s="376" t="s">
        <v>216</v>
      </c>
      <c r="L138" s="376" t="s">
        <v>217</v>
      </c>
      <c r="M138" s="376" t="s">
        <v>171</v>
      </c>
      <c r="N138" s="376" t="s">
        <v>172</v>
      </c>
      <c r="O138" s="379">
        <v>1</v>
      </c>
      <c r="P138" s="385">
        <v>0</v>
      </c>
      <c r="Q138" s="385">
        <v>0</v>
      </c>
      <c r="R138" s="380">
        <v>80</v>
      </c>
      <c r="S138" s="385">
        <v>0</v>
      </c>
      <c r="T138" s="380">
        <v>23074.400000000001</v>
      </c>
      <c r="U138" s="380">
        <v>0</v>
      </c>
      <c r="V138" s="380">
        <v>12057.62</v>
      </c>
      <c r="W138" s="380">
        <v>0</v>
      </c>
      <c r="X138" s="380">
        <v>0</v>
      </c>
      <c r="Y138" s="380">
        <v>0</v>
      </c>
      <c r="Z138" s="380">
        <v>0</v>
      </c>
      <c r="AA138" s="376" t="s">
        <v>218</v>
      </c>
      <c r="AB138" s="376" t="s">
        <v>219</v>
      </c>
      <c r="AC138" s="376" t="s">
        <v>220</v>
      </c>
      <c r="AD138" s="376" t="s">
        <v>181</v>
      </c>
      <c r="AE138" s="376" t="s">
        <v>216</v>
      </c>
      <c r="AF138" s="376" t="s">
        <v>221</v>
      </c>
      <c r="AG138" s="376" t="s">
        <v>178</v>
      </c>
      <c r="AH138" s="381">
        <v>18.45</v>
      </c>
      <c r="AI138" s="381">
        <v>9585.2000000000007</v>
      </c>
      <c r="AJ138" s="376" t="s">
        <v>179</v>
      </c>
      <c r="AK138" s="376" t="s">
        <v>180</v>
      </c>
      <c r="AL138" s="376" t="s">
        <v>181</v>
      </c>
      <c r="AM138" s="376" t="s">
        <v>182</v>
      </c>
      <c r="AN138" s="376" t="s">
        <v>68</v>
      </c>
      <c r="AO138" s="379">
        <v>80</v>
      </c>
      <c r="AP138" s="385">
        <v>1</v>
      </c>
      <c r="AQ138" s="385">
        <v>0</v>
      </c>
      <c r="AR138" s="383" t="s">
        <v>183</v>
      </c>
      <c r="AS138" s="387">
        <f t="shared" si="115"/>
        <v>0</v>
      </c>
      <c r="AT138">
        <f t="shared" si="116"/>
        <v>0</v>
      </c>
      <c r="AU138" s="387" t="str">
        <f>IF(AT138=0,"",IF(AND(AT138=1,M138="F",SUMIF(C2:C1334,C138,AS2:AS1334)&lt;=1),SUMIF(C2:C1334,C138,AS2:AS1334),IF(AND(AT138=1,M138="F",SUMIF(C2:C1334,C138,AS2:AS1334)&gt;1),1,"")))</f>
        <v/>
      </c>
      <c r="AV138" s="387" t="str">
        <f>IF(AT138=0,"",IF(AND(AT138=3,M138="F",SUMIF(C2:C1334,C138,AS2:AS1334)&lt;=1),SUMIF(C2:C1334,C138,AS2:AS1334),IF(AND(AT138=3,M138="F",SUMIF(C2:C1334,C138,AS2:AS1334)&gt;1),1,"")))</f>
        <v/>
      </c>
      <c r="AW138" s="387">
        <f>SUMIF(C2:C1334,C138,O2:O1334)</f>
        <v>3</v>
      </c>
      <c r="AX138" s="387">
        <f>IF(AND(M138="F",AS138&lt;&gt;0),SUMIF(C2:C1334,C138,W2:W1334),0)</f>
        <v>0</v>
      </c>
      <c r="AY138" s="387" t="str">
        <f t="shared" si="117"/>
        <v/>
      </c>
      <c r="AZ138" s="387" t="str">
        <f t="shared" si="118"/>
        <v/>
      </c>
      <c r="BA138" s="387">
        <f t="shared" si="119"/>
        <v>0</v>
      </c>
      <c r="BB138" s="387">
        <f t="shared" si="88"/>
        <v>0</v>
      </c>
      <c r="BC138" s="387">
        <f t="shared" si="89"/>
        <v>0</v>
      </c>
      <c r="BD138" s="387">
        <f t="shared" si="90"/>
        <v>0</v>
      </c>
      <c r="BE138" s="387">
        <f t="shared" si="91"/>
        <v>0</v>
      </c>
      <c r="BF138" s="387">
        <f t="shared" si="92"/>
        <v>0</v>
      </c>
      <c r="BG138" s="387">
        <f t="shared" si="93"/>
        <v>0</v>
      </c>
      <c r="BH138" s="387">
        <f t="shared" si="94"/>
        <v>0</v>
      </c>
      <c r="BI138" s="387">
        <f t="shared" si="95"/>
        <v>0</v>
      </c>
      <c r="BJ138" s="387">
        <f t="shared" si="96"/>
        <v>0</v>
      </c>
      <c r="BK138" s="387">
        <f t="shared" si="97"/>
        <v>0</v>
      </c>
      <c r="BL138" s="387">
        <f t="shared" si="120"/>
        <v>0</v>
      </c>
      <c r="BM138" s="387">
        <f t="shared" si="121"/>
        <v>0</v>
      </c>
      <c r="BN138" s="387">
        <f t="shared" si="98"/>
        <v>0</v>
      </c>
      <c r="BO138" s="387">
        <f t="shared" si="99"/>
        <v>0</v>
      </c>
      <c r="BP138" s="387">
        <f t="shared" si="100"/>
        <v>0</v>
      </c>
      <c r="BQ138" s="387">
        <f t="shared" si="101"/>
        <v>0</v>
      </c>
      <c r="BR138" s="387">
        <f t="shared" si="102"/>
        <v>0</v>
      </c>
      <c r="BS138" s="387">
        <f t="shared" si="103"/>
        <v>0</v>
      </c>
      <c r="BT138" s="387">
        <f t="shared" si="104"/>
        <v>0</v>
      </c>
      <c r="BU138" s="387">
        <f t="shared" si="105"/>
        <v>0</v>
      </c>
      <c r="BV138" s="387">
        <f t="shared" si="106"/>
        <v>0</v>
      </c>
      <c r="BW138" s="387">
        <f t="shared" si="107"/>
        <v>0</v>
      </c>
      <c r="BX138" s="387">
        <f t="shared" si="122"/>
        <v>0</v>
      </c>
      <c r="BY138" s="387">
        <f t="shared" si="123"/>
        <v>0</v>
      </c>
      <c r="BZ138" s="387">
        <f t="shared" si="124"/>
        <v>0</v>
      </c>
      <c r="CA138" s="387">
        <f t="shared" si="125"/>
        <v>0</v>
      </c>
      <c r="CB138" s="387">
        <f t="shared" si="126"/>
        <v>0</v>
      </c>
      <c r="CC138" s="387">
        <f t="shared" si="108"/>
        <v>0</v>
      </c>
      <c r="CD138" s="387">
        <f t="shared" si="109"/>
        <v>0</v>
      </c>
      <c r="CE138" s="387">
        <f t="shared" si="110"/>
        <v>0</v>
      </c>
      <c r="CF138" s="387">
        <f t="shared" si="111"/>
        <v>0</v>
      </c>
      <c r="CG138" s="387">
        <f t="shared" si="112"/>
        <v>0</v>
      </c>
      <c r="CH138" s="387">
        <f t="shared" si="113"/>
        <v>0</v>
      </c>
      <c r="CI138" s="387">
        <f t="shared" si="114"/>
        <v>0</v>
      </c>
      <c r="CJ138" s="387">
        <f t="shared" si="127"/>
        <v>0</v>
      </c>
      <c r="CK138" s="387" t="str">
        <f t="shared" si="128"/>
        <v/>
      </c>
      <c r="CL138" s="387" t="str">
        <f t="shared" si="129"/>
        <v/>
      </c>
      <c r="CM138" s="387" t="str">
        <f t="shared" si="130"/>
        <v/>
      </c>
      <c r="CN138" s="387" t="str">
        <f t="shared" si="131"/>
        <v>0303-00</v>
      </c>
    </row>
    <row r="139" spans="1:92" ht="15.75" thickBot="1" x14ac:dyDescent="0.3">
      <c r="A139" s="376" t="s">
        <v>161</v>
      </c>
      <c r="B139" s="376" t="s">
        <v>162</v>
      </c>
      <c r="C139" s="376" t="s">
        <v>381</v>
      </c>
      <c r="D139" s="376" t="s">
        <v>368</v>
      </c>
      <c r="E139" s="376" t="s">
        <v>214</v>
      </c>
      <c r="F139" s="377" t="s">
        <v>166</v>
      </c>
      <c r="G139" s="376" t="s">
        <v>732</v>
      </c>
      <c r="H139" s="378"/>
      <c r="I139" s="378"/>
      <c r="J139" s="376" t="s">
        <v>239</v>
      </c>
      <c r="K139" s="376" t="s">
        <v>382</v>
      </c>
      <c r="L139" s="376" t="s">
        <v>296</v>
      </c>
      <c r="M139" s="376" t="s">
        <v>171</v>
      </c>
      <c r="N139" s="376" t="s">
        <v>172</v>
      </c>
      <c r="O139" s="379">
        <v>1</v>
      </c>
      <c r="P139" s="385">
        <v>0</v>
      </c>
      <c r="Q139" s="385">
        <v>0</v>
      </c>
      <c r="R139" s="380">
        <v>80</v>
      </c>
      <c r="S139" s="385">
        <v>0</v>
      </c>
      <c r="T139" s="380">
        <v>111.48</v>
      </c>
      <c r="U139" s="380">
        <v>0</v>
      </c>
      <c r="V139" s="380">
        <v>47.31</v>
      </c>
      <c r="W139" s="380">
        <v>0</v>
      </c>
      <c r="X139" s="380">
        <v>0</v>
      </c>
      <c r="Y139" s="380">
        <v>0</v>
      </c>
      <c r="Z139" s="380">
        <v>0</v>
      </c>
      <c r="AA139" s="376" t="s">
        <v>383</v>
      </c>
      <c r="AB139" s="376" t="s">
        <v>384</v>
      </c>
      <c r="AC139" s="376" t="s">
        <v>385</v>
      </c>
      <c r="AD139" s="376" t="s">
        <v>386</v>
      </c>
      <c r="AE139" s="376" t="s">
        <v>382</v>
      </c>
      <c r="AF139" s="376" t="s">
        <v>301</v>
      </c>
      <c r="AG139" s="376" t="s">
        <v>178</v>
      </c>
      <c r="AH139" s="381">
        <v>28.44</v>
      </c>
      <c r="AI139" s="379">
        <v>8925</v>
      </c>
      <c r="AJ139" s="376" t="s">
        <v>179</v>
      </c>
      <c r="AK139" s="376" t="s">
        <v>180</v>
      </c>
      <c r="AL139" s="376" t="s">
        <v>181</v>
      </c>
      <c r="AM139" s="376" t="s">
        <v>182</v>
      </c>
      <c r="AN139" s="376" t="s">
        <v>68</v>
      </c>
      <c r="AO139" s="379">
        <v>80</v>
      </c>
      <c r="AP139" s="385">
        <v>1</v>
      </c>
      <c r="AQ139" s="385">
        <v>0</v>
      </c>
      <c r="AR139" s="383" t="s">
        <v>183</v>
      </c>
      <c r="AS139" s="387">
        <f t="shared" si="115"/>
        <v>0</v>
      </c>
      <c r="AT139">
        <f t="shared" si="116"/>
        <v>0</v>
      </c>
      <c r="AU139" s="387" t="str">
        <f>IF(AT139=0,"",IF(AND(AT139=1,M139="F",SUMIF(C2:C1334,C139,AS2:AS1334)&lt;=1),SUMIF(C2:C1334,C139,AS2:AS1334),IF(AND(AT139=1,M139="F",SUMIF(C2:C1334,C139,AS2:AS1334)&gt;1),1,"")))</f>
        <v/>
      </c>
      <c r="AV139" s="387" t="str">
        <f>IF(AT139=0,"",IF(AND(AT139=3,M139="F",SUMIF(C2:C1334,C139,AS2:AS1334)&lt;=1),SUMIF(C2:C1334,C139,AS2:AS1334),IF(AND(AT139=3,M139="F",SUMIF(C2:C1334,C139,AS2:AS1334)&gt;1),1,"")))</f>
        <v/>
      </c>
      <c r="AW139" s="387">
        <f>SUMIF(C2:C1334,C139,O2:O1334)</f>
        <v>6</v>
      </c>
      <c r="AX139" s="387">
        <f>IF(AND(M139="F",AS139&lt;&gt;0),SUMIF(C2:C1334,C139,W2:W1334),0)</f>
        <v>0</v>
      </c>
      <c r="AY139" s="387" t="str">
        <f t="shared" si="117"/>
        <v/>
      </c>
      <c r="AZ139" s="387" t="str">
        <f t="shared" si="118"/>
        <v/>
      </c>
      <c r="BA139" s="387">
        <f t="shared" si="119"/>
        <v>0</v>
      </c>
      <c r="BB139" s="387">
        <f t="shared" si="88"/>
        <v>0</v>
      </c>
      <c r="BC139" s="387">
        <f t="shared" si="89"/>
        <v>0</v>
      </c>
      <c r="BD139" s="387">
        <f t="shared" si="90"/>
        <v>0</v>
      </c>
      <c r="BE139" s="387">
        <f t="shared" si="91"/>
        <v>0</v>
      </c>
      <c r="BF139" s="387">
        <f t="shared" si="92"/>
        <v>0</v>
      </c>
      <c r="BG139" s="387">
        <f t="shared" si="93"/>
        <v>0</v>
      </c>
      <c r="BH139" s="387">
        <f t="shared" si="94"/>
        <v>0</v>
      </c>
      <c r="BI139" s="387">
        <f t="shared" si="95"/>
        <v>0</v>
      </c>
      <c r="BJ139" s="387">
        <f t="shared" si="96"/>
        <v>0</v>
      </c>
      <c r="BK139" s="387">
        <f t="shared" si="97"/>
        <v>0</v>
      </c>
      <c r="BL139" s="387">
        <f t="shared" si="120"/>
        <v>0</v>
      </c>
      <c r="BM139" s="387">
        <f t="shared" si="121"/>
        <v>0</v>
      </c>
      <c r="BN139" s="387">
        <f t="shared" si="98"/>
        <v>0</v>
      </c>
      <c r="BO139" s="387">
        <f t="shared" si="99"/>
        <v>0</v>
      </c>
      <c r="BP139" s="387">
        <f t="shared" si="100"/>
        <v>0</v>
      </c>
      <c r="BQ139" s="387">
        <f t="shared" si="101"/>
        <v>0</v>
      </c>
      <c r="BR139" s="387">
        <f t="shared" si="102"/>
        <v>0</v>
      </c>
      <c r="BS139" s="387">
        <f t="shared" si="103"/>
        <v>0</v>
      </c>
      <c r="BT139" s="387">
        <f t="shared" si="104"/>
        <v>0</v>
      </c>
      <c r="BU139" s="387">
        <f t="shared" si="105"/>
        <v>0</v>
      </c>
      <c r="BV139" s="387">
        <f t="shared" si="106"/>
        <v>0</v>
      </c>
      <c r="BW139" s="387">
        <f t="shared" si="107"/>
        <v>0</v>
      </c>
      <c r="BX139" s="387">
        <f t="shared" si="122"/>
        <v>0</v>
      </c>
      <c r="BY139" s="387">
        <f t="shared" si="123"/>
        <v>0</v>
      </c>
      <c r="BZ139" s="387">
        <f t="shared" si="124"/>
        <v>0</v>
      </c>
      <c r="CA139" s="387">
        <f t="shared" si="125"/>
        <v>0</v>
      </c>
      <c r="CB139" s="387">
        <f t="shared" si="126"/>
        <v>0</v>
      </c>
      <c r="CC139" s="387">
        <f t="shared" si="108"/>
        <v>0</v>
      </c>
      <c r="CD139" s="387">
        <f t="shared" si="109"/>
        <v>0</v>
      </c>
      <c r="CE139" s="387">
        <f t="shared" si="110"/>
        <v>0</v>
      </c>
      <c r="CF139" s="387">
        <f t="shared" si="111"/>
        <v>0</v>
      </c>
      <c r="CG139" s="387">
        <f t="shared" si="112"/>
        <v>0</v>
      </c>
      <c r="CH139" s="387">
        <f t="shared" si="113"/>
        <v>0</v>
      </c>
      <c r="CI139" s="387">
        <f t="shared" si="114"/>
        <v>0</v>
      </c>
      <c r="CJ139" s="387">
        <f t="shared" si="127"/>
        <v>0</v>
      </c>
      <c r="CK139" s="387" t="str">
        <f t="shared" si="128"/>
        <v/>
      </c>
      <c r="CL139" s="387" t="str">
        <f t="shared" si="129"/>
        <v/>
      </c>
      <c r="CM139" s="387" t="str">
        <f t="shared" si="130"/>
        <v/>
      </c>
      <c r="CN139" s="387" t="str">
        <f t="shared" si="131"/>
        <v>0303-00</v>
      </c>
    </row>
    <row r="140" spans="1:92" ht="15.75" thickBot="1" x14ac:dyDescent="0.3">
      <c r="A140" s="376" t="s">
        <v>161</v>
      </c>
      <c r="B140" s="376" t="s">
        <v>162</v>
      </c>
      <c r="C140" s="376" t="s">
        <v>777</v>
      </c>
      <c r="D140" s="376" t="s">
        <v>778</v>
      </c>
      <c r="E140" s="376" t="s">
        <v>214</v>
      </c>
      <c r="F140" s="377" t="s">
        <v>166</v>
      </c>
      <c r="G140" s="376" t="s">
        <v>732</v>
      </c>
      <c r="H140" s="378"/>
      <c r="I140" s="378"/>
      <c r="J140" s="376" t="s">
        <v>215</v>
      </c>
      <c r="K140" s="376" t="s">
        <v>779</v>
      </c>
      <c r="L140" s="376" t="s">
        <v>166</v>
      </c>
      <c r="M140" s="376" t="s">
        <v>171</v>
      </c>
      <c r="N140" s="376" t="s">
        <v>780</v>
      </c>
      <c r="O140" s="379">
        <v>0</v>
      </c>
      <c r="P140" s="385">
        <v>0</v>
      </c>
      <c r="Q140" s="385">
        <v>0</v>
      </c>
      <c r="R140" s="380">
        <v>0</v>
      </c>
      <c r="S140" s="385">
        <v>0</v>
      </c>
      <c r="T140" s="380">
        <v>2650</v>
      </c>
      <c r="U140" s="380">
        <v>0</v>
      </c>
      <c r="V140" s="380">
        <v>442.87</v>
      </c>
      <c r="W140" s="380">
        <v>0</v>
      </c>
      <c r="X140" s="380">
        <v>0</v>
      </c>
      <c r="Y140" s="380">
        <v>0</v>
      </c>
      <c r="Z140" s="380">
        <v>0</v>
      </c>
      <c r="AA140" s="378"/>
      <c r="AB140" s="376" t="s">
        <v>45</v>
      </c>
      <c r="AC140" s="376" t="s">
        <v>45</v>
      </c>
      <c r="AD140" s="378"/>
      <c r="AE140" s="378"/>
      <c r="AF140" s="378"/>
      <c r="AG140" s="378"/>
      <c r="AH140" s="379">
        <v>0</v>
      </c>
      <c r="AI140" s="379">
        <v>0</v>
      </c>
      <c r="AJ140" s="378"/>
      <c r="AK140" s="378"/>
      <c r="AL140" s="376" t="s">
        <v>181</v>
      </c>
      <c r="AM140" s="378"/>
      <c r="AN140" s="378"/>
      <c r="AO140" s="379">
        <v>0</v>
      </c>
      <c r="AP140" s="385">
        <v>0</v>
      </c>
      <c r="AQ140" s="385">
        <v>0</v>
      </c>
      <c r="AR140" s="384"/>
      <c r="AS140" s="387">
        <f t="shared" si="115"/>
        <v>0</v>
      </c>
      <c r="AT140">
        <f t="shared" si="116"/>
        <v>0</v>
      </c>
      <c r="AU140" s="387" t="str">
        <f>IF(AT140=0,"",IF(AND(AT140=1,M140="F",SUMIF(C2:C1334,C140,AS2:AS1334)&lt;=1),SUMIF(C2:C1334,C140,AS2:AS1334),IF(AND(AT140=1,M140="F",SUMIF(C2:C1334,C140,AS2:AS1334)&gt;1),1,"")))</f>
        <v/>
      </c>
      <c r="AV140" s="387" t="str">
        <f>IF(AT140=0,"",IF(AND(AT140=3,M140="F",SUMIF(C2:C1334,C140,AS2:AS1334)&lt;=1),SUMIF(C2:C1334,C140,AS2:AS1334),IF(AND(AT140=3,M140="F",SUMIF(C2:C1334,C140,AS2:AS1334)&gt;1),1,"")))</f>
        <v/>
      </c>
      <c r="AW140" s="387">
        <f>SUMIF(C2:C1334,C140,O2:O1334)</f>
        <v>0</v>
      </c>
      <c r="AX140" s="387">
        <f>IF(AND(M140="F",AS140&lt;&gt;0),SUMIF(C2:C1334,C140,W2:W1334),0)</f>
        <v>0</v>
      </c>
      <c r="AY140" s="387" t="str">
        <f t="shared" si="117"/>
        <v/>
      </c>
      <c r="AZ140" s="387" t="str">
        <f t="shared" si="118"/>
        <v/>
      </c>
      <c r="BA140" s="387">
        <f t="shared" si="119"/>
        <v>0</v>
      </c>
      <c r="BB140" s="387">
        <f t="shared" si="88"/>
        <v>0</v>
      </c>
      <c r="BC140" s="387">
        <f t="shared" si="89"/>
        <v>0</v>
      </c>
      <c r="BD140" s="387">
        <f t="shared" si="90"/>
        <v>0</v>
      </c>
      <c r="BE140" s="387">
        <f t="shared" si="91"/>
        <v>0</v>
      </c>
      <c r="BF140" s="387">
        <f t="shared" si="92"/>
        <v>0</v>
      </c>
      <c r="BG140" s="387">
        <f t="shared" si="93"/>
        <v>0</v>
      </c>
      <c r="BH140" s="387">
        <f t="shared" si="94"/>
        <v>0</v>
      </c>
      <c r="BI140" s="387">
        <f t="shared" si="95"/>
        <v>0</v>
      </c>
      <c r="BJ140" s="387">
        <f t="shared" si="96"/>
        <v>0</v>
      </c>
      <c r="BK140" s="387">
        <f t="shared" si="97"/>
        <v>0</v>
      </c>
      <c r="BL140" s="387">
        <f t="shared" si="120"/>
        <v>0</v>
      </c>
      <c r="BM140" s="387">
        <f t="shared" si="121"/>
        <v>0</v>
      </c>
      <c r="BN140" s="387">
        <f t="shared" si="98"/>
        <v>0</v>
      </c>
      <c r="BO140" s="387">
        <f t="shared" si="99"/>
        <v>0</v>
      </c>
      <c r="BP140" s="387">
        <f t="shared" si="100"/>
        <v>0</v>
      </c>
      <c r="BQ140" s="387">
        <f t="shared" si="101"/>
        <v>0</v>
      </c>
      <c r="BR140" s="387">
        <f t="shared" si="102"/>
        <v>0</v>
      </c>
      <c r="BS140" s="387">
        <f t="shared" si="103"/>
        <v>0</v>
      </c>
      <c r="BT140" s="387">
        <f t="shared" si="104"/>
        <v>0</v>
      </c>
      <c r="BU140" s="387">
        <f t="shared" si="105"/>
        <v>0</v>
      </c>
      <c r="BV140" s="387">
        <f t="shared" si="106"/>
        <v>0</v>
      </c>
      <c r="BW140" s="387">
        <f t="shared" si="107"/>
        <v>0</v>
      </c>
      <c r="BX140" s="387">
        <f t="shared" si="122"/>
        <v>0</v>
      </c>
      <c r="BY140" s="387">
        <f t="shared" si="123"/>
        <v>0</v>
      </c>
      <c r="BZ140" s="387">
        <f t="shared" si="124"/>
        <v>0</v>
      </c>
      <c r="CA140" s="387">
        <f t="shared" si="125"/>
        <v>0</v>
      </c>
      <c r="CB140" s="387">
        <f t="shared" si="126"/>
        <v>0</v>
      </c>
      <c r="CC140" s="387">
        <f t="shared" si="108"/>
        <v>0</v>
      </c>
      <c r="CD140" s="387">
        <f t="shared" si="109"/>
        <v>0</v>
      </c>
      <c r="CE140" s="387">
        <f t="shared" si="110"/>
        <v>0</v>
      </c>
      <c r="CF140" s="387">
        <f t="shared" si="111"/>
        <v>0</v>
      </c>
      <c r="CG140" s="387">
        <f t="shared" si="112"/>
        <v>0</v>
      </c>
      <c r="CH140" s="387">
        <f t="shared" si="113"/>
        <v>0</v>
      </c>
      <c r="CI140" s="387">
        <f t="shared" si="114"/>
        <v>0</v>
      </c>
      <c r="CJ140" s="387">
        <f t="shared" si="127"/>
        <v>0</v>
      </c>
      <c r="CK140" s="387" t="str">
        <f t="shared" si="128"/>
        <v/>
      </c>
      <c r="CL140" s="387">
        <f t="shared" si="129"/>
        <v>2650</v>
      </c>
      <c r="CM140" s="387">
        <f t="shared" si="130"/>
        <v>442.87</v>
      </c>
      <c r="CN140" s="387" t="str">
        <f t="shared" si="131"/>
        <v>0303-00</v>
      </c>
    </row>
    <row r="141" spans="1:92" ht="15.75" thickBot="1" x14ac:dyDescent="0.3">
      <c r="A141" s="376" t="s">
        <v>161</v>
      </c>
      <c r="B141" s="376" t="s">
        <v>162</v>
      </c>
      <c r="C141" s="376" t="s">
        <v>311</v>
      </c>
      <c r="D141" s="376" t="s">
        <v>312</v>
      </c>
      <c r="E141" s="376" t="s">
        <v>224</v>
      </c>
      <c r="F141" s="382" t="s">
        <v>225</v>
      </c>
      <c r="G141" s="376" t="s">
        <v>732</v>
      </c>
      <c r="H141" s="378"/>
      <c r="I141" s="378"/>
      <c r="J141" s="376" t="s">
        <v>205</v>
      </c>
      <c r="K141" s="376" t="s">
        <v>313</v>
      </c>
      <c r="L141" s="376" t="s">
        <v>166</v>
      </c>
      <c r="M141" s="376" t="s">
        <v>171</v>
      </c>
      <c r="N141" s="376" t="s">
        <v>257</v>
      </c>
      <c r="O141" s="379">
        <v>1</v>
      </c>
      <c r="P141" s="385">
        <v>0</v>
      </c>
      <c r="Q141" s="385">
        <v>0</v>
      </c>
      <c r="R141" s="380">
        <v>80</v>
      </c>
      <c r="S141" s="385">
        <v>0</v>
      </c>
      <c r="T141" s="380">
        <v>-21903.4</v>
      </c>
      <c r="U141" s="380">
        <v>0</v>
      </c>
      <c r="V141" s="380">
        <v>-9632.74</v>
      </c>
      <c r="W141" s="380">
        <v>0</v>
      </c>
      <c r="X141" s="380">
        <v>0</v>
      </c>
      <c r="Y141" s="380">
        <v>0</v>
      </c>
      <c r="Z141" s="380">
        <v>0</v>
      </c>
      <c r="AA141" s="376" t="s">
        <v>314</v>
      </c>
      <c r="AB141" s="376" t="s">
        <v>315</v>
      </c>
      <c r="AC141" s="376" t="s">
        <v>316</v>
      </c>
      <c r="AD141" s="376" t="s">
        <v>317</v>
      </c>
      <c r="AE141" s="376" t="s">
        <v>313</v>
      </c>
      <c r="AF141" s="376" t="s">
        <v>261</v>
      </c>
      <c r="AG141" s="376" t="s">
        <v>178</v>
      </c>
      <c r="AH141" s="381">
        <v>57.67</v>
      </c>
      <c r="AI141" s="381">
        <v>73354.2</v>
      </c>
      <c r="AJ141" s="376" t="s">
        <v>179</v>
      </c>
      <c r="AK141" s="376" t="s">
        <v>180</v>
      </c>
      <c r="AL141" s="376" t="s">
        <v>181</v>
      </c>
      <c r="AM141" s="376" t="s">
        <v>182</v>
      </c>
      <c r="AN141" s="376" t="s">
        <v>68</v>
      </c>
      <c r="AO141" s="379">
        <v>80</v>
      </c>
      <c r="AP141" s="385">
        <v>1</v>
      </c>
      <c r="AQ141" s="385">
        <v>0</v>
      </c>
      <c r="AR141" s="383" t="s">
        <v>183</v>
      </c>
      <c r="AS141" s="387">
        <f t="shared" si="115"/>
        <v>0</v>
      </c>
      <c r="AT141">
        <f t="shared" si="116"/>
        <v>0</v>
      </c>
      <c r="AU141" s="387" t="str">
        <f>IF(AT141=0,"",IF(AND(AT141=1,M141="F",SUMIF(C2:C1334,C141,AS2:AS1334)&lt;=1),SUMIF(C2:C1334,C141,AS2:AS1334),IF(AND(AT141=1,M141="F",SUMIF(C2:C1334,C141,AS2:AS1334)&gt;1),1,"")))</f>
        <v/>
      </c>
      <c r="AV141" s="387" t="str">
        <f>IF(AT141=0,"",IF(AND(AT141=3,M141="F",SUMIF(C2:C1334,C141,AS2:AS1334)&lt;=1),SUMIF(C2:C1334,C141,AS2:AS1334),IF(AND(AT141=3,M141="F",SUMIF(C2:C1334,C141,AS2:AS1334)&gt;1),1,"")))</f>
        <v/>
      </c>
      <c r="AW141" s="387">
        <f>SUMIF(C2:C1334,C141,O2:O1334)</f>
        <v>9</v>
      </c>
      <c r="AX141" s="387">
        <f>IF(AND(M141="F",AS141&lt;&gt;0),SUMIF(C2:C1334,C141,W2:W1334),0)</f>
        <v>0</v>
      </c>
      <c r="AY141" s="387" t="str">
        <f t="shared" si="117"/>
        <v/>
      </c>
      <c r="AZ141" s="387" t="str">
        <f t="shared" si="118"/>
        <v/>
      </c>
      <c r="BA141" s="387">
        <f t="shared" si="119"/>
        <v>0</v>
      </c>
      <c r="BB141" s="387">
        <f t="shared" si="88"/>
        <v>0</v>
      </c>
      <c r="BC141" s="387">
        <f t="shared" si="89"/>
        <v>0</v>
      </c>
      <c r="BD141" s="387">
        <f t="shared" si="90"/>
        <v>0</v>
      </c>
      <c r="BE141" s="387">
        <f t="shared" si="91"/>
        <v>0</v>
      </c>
      <c r="BF141" s="387">
        <f t="shared" si="92"/>
        <v>0</v>
      </c>
      <c r="BG141" s="387">
        <f t="shared" si="93"/>
        <v>0</v>
      </c>
      <c r="BH141" s="387">
        <f t="shared" si="94"/>
        <v>0</v>
      </c>
      <c r="BI141" s="387">
        <f t="shared" si="95"/>
        <v>0</v>
      </c>
      <c r="BJ141" s="387">
        <f t="shared" si="96"/>
        <v>0</v>
      </c>
      <c r="BK141" s="387">
        <f t="shared" si="97"/>
        <v>0</v>
      </c>
      <c r="BL141" s="387">
        <f t="shared" si="120"/>
        <v>0</v>
      </c>
      <c r="BM141" s="387">
        <f t="shared" si="121"/>
        <v>0</v>
      </c>
      <c r="BN141" s="387">
        <f t="shared" si="98"/>
        <v>0</v>
      </c>
      <c r="BO141" s="387">
        <f t="shared" si="99"/>
        <v>0</v>
      </c>
      <c r="BP141" s="387">
        <f t="shared" si="100"/>
        <v>0</v>
      </c>
      <c r="BQ141" s="387">
        <f t="shared" si="101"/>
        <v>0</v>
      </c>
      <c r="BR141" s="387">
        <f t="shared" si="102"/>
        <v>0</v>
      </c>
      <c r="BS141" s="387">
        <f t="shared" si="103"/>
        <v>0</v>
      </c>
      <c r="BT141" s="387">
        <f t="shared" si="104"/>
        <v>0</v>
      </c>
      <c r="BU141" s="387">
        <f t="shared" si="105"/>
        <v>0</v>
      </c>
      <c r="BV141" s="387">
        <f t="shared" si="106"/>
        <v>0</v>
      </c>
      <c r="BW141" s="387">
        <f t="shared" si="107"/>
        <v>0</v>
      </c>
      <c r="BX141" s="387">
        <f t="shared" si="122"/>
        <v>0</v>
      </c>
      <c r="BY141" s="387">
        <f t="shared" si="123"/>
        <v>0</v>
      </c>
      <c r="BZ141" s="387">
        <f t="shared" si="124"/>
        <v>0</v>
      </c>
      <c r="CA141" s="387">
        <f t="shared" si="125"/>
        <v>0</v>
      </c>
      <c r="CB141" s="387">
        <f t="shared" si="126"/>
        <v>0</v>
      </c>
      <c r="CC141" s="387">
        <f t="shared" si="108"/>
        <v>0</v>
      </c>
      <c r="CD141" s="387">
        <f t="shared" si="109"/>
        <v>0</v>
      </c>
      <c r="CE141" s="387">
        <f t="shared" si="110"/>
        <v>0</v>
      </c>
      <c r="CF141" s="387">
        <f t="shared" si="111"/>
        <v>0</v>
      </c>
      <c r="CG141" s="387">
        <f t="shared" si="112"/>
        <v>0</v>
      </c>
      <c r="CH141" s="387">
        <f t="shared" si="113"/>
        <v>0</v>
      </c>
      <c r="CI141" s="387">
        <f t="shared" si="114"/>
        <v>0</v>
      </c>
      <c r="CJ141" s="387">
        <f t="shared" si="127"/>
        <v>0</v>
      </c>
      <c r="CK141" s="387" t="str">
        <f t="shared" si="128"/>
        <v/>
      </c>
      <c r="CL141" s="387" t="str">
        <f t="shared" si="129"/>
        <v/>
      </c>
      <c r="CM141" s="387" t="str">
        <f t="shared" si="130"/>
        <v/>
      </c>
      <c r="CN141" s="387" t="str">
        <f t="shared" si="131"/>
        <v>0348-31</v>
      </c>
    </row>
    <row r="142" spans="1:92" ht="15.75" thickBot="1" x14ac:dyDescent="0.3">
      <c r="A142" s="376" t="s">
        <v>161</v>
      </c>
      <c r="B142" s="376" t="s">
        <v>162</v>
      </c>
      <c r="C142" s="376" t="s">
        <v>733</v>
      </c>
      <c r="D142" s="376" t="s">
        <v>734</v>
      </c>
      <c r="E142" s="376" t="s">
        <v>224</v>
      </c>
      <c r="F142" s="382" t="s">
        <v>225</v>
      </c>
      <c r="G142" s="376" t="s">
        <v>732</v>
      </c>
      <c r="H142" s="378"/>
      <c r="I142" s="378"/>
      <c r="J142" s="376" t="s">
        <v>239</v>
      </c>
      <c r="K142" s="376" t="s">
        <v>735</v>
      </c>
      <c r="L142" s="376" t="s">
        <v>166</v>
      </c>
      <c r="M142" s="376" t="s">
        <v>171</v>
      </c>
      <c r="N142" s="376" t="s">
        <v>257</v>
      </c>
      <c r="O142" s="379">
        <v>1</v>
      </c>
      <c r="P142" s="385">
        <v>0</v>
      </c>
      <c r="Q142" s="385">
        <v>0</v>
      </c>
      <c r="R142" s="380">
        <v>80</v>
      </c>
      <c r="S142" s="385">
        <v>0</v>
      </c>
      <c r="T142" s="380">
        <v>5639.2</v>
      </c>
      <c r="U142" s="380">
        <v>0</v>
      </c>
      <c r="V142" s="380">
        <v>-1813.29</v>
      </c>
      <c r="W142" s="380">
        <v>0</v>
      </c>
      <c r="X142" s="380">
        <v>0</v>
      </c>
      <c r="Y142" s="380">
        <v>0</v>
      </c>
      <c r="Z142" s="380">
        <v>0</v>
      </c>
      <c r="AA142" s="376" t="s">
        <v>736</v>
      </c>
      <c r="AB142" s="376" t="s">
        <v>737</v>
      </c>
      <c r="AC142" s="376" t="s">
        <v>738</v>
      </c>
      <c r="AD142" s="376" t="s">
        <v>252</v>
      </c>
      <c r="AE142" s="376" t="s">
        <v>735</v>
      </c>
      <c r="AF142" s="376" t="s">
        <v>261</v>
      </c>
      <c r="AG142" s="376" t="s">
        <v>178</v>
      </c>
      <c r="AH142" s="381">
        <v>44.16</v>
      </c>
      <c r="AI142" s="381">
        <v>15464.9</v>
      </c>
      <c r="AJ142" s="376" t="s">
        <v>179</v>
      </c>
      <c r="AK142" s="376" t="s">
        <v>180</v>
      </c>
      <c r="AL142" s="376" t="s">
        <v>181</v>
      </c>
      <c r="AM142" s="376" t="s">
        <v>182</v>
      </c>
      <c r="AN142" s="376" t="s">
        <v>68</v>
      </c>
      <c r="AO142" s="379">
        <v>80</v>
      </c>
      <c r="AP142" s="385">
        <v>1</v>
      </c>
      <c r="AQ142" s="385">
        <v>0</v>
      </c>
      <c r="AR142" s="383" t="s">
        <v>183</v>
      </c>
      <c r="AS142" s="387">
        <f t="shared" si="115"/>
        <v>0</v>
      </c>
      <c r="AT142">
        <f t="shared" si="116"/>
        <v>0</v>
      </c>
      <c r="AU142" s="387" t="str">
        <f>IF(AT142=0,"",IF(AND(AT142=1,M142="F",SUMIF(C2:C1334,C142,AS2:AS1334)&lt;=1),SUMIF(C2:C1334,C142,AS2:AS1334),IF(AND(AT142=1,M142="F",SUMIF(C2:C1334,C142,AS2:AS1334)&gt;1),1,"")))</f>
        <v/>
      </c>
      <c r="AV142" s="387" t="str">
        <f>IF(AT142=0,"",IF(AND(AT142=3,M142="F",SUMIF(C2:C1334,C142,AS2:AS1334)&lt;=1),SUMIF(C2:C1334,C142,AS2:AS1334),IF(AND(AT142=3,M142="F",SUMIF(C2:C1334,C142,AS2:AS1334)&gt;1),1,"")))</f>
        <v/>
      </c>
      <c r="AW142" s="387">
        <f>SUMIF(C2:C1334,C142,O2:O1334)</f>
        <v>4</v>
      </c>
      <c r="AX142" s="387">
        <f>IF(AND(M142="F",AS142&lt;&gt;0),SUMIF(C2:C1334,C142,W2:W1334),0)</f>
        <v>0</v>
      </c>
      <c r="AY142" s="387" t="str">
        <f t="shared" si="117"/>
        <v/>
      </c>
      <c r="AZ142" s="387" t="str">
        <f t="shared" si="118"/>
        <v/>
      </c>
      <c r="BA142" s="387">
        <f t="shared" si="119"/>
        <v>0</v>
      </c>
      <c r="BB142" s="387">
        <f t="shared" si="88"/>
        <v>0</v>
      </c>
      <c r="BC142" s="387">
        <f t="shared" si="89"/>
        <v>0</v>
      </c>
      <c r="BD142" s="387">
        <f t="shared" si="90"/>
        <v>0</v>
      </c>
      <c r="BE142" s="387">
        <f t="shared" si="91"/>
        <v>0</v>
      </c>
      <c r="BF142" s="387">
        <f t="shared" si="92"/>
        <v>0</v>
      </c>
      <c r="BG142" s="387">
        <f t="shared" si="93"/>
        <v>0</v>
      </c>
      <c r="BH142" s="387">
        <f t="shared" si="94"/>
        <v>0</v>
      </c>
      <c r="BI142" s="387">
        <f t="shared" si="95"/>
        <v>0</v>
      </c>
      <c r="BJ142" s="387">
        <f t="shared" si="96"/>
        <v>0</v>
      </c>
      <c r="BK142" s="387">
        <f t="shared" si="97"/>
        <v>0</v>
      </c>
      <c r="BL142" s="387">
        <f t="shared" si="120"/>
        <v>0</v>
      </c>
      <c r="BM142" s="387">
        <f t="shared" si="121"/>
        <v>0</v>
      </c>
      <c r="BN142" s="387">
        <f t="shared" si="98"/>
        <v>0</v>
      </c>
      <c r="BO142" s="387">
        <f t="shared" si="99"/>
        <v>0</v>
      </c>
      <c r="BP142" s="387">
        <f t="shared" si="100"/>
        <v>0</v>
      </c>
      <c r="BQ142" s="387">
        <f t="shared" si="101"/>
        <v>0</v>
      </c>
      <c r="BR142" s="387">
        <f t="shared" si="102"/>
        <v>0</v>
      </c>
      <c r="BS142" s="387">
        <f t="shared" si="103"/>
        <v>0</v>
      </c>
      <c r="BT142" s="387">
        <f t="shared" si="104"/>
        <v>0</v>
      </c>
      <c r="BU142" s="387">
        <f t="shared" si="105"/>
        <v>0</v>
      </c>
      <c r="BV142" s="387">
        <f t="shared" si="106"/>
        <v>0</v>
      </c>
      <c r="BW142" s="387">
        <f t="shared" si="107"/>
        <v>0</v>
      </c>
      <c r="BX142" s="387">
        <f t="shared" si="122"/>
        <v>0</v>
      </c>
      <c r="BY142" s="387">
        <f t="shared" si="123"/>
        <v>0</v>
      </c>
      <c r="BZ142" s="387">
        <f t="shared" si="124"/>
        <v>0</v>
      </c>
      <c r="CA142" s="387">
        <f t="shared" si="125"/>
        <v>0</v>
      </c>
      <c r="CB142" s="387">
        <f t="shared" si="126"/>
        <v>0</v>
      </c>
      <c r="CC142" s="387">
        <f t="shared" si="108"/>
        <v>0</v>
      </c>
      <c r="CD142" s="387">
        <f t="shared" si="109"/>
        <v>0</v>
      </c>
      <c r="CE142" s="387">
        <f t="shared" si="110"/>
        <v>0</v>
      </c>
      <c r="CF142" s="387">
        <f t="shared" si="111"/>
        <v>0</v>
      </c>
      <c r="CG142" s="387">
        <f t="shared" si="112"/>
        <v>0</v>
      </c>
      <c r="CH142" s="387">
        <f t="shared" si="113"/>
        <v>0</v>
      </c>
      <c r="CI142" s="387">
        <f t="shared" si="114"/>
        <v>0</v>
      </c>
      <c r="CJ142" s="387">
        <f t="shared" si="127"/>
        <v>0</v>
      </c>
      <c r="CK142" s="387" t="str">
        <f t="shared" si="128"/>
        <v/>
      </c>
      <c r="CL142" s="387" t="str">
        <f t="shared" si="129"/>
        <v/>
      </c>
      <c r="CM142" s="387" t="str">
        <f t="shared" si="130"/>
        <v/>
      </c>
      <c r="CN142" s="387" t="str">
        <f t="shared" si="131"/>
        <v>0348-31</v>
      </c>
    </row>
    <row r="143" spans="1:92" ht="15.75" thickBot="1" x14ac:dyDescent="0.3">
      <c r="A143" s="376" t="s">
        <v>161</v>
      </c>
      <c r="B143" s="376" t="s">
        <v>162</v>
      </c>
      <c r="C143" s="376" t="s">
        <v>739</v>
      </c>
      <c r="D143" s="376" t="s">
        <v>270</v>
      </c>
      <c r="E143" s="376" t="s">
        <v>224</v>
      </c>
      <c r="F143" s="382" t="s">
        <v>225</v>
      </c>
      <c r="G143" s="376" t="s">
        <v>732</v>
      </c>
      <c r="H143" s="378"/>
      <c r="I143" s="378"/>
      <c r="J143" s="376" t="s">
        <v>239</v>
      </c>
      <c r="K143" s="376" t="s">
        <v>271</v>
      </c>
      <c r="L143" s="376" t="s">
        <v>217</v>
      </c>
      <c r="M143" s="376" t="s">
        <v>171</v>
      </c>
      <c r="N143" s="376" t="s">
        <v>172</v>
      </c>
      <c r="O143" s="379">
        <v>1</v>
      </c>
      <c r="P143" s="385">
        <v>0</v>
      </c>
      <c r="Q143" s="385">
        <v>0</v>
      </c>
      <c r="R143" s="380">
        <v>80</v>
      </c>
      <c r="S143" s="385">
        <v>0</v>
      </c>
      <c r="T143" s="380">
        <v>12800</v>
      </c>
      <c r="U143" s="380">
        <v>0</v>
      </c>
      <c r="V143" s="380">
        <v>7011.14</v>
      </c>
      <c r="W143" s="380">
        <v>0</v>
      </c>
      <c r="X143" s="380">
        <v>0</v>
      </c>
      <c r="Y143" s="380">
        <v>0</v>
      </c>
      <c r="Z143" s="380">
        <v>0</v>
      </c>
      <c r="AA143" s="376" t="s">
        <v>740</v>
      </c>
      <c r="AB143" s="376" t="s">
        <v>703</v>
      </c>
      <c r="AC143" s="376" t="s">
        <v>561</v>
      </c>
      <c r="AD143" s="376" t="s">
        <v>741</v>
      </c>
      <c r="AE143" s="376" t="s">
        <v>271</v>
      </c>
      <c r="AF143" s="376" t="s">
        <v>221</v>
      </c>
      <c r="AG143" s="376" t="s">
        <v>178</v>
      </c>
      <c r="AH143" s="381">
        <v>16.760000000000002</v>
      </c>
      <c r="AI143" s="379">
        <v>3752</v>
      </c>
      <c r="AJ143" s="376" t="s">
        <v>179</v>
      </c>
      <c r="AK143" s="376" t="s">
        <v>180</v>
      </c>
      <c r="AL143" s="376" t="s">
        <v>181</v>
      </c>
      <c r="AM143" s="376" t="s">
        <v>182</v>
      </c>
      <c r="AN143" s="376" t="s">
        <v>68</v>
      </c>
      <c r="AO143" s="379">
        <v>80</v>
      </c>
      <c r="AP143" s="385">
        <v>1</v>
      </c>
      <c r="AQ143" s="385">
        <v>0</v>
      </c>
      <c r="AR143" s="383" t="s">
        <v>183</v>
      </c>
      <c r="AS143" s="387">
        <f t="shared" si="115"/>
        <v>0</v>
      </c>
      <c r="AT143">
        <f t="shared" si="116"/>
        <v>0</v>
      </c>
      <c r="AU143" s="387" t="str">
        <f>IF(AT143=0,"",IF(AND(AT143=1,M143="F",SUMIF(C2:C1334,C143,AS2:AS1334)&lt;=1),SUMIF(C2:C1334,C143,AS2:AS1334),IF(AND(AT143=1,M143="F",SUMIF(C2:C1334,C143,AS2:AS1334)&gt;1),1,"")))</f>
        <v/>
      </c>
      <c r="AV143" s="387" t="str">
        <f>IF(AT143=0,"",IF(AND(AT143=3,M143="F",SUMIF(C2:C1334,C143,AS2:AS1334)&lt;=1),SUMIF(C2:C1334,C143,AS2:AS1334),IF(AND(AT143=3,M143="F",SUMIF(C2:C1334,C143,AS2:AS1334)&gt;1),1,"")))</f>
        <v/>
      </c>
      <c r="AW143" s="387">
        <f>SUMIF(C2:C1334,C143,O2:O1334)</f>
        <v>4</v>
      </c>
      <c r="AX143" s="387">
        <f>IF(AND(M143="F",AS143&lt;&gt;0),SUMIF(C2:C1334,C143,W2:W1334),0)</f>
        <v>0</v>
      </c>
      <c r="AY143" s="387" t="str">
        <f t="shared" si="117"/>
        <v/>
      </c>
      <c r="AZ143" s="387" t="str">
        <f t="shared" si="118"/>
        <v/>
      </c>
      <c r="BA143" s="387">
        <f t="shared" si="119"/>
        <v>0</v>
      </c>
      <c r="BB143" s="387">
        <f t="shared" si="88"/>
        <v>0</v>
      </c>
      <c r="BC143" s="387">
        <f t="shared" si="89"/>
        <v>0</v>
      </c>
      <c r="BD143" s="387">
        <f t="shared" si="90"/>
        <v>0</v>
      </c>
      <c r="BE143" s="387">
        <f t="shared" si="91"/>
        <v>0</v>
      </c>
      <c r="BF143" s="387">
        <f t="shared" si="92"/>
        <v>0</v>
      </c>
      <c r="BG143" s="387">
        <f t="shared" si="93"/>
        <v>0</v>
      </c>
      <c r="BH143" s="387">
        <f t="shared" si="94"/>
        <v>0</v>
      </c>
      <c r="BI143" s="387">
        <f t="shared" si="95"/>
        <v>0</v>
      </c>
      <c r="BJ143" s="387">
        <f t="shared" si="96"/>
        <v>0</v>
      </c>
      <c r="BK143" s="387">
        <f t="shared" si="97"/>
        <v>0</v>
      </c>
      <c r="BL143" s="387">
        <f t="shared" si="120"/>
        <v>0</v>
      </c>
      <c r="BM143" s="387">
        <f t="shared" si="121"/>
        <v>0</v>
      </c>
      <c r="BN143" s="387">
        <f t="shared" si="98"/>
        <v>0</v>
      </c>
      <c r="BO143" s="387">
        <f t="shared" si="99"/>
        <v>0</v>
      </c>
      <c r="BP143" s="387">
        <f t="shared" si="100"/>
        <v>0</v>
      </c>
      <c r="BQ143" s="387">
        <f t="shared" si="101"/>
        <v>0</v>
      </c>
      <c r="BR143" s="387">
        <f t="shared" si="102"/>
        <v>0</v>
      </c>
      <c r="BS143" s="387">
        <f t="shared" si="103"/>
        <v>0</v>
      </c>
      <c r="BT143" s="387">
        <f t="shared" si="104"/>
        <v>0</v>
      </c>
      <c r="BU143" s="387">
        <f t="shared" si="105"/>
        <v>0</v>
      </c>
      <c r="BV143" s="387">
        <f t="shared" si="106"/>
        <v>0</v>
      </c>
      <c r="BW143" s="387">
        <f t="shared" si="107"/>
        <v>0</v>
      </c>
      <c r="BX143" s="387">
        <f t="shared" si="122"/>
        <v>0</v>
      </c>
      <c r="BY143" s="387">
        <f t="shared" si="123"/>
        <v>0</v>
      </c>
      <c r="BZ143" s="387">
        <f t="shared" si="124"/>
        <v>0</v>
      </c>
      <c r="CA143" s="387">
        <f t="shared" si="125"/>
        <v>0</v>
      </c>
      <c r="CB143" s="387">
        <f t="shared" si="126"/>
        <v>0</v>
      </c>
      <c r="CC143" s="387">
        <f t="shared" si="108"/>
        <v>0</v>
      </c>
      <c r="CD143" s="387">
        <f t="shared" si="109"/>
        <v>0</v>
      </c>
      <c r="CE143" s="387">
        <f t="shared" si="110"/>
        <v>0</v>
      </c>
      <c r="CF143" s="387">
        <f t="shared" si="111"/>
        <v>0</v>
      </c>
      <c r="CG143" s="387">
        <f t="shared" si="112"/>
        <v>0</v>
      </c>
      <c r="CH143" s="387">
        <f t="shared" si="113"/>
        <v>0</v>
      </c>
      <c r="CI143" s="387">
        <f t="shared" si="114"/>
        <v>0</v>
      </c>
      <c r="CJ143" s="387">
        <f t="shared" si="127"/>
        <v>0</v>
      </c>
      <c r="CK143" s="387" t="str">
        <f t="shared" si="128"/>
        <v/>
      </c>
      <c r="CL143" s="387" t="str">
        <f t="shared" si="129"/>
        <v/>
      </c>
      <c r="CM143" s="387" t="str">
        <f t="shared" si="130"/>
        <v/>
      </c>
      <c r="CN143" s="387" t="str">
        <f t="shared" si="131"/>
        <v>0348-31</v>
      </c>
    </row>
    <row r="144" spans="1:92" ht="15.75" thickBot="1" x14ac:dyDescent="0.3">
      <c r="A144" s="376" t="s">
        <v>161</v>
      </c>
      <c r="B144" s="376" t="s">
        <v>162</v>
      </c>
      <c r="C144" s="376" t="s">
        <v>742</v>
      </c>
      <c r="D144" s="376" t="s">
        <v>743</v>
      </c>
      <c r="E144" s="376" t="s">
        <v>224</v>
      </c>
      <c r="F144" s="382" t="s">
        <v>225</v>
      </c>
      <c r="G144" s="376" t="s">
        <v>732</v>
      </c>
      <c r="H144" s="378"/>
      <c r="I144" s="378"/>
      <c r="J144" s="376" t="s">
        <v>239</v>
      </c>
      <c r="K144" s="376" t="s">
        <v>744</v>
      </c>
      <c r="L144" s="376" t="s">
        <v>296</v>
      </c>
      <c r="M144" s="376" t="s">
        <v>171</v>
      </c>
      <c r="N144" s="376" t="s">
        <v>172</v>
      </c>
      <c r="O144" s="379">
        <v>1</v>
      </c>
      <c r="P144" s="385">
        <v>0</v>
      </c>
      <c r="Q144" s="385">
        <v>0</v>
      </c>
      <c r="R144" s="380">
        <v>80</v>
      </c>
      <c r="S144" s="385">
        <v>0</v>
      </c>
      <c r="T144" s="380">
        <v>20451.61</v>
      </c>
      <c r="U144" s="380">
        <v>0</v>
      </c>
      <c r="V144" s="380">
        <v>8331.9599999999991</v>
      </c>
      <c r="W144" s="380">
        <v>0</v>
      </c>
      <c r="X144" s="380">
        <v>0</v>
      </c>
      <c r="Y144" s="380">
        <v>0</v>
      </c>
      <c r="Z144" s="380">
        <v>0</v>
      </c>
      <c r="AA144" s="376" t="s">
        <v>745</v>
      </c>
      <c r="AB144" s="376" t="s">
        <v>746</v>
      </c>
      <c r="AC144" s="376" t="s">
        <v>747</v>
      </c>
      <c r="AD144" s="376" t="s">
        <v>748</v>
      </c>
      <c r="AE144" s="376" t="s">
        <v>744</v>
      </c>
      <c r="AF144" s="376" t="s">
        <v>301</v>
      </c>
      <c r="AG144" s="376" t="s">
        <v>178</v>
      </c>
      <c r="AH144" s="381">
        <v>28.05</v>
      </c>
      <c r="AI144" s="381">
        <v>7809.2</v>
      </c>
      <c r="AJ144" s="376" t="s">
        <v>179</v>
      </c>
      <c r="AK144" s="376" t="s">
        <v>180</v>
      </c>
      <c r="AL144" s="376" t="s">
        <v>181</v>
      </c>
      <c r="AM144" s="376" t="s">
        <v>182</v>
      </c>
      <c r="AN144" s="376" t="s">
        <v>68</v>
      </c>
      <c r="AO144" s="379">
        <v>80</v>
      </c>
      <c r="AP144" s="385">
        <v>1</v>
      </c>
      <c r="AQ144" s="385">
        <v>0</v>
      </c>
      <c r="AR144" s="383" t="s">
        <v>183</v>
      </c>
      <c r="AS144" s="387">
        <f t="shared" si="115"/>
        <v>0</v>
      </c>
      <c r="AT144">
        <f t="shared" si="116"/>
        <v>0</v>
      </c>
      <c r="AU144" s="387" t="str">
        <f>IF(AT144=0,"",IF(AND(AT144=1,M144="F",SUMIF(C2:C1334,C144,AS2:AS1334)&lt;=1),SUMIF(C2:C1334,C144,AS2:AS1334),IF(AND(AT144=1,M144="F",SUMIF(C2:C1334,C144,AS2:AS1334)&gt;1),1,"")))</f>
        <v/>
      </c>
      <c r="AV144" s="387" t="str">
        <f>IF(AT144=0,"",IF(AND(AT144=3,M144="F",SUMIF(C2:C1334,C144,AS2:AS1334)&lt;=1),SUMIF(C2:C1334,C144,AS2:AS1334),IF(AND(AT144=3,M144="F",SUMIF(C2:C1334,C144,AS2:AS1334)&gt;1),1,"")))</f>
        <v/>
      </c>
      <c r="AW144" s="387">
        <f>SUMIF(C2:C1334,C144,O2:O1334)</f>
        <v>4</v>
      </c>
      <c r="AX144" s="387">
        <f>IF(AND(M144="F",AS144&lt;&gt;0),SUMIF(C2:C1334,C144,W2:W1334),0)</f>
        <v>0</v>
      </c>
      <c r="AY144" s="387" t="str">
        <f t="shared" si="117"/>
        <v/>
      </c>
      <c r="AZ144" s="387" t="str">
        <f t="shared" si="118"/>
        <v/>
      </c>
      <c r="BA144" s="387">
        <f t="shared" si="119"/>
        <v>0</v>
      </c>
      <c r="BB144" s="387">
        <f t="shared" si="88"/>
        <v>0</v>
      </c>
      <c r="BC144" s="387">
        <f t="shared" si="89"/>
        <v>0</v>
      </c>
      <c r="BD144" s="387">
        <f t="shared" si="90"/>
        <v>0</v>
      </c>
      <c r="BE144" s="387">
        <f t="shared" si="91"/>
        <v>0</v>
      </c>
      <c r="BF144" s="387">
        <f t="shared" si="92"/>
        <v>0</v>
      </c>
      <c r="BG144" s="387">
        <f t="shared" si="93"/>
        <v>0</v>
      </c>
      <c r="BH144" s="387">
        <f t="shared" si="94"/>
        <v>0</v>
      </c>
      <c r="BI144" s="387">
        <f t="shared" si="95"/>
        <v>0</v>
      </c>
      <c r="BJ144" s="387">
        <f t="shared" si="96"/>
        <v>0</v>
      </c>
      <c r="BK144" s="387">
        <f t="shared" si="97"/>
        <v>0</v>
      </c>
      <c r="BL144" s="387">
        <f t="shared" si="120"/>
        <v>0</v>
      </c>
      <c r="BM144" s="387">
        <f t="shared" si="121"/>
        <v>0</v>
      </c>
      <c r="BN144" s="387">
        <f t="shared" si="98"/>
        <v>0</v>
      </c>
      <c r="BO144" s="387">
        <f t="shared" si="99"/>
        <v>0</v>
      </c>
      <c r="BP144" s="387">
        <f t="shared" si="100"/>
        <v>0</v>
      </c>
      <c r="BQ144" s="387">
        <f t="shared" si="101"/>
        <v>0</v>
      </c>
      <c r="BR144" s="387">
        <f t="shared" si="102"/>
        <v>0</v>
      </c>
      <c r="BS144" s="387">
        <f t="shared" si="103"/>
        <v>0</v>
      </c>
      <c r="BT144" s="387">
        <f t="shared" si="104"/>
        <v>0</v>
      </c>
      <c r="BU144" s="387">
        <f t="shared" si="105"/>
        <v>0</v>
      </c>
      <c r="BV144" s="387">
        <f t="shared" si="106"/>
        <v>0</v>
      </c>
      <c r="BW144" s="387">
        <f t="shared" si="107"/>
        <v>0</v>
      </c>
      <c r="BX144" s="387">
        <f t="shared" si="122"/>
        <v>0</v>
      </c>
      <c r="BY144" s="387">
        <f t="shared" si="123"/>
        <v>0</v>
      </c>
      <c r="BZ144" s="387">
        <f t="shared" si="124"/>
        <v>0</v>
      </c>
      <c r="CA144" s="387">
        <f t="shared" si="125"/>
        <v>0</v>
      </c>
      <c r="CB144" s="387">
        <f t="shared" si="126"/>
        <v>0</v>
      </c>
      <c r="CC144" s="387">
        <f t="shared" si="108"/>
        <v>0</v>
      </c>
      <c r="CD144" s="387">
        <f t="shared" si="109"/>
        <v>0</v>
      </c>
      <c r="CE144" s="387">
        <f t="shared" si="110"/>
        <v>0</v>
      </c>
      <c r="CF144" s="387">
        <f t="shared" si="111"/>
        <v>0</v>
      </c>
      <c r="CG144" s="387">
        <f t="shared" si="112"/>
        <v>0</v>
      </c>
      <c r="CH144" s="387">
        <f t="shared" si="113"/>
        <v>0</v>
      </c>
      <c r="CI144" s="387">
        <f t="shared" si="114"/>
        <v>0</v>
      </c>
      <c r="CJ144" s="387">
        <f t="shared" si="127"/>
        <v>0</v>
      </c>
      <c r="CK144" s="387" t="str">
        <f t="shared" si="128"/>
        <v/>
      </c>
      <c r="CL144" s="387" t="str">
        <f t="shared" si="129"/>
        <v/>
      </c>
      <c r="CM144" s="387" t="str">
        <f t="shared" si="130"/>
        <v/>
      </c>
      <c r="CN144" s="387" t="str">
        <f t="shared" si="131"/>
        <v>0348-31</v>
      </c>
    </row>
    <row r="145" spans="1:92" ht="15.75" thickBot="1" x14ac:dyDescent="0.3">
      <c r="A145" s="376" t="s">
        <v>161</v>
      </c>
      <c r="B145" s="376" t="s">
        <v>162</v>
      </c>
      <c r="C145" s="376" t="s">
        <v>749</v>
      </c>
      <c r="D145" s="376" t="s">
        <v>743</v>
      </c>
      <c r="E145" s="376" t="s">
        <v>224</v>
      </c>
      <c r="F145" s="382" t="s">
        <v>225</v>
      </c>
      <c r="G145" s="376" t="s">
        <v>732</v>
      </c>
      <c r="H145" s="378"/>
      <c r="I145" s="378"/>
      <c r="J145" s="376" t="s">
        <v>239</v>
      </c>
      <c r="K145" s="376" t="s">
        <v>744</v>
      </c>
      <c r="L145" s="376" t="s">
        <v>296</v>
      </c>
      <c r="M145" s="376" t="s">
        <v>171</v>
      </c>
      <c r="N145" s="376" t="s">
        <v>172</v>
      </c>
      <c r="O145" s="379">
        <v>1</v>
      </c>
      <c r="P145" s="385">
        <v>0</v>
      </c>
      <c r="Q145" s="385">
        <v>0</v>
      </c>
      <c r="R145" s="380">
        <v>80</v>
      </c>
      <c r="S145" s="385">
        <v>0</v>
      </c>
      <c r="T145" s="380">
        <v>15000</v>
      </c>
      <c r="U145" s="380">
        <v>0</v>
      </c>
      <c r="V145" s="380">
        <v>7020.18</v>
      </c>
      <c r="W145" s="380">
        <v>0</v>
      </c>
      <c r="X145" s="380">
        <v>0</v>
      </c>
      <c r="Y145" s="380">
        <v>0</v>
      </c>
      <c r="Z145" s="380">
        <v>0</v>
      </c>
      <c r="AA145" s="376" t="s">
        <v>750</v>
      </c>
      <c r="AB145" s="376" t="s">
        <v>751</v>
      </c>
      <c r="AC145" s="376" t="s">
        <v>752</v>
      </c>
      <c r="AD145" s="376" t="s">
        <v>587</v>
      </c>
      <c r="AE145" s="376" t="s">
        <v>744</v>
      </c>
      <c r="AF145" s="376" t="s">
        <v>301</v>
      </c>
      <c r="AG145" s="376" t="s">
        <v>178</v>
      </c>
      <c r="AH145" s="381">
        <v>26.25</v>
      </c>
      <c r="AI145" s="379">
        <v>1800</v>
      </c>
      <c r="AJ145" s="376" t="s">
        <v>179</v>
      </c>
      <c r="AK145" s="376" t="s">
        <v>180</v>
      </c>
      <c r="AL145" s="376" t="s">
        <v>181</v>
      </c>
      <c r="AM145" s="376" t="s">
        <v>182</v>
      </c>
      <c r="AN145" s="376" t="s">
        <v>68</v>
      </c>
      <c r="AO145" s="379">
        <v>80</v>
      </c>
      <c r="AP145" s="385">
        <v>1</v>
      </c>
      <c r="AQ145" s="385">
        <v>0</v>
      </c>
      <c r="AR145" s="383" t="s">
        <v>183</v>
      </c>
      <c r="AS145" s="387">
        <f t="shared" si="115"/>
        <v>0</v>
      </c>
      <c r="AT145">
        <f t="shared" si="116"/>
        <v>0</v>
      </c>
      <c r="AU145" s="387" t="str">
        <f>IF(AT145=0,"",IF(AND(AT145=1,M145="F",SUMIF(C2:C1334,C145,AS2:AS1334)&lt;=1),SUMIF(C2:C1334,C145,AS2:AS1334),IF(AND(AT145=1,M145="F",SUMIF(C2:C1334,C145,AS2:AS1334)&gt;1),1,"")))</f>
        <v/>
      </c>
      <c r="AV145" s="387" t="str">
        <f>IF(AT145=0,"",IF(AND(AT145=3,M145="F",SUMIF(C2:C1334,C145,AS2:AS1334)&lt;=1),SUMIF(C2:C1334,C145,AS2:AS1334),IF(AND(AT145=3,M145="F",SUMIF(C2:C1334,C145,AS2:AS1334)&gt;1),1,"")))</f>
        <v/>
      </c>
      <c r="AW145" s="387">
        <f>SUMIF(C2:C1334,C145,O2:O1334)</f>
        <v>4</v>
      </c>
      <c r="AX145" s="387">
        <f>IF(AND(M145="F",AS145&lt;&gt;0),SUMIF(C2:C1334,C145,W2:W1334),0)</f>
        <v>0</v>
      </c>
      <c r="AY145" s="387" t="str">
        <f t="shared" si="117"/>
        <v/>
      </c>
      <c r="AZ145" s="387" t="str">
        <f t="shared" si="118"/>
        <v/>
      </c>
      <c r="BA145" s="387">
        <f t="shared" si="119"/>
        <v>0</v>
      </c>
      <c r="BB145" s="387">
        <f t="shared" si="88"/>
        <v>0</v>
      </c>
      <c r="BC145" s="387">
        <f t="shared" si="89"/>
        <v>0</v>
      </c>
      <c r="BD145" s="387">
        <f t="shared" si="90"/>
        <v>0</v>
      </c>
      <c r="BE145" s="387">
        <f t="shared" si="91"/>
        <v>0</v>
      </c>
      <c r="BF145" s="387">
        <f t="shared" si="92"/>
        <v>0</v>
      </c>
      <c r="BG145" s="387">
        <f t="shared" si="93"/>
        <v>0</v>
      </c>
      <c r="BH145" s="387">
        <f t="shared" si="94"/>
        <v>0</v>
      </c>
      <c r="BI145" s="387">
        <f t="shared" si="95"/>
        <v>0</v>
      </c>
      <c r="BJ145" s="387">
        <f t="shared" si="96"/>
        <v>0</v>
      </c>
      <c r="BK145" s="387">
        <f t="shared" si="97"/>
        <v>0</v>
      </c>
      <c r="BL145" s="387">
        <f t="shared" si="120"/>
        <v>0</v>
      </c>
      <c r="BM145" s="387">
        <f t="shared" si="121"/>
        <v>0</v>
      </c>
      <c r="BN145" s="387">
        <f t="shared" si="98"/>
        <v>0</v>
      </c>
      <c r="BO145" s="387">
        <f t="shared" si="99"/>
        <v>0</v>
      </c>
      <c r="BP145" s="387">
        <f t="shared" si="100"/>
        <v>0</v>
      </c>
      <c r="BQ145" s="387">
        <f t="shared" si="101"/>
        <v>0</v>
      </c>
      <c r="BR145" s="387">
        <f t="shared" si="102"/>
        <v>0</v>
      </c>
      <c r="BS145" s="387">
        <f t="shared" si="103"/>
        <v>0</v>
      </c>
      <c r="BT145" s="387">
        <f t="shared" si="104"/>
        <v>0</v>
      </c>
      <c r="BU145" s="387">
        <f t="shared" si="105"/>
        <v>0</v>
      </c>
      <c r="BV145" s="387">
        <f t="shared" si="106"/>
        <v>0</v>
      </c>
      <c r="BW145" s="387">
        <f t="shared" si="107"/>
        <v>0</v>
      </c>
      <c r="BX145" s="387">
        <f t="shared" si="122"/>
        <v>0</v>
      </c>
      <c r="BY145" s="387">
        <f t="shared" si="123"/>
        <v>0</v>
      </c>
      <c r="BZ145" s="387">
        <f t="shared" si="124"/>
        <v>0</v>
      </c>
      <c r="CA145" s="387">
        <f t="shared" si="125"/>
        <v>0</v>
      </c>
      <c r="CB145" s="387">
        <f t="shared" si="126"/>
        <v>0</v>
      </c>
      <c r="CC145" s="387">
        <f t="shared" si="108"/>
        <v>0</v>
      </c>
      <c r="CD145" s="387">
        <f t="shared" si="109"/>
        <v>0</v>
      </c>
      <c r="CE145" s="387">
        <f t="shared" si="110"/>
        <v>0</v>
      </c>
      <c r="CF145" s="387">
        <f t="shared" si="111"/>
        <v>0</v>
      </c>
      <c r="CG145" s="387">
        <f t="shared" si="112"/>
        <v>0</v>
      </c>
      <c r="CH145" s="387">
        <f t="shared" si="113"/>
        <v>0</v>
      </c>
      <c r="CI145" s="387">
        <f t="shared" si="114"/>
        <v>0</v>
      </c>
      <c r="CJ145" s="387">
        <f t="shared" si="127"/>
        <v>0</v>
      </c>
      <c r="CK145" s="387" t="str">
        <f t="shared" si="128"/>
        <v/>
      </c>
      <c r="CL145" s="387" t="str">
        <f t="shared" si="129"/>
        <v/>
      </c>
      <c r="CM145" s="387" t="str">
        <f t="shared" si="130"/>
        <v/>
      </c>
      <c r="CN145" s="387" t="str">
        <f t="shared" si="131"/>
        <v>0348-31</v>
      </c>
    </row>
    <row r="146" spans="1:92" ht="15.75" thickBot="1" x14ac:dyDescent="0.3">
      <c r="A146" s="376" t="s">
        <v>161</v>
      </c>
      <c r="B146" s="376" t="s">
        <v>162</v>
      </c>
      <c r="C146" s="376" t="s">
        <v>753</v>
      </c>
      <c r="D146" s="376" t="s">
        <v>743</v>
      </c>
      <c r="E146" s="376" t="s">
        <v>224</v>
      </c>
      <c r="F146" s="382" t="s">
        <v>225</v>
      </c>
      <c r="G146" s="376" t="s">
        <v>732</v>
      </c>
      <c r="H146" s="378"/>
      <c r="I146" s="378"/>
      <c r="J146" s="376" t="s">
        <v>239</v>
      </c>
      <c r="K146" s="376" t="s">
        <v>744</v>
      </c>
      <c r="L146" s="376" t="s">
        <v>296</v>
      </c>
      <c r="M146" s="376" t="s">
        <v>171</v>
      </c>
      <c r="N146" s="376" t="s">
        <v>172</v>
      </c>
      <c r="O146" s="379">
        <v>1</v>
      </c>
      <c r="P146" s="385">
        <v>0</v>
      </c>
      <c r="Q146" s="385">
        <v>0</v>
      </c>
      <c r="R146" s="380">
        <v>80</v>
      </c>
      <c r="S146" s="385">
        <v>0</v>
      </c>
      <c r="T146" s="380">
        <v>20720</v>
      </c>
      <c r="U146" s="380">
        <v>0</v>
      </c>
      <c r="V146" s="380">
        <v>8653.74</v>
      </c>
      <c r="W146" s="380">
        <v>0</v>
      </c>
      <c r="X146" s="380">
        <v>0</v>
      </c>
      <c r="Y146" s="380">
        <v>0</v>
      </c>
      <c r="Z146" s="380">
        <v>0</v>
      </c>
      <c r="AA146" s="376" t="s">
        <v>754</v>
      </c>
      <c r="AB146" s="376" t="s">
        <v>755</v>
      </c>
      <c r="AC146" s="376" t="s">
        <v>756</v>
      </c>
      <c r="AD146" s="376" t="s">
        <v>757</v>
      </c>
      <c r="AE146" s="376" t="s">
        <v>744</v>
      </c>
      <c r="AF146" s="376" t="s">
        <v>301</v>
      </c>
      <c r="AG146" s="376" t="s">
        <v>178</v>
      </c>
      <c r="AH146" s="379">
        <v>27</v>
      </c>
      <c r="AI146" s="379">
        <v>8197</v>
      </c>
      <c r="AJ146" s="376" t="s">
        <v>179</v>
      </c>
      <c r="AK146" s="376" t="s">
        <v>180</v>
      </c>
      <c r="AL146" s="376" t="s">
        <v>181</v>
      </c>
      <c r="AM146" s="376" t="s">
        <v>182</v>
      </c>
      <c r="AN146" s="376" t="s">
        <v>68</v>
      </c>
      <c r="AO146" s="379">
        <v>80</v>
      </c>
      <c r="AP146" s="385">
        <v>1</v>
      </c>
      <c r="AQ146" s="385">
        <v>0</v>
      </c>
      <c r="AR146" s="383" t="s">
        <v>183</v>
      </c>
      <c r="AS146" s="387">
        <f t="shared" si="115"/>
        <v>0</v>
      </c>
      <c r="AT146">
        <f t="shared" si="116"/>
        <v>0</v>
      </c>
      <c r="AU146" s="387" t="str">
        <f>IF(AT146=0,"",IF(AND(AT146=1,M146="F",SUMIF(C2:C1334,C146,AS2:AS1334)&lt;=1),SUMIF(C2:C1334,C146,AS2:AS1334),IF(AND(AT146=1,M146="F",SUMIF(C2:C1334,C146,AS2:AS1334)&gt;1),1,"")))</f>
        <v/>
      </c>
      <c r="AV146" s="387" t="str">
        <f>IF(AT146=0,"",IF(AND(AT146=3,M146="F",SUMIF(C2:C1334,C146,AS2:AS1334)&lt;=1),SUMIF(C2:C1334,C146,AS2:AS1334),IF(AND(AT146=3,M146="F",SUMIF(C2:C1334,C146,AS2:AS1334)&gt;1),1,"")))</f>
        <v/>
      </c>
      <c r="AW146" s="387">
        <f>SUMIF(C2:C1334,C146,O2:O1334)</f>
        <v>4</v>
      </c>
      <c r="AX146" s="387">
        <f>IF(AND(M146="F",AS146&lt;&gt;0),SUMIF(C2:C1334,C146,W2:W1334),0)</f>
        <v>0</v>
      </c>
      <c r="AY146" s="387" t="str">
        <f t="shared" si="117"/>
        <v/>
      </c>
      <c r="AZ146" s="387" t="str">
        <f t="shared" si="118"/>
        <v/>
      </c>
      <c r="BA146" s="387">
        <f t="shared" si="119"/>
        <v>0</v>
      </c>
      <c r="BB146" s="387">
        <f t="shared" si="88"/>
        <v>0</v>
      </c>
      <c r="BC146" s="387">
        <f t="shared" si="89"/>
        <v>0</v>
      </c>
      <c r="BD146" s="387">
        <f t="shared" si="90"/>
        <v>0</v>
      </c>
      <c r="BE146" s="387">
        <f t="shared" si="91"/>
        <v>0</v>
      </c>
      <c r="BF146" s="387">
        <f t="shared" si="92"/>
        <v>0</v>
      </c>
      <c r="BG146" s="387">
        <f t="shared" si="93"/>
        <v>0</v>
      </c>
      <c r="BH146" s="387">
        <f t="shared" si="94"/>
        <v>0</v>
      </c>
      <c r="BI146" s="387">
        <f t="shared" si="95"/>
        <v>0</v>
      </c>
      <c r="BJ146" s="387">
        <f t="shared" si="96"/>
        <v>0</v>
      </c>
      <c r="BK146" s="387">
        <f t="shared" si="97"/>
        <v>0</v>
      </c>
      <c r="BL146" s="387">
        <f t="shared" si="120"/>
        <v>0</v>
      </c>
      <c r="BM146" s="387">
        <f t="shared" si="121"/>
        <v>0</v>
      </c>
      <c r="BN146" s="387">
        <f t="shared" si="98"/>
        <v>0</v>
      </c>
      <c r="BO146" s="387">
        <f t="shared" si="99"/>
        <v>0</v>
      </c>
      <c r="BP146" s="387">
        <f t="shared" si="100"/>
        <v>0</v>
      </c>
      <c r="BQ146" s="387">
        <f t="shared" si="101"/>
        <v>0</v>
      </c>
      <c r="BR146" s="387">
        <f t="shared" si="102"/>
        <v>0</v>
      </c>
      <c r="BS146" s="387">
        <f t="shared" si="103"/>
        <v>0</v>
      </c>
      <c r="BT146" s="387">
        <f t="shared" si="104"/>
        <v>0</v>
      </c>
      <c r="BU146" s="387">
        <f t="shared" si="105"/>
        <v>0</v>
      </c>
      <c r="BV146" s="387">
        <f t="shared" si="106"/>
        <v>0</v>
      </c>
      <c r="BW146" s="387">
        <f t="shared" si="107"/>
        <v>0</v>
      </c>
      <c r="BX146" s="387">
        <f t="shared" si="122"/>
        <v>0</v>
      </c>
      <c r="BY146" s="387">
        <f t="shared" si="123"/>
        <v>0</v>
      </c>
      <c r="BZ146" s="387">
        <f t="shared" si="124"/>
        <v>0</v>
      </c>
      <c r="CA146" s="387">
        <f t="shared" si="125"/>
        <v>0</v>
      </c>
      <c r="CB146" s="387">
        <f t="shared" si="126"/>
        <v>0</v>
      </c>
      <c r="CC146" s="387">
        <f t="shared" si="108"/>
        <v>0</v>
      </c>
      <c r="CD146" s="387">
        <f t="shared" si="109"/>
        <v>0</v>
      </c>
      <c r="CE146" s="387">
        <f t="shared" si="110"/>
        <v>0</v>
      </c>
      <c r="CF146" s="387">
        <f t="shared" si="111"/>
        <v>0</v>
      </c>
      <c r="CG146" s="387">
        <f t="shared" si="112"/>
        <v>0</v>
      </c>
      <c r="CH146" s="387">
        <f t="shared" si="113"/>
        <v>0</v>
      </c>
      <c r="CI146" s="387">
        <f t="shared" si="114"/>
        <v>0</v>
      </c>
      <c r="CJ146" s="387">
        <f t="shared" si="127"/>
        <v>0</v>
      </c>
      <c r="CK146" s="387" t="str">
        <f t="shared" si="128"/>
        <v/>
      </c>
      <c r="CL146" s="387" t="str">
        <f t="shared" si="129"/>
        <v/>
      </c>
      <c r="CM146" s="387" t="str">
        <f t="shared" si="130"/>
        <v/>
      </c>
      <c r="CN146" s="387" t="str">
        <f t="shared" si="131"/>
        <v>0348-31</v>
      </c>
    </row>
    <row r="147" spans="1:92" ht="15.75" thickBot="1" x14ac:dyDescent="0.3">
      <c r="A147" s="376" t="s">
        <v>161</v>
      </c>
      <c r="B147" s="376" t="s">
        <v>162</v>
      </c>
      <c r="C147" s="376" t="s">
        <v>758</v>
      </c>
      <c r="D147" s="376" t="s">
        <v>743</v>
      </c>
      <c r="E147" s="376" t="s">
        <v>224</v>
      </c>
      <c r="F147" s="382" t="s">
        <v>225</v>
      </c>
      <c r="G147" s="376" t="s">
        <v>732</v>
      </c>
      <c r="H147" s="378"/>
      <c r="I147" s="378"/>
      <c r="J147" s="376" t="s">
        <v>239</v>
      </c>
      <c r="K147" s="376" t="s">
        <v>744</v>
      </c>
      <c r="L147" s="376" t="s">
        <v>296</v>
      </c>
      <c r="M147" s="376" t="s">
        <v>171</v>
      </c>
      <c r="N147" s="376" t="s">
        <v>172</v>
      </c>
      <c r="O147" s="379">
        <v>1</v>
      </c>
      <c r="P147" s="385">
        <v>0</v>
      </c>
      <c r="Q147" s="385">
        <v>0</v>
      </c>
      <c r="R147" s="380">
        <v>80</v>
      </c>
      <c r="S147" s="385">
        <v>0</v>
      </c>
      <c r="T147" s="380">
        <v>19280</v>
      </c>
      <c r="U147" s="380">
        <v>0</v>
      </c>
      <c r="V147" s="380">
        <v>8306.93</v>
      </c>
      <c r="W147" s="380">
        <v>0</v>
      </c>
      <c r="X147" s="380">
        <v>0</v>
      </c>
      <c r="Y147" s="380">
        <v>0</v>
      </c>
      <c r="Z147" s="380">
        <v>0</v>
      </c>
      <c r="AA147" s="376" t="s">
        <v>759</v>
      </c>
      <c r="AB147" s="376" t="s">
        <v>760</v>
      </c>
      <c r="AC147" s="376" t="s">
        <v>577</v>
      </c>
      <c r="AD147" s="376" t="s">
        <v>761</v>
      </c>
      <c r="AE147" s="376" t="s">
        <v>744</v>
      </c>
      <c r="AF147" s="376" t="s">
        <v>301</v>
      </c>
      <c r="AG147" s="376" t="s">
        <v>178</v>
      </c>
      <c r="AH147" s="381">
        <v>25.18</v>
      </c>
      <c r="AI147" s="381">
        <v>8001.6</v>
      </c>
      <c r="AJ147" s="376" t="s">
        <v>179</v>
      </c>
      <c r="AK147" s="376" t="s">
        <v>180</v>
      </c>
      <c r="AL147" s="376" t="s">
        <v>181</v>
      </c>
      <c r="AM147" s="376" t="s">
        <v>182</v>
      </c>
      <c r="AN147" s="376" t="s">
        <v>68</v>
      </c>
      <c r="AO147" s="379">
        <v>80</v>
      </c>
      <c r="AP147" s="385">
        <v>1</v>
      </c>
      <c r="AQ147" s="385">
        <v>0</v>
      </c>
      <c r="AR147" s="383" t="s">
        <v>183</v>
      </c>
      <c r="AS147" s="387">
        <f t="shared" si="115"/>
        <v>0</v>
      </c>
      <c r="AT147">
        <f t="shared" si="116"/>
        <v>0</v>
      </c>
      <c r="AU147" s="387" t="str">
        <f>IF(AT147=0,"",IF(AND(AT147=1,M147="F",SUMIF(C2:C1334,C147,AS2:AS1334)&lt;=1),SUMIF(C2:C1334,C147,AS2:AS1334),IF(AND(AT147=1,M147="F",SUMIF(C2:C1334,C147,AS2:AS1334)&gt;1),1,"")))</f>
        <v/>
      </c>
      <c r="AV147" s="387" t="str">
        <f>IF(AT147=0,"",IF(AND(AT147=3,M147="F",SUMIF(C2:C1334,C147,AS2:AS1334)&lt;=1),SUMIF(C2:C1334,C147,AS2:AS1334),IF(AND(AT147=3,M147="F",SUMIF(C2:C1334,C147,AS2:AS1334)&gt;1),1,"")))</f>
        <v/>
      </c>
      <c r="AW147" s="387">
        <f>SUMIF(C2:C1334,C147,O2:O1334)</f>
        <v>4</v>
      </c>
      <c r="AX147" s="387">
        <f>IF(AND(M147="F",AS147&lt;&gt;0),SUMIF(C2:C1334,C147,W2:W1334),0)</f>
        <v>0</v>
      </c>
      <c r="AY147" s="387" t="str">
        <f t="shared" si="117"/>
        <v/>
      </c>
      <c r="AZ147" s="387" t="str">
        <f t="shared" si="118"/>
        <v/>
      </c>
      <c r="BA147" s="387">
        <f t="shared" si="119"/>
        <v>0</v>
      </c>
      <c r="BB147" s="387">
        <f t="shared" si="88"/>
        <v>0</v>
      </c>
      <c r="BC147" s="387">
        <f t="shared" si="89"/>
        <v>0</v>
      </c>
      <c r="BD147" s="387">
        <f t="shared" si="90"/>
        <v>0</v>
      </c>
      <c r="BE147" s="387">
        <f t="shared" si="91"/>
        <v>0</v>
      </c>
      <c r="BF147" s="387">
        <f t="shared" si="92"/>
        <v>0</v>
      </c>
      <c r="BG147" s="387">
        <f t="shared" si="93"/>
        <v>0</v>
      </c>
      <c r="BH147" s="387">
        <f t="shared" si="94"/>
        <v>0</v>
      </c>
      <c r="BI147" s="387">
        <f t="shared" si="95"/>
        <v>0</v>
      </c>
      <c r="BJ147" s="387">
        <f t="shared" si="96"/>
        <v>0</v>
      </c>
      <c r="BK147" s="387">
        <f t="shared" si="97"/>
        <v>0</v>
      </c>
      <c r="BL147" s="387">
        <f t="shared" si="120"/>
        <v>0</v>
      </c>
      <c r="BM147" s="387">
        <f t="shared" si="121"/>
        <v>0</v>
      </c>
      <c r="BN147" s="387">
        <f t="shared" si="98"/>
        <v>0</v>
      </c>
      <c r="BO147" s="387">
        <f t="shared" si="99"/>
        <v>0</v>
      </c>
      <c r="BP147" s="387">
        <f t="shared" si="100"/>
        <v>0</v>
      </c>
      <c r="BQ147" s="387">
        <f t="shared" si="101"/>
        <v>0</v>
      </c>
      <c r="BR147" s="387">
        <f t="shared" si="102"/>
        <v>0</v>
      </c>
      <c r="BS147" s="387">
        <f t="shared" si="103"/>
        <v>0</v>
      </c>
      <c r="BT147" s="387">
        <f t="shared" si="104"/>
        <v>0</v>
      </c>
      <c r="BU147" s="387">
        <f t="shared" si="105"/>
        <v>0</v>
      </c>
      <c r="BV147" s="387">
        <f t="shared" si="106"/>
        <v>0</v>
      </c>
      <c r="BW147" s="387">
        <f t="shared" si="107"/>
        <v>0</v>
      </c>
      <c r="BX147" s="387">
        <f t="shared" si="122"/>
        <v>0</v>
      </c>
      <c r="BY147" s="387">
        <f t="shared" si="123"/>
        <v>0</v>
      </c>
      <c r="BZ147" s="387">
        <f t="shared" si="124"/>
        <v>0</v>
      </c>
      <c r="CA147" s="387">
        <f t="shared" si="125"/>
        <v>0</v>
      </c>
      <c r="CB147" s="387">
        <f t="shared" si="126"/>
        <v>0</v>
      </c>
      <c r="CC147" s="387">
        <f t="shared" si="108"/>
        <v>0</v>
      </c>
      <c r="CD147" s="387">
        <f t="shared" si="109"/>
        <v>0</v>
      </c>
      <c r="CE147" s="387">
        <f t="shared" si="110"/>
        <v>0</v>
      </c>
      <c r="CF147" s="387">
        <f t="shared" si="111"/>
        <v>0</v>
      </c>
      <c r="CG147" s="387">
        <f t="shared" si="112"/>
        <v>0</v>
      </c>
      <c r="CH147" s="387">
        <f t="shared" si="113"/>
        <v>0</v>
      </c>
      <c r="CI147" s="387">
        <f t="shared" si="114"/>
        <v>0</v>
      </c>
      <c r="CJ147" s="387">
        <f t="shared" si="127"/>
        <v>0</v>
      </c>
      <c r="CK147" s="387" t="str">
        <f t="shared" si="128"/>
        <v/>
      </c>
      <c r="CL147" s="387" t="str">
        <f t="shared" si="129"/>
        <v/>
      </c>
      <c r="CM147" s="387" t="str">
        <f t="shared" si="130"/>
        <v/>
      </c>
      <c r="CN147" s="387" t="str">
        <f t="shared" si="131"/>
        <v>0348-31</v>
      </c>
    </row>
    <row r="148" spans="1:92" ht="15.75" thickBot="1" x14ac:dyDescent="0.3">
      <c r="A148" s="376" t="s">
        <v>161</v>
      </c>
      <c r="B148" s="376" t="s">
        <v>162</v>
      </c>
      <c r="C148" s="376" t="s">
        <v>762</v>
      </c>
      <c r="D148" s="376" t="s">
        <v>743</v>
      </c>
      <c r="E148" s="376" t="s">
        <v>224</v>
      </c>
      <c r="F148" s="382" t="s">
        <v>225</v>
      </c>
      <c r="G148" s="376" t="s">
        <v>732</v>
      </c>
      <c r="H148" s="378"/>
      <c r="I148" s="378"/>
      <c r="J148" s="376" t="s">
        <v>215</v>
      </c>
      <c r="K148" s="376" t="s">
        <v>744</v>
      </c>
      <c r="L148" s="376" t="s">
        <v>296</v>
      </c>
      <c r="M148" s="376" t="s">
        <v>171</v>
      </c>
      <c r="N148" s="376" t="s">
        <v>172</v>
      </c>
      <c r="O148" s="379">
        <v>1</v>
      </c>
      <c r="P148" s="385">
        <v>0</v>
      </c>
      <c r="Q148" s="385">
        <v>0</v>
      </c>
      <c r="R148" s="380">
        <v>80</v>
      </c>
      <c r="S148" s="385">
        <v>0</v>
      </c>
      <c r="T148" s="380">
        <v>20656</v>
      </c>
      <c r="U148" s="380">
        <v>0</v>
      </c>
      <c r="V148" s="380">
        <v>8695.16</v>
      </c>
      <c r="W148" s="380">
        <v>0</v>
      </c>
      <c r="X148" s="380">
        <v>0</v>
      </c>
      <c r="Y148" s="380">
        <v>0</v>
      </c>
      <c r="Z148" s="380">
        <v>0</v>
      </c>
      <c r="AA148" s="376" t="s">
        <v>763</v>
      </c>
      <c r="AB148" s="376" t="s">
        <v>764</v>
      </c>
      <c r="AC148" s="376" t="s">
        <v>765</v>
      </c>
      <c r="AD148" s="376" t="s">
        <v>458</v>
      </c>
      <c r="AE148" s="376" t="s">
        <v>744</v>
      </c>
      <c r="AF148" s="376" t="s">
        <v>301</v>
      </c>
      <c r="AG148" s="376" t="s">
        <v>178</v>
      </c>
      <c r="AH148" s="379">
        <v>24</v>
      </c>
      <c r="AI148" s="379">
        <v>320</v>
      </c>
      <c r="AJ148" s="376" t="s">
        <v>179</v>
      </c>
      <c r="AK148" s="376" t="s">
        <v>180</v>
      </c>
      <c r="AL148" s="376" t="s">
        <v>181</v>
      </c>
      <c r="AM148" s="376" t="s">
        <v>182</v>
      </c>
      <c r="AN148" s="376" t="s">
        <v>68</v>
      </c>
      <c r="AO148" s="379">
        <v>80</v>
      </c>
      <c r="AP148" s="385">
        <v>1</v>
      </c>
      <c r="AQ148" s="385">
        <v>0</v>
      </c>
      <c r="AR148" s="383" t="s">
        <v>183</v>
      </c>
      <c r="AS148" s="387">
        <f t="shared" si="115"/>
        <v>0</v>
      </c>
      <c r="AT148">
        <f t="shared" si="116"/>
        <v>0</v>
      </c>
      <c r="AU148" s="387" t="str">
        <f>IF(AT148=0,"",IF(AND(AT148=1,M148="F",SUMIF(C2:C1334,C148,AS2:AS1334)&lt;=1),SUMIF(C2:C1334,C148,AS2:AS1334),IF(AND(AT148=1,M148="F",SUMIF(C2:C1334,C148,AS2:AS1334)&gt;1),1,"")))</f>
        <v/>
      </c>
      <c r="AV148" s="387" t="str">
        <f>IF(AT148=0,"",IF(AND(AT148=3,M148="F",SUMIF(C2:C1334,C148,AS2:AS1334)&lt;=1),SUMIF(C2:C1334,C148,AS2:AS1334),IF(AND(AT148=3,M148="F",SUMIF(C2:C1334,C148,AS2:AS1334)&gt;1),1,"")))</f>
        <v/>
      </c>
      <c r="AW148" s="387">
        <f>SUMIF(C2:C1334,C148,O2:O1334)</f>
        <v>3</v>
      </c>
      <c r="AX148" s="387">
        <f>IF(AND(M148="F",AS148&lt;&gt;0),SUMIF(C2:C1334,C148,W2:W1334),0)</f>
        <v>0</v>
      </c>
      <c r="AY148" s="387" t="str">
        <f t="shared" si="117"/>
        <v/>
      </c>
      <c r="AZ148" s="387" t="str">
        <f t="shared" si="118"/>
        <v/>
      </c>
      <c r="BA148" s="387">
        <f t="shared" si="119"/>
        <v>0</v>
      </c>
      <c r="BB148" s="387">
        <f t="shared" si="88"/>
        <v>0</v>
      </c>
      <c r="BC148" s="387">
        <f t="shared" si="89"/>
        <v>0</v>
      </c>
      <c r="BD148" s="387">
        <f t="shared" si="90"/>
        <v>0</v>
      </c>
      <c r="BE148" s="387">
        <f t="shared" si="91"/>
        <v>0</v>
      </c>
      <c r="BF148" s="387">
        <f t="shared" si="92"/>
        <v>0</v>
      </c>
      <c r="BG148" s="387">
        <f t="shared" si="93"/>
        <v>0</v>
      </c>
      <c r="BH148" s="387">
        <f t="shared" si="94"/>
        <v>0</v>
      </c>
      <c r="BI148" s="387">
        <f t="shared" si="95"/>
        <v>0</v>
      </c>
      <c r="BJ148" s="387">
        <f t="shared" si="96"/>
        <v>0</v>
      </c>
      <c r="BK148" s="387">
        <f t="shared" si="97"/>
        <v>0</v>
      </c>
      <c r="BL148" s="387">
        <f t="shared" si="120"/>
        <v>0</v>
      </c>
      <c r="BM148" s="387">
        <f t="shared" si="121"/>
        <v>0</v>
      </c>
      <c r="BN148" s="387">
        <f t="shared" si="98"/>
        <v>0</v>
      </c>
      <c r="BO148" s="387">
        <f t="shared" si="99"/>
        <v>0</v>
      </c>
      <c r="BP148" s="387">
        <f t="shared" si="100"/>
        <v>0</v>
      </c>
      <c r="BQ148" s="387">
        <f t="shared" si="101"/>
        <v>0</v>
      </c>
      <c r="BR148" s="387">
        <f t="shared" si="102"/>
        <v>0</v>
      </c>
      <c r="BS148" s="387">
        <f t="shared" si="103"/>
        <v>0</v>
      </c>
      <c r="BT148" s="387">
        <f t="shared" si="104"/>
        <v>0</v>
      </c>
      <c r="BU148" s="387">
        <f t="shared" si="105"/>
        <v>0</v>
      </c>
      <c r="BV148" s="387">
        <f t="shared" si="106"/>
        <v>0</v>
      </c>
      <c r="BW148" s="387">
        <f t="shared" si="107"/>
        <v>0</v>
      </c>
      <c r="BX148" s="387">
        <f t="shared" si="122"/>
        <v>0</v>
      </c>
      <c r="BY148" s="387">
        <f t="shared" si="123"/>
        <v>0</v>
      </c>
      <c r="BZ148" s="387">
        <f t="shared" si="124"/>
        <v>0</v>
      </c>
      <c r="CA148" s="387">
        <f t="shared" si="125"/>
        <v>0</v>
      </c>
      <c r="CB148" s="387">
        <f t="shared" si="126"/>
        <v>0</v>
      </c>
      <c r="CC148" s="387">
        <f t="shared" si="108"/>
        <v>0</v>
      </c>
      <c r="CD148" s="387">
        <f t="shared" si="109"/>
        <v>0</v>
      </c>
      <c r="CE148" s="387">
        <f t="shared" si="110"/>
        <v>0</v>
      </c>
      <c r="CF148" s="387">
        <f t="shared" si="111"/>
        <v>0</v>
      </c>
      <c r="CG148" s="387">
        <f t="shared" si="112"/>
        <v>0</v>
      </c>
      <c r="CH148" s="387">
        <f t="shared" si="113"/>
        <v>0</v>
      </c>
      <c r="CI148" s="387">
        <f t="shared" si="114"/>
        <v>0</v>
      </c>
      <c r="CJ148" s="387">
        <f t="shared" si="127"/>
        <v>0</v>
      </c>
      <c r="CK148" s="387" t="str">
        <f t="shared" si="128"/>
        <v/>
      </c>
      <c r="CL148" s="387" t="str">
        <f t="shared" si="129"/>
        <v/>
      </c>
      <c r="CM148" s="387" t="str">
        <f t="shared" si="130"/>
        <v/>
      </c>
      <c r="CN148" s="387" t="str">
        <f t="shared" si="131"/>
        <v>0348-31</v>
      </c>
    </row>
    <row r="149" spans="1:92" ht="15.75" thickBot="1" x14ac:dyDescent="0.3">
      <c r="A149" s="376" t="s">
        <v>161</v>
      </c>
      <c r="B149" s="376" t="s">
        <v>162</v>
      </c>
      <c r="C149" s="376" t="s">
        <v>766</v>
      </c>
      <c r="D149" s="376" t="s">
        <v>767</v>
      </c>
      <c r="E149" s="376" t="s">
        <v>224</v>
      </c>
      <c r="F149" s="382" t="s">
        <v>225</v>
      </c>
      <c r="G149" s="376" t="s">
        <v>732</v>
      </c>
      <c r="H149" s="378"/>
      <c r="I149" s="378"/>
      <c r="J149" s="376" t="s">
        <v>239</v>
      </c>
      <c r="K149" s="376" t="s">
        <v>768</v>
      </c>
      <c r="L149" s="376" t="s">
        <v>170</v>
      </c>
      <c r="M149" s="376" t="s">
        <v>171</v>
      </c>
      <c r="N149" s="376" t="s">
        <v>172</v>
      </c>
      <c r="O149" s="379">
        <v>1</v>
      </c>
      <c r="P149" s="385">
        <v>0</v>
      </c>
      <c r="Q149" s="385">
        <v>0</v>
      </c>
      <c r="R149" s="380">
        <v>80</v>
      </c>
      <c r="S149" s="385">
        <v>0</v>
      </c>
      <c r="T149" s="380">
        <v>22432</v>
      </c>
      <c r="U149" s="380">
        <v>0</v>
      </c>
      <c r="V149" s="380">
        <v>9017.34</v>
      </c>
      <c r="W149" s="380">
        <v>0</v>
      </c>
      <c r="X149" s="380">
        <v>0</v>
      </c>
      <c r="Y149" s="380">
        <v>0</v>
      </c>
      <c r="Z149" s="380">
        <v>0</v>
      </c>
      <c r="AA149" s="376" t="s">
        <v>769</v>
      </c>
      <c r="AB149" s="376" t="s">
        <v>770</v>
      </c>
      <c r="AC149" s="376" t="s">
        <v>771</v>
      </c>
      <c r="AD149" s="376" t="s">
        <v>268</v>
      </c>
      <c r="AE149" s="376" t="s">
        <v>768</v>
      </c>
      <c r="AF149" s="376" t="s">
        <v>177</v>
      </c>
      <c r="AG149" s="376" t="s">
        <v>178</v>
      </c>
      <c r="AH149" s="381">
        <v>29.3</v>
      </c>
      <c r="AI149" s="381">
        <v>40249.1</v>
      </c>
      <c r="AJ149" s="376" t="s">
        <v>179</v>
      </c>
      <c r="AK149" s="376" t="s">
        <v>180</v>
      </c>
      <c r="AL149" s="376" t="s">
        <v>181</v>
      </c>
      <c r="AM149" s="376" t="s">
        <v>182</v>
      </c>
      <c r="AN149" s="376" t="s">
        <v>68</v>
      </c>
      <c r="AO149" s="379">
        <v>80</v>
      </c>
      <c r="AP149" s="385">
        <v>1</v>
      </c>
      <c r="AQ149" s="385">
        <v>0</v>
      </c>
      <c r="AR149" s="383" t="s">
        <v>183</v>
      </c>
      <c r="AS149" s="387">
        <f t="shared" si="115"/>
        <v>0</v>
      </c>
      <c r="AT149">
        <f t="shared" si="116"/>
        <v>0</v>
      </c>
      <c r="AU149" s="387" t="str">
        <f>IF(AT149=0,"",IF(AND(AT149=1,M149="F",SUMIF(C2:C1334,C149,AS2:AS1334)&lt;=1),SUMIF(C2:C1334,C149,AS2:AS1334),IF(AND(AT149=1,M149="F",SUMIF(C2:C1334,C149,AS2:AS1334)&gt;1),1,"")))</f>
        <v/>
      </c>
      <c r="AV149" s="387" t="str">
        <f>IF(AT149=0,"",IF(AND(AT149=3,M149="F",SUMIF(C2:C1334,C149,AS2:AS1334)&lt;=1),SUMIF(C2:C1334,C149,AS2:AS1334),IF(AND(AT149=3,M149="F",SUMIF(C2:C1334,C149,AS2:AS1334)&gt;1),1,"")))</f>
        <v/>
      </c>
      <c r="AW149" s="387">
        <f>SUMIF(C2:C1334,C149,O2:O1334)</f>
        <v>4</v>
      </c>
      <c r="AX149" s="387">
        <f>IF(AND(M149="F",AS149&lt;&gt;0),SUMIF(C2:C1334,C149,W2:W1334),0)</f>
        <v>0</v>
      </c>
      <c r="AY149" s="387" t="str">
        <f t="shared" si="117"/>
        <v/>
      </c>
      <c r="AZ149" s="387" t="str">
        <f t="shared" si="118"/>
        <v/>
      </c>
      <c r="BA149" s="387">
        <f t="shared" si="119"/>
        <v>0</v>
      </c>
      <c r="BB149" s="387">
        <f t="shared" si="88"/>
        <v>0</v>
      </c>
      <c r="BC149" s="387">
        <f t="shared" si="89"/>
        <v>0</v>
      </c>
      <c r="BD149" s="387">
        <f t="shared" si="90"/>
        <v>0</v>
      </c>
      <c r="BE149" s="387">
        <f t="shared" si="91"/>
        <v>0</v>
      </c>
      <c r="BF149" s="387">
        <f t="shared" si="92"/>
        <v>0</v>
      </c>
      <c r="BG149" s="387">
        <f t="shared" si="93"/>
        <v>0</v>
      </c>
      <c r="BH149" s="387">
        <f t="shared" si="94"/>
        <v>0</v>
      </c>
      <c r="BI149" s="387">
        <f t="shared" si="95"/>
        <v>0</v>
      </c>
      <c r="BJ149" s="387">
        <f t="shared" si="96"/>
        <v>0</v>
      </c>
      <c r="BK149" s="387">
        <f t="shared" si="97"/>
        <v>0</v>
      </c>
      <c r="BL149" s="387">
        <f t="shared" si="120"/>
        <v>0</v>
      </c>
      <c r="BM149" s="387">
        <f t="shared" si="121"/>
        <v>0</v>
      </c>
      <c r="BN149" s="387">
        <f t="shared" si="98"/>
        <v>0</v>
      </c>
      <c r="BO149" s="387">
        <f t="shared" si="99"/>
        <v>0</v>
      </c>
      <c r="BP149" s="387">
        <f t="shared" si="100"/>
        <v>0</v>
      </c>
      <c r="BQ149" s="387">
        <f t="shared" si="101"/>
        <v>0</v>
      </c>
      <c r="BR149" s="387">
        <f t="shared" si="102"/>
        <v>0</v>
      </c>
      <c r="BS149" s="387">
        <f t="shared" si="103"/>
        <v>0</v>
      </c>
      <c r="BT149" s="387">
        <f t="shared" si="104"/>
        <v>0</v>
      </c>
      <c r="BU149" s="387">
        <f t="shared" si="105"/>
        <v>0</v>
      </c>
      <c r="BV149" s="387">
        <f t="shared" si="106"/>
        <v>0</v>
      </c>
      <c r="BW149" s="387">
        <f t="shared" si="107"/>
        <v>0</v>
      </c>
      <c r="BX149" s="387">
        <f t="shared" si="122"/>
        <v>0</v>
      </c>
      <c r="BY149" s="387">
        <f t="shared" si="123"/>
        <v>0</v>
      </c>
      <c r="BZ149" s="387">
        <f t="shared" si="124"/>
        <v>0</v>
      </c>
      <c r="CA149" s="387">
        <f t="shared" si="125"/>
        <v>0</v>
      </c>
      <c r="CB149" s="387">
        <f t="shared" si="126"/>
        <v>0</v>
      </c>
      <c r="CC149" s="387">
        <f t="shared" si="108"/>
        <v>0</v>
      </c>
      <c r="CD149" s="387">
        <f t="shared" si="109"/>
        <v>0</v>
      </c>
      <c r="CE149" s="387">
        <f t="shared" si="110"/>
        <v>0</v>
      </c>
      <c r="CF149" s="387">
        <f t="shared" si="111"/>
        <v>0</v>
      </c>
      <c r="CG149" s="387">
        <f t="shared" si="112"/>
        <v>0</v>
      </c>
      <c r="CH149" s="387">
        <f t="shared" si="113"/>
        <v>0</v>
      </c>
      <c r="CI149" s="387">
        <f t="shared" si="114"/>
        <v>0</v>
      </c>
      <c r="CJ149" s="387">
        <f t="shared" si="127"/>
        <v>0</v>
      </c>
      <c r="CK149" s="387" t="str">
        <f t="shared" si="128"/>
        <v/>
      </c>
      <c r="CL149" s="387" t="str">
        <f t="shared" si="129"/>
        <v/>
      </c>
      <c r="CM149" s="387" t="str">
        <f t="shared" si="130"/>
        <v/>
      </c>
      <c r="CN149" s="387" t="str">
        <f t="shared" si="131"/>
        <v>0348-31</v>
      </c>
    </row>
    <row r="150" spans="1:92" ht="15.75" thickBot="1" x14ac:dyDescent="0.3">
      <c r="A150" s="376" t="s">
        <v>161</v>
      </c>
      <c r="B150" s="376" t="s">
        <v>162</v>
      </c>
      <c r="C150" s="376" t="s">
        <v>772</v>
      </c>
      <c r="D150" s="376" t="s">
        <v>767</v>
      </c>
      <c r="E150" s="376" t="s">
        <v>224</v>
      </c>
      <c r="F150" s="382" t="s">
        <v>225</v>
      </c>
      <c r="G150" s="376" t="s">
        <v>732</v>
      </c>
      <c r="H150" s="378"/>
      <c r="I150" s="378"/>
      <c r="J150" s="376" t="s">
        <v>239</v>
      </c>
      <c r="K150" s="376" t="s">
        <v>768</v>
      </c>
      <c r="L150" s="376" t="s">
        <v>170</v>
      </c>
      <c r="M150" s="376" t="s">
        <v>171</v>
      </c>
      <c r="N150" s="376" t="s">
        <v>172</v>
      </c>
      <c r="O150" s="379">
        <v>1</v>
      </c>
      <c r="P150" s="385">
        <v>0</v>
      </c>
      <c r="Q150" s="385">
        <v>0</v>
      </c>
      <c r="R150" s="380">
        <v>80</v>
      </c>
      <c r="S150" s="385">
        <v>0</v>
      </c>
      <c r="T150" s="380">
        <v>22432</v>
      </c>
      <c r="U150" s="380">
        <v>0</v>
      </c>
      <c r="V150" s="380">
        <v>9037.27</v>
      </c>
      <c r="W150" s="380">
        <v>0</v>
      </c>
      <c r="X150" s="380">
        <v>0</v>
      </c>
      <c r="Y150" s="380">
        <v>0</v>
      </c>
      <c r="Z150" s="380">
        <v>0</v>
      </c>
      <c r="AA150" s="376" t="s">
        <v>773</v>
      </c>
      <c r="AB150" s="376" t="s">
        <v>774</v>
      </c>
      <c r="AC150" s="376" t="s">
        <v>775</v>
      </c>
      <c r="AD150" s="376" t="s">
        <v>776</v>
      </c>
      <c r="AE150" s="376" t="s">
        <v>768</v>
      </c>
      <c r="AF150" s="376" t="s">
        <v>177</v>
      </c>
      <c r="AG150" s="376" t="s">
        <v>178</v>
      </c>
      <c r="AH150" s="381">
        <v>29.3</v>
      </c>
      <c r="AI150" s="379">
        <v>19549</v>
      </c>
      <c r="AJ150" s="376" t="s">
        <v>179</v>
      </c>
      <c r="AK150" s="376" t="s">
        <v>180</v>
      </c>
      <c r="AL150" s="376" t="s">
        <v>181</v>
      </c>
      <c r="AM150" s="376" t="s">
        <v>182</v>
      </c>
      <c r="AN150" s="376" t="s">
        <v>68</v>
      </c>
      <c r="AO150" s="379">
        <v>80</v>
      </c>
      <c r="AP150" s="385">
        <v>1</v>
      </c>
      <c r="AQ150" s="385">
        <v>0</v>
      </c>
      <c r="AR150" s="383" t="s">
        <v>183</v>
      </c>
      <c r="AS150" s="387">
        <f t="shared" si="115"/>
        <v>0</v>
      </c>
      <c r="AT150">
        <f t="shared" si="116"/>
        <v>0</v>
      </c>
      <c r="AU150" s="387" t="str">
        <f>IF(AT150=0,"",IF(AND(AT150=1,M150="F",SUMIF(C2:C1334,C150,AS2:AS1334)&lt;=1),SUMIF(C2:C1334,C150,AS2:AS1334),IF(AND(AT150=1,M150="F",SUMIF(C2:C1334,C150,AS2:AS1334)&gt;1),1,"")))</f>
        <v/>
      </c>
      <c r="AV150" s="387" t="str">
        <f>IF(AT150=0,"",IF(AND(AT150=3,M150="F",SUMIF(C2:C1334,C150,AS2:AS1334)&lt;=1),SUMIF(C2:C1334,C150,AS2:AS1334),IF(AND(AT150=3,M150="F",SUMIF(C2:C1334,C150,AS2:AS1334)&gt;1),1,"")))</f>
        <v/>
      </c>
      <c r="AW150" s="387">
        <f>SUMIF(C2:C1334,C150,O2:O1334)</f>
        <v>4</v>
      </c>
      <c r="AX150" s="387">
        <f>IF(AND(M150="F",AS150&lt;&gt;0),SUMIF(C2:C1334,C150,W2:W1334),0)</f>
        <v>0</v>
      </c>
      <c r="AY150" s="387" t="str">
        <f t="shared" si="117"/>
        <v/>
      </c>
      <c r="AZ150" s="387" t="str">
        <f t="shared" si="118"/>
        <v/>
      </c>
      <c r="BA150" s="387">
        <f t="shared" si="119"/>
        <v>0</v>
      </c>
      <c r="BB150" s="387">
        <f t="shared" si="88"/>
        <v>0</v>
      </c>
      <c r="BC150" s="387">
        <f t="shared" si="89"/>
        <v>0</v>
      </c>
      <c r="BD150" s="387">
        <f t="shared" si="90"/>
        <v>0</v>
      </c>
      <c r="BE150" s="387">
        <f t="shared" si="91"/>
        <v>0</v>
      </c>
      <c r="BF150" s="387">
        <f t="shared" si="92"/>
        <v>0</v>
      </c>
      <c r="BG150" s="387">
        <f t="shared" si="93"/>
        <v>0</v>
      </c>
      <c r="BH150" s="387">
        <f t="shared" si="94"/>
        <v>0</v>
      </c>
      <c r="BI150" s="387">
        <f t="shared" si="95"/>
        <v>0</v>
      </c>
      <c r="BJ150" s="387">
        <f t="shared" si="96"/>
        <v>0</v>
      </c>
      <c r="BK150" s="387">
        <f t="shared" si="97"/>
        <v>0</v>
      </c>
      <c r="BL150" s="387">
        <f t="shared" si="120"/>
        <v>0</v>
      </c>
      <c r="BM150" s="387">
        <f t="shared" si="121"/>
        <v>0</v>
      </c>
      <c r="BN150" s="387">
        <f t="shared" si="98"/>
        <v>0</v>
      </c>
      <c r="BO150" s="387">
        <f t="shared" si="99"/>
        <v>0</v>
      </c>
      <c r="BP150" s="387">
        <f t="shared" si="100"/>
        <v>0</v>
      </c>
      <c r="BQ150" s="387">
        <f t="shared" si="101"/>
        <v>0</v>
      </c>
      <c r="BR150" s="387">
        <f t="shared" si="102"/>
        <v>0</v>
      </c>
      <c r="BS150" s="387">
        <f t="shared" si="103"/>
        <v>0</v>
      </c>
      <c r="BT150" s="387">
        <f t="shared" si="104"/>
        <v>0</v>
      </c>
      <c r="BU150" s="387">
        <f t="shared" si="105"/>
        <v>0</v>
      </c>
      <c r="BV150" s="387">
        <f t="shared" si="106"/>
        <v>0</v>
      </c>
      <c r="BW150" s="387">
        <f t="shared" si="107"/>
        <v>0</v>
      </c>
      <c r="BX150" s="387">
        <f t="shared" si="122"/>
        <v>0</v>
      </c>
      <c r="BY150" s="387">
        <f t="shared" si="123"/>
        <v>0</v>
      </c>
      <c r="BZ150" s="387">
        <f t="shared" si="124"/>
        <v>0</v>
      </c>
      <c r="CA150" s="387">
        <f t="shared" si="125"/>
        <v>0</v>
      </c>
      <c r="CB150" s="387">
        <f t="shared" si="126"/>
        <v>0</v>
      </c>
      <c r="CC150" s="387">
        <f t="shared" si="108"/>
        <v>0</v>
      </c>
      <c r="CD150" s="387">
        <f t="shared" si="109"/>
        <v>0</v>
      </c>
      <c r="CE150" s="387">
        <f t="shared" si="110"/>
        <v>0</v>
      </c>
      <c r="CF150" s="387">
        <f t="shared" si="111"/>
        <v>0</v>
      </c>
      <c r="CG150" s="387">
        <f t="shared" si="112"/>
        <v>0</v>
      </c>
      <c r="CH150" s="387">
        <f t="shared" si="113"/>
        <v>0</v>
      </c>
      <c r="CI150" s="387">
        <f t="shared" si="114"/>
        <v>0</v>
      </c>
      <c r="CJ150" s="387">
        <f t="shared" si="127"/>
        <v>0</v>
      </c>
      <c r="CK150" s="387" t="str">
        <f t="shared" si="128"/>
        <v/>
      </c>
      <c r="CL150" s="387" t="str">
        <f t="shared" si="129"/>
        <v/>
      </c>
      <c r="CM150" s="387" t="str">
        <f t="shared" si="130"/>
        <v/>
      </c>
      <c r="CN150" s="387" t="str">
        <f t="shared" si="131"/>
        <v>0348-31</v>
      </c>
    </row>
    <row r="151" spans="1:92" ht="15.75" thickBot="1" x14ac:dyDescent="0.3">
      <c r="A151" s="376" t="s">
        <v>161</v>
      </c>
      <c r="B151" s="376" t="s">
        <v>162</v>
      </c>
      <c r="C151" s="376" t="s">
        <v>212</v>
      </c>
      <c r="D151" s="376" t="s">
        <v>213</v>
      </c>
      <c r="E151" s="376" t="s">
        <v>224</v>
      </c>
      <c r="F151" s="382" t="s">
        <v>225</v>
      </c>
      <c r="G151" s="376" t="s">
        <v>732</v>
      </c>
      <c r="H151" s="378"/>
      <c r="I151" s="378"/>
      <c r="J151" s="376" t="s">
        <v>215</v>
      </c>
      <c r="K151" s="376" t="s">
        <v>216</v>
      </c>
      <c r="L151" s="376" t="s">
        <v>217</v>
      </c>
      <c r="M151" s="376" t="s">
        <v>171</v>
      </c>
      <c r="N151" s="376" t="s">
        <v>172</v>
      </c>
      <c r="O151" s="379">
        <v>1</v>
      </c>
      <c r="P151" s="385">
        <v>0</v>
      </c>
      <c r="Q151" s="385">
        <v>0</v>
      </c>
      <c r="R151" s="380">
        <v>80</v>
      </c>
      <c r="S151" s="385">
        <v>0</v>
      </c>
      <c r="T151" s="380">
        <v>13848</v>
      </c>
      <c r="U151" s="380">
        <v>0</v>
      </c>
      <c r="V151" s="380">
        <v>7219.28</v>
      </c>
      <c r="W151" s="380">
        <v>0</v>
      </c>
      <c r="X151" s="380">
        <v>0</v>
      </c>
      <c r="Y151" s="380">
        <v>0</v>
      </c>
      <c r="Z151" s="380">
        <v>0</v>
      </c>
      <c r="AA151" s="376" t="s">
        <v>218</v>
      </c>
      <c r="AB151" s="376" t="s">
        <v>219</v>
      </c>
      <c r="AC151" s="376" t="s">
        <v>220</v>
      </c>
      <c r="AD151" s="376" t="s">
        <v>181</v>
      </c>
      <c r="AE151" s="376" t="s">
        <v>216</v>
      </c>
      <c r="AF151" s="376" t="s">
        <v>221</v>
      </c>
      <c r="AG151" s="376" t="s">
        <v>178</v>
      </c>
      <c r="AH151" s="381">
        <v>18.45</v>
      </c>
      <c r="AI151" s="381">
        <v>9585.2000000000007</v>
      </c>
      <c r="AJ151" s="376" t="s">
        <v>179</v>
      </c>
      <c r="AK151" s="376" t="s">
        <v>180</v>
      </c>
      <c r="AL151" s="376" t="s">
        <v>181</v>
      </c>
      <c r="AM151" s="376" t="s">
        <v>182</v>
      </c>
      <c r="AN151" s="376" t="s">
        <v>68</v>
      </c>
      <c r="AO151" s="379">
        <v>80</v>
      </c>
      <c r="AP151" s="385">
        <v>1</v>
      </c>
      <c r="AQ151" s="385">
        <v>0</v>
      </c>
      <c r="AR151" s="383" t="s">
        <v>183</v>
      </c>
      <c r="AS151" s="387">
        <f t="shared" si="115"/>
        <v>0</v>
      </c>
      <c r="AT151">
        <f t="shared" si="116"/>
        <v>0</v>
      </c>
      <c r="AU151" s="387" t="str">
        <f>IF(AT151=0,"",IF(AND(AT151=1,M151="F",SUMIF(C2:C1334,C151,AS2:AS1334)&lt;=1),SUMIF(C2:C1334,C151,AS2:AS1334),IF(AND(AT151=1,M151="F",SUMIF(C2:C1334,C151,AS2:AS1334)&gt;1),1,"")))</f>
        <v/>
      </c>
      <c r="AV151" s="387" t="str">
        <f>IF(AT151=0,"",IF(AND(AT151=3,M151="F",SUMIF(C2:C1334,C151,AS2:AS1334)&lt;=1),SUMIF(C2:C1334,C151,AS2:AS1334),IF(AND(AT151=3,M151="F",SUMIF(C2:C1334,C151,AS2:AS1334)&gt;1),1,"")))</f>
        <v/>
      </c>
      <c r="AW151" s="387">
        <f>SUMIF(C2:C1334,C151,O2:O1334)</f>
        <v>3</v>
      </c>
      <c r="AX151" s="387">
        <f>IF(AND(M151="F",AS151&lt;&gt;0),SUMIF(C2:C1334,C151,W2:W1334),0)</f>
        <v>0</v>
      </c>
      <c r="AY151" s="387" t="str">
        <f t="shared" si="117"/>
        <v/>
      </c>
      <c r="AZ151" s="387" t="str">
        <f t="shared" si="118"/>
        <v/>
      </c>
      <c r="BA151" s="387">
        <f t="shared" si="119"/>
        <v>0</v>
      </c>
      <c r="BB151" s="387">
        <f t="shared" si="88"/>
        <v>0</v>
      </c>
      <c r="BC151" s="387">
        <f t="shared" si="89"/>
        <v>0</v>
      </c>
      <c r="BD151" s="387">
        <f t="shared" si="90"/>
        <v>0</v>
      </c>
      <c r="BE151" s="387">
        <f t="shared" si="91"/>
        <v>0</v>
      </c>
      <c r="BF151" s="387">
        <f t="shared" si="92"/>
        <v>0</v>
      </c>
      <c r="BG151" s="387">
        <f t="shared" si="93"/>
        <v>0</v>
      </c>
      <c r="BH151" s="387">
        <f t="shared" si="94"/>
        <v>0</v>
      </c>
      <c r="BI151" s="387">
        <f t="shared" si="95"/>
        <v>0</v>
      </c>
      <c r="BJ151" s="387">
        <f t="shared" si="96"/>
        <v>0</v>
      </c>
      <c r="BK151" s="387">
        <f t="shared" si="97"/>
        <v>0</v>
      </c>
      <c r="BL151" s="387">
        <f t="shared" si="120"/>
        <v>0</v>
      </c>
      <c r="BM151" s="387">
        <f t="shared" si="121"/>
        <v>0</v>
      </c>
      <c r="BN151" s="387">
        <f t="shared" si="98"/>
        <v>0</v>
      </c>
      <c r="BO151" s="387">
        <f t="shared" si="99"/>
        <v>0</v>
      </c>
      <c r="BP151" s="387">
        <f t="shared" si="100"/>
        <v>0</v>
      </c>
      <c r="BQ151" s="387">
        <f t="shared" si="101"/>
        <v>0</v>
      </c>
      <c r="BR151" s="387">
        <f t="shared" si="102"/>
        <v>0</v>
      </c>
      <c r="BS151" s="387">
        <f t="shared" si="103"/>
        <v>0</v>
      </c>
      <c r="BT151" s="387">
        <f t="shared" si="104"/>
        <v>0</v>
      </c>
      <c r="BU151" s="387">
        <f t="shared" si="105"/>
        <v>0</v>
      </c>
      <c r="BV151" s="387">
        <f t="shared" si="106"/>
        <v>0</v>
      </c>
      <c r="BW151" s="387">
        <f t="shared" si="107"/>
        <v>0</v>
      </c>
      <c r="BX151" s="387">
        <f t="shared" si="122"/>
        <v>0</v>
      </c>
      <c r="BY151" s="387">
        <f t="shared" si="123"/>
        <v>0</v>
      </c>
      <c r="BZ151" s="387">
        <f t="shared" si="124"/>
        <v>0</v>
      </c>
      <c r="CA151" s="387">
        <f t="shared" si="125"/>
        <v>0</v>
      </c>
      <c r="CB151" s="387">
        <f t="shared" si="126"/>
        <v>0</v>
      </c>
      <c r="CC151" s="387">
        <f t="shared" si="108"/>
        <v>0</v>
      </c>
      <c r="CD151" s="387">
        <f t="shared" si="109"/>
        <v>0</v>
      </c>
      <c r="CE151" s="387">
        <f t="shared" si="110"/>
        <v>0</v>
      </c>
      <c r="CF151" s="387">
        <f t="shared" si="111"/>
        <v>0</v>
      </c>
      <c r="CG151" s="387">
        <f t="shared" si="112"/>
        <v>0</v>
      </c>
      <c r="CH151" s="387">
        <f t="shared" si="113"/>
        <v>0</v>
      </c>
      <c r="CI151" s="387">
        <f t="shared" si="114"/>
        <v>0</v>
      </c>
      <c r="CJ151" s="387">
        <f t="shared" si="127"/>
        <v>0</v>
      </c>
      <c r="CK151" s="387" t="str">
        <f t="shared" si="128"/>
        <v/>
      </c>
      <c r="CL151" s="387" t="str">
        <f t="shared" si="129"/>
        <v/>
      </c>
      <c r="CM151" s="387" t="str">
        <f t="shared" si="130"/>
        <v/>
      </c>
      <c r="CN151" s="387" t="str">
        <f t="shared" si="131"/>
        <v>0348-31</v>
      </c>
    </row>
    <row r="152" spans="1:92" ht="15.75" thickBot="1" x14ac:dyDescent="0.3">
      <c r="A152" s="376" t="s">
        <v>161</v>
      </c>
      <c r="B152" s="376" t="s">
        <v>162</v>
      </c>
      <c r="C152" s="376" t="s">
        <v>163</v>
      </c>
      <c r="D152" s="376" t="s">
        <v>164</v>
      </c>
      <c r="E152" s="376" t="s">
        <v>165</v>
      </c>
      <c r="F152" s="377" t="s">
        <v>166</v>
      </c>
      <c r="G152" s="376" t="s">
        <v>781</v>
      </c>
      <c r="H152" s="378"/>
      <c r="I152" s="378"/>
      <c r="J152" s="376" t="s">
        <v>168</v>
      </c>
      <c r="K152" s="376" t="s">
        <v>169</v>
      </c>
      <c r="L152" s="376" t="s">
        <v>170</v>
      </c>
      <c r="M152" s="376" t="s">
        <v>171</v>
      </c>
      <c r="N152" s="376" t="s">
        <v>172</v>
      </c>
      <c r="O152" s="379">
        <v>1</v>
      </c>
      <c r="P152" s="385">
        <v>0</v>
      </c>
      <c r="Q152" s="385">
        <v>0</v>
      </c>
      <c r="R152" s="380">
        <v>80</v>
      </c>
      <c r="S152" s="385">
        <v>0</v>
      </c>
      <c r="T152" s="380">
        <v>23733.69</v>
      </c>
      <c r="U152" s="380">
        <v>0</v>
      </c>
      <c r="V152" s="380">
        <v>9698.24</v>
      </c>
      <c r="W152" s="380">
        <v>0</v>
      </c>
      <c r="X152" s="380">
        <v>0</v>
      </c>
      <c r="Y152" s="380">
        <v>0</v>
      </c>
      <c r="Z152" s="380">
        <v>0</v>
      </c>
      <c r="AA152" s="376" t="s">
        <v>173</v>
      </c>
      <c r="AB152" s="376" t="s">
        <v>174</v>
      </c>
      <c r="AC152" s="376" t="s">
        <v>175</v>
      </c>
      <c r="AD152" s="376" t="s">
        <v>176</v>
      </c>
      <c r="AE152" s="376" t="s">
        <v>169</v>
      </c>
      <c r="AF152" s="376" t="s">
        <v>177</v>
      </c>
      <c r="AG152" s="376" t="s">
        <v>178</v>
      </c>
      <c r="AH152" s="381">
        <v>29.1</v>
      </c>
      <c r="AI152" s="381">
        <v>12580.9</v>
      </c>
      <c r="AJ152" s="376" t="s">
        <v>179</v>
      </c>
      <c r="AK152" s="376" t="s">
        <v>180</v>
      </c>
      <c r="AL152" s="376" t="s">
        <v>181</v>
      </c>
      <c r="AM152" s="376" t="s">
        <v>182</v>
      </c>
      <c r="AN152" s="376" t="s">
        <v>68</v>
      </c>
      <c r="AO152" s="379">
        <v>80</v>
      </c>
      <c r="AP152" s="385">
        <v>1</v>
      </c>
      <c r="AQ152" s="385">
        <v>0</v>
      </c>
      <c r="AR152" s="383" t="s">
        <v>183</v>
      </c>
      <c r="AS152" s="387">
        <f t="shared" si="115"/>
        <v>0</v>
      </c>
      <c r="AT152">
        <f t="shared" si="116"/>
        <v>0</v>
      </c>
      <c r="AU152" s="387" t="str">
        <f>IF(AT152=0,"",IF(AND(AT152=1,M152="F",SUMIF(C2:C1334,C152,AS2:AS1334)&lt;=1),SUMIF(C2:C1334,C152,AS2:AS1334),IF(AND(AT152=1,M152="F",SUMIF(C2:C1334,C152,AS2:AS1334)&gt;1),1,"")))</f>
        <v/>
      </c>
      <c r="AV152" s="387" t="str">
        <f>IF(AT152=0,"",IF(AND(AT152=3,M152="F",SUMIF(C2:C1334,C152,AS2:AS1334)&lt;=1),SUMIF(C2:C1334,C152,AS2:AS1334),IF(AND(AT152=3,M152="F",SUMIF(C2:C1334,C152,AS2:AS1334)&gt;1),1,"")))</f>
        <v/>
      </c>
      <c r="AW152" s="387">
        <f>SUMIF(C2:C1334,C152,O2:O1334)</f>
        <v>4</v>
      </c>
      <c r="AX152" s="387">
        <f>IF(AND(M152="F",AS152&lt;&gt;0),SUMIF(C2:C1334,C152,W2:W1334),0)</f>
        <v>0</v>
      </c>
      <c r="AY152" s="387" t="str">
        <f t="shared" si="117"/>
        <v/>
      </c>
      <c r="AZ152" s="387" t="str">
        <f t="shared" si="118"/>
        <v/>
      </c>
      <c r="BA152" s="387">
        <f t="shared" si="119"/>
        <v>0</v>
      </c>
      <c r="BB152" s="387">
        <f t="shared" si="88"/>
        <v>0</v>
      </c>
      <c r="BC152" s="387">
        <f t="shared" si="89"/>
        <v>0</v>
      </c>
      <c r="BD152" s="387">
        <f t="shared" si="90"/>
        <v>0</v>
      </c>
      <c r="BE152" s="387">
        <f t="shared" si="91"/>
        <v>0</v>
      </c>
      <c r="BF152" s="387">
        <f t="shared" si="92"/>
        <v>0</v>
      </c>
      <c r="BG152" s="387">
        <f t="shared" si="93"/>
        <v>0</v>
      </c>
      <c r="BH152" s="387">
        <f t="shared" si="94"/>
        <v>0</v>
      </c>
      <c r="BI152" s="387">
        <f t="shared" si="95"/>
        <v>0</v>
      </c>
      <c r="BJ152" s="387">
        <f t="shared" si="96"/>
        <v>0</v>
      </c>
      <c r="BK152" s="387">
        <f t="shared" si="97"/>
        <v>0</v>
      </c>
      <c r="BL152" s="387">
        <f t="shared" si="120"/>
        <v>0</v>
      </c>
      <c r="BM152" s="387">
        <f t="shared" si="121"/>
        <v>0</v>
      </c>
      <c r="BN152" s="387">
        <f t="shared" si="98"/>
        <v>0</v>
      </c>
      <c r="BO152" s="387">
        <f t="shared" si="99"/>
        <v>0</v>
      </c>
      <c r="BP152" s="387">
        <f t="shared" si="100"/>
        <v>0</v>
      </c>
      <c r="BQ152" s="387">
        <f t="shared" si="101"/>
        <v>0</v>
      </c>
      <c r="BR152" s="387">
        <f t="shared" si="102"/>
        <v>0</v>
      </c>
      <c r="BS152" s="387">
        <f t="shared" si="103"/>
        <v>0</v>
      </c>
      <c r="BT152" s="387">
        <f t="shared" si="104"/>
        <v>0</v>
      </c>
      <c r="BU152" s="387">
        <f t="shared" si="105"/>
        <v>0</v>
      </c>
      <c r="BV152" s="387">
        <f t="shared" si="106"/>
        <v>0</v>
      </c>
      <c r="BW152" s="387">
        <f t="shared" si="107"/>
        <v>0</v>
      </c>
      <c r="BX152" s="387">
        <f t="shared" si="122"/>
        <v>0</v>
      </c>
      <c r="BY152" s="387">
        <f t="shared" si="123"/>
        <v>0</v>
      </c>
      <c r="BZ152" s="387">
        <f t="shared" si="124"/>
        <v>0</v>
      </c>
      <c r="CA152" s="387">
        <f t="shared" si="125"/>
        <v>0</v>
      </c>
      <c r="CB152" s="387">
        <f t="shared" si="126"/>
        <v>0</v>
      </c>
      <c r="CC152" s="387">
        <f t="shared" si="108"/>
        <v>0</v>
      </c>
      <c r="CD152" s="387">
        <f t="shared" si="109"/>
        <v>0</v>
      </c>
      <c r="CE152" s="387">
        <f t="shared" si="110"/>
        <v>0</v>
      </c>
      <c r="CF152" s="387">
        <f t="shared" si="111"/>
        <v>0</v>
      </c>
      <c r="CG152" s="387">
        <f t="shared" si="112"/>
        <v>0</v>
      </c>
      <c r="CH152" s="387">
        <f t="shared" si="113"/>
        <v>0</v>
      </c>
      <c r="CI152" s="387">
        <f t="shared" si="114"/>
        <v>0</v>
      </c>
      <c r="CJ152" s="387">
        <f t="shared" si="127"/>
        <v>0</v>
      </c>
      <c r="CK152" s="387" t="str">
        <f t="shared" si="128"/>
        <v/>
      </c>
      <c r="CL152" s="387" t="str">
        <f t="shared" si="129"/>
        <v/>
      </c>
      <c r="CM152" s="387" t="str">
        <f t="shared" si="130"/>
        <v/>
      </c>
      <c r="CN152" s="387" t="str">
        <f t="shared" si="131"/>
        <v>0302-00</v>
      </c>
    </row>
    <row r="153" spans="1:92" ht="15.75" thickBot="1" x14ac:dyDescent="0.3">
      <c r="A153" s="376" t="s">
        <v>161</v>
      </c>
      <c r="B153" s="376" t="s">
        <v>162</v>
      </c>
      <c r="C153" s="376" t="s">
        <v>184</v>
      </c>
      <c r="D153" s="376" t="s">
        <v>164</v>
      </c>
      <c r="E153" s="376" t="s">
        <v>165</v>
      </c>
      <c r="F153" s="377" t="s">
        <v>166</v>
      </c>
      <c r="G153" s="376" t="s">
        <v>781</v>
      </c>
      <c r="H153" s="378"/>
      <c r="I153" s="378"/>
      <c r="J153" s="376" t="s">
        <v>168</v>
      </c>
      <c r="K153" s="376" t="s">
        <v>169</v>
      </c>
      <c r="L153" s="376" t="s">
        <v>170</v>
      </c>
      <c r="M153" s="376" t="s">
        <v>171</v>
      </c>
      <c r="N153" s="376" t="s">
        <v>172</v>
      </c>
      <c r="O153" s="379">
        <v>1</v>
      </c>
      <c r="P153" s="385">
        <v>0</v>
      </c>
      <c r="Q153" s="385">
        <v>0</v>
      </c>
      <c r="R153" s="380">
        <v>80</v>
      </c>
      <c r="S153" s="385">
        <v>0</v>
      </c>
      <c r="T153" s="380">
        <v>23888.09</v>
      </c>
      <c r="U153" s="380">
        <v>0</v>
      </c>
      <c r="V153" s="380">
        <v>9707.7800000000007</v>
      </c>
      <c r="W153" s="380">
        <v>0</v>
      </c>
      <c r="X153" s="380">
        <v>0</v>
      </c>
      <c r="Y153" s="380">
        <v>0</v>
      </c>
      <c r="Z153" s="380">
        <v>0</v>
      </c>
      <c r="AA153" s="376" t="s">
        <v>185</v>
      </c>
      <c r="AB153" s="376" t="s">
        <v>186</v>
      </c>
      <c r="AC153" s="376" t="s">
        <v>187</v>
      </c>
      <c r="AD153" s="376" t="s">
        <v>188</v>
      </c>
      <c r="AE153" s="376" t="s">
        <v>169</v>
      </c>
      <c r="AF153" s="376" t="s">
        <v>177</v>
      </c>
      <c r="AG153" s="376" t="s">
        <v>178</v>
      </c>
      <c r="AH153" s="381">
        <v>29.53</v>
      </c>
      <c r="AI153" s="381">
        <v>10657.6</v>
      </c>
      <c r="AJ153" s="376" t="s">
        <v>179</v>
      </c>
      <c r="AK153" s="376" t="s">
        <v>180</v>
      </c>
      <c r="AL153" s="376" t="s">
        <v>181</v>
      </c>
      <c r="AM153" s="376" t="s">
        <v>182</v>
      </c>
      <c r="AN153" s="376" t="s">
        <v>68</v>
      </c>
      <c r="AO153" s="379">
        <v>80</v>
      </c>
      <c r="AP153" s="385">
        <v>1</v>
      </c>
      <c r="AQ153" s="385">
        <v>0</v>
      </c>
      <c r="AR153" s="383" t="s">
        <v>183</v>
      </c>
      <c r="AS153" s="387">
        <f t="shared" si="115"/>
        <v>0</v>
      </c>
      <c r="AT153">
        <f t="shared" si="116"/>
        <v>0</v>
      </c>
      <c r="AU153" s="387" t="str">
        <f>IF(AT153=0,"",IF(AND(AT153=1,M153="F",SUMIF(C2:C1334,C153,AS2:AS1334)&lt;=1),SUMIF(C2:C1334,C153,AS2:AS1334),IF(AND(AT153=1,M153="F",SUMIF(C2:C1334,C153,AS2:AS1334)&gt;1),1,"")))</f>
        <v/>
      </c>
      <c r="AV153" s="387" t="str">
        <f>IF(AT153=0,"",IF(AND(AT153=3,M153="F",SUMIF(C2:C1334,C153,AS2:AS1334)&lt;=1),SUMIF(C2:C1334,C153,AS2:AS1334),IF(AND(AT153=3,M153="F",SUMIF(C2:C1334,C153,AS2:AS1334)&gt;1),1,"")))</f>
        <v/>
      </c>
      <c r="AW153" s="387">
        <f>SUMIF(C2:C1334,C153,O2:O1334)</f>
        <v>4</v>
      </c>
      <c r="AX153" s="387">
        <f>IF(AND(M153="F",AS153&lt;&gt;0),SUMIF(C2:C1334,C153,W2:W1334),0)</f>
        <v>0</v>
      </c>
      <c r="AY153" s="387" t="str">
        <f t="shared" si="117"/>
        <v/>
      </c>
      <c r="AZ153" s="387" t="str">
        <f t="shared" si="118"/>
        <v/>
      </c>
      <c r="BA153" s="387">
        <f t="shared" si="119"/>
        <v>0</v>
      </c>
      <c r="BB153" s="387">
        <f t="shared" si="88"/>
        <v>0</v>
      </c>
      <c r="BC153" s="387">
        <f t="shared" si="89"/>
        <v>0</v>
      </c>
      <c r="BD153" s="387">
        <f t="shared" si="90"/>
        <v>0</v>
      </c>
      <c r="BE153" s="387">
        <f t="shared" si="91"/>
        <v>0</v>
      </c>
      <c r="BF153" s="387">
        <f t="shared" si="92"/>
        <v>0</v>
      </c>
      <c r="BG153" s="387">
        <f t="shared" si="93"/>
        <v>0</v>
      </c>
      <c r="BH153" s="387">
        <f t="shared" si="94"/>
        <v>0</v>
      </c>
      <c r="BI153" s="387">
        <f t="shared" si="95"/>
        <v>0</v>
      </c>
      <c r="BJ153" s="387">
        <f t="shared" si="96"/>
        <v>0</v>
      </c>
      <c r="BK153" s="387">
        <f t="shared" si="97"/>
        <v>0</v>
      </c>
      <c r="BL153" s="387">
        <f t="shared" si="120"/>
        <v>0</v>
      </c>
      <c r="BM153" s="387">
        <f t="shared" si="121"/>
        <v>0</v>
      </c>
      <c r="BN153" s="387">
        <f t="shared" si="98"/>
        <v>0</v>
      </c>
      <c r="BO153" s="387">
        <f t="shared" si="99"/>
        <v>0</v>
      </c>
      <c r="BP153" s="387">
        <f t="shared" si="100"/>
        <v>0</v>
      </c>
      <c r="BQ153" s="387">
        <f t="shared" si="101"/>
        <v>0</v>
      </c>
      <c r="BR153" s="387">
        <f t="shared" si="102"/>
        <v>0</v>
      </c>
      <c r="BS153" s="387">
        <f t="shared" si="103"/>
        <v>0</v>
      </c>
      <c r="BT153" s="387">
        <f t="shared" si="104"/>
        <v>0</v>
      </c>
      <c r="BU153" s="387">
        <f t="shared" si="105"/>
        <v>0</v>
      </c>
      <c r="BV153" s="387">
        <f t="shared" si="106"/>
        <v>0</v>
      </c>
      <c r="BW153" s="387">
        <f t="shared" si="107"/>
        <v>0</v>
      </c>
      <c r="BX153" s="387">
        <f t="shared" si="122"/>
        <v>0</v>
      </c>
      <c r="BY153" s="387">
        <f t="shared" si="123"/>
        <v>0</v>
      </c>
      <c r="BZ153" s="387">
        <f t="shared" si="124"/>
        <v>0</v>
      </c>
      <c r="CA153" s="387">
        <f t="shared" si="125"/>
        <v>0</v>
      </c>
      <c r="CB153" s="387">
        <f t="shared" si="126"/>
        <v>0</v>
      </c>
      <c r="CC153" s="387">
        <f t="shared" si="108"/>
        <v>0</v>
      </c>
      <c r="CD153" s="387">
        <f t="shared" si="109"/>
        <v>0</v>
      </c>
      <c r="CE153" s="387">
        <f t="shared" si="110"/>
        <v>0</v>
      </c>
      <c r="CF153" s="387">
        <f t="shared" si="111"/>
        <v>0</v>
      </c>
      <c r="CG153" s="387">
        <f t="shared" si="112"/>
        <v>0</v>
      </c>
      <c r="CH153" s="387">
        <f t="shared" si="113"/>
        <v>0</v>
      </c>
      <c r="CI153" s="387">
        <f t="shared" si="114"/>
        <v>0</v>
      </c>
      <c r="CJ153" s="387">
        <f t="shared" si="127"/>
        <v>0</v>
      </c>
      <c r="CK153" s="387" t="str">
        <f t="shared" si="128"/>
        <v/>
      </c>
      <c r="CL153" s="387" t="str">
        <f t="shared" si="129"/>
        <v/>
      </c>
      <c r="CM153" s="387" t="str">
        <f t="shared" si="130"/>
        <v/>
      </c>
      <c r="CN153" s="387" t="str">
        <f t="shared" si="131"/>
        <v>0302-00</v>
      </c>
    </row>
    <row r="154" spans="1:92" ht="15.75" thickBot="1" x14ac:dyDescent="0.3">
      <c r="A154" s="376" t="s">
        <v>161</v>
      </c>
      <c r="B154" s="376" t="s">
        <v>162</v>
      </c>
      <c r="C154" s="376" t="s">
        <v>189</v>
      </c>
      <c r="D154" s="376" t="s">
        <v>164</v>
      </c>
      <c r="E154" s="376" t="s">
        <v>165</v>
      </c>
      <c r="F154" s="377" t="s">
        <v>166</v>
      </c>
      <c r="G154" s="376" t="s">
        <v>781</v>
      </c>
      <c r="H154" s="378"/>
      <c r="I154" s="378"/>
      <c r="J154" s="376" t="s">
        <v>168</v>
      </c>
      <c r="K154" s="376" t="s">
        <v>169</v>
      </c>
      <c r="L154" s="376" t="s">
        <v>170</v>
      </c>
      <c r="M154" s="376" t="s">
        <v>171</v>
      </c>
      <c r="N154" s="376" t="s">
        <v>172</v>
      </c>
      <c r="O154" s="379">
        <v>1</v>
      </c>
      <c r="P154" s="385">
        <v>0</v>
      </c>
      <c r="Q154" s="385">
        <v>0</v>
      </c>
      <c r="R154" s="380">
        <v>80</v>
      </c>
      <c r="S154" s="385">
        <v>0</v>
      </c>
      <c r="T154" s="380">
        <v>38811.440000000002</v>
      </c>
      <c r="U154" s="380">
        <v>0</v>
      </c>
      <c r="V154" s="380">
        <v>17726.98</v>
      </c>
      <c r="W154" s="380">
        <v>0</v>
      </c>
      <c r="X154" s="380">
        <v>0</v>
      </c>
      <c r="Y154" s="380">
        <v>0</v>
      </c>
      <c r="Z154" s="380">
        <v>0</v>
      </c>
      <c r="AA154" s="376" t="s">
        <v>190</v>
      </c>
      <c r="AB154" s="376" t="s">
        <v>191</v>
      </c>
      <c r="AC154" s="376" t="s">
        <v>192</v>
      </c>
      <c r="AD154" s="376" t="s">
        <v>193</v>
      </c>
      <c r="AE154" s="376" t="s">
        <v>169</v>
      </c>
      <c r="AF154" s="376" t="s">
        <v>177</v>
      </c>
      <c r="AG154" s="376" t="s">
        <v>178</v>
      </c>
      <c r="AH154" s="381">
        <v>27.37</v>
      </c>
      <c r="AI154" s="379">
        <v>1764</v>
      </c>
      <c r="AJ154" s="376" t="s">
        <v>179</v>
      </c>
      <c r="AK154" s="376" t="s">
        <v>180</v>
      </c>
      <c r="AL154" s="376" t="s">
        <v>181</v>
      </c>
      <c r="AM154" s="376" t="s">
        <v>182</v>
      </c>
      <c r="AN154" s="376" t="s">
        <v>68</v>
      </c>
      <c r="AO154" s="379">
        <v>80</v>
      </c>
      <c r="AP154" s="385">
        <v>1</v>
      </c>
      <c r="AQ154" s="385">
        <v>0</v>
      </c>
      <c r="AR154" s="383" t="s">
        <v>183</v>
      </c>
      <c r="AS154" s="387">
        <f t="shared" si="115"/>
        <v>0</v>
      </c>
      <c r="AT154">
        <f t="shared" si="116"/>
        <v>0</v>
      </c>
      <c r="AU154" s="387" t="str">
        <f>IF(AT154=0,"",IF(AND(AT154=1,M154="F",SUMIF(C2:C1334,C154,AS2:AS1334)&lt;=1),SUMIF(C2:C1334,C154,AS2:AS1334),IF(AND(AT154=1,M154="F",SUMIF(C2:C1334,C154,AS2:AS1334)&gt;1),1,"")))</f>
        <v/>
      </c>
      <c r="AV154" s="387" t="str">
        <f>IF(AT154=0,"",IF(AND(AT154=3,M154="F",SUMIF(C2:C1334,C154,AS2:AS1334)&lt;=1),SUMIF(C2:C1334,C154,AS2:AS1334),IF(AND(AT154=3,M154="F",SUMIF(C2:C1334,C154,AS2:AS1334)&gt;1),1,"")))</f>
        <v/>
      </c>
      <c r="AW154" s="387">
        <f>SUMIF(C2:C1334,C154,O2:O1334)</f>
        <v>4</v>
      </c>
      <c r="AX154" s="387">
        <f>IF(AND(M154="F",AS154&lt;&gt;0),SUMIF(C2:C1334,C154,W2:W1334),0)</f>
        <v>0</v>
      </c>
      <c r="AY154" s="387" t="str">
        <f t="shared" si="117"/>
        <v/>
      </c>
      <c r="AZ154" s="387" t="str">
        <f t="shared" si="118"/>
        <v/>
      </c>
      <c r="BA154" s="387">
        <f t="shared" si="119"/>
        <v>0</v>
      </c>
      <c r="BB154" s="387">
        <f t="shared" si="88"/>
        <v>0</v>
      </c>
      <c r="BC154" s="387">
        <f t="shared" si="89"/>
        <v>0</v>
      </c>
      <c r="BD154" s="387">
        <f t="shared" si="90"/>
        <v>0</v>
      </c>
      <c r="BE154" s="387">
        <f t="shared" si="91"/>
        <v>0</v>
      </c>
      <c r="BF154" s="387">
        <f t="shared" si="92"/>
        <v>0</v>
      </c>
      <c r="BG154" s="387">
        <f t="shared" si="93"/>
        <v>0</v>
      </c>
      <c r="BH154" s="387">
        <f t="shared" si="94"/>
        <v>0</v>
      </c>
      <c r="BI154" s="387">
        <f t="shared" si="95"/>
        <v>0</v>
      </c>
      <c r="BJ154" s="387">
        <f t="shared" si="96"/>
        <v>0</v>
      </c>
      <c r="BK154" s="387">
        <f t="shared" si="97"/>
        <v>0</v>
      </c>
      <c r="BL154" s="387">
        <f t="shared" si="120"/>
        <v>0</v>
      </c>
      <c r="BM154" s="387">
        <f t="shared" si="121"/>
        <v>0</v>
      </c>
      <c r="BN154" s="387">
        <f t="shared" si="98"/>
        <v>0</v>
      </c>
      <c r="BO154" s="387">
        <f t="shared" si="99"/>
        <v>0</v>
      </c>
      <c r="BP154" s="387">
        <f t="shared" si="100"/>
        <v>0</v>
      </c>
      <c r="BQ154" s="387">
        <f t="shared" si="101"/>
        <v>0</v>
      </c>
      <c r="BR154" s="387">
        <f t="shared" si="102"/>
        <v>0</v>
      </c>
      <c r="BS154" s="387">
        <f t="shared" si="103"/>
        <v>0</v>
      </c>
      <c r="BT154" s="387">
        <f t="shared" si="104"/>
        <v>0</v>
      </c>
      <c r="BU154" s="387">
        <f t="shared" si="105"/>
        <v>0</v>
      </c>
      <c r="BV154" s="387">
        <f t="shared" si="106"/>
        <v>0</v>
      </c>
      <c r="BW154" s="387">
        <f t="shared" si="107"/>
        <v>0</v>
      </c>
      <c r="BX154" s="387">
        <f t="shared" si="122"/>
        <v>0</v>
      </c>
      <c r="BY154" s="387">
        <f t="shared" si="123"/>
        <v>0</v>
      </c>
      <c r="BZ154" s="387">
        <f t="shared" si="124"/>
        <v>0</v>
      </c>
      <c r="CA154" s="387">
        <f t="shared" si="125"/>
        <v>0</v>
      </c>
      <c r="CB154" s="387">
        <f t="shared" si="126"/>
        <v>0</v>
      </c>
      <c r="CC154" s="387">
        <f t="shared" si="108"/>
        <v>0</v>
      </c>
      <c r="CD154" s="387">
        <f t="shared" si="109"/>
        <v>0</v>
      </c>
      <c r="CE154" s="387">
        <f t="shared" si="110"/>
        <v>0</v>
      </c>
      <c r="CF154" s="387">
        <f t="shared" si="111"/>
        <v>0</v>
      </c>
      <c r="CG154" s="387">
        <f t="shared" si="112"/>
        <v>0</v>
      </c>
      <c r="CH154" s="387">
        <f t="shared" si="113"/>
        <v>0</v>
      </c>
      <c r="CI154" s="387">
        <f t="shared" si="114"/>
        <v>0</v>
      </c>
      <c r="CJ154" s="387">
        <f t="shared" si="127"/>
        <v>0</v>
      </c>
      <c r="CK154" s="387" t="str">
        <f t="shared" si="128"/>
        <v/>
      </c>
      <c r="CL154" s="387" t="str">
        <f t="shared" si="129"/>
        <v/>
      </c>
      <c r="CM154" s="387" t="str">
        <f t="shared" si="130"/>
        <v/>
      </c>
      <c r="CN154" s="387" t="str">
        <f t="shared" si="131"/>
        <v>0302-00</v>
      </c>
    </row>
    <row r="155" spans="1:92" ht="15.75" thickBot="1" x14ac:dyDescent="0.3">
      <c r="A155" s="376" t="s">
        <v>161</v>
      </c>
      <c r="B155" s="376" t="s">
        <v>162</v>
      </c>
      <c r="C155" s="376" t="s">
        <v>194</v>
      </c>
      <c r="D155" s="376" t="s">
        <v>164</v>
      </c>
      <c r="E155" s="376" t="s">
        <v>165</v>
      </c>
      <c r="F155" s="377" t="s">
        <v>166</v>
      </c>
      <c r="G155" s="376" t="s">
        <v>781</v>
      </c>
      <c r="H155" s="378"/>
      <c r="I155" s="378"/>
      <c r="J155" s="376" t="s">
        <v>168</v>
      </c>
      <c r="K155" s="376" t="s">
        <v>169</v>
      </c>
      <c r="L155" s="376" t="s">
        <v>170</v>
      </c>
      <c r="M155" s="376" t="s">
        <v>171</v>
      </c>
      <c r="N155" s="376" t="s">
        <v>172</v>
      </c>
      <c r="O155" s="379">
        <v>1</v>
      </c>
      <c r="P155" s="385">
        <v>0</v>
      </c>
      <c r="Q155" s="385">
        <v>0</v>
      </c>
      <c r="R155" s="380">
        <v>80</v>
      </c>
      <c r="S155" s="385">
        <v>0</v>
      </c>
      <c r="T155" s="380">
        <v>30878.59</v>
      </c>
      <c r="U155" s="380">
        <v>0</v>
      </c>
      <c r="V155" s="380">
        <v>11631.29</v>
      </c>
      <c r="W155" s="380">
        <v>0</v>
      </c>
      <c r="X155" s="380">
        <v>0</v>
      </c>
      <c r="Y155" s="380">
        <v>0</v>
      </c>
      <c r="Z155" s="380">
        <v>0</v>
      </c>
      <c r="AA155" s="376" t="s">
        <v>195</v>
      </c>
      <c r="AB155" s="376" t="s">
        <v>196</v>
      </c>
      <c r="AC155" s="376" t="s">
        <v>197</v>
      </c>
      <c r="AD155" s="376" t="s">
        <v>198</v>
      </c>
      <c r="AE155" s="376" t="s">
        <v>169</v>
      </c>
      <c r="AF155" s="376" t="s">
        <v>177</v>
      </c>
      <c r="AG155" s="376" t="s">
        <v>178</v>
      </c>
      <c r="AH155" s="381">
        <v>34.67</v>
      </c>
      <c r="AI155" s="381">
        <v>75673.8</v>
      </c>
      <c r="AJ155" s="376" t="s">
        <v>179</v>
      </c>
      <c r="AK155" s="376" t="s">
        <v>180</v>
      </c>
      <c r="AL155" s="376" t="s">
        <v>181</v>
      </c>
      <c r="AM155" s="376" t="s">
        <v>182</v>
      </c>
      <c r="AN155" s="376" t="s">
        <v>68</v>
      </c>
      <c r="AO155" s="379">
        <v>80</v>
      </c>
      <c r="AP155" s="385">
        <v>1</v>
      </c>
      <c r="AQ155" s="385">
        <v>0</v>
      </c>
      <c r="AR155" s="383" t="s">
        <v>183</v>
      </c>
      <c r="AS155" s="387">
        <f t="shared" si="115"/>
        <v>0</v>
      </c>
      <c r="AT155">
        <f t="shared" si="116"/>
        <v>0</v>
      </c>
      <c r="AU155" s="387" t="str">
        <f>IF(AT155=0,"",IF(AND(AT155=1,M155="F",SUMIF(C2:C1334,C155,AS2:AS1334)&lt;=1),SUMIF(C2:C1334,C155,AS2:AS1334),IF(AND(AT155=1,M155="F",SUMIF(C2:C1334,C155,AS2:AS1334)&gt;1),1,"")))</f>
        <v/>
      </c>
      <c r="AV155" s="387" t="str">
        <f>IF(AT155=0,"",IF(AND(AT155=3,M155="F",SUMIF(C2:C1334,C155,AS2:AS1334)&lt;=1),SUMIF(C2:C1334,C155,AS2:AS1334),IF(AND(AT155=3,M155="F",SUMIF(C2:C1334,C155,AS2:AS1334)&gt;1),1,"")))</f>
        <v/>
      </c>
      <c r="AW155" s="387">
        <f>SUMIF(C2:C1334,C155,O2:O1334)</f>
        <v>4</v>
      </c>
      <c r="AX155" s="387">
        <f>IF(AND(M155="F",AS155&lt;&gt;0),SUMIF(C2:C1334,C155,W2:W1334),0)</f>
        <v>0</v>
      </c>
      <c r="AY155" s="387" t="str">
        <f t="shared" si="117"/>
        <v/>
      </c>
      <c r="AZ155" s="387" t="str">
        <f t="shared" si="118"/>
        <v/>
      </c>
      <c r="BA155" s="387">
        <f t="shared" si="119"/>
        <v>0</v>
      </c>
      <c r="BB155" s="387">
        <f t="shared" si="88"/>
        <v>0</v>
      </c>
      <c r="BC155" s="387">
        <f t="shared" si="89"/>
        <v>0</v>
      </c>
      <c r="BD155" s="387">
        <f t="shared" si="90"/>
        <v>0</v>
      </c>
      <c r="BE155" s="387">
        <f t="shared" si="91"/>
        <v>0</v>
      </c>
      <c r="BF155" s="387">
        <f t="shared" si="92"/>
        <v>0</v>
      </c>
      <c r="BG155" s="387">
        <f t="shared" si="93"/>
        <v>0</v>
      </c>
      <c r="BH155" s="387">
        <f t="shared" si="94"/>
        <v>0</v>
      </c>
      <c r="BI155" s="387">
        <f t="shared" si="95"/>
        <v>0</v>
      </c>
      <c r="BJ155" s="387">
        <f t="shared" si="96"/>
        <v>0</v>
      </c>
      <c r="BK155" s="387">
        <f t="shared" si="97"/>
        <v>0</v>
      </c>
      <c r="BL155" s="387">
        <f t="shared" si="120"/>
        <v>0</v>
      </c>
      <c r="BM155" s="387">
        <f t="shared" si="121"/>
        <v>0</v>
      </c>
      <c r="BN155" s="387">
        <f t="shared" si="98"/>
        <v>0</v>
      </c>
      <c r="BO155" s="387">
        <f t="shared" si="99"/>
        <v>0</v>
      </c>
      <c r="BP155" s="387">
        <f t="shared" si="100"/>
        <v>0</v>
      </c>
      <c r="BQ155" s="387">
        <f t="shared" si="101"/>
        <v>0</v>
      </c>
      <c r="BR155" s="387">
        <f t="shared" si="102"/>
        <v>0</v>
      </c>
      <c r="BS155" s="387">
        <f t="shared" si="103"/>
        <v>0</v>
      </c>
      <c r="BT155" s="387">
        <f t="shared" si="104"/>
        <v>0</v>
      </c>
      <c r="BU155" s="387">
        <f t="shared" si="105"/>
        <v>0</v>
      </c>
      <c r="BV155" s="387">
        <f t="shared" si="106"/>
        <v>0</v>
      </c>
      <c r="BW155" s="387">
        <f t="shared" si="107"/>
        <v>0</v>
      </c>
      <c r="BX155" s="387">
        <f t="shared" si="122"/>
        <v>0</v>
      </c>
      <c r="BY155" s="387">
        <f t="shared" si="123"/>
        <v>0</v>
      </c>
      <c r="BZ155" s="387">
        <f t="shared" si="124"/>
        <v>0</v>
      </c>
      <c r="CA155" s="387">
        <f t="shared" si="125"/>
        <v>0</v>
      </c>
      <c r="CB155" s="387">
        <f t="shared" si="126"/>
        <v>0</v>
      </c>
      <c r="CC155" s="387">
        <f t="shared" si="108"/>
        <v>0</v>
      </c>
      <c r="CD155" s="387">
        <f t="shared" si="109"/>
        <v>0</v>
      </c>
      <c r="CE155" s="387">
        <f t="shared" si="110"/>
        <v>0</v>
      </c>
      <c r="CF155" s="387">
        <f t="shared" si="111"/>
        <v>0</v>
      </c>
      <c r="CG155" s="387">
        <f t="shared" si="112"/>
        <v>0</v>
      </c>
      <c r="CH155" s="387">
        <f t="shared" si="113"/>
        <v>0</v>
      </c>
      <c r="CI155" s="387">
        <f t="shared" si="114"/>
        <v>0</v>
      </c>
      <c r="CJ155" s="387">
        <f t="shared" si="127"/>
        <v>0</v>
      </c>
      <c r="CK155" s="387" t="str">
        <f t="shared" si="128"/>
        <v/>
      </c>
      <c r="CL155" s="387" t="str">
        <f t="shared" si="129"/>
        <v/>
      </c>
      <c r="CM155" s="387" t="str">
        <f t="shared" si="130"/>
        <v/>
      </c>
      <c r="CN155" s="387" t="str">
        <f t="shared" si="131"/>
        <v>0302-00</v>
      </c>
    </row>
    <row r="156" spans="1:92" ht="15.75" thickBot="1" x14ac:dyDescent="0.3">
      <c r="A156" s="376" t="s">
        <v>161</v>
      </c>
      <c r="B156" s="376" t="s">
        <v>162</v>
      </c>
      <c r="C156" s="376" t="s">
        <v>199</v>
      </c>
      <c r="D156" s="376" t="s">
        <v>164</v>
      </c>
      <c r="E156" s="376" t="s">
        <v>165</v>
      </c>
      <c r="F156" s="377" t="s">
        <v>166</v>
      </c>
      <c r="G156" s="376" t="s">
        <v>781</v>
      </c>
      <c r="H156" s="378"/>
      <c r="I156" s="378"/>
      <c r="J156" s="376" t="s">
        <v>168</v>
      </c>
      <c r="K156" s="376" t="s">
        <v>169</v>
      </c>
      <c r="L156" s="376" t="s">
        <v>170</v>
      </c>
      <c r="M156" s="376" t="s">
        <v>171</v>
      </c>
      <c r="N156" s="376" t="s">
        <v>172</v>
      </c>
      <c r="O156" s="379">
        <v>1</v>
      </c>
      <c r="P156" s="385">
        <v>0</v>
      </c>
      <c r="Q156" s="385">
        <v>0</v>
      </c>
      <c r="R156" s="380">
        <v>80</v>
      </c>
      <c r="S156" s="385">
        <v>0</v>
      </c>
      <c r="T156" s="380">
        <v>25373.08</v>
      </c>
      <c r="U156" s="380">
        <v>0</v>
      </c>
      <c r="V156" s="380">
        <v>10047.91</v>
      </c>
      <c r="W156" s="380">
        <v>0</v>
      </c>
      <c r="X156" s="380">
        <v>0</v>
      </c>
      <c r="Y156" s="380">
        <v>0</v>
      </c>
      <c r="Z156" s="380">
        <v>0</v>
      </c>
      <c r="AA156" s="376" t="s">
        <v>200</v>
      </c>
      <c r="AB156" s="376" t="s">
        <v>201</v>
      </c>
      <c r="AC156" s="376" t="s">
        <v>202</v>
      </c>
      <c r="AD156" s="376" t="s">
        <v>170</v>
      </c>
      <c r="AE156" s="376" t="s">
        <v>169</v>
      </c>
      <c r="AF156" s="376" t="s">
        <v>177</v>
      </c>
      <c r="AG156" s="376" t="s">
        <v>178</v>
      </c>
      <c r="AH156" s="381">
        <v>31.2</v>
      </c>
      <c r="AI156" s="381">
        <v>36521.800000000003</v>
      </c>
      <c r="AJ156" s="376" t="s">
        <v>179</v>
      </c>
      <c r="AK156" s="376" t="s">
        <v>180</v>
      </c>
      <c r="AL156" s="376" t="s">
        <v>181</v>
      </c>
      <c r="AM156" s="376" t="s">
        <v>182</v>
      </c>
      <c r="AN156" s="376" t="s">
        <v>68</v>
      </c>
      <c r="AO156" s="379">
        <v>80</v>
      </c>
      <c r="AP156" s="385">
        <v>1</v>
      </c>
      <c r="AQ156" s="385">
        <v>0</v>
      </c>
      <c r="AR156" s="383" t="s">
        <v>183</v>
      </c>
      <c r="AS156" s="387">
        <f t="shared" si="115"/>
        <v>0</v>
      </c>
      <c r="AT156">
        <f t="shared" si="116"/>
        <v>0</v>
      </c>
      <c r="AU156" s="387" t="str">
        <f>IF(AT156=0,"",IF(AND(AT156=1,M156="F",SUMIF(C2:C1334,C156,AS2:AS1334)&lt;=1),SUMIF(C2:C1334,C156,AS2:AS1334),IF(AND(AT156=1,M156="F",SUMIF(C2:C1334,C156,AS2:AS1334)&gt;1),1,"")))</f>
        <v/>
      </c>
      <c r="AV156" s="387" t="str">
        <f>IF(AT156=0,"",IF(AND(AT156=3,M156="F",SUMIF(C2:C1334,C156,AS2:AS1334)&lt;=1),SUMIF(C2:C1334,C156,AS2:AS1334),IF(AND(AT156=3,M156="F",SUMIF(C2:C1334,C156,AS2:AS1334)&gt;1),1,"")))</f>
        <v/>
      </c>
      <c r="AW156" s="387">
        <f>SUMIF(C2:C1334,C156,O2:O1334)</f>
        <v>4</v>
      </c>
      <c r="AX156" s="387">
        <f>IF(AND(M156="F",AS156&lt;&gt;0),SUMIF(C2:C1334,C156,W2:W1334),0)</f>
        <v>0</v>
      </c>
      <c r="AY156" s="387" t="str">
        <f t="shared" si="117"/>
        <v/>
      </c>
      <c r="AZ156" s="387" t="str">
        <f t="shared" si="118"/>
        <v/>
      </c>
      <c r="BA156" s="387">
        <f t="shared" si="119"/>
        <v>0</v>
      </c>
      <c r="BB156" s="387">
        <f t="shared" si="88"/>
        <v>0</v>
      </c>
      <c r="BC156" s="387">
        <f t="shared" si="89"/>
        <v>0</v>
      </c>
      <c r="BD156" s="387">
        <f t="shared" si="90"/>
        <v>0</v>
      </c>
      <c r="BE156" s="387">
        <f t="shared" si="91"/>
        <v>0</v>
      </c>
      <c r="BF156" s="387">
        <f t="shared" si="92"/>
        <v>0</v>
      </c>
      <c r="BG156" s="387">
        <f t="shared" si="93"/>
        <v>0</v>
      </c>
      <c r="BH156" s="387">
        <f t="shared" si="94"/>
        <v>0</v>
      </c>
      <c r="BI156" s="387">
        <f t="shared" si="95"/>
        <v>0</v>
      </c>
      <c r="BJ156" s="387">
        <f t="shared" si="96"/>
        <v>0</v>
      </c>
      <c r="BK156" s="387">
        <f t="shared" si="97"/>
        <v>0</v>
      </c>
      <c r="BL156" s="387">
        <f t="shared" si="120"/>
        <v>0</v>
      </c>
      <c r="BM156" s="387">
        <f t="shared" si="121"/>
        <v>0</v>
      </c>
      <c r="BN156" s="387">
        <f t="shared" si="98"/>
        <v>0</v>
      </c>
      <c r="BO156" s="387">
        <f t="shared" si="99"/>
        <v>0</v>
      </c>
      <c r="BP156" s="387">
        <f t="shared" si="100"/>
        <v>0</v>
      </c>
      <c r="BQ156" s="387">
        <f t="shared" si="101"/>
        <v>0</v>
      </c>
      <c r="BR156" s="387">
        <f t="shared" si="102"/>
        <v>0</v>
      </c>
      <c r="BS156" s="387">
        <f t="shared" si="103"/>
        <v>0</v>
      </c>
      <c r="BT156" s="387">
        <f t="shared" si="104"/>
        <v>0</v>
      </c>
      <c r="BU156" s="387">
        <f t="shared" si="105"/>
        <v>0</v>
      </c>
      <c r="BV156" s="387">
        <f t="shared" si="106"/>
        <v>0</v>
      </c>
      <c r="BW156" s="387">
        <f t="shared" si="107"/>
        <v>0</v>
      </c>
      <c r="BX156" s="387">
        <f t="shared" si="122"/>
        <v>0</v>
      </c>
      <c r="BY156" s="387">
        <f t="shared" si="123"/>
        <v>0</v>
      </c>
      <c r="BZ156" s="387">
        <f t="shared" si="124"/>
        <v>0</v>
      </c>
      <c r="CA156" s="387">
        <f t="shared" si="125"/>
        <v>0</v>
      </c>
      <c r="CB156" s="387">
        <f t="shared" si="126"/>
        <v>0</v>
      </c>
      <c r="CC156" s="387">
        <f t="shared" si="108"/>
        <v>0</v>
      </c>
      <c r="CD156" s="387">
        <f t="shared" si="109"/>
        <v>0</v>
      </c>
      <c r="CE156" s="387">
        <f t="shared" si="110"/>
        <v>0</v>
      </c>
      <c r="CF156" s="387">
        <f t="shared" si="111"/>
        <v>0</v>
      </c>
      <c r="CG156" s="387">
        <f t="shared" si="112"/>
        <v>0</v>
      </c>
      <c r="CH156" s="387">
        <f t="shared" si="113"/>
        <v>0</v>
      </c>
      <c r="CI156" s="387">
        <f t="shared" si="114"/>
        <v>0</v>
      </c>
      <c r="CJ156" s="387">
        <f t="shared" si="127"/>
        <v>0</v>
      </c>
      <c r="CK156" s="387" t="str">
        <f t="shared" si="128"/>
        <v/>
      </c>
      <c r="CL156" s="387" t="str">
        <f t="shared" si="129"/>
        <v/>
      </c>
      <c r="CM156" s="387" t="str">
        <f t="shared" si="130"/>
        <v/>
      </c>
      <c r="CN156" s="387" t="str">
        <f t="shared" si="131"/>
        <v>0302-00</v>
      </c>
    </row>
    <row r="157" spans="1:92" ht="15.75" thickBot="1" x14ac:dyDescent="0.3">
      <c r="A157" s="376" t="s">
        <v>161</v>
      </c>
      <c r="B157" s="376" t="s">
        <v>162</v>
      </c>
      <c r="C157" s="376" t="s">
        <v>670</v>
      </c>
      <c r="D157" s="376" t="s">
        <v>263</v>
      </c>
      <c r="E157" s="376" t="s">
        <v>165</v>
      </c>
      <c r="F157" s="377" t="s">
        <v>166</v>
      </c>
      <c r="G157" s="376" t="s">
        <v>781</v>
      </c>
      <c r="H157" s="378"/>
      <c r="I157" s="378"/>
      <c r="J157" s="376" t="s">
        <v>239</v>
      </c>
      <c r="K157" s="376" t="s">
        <v>264</v>
      </c>
      <c r="L157" s="376" t="s">
        <v>210</v>
      </c>
      <c r="M157" s="376" t="s">
        <v>171</v>
      </c>
      <c r="N157" s="376" t="s">
        <v>172</v>
      </c>
      <c r="O157" s="379">
        <v>1</v>
      </c>
      <c r="P157" s="385">
        <v>0</v>
      </c>
      <c r="Q157" s="385">
        <v>0</v>
      </c>
      <c r="R157" s="380">
        <v>80</v>
      </c>
      <c r="S157" s="385">
        <v>0</v>
      </c>
      <c r="T157" s="380">
        <v>311.63</v>
      </c>
      <c r="U157" s="380">
        <v>0</v>
      </c>
      <c r="V157" s="380">
        <v>79.23</v>
      </c>
      <c r="W157" s="380">
        <v>0</v>
      </c>
      <c r="X157" s="380">
        <v>0</v>
      </c>
      <c r="Y157" s="380">
        <v>0</v>
      </c>
      <c r="Z157" s="380">
        <v>0</v>
      </c>
      <c r="AA157" s="376" t="s">
        <v>671</v>
      </c>
      <c r="AB157" s="376" t="s">
        <v>672</v>
      </c>
      <c r="AC157" s="376" t="s">
        <v>673</v>
      </c>
      <c r="AD157" s="376" t="s">
        <v>176</v>
      </c>
      <c r="AE157" s="376" t="s">
        <v>264</v>
      </c>
      <c r="AF157" s="376" t="s">
        <v>245</v>
      </c>
      <c r="AG157" s="376" t="s">
        <v>178</v>
      </c>
      <c r="AH157" s="381">
        <v>27.39</v>
      </c>
      <c r="AI157" s="381">
        <v>5961.5</v>
      </c>
      <c r="AJ157" s="376" t="s">
        <v>179</v>
      </c>
      <c r="AK157" s="376" t="s">
        <v>180</v>
      </c>
      <c r="AL157" s="376" t="s">
        <v>181</v>
      </c>
      <c r="AM157" s="376" t="s">
        <v>182</v>
      </c>
      <c r="AN157" s="376" t="s">
        <v>68</v>
      </c>
      <c r="AO157" s="379">
        <v>80</v>
      </c>
      <c r="AP157" s="385">
        <v>1</v>
      </c>
      <c r="AQ157" s="385">
        <v>0</v>
      </c>
      <c r="AR157" s="383" t="s">
        <v>183</v>
      </c>
      <c r="AS157" s="387">
        <f t="shared" si="115"/>
        <v>0</v>
      </c>
      <c r="AT157">
        <f t="shared" si="116"/>
        <v>0</v>
      </c>
      <c r="AU157" s="387" t="str">
        <f>IF(AT157=0,"",IF(AND(AT157=1,M157="F",SUMIF(C2:C1334,C157,AS2:AS1334)&lt;=1),SUMIF(C2:C1334,C157,AS2:AS1334),IF(AND(AT157=1,M157="F",SUMIF(C2:C1334,C157,AS2:AS1334)&gt;1),1,"")))</f>
        <v/>
      </c>
      <c r="AV157" s="387" t="str">
        <f>IF(AT157=0,"",IF(AND(AT157=3,M157="F",SUMIF(C2:C1334,C157,AS2:AS1334)&lt;=1),SUMIF(C2:C1334,C157,AS2:AS1334),IF(AND(AT157=3,M157="F",SUMIF(C2:C1334,C157,AS2:AS1334)&gt;1),1,"")))</f>
        <v/>
      </c>
      <c r="AW157" s="387">
        <f>SUMIF(C2:C1334,C157,O2:O1334)</f>
        <v>6</v>
      </c>
      <c r="AX157" s="387">
        <f>IF(AND(M157="F",AS157&lt;&gt;0),SUMIF(C2:C1334,C157,W2:W1334),0)</f>
        <v>0</v>
      </c>
      <c r="AY157" s="387" t="str">
        <f t="shared" si="117"/>
        <v/>
      </c>
      <c r="AZ157" s="387" t="str">
        <f t="shared" si="118"/>
        <v/>
      </c>
      <c r="BA157" s="387">
        <f t="shared" si="119"/>
        <v>0</v>
      </c>
      <c r="BB157" s="387">
        <f t="shared" si="88"/>
        <v>0</v>
      </c>
      <c r="BC157" s="387">
        <f t="shared" si="89"/>
        <v>0</v>
      </c>
      <c r="BD157" s="387">
        <f t="shared" si="90"/>
        <v>0</v>
      </c>
      <c r="BE157" s="387">
        <f t="shared" si="91"/>
        <v>0</v>
      </c>
      <c r="BF157" s="387">
        <f t="shared" si="92"/>
        <v>0</v>
      </c>
      <c r="BG157" s="387">
        <f t="shared" si="93"/>
        <v>0</v>
      </c>
      <c r="BH157" s="387">
        <f t="shared" si="94"/>
        <v>0</v>
      </c>
      <c r="BI157" s="387">
        <f t="shared" si="95"/>
        <v>0</v>
      </c>
      <c r="BJ157" s="387">
        <f t="shared" si="96"/>
        <v>0</v>
      </c>
      <c r="BK157" s="387">
        <f t="shared" si="97"/>
        <v>0</v>
      </c>
      <c r="BL157" s="387">
        <f t="shared" si="120"/>
        <v>0</v>
      </c>
      <c r="BM157" s="387">
        <f t="shared" si="121"/>
        <v>0</v>
      </c>
      <c r="BN157" s="387">
        <f t="shared" si="98"/>
        <v>0</v>
      </c>
      <c r="BO157" s="387">
        <f t="shared" si="99"/>
        <v>0</v>
      </c>
      <c r="BP157" s="387">
        <f t="shared" si="100"/>
        <v>0</v>
      </c>
      <c r="BQ157" s="387">
        <f t="shared" si="101"/>
        <v>0</v>
      </c>
      <c r="BR157" s="387">
        <f t="shared" si="102"/>
        <v>0</v>
      </c>
      <c r="BS157" s="387">
        <f t="shared" si="103"/>
        <v>0</v>
      </c>
      <c r="BT157" s="387">
        <f t="shared" si="104"/>
        <v>0</v>
      </c>
      <c r="BU157" s="387">
        <f t="shared" si="105"/>
        <v>0</v>
      </c>
      <c r="BV157" s="387">
        <f t="shared" si="106"/>
        <v>0</v>
      </c>
      <c r="BW157" s="387">
        <f t="shared" si="107"/>
        <v>0</v>
      </c>
      <c r="BX157" s="387">
        <f t="shared" si="122"/>
        <v>0</v>
      </c>
      <c r="BY157" s="387">
        <f t="shared" si="123"/>
        <v>0</v>
      </c>
      <c r="BZ157" s="387">
        <f t="shared" si="124"/>
        <v>0</v>
      </c>
      <c r="CA157" s="387">
        <f t="shared" si="125"/>
        <v>0</v>
      </c>
      <c r="CB157" s="387">
        <f t="shared" si="126"/>
        <v>0</v>
      </c>
      <c r="CC157" s="387">
        <f t="shared" si="108"/>
        <v>0</v>
      </c>
      <c r="CD157" s="387">
        <f t="shared" si="109"/>
        <v>0</v>
      </c>
      <c r="CE157" s="387">
        <f t="shared" si="110"/>
        <v>0</v>
      </c>
      <c r="CF157" s="387">
        <f t="shared" si="111"/>
        <v>0</v>
      </c>
      <c r="CG157" s="387">
        <f t="shared" si="112"/>
        <v>0</v>
      </c>
      <c r="CH157" s="387">
        <f t="shared" si="113"/>
        <v>0</v>
      </c>
      <c r="CI157" s="387">
        <f t="shared" si="114"/>
        <v>0</v>
      </c>
      <c r="CJ157" s="387">
        <f t="shared" si="127"/>
        <v>0</v>
      </c>
      <c r="CK157" s="387" t="str">
        <f t="shared" si="128"/>
        <v/>
      </c>
      <c r="CL157" s="387" t="str">
        <f t="shared" si="129"/>
        <v/>
      </c>
      <c r="CM157" s="387" t="str">
        <f t="shared" si="130"/>
        <v/>
      </c>
      <c r="CN157" s="387" t="str">
        <f t="shared" si="131"/>
        <v>0302-00</v>
      </c>
    </row>
    <row r="158" spans="1:92" ht="15.75" thickBot="1" x14ac:dyDescent="0.3">
      <c r="A158" s="376" t="s">
        <v>161</v>
      </c>
      <c r="B158" s="376" t="s">
        <v>162</v>
      </c>
      <c r="C158" s="376" t="s">
        <v>203</v>
      </c>
      <c r="D158" s="376" t="s">
        <v>204</v>
      </c>
      <c r="E158" s="376" t="s">
        <v>165</v>
      </c>
      <c r="F158" s="377" t="s">
        <v>166</v>
      </c>
      <c r="G158" s="376" t="s">
        <v>781</v>
      </c>
      <c r="H158" s="378"/>
      <c r="I158" s="378"/>
      <c r="J158" s="376" t="s">
        <v>205</v>
      </c>
      <c r="K158" s="376" t="s">
        <v>206</v>
      </c>
      <c r="L158" s="376" t="s">
        <v>181</v>
      </c>
      <c r="M158" s="376" t="s">
        <v>171</v>
      </c>
      <c r="N158" s="376" t="s">
        <v>172</v>
      </c>
      <c r="O158" s="379">
        <v>1</v>
      </c>
      <c r="P158" s="385">
        <v>0</v>
      </c>
      <c r="Q158" s="385">
        <v>0</v>
      </c>
      <c r="R158" s="380">
        <v>80</v>
      </c>
      <c r="S158" s="385">
        <v>0</v>
      </c>
      <c r="T158" s="380">
        <v>33854.660000000003</v>
      </c>
      <c r="U158" s="380">
        <v>0</v>
      </c>
      <c r="V158" s="380">
        <v>12139.03</v>
      </c>
      <c r="W158" s="380">
        <v>0</v>
      </c>
      <c r="X158" s="380">
        <v>0</v>
      </c>
      <c r="Y158" s="380">
        <v>0</v>
      </c>
      <c r="Z158" s="380">
        <v>0</v>
      </c>
      <c r="AA158" s="376" t="s">
        <v>207</v>
      </c>
      <c r="AB158" s="376" t="s">
        <v>208</v>
      </c>
      <c r="AC158" s="376" t="s">
        <v>209</v>
      </c>
      <c r="AD158" s="376" t="s">
        <v>210</v>
      </c>
      <c r="AE158" s="376" t="s">
        <v>206</v>
      </c>
      <c r="AF158" s="376" t="s">
        <v>211</v>
      </c>
      <c r="AG158" s="376" t="s">
        <v>178</v>
      </c>
      <c r="AH158" s="381">
        <v>38.49</v>
      </c>
      <c r="AI158" s="379">
        <v>31638</v>
      </c>
      <c r="AJ158" s="376" t="s">
        <v>179</v>
      </c>
      <c r="AK158" s="376" t="s">
        <v>180</v>
      </c>
      <c r="AL158" s="376" t="s">
        <v>181</v>
      </c>
      <c r="AM158" s="376" t="s">
        <v>182</v>
      </c>
      <c r="AN158" s="376" t="s">
        <v>68</v>
      </c>
      <c r="AO158" s="379">
        <v>80</v>
      </c>
      <c r="AP158" s="385">
        <v>1</v>
      </c>
      <c r="AQ158" s="385">
        <v>0</v>
      </c>
      <c r="AR158" s="383" t="s">
        <v>183</v>
      </c>
      <c r="AS158" s="387">
        <f t="shared" si="115"/>
        <v>0</v>
      </c>
      <c r="AT158">
        <f t="shared" si="116"/>
        <v>0</v>
      </c>
      <c r="AU158" s="387" t="str">
        <f>IF(AT158=0,"",IF(AND(AT158=1,M158="F",SUMIF(C2:C1334,C158,AS2:AS1334)&lt;=1),SUMIF(C2:C1334,C158,AS2:AS1334),IF(AND(AT158=1,M158="F",SUMIF(C2:C1334,C158,AS2:AS1334)&gt;1),1,"")))</f>
        <v/>
      </c>
      <c r="AV158" s="387" t="str">
        <f>IF(AT158=0,"",IF(AND(AT158=3,M158="F",SUMIF(C2:C1334,C158,AS2:AS1334)&lt;=1),SUMIF(C2:C1334,C158,AS2:AS1334),IF(AND(AT158=3,M158="F",SUMIF(C2:C1334,C158,AS2:AS1334)&gt;1),1,"")))</f>
        <v/>
      </c>
      <c r="AW158" s="387">
        <f>SUMIF(C2:C1334,C158,O2:O1334)</f>
        <v>4</v>
      </c>
      <c r="AX158" s="387">
        <f>IF(AND(M158="F",AS158&lt;&gt;0),SUMIF(C2:C1334,C158,W2:W1334),0)</f>
        <v>0</v>
      </c>
      <c r="AY158" s="387" t="str">
        <f t="shared" si="117"/>
        <v/>
      </c>
      <c r="AZ158" s="387" t="str">
        <f t="shared" si="118"/>
        <v/>
      </c>
      <c r="BA158" s="387">
        <f t="shared" si="119"/>
        <v>0</v>
      </c>
      <c r="BB158" s="387">
        <f t="shared" si="88"/>
        <v>0</v>
      </c>
      <c r="BC158" s="387">
        <f t="shared" si="89"/>
        <v>0</v>
      </c>
      <c r="BD158" s="387">
        <f t="shared" si="90"/>
        <v>0</v>
      </c>
      <c r="BE158" s="387">
        <f t="shared" si="91"/>
        <v>0</v>
      </c>
      <c r="BF158" s="387">
        <f t="shared" si="92"/>
        <v>0</v>
      </c>
      <c r="BG158" s="387">
        <f t="shared" si="93"/>
        <v>0</v>
      </c>
      <c r="BH158" s="387">
        <f t="shared" si="94"/>
        <v>0</v>
      </c>
      <c r="BI158" s="387">
        <f t="shared" si="95"/>
        <v>0</v>
      </c>
      <c r="BJ158" s="387">
        <f t="shared" si="96"/>
        <v>0</v>
      </c>
      <c r="BK158" s="387">
        <f t="shared" si="97"/>
        <v>0</v>
      </c>
      <c r="BL158" s="387">
        <f t="shared" si="120"/>
        <v>0</v>
      </c>
      <c r="BM158" s="387">
        <f t="shared" si="121"/>
        <v>0</v>
      </c>
      <c r="BN158" s="387">
        <f t="shared" si="98"/>
        <v>0</v>
      </c>
      <c r="BO158" s="387">
        <f t="shared" si="99"/>
        <v>0</v>
      </c>
      <c r="BP158" s="387">
        <f t="shared" si="100"/>
        <v>0</v>
      </c>
      <c r="BQ158" s="387">
        <f t="shared" si="101"/>
        <v>0</v>
      </c>
      <c r="BR158" s="387">
        <f t="shared" si="102"/>
        <v>0</v>
      </c>
      <c r="BS158" s="387">
        <f t="shared" si="103"/>
        <v>0</v>
      </c>
      <c r="BT158" s="387">
        <f t="shared" si="104"/>
        <v>0</v>
      </c>
      <c r="BU158" s="387">
        <f t="shared" si="105"/>
        <v>0</v>
      </c>
      <c r="BV158" s="387">
        <f t="shared" si="106"/>
        <v>0</v>
      </c>
      <c r="BW158" s="387">
        <f t="shared" si="107"/>
        <v>0</v>
      </c>
      <c r="BX158" s="387">
        <f t="shared" si="122"/>
        <v>0</v>
      </c>
      <c r="BY158" s="387">
        <f t="shared" si="123"/>
        <v>0</v>
      </c>
      <c r="BZ158" s="387">
        <f t="shared" si="124"/>
        <v>0</v>
      </c>
      <c r="CA158" s="387">
        <f t="shared" si="125"/>
        <v>0</v>
      </c>
      <c r="CB158" s="387">
        <f t="shared" si="126"/>
        <v>0</v>
      </c>
      <c r="CC158" s="387">
        <f t="shared" si="108"/>
        <v>0</v>
      </c>
      <c r="CD158" s="387">
        <f t="shared" si="109"/>
        <v>0</v>
      </c>
      <c r="CE158" s="387">
        <f t="shared" si="110"/>
        <v>0</v>
      </c>
      <c r="CF158" s="387">
        <f t="shared" si="111"/>
        <v>0</v>
      </c>
      <c r="CG158" s="387">
        <f t="shared" si="112"/>
        <v>0</v>
      </c>
      <c r="CH158" s="387">
        <f t="shared" si="113"/>
        <v>0</v>
      </c>
      <c r="CI158" s="387">
        <f t="shared" si="114"/>
        <v>0</v>
      </c>
      <c r="CJ158" s="387">
        <f t="shared" si="127"/>
        <v>0</v>
      </c>
      <c r="CK158" s="387" t="str">
        <f t="shared" si="128"/>
        <v/>
      </c>
      <c r="CL158" s="387" t="str">
        <f t="shared" si="129"/>
        <v/>
      </c>
      <c r="CM158" s="387" t="str">
        <f t="shared" si="130"/>
        <v/>
      </c>
      <c r="CN158" s="387" t="str">
        <f t="shared" si="131"/>
        <v>0302-00</v>
      </c>
    </row>
    <row r="159" spans="1:92" ht="15.75" thickBot="1" x14ac:dyDescent="0.3">
      <c r="A159" s="376" t="s">
        <v>161</v>
      </c>
      <c r="B159" s="376" t="s">
        <v>162</v>
      </c>
      <c r="C159" s="376" t="s">
        <v>782</v>
      </c>
      <c r="D159" s="376" t="s">
        <v>783</v>
      </c>
      <c r="E159" s="376" t="s">
        <v>214</v>
      </c>
      <c r="F159" s="377" t="s">
        <v>166</v>
      </c>
      <c r="G159" s="376" t="s">
        <v>781</v>
      </c>
      <c r="H159" s="378"/>
      <c r="I159" s="378"/>
      <c r="J159" s="376" t="s">
        <v>239</v>
      </c>
      <c r="K159" s="376" t="s">
        <v>784</v>
      </c>
      <c r="L159" s="376" t="s">
        <v>351</v>
      </c>
      <c r="M159" s="376" t="s">
        <v>272</v>
      </c>
      <c r="N159" s="376" t="s">
        <v>172</v>
      </c>
      <c r="O159" s="379">
        <v>0</v>
      </c>
      <c r="P159" s="385">
        <v>0.5</v>
      </c>
      <c r="Q159" s="385">
        <v>0.5</v>
      </c>
      <c r="R159" s="380">
        <v>80</v>
      </c>
      <c r="S159" s="385">
        <v>0.5</v>
      </c>
      <c r="T159" s="380">
        <v>24760.400000000001</v>
      </c>
      <c r="U159" s="380">
        <v>0</v>
      </c>
      <c r="V159" s="380">
        <v>8562.2000000000007</v>
      </c>
      <c r="W159" s="380">
        <v>39582.400000000001</v>
      </c>
      <c r="X159" s="380">
        <v>17337.09</v>
      </c>
      <c r="Y159" s="380">
        <v>39582.400000000001</v>
      </c>
      <c r="Z159" s="380">
        <v>17139.169999999998</v>
      </c>
      <c r="AA159" s="378"/>
      <c r="AB159" s="376" t="s">
        <v>45</v>
      </c>
      <c r="AC159" s="376" t="s">
        <v>45</v>
      </c>
      <c r="AD159" s="378"/>
      <c r="AE159" s="378"/>
      <c r="AF159" s="378"/>
      <c r="AG159" s="378"/>
      <c r="AH159" s="379">
        <v>0</v>
      </c>
      <c r="AI159" s="379">
        <v>0</v>
      </c>
      <c r="AJ159" s="378"/>
      <c r="AK159" s="378"/>
      <c r="AL159" s="376" t="s">
        <v>181</v>
      </c>
      <c r="AM159" s="378"/>
      <c r="AN159" s="378"/>
      <c r="AO159" s="379">
        <v>0</v>
      </c>
      <c r="AP159" s="385">
        <v>0</v>
      </c>
      <c r="AQ159" s="385">
        <v>0</v>
      </c>
      <c r="AR159" s="384"/>
      <c r="AS159" s="387">
        <f t="shared" si="115"/>
        <v>0</v>
      </c>
      <c r="AT159">
        <f t="shared" si="116"/>
        <v>0</v>
      </c>
      <c r="AU159" s="387" t="str">
        <f>IF(AT159=0,"",IF(AND(AT159=1,M159="F",SUMIF(C2:C1334,C159,AS2:AS1334)&lt;=1),SUMIF(C2:C1334,C159,AS2:AS1334),IF(AND(AT159=1,M159="F",SUMIF(C2:C1334,C159,AS2:AS1334)&gt;1),1,"")))</f>
        <v/>
      </c>
      <c r="AV159" s="387" t="str">
        <f>IF(AT159=0,"",IF(AND(AT159=3,M159="F",SUMIF(C2:C1334,C159,AS2:AS1334)&lt;=1),SUMIF(C2:C1334,C159,AS2:AS1334),IF(AND(AT159=3,M159="F",SUMIF(C2:C1334,C159,AS2:AS1334)&gt;1),1,"")))</f>
        <v/>
      </c>
      <c r="AW159" s="387">
        <f>SUMIF(C2:C1334,C159,O2:O1334)</f>
        <v>0</v>
      </c>
      <c r="AX159" s="387">
        <f>IF(AND(M159="F",AS159&lt;&gt;0),SUMIF(C2:C1334,C159,W2:W1334),0)</f>
        <v>0</v>
      </c>
      <c r="AY159" s="387" t="str">
        <f t="shared" si="117"/>
        <v/>
      </c>
      <c r="AZ159" s="387" t="str">
        <f t="shared" si="118"/>
        <v/>
      </c>
      <c r="BA159" s="387">
        <f t="shared" si="119"/>
        <v>0</v>
      </c>
      <c r="BB159" s="387">
        <f t="shared" si="88"/>
        <v>0</v>
      </c>
      <c r="BC159" s="387">
        <f t="shared" si="89"/>
        <v>0</v>
      </c>
      <c r="BD159" s="387">
        <f t="shared" si="90"/>
        <v>0</v>
      </c>
      <c r="BE159" s="387">
        <f t="shared" si="91"/>
        <v>0</v>
      </c>
      <c r="BF159" s="387">
        <f t="shared" si="92"/>
        <v>0</v>
      </c>
      <c r="BG159" s="387">
        <f t="shared" si="93"/>
        <v>0</v>
      </c>
      <c r="BH159" s="387">
        <f t="shared" si="94"/>
        <v>0</v>
      </c>
      <c r="BI159" s="387">
        <f t="shared" si="95"/>
        <v>0</v>
      </c>
      <c r="BJ159" s="387">
        <f t="shared" si="96"/>
        <v>0</v>
      </c>
      <c r="BK159" s="387">
        <f t="shared" si="97"/>
        <v>0</v>
      </c>
      <c r="BL159" s="387">
        <f t="shared" si="120"/>
        <v>0</v>
      </c>
      <c r="BM159" s="387">
        <f t="shared" si="121"/>
        <v>0</v>
      </c>
      <c r="BN159" s="387">
        <f t="shared" si="98"/>
        <v>0</v>
      </c>
      <c r="BO159" s="387">
        <f t="shared" si="99"/>
        <v>0</v>
      </c>
      <c r="BP159" s="387">
        <f t="shared" si="100"/>
        <v>0</v>
      </c>
      <c r="BQ159" s="387">
        <f t="shared" si="101"/>
        <v>0</v>
      </c>
      <c r="BR159" s="387">
        <f t="shared" si="102"/>
        <v>0</v>
      </c>
      <c r="BS159" s="387">
        <f t="shared" si="103"/>
        <v>0</v>
      </c>
      <c r="BT159" s="387">
        <f t="shared" si="104"/>
        <v>0</v>
      </c>
      <c r="BU159" s="387">
        <f t="shared" si="105"/>
        <v>0</v>
      </c>
      <c r="BV159" s="387">
        <f t="shared" si="106"/>
        <v>0</v>
      </c>
      <c r="BW159" s="387">
        <f t="shared" si="107"/>
        <v>0</v>
      </c>
      <c r="BX159" s="387">
        <f t="shared" si="122"/>
        <v>0</v>
      </c>
      <c r="BY159" s="387">
        <f t="shared" si="123"/>
        <v>0</v>
      </c>
      <c r="BZ159" s="387">
        <f t="shared" si="124"/>
        <v>0</v>
      </c>
      <c r="CA159" s="387">
        <f t="shared" si="125"/>
        <v>0</v>
      </c>
      <c r="CB159" s="387">
        <f t="shared" si="126"/>
        <v>0</v>
      </c>
      <c r="CC159" s="387">
        <f t="shared" si="108"/>
        <v>0</v>
      </c>
      <c r="CD159" s="387">
        <f t="shared" si="109"/>
        <v>0</v>
      </c>
      <c r="CE159" s="387">
        <f t="shared" si="110"/>
        <v>0</v>
      </c>
      <c r="CF159" s="387">
        <f t="shared" si="111"/>
        <v>0</v>
      </c>
      <c r="CG159" s="387">
        <f t="shared" si="112"/>
        <v>0</v>
      </c>
      <c r="CH159" s="387">
        <f t="shared" si="113"/>
        <v>0</v>
      </c>
      <c r="CI159" s="387">
        <f t="shared" si="114"/>
        <v>0</v>
      </c>
      <c r="CJ159" s="387">
        <f t="shared" si="127"/>
        <v>0</v>
      </c>
      <c r="CK159" s="387" t="str">
        <f t="shared" si="128"/>
        <v/>
      </c>
      <c r="CL159" s="387" t="str">
        <f t="shared" si="129"/>
        <v/>
      </c>
      <c r="CM159" s="387" t="str">
        <f t="shared" si="130"/>
        <v/>
      </c>
      <c r="CN159" s="387" t="str">
        <f t="shared" si="131"/>
        <v>0303-00</v>
      </c>
    </row>
    <row r="160" spans="1:92" ht="15.75" thickBot="1" x14ac:dyDescent="0.3">
      <c r="A160" s="376" t="s">
        <v>161</v>
      </c>
      <c r="B160" s="376" t="s">
        <v>162</v>
      </c>
      <c r="C160" s="376" t="s">
        <v>785</v>
      </c>
      <c r="D160" s="376" t="s">
        <v>786</v>
      </c>
      <c r="E160" s="376" t="s">
        <v>214</v>
      </c>
      <c r="F160" s="377" t="s">
        <v>166</v>
      </c>
      <c r="G160" s="376" t="s">
        <v>781</v>
      </c>
      <c r="H160" s="378"/>
      <c r="I160" s="378"/>
      <c r="J160" s="376" t="s">
        <v>215</v>
      </c>
      <c r="K160" s="376" t="s">
        <v>787</v>
      </c>
      <c r="L160" s="376" t="s">
        <v>181</v>
      </c>
      <c r="M160" s="376" t="s">
        <v>171</v>
      </c>
      <c r="N160" s="376" t="s">
        <v>172</v>
      </c>
      <c r="O160" s="379">
        <v>1</v>
      </c>
      <c r="P160" s="385">
        <v>0</v>
      </c>
      <c r="Q160" s="385">
        <v>0</v>
      </c>
      <c r="R160" s="380">
        <v>80</v>
      </c>
      <c r="S160" s="385">
        <v>0</v>
      </c>
      <c r="T160" s="380">
        <v>675</v>
      </c>
      <c r="U160" s="380">
        <v>0</v>
      </c>
      <c r="V160" s="380">
        <v>226.23</v>
      </c>
      <c r="W160" s="380">
        <v>0</v>
      </c>
      <c r="X160" s="380">
        <v>0</v>
      </c>
      <c r="Y160" s="380">
        <v>0</v>
      </c>
      <c r="Z160" s="380">
        <v>0</v>
      </c>
      <c r="AA160" s="376" t="s">
        <v>788</v>
      </c>
      <c r="AB160" s="376" t="s">
        <v>789</v>
      </c>
      <c r="AC160" s="376" t="s">
        <v>790</v>
      </c>
      <c r="AD160" s="376" t="s">
        <v>252</v>
      </c>
      <c r="AE160" s="376" t="s">
        <v>787</v>
      </c>
      <c r="AF160" s="376" t="s">
        <v>211</v>
      </c>
      <c r="AG160" s="376" t="s">
        <v>178</v>
      </c>
      <c r="AH160" s="381">
        <v>42.04</v>
      </c>
      <c r="AI160" s="381">
        <v>73560.800000000003</v>
      </c>
      <c r="AJ160" s="376" t="s">
        <v>179</v>
      </c>
      <c r="AK160" s="376" t="s">
        <v>180</v>
      </c>
      <c r="AL160" s="376" t="s">
        <v>181</v>
      </c>
      <c r="AM160" s="376" t="s">
        <v>182</v>
      </c>
      <c r="AN160" s="376" t="s">
        <v>68</v>
      </c>
      <c r="AO160" s="379">
        <v>80</v>
      </c>
      <c r="AP160" s="385">
        <v>1</v>
      </c>
      <c r="AQ160" s="385">
        <v>0</v>
      </c>
      <c r="AR160" s="383" t="s">
        <v>183</v>
      </c>
      <c r="AS160" s="387">
        <f t="shared" si="115"/>
        <v>0</v>
      </c>
      <c r="AT160">
        <f t="shared" si="116"/>
        <v>0</v>
      </c>
      <c r="AU160" s="387" t="str">
        <f>IF(AT160=0,"",IF(AND(AT160=1,M160="F",SUMIF(C2:C1334,C160,AS2:AS1334)&lt;=1),SUMIF(C2:C1334,C160,AS2:AS1334),IF(AND(AT160=1,M160="F",SUMIF(C2:C1334,C160,AS2:AS1334)&gt;1),1,"")))</f>
        <v/>
      </c>
      <c r="AV160" s="387" t="str">
        <f>IF(AT160=0,"",IF(AND(AT160=3,M160="F",SUMIF(C2:C1334,C160,AS2:AS1334)&lt;=1),SUMIF(C2:C1334,C160,AS2:AS1334),IF(AND(AT160=3,M160="F",SUMIF(C2:C1334,C160,AS2:AS1334)&gt;1),1,"")))</f>
        <v/>
      </c>
      <c r="AW160" s="387">
        <f>SUMIF(C2:C1334,C160,O2:O1334)</f>
        <v>3</v>
      </c>
      <c r="AX160" s="387">
        <f>IF(AND(M160="F",AS160&lt;&gt;0),SUMIF(C2:C1334,C160,W2:W1334),0)</f>
        <v>0</v>
      </c>
      <c r="AY160" s="387" t="str">
        <f t="shared" si="117"/>
        <v/>
      </c>
      <c r="AZ160" s="387" t="str">
        <f t="shared" si="118"/>
        <v/>
      </c>
      <c r="BA160" s="387">
        <f t="shared" si="119"/>
        <v>0</v>
      </c>
      <c r="BB160" s="387">
        <f t="shared" si="88"/>
        <v>0</v>
      </c>
      <c r="BC160" s="387">
        <f t="shared" si="89"/>
        <v>0</v>
      </c>
      <c r="BD160" s="387">
        <f t="shared" si="90"/>
        <v>0</v>
      </c>
      <c r="BE160" s="387">
        <f t="shared" si="91"/>
        <v>0</v>
      </c>
      <c r="BF160" s="387">
        <f t="shared" si="92"/>
        <v>0</v>
      </c>
      <c r="BG160" s="387">
        <f t="shared" si="93"/>
        <v>0</v>
      </c>
      <c r="BH160" s="387">
        <f t="shared" si="94"/>
        <v>0</v>
      </c>
      <c r="BI160" s="387">
        <f t="shared" si="95"/>
        <v>0</v>
      </c>
      <c r="BJ160" s="387">
        <f t="shared" si="96"/>
        <v>0</v>
      </c>
      <c r="BK160" s="387">
        <f t="shared" si="97"/>
        <v>0</v>
      </c>
      <c r="BL160" s="387">
        <f t="shared" si="120"/>
        <v>0</v>
      </c>
      <c r="BM160" s="387">
        <f t="shared" si="121"/>
        <v>0</v>
      </c>
      <c r="BN160" s="387">
        <f t="shared" si="98"/>
        <v>0</v>
      </c>
      <c r="BO160" s="387">
        <f t="shared" si="99"/>
        <v>0</v>
      </c>
      <c r="BP160" s="387">
        <f t="shared" si="100"/>
        <v>0</v>
      </c>
      <c r="BQ160" s="387">
        <f t="shared" si="101"/>
        <v>0</v>
      </c>
      <c r="BR160" s="387">
        <f t="shared" si="102"/>
        <v>0</v>
      </c>
      <c r="BS160" s="387">
        <f t="shared" si="103"/>
        <v>0</v>
      </c>
      <c r="BT160" s="387">
        <f t="shared" si="104"/>
        <v>0</v>
      </c>
      <c r="BU160" s="387">
        <f t="shared" si="105"/>
        <v>0</v>
      </c>
      <c r="BV160" s="387">
        <f t="shared" si="106"/>
        <v>0</v>
      </c>
      <c r="BW160" s="387">
        <f t="shared" si="107"/>
        <v>0</v>
      </c>
      <c r="BX160" s="387">
        <f t="shared" si="122"/>
        <v>0</v>
      </c>
      <c r="BY160" s="387">
        <f t="shared" si="123"/>
        <v>0</v>
      </c>
      <c r="BZ160" s="387">
        <f t="shared" si="124"/>
        <v>0</v>
      </c>
      <c r="CA160" s="387">
        <f t="shared" si="125"/>
        <v>0</v>
      </c>
      <c r="CB160" s="387">
        <f t="shared" si="126"/>
        <v>0</v>
      </c>
      <c r="CC160" s="387">
        <f t="shared" si="108"/>
        <v>0</v>
      </c>
      <c r="CD160" s="387">
        <f t="shared" si="109"/>
        <v>0</v>
      </c>
      <c r="CE160" s="387">
        <f t="shared" si="110"/>
        <v>0</v>
      </c>
      <c r="CF160" s="387">
        <f t="shared" si="111"/>
        <v>0</v>
      </c>
      <c r="CG160" s="387">
        <f t="shared" si="112"/>
        <v>0</v>
      </c>
      <c r="CH160" s="387">
        <f t="shared" si="113"/>
        <v>0</v>
      </c>
      <c r="CI160" s="387">
        <f t="shared" si="114"/>
        <v>0</v>
      </c>
      <c r="CJ160" s="387">
        <f t="shared" si="127"/>
        <v>0</v>
      </c>
      <c r="CK160" s="387" t="str">
        <f t="shared" si="128"/>
        <v/>
      </c>
      <c r="CL160" s="387" t="str">
        <f t="shared" si="129"/>
        <v/>
      </c>
      <c r="CM160" s="387" t="str">
        <f t="shared" si="130"/>
        <v/>
      </c>
      <c r="CN160" s="387" t="str">
        <f t="shared" si="131"/>
        <v>0303-00</v>
      </c>
    </row>
    <row r="161" spans="1:92" ht="15.75" thickBot="1" x14ac:dyDescent="0.3">
      <c r="A161" s="376" t="s">
        <v>161</v>
      </c>
      <c r="B161" s="376" t="s">
        <v>162</v>
      </c>
      <c r="C161" s="376" t="s">
        <v>791</v>
      </c>
      <c r="D161" s="376" t="s">
        <v>792</v>
      </c>
      <c r="E161" s="376" t="s">
        <v>214</v>
      </c>
      <c r="F161" s="377" t="s">
        <v>166</v>
      </c>
      <c r="G161" s="376" t="s">
        <v>781</v>
      </c>
      <c r="H161" s="378"/>
      <c r="I161" s="378"/>
      <c r="J161" s="376" t="s">
        <v>239</v>
      </c>
      <c r="K161" s="376" t="s">
        <v>793</v>
      </c>
      <c r="L161" s="376" t="s">
        <v>170</v>
      </c>
      <c r="M161" s="376" t="s">
        <v>171</v>
      </c>
      <c r="N161" s="376" t="s">
        <v>172</v>
      </c>
      <c r="O161" s="379">
        <v>1</v>
      </c>
      <c r="P161" s="385">
        <v>0</v>
      </c>
      <c r="Q161" s="385">
        <v>0</v>
      </c>
      <c r="R161" s="380">
        <v>80</v>
      </c>
      <c r="S161" s="385">
        <v>0</v>
      </c>
      <c r="T161" s="380">
        <v>3083.12</v>
      </c>
      <c r="U161" s="380">
        <v>0</v>
      </c>
      <c r="V161" s="380">
        <v>1305.7</v>
      </c>
      <c r="W161" s="380">
        <v>0</v>
      </c>
      <c r="X161" s="380">
        <v>0</v>
      </c>
      <c r="Y161" s="380">
        <v>0</v>
      </c>
      <c r="Z161" s="380">
        <v>0</v>
      </c>
      <c r="AA161" s="376" t="s">
        <v>794</v>
      </c>
      <c r="AB161" s="376" t="s">
        <v>795</v>
      </c>
      <c r="AC161" s="376" t="s">
        <v>796</v>
      </c>
      <c r="AD161" s="376" t="s">
        <v>296</v>
      </c>
      <c r="AE161" s="376" t="s">
        <v>793</v>
      </c>
      <c r="AF161" s="376" t="s">
        <v>177</v>
      </c>
      <c r="AG161" s="376" t="s">
        <v>178</v>
      </c>
      <c r="AH161" s="381">
        <v>24.8</v>
      </c>
      <c r="AI161" s="381">
        <v>35674.6</v>
      </c>
      <c r="AJ161" s="376" t="s">
        <v>179</v>
      </c>
      <c r="AK161" s="376" t="s">
        <v>180</v>
      </c>
      <c r="AL161" s="376" t="s">
        <v>181</v>
      </c>
      <c r="AM161" s="376" t="s">
        <v>182</v>
      </c>
      <c r="AN161" s="376" t="s">
        <v>68</v>
      </c>
      <c r="AO161" s="379">
        <v>80</v>
      </c>
      <c r="AP161" s="385">
        <v>1</v>
      </c>
      <c r="AQ161" s="385">
        <v>0</v>
      </c>
      <c r="AR161" s="383" t="s">
        <v>183</v>
      </c>
      <c r="AS161" s="387">
        <f t="shared" si="115"/>
        <v>0</v>
      </c>
      <c r="AT161">
        <f t="shared" si="116"/>
        <v>0</v>
      </c>
      <c r="AU161" s="387" t="str">
        <f>IF(AT161=0,"",IF(AND(AT161=1,M161="F",SUMIF(C2:C1334,C161,AS2:AS1334)&lt;=1),SUMIF(C2:C1334,C161,AS2:AS1334),IF(AND(AT161=1,M161="F",SUMIF(C2:C1334,C161,AS2:AS1334)&gt;1),1,"")))</f>
        <v/>
      </c>
      <c r="AV161" s="387" t="str">
        <f>IF(AT161=0,"",IF(AND(AT161=3,M161="F",SUMIF(C2:C1334,C161,AS2:AS1334)&lt;=1),SUMIF(C2:C1334,C161,AS2:AS1334),IF(AND(AT161=3,M161="F",SUMIF(C2:C1334,C161,AS2:AS1334)&gt;1),1,"")))</f>
        <v/>
      </c>
      <c r="AW161" s="387">
        <f>SUMIF(C2:C1334,C161,O2:O1334)</f>
        <v>3</v>
      </c>
      <c r="AX161" s="387">
        <f>IF(AND(M161="F",AS161&lt;&gt;0),SUMIF(C2:C1334,C161,W2:W1334),0)</f>
        <v>0</v>
      </c>
      <c r="AY161" s="387" t="str">
        <f t="shared" si="117"/>
        <v/>
      </c>
      <c r="AZ161" s="387" t="str">
        <f t="shared" si="118"/>
        <v/>
      </c>
      <c r="BA161" s="387">
        <f t="shared" si="119"/>
        <v>0</v>
      </c>
      <c r="BB161" s="387">
        <f t="shared" si="88"/>
        <v>0</v>
      </c>
      <c r="BC161" s="387">
        <f t="shared" si="89"/>
        <v>0</v>
      </c>
      <c r="BD161" s="387">
        <f t="shared" si="90"/>
        <v>0</v>
      </c>
      <c r="BE161" s="387">
        <f t="shared" si="91"/>
        <v>0</v>
      </c>
      <c r="BF161" s="387">
        <f t="shared" si="92"/>
        <v>0</v>
      </c>
      <c r="BG161" s="387">
        <f t="shared" si="93"/>
        <v>0</v>
      </c>
      <c r="BH161" s="387">
        <f t="shared" si="94"/>
        <v>0</v>
      </c>
      <c r="BI161" s="387">
        <f t="shared" si="95"/>
        <v>0</v>
      </c>
      <c r="BJ161" s="387">
        <f t="shared" si="96"/>
        <v>0</v>
      </c>
      <c r="BK161" s="387">
        <f t="shared" si="97"/>
        <v>0</v>
      </c>
      <c r="BL161" s="387">
        <f t="shared" si="120"/>
        <v>0</v>
      </c>
      <c r="BM161" s="387">
        <f t="shared" si="121"/>
        <v>0</v>
      </c>
      <c r="BN161" s="387">
        <f t="shared" si="98"/>
        <v>0</v>
      </c>
      <c r="BO161" s="387">
        <f t="shared" si="99"/>
        <v>0</v>
      </c>
      <c r="BP161" s="387">
        <f t="shared" si="100"/>
        <v>0</v>
      </c>
      <c r="BQ161" s="387">
        <f t="shared" si="101"/>
        <v>0</v>
      </c>
      <c r="BR161" s="387">
        <f t="shared" si="102"/>
        <v>0</v>
      </c>
      <c r="BS161" s="387">
        <f t="shared" si="103"/>
        <v>0</v>
      </c>
      <c r="BT161" s="387">
        <f t="shared" si="104"/>
        <v>0</v>
      </c>
      <c r="BU161" s="387">
        <f t="shared" si="105"/>
        <v>0</v>
      </c>
      <c r="BV161" s="387">
        <f t="shared" si="106"/>
        <v>0</v>
      </c>
      <c r="BW161" s="387">
        <f t="shared" si="107"/>
        <v>0</v>
      </c>
      <c r="BX161" s="387">
        <f t="shared" si="122"/>
        <v>0</v>
      </c>
      <c r="BY161" s="387">
        <f t="shared" si="123"/>
        <v>0</v>
      </c>
      <c r="BZ161" s="387">
        <f t="shared" si="124"/>
        <v>0</v>
      </c>
      <c r="CA161" s="387">
        <f t="shared" si="125"/>
        <v>0</v>
      </c>
      <c r="CB161" s="387">
        <f t="shared" si="126"/>
        <v>0</v>
      </c>
      <c r="CC161" s="387">
        <f t="shared" si="108"/>
        <v>0</v>
      </c>
      <c r="CD161" s="387">
        <f t="shared" si="109"/>
        <v>0</v>
      </c>
      <c r="CE161" s="387">
        <f t="shared" si="110"/>
        <v>0</v>
      </c>
      <c r="CF161" s="387">
        <f t="shared" si="111"/>
        <v>0</v>
      </c>
      <c r="CG161" s="387">
        <f t="shared" si="112"/>
        <v>0</v>
      </c>
      <c r="CH161" s="387">
        <f t="shared" si="113"/>
        <v>0</v>
      </c>
      <c r="CI161" s="387">
        <f t="shared" si="114"/>
        <v>0</v>
      </c>
      <c r="CJ161" s="387">
        <f t="shared" si="127"/>
        <v>0</v>
      </c>
      <c r="CK161" s="387" t="str">
        <f t="shared" si="128"/>
        <v/>
      </c>
      <c r="CL161" s="387" t="str">
        <f t="shared" si="129"/>
        <v/>
      </c>
      <c r="CM161" s="387" t="str">
        <f t="shared" si="130"/>
        <v/>
      </c>
      <c r="CN161" s="387" t="str">
        <f t="shared" si="131"/>
        <v>0303-00</v>
      </c>
    </row>
    <row r="162" spans="1:92" ht="15.75" thickBot="1" x14ac:dyDescent="0.3">
      <c r="A162" s="376" t="s">
        <v>161</v>
      </c>
      <c r="B162" s="376" t="s">
        <v>162</v>
      </c>
      <c r="C162" s="376" t="s">
        <v>797</v>
      </c>
      <c r="D162" s="376" t="s">
        <v>786</v>
      </c>
      <c r="E162" s="376" t="s">
        <v>214</v>
      </c>
      <c r="F162" s="377" t="s">
        <v>166</v>
      </c>
      <c r="G162" s="376" t="s">
        <v>781</v>
      </c>
      <c r="H162" s="378"/>
      <c r="I162" s="378"/>
      <c r="J162" s="376" t="s">
        <v>215</v>
      </c>
      <c r="K162" s="376" t="s">
        <v>787</v>
      </c>
      <c r="L162" s="376" t="s">
        <v>181</v>
      </c>
      <c r="M162" s="376" t="s">
        <v>171</v>
      </c>
      <c r="N162" s="376" t="s">
        <v>172</v>
      </c>
      <c r="O162" s="379">
        <v>1</v>
      </c>
      <c r="P162" s="385">
        <v>0</v>
      </c>
      <c r="Q162" s="385">
        <v>0</v>
      </c>
      <c r="R162" s="380">
        <v>80</v>
      </c>
      <c r="S162" s="385">
        <v>0</v>
      </c>
      <c r="T162" s="380">
        <v>3335.9</v>
      </c>
      <c r="U162" s="380">
        <v>0</v>
      </c>
      <c r="V162" s="380">
        <v>1209.3399999999999</v>
      </c>
      <c r="W162" s="380">
        <v>0</v>
      </c>
      <c r="X162" s="380">
        <v>0</v>
      </c>
      <c r="Y162" s="380">
        <v>0</v>
      </c>
      <c r="Z162" s="380">
        <v>0</v>
      </c>
      <c r="AA162" s="376" t="s">
        <v>798</v>
      </c>
      <c r="AB162" s="376" t="s">
        <v>799</v>
      </c>
      <c r="AC162" s="376" t="s">
        <v>800</v>
      </c>
      <c r="AD162" s="376" t="s">
        <v>170</v>
      </c>
      <c r="AE162" s="376" t="s">
        <v>787</v>
      </c>
      <c r="AF162" s="376" t="s">
        <v>211</v>
      </c>
      <c r="AG162" s="376" t="s">
        <v>178</v>
      </c>
      <c r="AH162" s="381">
        <v>40.82</v>
      </c>
      <c r="AI162" s="381">
        <v>40878.6</v>
      </c>
      <c r="AJ162" s="376" t="s">
        <v>179</v>
      </c>
      <c r="AK162" s="376" t="s">
        <v>180</v>
      </c>
      <c r="AL162" s="376" t="s">
        <v>181</v>
      </c>
      <c r="AM162" s="376" t="s">
        <v>182</v>
      </c>
      <c r="AN162" s="376" t="s">
        <v>68</v>
      </c>
      <c r="AO162" s="379">
        <v>80</v>
      </c>
      <c r="AP162" s="385">
        <v>1</v>
      </c>
      <c r="AQ162" s="385">
        <v>0</v>
      </c>
      <c r="AR162" s="383" t="s">
        <v>183</v>
      </c>
      <c r="AS162" s="387">
        <f t="shared" si="115"/>
        <v>0</v>
      </c>
      <c r="AT162">
        <f t="shared" si="116"/>
        <v>0</v>
      </c>
      <c r="AU162" s="387" t="str">
        <f>IF(AT162=0,"",IF(AND(AT162=1,M162="F",SUMIF(C2:C1334,C162,AS2:AS1334)&lt;=1),SUMIF(C2:C1334,C162,AS2:AS1334),IF(AND(AT162=1,M162="F",SUMIF(C2:C1334,C162,AS2:AS1334)&gt;1),1,"")))</f>
        <v/>
      </c>
      <c r="AV162" s="387" t="str">
        <f>IF(AT162=0,"",IF(AND(AT162=3,M162="F",SUMIF(C2:C1334,C162,AS2:AS1334)&lt;=1),SUMIF(C2:C1334,C162,AS2:AS1334),IF(AND(AT162=3,M162="F",SUMIF(C2:C1334,C162,AS2:AS1334)&gt;1),1,"")))</f>
        <v/>
      </c>
      <c r="AW162" s="387">
        <f>SUMIF(C2:C1334,C162,O2:O1334)</f>
        <v>2</v>
      </c>
      <c r="AX162" s="387">
        <f>IF(AND(M162="F",AS162&lt;&gt;0),SUMIF(C2:C1334,C162,W2:W1334),0)</f>
        <v>0</v>
      </c>
      <c r="AY162" s="387" t="str">
        <f t="shared" si="117"/>
        <v/>
      </c>
      <c r="AZ162" s="387" t="str">
        <f t="shared" si="118"/>
        <v/>
      </c>
      <c r="BA162" s="387">
        <f t="shared" si="119"/>
        <v>0</v>
      </c>
      <c r="BB162" s="387">
        <f t="shared" si="88"/>
        <v>0</v>
      </c>
      <c r="BC162" s="387">
        <f t="shared" si="89"/>
        <v>0</v>
      </c>
      <c r="BD162" s="387">
        <f t="shared" si="90"/>
        <v>0</v>
      </c>
      <c r="BE162" s="387">
        <f t="shared" si="91"/>
        <v>0</v>
      </c>
      <c r="BF162" s="387">
        <f t="shared" si="92"/>
        <v>0</v>
      </c>
      <c r="BG162" s="387">
        <f t="shared" si="93"/>
        <v>0</v>
      </c>
      <c r="BH162" s="387">
        <f t="shared" si="94"/>
        <v>0</v>
      </c>
      <c r="BI162" s="387">
        <f t="shared" si="95"/>
        <v>0</v>
      </c>
      <c r="BJ162" s="387">
        <f t="shared" si="96"/>
        <v>0</v>
      </c>
      <c r="BK162" s="387">
        <f t="shared" si="97"/>
        <v>0</v>
      </c>
      <c r="BL162" s="387">
        <f t="shared" si="120"/>
        <v>0</v>
      </c>
      <c r="BM162" s="387">
        <f t="shared" si="121"/>
        <v>0</v>
      </c>
      <c r="BN162" s="387">
        <f t="shared" si="98"/>
        <v>0</v>
      </c>
      <c r="BO162" s="387">
        <f t="shared" si="99"/>
        <v>0</v>
      </c>
      <c r="BP162" s="387">
        <f t="shared" si="100"/>
        <v>0</v>
      </c>
      <c r="BQ162" s="387">
        <f t="shared" si="101"/>
        <v>0</v>
      </c>
      <c r="BR162" s="387">
        <f t="shared" si="102"/>
        <v>0</v>
      </c>
      <c r="BS162" s="387">
        <f t="shared" si="103"/>
        <v>0</v>
      </c>
      <c r="BT162" s="387">
        <f t="shared" si="104"/>
        <v>0</v>
      </c>
      <c r="BU162" s="387">
        <f t="shared" si="105"/>
        <v>0</v>
      </c>
      <c r="BV162" s="387">
        <f t="shared" si="106"/>
        <v>0</v>
      </c>
      <c r="BW162" s="387">
        <f t="shared" si="107"/>
        <v>0</v>
      </c>
      <c r="BX162" s="387">
        <f t="shared" si="122"/>
        <v>0</v>
      </c>
      <c r="BY162" s="387">
        <f t="shared" si="123"/>
        <v>0</v>
      </c>
      <c r="BZ162" s="387">
        <f t="shared" si="124"/>
        <v>0</v>
      </c>
      <c r="CA162" s="387">
        <f t="shared" si="125"/>
        <v>0</v>
      </c>
      <c r="CB162" s="387">
        <f t="shared" si="126"/>
        <v>0</v>
      </c>
      <c r="CC162" s="387">
        <f t="shared" si="108"/>
        <v>0</v>
      </c>
      <c r="CD162" s="387">
        <f t="shared" si="109"/>
        <v>0</v>
      </c>
      <c r="CE162" s="387">
        <f t="shared" si="110"/>
        <v>0</v>
      </c>
      <c r="CF162" s="387">
        <f t="shared" si="111"/>
        <v>0</v>
      </c>
      <c r="CG162" s="387">
        <f t="shared" si="112"/>
        <v>0</v>
      </c>
      <c r="CH162" s="387">
        <f t="shared" si="113"/>
        <v>0</v>
      </c>
      <c r="CI162" s="387">
        <f t="shared" si="114"/>
        <v>0</v>
      </c>
      <c r="CJ162" s="387">
        <f t="shared" si="127"/>
        <v>0</v>
      </c>
      <c r="CK162" s="387" t="str">
        <f t="shared" si="128"/>
        <v/>
      </c>
      <c r="CL162" s="387" t="str">
        <f t="shared" si="129"/>
        <v/>
      </c>
      <c r="CM162" s="387" t="str">
        <f t="shared" si="130"/>
        <v/>
      </c>
      <c r="CN162" s="387" t="str">
        <f t="shared" si="131"/>
        <v>0303-00</v>
      </c>
    </row>
    <row r="163" spans="1:92" ht="15.75" thickBot="1" x14ac:dyDescent="0.3">
      <c r="A163" s="376" t="s">
        <v>161</v>
      </c>
      <c r="B163" s="376" t="s">
        <v>162</v>
      </c>
      <c r="C163" s="376" t="s">
        <v>333</v>
      </c>
      <c r="D163" s="376" t="s">
        <v>334</v>
      </c>
      <c r="E163" s="376" t="s">
        <v>214</v>
      </c>
      <c r="F163" s="377" t="s">
        <v>166</v>
      </c>
      <c r="G163" s="376" t="s">
        <v>781</v>
      </c>
      <c r="H163" s="378"/>
      <c r="I163" s="378"/>
      <c r="J163" s="376" t="s">
        <v>215</v>
      </c>
      <c r="K163" s="376" t="s">
        <v>335</v>
      </c>
      <c r="L163" s="376" t="s">
        <v>170</v>
      </c>
      <c r="M163" s="376" t="s">
        <v>272</v>
      </c>
      <c r="N163" s="376" t="s">
        <v>257</v>
      </c>
      <c r="O163" s="379">
        <v>0</v>
      </c>
      <c r="P163" s="385">
        <v>0</v>
      </c>
      <c r="Q163" s="385">
        <v>0</v>
      </c>
      <c r="R163" s="380">
        <v>80</v>
      </c>
      <c r="S163" s="385">
        <v>0</v>
      </c>
      <c r="T163" s="380">
        <v>537.77</v>
      </c>
      <c r="U163" s="380">
        <v>0</v>
      </c>
      <c r="V163" s="380">
        <v>208.73</v>
      </c>
      <c r="W163" s="380">
        <v>0</v>
      </c>
      <c r="X163" s="380">
        <v>0</v>
      </c>
      <c r="Y163" s="380">
        <v>0</v>
      </c>
      <c r="Z163" s="380">
        <v>0</v>
      </c>
      <c r="AA163" s="378"/>
      <c r="AB163" s="376" t="s">
        <v>45</v>
      </c>
      <c r="AC163" s="376" t="s">
        <v>45</v>
      </c>
      <c r="AD163" s="378"/>
      <c r="AE163" s="378"/>
      <c r="AF163" s="378"/>
      <c r="AG163" s="378"/>
      <c r="AH163" s="379">
        <v>0</v>
      </c>
      <c r="AI163" s="379">
        <v>0</v>
      </c>
      <c r="AJ163" s="378"/>
      <c r="AK163" s="378"/>
      <c r="AL163" s="376" t="s">
        <v>181</v>
      </c>
      <c r="AM163" s="378"/>
      <c r="AN163" s="378"/>
      <c r="AO163" s="379">
        <v>0</v>
      </c>
      <c r="AP163" s="385">
        <v>0</v>
      </c>
      <c r="AQ163" s="385">
        <v>0</v>
      </c>
      <c r="AR163" s="384"/>
      <c r="AS163" s="387">
        <f t="shared" si="115"/>
        <v>0</v>
      </c>
      <c r="AT163">
        <f t="shared" si="116"/>
        <v>0</v>
      </c>
      <c r="AU163" s="387" t="str">
        <f>IF(AT163=0,"",IF(AND(AT163=1,M163="F",SUMIF(C2:C1334,C163,AS2:AS1334)&lt;=1),SUMIF(C2:C1334,C163,AS2:AS1334),IF(AND(AT163=1,M163="F",SUMIF(C2:C1334,C163,AS2:AS1334)&gt;1),1,"")))</f>
        <v/>
      </c>
      <c r="AV163" s="387" t="str">
        <f>IF(AT163=0,"",IF(AND(AT163=3,M163="F",SUMIF(C2:C1334,C163,AS2:AS1334)&lt;=1),SUMIF(C2:C1334,C163,AS2:AS1334),IF(AND(AT163=3,M163="F",SUMIF(C2:C1334,C163,AS2:AS1334)&gt;1),1,"")))</f>
        <v/>
      </c>
      <c r="AW163" s="387">
        <f>SUMIF(C2:C1334,C163,O2:O1334)</f>
        <v>0</v>
      </c>
      <c r="AX163" s="387">
        <f>IF(AND(M163="F",AS163&lt;&gt;0),SUMIF(C2:C1334,C163,W2:W1334),0)</f>
        <v>0</v>
      </c>
      <c r="AY163" s="387" t="str">
        <f t="shared" si="117"/>
        <v/>
      </c>
      <c r="AZ163" s="387" t="str">
        <f t="shared" si="118"/>
        <v/>
      </c>
      <c r="BA163" s="387">
        <f t="shared" si="119"/>
        <v>0</v>
      </c>
      <c r="BB163" s="387">
        <f t="shared" si="88"/>
        <v>0</v>
      </c>
      <c r="BC163" s="387">
        <f t="shared" si="89"/>
        <v>0</v>
      </c>
      <c r="BD163" s="387">
        <f t="shared" si="90"/>
        <v>0</v>
      </c>
      <c r="BE163" s="387">
        <f t="shared" si="91"/>
        <v>0</v>
      </c>
      <c r="BF163" s="387">
        <f t="shared" si="92"/>
        <v>0</v>
      </c>
      <c r="BG163" s="387">
        <f t="shared" si="93"/>
        <v>0</v>
      </c>
      <c r="BH163" s="387">
        <f t="shared" si="94"/>
        <v>0</v>
      </c>
      <c r="BI163" s="387">
        <f t="shared" si="95"/>
        <v>0</v>
      </c>
      <c r="BJ163" s="387">
        <f t="shared" si="96"/>
        <v>0</v>
      </c>
      <c r="BK163" s="387">
        <f t="shared" si="97"/>
        <v>0</v>
      </c>
      <c r="BL163" s="387">
        <f t="shared" si="120"/>
        <v>0</v>
      </c>
      <c r="BM163" s="387">
        <f t="shared" si="121"/>
        <v>0</v>
      </c>
      <c r="BN163" s="387">
        <f t="shared" si="98"/>
        <v>0</v>
      </c>
      <c r="BO163" s="387">
        <f t="shared" si="99"/>
        <v>0</v>
      </c>
      <c r="BP163" s="387">
        <f t="shared" si="100"/>
        <v>0</v>
      </c>
      <c r="BQ163" s="387">
        <f t="shared" si="101"/>
        <v>0</v>
      </c>
      <c r="BR163" s="387">
        <f t="shared" si="102"/>
        <v>0</v>
      </c>
      <c r="BS163" s="387">
        <f t="shared" si="103"/>
        <v>0</v>
      </c>
      <c r="BT163" s="387">
        <f t="shared" si="104"/>
        <v>0</v>
      </c>
      <c r="BU163" s="387">
        <f t="shared" si="105"/>
        <v>0</v>
      </c>
      <c r="BV163" s="387">
        <f t="shared" si="106"/>
        <v>0</v>
      </c>
      <c r="BW163" s="387">
        <f t="shared" si="107"/>
        <v>0</v>
      </c>
      <c r="BX163" s="387">
        <f t="shared" si="122"/>
        <v>0</v>
      </c>
      <c r="BY163" s="387">
        <f t="shared" si="123"/>
        <v>0</v>
      </c>
      <c r="BZ163" s="387">
        <f t="shared" si="124"/>
        <v>0</v>
      </c>
      <c r="CA163" s="387">
        <f t="shared" si="125"/>
        <v>0</v>
      </c>
      <c r="CB163" s="387">
        <f t="shared" si="126"/>
        <v>0</v>
      </c>
      <c r="CC163" s="387">
        <f t="shared" si="108"/>
        <v>0</v>
      </c>
      <c r="CD163" s="387">
        <f t="shared" si="109"/>
        <v>0</v>
      </c>
      <c r="CE163" s="387">
        <f t="shared" si="110"/>
        <v>0</v>
      </c>
      <c r="CF163" s="387">
        <f t="shared" si="111"/>
        <v>0</v>
      </c>
      <c r="CG163" s="387">
        <f t="shared" si="112"/>
        <v>0</v>
      </c>
      <c r="CH163" s="387">
        <f t="shared" si="113"/>
        <v>0</v>
      </c>
      <c r="CI163" s="387">
        <f t="shared" si="114"/>
        <v>0</v>
      </c>
      <c r="CJ163" s="387">
        <f t="shared" si="127"/>
        <v>0</v>
      </c>
      <c r="CK163" s="387" t="str">
        <f t="shared" si="128"/>
        <v/>
      </c>
      <c r="CL163" s="387" t="str">
        <f t="shared" si="129"/>
        <v/>
      </c>
      <c r="CM163" s="387" t="str">
        <f t="shared" si="130"/>
        <v/>
      </c>
      <c r="CN163" s="387" t="str">
        <f t="shared" si="131"/>
        <v>0303-00</v>
      </c>
    </row>
    <row r="164" spans="1:92" ht="15.75" thickBot="1" x14ac:dyDescent="0.3">
      <c r="A164" s="376" t="s">
        <v>161</v>
      </c>
      <c r="B164" s="376" t="s">
        <v>162</v>
      </c>
      <c r="C164" s="376" t="s">
        <v>801</v>
      </c>
      <c r="D164" s="376" t="s">
        <v>786</v>
      </c>
      <c r="E164" s="376" t="s">
        <v>214</v>
      </c>
      <c r="F164" s="377" t="s">
        <v>166</v>
      </c>
      <c r="G164" s="376" t="s">
        <v>781</v>
      </c>
      <c r="H164" s="378"/>
      <c r="I164" s="378"/>
      <c r="J164" s="376" t="s">
        <v>168</v>
      </c>
      <c r="K164" s="376" t="s">
        <v>787</v>
      </c>
      <c r="L164" s="376" t="s">
        <v>181</v>
      </c>
      <c r="M164" s="376" t="s">
        <v>171</v>
      </c>
      <c r="N164" s="376" t="s">
        <v>172</v>
      </c>
      <c r="O164" s="379">
        <v>1</v>
      </c>
      <c r="P164" s="385">
        <v>0.25</v>
      </c>
      <c r="Q164" s="385">
        <v>0.25</v>
      </c>
      <c r="R164" s="380">
        <v>80</v>
      </c>
      <c r="S164" s="385">
        <v>0.25</v>
      </c>
      <c r="T164" s="380">
        <v>20151.29</v>
      </c>
      <c r="U164" s="380">
        <v>0</v>
      </c>
      <c r="V164" s="380">
        <v>7355.16</v>
      </c>
      <c r="W164" s="380">
        <v>19822.400000000001</v>
      </c>
      <c r="X164" s="380">
        <v>7199.08</v>
      </c>
      <c r="Y164" s="380">
        <v>19822.400000000001</v>
      </c>
      <c r="Z164" s="380">
        <v>7115.83</v>
      </c>
      <c r="AA164" s="376" t="s">
        <v>802</v>
      </c>
      <c r="AB164" s="376" t="s">
        <v>709</v>
      </c>
      <c r="AC164" s="376" t="s">
        <v>418</v>
      </c>
      <c r="AD164" s="376" t="s">
        <v>252</v>
      </c>
      <c r="AE164" s="376" t="s">
        <v>787</v>
      </c>
      <c r="AF164" s="376" t="s">
        <v>211</v>
      </c>
      <c r="AG164" s="376" t="s">
        <v>178</v>
      </c>
      <c r="AH164" s="381">
        <v>38.119999999999997</v>
      </c>
      <c r="AI164" s="381">
        <v>33771.5</v>
      </c>
      <c r="AJ164" s="376" t="s">
        <v>179</v>
      </c>
      <c r="AK164" s="376" t="s">
        <v>180</v>
      </c>
      <c r="AL164" s="376" t="s">
        <v>181</v>
      </c>
      <c r="AM164" s="376" t="s">
        <v>182</v>
      </c>
      <c r="AN164" s="376" t="s">
        <v>68</v>
      </c>
      <c r="AO164" s="379">
        <v>80</v>
      </c>
      <c r="AP164" s="385">
        <v>1</v>
      </c>
      <c r="AQ164" s="385">
        <v>0.25</v>
      </c>
      <c r="AR164" s="383" t="s">
        <v>183</v>
      </c>
      <c r="AS164" s="387">
        <f t="shared" si="115"/>
        <v>0.25</v>
      </c>
      <c r="AT164">
        <f t="shared" si="116"/>
        <v>1</v>
      </c>
      <c r="AU164" s="387">
        <f>IF(AT164=0,"",IF(AND(AT164=1,M164="F",SUMIF(C2:C1334,C164,AS2:AS1334)&lt;=1),SUMIF(C2:C1334,C164,AS2:AS1334),IF(AND(AT164=1,M164="F",SUMIF(C2:C1334,C164,AS2:AS1334)&gt;1),1,"")))</f>
        <v>1</v>
      </c>
      <c r="AV164" s="387" t="str">
        <f>IF(AT164=0,"",IF(AND(AT164=3,M164="F",SUMIF(C2:C1334,C164,AS2:AS1334)&lt;=1),SUMIF(C2:C1334,C164,AS2:AS1334),IF(AND(AT164=3,M164="F",SUMIF(C2:C1334,C164,AS2:AS1334)&gt;1),1,"")))</f>
        <v/>
      </c>
      <c r="AW164" s="387">
        <f>SUMIF(C2:C1334,C164,O2:O1334)</f>
        <v>4</v>
      </c>
      <c r="AX164" s="387">
        <f>IF(AND(M164="F",AS164&lt;&gt;0),SUMIF(C2:C1334,C164,W2:W1334),0)</f>
        <v>79289.600000000006</v>
      </c>
      <c r="AY164" s="387">
        <f t="shared" si="117"/>
        <v>19822.400000000001</v>
      </c>
      <c r="AZ164" s="387" t="str">
        <f t="shared" si="118"/>
        <v/>
      </c>
      <c r="BA164" s="387">
        <f t="shared" si="119"/>
        <v>0</v>
      </c>
      <c r="BB164" s="387">
        <f t="shared" si="88"/>
        <v>2912.5</v>
      </c>
      <c r="BC164" s="387">
        <f t="shared" si="89"/>
        <v>0</v>
      </c>
      <c r="BD164" s="387">
        <f t="shared" si="90"/>
        <v>1228.9888000000001</v>
      </c>
      <c r="BE164" s="387">
        <f t="shared" si="91"/>
        <v>287.42480000000006</v>
      </c>
      <c r="BF164" s="387">
        <f t="shared" si="92"/>
        <v>2366.7945600000003</v>
      </c>
      <c r="BG164" s="387">
        <f t="shared" si="93"/>
        <v>142.91950400000002</v>
      </c>
      <c r="BH164" s="387">
        <f t="shared" si="94"/>
        <v>97.129760000000005</v>
      </c>
      <c r="BI164" s="387">
        <f t="shared" si="95"/>
        <v>109.71698400000001</v>
      </c>
      <c r="BJ164" s="387">
        <f t="shared" si="96"/>
        <v>53.520480000000006</v>
      </c>
      <c r="BK164" s="387">
        <f t="shared" si="97"/>
        <v>0</v>
      </c>
      <c r="BL164" s="387">
        <f t="shared" si="120"/>
        <v>4286.4948880000002</v>
      </c>
      <c r="BM164" s="387">
        <f t="shared" si="121"/>
        <v>0</v>
      </c>
      <c r="BN164" s="387">
        <f t="shared" si="98"/>
        <v>2912.5</v>
      </c>
      <c r="BO164" s="387">
        <f t="shared" si="99"/>
        <v>0</v>
      </c>
      <c r="BP164" s="387">
        <f t="shared" si="100"/>
        <v>1228.9888000000001</v>
      </c>
      <c r="BQ164" s="387">
        <f t="shared" si="101"/>
        <v>287.42480000000006</v>
      </c>
      <c r="BR164" s="387">
        <f t="shared" si="102"/>
        <v>2366.7945600000003</v>
      </c>
      <c r="BS164" s="387">
        <f t="shared" si="103"/>
        <v>142.91950400000002</v>
      </c>
      <c r="BT164" s="387">
        <f t="shared" si="104"/>
        <v>0</v>
      </c>
      <c r="BU164" s="387">
        <f t="shared" si="105"/>
        <v>109.71698400000001</v>
      </c>
      <c r="BV164" s="387">
        <f t="shared" si="106"/>
        <v>67.396159999999995</v>
      </c>
      <c r="BW164" s="387">
        <f t="shared" si="107"/>
        <v>0</v>
      </c>
      <c r="BX164" s="387">
        <f t="shared" si="122"/>
        <v>4203.2408080000005</v>
      </c>
      <c r="BY164" s="387">
        <f t="shared" si="123"/>
        <v>0</v>
      </c>
      <c r="BZ164" s="387">
        <f t="shared" si="124"/>
        <v>0</v>
      </c>
      <c r="CA164" s="387">
        <f t="shared" si="125"/>
        <v>0</v>
      </c>
      <c r="CB164" s="387">
        <f t="shared" si="126"/>
        <v>0</v>
      </c>
      <c r="CC164" s="387">
        <f t="shared" si="108"/>
        <v>0</v>
      </c>
      <c r="CD164" s="387">
        <f t="shared" si="109"/>
        <v>0</v>
      </c>
      <c r="CE164" s="387">
        <f t="shared" si="110"/>
        <v>0</v>
      </c>
      <c r="CF164" s="387">
        <f t="shared" si="111"/>
        <v>-97.129760000000005</v>
      </c>
      <c r="CG164" s="387">
        <f t="shared" si="112"/>
        <v>0</v>
      </c>
      <c r="CH164" s="387">
        <f t="shared" si="113"/>
        <v>13.875679999999994</v>
      </c>
      <c r="CI164" s="387">
        <f t="shared" si="114"/>
        <v>0</v>
      </c>
      <c r="CJ164" s="387">
        <f t="shared" si="127"/>
        <v>-83.254080000000016</v>
      </c>
      <c r="CK164" s="387" t="str">
        <f t="shared" si="128"/>
        <v/>
      </c>
      <c r="CL164" s="387" t="str">
        <f t="shared" si="129"/>
        <v/>
      </c>
      <c r="CM164" s="387" t="str">
        <f t="shared" si="130"/>
        <v/>
      </c>
      <c r="CN164" s="387" t="str">
        <f t="shared" si="131"/>
        <v>0303-00</v>
      </c>
    </row>
    <row r="165" spans="1:92" ht="15.75" thickBot="1" x14ac:dyDescent="0.3">
      <c r="A165" s="376" t="s">
        <v>161</v>
      </c>
      <c r="B165" s="376" t="s">
        <v>162</v>
      </c>
      <c r="C165" s="376" t="s">
        <v>803</v>
      </c>
      <c r="D165" s="376" t="s">
        <v>804</v>
      </c>
      <c r="E165" s="376" t="s">
        <v>214</v>
      </c>
      <c r="F165" s="377" t="s">
        <v>166</v>
      </c>
      <c r="G165" s="376" t="s">
        <v>781</v>
      </c>
      <c r="H165" s="378"/>
      <c r="I165" s="378"/>
      <c r="J165" s="376" t="s">
        <v>239</v>
      </c>
      <c r="K165" s="376" t="s">
        <v>805</v>
      </c>
      <c r="L165" s="376" t="s">
        <v>351</v>
      </c>
      <c r="M165" s="376" t="s">
        <v>171</v>
      </c>
      <c r="N165" s="376" t="s">
        <v>172</v>
      </c>
      <c r="O165" s="379">
        <v>1</v>
      </c>
      <c r="P165" s="385">
        <v>0.5</v>
      </c>
      <c r="Q165" s="385">
        <v>0.5</v>
      </c>
      <c r="R165" s="380">
        <v>80</v>
      </c>
      <c r="S165" s="385">
        <v>0.5</v>
      </c>
      <c r="T165" s="380">
        <v>39347.410000000003</v>
      </c>
      <c r="U165" s="380">
        <v>0</v>
      </c>
      <c r="V165" s="380">
        <v>13019.94</v>
      </c>
      <c r="W165" s="380">
        <v>47767.199999999997</v>
      </c>
      <c r="X165" s="380">
        <v>16154.64</v>
      </c>
      <c r="Y165" s="380">
        <v>47767.199999999997</v>
      </c>
      <c r="Z165" s="380">
        <v>15954.02</v>
      </c>
      <c r="AA165" s="376" t="s">
        <v>806</v>
      </c>
      <c r="AB165" s="376" t="s">
        <v>807</v>
      </c>
      <c r="AC165" s="376" t="s">
        <v>808</v>
      </c>
      <c r="AD165" s="376" t="s">
        <v>170</v>
      </c>
      <c r="AE165" s="376" t="s">
        <v>805</v>
      </c>
      <c r="AF165" s="376" t="s">
        <v>355</v>
      </c>
      <c r="AG165" s="376" t="s">
        <v>178</v>
      </c>
      <c r="AH165" s="381">
        <v>45.93</v>
      </c>
      <c r="AI165" s="379">
        <v>49965</v>
      </c>
      <c r="AJ165" s="376" t="s">
        <v>179</v>
      </c>
      <c r="AK165" s="376" t="s">
        <v>180</v>
      </c>
      <c r="AL165" s="376" t="s">
        <v>181</v>
      </c>
      <c r="AM165" s="376" t="s">
        <v>182</v>
      </c>
      <c r="AN165" s="376" t="s">
        <v>68</v>
      </c>
      <c r="AO165" s="379">
        <v>80</v>
      </c>
      <c r="AP165" s="385">
        <v>1</v>
      </c>
      <c r="AQ165" s="385">
        <v>0.5</v>
      </c>
      <c r="AR165" s="383" t="s">
        <v>183</v>
      </c>
      <c r="AS165" s="387">
        <f t="shared" si="115"/>
        <v>0.5</v>
      </c>
      <c r="AT165">
        <f t="shared" si="116"/>
        <v>1</v>
      </c>
      <c r="AU165" s="387">
        <f>IF(AT165=0,"",IF(AND(AT165=1,M165="F",SUMIF(C2:C1334,C165,AS2:AS1334)&lt;=1),SUMIF(C2:C1334,C165,AS2:AS1334),IF(AND(AT165=1,M165="F",SUMIF(C2:C1334,C165,AS2:AS1334)&gt;1),1,"")))</f>
        <v>1</v>
      </c>
      <c r="AV165" s="387" t="str">
        <f>IF(AT165=0,"",IF(AND(AT165=3,M165="F",SUMIF(C2:C1334,C165,AS2:AS1334)&lt;=1),SUMIF(C2:C1334,C165,AS2:AS1334),IF(AND(AT165=3,M165="F",SUMIF(C2:C1334,C165,AS2:AS1334)&gt;1),1,"")))</f>
        <v/>
      </c>
      <c r="AW165" s="387">
        <f>SUMIF(C2:C1334,C165,O2:O1334)</f>
        <v>4</v>
      </c>
      <c r="AX165" s="387">
        <f>IF(AND(M165="F",AS165&lt;&gt;0),SUMIF(C2:C1334,C165,W2:W1334),0)</f>
        <v>95534.399999999994</v>
      </c>
      <c r="AY165" s="387">
        <f t="shared" si="117"/>
        <v>47767.199999999997</v>
      </c>
      <c r="AZ165" s="387" t="str">
        <f t="shared" si="118"/>
        <v/>
      </c>
      <c r="BA165" s="387">
        <f t="shared" si="119"/>
        <v>0</v>
      </c>
      <c r="BB165" s="387">
        <f t="shared" si="88"/>
        <v>5825</v>
      </c>
      <c r="BC165" s="387">
        <f t="shared" si="89"/>
        <v>0</v>
      </c>
      <c r="BD165" s="387">
        <f t="shared" si="90"/>
        <v>2961.5663999999997</v>
      </c>
      <c r="BE165" s="387">
        <f t="shared" si="91"/>
        <v>692.62440000000004</v>
      </c>
      <c r="BF165" s="387">
        <f t="shared" si="92"/>
        <v>5703.4036800000003</v>
      </c>
      <c r="BG165" s="387">
        <f t="shared" si="93"/>
        <v>344.40151199999997</v>
      </c>
      <c r="BH165" s="387">
        <f t="shared" si="94"/>
        <v>234.05927999999997</v>
      </c>
      <c r="BI165" s="387">
        <f t="shared" si="95"/>
        <v>264.39145199999996</v>
      </c>
      <c r="BJ165" s="387">
        <f t="shared" si="96"/>
        <v>128.97144</v>
      </c>
      <c r="BK165" s="387">
        <f t="shared" si="97"/>
        <v>0</v>
      </c>
      <c r="BL165" s="387">
        <f t="shared" si="120"/>
        <v>10329.418163999999</v>
      </c>
      <c r="BM165" s="387">
        <f t="shared" si="121"/>
        <v>0</v>
      </c>
      <c r="BN165" s="387">
        <f t="shared" si="98"/>
        <v>5825</v>
      </c>
      <c r="BO165" s="387">
        <f t="shared" si="99"/>
        <v>0</v>
      </c>
      <c r="BP165" s="387">
        <f t="shared" si="100"/>
        <v>2961.5663999999997</v>
      </c>
      <c r="BQ165" s="387">
        <f t="shared" si="101"/>
        <v>692.62440000000004</v>
      </c>
      <c r="BR165" s="387">
        <f t="shared" si="102"/>
        <v>5703.4036800000003</v>
      </c>
      <c r="BS165" s="387">
        <f t="shared" si="103"/>
        <v>344.40151199999997</v>
      </c>
      <c r="BT165" s="387">
        <f t="shared" si="104"/>
        <v>0</v>
      </c>
      <c r="BU165" s="387">
        <f t="shared" si="105"/>
        <v>264.39145199999996</v>
      </c>
      <c r="BV165" s="387">
        <f t="shared" si="106"/>
        <v>162.40847999999997</v>
      </c>
      <c r="BW165" s="387">
        <f t="shared" si="107"/>
        <v>0</v>
      </c>
      <c r="BX165" s="387">
        <f t="shared" si="122"/>
        <v>10128.795924</v>
      </c>
      <c r="BY165" s="387">
        <f t="shared" si="123"/>
        <v>0</v>
      </c>
      <c r="BZ165" s="387">
        <f t="shared" si="124"/>
        <v>0</v>
      </c>
      <c r="CA165" s="387">
        <f t="shared" si="125"/>
        <v>0</v>
      </c>
      <c r="CB165" s="387">
        <f t="shared" si="126"/>
        <v>0</v>
      </c>
      <c r="CC165" s="387">
        <f t="shared" si="108"/>
        <v>0</v>
      </c>
      <c r="CD165" s="387">
        <f t="shared" si="109"/>
        <v>0</v>
      </c>
      <c r="CE165" s="387">
        <f t="shared" si="110"/>
        <v>0</v>
      </c>
      <c r="CF165" s="387">
        <f t="shared" si="111"/>
        <v>-234.05927999999997</v>
      </c>
      <c r="CG165" s="387">
        <f t="shared" si="112"/>
        <v>0</v>
      </c>
      <c r="CH165" s="387">
        <f t="shared" si="113"/>
        <v>33.437039999999982</v>
      </c>
      <c r="CI165" s="387">
        <f t="shared" si="114"/>
        <v>0</v>
      </c>
      <c r="CJ165" s="387">
        <f t="shared" si="127"/>
        <v>-200.62223999999998</v>
      </c>
      <c r="CK165" s="387" t="str">
        <f t="shared" si="128"/>
        <v/>
      </c>
      <c r="CL165" s="387" t="str">
        <f t="shared" si="129"/>
        <v/>
      </c>
      <c r="CM165" s="387" t="str">
        <f t="shared" si="130"/>
        <v/>
      </c>
      <c r="CN165" s="387" t="str">
        <f t="shared" si="131"/>
        <v>0303-00</v>
      </c>
    </row>
    <row r="166" spans="1:92" ht="15.75" thickBot="1" x14ac:dyDescent="0.3">
      <c r="A166" s="376" t="s">
        <v>161</v>
      </c>
      <c r="B166" s="376" t="s">
        <v>162</v>
      </c>
      <c r="C166" s="376" t="s">
        <v>809</v>
      </c>
      <c r="D166" s="376" t="s">
        <v>786</v>
      </c>
      <c r="E166" s="376" t="s">
        <v>214</v>
      </c>
      <c r="F166" s="377" t="s">
        <v>166</v>
      </c>
      <c r="G166" s="376" t="s">
        <v>781</v>
      </c>
      <c r="H166" s="378"/>
      <c r="I166" s="378"/>
      <c r="J166" s="376" t="s">
        <v>239</v>
      </c>
      <c r="K166" s="376" t="s">
        <v>787</v>
      </c>
      <c r="L166" s="376" t="s">
        <v>181</v>
      </c>
      <c r="M166" s="376" t="s">
        <v>171</v>
      </c>
      <c r="N166" s="376" t="s">
        <v>172</v>
      </c>
      <c r="O166" s="379">
        <v>1</v>
      </c>
      <c r="P166" s="385">
        <v>0</v>
      </c>
      <c r="Q166" s="385">
        <v>0</v>
      </c>
      <c r="R166" s="380">
        <v>80</v>
      </c>
      <c r="S166" s="385">
        <v>0</v>
      </c>
      <c r="T166" s="380">
        <v>4716</v>
      </c>
      <c r="U166" s="380">
        <v>0</v>
      </c>
      <c r="V166" s="380">
        <v>1741.4</v>
      </c>
      <c r="W166" s="380">
        <v>0</v>
      </c>
      <c r="X166" s="380">
        <v>0</v>
      </c>
      <c r="Y166" s="380">
        <v>0</v>
      </c>
      <c r="Z166" s="380">
        <v>0</v>
      </c>
      <c r="AA166" s="376" t="s">
        <v>810</v>
      </c>
      <c r="AB166" s="376" t="s">
        <v>811</v>
      </c>
      <c r="AC166" s="376" t="s">
        <v>812</v>
      </c>
      <c r="AD166" s="376" t="s">
        <v>268</v>
      </c>
      <c r="AE166" s="376" t="s">
        <v>787</v>
      </c>
      <c r="AF166" s="376" t="s">
        <v>211</v>
      </c>
      <c r="AG166" s="376" t="s">
        <v>178</v>
      </c>
      <c r="AH166" s="381">
        <v>35.369999999999997</v>
      </c>
      <c r="AI166" s="381">
        <v>63356.7</v>
      </c>
      <c r="AJ166" s="376" t="s">
        <v>179</v>
      </c>
      <c r="AK166" s="376" t="s">
        <v>180</v>
      </c>
      <c r="AL166" s="376" t="s">
        <v>181</v>
      </c>
      <c r="AM166" s="376" t="s">
        <v>182</v>
      </c>
      <c r="AN166" s="376" t="s">
        <v>68</v>
      </c>
      <c r="AO166" s="379">
        <v>80</v>
      </c>
      <c r="AP166" s="385">
        <v>1</v>
      </c>
      <c r="AQ166" s="385">
        <v>0</v>
      </c>
      <c r="AR166" s="383" t="s">
        <v>183</v>
      </c>
      <c r="AS166" s="387">
        <f t="shared" si="115"/>
        <v>0</v>
      </c>
      <c r="AT166">
        <f t="shared" si="116"/>
        <v>0</v>
      </c>
      <c r="AU166" s="387" t="str">
        <f>IF(AT166=0,"",IF(AND(AT166=1,M166="F",SUMIF(C2:C1334,C166,AS2:AS1334)&lt;=1),SUMIF(C2:C1334,C166,AS2:AS1334),IF(AND(AT166=1,M166="F",SUMIF(C2:C1334,C166,AS2:AS1334)&gt;1),1,"")))</f>
        <v/>
      </c>
      <c r="AV166" s="387" t="str">
        <f>IF(AT166=0,"",IF(AND(AT166=3,M166="F",SUMIF(C2:C1334,C166,AS2:AS1334)&lt;=1),SUMIF(C2:C1334,C166,AS2:AS1334),IF(AND(AT166=3,M166="F",SUMIF(C2:C1334,C166,AS2:AS1334)&gt;1),1,"")))</f>
        <v/>
      </c>
      <c r="AW166" s="387">
        <f>SUMIF(C2:C1334,C166,O2:O1334)</f>
        <v>4</v>
      </c>
      <c r="AX166" s="387">
        <f>IF(AND(M166="F",AS166&lt;&gt;0),SUMIF(C2:C1334,C166,W2:W1334),0)</f>
        <v>0</v>
      </c>
      <c r="AY166" s="387" t="str">
        <f t="shared" si="117"/>
        <v/>
      </c>
      <c r="AZ166" s="387" t="str">
        <f t="shared" si="118"/>
        <v/>
      </c>
      <c r="BA166" s="387">
        <f t="shared" si="119"/>
        <v>0</v>
      </c>
      <c r="BB166" s="387">
        <f t="shared" si="88"/>
        <v>0</v>
      </c>
      <c r="BC166" s="387">
        <f t="shared" si="89"/>
        <v>0</v>
      </c>
      <c r="BD166" s="387">
        <f t="shared" si="90"/>
        <v>0</v>
      </c>
      <c r="BE166" s="387">
        <f t="shared" si="91"/>
        <v>0</v>
      </c>
      <c r="BF166" s="387">
        <f t="shared" si="92"/>
        <v>0</v>
      </c>
      <c r="BG166" s="387">
        <f t="shared" si="93"/>
        <v>0</v>
      </c>
      <c r="BH166" s="387">
        <f t="shared" si="94"/>
        <v>0</v>
      </c>
      <c r="BI166" s="387">
        <f t="shared" si="95"/>
        <v>0</v>
      </c>
      <c r="BJ166" s="387">
        <f t="shared" si="96"/>
        <v>0</v>
      </c>
      <c r="BK166" s="387">
        <f t="shared" si="97"/>
        <v>0</v>
      </c>
      <c r="BL166" s="387">
        <f t="shared" si="120"/>
        <v>0</v>
      </c>
      <c r="BM166" s="387">
        <f t="shared" si="121"/>
        <v>0</v>
      </c>
      <c r="BN166" s="387">
        <f t="shared" si="98"/>
        <v>0</v>
      </c>
      <c r="BO166" s="387">
        <f t="shared" si="99"/>
        <v>0</v>
      </c>
      <c r="BP166" s="387">
        <f t="shared" si="100"/>
        <v>0</v>
      </c>
      <c r="BQ166" s="387">
        <f t="shared" si="101"/>
        <v>0</v>
      </c>
      <c r="BR166" s="387">
        <f t="shared" si="102"/>
        <v>0</v>
      </c>
      <c r="BS166" s="387">
        <f t="shared" si="103"/>
        <v>0</v>
      </c>
      <c r="BT166" s="387">
        <f t="shared" si="104"/>
        <v>0</v>
      </c>
      <c r="BU166" s="387">
        <f t="shared" si="105"/>
        <v>0</v>
      </c>
      <c r="BV166" s="387">
        <f t="shared" si="106"/>
        <v>0</v>
      </c>
      <c r="BW166" s="387">
        <f t="shared" si="107"/>
        <v>0</v>
      </c>
      <c r="BX166" s="387">
        <f t="shared" si="122"/>
        <v>0</v>
      </c>
      <c r="BY166" s="387">
        <f t="shared" si="123"/>
        <v>0</v>
      </c>
      <c r="BZ166" s="387">
        <f t="shared" si="124"/>
        <v>0</v>
      </c>
      <c r="CA166" s="387">
        <f t="shared" si="125"/>
        <v>0</v>
      </c>
      <c r="CB166" s="387">
        <f t="shared" si="126"/>
        <v>0</v>
      </c>
      <c r="CC166" s="387">
        <f t="shared" si="108"/>
        <v>0</v>
      </c>
      <c r="CD166" s="387">
        <f t="shared" si="109"/>
        <v>0</v>
      </c>
      <c r="CE166" s="387">
        <f t="shared" si="110"/>
        <v>0</v>
      </c>
      <c r="CF166" s="387">
        <f t="shared" si="111"/>
        <v>0</v>
      </c>
      <c r="CG166" s="387">
        <f t="shared" si="112"/>
        <v>0</v>
      </c>
      <c r="CH166" s="387">
        <f t="shared" si="113"/>
        <v>0</v>
      </c>
      <c r="CI166" s="387">
        <f t="shared" si="114"/>
        <v>0</v>
      </c>
      <c r="CJ166" s="387">
        <f t="shared" si="127"/>
        <v>0</v>
      </c>
      <c r="CK166" s="387" t="str">
        <f t="shared" si="128"/>
        <v/>
      </c>
      <c r="CL166" s="387" t="str">
        <f t="shared" si="129"/>
        <v/>
      </c>
      <c r="CM166" s="387" t="str">
        <f t="shared" si="130"/>
        <v/>
      </c>
      <c r="CN166" s="387" t="str">
        <f t="shared" si="131"/>
        <v>0303-00</v>
      </c>
    </row>
    <row r="167" spans="1:92" ht="15.75" thickBot="1" x14ac:dyDescent="0.3">
      <c r="A167" s="376" t="s">
        <v>161</v>
      </c>
      <c r="B167" s="376" t="s">
        <v>162</v>
      </c>
      <c r="C167" s="376" t="s">
        <v>813</v>
      </c>
      <c r="D167" s="376" t="s">
        <v>263</v>
      </c>
      <c r="E167" s="376" t="s">
        <v>214</v>
      </c>
      <c r="F167" s="377" t="s">
        <v>166</v>
      </c>
      <c r="G167" s="376" t="s">
        <v>781</v>
      </c>
      <c r="H167" s="378"/>
      <c r="I167" s="378"/>
      <c r="J167" s="376" t="s">
        <v>239</v>
      </c>
      <c r="K167" s="376" t="s">
        <v>264</v>
      </c>
      <c r="L167" s="376" t="s">
        <v>210</v>
      </c>
      <c r="M167" s="376" t="s">
        <v>171</v>
      </c>
      <c r="N167" s="376" t="s">
        <v>172</v>
      </c>
      <c r="O167" s="379">
        <v>1</v>
      </c>
      <c r="P167" s="385">
        <v>0</v>
      </c>
      <c r="Q167" s="385">
        <v>0</v>
      </c>
      <c r="R167" s="380">
        <v>80</v>
      </c>
      <c r="S167" s="385">
        <v>0</v>
      </c>
      <c r="T167" s="380">
        <v>1911.3</v>
      </c>
      <c r="U167" s="380">
        <v>0</v>
      </c>
      <c r="V167" s="380">
        <v>764.12</v>
      </c>
      <c r="W167" s="380">
        <v>0</v>
      </c>
      <c r="X167" s="380">
        <v>0</v>
      </c>
      <c r="Y167" s="380">
        <v>0</v>
      </c>
      <c r="Z167" s="380">
        <v>0</v>
      </c>
      <c r="AA167" s="376" t="s">
        <v>814</v>
      </c>
      <c r="AB167" s="376" t="s">
        <v>815</v>
      </c>
      <c r="AC167" s="376" t="s">
        <v>816</v>
      </c>
      <c r="AD167" s="376" t="s">
        <v>170</v>
      </c>
      <c r="AE167" s="376" t="s">
        <v>264</v>
      </c>
      <c r="AF167" s="376" t="s">
        <v>245</v>
      </c>
      <c r="AG167" s="376" t="s">
        <v>178</v>
      </c>
      <c r="AH167" s="381">
        <v>30.88</v>
      </c>
      <c r="AI167" s="381">
        <v>52794.8</v>
      </c>
      <c r="AJ167" s="376" t="s">
        <v>179</v>
      </c>
      <c r="AK167" s="376" t="s">
        <v>180</v>
      </c>
      <c r="AL167" s="376" t="s">
        <v>181</v>
      </c>
      <c r="AM167" s="376" t="s">
        <v>182</v>
      </c>
      <c r="AN167" s="376" t="s">
        <v>68</v>
      </c>
      <c r="AO167" s="379">
        <v>80</v>
      </c>
      <c r="AP167" s="385">
        <v>1</v>
      </c>
      <c r="AQ167" s="385">
        <v>0</v>
      </c>
      <c r="AR167" s="383" t="s">
        <v>183</v>
      </c>
      <c r="AS167" s="387">
        <f t="shared" si="115"/>
        <v>0</v>
      </c>
      <c r="AT167">
        <f t="shared" si="116"/>
        <v>0</v>
      </c>
      <c r="AU167" s="387" t="str">
        <f>IF(AT167=0,"",IF(AND(AT167=1,M167="F",SUMIF(C2:C1334,C167,AS2:AS1334)&lt;=1),SUMIF(C2:C1334,C167,AS2:AS1334),IF(AND(AT167=1,M167="F",SUMIF(C2:C1334,C167,AS2:AS1334)&gt;1),1,"")))</f>
        <v/>
      </c>
      <c r="AV167" s="387" t="str">
        <f>IF(AT167=0,"",IF(AND(AT167=3,M167="F",SUMIF(C2:C1334,C167,AS2:AS1334)&lt;=1),SUMIF(C2:C1334,C167,AS2:AS1334),IF(AND(AT167=3,M167="F",SUMIF(C2:C1334,C167,AS2:AS1334)&gt;1),1,"")))</f>
        <v/>
      </c>
      <c r="AW167" s="387">
        <f>SUMIF(C2:C1334,C167,O2:O1334)</f>
        <v>3</v>
      </c>
      <c r="AX167" s="387">
        <f>IF(AND(M167="F",AS167&lt;&gt;0),SUMIF(C2:C1334,C167,W2:W1334),0)</f>
        <v>0</v>
      </c>
      <c r="AY167" s="387" t="str">
        <f t="shared" si="117"/>
        <v/>
      </c>
      <c r="AZ167" s="387" t="str">
        <f t="shared" si="118"/>
        <v/>
      </c>
      <c r="BA167" s="387">
        <f t="shared" si="119"/>
        <v>0</v>
      </c>
      <c r="BB167" s="387">
        <f t="shared" si="88"/>
        <v>0</v>
      </c>
      <c r="BC167" s="387">
        <f t="shared" si="89"/>
        <v>0</v>
      </c>
      <c r="BD167" s="387">
        <f t="shared" si="90"/>
        <v>0</v>
      </c>
      <c r="BE167" s="387">
        <f t="shared" si="91"/>
        <v>0</v>
      </c>
      <c r="BF167" s="387">
        <f t="shared" si="92"/>
        <v>0</v>
      </c>
      <c r="BG167" s="387">
        <f t="shared" si="93"/>
        <v>0</v>
      </c>
      <c r="BH167" s="387">
        <f t="shared" si="94"/>
        <v>0</v>
      </c>
      <c r="BI167" s="387">
        <f t="shared" si="95"/>
        <v>0</v>
      </c>
      <c r="BJ167" s="387">
        <f t="shared" si="96"/>
        <v>0</v>
      </c>
      <c r="BK167" s="387">
        <f t="shared" si="97"/>
        <v>0</v>
      </c>
      <c r="BL167" s="387">
        <f t="shared" si="120"/>
        <v>0</v>
      </c>
      <c r="BM167" s="387">
        <f t="shared" si="121"/>
        <v>0</v>
      </c>
      <c r="BN167" s="387">
        <f t="shared" si="98"/>
        <v>0</v>
      </c>
      <c r="BO167" s="387">
        <f t="shared" si="99"/>
        <v>0</v>
      </c>
      <c r="BP167" s="387">
        <f t="shared" si="100"/>
        <v>0</v>
      </c>
      <c r="BQ167" s="387">
        <f t="shared" si="101"/>
        <v>0</v>
      </c>
      <c r="BR167" s="387">
        <f t="shared" si="102"/>
        <v>0</v>
      </c>
      <c r="BS167" s="387">
        <f t="shared" si="103"/>
        <v>0</v>
      </c>
      <c r="BT167" s="387">
        <f t="shared" si="104"/>
        <v>0</v>
      </c>
      <c r="BU167" s="387">
        <f t="shared" si="105"/>
        <v>0</v>
      </c>
      <c r="BV167" s="387">
        <f t="shared" si="106"/>
        <v>0</v>
      </c>
      <c r="BW167" s="387">
        <f t="shared" si="107"/>
        <v>0</v>
      </c>
      <c r="BX167" s="387">
        <f t="shared" si="122"/>
        <v>0</v>
      </c>
      <c r="BY167" s="387">
        <f t="shared" si="123"/>
        <v>0</v>
      </c>
      <c r="BZ167" s="387">
        <f t="shared" si="124"/>
        <v>0</v>
      </c>
      <c r="CA167" s="387">
        <f t="shared" si="125"/>
        <v>0</v>
      </c>
      <c r="CB167" s="387">
        <f t="shared" si="126"/>
        <v>0</v>
      </c>
      <c r="CC167" s="387">
        <f t="shared" si="108"/>
        <v>0</v>
      </c>
      <c r="CD167" s="387">
        <f t="shared" si="109"/>
        <v>0</v>
      </c>
      <c r="CE167" s="387">
        <f t="shared" si="110"/>
        <v>0</v>
      </c>
      <c r="CF167" s="387">
        <f t="shared" si="111"/>
        <v>0</v>
      </c>
      <c r="CG167" s="387">
        <f t="shared" si="112"/>
        <v>0</v>
      </c>
      <c r="CH167" s="387">
        <f t="shared" si="113"/>
        <v>0</v>
      </c>
      <c r="CI167" s="387">
        <f t="shared" si="114"/>
        <v>0</v>
      </c>
      <c r="CJ167" s="387">
        <f t="shared" si="127"/>
        <v>0</v>
      </c>
      <c r="CK167" s="387" t="str">
        <f t="shared" si="128"/>
        <v/>
      </c>
      <c r="CL167" s="387" t="str">
        <f t="shared" si="129"/>
        <v/>
      </c>
      <c r="CM167" s="387" t="str">
        <f t="shared" si="130"/>
        <v/>
      </c>
      <c r="CN167" s="387" t="str">
        <f t="shared" si="131"/>
        <v>0303-00</v>
      </c>
    </row>
    <row r="168" spans="1:92" ht="15.75" thickBot="1" x14ac:dyDescent="0.3">
      <c r="A168" s="376" t="s">
        <v>161</v>
      </c>
      <c r="B168" s="376" t="s">
        <v>162</v>
      </c>
      <c r="C168" s="376" t="s">
        <v>817</v>
      </c>
      <c r="D168" s="376" t="s">
        <v>786</v>
      </c>
      <c r="E168" s="376" t="s">
        <v>214</v>
      </c>
      <c r="F168" s="377" t="s">
        <v>166</v>
      </c>
      <c r="G168" s="376" t="s">
        <v>781</v>
      </c>
      <c r="H168" s="378"/>
      <c r="I168" s="378"/>
      <c r="J168" s="376" t="s">
        <v>239</v>
      </c>
      <c r="K168" s="376" t="s">
        <v>787</v>
      </c>
      <c r="L168" s="376" t="s">
        <v>181</v>
      </c>
      <c r="M168" s="376" t="s">
        <v>171</v>
      </c>
      <c r="N168" s="376" t="s">
        <v>172</v>
      </c>
      <c r="O168" s="379">
        <v>1</v>
      </c>
      <c r="P168" s="385">
        <v>0</v>
      </c>
      <c r="Q168" s="385">
        <v>0</v>
      </c>
      <c r="R168" s="380">
        <v>80</v>
      </c>
      <c r="S168" s="385">
        <v>0</v>
      </c>
      <c r="T168" s="380">
        <v>2667.77</v>
      </c>
      <c r="U168" s="380">
        <v>0</v>
      </c>
      <c r="V168" s="380">
        <v>1061.51</v>
      </c>
      <c r="W168" s="380">
        <v>0</v>
      </c>
      <c r="X168" s="380">
        <v>0</v>
      </c>
      <c r="Y168" s="380">
        <v>0</v>
      </c>
      <c r="Z168" s="380">
        <v>0</v>
      </c>
      <c r="AA168" s="376" t="s">
        <v>818</v>
      </c>
      <c r="AB168" s="376" t="s">
        <v>819</v>
      </c>
      <c r="AC168" s="376" t="s">
        <v>820</v>
      </c>
      <c r="AD168" s="376" t="s">
        <v>776</v>
      </c>
      <c r="AE168" s="376" t="s">
        <v>787</v>
      </c>
      <c r="AF168" s="376" t="s">
        <v>211</v>
      </c>
      <c r="AG168" s="376" t="s">
        <v>178</v>
      </c>
      <c r="AH168" s="381">
        <v>30.21</v>
      </c>
      <c r="AI168" s="381">
        <v>29251.5</v>
      </c>
      <c r="AJ168" s="376" t="s">
        <v>179</v>
      </c>
      <c r="AK168" s="376" t="s">
        <v>180</v>
      </c>
      <c r="AL168" s="376" t="s">
        <v>181</v>
      </c>
      <c r="AM168" s="376" t="s">
        <v>182</v>
      </c>
      <c r="AN168" s="376" t="s">
        <v>68</v>
      </c>
      <c r="AO168" s="379">
        <v>80</v>
      </c>
      <c r="AP168" s="385">
        <v>1</v>
      </c>
      <c r="AQ168" s="385">
        <v>0</v>
      </c>
      <c r="AR168" s="383" t="s">
        <v>183</v>
      </c>
      <c r="AS168" s="387">
        <f t="shared" si="115"/>
        <v>0</v>
      </c>
      <c r="AT168">
        <f t="shared" si="116"/>
        <v>0</v>
      </c>
      <c r="AU168" s="387" t="str">
        <f>IF(AT168=0,"",IF(AND(AT168=1,M168="F",SUMIF(C2:C1334,C168,AS2:AS1334)&lt;=1),SUMIF(C2:C1334,C168,AS2:AS1334),IF(AND(AT168=1,M168="F",SUMIF(C2:C1334,C168,AS2:AS1334)&gt;1),1,"")))</f>
        <v/>
      </c>
      <c r="AV168" s="387" t="str">
        <f>IF(AT168=0,"",IF(AND(AT168=3,M168="F",SUMIF(C2:C1334,C168,AS2:AS1334)&lt;=1),SUMIF(C2:C1334,C168,AS2:AS1334),IF(AND(AT168=3,M168="F",SUMIF(C2:C1334,C168,AS2:AS1334)&gt;1),1,"")))</f>
        <v/>
      </c>
      <c r="AW168" s="387">
        <f>SUMIF(C2:C1334,C168,O2:O1334)</f>
        <v>4</v>
      </c>
      <c r="AX168" s="387">
        <f>IF(AND(M168="F",AS168&lt;&gt;0),SUMIF(C2:C1334,C168,W2:W1334),0)</f>
        <v>0</v>
      </c>
      <c r="AY168" s="387" t="str">
        <f t="shared" si="117"/>
        <v/>
      </c>
      <c r="AZ168" s="387" t="str">
        <f t="shared" si="118"/>
        <v/>
      </c>
      <c r="BA168" s="387">
        <f t="shared" si="119"/>
        <v>0</v>
      </c>
      <c r="BB168" s="387">
        <f t="shared" si="88"/>
        <v>0</v>
      </c>
      <c r="BC168" s="387">
        <f t="shared" si="89"/>
        <v>0</v>
      </c>
      <c r="BD168" s="387">
        <f t="shared" si="90"/>
        <v>0</v>
      </c>
      <c r="BE168" s="387">
        <f t="shared" si="91"/>
        <v>0</v>
      </c>
      <c r="BF168" s="387">
        <f t="shared" si="92"/>
        <v>0</v>
      </c>
      <c r="BG168" s="387">
        <f t="shared" si="93"/>
        <v>0</v>
      </c>
      <c r="BH168" s="387">
        <f t="shared" si="94"/>
        <v>0</v>
      </c>
      <c r="BI168" s="387">
        <f t="shared" si="95"/>
        <v>0</v>
      </c>
      <c r="BJ168" s="387">
        <f t="shared" si="96"/>
        <v>0</v>
      </c>
      <c r="BK168" s="387">
        <f t="shared" si="97"/>
        <v>0</v>
      </c>
      <c r="BL168" s="387">
        <f t="shared" si="120"/>
        <v>0</v>
      </c>
      <c r="BM168" s="387">
        <f t="shared" si="121"/>
        <v>0</v>
      </c>
      <c r="BN168" s="387">
        <f t="shared" si="98"/>
        <v>0</v>
      </c>
      <c r="BO168" s="387">
        <f t="shared" si="99"/>
        <v>0</v>
      </c>
      <c r="BP168" s="387">
        <f t="shared" si="100"/>
        <v>0</v>
      </c>
      <c r="BQ168" s="387">
        <f t="shared" si="101"/>
        <v>0</v>
      </c>
      <c r="BR168" s="387">
        <f t="shared" si="102"/>
        <v>0</v>
      </c>
      <c r="BS168" s="387">
        <f t="shared" si="103"/>
        <v>0</v>
      </c>
      <c r="BT168" s="387">
        <f t="shared" si="104"/>
        <v>0</v>
      </c>
      <c r="BU168" s="387">
        <f t="shared" si="105"/>
        <v>0</v>
      </c>
      <c r="BV168" s="387">
        <f t="shared" si="106"/>
        <v>0</v>
      </c>
      <c r="BW168" s="387">
        <f t="shared" si="107"/>
        <v>0</v>
      </c>
      <c r="BX168" s="387">
        <f t="shared" si="122"/>
        <v>0</v>
      </c>
      <c r="BY168" s="387">
        <f t="shared" si="123"/>
        <v>0</v>
      </c>
      <c r="BZ168" s="387">
        <f t="shared" si="124"/>
        <v>0</v>
      </c>
      <c r="CA168" s="387">
        <f t="shared" si="125"/>
        <v>0</v>
      </c>
      <c r="CB168" s="387">
        <f t="shared" si="126"/>
        <v>0</v>
      </c>
      <c r="CC168" s="387">
        <f t="shared" si="108"/>
        <v>0</v>
      </c>
      <c r="CD168" s="387">
        <f t="shared" si="109"/>
        <v>0</v>
      </c>
      <c r="CE168" s="387">
        <f t="shared" si="110"/>
        <v>0</v>
      </c>
      <c r="CF168" s="387">
        <f t="shared" si="111"/>
        <v>0</v>
      </c>
      <c r="CG168" s="387">
        <f t="shared" si="112"/>
        <v>0</v>
      </c>
      <c r="CH168" s="387">
        <f t="shared" si="113"/>
        <v>0</v>
      </c>
      <c r="CI168" s="387">
        <f t="shared" si="114"/>
        <v>0</v>
      </c>
      <c r="CJ168" s="387">
        <f t="shared" si="127"/>
        <v>0</v>
      </c>
      <c r="CK168" s="387" t="str">
        <f t="shared" si="128"/>
        <v/>
      </c>
      <c r="CL168" s="387" t="str">
        <f t="shared" si="129"/>
        <v/>
      </c>
      <c r="CM168" s="387" t="str">
        <f t="shared" si="130"/>
        <v/>
      </c>
      <c r="CN168" s="387" t="str">
        <f t="shared" si="131"/>
        <v>0303-00</v>
      </c>
    </row>
    <row r="169" spans="1:92" ht="15.75" thickBot="1" x14ac:dyDescent="0.3">
      <c r="A169" s="376" t="s">
        <v>161</v>
      </c>
      <c r="B169" s="376" t="s">
        <v>162</v>
      </c>
      <c r="C169" s="376" t="s">
        <v>237</v>
      </c>
      <c r="D169" s="376" t="s">
        <v>238</v>
      </c>
      <c r="E169" s="376" t="s">
        <v>214</v>
      </c>
      <c r="F169" s="377" t="s">
        <v>166</v>
      </c>
      <c r="G169" s="376" t="s">
        <v>781</v>
      </c>
      <c r="H169" s="378"/>
      <c r="I169" s="378"/>
      <c r="J169" s="376" t="s">
        <v>239</v>
      </c>
      <c r="K169" s="376" t="s">
        <v>240</v>
      </c>
      <c r="L169" s="376" t="s">
        <v>210</v>
      </c>
      <c r="M169" s="376" t="s">
        <v>171</v>
      </c>
      <c r="N169" s="376" t="s">
        <v>172</v>
      </c>
      <c r="O169" s="379">
        <v>1</v>
      </c>
      <c r="P169" s="385">
        <v>0</v>
      </c>
      <c r="Q169" s="385">
        <v>0</v>
      </c>
      <c r="R169" s="380">
        <v>80</v>
      </c>
      <c r="S169" s="385">
        <v>0</v>
      </c>
      <c r="T169" s="380">
        <v>33.61</v>
      </c>
      <c r="U169" s="380">
        <v>0</v>
      </c>
      <c r="V169" s="380">
        <v>13.25</v>
      </c>
      <c r="W169" s="380">
        <v>0</v>
      </c>
      <c r="X169" s="380">
        <v>0</v>
      </c>
      <c r="Y169" s="380">
        <v>0</v>
      </c>
      <c r="Z169" s="380">
        <v>0</v>
      </c>
      <c r="AA169" s="376" t="s">
        <v>241</v>
      </c>
      <c r="AB169" s="376" t="s">
        <v>242</v>
      </c>
      <c r="AC169" s="376" t="s">
        <v>243</v>
      </c>
      <c r="AD169" s="376" t="s">
        <v>244</v>
      </c>
      <c r="AE169" s="376" t="s">
        <v>240</v>
      </c>
      <c r="AF169" s="376" t="s">
        <v>245</v>
      </c>
      <c r="AG169" s="376" t="s">
        <v>178</v>
      </c>
      <c r="AH169" s="381">
        <v>33.61</v>
      </c>
      <c r="AI169" s="381">
        <v>17909.099999999999</v>
      </c>
      <c r="AJ169" s="376" t="s">
        <v>179</v>
      </c>
      <c r="AK169" s="376" t="s">
        <v>180</v>
      </c>
      <c r="AL169" s="376" t="s">
        <v>181</v>
      </c>
      <c r="AM169" s="376" t="s">
        <v>182</v>
      </c>
      <c r="AN169" s="376" t="s">
        <v>68</v>
      </c>
      <c r="AO169" s="379">
        <v>80</v>
      </c>
      <c r="AP169" s="385">
        <v>1</v>
      </c>
      <c r="AQ169" s="385">
        <v>0</v>
      </c>
      <c r="AR169" s="383" t="s">
        <v>183</v>
      </c>
      <c r="AS169" s="387">
        <f t="shared" si="115"/>
        <v>0</v>
      </c>
      <c r="AT169">
        <f t="shared" si="116"/>
        <v>0</v>
      </c>
      <c r="AU169" s="387" t="str">
        <f>IF(AT169=0,"",IF(AND(AT169=1,M169="F",SUMIF(C2:C1334,C169,AS2:AS1334)&lt;=1),SUMIF(C2:C1334,C169,AS2:AS1334),IF(AND(AT169=1,M169="F",SUMIF(C2:C1334,C169,AS2:AS1334)&gt;1),1,"")))</f>
        <v/>
      </c>
      <c r="AV169" s="387" t="str">
        <f>IF(AT169=0,"",IF(AND(AT169=3,M169="F",SUMIF(C2:C1334,C169,AS2:AS1334)&lt;=1),SUMIF(C2:C1334,C169,AS2:AS1334),IF(AND(AT169=3,M169="F",SUMIF(C2:C1334,C169,AS2:AS1334)&gt;1),1,"")))</f>
        <v/>
      </c>
      <c r="AW169" s="387">
        <f>SUMIF(C2:C1334,C169,O2:O1334)</f>
        <v>6</v>
      </c>
      <c r="AX169" s="387">
        <f>IF(AND(M169="F",AS169&lt;&gt;0),SUMIF(C2:C1334,C169,W2:W1334),0)</f>
        <v>0</v>
      </c>
      <c r="AY169" s="387" t="str">
        <f t="shared" si="117"/>
        <v/>
      </c>
      <c r="AZ169" s="387" t="str">
        <f t="shared" si="118"/>
        <v/>
      </c>
      <c r="BA169" s="387">
        <f t="shared" si="119"/>
        <v>0</v>
      </c>
      <c r="BB169" s="387">
        <f t="shared" si="88"/>
        <v>0</v>
      </c>
      <c r="BC169" s="387">
        <f t="shared" si="89"/>
        <v>0</v>
      </c>
      <c r="BD169" s="387">
        <f t="shared" si="90"/>
        <v>0</v>
      </c>
      <c r="BE169" s="387">
        <f t="shared" si="91"/>
        <v>0</v>
      </c>
      <c r="BF169" s="387">
        <f t="shared" si="92"/>
        <v>0</v>
      </c>
      <c r="BG169" s="387">
        <f t="shared" si="93"/>
        <v>0</v>
      </c>
      <c r="BH169" s="387">
        <f t="shared" si="94"/>
        <v>0</v>
      </c>
      <c r="BI169" s="387">
        <f t="shared" si="95"/>
        <v>0</v>
      </c>
      <c r="BJ169" s="387">
        <f t="shared" si="96"/>
        <v>0</v>
      </c>
      <c r="BK169" s="387">
        <f t="shared" si="97"/>
        <v>0</v>
      </c>
      <c r="BL169" s="387">
        <f t="shared" si="120"/>
        <v>0</v>
      </c>
      <c r="BM169" s="387">
        <f t="shared" si="121"/>
        <v>0</v>
      </c>
      <c r="BN169" s="387">
        <f t="shared" si="98"/>
        <v>0</v>
      </c>
      <c r="BO169" s="387">
        <f t="shared" si="99"/>
        <v>0</v>
      </c>
      <c r="BP169" s="387">
        <f t="shared" si="100"/>
        <v>0</v>
      </c>
      <c r="BQ169" s="387">
        <f t="shared" si="101"/>
        <v>0</v>
      </c>
      <c r="BR169" s="387">
        <f t="shared" si="102"/>
        <v>0</v>
      </c>
      <c r="BS169" s="387">
        <f t="shared" si="103"/>
        <v>0</v>
      </c>
      <c r="BT169" s="387">
        <f t="shared" si="104"/>
        <v>0</v>
      </c>
      <c r="BU169" s="387">
        <f t="shared" si="105"/>
        <v>0</v>
      </c>
      <c r="BV169" s="387">
        <f t="shared" si="106"/>
        <v>0</v>
      </c>
      <c r="BW169" s="387">
        <f t="shared" si="107"/>
        <v>0</v>
      </c>
      <c r="BX169" s="387">
        <f t="shared" si="122"/>
        <v>0</v>
      </c>
      <c r="BY169" s="387">
        <f t="shared" si="123"/>
        <v>0</v>
      </c>
      <c r="BZ169" s="387">
        <f t="shared" si="124"/>
        <v>0</v>
      </c>
      <c r="CA169" s="387">
        <f t="shared" si="125"/>
        <v>0</v>
      </c>
      <c r="CB169" s="387">
        <f t="shared" si="126"/>
        <v>0</v>
      </c>
      <c r="CC169" s="387">
        <f t="shared" si="108"/>
        <v>0</v>
      </c>
      <c r="CD169" s="387">
        <f t="shared" si="109"/>
        <v>0</v>
      </c>
      <c r="CE169" s="387">
        <f t="shared" si="110"/>
        <v>0</v>
      </c>
      <c r="CF169" s="387">
        <f t="shared" si="111"/>
        <v>0</v>
      </c>
      <c r="CG169" s="387">
        <f t="shared" si="112"/>
        <v>0</v>
      </c>
      <c r="CH169" s="387">
        <f t="shared" si="113"/>
        <v>0</v>
      </c>
      <c r="CI169" s="387">
        <f t="shared" si="114"/>
        <v>0</v>
      </c>
      <c r="CJ169" s="387">
        <f t="shared" si="127"/>
        <v>0</v>
      </c>
      <c r="CK169" s="387" t="str">
        <f t="shared" si="128"/>
        <v/>
      </c>
      <c r="CL169" s="387" t="str">
        <f t="shared" si="129"/>
        <v/>
      </c>
      <c r="CM169" s="387" t="str">
        <f t="shared" si="130"/>
        <v/>
      </c>
      <c r="CN169" s="387" t="str">
        <f t="shared" si="131"/>
        <v>0303-00</v>
      </c>
    </row>
    <row r="170" spans="1:92" ht="15.75" thickBot="1" x14ac:dyDescent="0.3">
      <c r="A170" s="376" t="s">
        <v>161</v>
      </c>
      <c r="B170" s="376" t="s">
        <v>162</v>
      </c>
      <c r="C170" s="376" t="s">
        <v>670</v>
      </c>
      <c r="D170" s="376" t="s">
        <v>263</v>
      </c>
      <c r="E170" s="376" t="s">
        <v>214</v>
      </c>
      <c r="F170" s="377" t="s">
        <v>166</v>
      </c>
      <c r="G170" s="376" t="s">
        <v>781</v>
      </c>
      <c r="H170" s="378"/>
      <c r="I170" s="378"/>
      <c r="J170" s="376" t="s">
        <v>239</v>
      </c>
      <c r="K170" s="376" t="s">
        <v>264</v>
      </c>
      <c r="L170" s="376" t="s">
        <v>210</v>
      </c>
      <c r="M170" s="376" t="s">
        <v>171</v>
      </c>
      <c r="N170" s="376" t="s">
        <v>172</v>
      </c>
      <c r="O170" s="379">
        <v>1</v>
      </c>
      <c r="P170" s="385">
        <v>0</v>
      </c>
      <c r="Q170" s="385">
        <v>0</v>
      </c>
      <c r="R170" s="380">
        <v>80</v>
      </c>
      <c r="S170" s="385">
        <v>0</v>
      </c>
      <c r="T170" s="380">
        <v>713.1</v>
      </c>
      <c r="U170" s="380">
        <v>0</v>
      </c>
      <c r="V170" s="380">
        <v>169.37</v>
      </c>
      <c r="W170" s="380">
        <v>0</v>
      </c>
      <c r="X170" s="380">
        <v>0</v>
      </c>
      <c r="Y170" s="380">
        <v>0</v>
      </c>
      <c r="Z170" s="380">
        <v>0</v>
      </c>
      <c r="AA170" s="376" t="s">
        <v>671</v>
      </c>
      <c r="AB170" s="376" t="s">
        <v>672</v>
      </c>
      <c r="AC170" s="376" t="s">
        <v>673</v>
      </c>
      <c r="AD170" s="376" t="s">
        <v>176</v>
      </c>
      <c r="AE170" s="376" t="s">
        <v>264</v>
      </c>
      <c r="AF170" s="376" t="s">
        <v>245</v>
      </c>
      <c r="AG170" s="376" t="s">
        <v>178</v>
      </c>
      <c r="AH170" s="381">
        <v>27.39</v>
      </c>
      <c r="AI170" s="381">
        <v>5961.5</v>
      </c>
      <c r="AJ170" s="376" t="s">
        <v>179</v>
      </c>
      <c r="AK170" s="376" t="s">
        <v>180</v>
      </c>
      <c r="AL170" s="376" t="s">
        <v>181</v>
      </c>
      <c r="AM170" s="376" t="s">
        <v>182</v>
      </c>
      <c r="AN170" s="376" t="s">
        <v>68</v>
      </c>
      <c r="AO170" s="379">
        <v>80</v>
      </c>
      <c r="AP170" s="385">
        <v>1</v>
      </c>
      <c r="AQ170" s="385">
        <v>0</v>
      </c>
      <c r="AR170" s="383" t="s">
        <v>183</v>
      </c>
      <c r="AS170" s="387">
        <f t="shared" si="115"/>
        <v>0</v>
      </c>
      <c r="AT170">
        <f t="shared" si="116"/>
        <v>0</v>
      </c>
      <c r="AU170" s="387" t="str">
        <f>IF(AT170=0,"",IF(AND(AT170=1,M170="F",SUMIF(C2:C1334,C170,AS2:AS1334)&lt;=1),SUMIF(C2:C1334,C170,AS2:AS1334),IF(AND(AT170=1,M170="F",SUMIF(C2:C1334,C170,AS2:AS1334)&gt;1),1,"")))</f>
        <v/>
      </c>
      <c r="AV170" s="387" t="str">
        <f>IF(AT170=0,"",IF(AND(AT170=3,M170="F",SUMIF(C2:C1334,C170,AS2:AS1334)&lt;=1),SUMIF(C2:C1334,C170,AS2:AS1334),IF(AND(AT170=3,M170="F",SUMIF(C2:C1334,C170,AS2:AS1334)&gt;1),1,"")))</f>
        <v/>
      </c>
      <c r="AW170" s="387">
        <f>SUMIF(C2:C1334,C170,O2:O1334)</f>
        <v>6</v>
      </c>
      <c r="AX170" s="387">
        <f>IF(AND(M170="F",AS170&lt;&gt;0),SUMIF(C2:C1334,C170,W2:W1334),0)</f>
        <v>0</v>
      </c>
      <c r="AY170" s="387" t="str">
        <f t="shared" si="117"/>
        <v/>
      </c>
      <c r="AZ170" s="387" t="str">
        <f t="shared" si="118"/>
        <v/>
      </c>
      <c r="BA170" s="387">
        <f t="shared" si="119"/>
        <v>0</v>
      </c>
      <c r="BB170" s="387">
        <f t="shared" si="88"/>
        <v>0</v>
      </c>
      <c r="BC170" s="387">
        <f t="shared" si="89"/>
        <v>0</v>
      </c>
      <c r="BD170" s="387">
        <f t="shared" si="90"/>
        <v>0</v>
      </c>
      <c r="BE170" s="387">
        <f t="shared" si="91"/>
        <v>0</v>
      </c>
      <c r="BF170" s="387">
        <f t="shared" si="92"/>
        <v>0</v>
      </c>
      <c r="BG170" s="387">
        <f t="shared" si="93"/>
        <v>0</v>
      </c>
      <c r="BH170" s="387">
        <f t="shared" si="94"/>
        <v>0</v>
      </c>
      <c r="BI170" s="387">
        <f t="shared" si="95"/>
        <v>0</v>
      </c>
      <c r="BJ170" s="387">
        <f t="shared" si="96"/>
        <v>0</v>
      </c>
      <c r="BK170" s="387">
        <f t="shared" si="97"/>
        <v>0</v>
      </c>
      <c r="BL170" s="387">
        <f t="shared" si="120"/>
        <v>0</v>
      </c>
      <c r="BM170" s="387">
        <f t="shared" si="121"/>
        <v>0</v>
      </c>
      <c r="BN170" s="387">
        <f t="shared" si="98"/>
        <v>0</v>
      </c>
      <c r="BO170" s="387">
        <f t="shared" si="99"/>
        <v>0</v>
      </c>
      <c r="BP170" s="387">
        <f t="shared" si="100"/>
        <v>0</v>
      </c>
      <c r="BQ170" s="387">
        <f t="shared" si="101"/>
        <v>0</v>
      </c>
      <c r="BR170" s="387">
        <f t="shared" si="102"/>
        <v>0</v>
      </c>
      <c r="BS170" s="387">
        <f t="shared" si="103"/>
        <v>0</v>
      </c>
      <c r="BT170" s="387">
        <f t="shared" si="104"/>
        <v>0</v>
      </c>
      <c r="BU170" s="387">
        <f t="shared" si="105"/>
        <v>0</v>
      </c>
      <c r="BV170" s="387">
        <f t="shared" si="106"/>
        <v>0</v>
      </c>
      <c r="BW170" s="387">
        <f t="shared" si="107"/>
        <v>0</v>
      </c>
      <c r="BX170" s="387">
        <f t="shared" si="122"/>
        <v>0</v>
      </c>
      <c r="BY170" s="387">
        <f t="shared" si="123"/>
        <v>0</v>
      </c>
      <c r="BZ170" s="387">
        <f t="shared" si="124"/>
        <v>0</v>
      </c>
      <c r="CA170" s="387">
        <f t="shared" si="125"/>
        <v>0</v>
      </c>
      <c r="CB170" s="387">
        <f t="shared" si="126"/>
        <v>0</v>
      </c>
      <c r="CC170" s="387">
        <f t="shared" si="108"/>
        <v>0</v>
      </c>
      <c r="CD170" s="387">
        <f t="shared" si="109"/>
        <v>0</v>
      </c>
      <c r="CE170" s="387">
        <f t="shared" si="110"/>
        <v>0</v>
      </c>
      <c r="CF170" s="387">
        <f t="shared" si="111"/>
        <v>0</v>
      </c>
      <c r="CG170" s="387">
        <f t="shared" si="112"/>
        <v>0</v>
      </c>
      <c r="CH170" s="387">
        <f t="shared" si="113"/>
        <v>0</v>
      </c>
      <c r="CI170" s="387">
        <f t="shared" si="114"/>
        <v>0</v>
      </c>
      <c r="CJ170" s="387">
        <f t="shared" si="127"/>
        <v>0</v>
      </c>
      <c r="CK170" s="387" t="str">
        <f t="shared" si="128"/>
        <v/>
      </c>
      <c r="CL170" s="387" t="str">
        <f t="shared" si="129"/>
        <v/>
      </c>
      <c r="CM170" s="387" t="str">
        <f t="shared" si="130"/>
        <v/>
      </c>
      <c r="CN170" s="387" t="str">
        <f t="shared" si="131"/>
        <v>0303-00</v>
      </c>
    </row>
    <row r="171" spans="1:92" ht="15.75" thickBot="1" x14ac:dyDescent="0.3">
      <c r="A171" s="376" t="s">
        <v>161</v>
      </c>
      <c r="B171" s="376" t="s">
        <v>162</v>
      </c>
      <c r="C171" s="376" t="s">
        <v>286</v>
      </c>
      <c r="D171" s="376" t="s">
        <v>287</v>
      </c>
      <c r="E171" s="376" t="s">
        <v>214</v>
      </c>
      <c r="F171" s="377" t="s">
        <v>166</v>
      </c>
      <c r="G171" s="376" t="s">
        <v>781</v>
      </c>
      <c r="H171" s="378"/>
      <c r="I171" s="378"/>
      <c r="J171" s="376" t="s">
        <v>288</v>
      </c>
      <c r="K171" s="376" t="s">
        <v>289</v>
      </c>
      <c r="L171" s="376" t="s">
        <v>170</v>
      </c>
      <c r="M171" s="376" t="s">
        <v>171</v>
      </c>
      <c r="N171" s="376" t="s">
        <v>172</v>
      </c>
      <c r="O171" s="379">
        <v>1</v>
      </c>
      <c r="P171" s="385">
        <v>0</v>
      </c>
      <c r="Q171" s="385">
        <v>0</v>
      </c>
      <c r="R171" s="380">
        <v>80</v>
      </c>
      <c r="S171" s="385">
        <v>0</v>
      </c>
      <c r="T171" s="380">
        <v>794.37</v>
      </c>
      <c r="U171" s="380">
        <v>0</v>
      </c>
      <c r="V171" s="380">
        <v>255.52</v>
      </c>
      <c r="W171" s="380">
        <v>0</v>
      </c>
      <c r="X171" s="380">
        <v>0</v>
      </c>
      <c r="Y171" s="380">
        <v>0</v>
      </c>
      <c r="Z171" s="380">
        <v>0</v>
      </c>
      <c r="AA171" s="376" t="s">
        <v>290</v>
      </c>
      <c r="AB171" s="376" t="s">
        <v>291</v>
      </c>
      <c r="AC171" s="376" t="s">
        <v>292</v>
      </c>
      <c r="AD171" s="376" t="s">
        <v>210</v>
      </c>
      <c r="AE171" s="376" t="s">
        <v>289</v>
      </c>
      <c r="AF171" s="376" t="s">
        <v>177</v>
      </c>
      <c r="AG171" s="376" t="s">
        <v>178</v>
      </c>
      <c r="AH171" s="381">
        <v>29.58</v>
      </c>
      <c r="AI171" s="379">
        <v>41341</v>
      </c>
      <c r="AJ171" s="376" t="s">
        <v>179</v>
      </c>
      <c r="AK171" s="376" t="s">
        <v>180</v>
      </c>
      <c r="AL171" s="376" t="s">
        <v>181</v>
      </c>
      <c r="AM171" s="376" t="s">
        <v>182</v>
      </c>
      <c r="AN171" s="376" t="s">
        <v>68</v>
      </c>
      <c r="AO171" s="379">
        <v>80</v>
      </c>
      <c r="AP171" s="385">
        <v>1</v>
      </c>
      <c r="AQ171" s="385">
        <v>0</v>
      </c>
      <c r="AR171" s="383" t="s">
        <v>183</v>
      </c>
      <c r="AS171" s="387">
        <f t="shared" si="115"/>
        <v>0</v>
      </c>
      <c r="AT171">
        <f t="shared" si="116"/>
        <v>0</v>
      </c>
      <c r="AU171" s="387" t="str">
        <f>IF(AT171=0,"",IF(AND(AT171=1,M171="F",SUMIF(C2:C1334,C171,AS2:AS1334)&lt;=1),SUMIF(C2:C1334,C171,AS2:AS1334),IF(AND(AT171=1,M171="F",SUMIF(C2:C1334,C171,AS2:AS1334)&gt;1),1,"")))</f>
        <v/>
      </c>
      <c r="AV171" s="387" t="str">
        <f>IF(AT171=0,"",IF(AND(AT171=3,M171="F",SUMIF(C2:C1334,C171,AS2:AS1334)&lt;=1),SUMIF(C2:C1334,C171,AS2:AS1334),IF(AND(AT171=3,M171="F",SUMIF(C2:C1334,C171,AS2:AS1334)&gt;1),1,"")))</f>
        <v/>
      </c>
      <c r="AW171" s="387">
        <f>SUMIF(C2:C1334,C171,O2:O1334)</f>
        <v>7</v>
      </c>
      <c r="AX171" s="387">
        <f>IF(AND(M171="F",AS171&lt;&gt;0),SUMIF(C2:C1334,C171,W2:W1334),0)</f>
        <v>0</v>
      </c>
      <c r="AY171" s="387" t="str">
        <f t="shared" si="117"/>
        <v/>
      </c>
      <c r="AZ171" s="387" t="str">
        <f t="shared" si="118"/>
        <v/>
      </c>
      <c r="BA171" s="387">
        <f t="shared" si="119"/>
        <v>0</v>
      </c>
      <c r="BB171" s="387">
        <f t="shared" si="88"/>
        <v>0</v>
      </c>
      <c r="BC171" s="387">
        <f t="shared" si="89"/>
        <v>0</v>
      </c>
      <c r="BD171" s="387">
        <f t="shared" si="90"/>
        <v>0</v>
      </c>
      <c r="BE171" s="387">
        <f t="shared" si="91"/>
        <v>0</v>
      </c>
      <c r="BF171" s="387">
        <f t="shared" si="92"/>
        <v>0</v>
      </c>
      <c r="BG171" s="387">
        <f t="shared" si="93"/>
        <v>0</v>
      </c>
      <c r="BH171" s="387">
        <f t="shared" si="94"/>
        <v>0</v>
      </c>
      <c r="BI171" s="387">
        <f t="shared" si="95"/>
        <v>0</v>
      </c>
      <c r="BJ171" s="387">
        <f t="shared" si="96"/>
        <v>0</v>
      </c>
      <c r="BK171" s="387">
        <f t="shared" si="97"/>
        <v>0</v>
      </c>
      <c r="BL171" s="387">
        <f t="shared" si="120"/>
        <v>0</v>
      </c>
      <c r="BM171" s="387">
        <f t="shared" si="121"/>
        <v>0</v>
      </c>
      <c r="BN171" s="387">
        <f t="shared" si="98"/>
        <v>0</v>
      </c>
      <c r="BO171" s="387">
        <f t="shared" si="99"/>
        <v>0</v>
      </c>
      <c r="BP171" s="387">
        <f t="shared" si="100"/>
        <v>0</v>
      </c>
      <c r="BQ171" s="387">
        <f t="shared" si="101"/>
        <v>0</v>
      </c>
      <c r="BR171" s="387">
        <f t="shared" si="102"/>
        <v>0</v>
      </c>
      <c r="BS171" s="387">
        <f t="shared" si="103"/>
        <v>0</v>
      </c>
      <c r="BT171" s="387">
        <f t="shared" si="104"/>
        <v>0</v>
      </c>
      <c r="BU171" s="387">
        <f t="shared" si="105"/>
        <v>0</v>
      </c>
      <c r="BV171" s="387">
        <f t="shared" si="106"/>
        <v>0</v>
      </c>
      <c r="BW171" s="387">
        <f t="shared" si="107"/>
        <v>0</v>
      </c>
      <c r="BX171" s="387">
        <f t="shared" si="122"/>
        <v>0</v>
      </c>
      <c r="BY171" s="387">
        <f t="shared" si="123"/>
        <v>0</v>
      </c>
      <c r="BZ171" s="387">
        <f t="shared" si="124"/>
        <v>0</v>
      </c>
      <c r="CA171" s="387">
        <f t="shared" si="125"/>
        <v>0</v>
      </c>
      <c r="CB171" s="387">
        <f t="shared" si="126"/>
        <v>0</v>
      </c>
      <c r="CC171" s="387">
        <f t="shared" si="108"/>
        <v>0</v>
      </c>
      <c r="CD171" s="387">
        <f t="shared" si="109"/>
        <v>0</v>
      </c>
      <c r="CE171" s="387">
        <f t="shared" si="110"/>
        <v>0</v>
      </c>
      <c r="CF171" s="387">
        <f t="shared" si="111"/>
        <v>0</v>
      </c>
      <c r="CG171" s="387">
        <f t="shared" si="112"/>
        <v>0</v>
      </c>
      <c r="CH171" s="387">
        <f t="shared" si="113"/>
        <v>0</v>
      </c>
      <c r="CI171" s="387">
        <f t="shared" si="114"/>
        <v>0</v>
      </c>
      <c r="CJ171" s="387">
        <f t="shared" si="127"/>
        <v>0</v>
      </c>
      <c r="CK171" s="387" t="str">
        <f t="shared" si="128"/>
        <v/>
      </c>
      <c r="CL171" s="387" t="str">
        <f t="shared" si="129"/>
        <v/>
      </c>
      <c r="CM171" s="387" t="str">
        <f t="shared" si="130"/>
        <v/>
      </c>
      <c r="CN171" s="387" t="str">
        <f t="shared" si="131"/>
        <v>0303-00</v>
      </c>
    </row>
    <row r="172" spans="1:92" ht="15.75" thickBot="1" x14ac:dyDescent="0.3">
      <c r="A172" s="376" t="s">
        <v>161</v>
      </c>
      <c r="B172" s="376" t="s">
        <v>162</v>
      </c>
      <c r="C172" s="376" t="s">
        <v>318</v>
      </c>
      <c r="D172" s="376" t="s">
        <v>319</v>
      </c>
      <c r="E172" s="376" t="s">
        <v>214</v>
      </c>
      <c r="F172" s="377" t="s">
        <v>166</v>
      </c>
      <c r="G172" s="376" t="s">
        <v>781</v>
      </c>
      <c r="H172" s="378"/>
      <c r="I172" s="378"/>
      <c r="J172" s="376" t="s">
        <v>168</v>
      </c>
      <c r="K172" s="376" t="s">
        <v>320</v>
      </c>
      <c r="L172" s="376" t="s">
        <v>178</v>
      </c>
      <c r="M172" s="376" t="s">
        <v>171</v>
      </c>
      <c r="N172" s="376" t="s">
        <v>172</v>
      </c>
      <c r="O172" s="379">
        <v>1</v>
      </c>
      <c r="P172" s="385">
        <v>0</v>
      </c>
      <c r="Q172" s="385">
        <v>0</v>
      </c>
      <c r="R172" s="380">
        <v>80</v>
      </c>
      <c r="S172" s="385">
        <v>0</v>
      </c>
      <c r="T172" s="380">
        <v>2928.94</v>
      </c>
      <c r="U172" s="380">
        <v>0</v>
      </c>
      <c r="V172" s="380">
        <v>1539.49</v>
      </c>
      <c r="W172" s="380">
        <v>0</v>
      </c>
      <c r="X172" s="380">
        <v>0</v>
      </c>
      <c r="Y172" s="380">
        <v>0</v>
      </c>
      <c r="Z172" s="380">
        <v>0</v>
      </c>
      <c r="AA172" s="376" t="s">
        <v>321</v>
      </c>
      <c r="AB172" s="376" t="s">
        <v>322</v>
      </c>
      <c r="AC172" s="376" t="s">
        <v>323</v>
      </c>
      <c r="AD172" s="376" t="s">
        <v>324</v>
      </c>
      <c r="AE172" s="376" t="s">
        <v>320</v>
      </c>
      <c r="AF172" s="376" t="s">
        <v>253</v>
      </c>
      <c r="AG172" s="376" t="s">
        <v>178</v>
      </c>
      <c r="AH172" s="381">
        <v>18.579999999999998</v>
      </c>
      <c r="AI172" s="381">
        <v>39867.300000000003</v>
      </c>
      <c r="AJ172" s="376" t="s">
        <v>179</v>
      </c>
      <c r="AK172" s="376" t="s">
        <v>180</v>
      </c>
      <c r="AL172" s="376" t="s">
        <v>181</v>
      </c>
      <c r="AM172" s="376" t="s">
        <v>182</v>
      </c>
      <c r="AN172" s="376" t="s">
        <v>68</v>
      </c>
      <c r="AO172" s="379">
        <v>80</v>
      </c>
      <c r="AP172" s="385">
        <v>1</v>
      </c>
      <c r="AQ172" s="385">
        <v>0</v>
      </c>
      <c r="AR172" s="383" t="s">
        <v>183</v>
      </c>
      <c r="AS172" s="387">
        <f t="shared" si="115"/>
        <v>0</v>
      </c>
      <c r="AT172">
        <f t="shared" si="116"/>
        <v>0</v>
      </c>
      <c r="AU172" s="387" t="str">
        <f>IF(AT172=0,"",IF(AND(AT172=1,M172="F",SUMIF(C2:C1334,C172,AS2:AS1334)&lt;=1),SUMIF(C2:C1334,C172,AS2:AS1334),IF(AND(AT172=1,M172="F",SUMIF(C2:C1334,C172,AS2:AS1334)&gt;1),1,"")))</f>
        <v/>
      </c>
      <c r="AV172" s="387" t="str">
        <f>IF(AT172=0,"",IF(AND(AT172=3,M172="F",SUMIF(C2:C1334,C172,AS2:AS1334)&lt;=1),SUMIF(C2:C1334,C172,AS2:AS1334),IF(AND(AT172=3,M172="F",SUMIF(C2:C1334,C172,AS2:AS1334)&gt;1),1,"")))</f>
        <v/>
      </c>
      <c r="AW172" s="387">
        <f>SUMIF(C2:C1334,C172,O2:O1334)</f>
        <v>5</v>
      </c>
      <c r="AX172" s="387">
        <f>IF(AND(M172="F",AS172&lt;&gt;0),SUMIF(C2:C1334,C172,W2:W1334),0)</f>
        <v>0</v>
      </c>
      <c r="AY172" s="387" t="str">
        <f t="shared" si="117"/>
        <v/>
      </c>
      <c r="AZ172" s="387" t="str">
        <f t="shared" si="118"/>
        <v/>
      </c>
      <c r="BA172" s="387">
        <f t="shared" si="119"/>
        <v>0</v>
      </c>
      <c r="BB172" s="387">
        <f t="shared" si="88"/>
        <v>0</v>
      </c>
      <c r="BC172" s="387">
        <f t="shared" si="89"/>
        <v>0</v>
      </c>
      <c r="BD172" s="387">
        <f t="shared" si="90"/>
        <v>0</v>
      </c>
      <c r="BE172" s="387">
        <f t="shared" si="91"/>
        <v>0</v>
      </c>
      <c r="BF172" s="387">
        <f t="shared" si="92"/>
        <v>0</v>
      </c>
      <c r="BG172" s="387">
        <f t="shared" si="93"/>
        <v>0</v>
      </c>
      <c r="BH172" s="387">
        <f t="shared" si="94"/>
        <v>0</v>
      </c>
      <c r="BI172" s="387">
        <f t="shared" si="95"/>
        <v>0</v>
      </c>
      <c r="BJ172" s="387">
        <f t="shared" si="96"/>
        <v>0</v>
      </c>
      <c r="BK172" s="387">
        <f t="shared" si="97"/>
        <v>0</v>
      </c>
      <c r="BL172" s="387">
        <f t="shared" si="120"/>
        <v>0</v>
      </c>
      <c r="BM172" s="387">
        <f t="shared" si="121"/>
        <v>0</v>
      </c>
      <c r="BN172" s="387">
        <f t="shared" si="98"/>
        <v>0</v>
      </c>
      <c r="BO172" s="387">
        <f t="shared" si="99"/>
        <v>0</v>
      </c>
      <c r="BP172" s="387">
        <f t="shared" si="100"/>
        <v>0</v>
      </c>
      <c r="BQ172" s="387">
        <f t="shared" si="101"/>
        <v>0</v>
      </c>
      <c r="BR172" s="387">
        <f t="shared" si="102"/>
        <v>0</v>
      </c>
      <c r="BS172" s="387">
        <f t="shared" si="103"/>
        <v>0</v>
      </c>
      <c r="BT172" s="387">
        <f t="shared" si="104"/>
        <v>0</v>
      </c>
      <c r="BU172" s="387">
        <f t="shared" si="105"/>
        <v>0</v>
      </c>
      <c r="BV172" s="387">
        <f t="shared" si="106"/>
        <v>0</v>
      </c>
      <c r="BW172" s="387">
        <f t="shared" si="107"/>
        <v>0</v>
      </c>
      <c r="BX172" s="387">
        <f t="shared" si="122"/>
        <v>0</v>
      </c>
      <c r="BY172" s="387">
        <f t="shared" si="123"/>
        <v>0</v>
      </c>
      <c r="BZ172" s="387">
        <f t="shared" si="124"/>
        <v>0</v>
      </c>
      <c r="CA172" s="387">
        <f t="shared" si="125"/>
        <v>0</v>
      </c>
      <c r="CB172" s="387">
        <f t="shared" si="126"/>
        <v>0</v>
      </c>
      <c r="CC172" s="387">
        <f t="shared" si="108"/>
        <v>0</v>
      </c>
      <c r="CD172" s="387">
        <f t="shared" si="109"/>
        <v>0</v>
      </c>
      <c r="CE172" s="387">
        <f t="shared" si="110"/>
        <v>0</v>
      </c>
      <c r="CF172" s="387">
        <f t="shared" si="111"/>
        <v>0</v>
      </c>
      <c r="CG172" s="387">
        <f t="shared" si="112"/>
        <v>0</v>
      </c>
      <c r="CH172" s="387">
        <f t="shared" si="113"/>
        <v>0</v>
      </c>
      <c r="CI172" s="387">
        <f t="shared" si="114"/>
        <v>0</v>
      </c>
      <c r="CJ172" s="387">
        <f t="shared" si="127"/>
        <v>0</v>
      </c>
      <c r="CK172" s="387" t="str">
        <f t="shared" si="128"/>
        <v/>
      </c>
      <c r="CL172" s="387" t="str">
        <f t="shared" si="129"/>
        <v/>
      </c>
      <c r="CM172" s="387" t="str">
        <f t="shared" si="130"/>
        <v/>
      </c>
      <c r="CN172" s="387" t="str">
        <f t="shared" si="131"/>
        <v>0303-00</v>
      </c>
    </row>
    <row r="173" spans="1:92" ht="15.75" thickBot="1" x14ac:dyDescent="0.3">
      <c r="A173" s="376" t="s">
        <v>161</v>
      </c>
      <c r="B173" s="376" t="s">
        <v>162</v>
      </c>
      <c r="C173" s="376" t="s">
        <v>821</v>
      </c>
      <c r="D173" s="376" t="s">
        <v>792</v>
      </c>
      <c r="E173" s="376" t="s">
        <v>214</v>
      </c>
      <c r="F173" s="377" t="s">
        <v>166</v>
      </c>
      <c r="G173" s="376" t="s">
        <v>781</v>
      </c>
      <c r="H173" s="378"/>
      <c r="I173" s="378"/>
      <c r="J173" s="376" t="s">
        <v>215</v>
      </c>
      <c r="K173" s="376" t="s">
        <v>793</v>
      </c>
      <c r="L173" s="376" t="s">
        <v>170</v>
      </c>
      <c r="M173" s="376" t="s">
        <v>272</v>
      </c>
      <c r="N173" s="376" t="s">
        <v>172</v>
      </c>
      <c r="O173" s="379">
        <v>0</v>
      </c>
      <c r="P173" s="385">
        <v>0</v>
      </c>
      <c r="Q173" s="385">
        <v>0</v>
      </c>
      <c r="R173" s="380">
        <v>80</v>
      </c>
      <c r="S173" s="385">
        <v>0</v>
      </c>
      <c r="T173" s="380">
        <v>26.58</v>
      </c>
      <c r="U173" s="380">
        <v>0</v>
      </c>
      <c r="V173" s="380">
        <v>11.16</v>
      </c>
      <c r="W173" s="380">
        <v>0</v>
      </c>
      <c r="X173" s="380">
        <v>0</v>
      </c>
      <c r="Y173" s="380">
        <v>0</v>
      </c>
      <c r="Z173" s="380">
        <v>0</v>
      </c>
      <c r="AA173" s="378"/>
      <c r="AB173" s="376" t="s">
        <v>45</v>
      </c>
      <c r="AC173" s="376" t="s">
        <v>45</v>
      </c>
      <c r="AD173" s="378"/>
      <c r="AE173" s="378"/>
      <c r="AF173" s="378"/>
      <c r="AG173" s="378"/>
      <c r="AH173" s="379">
        <v>0</v>
      </c>
      <c r="AI173" s="379">
        <v>0</v>
      </c>
      <c r="AJ173" s="378"/>
      <c r="AK173" s="378"/>
      <c r="AL173" s="376" t="s">
        <v>181</v>
      </c>
      <c r="AM173" s="378"/>
      <c r="AN173" s="378"/>
      <c r="AO173" s="379">
        <v>0</v>
      </c>
      <c r="AP173" s="385">
        <v>0</v>
      </c>
      <c r="AQ173" s="385">
        <v>0</v>
      </c>
      <c r="AR173" s="384"/>
      <c r="AS173" s="387">
        <f t="shared" si="115"/>
        <v>0</v>
      </c>
      <c r="AT173">
        <f t="shared" si="116"/>
        <v>0</v>
      </c>
      <c r="AU173" s="387" t="str">
        <f>IF(AT173=0,"",IF(AND(AT173=1,M173="F",SUMIF(C2:C1334,C173,AS2:AS1334)&lt;=1),SUMIF(C2:C1334,C173,AS2:AS1334),IF(AND(AT173=1,M173="F",SUMIF(C2:C1334,C173,AS2:AS1334)&gt;1),1,"")))</f>
        <v/>
      </c>
      <c r="AV173" s="387" t="str">
        <f>IF(AT173=0,"",IF(AND(AT173=3,M173="F",SUMIF(C2:C1334,C173,AS2:AS1334)&lt;=1),SUMIF(C2:C1334,C173,AS2:AS1334),IF(AND(AT173=3,M173="F",SUMIF(C2:C1334,C173,AS2:AS1334)&gt;1),1,"")))</f>
        <v/>
      </c>
      <c r="AW173" s="387">
        <f>SUMIF(C2:C1334,C173,O2:O1334)</f>
        <v>0</v>
      </c>
      <c r="AX173" s="387">
        <f>IF(AND(M173="F",AS173&lt;&gt;0),SUMIF(C2:C1334,C173,W2:W1334),0)</f>
        <v>0</v>
      </c>
      <c r="AY173" s="387" t="str">
        <f t="shared" si="117"/>
        <v/>
      </c>
      <c r="AZ173" s="387" t="str">
        <f t="shared" si="118"/>
        <v/>
      </c>
      <c r="BA173" s="387">
        <f t="shared" si="119"/>
        <v>0</v>
      </c>
      <c r="BB173" s="387">
        <f t="shared" si="88"/>
        <v>0</v>
      </c>
      <c r="BC173" s="387">
        <f t="shared" si="89"/>
        <v>0</v>
      </c>
      <c r="BD173" s="387">
        <f t="shared" si="90"/>
        <v>0</v>
      </c>
      <c r="BE173" s="387">
        <f t="shared" si="91"/>
        <v>0</v>
      </c>
      <c r="BF173" s="387">
        <f t="shared" si="92"/>
        <v>0</v>
      </c>
      <c r="BG173" s="387">
        <f t="shared" si="93"/>
        <v>0</v>
      </c>
      <c r="BH173" s="387">
        <f t="shared" si="94"/>
        <v>0</v>
      </c>
      <c r="BI173" s="387">
        <f t="shared" si="95"/>
        <v>0</v>
      </c>
      <c r="BJ173" s="387">
        <f t="shared" si="96"/>
        <v>0</v>
      </c>
      <c r="BK173" s="387">
        <f t="shared" si="97"/>
        <v>0</v>
      </c>
      <c r="BL173" s="387">
        <f t="shared" si="120"/>
        <v>0</v>
      </c>
      <c r="BM173" s="387">
        <f t="shared" si="121"/>
        <v>0</v>
      </c>
      <c r="BN173" s="387">
        <f t="shared" si="98"/>
        <v>0</v>
      </c>
      <c r="BO173" s="387">
        <f t="shared" si="99"/>
        <v>0</v>
      </c>
      <c r="BP173" s="387">
        <f t="shared" si="100"/>
        <v>0</v>
      </c>
      <c r="BQ173" s="387">
        <f t="shared" si="101"/>
        <v>0</v>
      </c>
      <c r="BR173" s="387">
        <f t="shared" si="102"/>
        <v>0</v>
      </c>
      <c r="BS173" s="387">
        <f t="shared" si="103"/>
        <v>0</v>
      </c>
      <c r="BT173" s="387">
        <f t="shared" si="104"/>
        <v>0</v>
      </c>
      <c r="BU173" s="387">
        <f t="shared" si="105"/>
        <v>0</v>
      </c>
      <c r="BV173" s="387">
        <f t="shared" si="106"/>
        <v>0</v>
      </c>
      <c r="BW173" s="387">
        <f t="shared" si="107"/>
        <v>0</v>
      </c>
      <c r="BX173" s="387">
        <f t="shared" si="122"/>
        <v>0</v>
      </c>
      <c r="BY173" s="387">
        <f t="shared" si="123"/>
        <v>0</v>
      </c>
      <c r="BZ173" s="387">
        <f t="shared" si="124"/>
        <v>0</v>
      </c>
      <c r="CA173" s="387">
        <f t="shared" si="125"/>
        <v>0</v>
      </c>
      <c r="CB173" s="387">
        <f t="shared" si="126"/>
        <v>0</v>
      </c>
      <c r="CC173" s="387">
        <f t="shared" si="108"/>
        <v>0</v>
      </c>
      <c r="CD173" s="387">
        <f t="shared" si="109"/>
        <v>0</v>
      </c>
      <c r="CE173" s="387">
        <f t="shared" si="110"/>
        <v>0</v>
      </c>
      <c r="CF173" s="387">
        <f t="shared" si="111"/>
        <v>0</v>
      </c>
      <c r="CG173" s="387">
        <f t="shared" si="112"/>
        <v>0</v>
      </c>
      <c r="CH173" s="387">
        <f t="shared" si="113"/>
        <v>0</v>
      </c>
      <c r="CI173" s="387">
        <f t="shared" si="114"/>
        <v>0</v>
      </c>
      <c r="CJ173" s="387">
        <f t="shared" si="127"/>
        <v>0</v>
      </c>
      <c r="CK173" s="387" t="str">
        <f t="shared" si="128"/>
        <v/>
      </c>
      <c r="CL173" s="387" t="str">
        <f t="shared" si="129"/>
        <v/>
      </c>
      <c r="CM173" s="387" t="str">
        <f t="shared" si="130"/>
        <v/>
      </c>
      <c r="CN173" s="387" t="str">
        <f t="shared" si="131"/>
        <v>0303-00</v>
      </c>
    </row>
    <row r="174" spans="1:92" ht="15.75" thickBot="1" x14ac:dyDescent="0.3">
      <c r="A174" s="376" t="s">
        <v>161</v>
      </c>
      <c r="B174" s="376" t="s">
        <v>162</v>
      </c>
      <c r="C174" s="376" t="s">
        <v>398</v>
      </c>
      <c r="D174" s="376" t="s">
        <v>375</v>
      </c>
      <c r="E174" s="376" t="s">
        <v>214</v>
      </c>
      <c r="F174" s="377" t="s">
        <v>166</v>
      </c>
      <c r="G174" s="376" t="s">
        <v>781</v>
      </c>
      <c r="H174" s="378"/>
      <c r="I174" s="378"/>
      <c r="J174" s="376" t="s">
        <v>239</v>
      </c>
      <c r="K174" s="376" t="s">
        <v>376</v>
      </c>
      <c r="L174" s="376" t="s">
        <v>178</v>
      </c>
      <c r="M174" s="376" t="s">
        <v>171</v>
      </c>
      <c r="N174" s="376" t="s">
        <v>172</v>
      </c>
      <c r="O174" s="379">
        <v>1</v>
      </c>
      <c r="P174" s="385">
        <v>0</v>
      </c>
      <c r="Q174" s="385">
        <v>0</v>
      </c>
      <c r="R174" s="380">
        <v>80</v>
      </c>
      <c r="S174" s="385">
        <v>0</v>
      </c>
      <c r="T174" s="380">
        <v>43.56</v>
      </c>
      <c r="U174" s="380">
        <v>0</v>
      </c>
      <c r="V174" s="380">
        <v>26.83</v>
      </c>
      <c r="W174" s="380">
        <v>0</v>
      </c>
      <c r="X174" s="380">
        <v>0</v>
      </c>
      <c r="Y174" s="380">
        <v>0</v>
      </c>
      <c r="Z174" s="380">
        <v>0</v>
      </c>
      <c r="AA174" s="376" t="s">
        <v>399</v>
      </c>
      <c r="AB174" s="376" t="s">
        <v>400</v>
      </c>
      <c r="AC174" s="376" t="s">
        <v>401</v>
      </c>
      <c r="AD174" s="376" t="s">
        <v>402</v>
      </c>
      <c r="AE174" s="376" t="s">
        <v>376</v>
      </c>
      <c r="AF174" s="376" t="s">
        <v>253</v>
      </c>
      <c r="AG174" s="376" t="s">
        <v>178</v>
      </c>
      <c r="AH174" s="381">
        <v>15.21</v>
      </c>
      <c r="AI174" s="381">
        <v>13084.3</v>
      </c>
      <c r="AJ174" s="376" t="s">
        <v>179</v>
      </c>
      <c r="AK174" s="376" t="s">
        <v>180</v>
      </c>
      <c r="AL174" s="376" t="s">
        <v>181</v>
      </c>
      <c r="AM174" s="376" t="s">
        <v>182</v>
      </c>
      <c r="AN174" s="376" t="s">
        <v>68</v>
      </c>
      <c r="AO174" s="379">
        <v>80</v>
      </c>
      <c r="AP174" s="385">
        <v>1</v>
      </c>
      <c r="AQ174" s="385">
        <v>0</v>
      </c>
      <c r="AR174" s="383" t="s">
        <v>183</v>
      </c>
      <c r="AS174" s="387">
        <f t="shared" si="115"/>
        <v>0</v>
      </c>
      <c r="AT174">
        <f t="shared" si="116"/>
        <v>0</v>
      </c>
      <c r="AU174" s="387" t="str">
        <f>IF(AT174=0,"",IF(AND(AT174=1,M174="F",SUMIF(C2:C1334,C174,AS2:AS1334)&lt;=1),SUMIF(C2:C1334,C174,AS2:AS1334),IF(AND(AT174=1,M174="F",SUMIF(C2:C1334,C174,AS2:AS1334)&gt;1),1,"")))</f>
        <v/>
      </c>
      <c r="AV174" s="387" t="str">
        <f>IF(AT174=0,"",IF(AND(AT174=3,M174="F",SUMIF(C2:C1334,C174,AS2:AS1334)&lt;=1),SUMIF(C2:C1334,C174,AS2:AS1334),IF(AND(AT174=3,M174="F",SUMIF(C2:C1334,C174,AS2:AS1334)&gt;1),1,"")))</f>
        <v/>
      </c>
      <c r="AW174" s="387">
        <f>SUMIF(C2:C1334,C174,O2:O1334)</f>
        <v>6</v>
      </c>
      <c r="AX174" s="387">
        <f>IF(AND(M174="F",AS174&lt;&gt;0),SUMIF(C2:C1334,C174,W2:W1334),0)</f>
        <v>0</v>
      </c>
      <c r="AY174" s="387" t="str">
        <f t="shared" si="117"/>
        <v/>
      </c>
      <c r="AZ174" s="387" t="str">
        <f t="shared" si="118"/>
        <v/>
      </c>
      <c r="BA174" s="387">
        <f t="shared" si="119"/>
        <v>0</v>
      </c>
      <c r="BB174" s="387">
        <f t="shared" si="88"/>
        <v>0</v>
      </c>
      <c r="BC174" s="387">
        <f t="shared" si="89"/>
        <v>0</v>
      </c>
      <c r="BD174" s="387">
        <f t="shared" si="90"/>
        <v>0</v>
      </c>
      <c r="BE174" s="387">
        <f t="shared" si="91"/>
        <v>0</v>
      </c>
      <c r="BF174" s="387">
        <f t="shared" si="92"/>
        <v>0</v>
      </c>
      <c r="BG174" s="387">
        <f t="shared" si="93"/>
        <v>0</v>
      </c>
      <c r="BH174" s="387">
        <f t="shared" si="94"/>
        <v>0</v>
      </c>
      <c r="BI174" s="387">
        <f t="shared" si="95"/>
        <v>0</v>
      </c>
      <c r="BJ174" s="387">
        <f t="shared" si="96"/>
        <v>0</v>
      </c>
      <c r="BK174" s="387">
        <f t="shared" si="97"/>
        <v>0</v>
      </c>
      <c r="BL174" s="387">
        <f t="shared" si="120"/>
        <v>0</v>
      </c>
      <c r="BM174" s="387">
        <f t="shared" si="121"/>
        <v>0</v>
      </c>
      <c r="BN174" s="387">
        <f t="shared" si="98"/>
        <v>0</v>
      </c>
      <c r="BO174" s="387">
        <f t="shared" si="99"/>
        <v>0</v>
      </c>
      <c r="BP174" s="387">
        <f t="shared" si="100"/>
        <v>0</v>
      </c>
      <c r="BQ174" s="387">
        <f t="shared" si="101"/>
        <v>0</v>
      </c>
      <c r="BR174" s="387">
        <f t="shared" si="102"/>
        <v>0</v>
      </c>
      <c r="BS174" s="387">
        <f t="shared" si="103"/>
        <v>0</v>
      </c>
      <c r="BT174" s="387">
        <f t="shared" si="104"/>
        <v>0</v>
      </c>
      <c r="BU174" s="387">
        <f t="shared" si="105"/>
        <v>0</v>
      </c>
      <c r="BV174" s="387">
        <f t="shared" si="106"/>
        <v>0</v>
      </c>
      <c r="BW174" s="387">
        <f t="shared" si="107"/>
        <v>0</v>
      </c>
      <c r="BX174" s="387">
        <f t="shared" si="122"/>
        <v>0</v>
      </c>
      <c r="BY174" s="387">
        <f t="shared" si="123"/>
        <v>0</v>
      </c>
      <c r="BZ174" s="387">
        <f t="shared" si="124"/>
        <v>0</v>
      </c>
      <c r="CA174" s="387">
        <f t="shared" si="125"/>
        <v>0</v>
      </c>
      <c r="CB174" s="387">
        <f t="shared" si="126"/>
        <v>0</v>
      </c>
      <c r="CC174" s="387">
        <f t="shared" si="108"/>
        <v>0</v>
      </c>
      <c r="CD174" s="387">
        <f t="shared" si="109"/>
        <v>0</v>
      </c>
      <c r="CE174" s="387">
        <f t="shared" si="110"/>
        <v>0</v>
      </c>
      <c r="CF174" s="387">
        <f t="shared" si="111"/>
        <v>0</v>
      </c>
      <c r="CG174" s="387">
        <f t="shared" si="112"/>
        <v>0</v>
      </c>
      <c r="CH174" s="387">
        <f t="shared" si="113"/>
        <v>0</v>
      </c>
      <c r="CI174" s="387">
        <f t="shared" si="114"/>
        <v>0</v>
      </c>
      <c r="CJ174" s="387">
        <f t="shared" si="127"/>
        <v>0</v>
      </c>
      <c r="CK174" s="387" t="str">
        <f t="shared" si="128"/>
        <v/>
      </c>
      <c r="CL174" s="387" t="str">
        <f t="shared" si="129"/>
        <v/>
      </c>
      <c r="CM174" s="387" t="str">
        <f t="shared" si="130"/>
        <v/>
      </c>
      <c r="CN174" s="387" t="str">
        <f t="shared" si="131"/>
        <v>0303-00</v>
      </c>
    </row>
    <row r="175" spans="1:92" ht="15.75" thickBot="1" x14ac:dyDescent="0.3">
      <c r="A175" s="376" t="s">
        <v>161</v>
      </c>
      <c r="B175" s="376" t="s">
        <v>162</v>
      </c>
      <c r="C175" s="376" t="s">
        <v>280</v>
      </c>
      <c r="D175" s="376" t="s">
        <v>255</v>
      </c>
      <c r="E175" s="376" t="s">
        <v>214</v>
      </c>
      <c r="F175" s="377" t="s">
        <v>166</v>
      </c>
      <c r="G175" s="376" t="s">
        <v>781</v>
      </c>
      <c r="H175" s="378"/>
      <c r="I175" s="378"/>
      <c r="J175" s="376" t="s">
        <v>205</v>
      </c>
      <c r="K175" s="376" t="s">
        <v>256</v>
      </c>
      <c r="L175" s="376" t="s">
        <v>166</v>
      </c>
      <c r="M175" s="376" t="s">
        <v>171</v>
      </c>
      <c r="N175" s="376" t="s">
        <v>257</v>
      </c>
      <c r="O175" s="379">
        <v>1</v>
      </c>
      <c r="P175" s="385">
        <v>0</v>
      </c>
      <c r="Q175" s="385">
        <v>0</v>
      </c>
      <c r="R175" s="380">
        <v>80</v>
      </c>
      <c r="S175" s="385">
        <v>0</v>
      </c>
      <c r="T175" s="380">
        <v>9849.33</v>
      </c>
      <c r="U175" s="380">
        <v>0</v>
      </c>
      <c r="V175" s="380">
        <v>2992.85</v>
      </c>
      <c r="W175" s="380">
        <v>0</v>
      </c>
      <c r="X175" s="380">
        <v>0</v>
      </c>
      <c r="Y175" s="380">
        <v>0</v>
      </c>
      <c r="Z175" s="380">
        <v>0</v>
      </c>
      <c r="AA175" s="376" t="s">
        <v>281</v>
      </c>
      <c r="AB175" s="376" t="s">
        <v>282</v>
      </c>
      <c r="AC175" s="376" t="s">
        <v>283</v>
      </c>
      <c r="AD175" s="376" t="s">
        <v>210</v>
      </c>
      <c r="AE175" s="376" t="s">
        <v>256</v>
      </c>
      <c r="AF175" s="376" t="s">
        <v>261</v>
      </c>
      <c r="AG175" s="376" t="s">
        <v>178</v>
      </c>
      <c r="AH175" s="381">
        <v>59.26</v>
      </c>
      <c r="AI175" s="381">
        <v>47005.3</v>
      </c>
      <c r="AJ175" s="376" t="s">
        <v>179</v>
      </c>
      <c r="AK175" s="376" t="s">
        <v>180</v>
      </c>
      <c r="AL175" s="376" t="s">
        <v>181</v>
      </c>
      <c r="AM175" s="376" t="s">
        <v>182</v>
      </c>
      <c r="AN175" s="376" t="s">
        <v>68</v>
      </c>
      <c r="AO175" s="379">
        <v>80</v>
      </c>
      <c r="AP175" s="385">
        <v>1</v>
      </c>
      <c r="AQ175" s="385">
        <v>0</v>
      </c>
      <c r="AR175" s="383" t="s">
        <v>183</v>
      </c>
      <c r="AS175" s="387">
        <f t="shared" si="115"/>
        <v>0</v>
      </c>
      <c r="AT175">
        <f t="shared" si="116"/>
        <v>0</v>
      </c>
      <c r="AU175" s="387" t="str">
        <f>IF(AT175=0,"",IF(AND(AT175=1,M175="F",SUMIF(C2:C1334,C175,AS2:AS1334)&lt;=1),SUMIF(C2:C1334,C175,AS2:AS1334),IF(AND(AT175=1,M175="F",SUMIF(C2:C1334,C175,AS2:AS1334)&gt;1),1,"")))</f>
        <v/>
      </c>
      <c r="AV175" s="387" t="str">
        <f>IF(AT175=0,"",IF(AND(AT175=3,M175="F",SUMIF(C2:C1334,C175,AS2:AS1334)&lt;=1),SUMIF(C2:C1334,C175,AS2:AS1334),IF(AND(AT175=3,M175="F",SUMIF(C2:C1334,C175,AS2:AS1334)&gt;1),1,"")))</f>
        <v/>
      </c>
      <c r="AW175" s="387">
        <f>SUMIF(C2:C1334,C175,O2:O1334)</f>
        <v>3</v>
      </c>
      <c r="AX175" s="387">
        <f>IF(AND(M175="F",AS175&lt;&gt;0),SUMIF(C2:C1334,C175,W2:W1334),0)</f>
        <v>0</v>
      </c>
      <c r="AY175" s="387" t="str">
        <f t="shared" si="117"/>
        <v/>
      </c>
      <c r="AZ175" s="387" t="str">
        <f t="shared" si="118"/>
        <v/>
      </c>
      <c r="BA175" s="387">
        <f t="shared" si="119"/>
        <v>0</v>
      </c>
      <c r="BB175" s="387">
        <f t="shared" si="88"/>
        <v>0</v>
      </c>
      <c r="BC175" s="387">
        <f t="shared" si="89"/>
        <v>0</v>
      </c>
      <c r="BD175" s="387">
        <f t="shared" si="90"/>
        <v>0</v>
      </c>
      <c r="BE175" s="387">
        <f t="shared" si="91"/>
        <v>0</v>
      </c>
      <c r="BF175" s="387">
        <f t="shared" si="92"/>
        <v>0</v>
      </c>
      <c r="BG175" s="387">
        <f t="shared" si="93"/>
        <v>0</v>
      </c>
      <c r="BH175" s="387">
        <f t="shared" si="94"/>
        <v>0</v>
      </c>
      <c r="BI175" s="387">
        <f t="shared" si="95"/>
        <v>0</v>
      </c>
      <c r="BJ175" s="387">
        <f t="shared" si="96"/>
        <v>0</v>
      </c>
      <c r="BK175" s="387">
        <f t="shared" si="97"/>
        <v>0</v>
      </c>
      <c r="BL175" s="387">
        <f t="shared" si="120"/>
        <v>0</v>
      </c>
      <c r="BM175" s="387">
        <f t="shared" si="121"/>
        <v>0</v>
      </c>
      <c r="BN175" s="387">
        <f t="shared" si="98"/>
        <v>0</v>
      </c>
      <c r="BO175" s="387">
        <f t="shared" si="99"/>
        <v>0</v>
      </c>
      <c r="BP175" s="387">
        <f t="shared" si="100"/>
        <v>0</v>
      </c>
      <c r="BQ175" s="387">
        <f t="shared" si="101"/>
        <v>0</v>
      </c>
      <c r="BR175" s="387">
        <f t="shared" si="102"/>
        <v>0</v>
      </c>
      <c r="BS175" s="387">
        <f t="shared" si="103"/>
        <v>0</v>
      </c>
      <c r="BT175" s="387">
        <f t="shared" si="104"/>
        <v>0</v>
      </c>
      <c r="BU175" s="387">
        <f t="shared" si="105"/>
        <v>0</v>
      </c>
      <c r="BV175" s="387">
        <f t="shared" si="106"/>
        <v>0</v>
      </c>
      <c r="BW175" s="387">
        <f t="shared" si="107"/>
        <v>0</v>
      </c>
      <c r="BX175" s="387">
        <f t="shared" si="122"/>
        <v>0</v>
      </c>
      <c r="BY175" s="387">
        <f t="shared" si="123"/>
        <v>0</v>
      </c>
      <c r="BZ175" s="387">
        <f t="shared" si="124"/>
        <v>0</v>
      </c>
      <c r="CA175" s="387">
        <f t="shared" si="125"/>
        <v>0</v>
      </c>
      <c r="CB175" s="387">
        <f t="shared" si="126"/>
        <v>0</v>
      </c>
      <c r="CC175" s="387">
        <f t="shared" si="108"/>
        <v>0</v>
      </c>
      <c r="CD175" s="387">
        <f t="shared" si="109"/>
        <v>0</v>
      </c>
      <c r="CE175" s="387">
        <f t="shared" si="110"/>
        <v>0</v>
      </c>
      <c r="CF175" s="387">
        <f t="shared" si="111"/>
        <v>0</v>
      </c>
      <c r="CG175" s="387">
        <f t="shared" si="112"/>
        <v>0</v>
      </c>
      <c r="CH175" s="387">
        <f t="shared" si="113"/>
        <v>0</v>
      </c>
      <c r="CI175" s="387">
        <f t="shared" si="114"/>
        <v>0</v>
      </c>
      <c r="CJ175" s="387">
        <f t="shared" si="127"/>
        <v>0</v>
      </c>
      <c r="CK175" s="387" t="str">
        <f t="shared" si="128"/>
        <v/>
      </c>
      <c r="CL175" s="387" t="str">
        <f t="shared" si="129"/>
        <v/>
      </c>
      <c r="CM175" s="387" t="str">
        <f t="shared" si="130"/>
        <v/>
      </c>
      <c r="CN175" s="387" t="str">
        <f t="shared" si="131"/>
        <v>0303-00</v>
      </c>
    </row>
    <row r="176" spans="1:92" ht="15.75" thickBot="1" x14ac:dyDescent="0.3">
      <c r="A176" s="376" t="s">
        <v>161</v>
      </c>
      <c r="B176" s="376" t="s">
        <v>162</v>
      </c>
      <c r="C176" s="376" t="s">
        <v>413</v>
      </c>
      <c r="D176" s="376" t="s">
        <v>414</v>
      </c>
      <c r="E176" s="376" t="s">
        <v>214</v>
      </c>
      <c r="F176" s="377" t="s">
        <v>166</v>
      </c>
      <c r="G176" s="376" t="s">
        <v>781</v>
      </c>
      <c r="H176" s="378"/>
      <c r="I176" s="378"/>
      <c r="J176" s="376" t="s">
        <v>215</v>
      </c>
      <c r="K176" s="376" t="s">
        <v>415</v>
      </c>
      <c r="L176" s="376" t="s">
        <v>252</v>
      </c>
      <c r="M176" s="376" t="s">
        <v>171</v>
      </c>
      <c r="N176" s="376" t="s">
        <v>172</v>
      </c>
      <c r="O176" s="379">
        <v>1</v>
      </c>
      <c r="P176" s="385">
        <v>0</v>
      </c>
      <c r="Q176" s="385">
        <v>0</v>
      </c>
      <c r="R176" s="380">
        <v>80</v>
      </c>
      <c r="S176" s="385">
        <v>0</v>
      </c>
      <c r="T176" s="380">
        <v>273.63</v>
      </c>
      <c r="U176" s="380">
        <v>0</v>
      </c>
      <c r="V176" s="380">
        <v>139.63</v>
      </c>
      <c r="W176" s="380">
        <v>0</v>
      </c>
      <c r="X176" s="380">
        <v>0</v>
      </c>
      <c r="Y176" s="380">
        <v>0</v>
      </c>
      <c r="Z176" s="380">
        <v>0</v>
      </c>
      <c r="AA176" s="376" t="s">
        <v>416</v>
      </c>
      <c r="AB176" s="376" t="s">
        <v>417</v>
      </c>
      <c r="AC176" s="376" t="s">
        <v>418</v>
      </c>
      <c r="AD176" s="376" t="s">
        <v>419</v>
      </c>
      <c r="AE176" s="376" t="s">
        <v>415</v>
      </c>
      <c r="AF176" s="376" t="s">
        <v>393</v>
      </c>
      <c r="AG176" s="376" t="s">
        <v>178</v>
      </c>
      <c r="AH176" s="381">
        <v>22.88</v>
      </c>
      <c r="AI176" s="381">
        <v>28972.2</v>
      </c>
      <c r="AJ176" s="376" t="s">
        <v>179</v>
      </c>
      <c r="AK176" s="376" t="s">
        <v>180</v>
      </c>
      <c r="AL176" s="376" t="s">
        <v>181</v>
      </c>
      <c r="AM176" s="376" t="s">
        <v>182</v>
      </c>
      <c r="AN176" s="376" t="s">
        <v>68</v>
      </c>
      <c r="AO176" s="379">
        <v>80</v>
      </c>
      <c r="AP176" s="385">
        <v>1</v>
      </c>
      <c r="AQ176" s="385">
        <v>0</v>
      </c>
      <c r="AR176" s="383" t="s">
        <v>183</v>
      </c>
      <c r="AS176" s="387">
        <f t="shared" si="115"/>
        <v>0</v>
      </c>
      <c r="AT176">
        <f t="shared" si="116"/>
        <v>0</v>
      </c>
      <c r="AU176" s="387" t="str">
        <f>IF(AT176=0,"",IF(AND(AT176=1,M176="F",SUMIF(C2:C1334,C176,AS2:AS1334)&lt;=1),SUMIF(C2:C1334,C176,AS2:AS1334),IF(AND(AT176=1,M176="F",SUMIF(C2:C1334,C176,AS2:AS1334)&gt;1),1,"")))</f>
        <v/>
      </c>
      <c r="AV176" s="387" t="str">
        <f>IF(AT176=0,"",IF(AND(AT176=3,M176="F",SUMIF(C2:C1334,C176,AS2:AS1334)&lt;=1),SUMIF(C2:C1334,C176,AS2:AS1334),IF(AND(AT176=3,M176="F",SUMIF(C2:C1334,C176,AS2:AS1334)&gt;1),1,"")))</f>
        <v/>
      </c>
      <c r="AW176" s="387">
        <f>SUMIF(C2:C1334,C176,O2:O1334)</f>
        <v>3</v>
      </c>
      <c r="AX176" s="387">
        <f>IF(AND(M176="F",AS176&lt;&gt;0),SUMIF(C2:C1334,C176,W2:W1334),0)</f>
        <v>0</v>
      </c>
      <c r="AY176" s="387" t="str">
        <f t="shared" si="117"/>
        <v/>
      </c>
      <c r="AZ176" s="387" t="str">
        <f t="shared" si="118"/>
        <v/>
      </c>
      <c r="BA176" s="387">
        <f t="shared" si="119"/>
        <v>0</v>
      </c>
      <c r="BB176" s="387">
        <f t="shared" si="88"/>
        <v>0</v>
      </c>
      <c r="BC176" s="387">
        <f t="shared" si="89"/>
        <v>0</v>
      </c>
      <c r="BD176" s="387">
        <f t="shared" si="90"/>
        <v>0</v>
      </c>
      <c r="BE176" s="387">
        <f t="shared" si="91"/>
        <v>0</v>
      </c>
      <c r="BF176" s="387">
        <f t="shared" si="92"/>
        <v>0</v>
      </c>
      <c r="BG176" s="387">
        <f t="shared" si="93"/>
        <v>0</v>
      </c>
      <c r="BH176" s="387">
        <f t="shared" si="94"/>
        <v>0</v>
      </c>
      <c r="BI176" s="387">
        <f t="shared" si="95"/>
        <v>0</v>
      </c>
      <c r="BJ176" s="387">
        <f t="shared" si="96"/>
        <v>0</v>
      </c>
      <c r="BK176" s="387">
        <f t="shared" si="97"/>
        <v>0</v>
      </c>
      <c r="BL176" s="387">
        <f t="shared" si="120"/>
        <v>0</v>
      </c>
      <c r="BM176" s="387">
        <f t="shared" si="121"/>
        <v>0</v>
      </c>
      <c r="BN176" s="387">
        <f t="shared" si="98"/>
        <v>0</v>
      </c>
      <c r="BO176" s="387">
        <f t="shared" si="99"/>
        <v>0</v>
      </c>
      <c r="BP176" s="387">
        <f t="shared" si="100"/>
        <v>0</v>
      </c>
      <c r="BQ176" s="387">
        <f t="shared" si="101"/>
        <v>0</v>
      </c>
      <c r="BR176" s="387">
        <f t="shared" si="102"/>
        <v>0</v>
      </c>
      <c r="BS176" s="387">
        <f t="shared" si="103"/>
        <v>0</v>
      </c>
      <c r="BT176" s="387">
        <f t="shared" si="104"/>
        <v>0</v>
      </c>
      <c r="BU176" s="387">
        <f t="shared" si="105"/>
        <v>0</v>
      </c>
      <c r="BV176" s="387">
        <f t="shared" si="106"/>
        <v>0</v>
      </c>
      <c r="BW176" s="387">
        <f t="shared" si="107"/>
        <v>0</v>
      </c>
      <c r="BX176" s="387">
        <f t="shared" si="122"/>
        <v>0</v>
      </c>
      <c r="BY176" s="387">
        <f t="shared" si="123"/>
        <v>0</v>
      </c>
      <c r="BZ176" s="387">
        <f t="shared" si="124"/>
        <v>0</v>
      </c>
      <c r="CA176" s="387">
        <f t="shared" si="125"/>
        <v>0</v>
      </c>
      <c r="CB176" s="387">
        <f t="shared" si="126"/>
        <v>0</v>
      </c>
      <c r="CC176" s="387">
        <f t="shared" si="108"/>
        <v>0</v>
      </c>
      <c r="CD176" s="387">
        <f t="shared" si="109"/>
        <v>0</v>
      </c>
      <c r="CE176" s="387">
        <f t="shared" si="110"/>
        <v>0</v>
      </c>
      <c r="CF176" s="387">
        <f t="shared" si="111"/>
        <v>0</v>
      </c>
      <c r="CG176" s="387">
        <f t="shared" si="112"/>
        <v>0</v>
      </c>
      <c r="CH176" s="387">
        <f t="shared" si="113"/>
        <v>0</v>
      </c>
      <c r="CI176" s="387">
        <f t="shared" si="114"/>
        <v>0</v>
      </c>
      <c r="CJ176" s="387">
        <f t="shared" si="127"/>
        <v>0</v>
      </c>
      <c r="CK176" s="387" t="str">
        <f t="shared" si="128"/>
        <v/>
      </c>
      <c r="CL176" s="387" t="str">
        <f t="shared" si="129"/>
        <v/>
      </c>
      <c r="CM176" s="387" t="str">
        <f t="shared" si="130"/>
        <v/>
      </c>
      <c r="CN176" s="387" t="str">
        <f t="shared" si="131"/>
        <v>0303-00</v>
      </c>
    </row>
    <row r="177" spans="1:92" ht="15.75" thickBot="1" x14ac:dyDescent="0.3">
      <c r="A177" s="376" t="s">
        <v>161</v>
      </c>
      <c r="B177" s="376" t="s">
        <v>162</v>
      </c>
      <c r="C177" s="376" t="s">
        <v>311</v>
      </c>
      <c r="D177" s="376" t="s">
        <v>312</v>
      </c>
      <c r="E177" s="376" t="s">
        <v>214</v>
      </c>
      <c r="F177" s="377" t="s">
        <v>166</v>
      </c>
      <c r="G177" s="376" t="s">
        <v>781</v>
      </c>
      <c r="H177" s="378"/>
      <c r="I177" s="378"/>
      <c r="J177" s="376" t="s">
        <v>205</v>
      </c>
      <c r="K177" s="376" t="s">
        <v>313</v>
      </c>
      <c r="L177" s="376" t="s">
        <v>166</v>
      </c>
      <c r="M177" s="376" t="s">
        <v>171</v>
      </c>
      <c r="N177" s="376" t="s">
        <v>257</v>
      </c>
      <c r="O177" s="379">
        <v>1</v>
      </c>
      <c r="P177" s="385">
        <v>0</v>
      </c>
      <c r="Q177" s="385">
        <v>0</v>
      </c>
      <c r="R177" s="380">
        <v>80</v>
      </c>
      <c r="S177" s="385">
        <v>0</v>
      </c>
      <c r="T177" s="380">
        <v>256.92</v>
      </c>
      <c r="U177" s="380">
        <v>0</v>
      </c>
      <c r="V177" s="380">
        <v>83.11</v>
      </c>
      <c r="W177" s="380">
        <v>0</v>
      </c>
      <c r="X177" s="380">
        <v>0</v>
      </c>
      <c r="Y177" s="380">
        <v>0</v>
      </c>
      <c r="Z177" s="380">
        <v>0</v>
      </c>
      <c r="AA177" s="376" t="s">
        <v>314</v>
      </c>
      <c r="AB177" s="376" t="s">
        <v>315</v>
      </c>
      <c r="AC177" s="376" t="s">
        <v>316</v>
      </c>
      <c r="AD177" s="376" t="s">
        <v>317</v>
      </c>
      <c r="AE177" s="376" t="s">
        <v>313</v>
      </c>
      <c r="AF177" s="376" t="s">
        <v>261</v>
      </c>
      <c r="AG177" s="376" t="s">
        <v>178</v>
      </c>
      <c r="AH177" s="381">
        <v>57.67</v>
      </c>
      <c r="AI177" s="381">
        <v>73354.2</v>
      </c>
      <c r="AJ177" s="376" t="s">
        <v>179</v>
      </c>
      <c r="AK177" s="376" t="s">
        <v>180</v>
      </c>
      <c r="AL177" s="376" t="s">
        <v>181</v>
      </c>
      <c r="AM177" s="376" t="s">
        <v>182</v>
      </c>
      <c r="AN177" s="376" t="s">
        <v>68</v>
      </c>
      <c r="AO177" s="379">
        <v>80</v>
      </c>
      <c r="AP177" s="385">
        <v>1</v>
      </c>
      <c r="AQ177" s="385">
        <v>0</v>
      </c>
      <c r="AR177" s="383" t="s">
        <v>183</v>
      </c>
      <c r="AS177" s="387">
        <f t="shared" si="115"/>
        <v>0</v>
      </c>
      <c r="AT177">
        <f t="shared" si="116"/>
        <v>0</v>
      </c>
      <c r="AU177" s="387" t="str">
        <f>IF(AT177=0,"",IF(AND(AT177=1,M177="F",SUMIF(C2:C1334,C177,AS2:AS1334)&lt;=1),SUMIF(C2:C1334,C177,AS2:AS1334),IF(AND(AT177=1,M177="F",SUMIF(C2:C1334,C177,AS2:AS1334)&gt;1),1,"")))</f>
        <v/>
      </c>
      <c r="AV177" s="387" t="str">
        <f>IF(AT177=0,"",IF(AND(AT177=3,M177="F",SUMIF(C2:C1334,C177,AS2:AS1334)&lt;=1),SUMIF(C2:C1334,C177,AS2:AS1334),IF(AND(AT177=3,M177="F",SUMIF(C2:C1334,C177,AS2:AS1334)&gt;1),1,"")))</f>
        <v/>
      </c>
      <c r="AW177" s="387">
        <f>SUMIF(C2:C1334,C177,O2:O1334)</f>
        <v>9</v>
      </c>
      <c r="AX177" s="387">
        <f>IF(AND(M177="F",AS177&lt;&gt;0),SUMIF(C2:C1334,C177,W2:W1334),0)</f>
        <v>0</v>
      </c>
      <c r="AY177" s="387" t="str">
        <f t="shared" si="117"/>
        <v/>
      </c>
      <c r="AZ177" s="387" t="str">
        <f t="shared" si="118"/>
        <v/>
      </c>
      <c r="BA177" s="387">
        <f t="shared" si="119"/>
        <v>0</v>
      </c>
      <c r="BB177" s="387">
        <f t="shared" si="88"/>
        <v>0</v>
      </c>
      <c r="BC177" s="387">
        <f t="shared" si="89"/>
        <v>0</v>
      </c>
      <c r="BD177" s="387">
        <f t="shared" si="90"/>
        <v>0</v>
      </c>
      <c r="BE177" s="387">
        <f t="shared" si="91"/>
        <v>0</v>
      </c>
      <c r="BF177" s="387">
        <f t="shared" si="92"/>
        <v>0</v>
      </c>
      <c r="BG177" s="387">
        <f t="shared" si="93"/>
        <v>0</v>
      </c>
      <c r="BH177" s="387">
        <f t="shared" si="94"/>
        <v>0</v>
      </c>
      <c r="BI177" s="387">
        <f t="shared" si="95"/>
        <v>0</v>
      </c>
      <c r="BJ177" s="387">
        <f t="shared" si="96"/>
        <v>0</v>
      </c>
      <c r="BK177" s="387">
        <f t="shared" si="97"/>
        <v>0</v>
      </c>
      <c r="BL177" s="387">
        <f t="shared" si="120"/>
        <v>0</v>
      </c>
      <c r="BM177" s="387">
        <f t="shared" si="121"/>
        <v>0</v>
      </c>
      <c r="BN177" s="387">
        <f t="shared" si="98"/>
        <v>0</v>
      </c>
      <c r="BO177" s="387">
        <f t="shared" si="99"/>
        <v>0</v>
      </c>
      <c r="BP177" s="387">
        <f t="shared" si="100"/>
        <v>0</v>
      </c>
      <c r="BQ177" s="387">
        <f t="shared" si="101"/>
        <v>0</v>
      </c>
      <c r="BR177" s="387">
        <f t="shared" si="102"/>
        <v>0</v>
      </c>
      <c r="BS177" s="387">
        <f t="shared" si="103"/>
        <v>0</v>
      </c>
      <c r="BT177" s="387">
        <f t="shared" si="104"/>
        <v>0</v>
      </c>
      <c r="BU177" s="387">
        <f t="shared" si="105"/>
        <v>0</v>
      </c>
      <c r="BV177" s="387">
        <f t="shared" si="106"/>
        <v>0</v>
      </c>
      <c r="BW177" s="387">
        <f t="shared" si="107"/>
        <v>0</v>
      </c>
      <c r="BX177" s="387">
        <f t="shared" si="122"/>
        <v>0</v>
      </c>
      <c r="BY177" s="387">
        <f t="shared" si="123"/>
        <v>0</v>
      </c>
      <c r="BZ177" s="387">
        <f t="shared" si="124"/>
        <v>0</v>
      </c>
      <c r="CA177" s="387">
        <f t="shared" si="125"/>
        <v>0</v>
      </c>
      <c r="CB177" s="387">
        <f t="shared" si="126"/>
        <v>0</v>
      </c>
      <c r="CC177" s="387">
        <f t="shared" si="108"/>
        <v>0</v>
      </c>
      <c r="CD177" s="387">
        <f t="shared" si="109"/>
        <v>0</v>
      </c>
      <c r="CE177" s="387">
        <f t="shared" si="110"/>
        <v>0</v>
      </c>
      <c r="CF177" s="387">
        <f t="shared" si="111"/>
        <v>0</v>
      </c>
      <c r="CG177" s="387">
        <f t="shared" si="112"/>
        <v>0</v>
      </c>
      <c r="CH177" s="387">
        <f t="shared" si="113"/>
        <v>0</v>
      </c>
      <c r="CI177" s="387">
        <f t="shared" si="114"/>
        <v>0</v>
      </c>
      <c r="CJ177" s="387">
        <f t="shared" si="127"/>
        <v>0</v>
      </c>
      <c r="CK177" s="387" t="str">
        <f t="shared" si="128"/>
        <v/>
      </c>
      <c r="CL177" s="387" t="str">
        <f t="shared" si="129"/>
        <v/>
      </c>
      <c r="CM177" s="387" t="str">
        <f t="shared" si="130"/>
        <v/>
      </c>
      <c r="CN177" s="387" t="str">
        <f t="shared" si="131"/>
        <v>0303-00</v>
      </c>
    </row>
    <row r="178" spans="1:92" ht="15.75" thickBot="1" x14ac:dyDescent="0.3">
      <c r="A178" s="376" t="s">
        <v>161</v>
      </c>
      <c r="B178" s="376" t="s">
        <v>162</v>
      </c>
      <c r="C178" s="376" t="s">
        <v>733</v>
      </c>
      <c r="D178" s="376" t="s">
        <v>734</v>
      </c>
      <c r="E178" s="376" t="s">
        <v>214</v>
      </c>
      <c r="F178" s="377" t="s">
        <v>166</v>
      </c>
      <c r="G178" s="376" t="s">
        <v>781</v>
      </c>
      <c r="H178" s="378"/>
      <c r="I178" s="378"/>
      <c r="J178" s="376" t="s">
        <v>239</v>
      </c>
      <c r="K178" s="376" t="s">
        <v>735</v>
      </c>
      <c r="L178" s="376" t="s">
        <v>166</v>
      </c>
      <c r="M178" s="376" t="s">
        <v>171</v>
      </c>
      <c r="N178" s="376" t="s">
        <v>257</v>
      </c>
      <c r="O178" s="379">
        <v>1</v>
      </c>
      <c r="P178" s="385">
        <v>0.75</v>
      </c>
      <c r="Q178" s="385">
        <v>0.75</v>
      </c>
      <c r="R178" s="380">
        <v>80</v>
      </c>
      <c r="S178" s="385">
        <v>0.75</v>
      </c>
      <c r="T178" s="380">
        <v>0</v>
      </c>
      <c r="U178" s="380">
        <v>0</v>
      </c>
      <c r="V178" s="380">
        <v>0</v>
      </c>
      <c r="W178" s="380">
        <v>68889.600000000006</v>
      </c>
      <c r="X178" s="380">
        <v>23253.200000000001</v>
      </c>
      <c r="Y178" s="380">
        <v>68889.600000000006</v>
      </c>
      <c r="Z178" s="380">
        <v>22963.86</v>
      </c>
      <c r="AA178" s="376" t="s">
        <v>736</v>
      </c>
      <c r="AB178" s="376" t="s">
        <v>737</v>
      </c>
      <c r="AC178" s="376" t="s">
        <v>738</v>
      </c>
      <c r="AD178" s="376" t="s">
        <v>252</v>
      </c>
      <c r="AE178" s="376" t="s">
        <v>735</v>
      </c>
      <c r="AF178" s="376" t="s">
        <v>261</v>
      </c>
      <c r="AG178" s="376" t="s">
        <v>178</v>
      </c>
      <c r="AH178" s="381">
        <v>44.16</v>
      </c>
      <c r="AI178" s="381">
        <v>15464.9</v>
      </c>
      <c r="AJ178" s="376" t="s">
        <v>179</v>
      </c>
      <c r="AK178" s="376" t="s">
        <v>180</v>
      </c>
      <c r="AL178" s="376" t="s">
        <v>181</v>
      </c>
      <c r="AM178" s="376" t="s">
        <v>182</v>
      </c>
      <c r="AN178" s="376" t="s">
        <v>68</v>
      </c>
      <c r="AO178" s="379">
        <v>80</v>
      </c>
      <c r="AP178" s="385">
        <v>1</v>
      </c>
      <c r="AQ178" s="385">
        <v>0.75</v>
      </c>
      <c r="AR178" s="383" t="s">
        <v>183</v>
      </c>
      <c r="AS178" s="387">
        <f t="shared" si="115"/>
        <v>0.75</v>
      </c>
      <c r="AT178">
        <f t="shared" si="116"/>
        <v>1</v>
      </c>
      <c r="AU178" s="387">
        <f>IF(AT178=0,"",IF(AND(AT178=1,M178="F",SUMIF(C2:C1334,C178,AS2:AS1334)&lt;=1),SUMIF(C2:C1334,C178,AS2:AS1334),IF(AND(AT178=1,M178="F",SUMIF(C2:C1334,C178,AS2:AS1334)&gt;1),1,"")))</f>
        <v>1</v>
      </c>
      <c r="AV178" s="387" t="str">
        <f>IF(AT178=0,"",IF(AND(AT178=3,M178="F",SUMIF(C2:C1334,C178,AS2:AS1334)&lt;=1),SUMIF(C2:C1334,C178,AS2:AS1334),IF(AND(AT178=3,M178="F",SUMIF(C2:C1334,C178,AS2:AS1334)&gt;1),1,"")))</f>
        <v/>
      </c>
      <c r="AW178" s="387">
        <f>SUMIF(C2:C1334,C178,O2:O1334)</f>
        <v>4</v>
      </c>
      <c r="AX178" s="387">
        <f>IF(AND(M178="F",AS178&lt;&gt;0),SUMIF(C2:C1334,C178,W2:W1334),0)</f>
        <v>91852.800000000003</v>
      </c>
      <c r="AY178" s="387">
        <f t="shared" si="117"/>
        <v>68889.600000000006</v>
      </c>
      <c r="AZ178" s="387" t="str">
        <f t="shared" si="118"/>
        <v/>
      </c>
      <c r="BA178" s="387">
        <f t="shared" si="119"/>
        <v>0</v>
      </c>
      <c r="BB178" s="387">
        <f t="shared" si="88"/>
        <v>8737.5</v>
      </c>
      <c r="BC178" s="387">
        <f t="shared" si="89"/>
        <v>0</v>
      </c>
      <c r="BD178" s="387">
        <f t="shared" si="90"/>
        <v>4271.1552000000001</v>
      </c>
      <c r="BE178" s="387">
        <f t="shared" si="91"/>
        <v>998.89920000000018</v>
      </c>
      <c r="BF178" s="387">
        <f t="shared" si="92"/>
        <v>8225.4182400000009</v>
      </c>
      <c r="BG178" s="387">
        <f t="shared" si="93"/>
        <v>496.69401600000003</v>
      </c>
      <c r="BH178" s="387">
        <f t="shared" si="94"/>
        <v>337.55904000000004</v>
      </c>
      <c r="BI178" s="387">
        <f t="shared" si="95"/>
        <v>0</v>
      </c>
      <c r="BJ178" s="387">
        <f t="shared" si="96"/>
        <v>186.00192000000001</v>
      </c>
      <c r="BK178" s="387">
        <f t="shared" si="97"/>
        <v>0</v>
      </c>
      <c r="BL178" s="387">
        <f t="shared" si="120"/>
        <v>14515.727616</v>
      </c>
      <c r="BM178" s="387">
        <f t="shared" si="121"/>
        <v>0</v>
      </c>
      <c r="BN178" s="387">
        <f t="shared" si="98"/>
        <v>8737.5</v>
      </c>
      <c r="BO178" s="387">
        <f t="shared" si="99"/>
        <v>0</v>
      </c>
      <c r="BP178" s="387">
        <f t="shared" si="100"/>
        <v>4271.1552000000001</v>
      </c>
      <c r="BQ178" s="387">
        <f t="shared" si="101"/>
        <v>998.89920000000018</v>
      </c>
      <c r="BR178" s="387">
        <f t="shared" si="102"/>
        <v>8225.4182400000009</v>
      </c>
      <c r="BS178" s="387">
        <f t="shared" si="103"/>
        <v>496.69401600000003</v>
      </c>
      <c r="BT178" s="387">
        <f t="shared" si="104"/>
        <v>0</v>
      </c>
      <c r="BU178" s="387">
        <f t="shared" si="105"/>
        <v>0</v>
      </c>
      <c r="BV178" s="387">
        <f t="shared" si="106"/>
        <v>234.22463999999999</v>
      </c>
      <c r="BW178" s="387">
        <f t="shared" si="107"/>
        <v>0</v>
      </c>
      <c r="BX178" s="387">
        <f t="shared" si="122"/>
        <v>14226.391296</v>
      </c>
      <c r="BY178" s="387">
        <f t="shared" si="123"/>
        <v>0</v>
      </c>
      <c r="BZ178" s="387">
        <f t="shared" si="124"/>
        <v>0</v>
      </c>
      <c r="CA178" s="387">
        <f t="shared" si="125"/>
        <v>0</v>
      </c>
      <c r="CB178" s="387">
        <f t="shared" si="126"/>
        <v>0</v>
      </c>
      <c r="CC178" s="387">
        <f t="shared" si="108"/>
        <v>0</v>
      </c>
      <c r="CD178" s="387">
        <f t="shared" si="109"/>
        <v>0</v>
      </c>
      <c r="CE178" s="387">
        <f t="shared" si="110"/>
        <v>0</v>
      </c>
      <c r="CF178" s="387">
        <f t="shared" si="111"/>
        <v>-337.55904000000004</v>
      </c>
      <c r="CG178" s="387">
        <f t="shared" si="112"/>
        <v>0</v>
      </c>
      <c r="CH178" s="387">
        <f t="shared" si="113"/>
        <v>48.222719999999981</v>
      </c>
      <c r="CI178" s="387">
        <f t="shared" si="114"/>
        <v>0</v>
      </c>
      <c r="CJ178" s="387">
        <f t="shared" si="127"/>
        <v>-289.33632000000006</v>
      </c>
      <c r="CK178" s="387" t="str">
        <f t="shared" si="128"/>
        <v/>
      </c>
      <c r="CL178" s="387" t="str">
        <f t="shared" si="129"/>
        <v/>
      </c>
      <c r="CM178" s="387" t="str">
        <f t="shared" si="130"/>
        <v/>
      </c>
      <c r="CN178" s="387" t="str">
        <f t="shared" si="131"/>
        <v>0303-00</v>
      </c>
    </row>
    <row r="179" spans="1:92" ht="15.75" thickBot="1" x14ac:dyDescent="0.3">
      <c r="A179" s="376" t="s">
        <v>161</v>
      </c>
      <c r="B179" s="376" t="s">
        <v>162</v>
      </c>
      <c r="C179" s="376" t="s">
        <v>739</v>
      </c>
      <c r="D179" s="376" t="s">
        <v>270</v>
      </c>
      <c r="E179" s="376" t="s">
        <v>214</v>
      </c>
      <c r="F179" s="377" t="s">
        <v>166</v>
      </c>
      <c r="G179" s="376" t="s">
        <v>781</v>
      </c>
      <c r="H179" s="378"/>
      <c r="I179" s="378"/>
      <c r="J179" s="376" t="s">
        <v>239</v>
      </c>
      <c r="K179" s="376" t="s">
        <v>271</v>
      </c>
      <c r="L179" s="376" t="s">
        <v>217</v>
      </c>
      <c r="M179" s="376" t="s">
        <v>171</v>
      </c>
      <c r="N179" s="376" t="s">
        <v>172</v>
      </c>
      <c r="O179" s="379">
        <v>1</v>
      </c>
      <c r="P179" s="385">
        <v>0.75</v>
      </c>
      <c r="Q179" s="385">
        <v>0.75</v>
      </c>
      <c r="R179" s="380">
        <v>80</v>
      </c>
      <c r="S179" s="385">
        <v>0.75</v>
      </c>
      <c r="T179" s="380">
        <v>0</v>
      </c>
      <c r="U179" s="380">
        <v>0</v>
      </c>
      <c r="V179" s="380">
        <v>0</v>
      </c>
      <c r="W179" s="380">
        <v>26145.599999999999</v>
      </c>
      <c r="X179" s="380">
        <v>14391.45</v>
      </c>
      <c r="Y179" s="380">
        <v>26145.599999999999</v>
      </c>
      <c r="Z179" s="380">
        <v>14281.64</v>
      </c>
      <c r="AA179" s="376" t="s">
        <v>740</v>
      </c>
      <c r="AB179" s="376" t="s">
        <v>703</v>
      </c>
      <c r="AC179" s="376" t="s">
        <v>561</v>
      </c>
      <c r="AD179" s="376" t="s">
        <v>741</v>
      </c>
      <c r="AE179" s="376" t="s">
        <v>271</v>
      </c>
      <c r="AF179" s="376" t="s">
        <v>221</v>
      </c>
      <c r="AG179" s="376" t="s">
        <v>178</v>
      </c>
      <c r="AH179" s="381">
        <v>16.760000000000002</v>
      </c>
      <c r="AI179" s="379">
        <v>3752</v>
      </c>
      <c r="AJ179" s="376" t="s">
        <v>179</v>
      </c>
      <c r="AK179" s="376" t="s">
        <v>180</v>
      </c>
      <c r="AL179" s="376" t="s">
        <v>181</v>
      </c>
      <c r="AM179" s="376" t="s">
        <v>182</v>
      </c>
      <c r="AN179" s="376" t="s">
        <v>68</v>
      </c>
      <c r="AO179" s="379">
        <v>80</v>
      </c>
      <c r="AP179" s="385">
        <v>1</v>
      </c>
      <c r="AQ179" s="385">
        <v>0.75</v>
      </c>
      <c r="AR179" s="383" t="s">
        <v>183</v>
      </c>
      <c r="AS179" s="387">
        <f t="shared" si="115"/>
        <v>0.75</v>
      </c>
      <c r="AT179">
        <f t="shared" si="116"/>
        <v>1</v>
      </c>
      <c r="AU179" s="387">
        <f>IF(AT179=0,"",IF(AND(AT179=1,M179="F",SUMIF(C2:C1334,C179,AS2:AS1334)&lt;=1),SUMIF(C2:C1334,C179,AS2:AS1334),IF(AND(AT179=1,M179="F",SUMIF(C2:C1334,C179,AS2:AS1334)&gt;1),1,"")))</f>
        <v>1</v>
      </c>
      <c r="AV179" s="387" t="str">
        <f>IF(AT179=0,"",IF(AND(AT179=3,M179="F",SUMIF(C2:C1334,C179,AS2:AS1334)&lt;=1),SUMIF(C2:C1334,C179,AS2:AS1334),IF(AND(AT179=3,M179="F",SUMIF(C2:C1334,C179,AS2:AS1334)&gt;1),1,"")))</f>
        <v/>
      </c>
      <c r="AW179" s="387">
        <f>SUMIF(C2:C1334,C179,O2:O1334)</f>
        <v>4</v>
      </c>
      <c r="AX179" s="387">
        <f>IF(AND(M179="F",AS179&lt;&gt;0),SUMIF(C2:C1334,C179,W2:W1334),0)</f>
        <v>34860.800000000003</v>
      </c>
      <c r="AY179" s="387">
        <f t="shared" si="117"/>
        <v>26145.599999999999</v>
      </c>
      <c r="AZ179" s="387" t="str">
        <f t="shared" si="118"/>
        <v/>
      </c>
      <c r="BA179" s="387">
        <f t="shared" si="119"/>
        <v>0</v>
      </c>
      <c r="BB179" s="387">
        <f t="shared" si="88"/>
        <v>8737.5</v>
      </c>
      <c r="BC179" s="387">
        <f t="shared" si="89"/>
        <v>0</v>
      </c>
      <c r="BD179" s="387">
        <f t="shared" si="90"/>
        <v>1621.0272</v>
      </c>
      <c r="BE179" s="387">
        <f t="shared" si="91"/>
        <v>379.1112</v>
      </c>
      <c r="BF179" s="387">
        <f t="shared" si="92"/>
        <v>3121.7846399999999</v>
      </c>
      <c r="BG179" s="387">
        <f t="shared" si="93"/>
        <v>188.50977599999999</v>
      </c>
      <c r="BH179" s="387">
        <f t="shared" si="94"/>
        <v>128.11344</v>
      </c>
      <c r="BI179" s="387">
        <f t="shared" si="95"/>
        <v>144.71589599999999</v>
      </c>
      <c r="BJ179" s="387">
        <f t="shared" si="96"/>
        <v>70.593119999999999</v>
      </c>
      <c r="BK179" s="387">
        <f t="shared" si="97"/>
        <v>0</v>
      </c>
      <c r="BL179" s="387">
        <f t="shared" si="120"/>
        <v>5653.8552719999989</v>
      </c>
      <c r="BM179" s="387">
        <f t="shared" si="121"/>
        <v>0</v>
      </c>
      <c r="BN179" s="387">
        <f t="shared" si="98"/>
        <v>8737.5</v>
      </c>
      <c r="BO179" s="387">
        <f t="shared" si="99"/>
        <v>0</v>
      </c>
      <c r="BP179" s="387">
        <f t="shared" si="100"/>
        <v>1621.0272</v>
      </c>
      <c r="BQ179" s="387">
        <f t="shared" si="101"/>
        <v>379.1112</v>
      </c>
      <c r="BR179" s="387">
        <f t="shared" si="102"/>
        <v>3121.7846399999999</v>
      </c>
      <c r="BS179" s="387">
        <f t="shared" si="103"/>
        <v>188.50977599999999</v>
      </c>
      <c r="BT179" s="387">
        <f t="shared" si="104"/>
        <v>0</v>
      </c>
      <c r="BU179" s="387">
        <f t="shared" si="105"/>
        <v>144.71589599999999</v>
      </c>
      <c r="BV179" s="387">
        <f t="shared" si="106"/>
        <v>88.895039999999995</v>
      </c>
      <c r="BW179" s="387">
        <f t="shared" si="107"/>
        <v>0</v>
      </c>
      <c r="BX179" s="387">
        <f t="shared" si="122"/>
        <v>5544.0437519999996</v>
      </c>
      <c r="BY179" s="387">
        <f t="shared" si="123"/>
        <v>0</v>
      </c>
      <c r="BZ179" s="387">
        <f t="shared" si="124"/>
        <v>0</v>
      </c>
      <c r="CA179" s="387">
        <f t="shared" si="125"/>
        <v>0</v>
      </c>
      <c r="CB179" s="387">
        <f t="shared" si="126"/>
        <v>0</v>
      </c>
      <c r="CC179" s="387">
        <f t="shared" si="108"/>
        <v>0</v>
      </c>
      <c r="CD179" s="387">
        <f t="shared" si="109"/>
        <v>0</v>
      </c>
      <c r="CE179" s="387">
        <f t="shared" si="110"/>
        <v>0</v>
      </c>
      <c r="CF179" s="387">
        <f t="shared" si="111"/>
        <v>-128.11344</v>
      </c>
      <c r="CG179" s="387">
        <f t="shared" si="112"/>
        <v>0</v>
      </c>
      <c r="CH179" s="387">
        <f t="shared" si="113"/>
        <v>18.301919999999992</v>
      </c>
      <c r="CI179" s="387">
        <f t="shared" si="114"/>
        <v>0</v>
      </c>
      <c r="CJ179" s="387">
        <f t="shared" si="127"/>
        <v>-109.81152</v>
      </c>
      <c r="CK179" s="387" t="str">
        <f t="shared" si="128"/>
        <v/>
      </c>
      <c r="CL179" s="387" t="str">
        <f t="shared" si="129"/>
        <v/>
      </c>
      <c r="CM179" s="387" t="str">
        <f t="shared" si="130"/>
        <v/>
      </c>
      <c r="CN179" s="387" t="str">
        <f t="shared" si="131"/>
        <v>0303-00</v>
      </c>
    </row>
    <row r="180" spans="1:92" ht="15.75" thickBot="1" x14ac:dyDescent="0.3">
      <c r="A180" s="376" t="s">
        <v>161</v>
      </c>
      <c r="B180" s="376" t="s">
        <v>162</v>
      </c>
      <c r="C180" s="376" t="s">
        <v>742</v>
      </c>
      <c r="D180" s="376" t="s">
        <v>743</v>
      </c>
      <c r="E180" s="376" t="s">
        <v>214</v>
      </c>
      <c r="F180" s="377" t="s">
        <v>166</v>
      </c>
      <c r="G180" s="376" t="s">
        <v>781</v>
      </c>
      <c r="H180" s="378"/>
      <c r="I180" s="378"/>
      <c r="J180" s="376" t="s">
        <v>239</v>
      </c>
      <c r="K180" s="376" t="s">
        <v>744</v>
      </c>
      <c r="L180" s="376" t="s">
        <v>296</v>
      </c>
      <c r="M180" s="376" t="s">
        <v>171</v>
      </c>
      <c r="N180" s="376" t="s">
        <v>172</v>
      </c>
      <c r="O180" s="379">
        <v>1</v>
      </c>
      <c r="P180" s="385">
        <v>0.75</v>
      </c>
      <c r="Q180" s="385">
        <v>0.75</v>
      </c>
      <c r="R180" s="380">
        <v>80</v>
      </c>
      <c r="S180" s="385">
        <v>0.75</v>
      </c>
      <c r="T180" s="380">
        <v>0</v>
      </c>
      <c r="U180" s="380">
        <v>0</v>
      </c>
      <c r="V180" s="380">
        <v>0</v>
      </c>
      <c r="W180" s="380">
        <v>43758</v>
      </c>
      <c r="X180" s="380">
        <v>18200.13</v>
      </c>
      <c r="Y180" s="380">
        <v>43758</v>
      </c>
      <c r="Z180" s="380">
        <v>18016.349999999999</v>
      </c>
      <c r="AA180" s="376" t="s">
        <v>745</v>
      </c>
      <c r="AB180" s="376" t="s">
        <v>746</v>
      </c>
      <c r="AC180" s="376" t="s">
        <v>747</v>
      </c>
      <c r="AD180" s="376" t="s">
        <v>748</v>
      </c>
      <c r="AE180" s="376" t="s">
        <v>744</v>
      </c>
      <c r="AF180" s="376" t="s">
        <v>301</v>
      </c>
      <c r="AG180" s="376" t="s">
        <v>178</v>
      </c>
      <c r="AH180" s="381">
        <v>28.05</v>
      </c>
      <c r="AI180" s="381">
        <v>7809.2</v>
      </c>
      <c r="AJ180" s="376" t="s">
        <v>179</v>
      </c>
      <c r="AK180" s="376" t="s">
        <v>180</v>
      </c>
      <c r="AL180" s="376" t="s">
        <v>181</v>
      </c>
      <c r="AM180" s="376" t="s">
        <v>182</v>
      </c>
      <c r="AN180" s="376" t="s">
        <v>68</v>
      </c>
      <c r="AO180" s="379">
        <v>80</v>
      </c>
      <c r="AP180" s="385">
        <v>1</v>
      </c>
      <c r="AQ180" s="385">
        <v>0.75</v>
      </c>
      <c r="AR180" s="383" t="s">
        <v>183</v>
      </c>
      <c r="AS180" s="387">
        <f t="shared" si="115"/>
        <v>0.75</v>
      </c>
      <c r="AT180">
        <f t="shared" si="116"/>
        <v>1</v>
      </c>
      <c r="AU180" s="387">
        <f>IF(AT180=0,"",IF(AND(AT180=1,M180="F",SUMIF(C2:C1334,C180,AS2:AS1334)&lt;=1),SUMIF(C2:C1334,C180,AS2:AS1334),IF(AND(AT180=1,M180="F",SUMIF(C2:C1334,C180,AS2:AS1334)&gt;1),1,"")))</f>
        <v>1</v>
      </c>
      <c r="AV180" s="387" t="str">
        <f>IF(AT180=0,"",IF(AND(AT180=3,M180="F",SUMIF(C2:C1334,C180,AS2:AS1334)&lt;=1),SUMIF(C2:C1334,C180,AS2:AS1334),IF(AND(AT180=3,M180="F",SUMIF(C2:C1334,C180,AS2:AS1334)&gt;1),1,"")))</f>
        <v/>
      </c>
      <c r="AW180" s="387">
        <f>SUMIF(C2:C1334,C180,O2:O1334)</f>
        <v>4</v>
      </c>
      <c r="AX180" s="387">
        <f>IF(AND(M180="F",AS180&lt;&gt;0),SUMIF(C2:C1334,C180,W2:W1334),0)</f>
        <v>58344</v>
      </c>
      <c r="AY180" s="387">
        <f t="shared" si="117"/>
        <v>43758</v>
      </c>
      <c r="AZ180" s="387" t="str">
        <f t="shared" si="118"/>
        <v/>
      </c>
      <c r="BA180" s="387">
        <f t="shared" si="119"/>
        <v>0</v>
      </c>
      <c r="BB180" s="387">
        <f t="shared" si="88"/>
        <v>8737.5</v>
      </c>
      <c r="BC180" s="387">
        <f t="shared" si="89"/>
        <v>0</v>
      </c>
      <c r="BD180" s="387">
        <f t="shared" si="90"/>
        <v>2712.9960000000001</v>
      </c>
      <c r="BE180" s="387">
        <f t="shared" si="91"/>
        <v>634.49099999999999</v>
      </c>
      <c r="BF180" s="387">
        <f t="shared" si="92"/>
        <v>5224.7052000000003</v>
      </c>
      <c r="BG180" s="387">
        <f t="shared" si="93"/>
        <v>315.49518</v>
      </c>
      <c r="BH180" s="387">
        <f t="shared" si="94"/>
        <v>214.41419999999999</v>
      </c>
      <c r="BI180" s="387">
        <f t="shared" si="95"/>
        <v>242.20052999999999</v>
      </c>
      <c r="BJ180" s="387">
        <f t="shared" si="96"/>
        <v>118.14660000000001</v>
      </c>
      <c r="BK180" s="387">
        <f t="shared" si="97"/>
        <v>0</v>
      </c>
      <c r="BL180" s="387">
        <f t="shared" si="120"/>
        <v>9462.4487100000006</v>
      </c>
      <c r="BM180" s="387">
        <f t="shared" si="121"/>
        <v>0</v>
      </c>
      <c r="BN180" s="387">
        <f t="shared" si="98"/>
        <v>8737.5</v>
      </c>
      <c r="BO180" s="387">
        <f t="shared" si="99"/>
        <v>0</v>
      </c>
      <c r="BP180" s="387">
        <f t="shared" si="100"/>
        <v>2712.9960000000001</v>
      </c>
      <c r="BQ180" s="387">
        <f t="shared" si="101"/>
        <v>634.49099999999999</v>
      </c>
      <c r="BR180" s="387">
        <f t="shared" si="102"/>
        <v>5224.7052000000003</v>
      </c>
      <c r="BS180" s="387">
        <f t="shared" si="103"/>
        <v>315.49518</v>
      </c>
      <c r="BT180" s="387">
        <f t="shared" si="104"/>
        <v>0</v>
      </c>
      <c r="BU180" s="387">
        <f t="shared" si="105"/>
        <v>242.20052999999999</v>
      </c>
      <c r="BV180" s="387">
        <f t="shared" si="106"/>
        <v>148.77719999999999</v>
      </c>
      <c r="BW180" s="387">
        <f t="shared" si="107"/>
        <v>0</v>
      </c>
      <c r="BX180" s="387">
        <f t="shared" si="122"/>
        <v>9278.6651100000017</v>
      </c>
      <c r="BY180" s="387">
        <f t="shared" si="123"/>
        <v>0</v>
      </c>
      <c r="BZ180" s="387">
        <f t="shared" si="124"/>
        <v>0</v>
      </c>
      <c r="CA180" s="387">
        <f t="shared" si="125"/>
        <v>0</v>
      </c>
      <c r="CB180" s="387">
        <f t="shared" si="126"/>
        <v>0</v>
      </c>
      <c r="CC180" s="387">
        <f t="shared" si="108"/>
        <v>0</v>
      </c>
      <c r="CD180" s="387">
        <f t="shared" si="109"/>
        <v>0</v>
      </c>
      <c r="CE180" s="387">
        <f t="shared" si="110"/>
        <v>0</v>
      </c>
      <c r="CF180" s="387">
        <f t="shared" si="111"/>
        <v>-214.41419999999999</v>
      </c>
      <c r="CG180" s="387">
        <f t="shared" si="112"/>
        <v>0</v>
      </c>
      <c r="CH180" s="387">
        <f t="shared" si="113"/>
        <v>30.630599999999987</v>
      </c>
      <c r="CI180" s="387">
        <f t="shared" si="114"/>
        <v>0</v>
      </c>
      <c r="CJ180" s="387">
        <f t="shared" si="127"/>
        <v>-183.78360000000001</v>
      </c>
      <c r="CK180" s="387" t="str">
        <f t="shared" si="128"/>
        <v/>
      </c>
      <c r="CL180" s="387" t="str">
        <f t="shared" si="129"/>
        <v/>
      </c>
      <c r="CM180" s="387" t="str">
        <f t="shared" si="130"/>
        <v/>
      </c>
      <c r="CN180" s="387" t="str">
        <f t="shared" si="131"/>
        <v>0303-00</v>
      </c>
    </row>
    <row r="181" spans="1:92" ht="15.75" thickBot="1" x14ac:dyDescent="0.3">
      <c r="A181" s="376" t="s">
        <v>161</v>
      </c>
      <c r="B181" s="376" t="s">
        <v>162</v>
      </c>
      <c r="C181" s="376" t="s">
        <v>749</v>
      </c>
      <c r="D181" s="376" t="s">
        <v>743</v>
      </c>
      <c r="E181" s="376" t="s">
        <v>214</v>
      </c>
      <c r="F181" s="377" t="s">
        <v>166</v>
      </c>
      <c r="G181" s="376" t="s">
        <v>781</v>
      </c>
      <c r="H181" s="378"/>
      <c r="I181" s="378"/>
      <c r="J181" s="376" t="s">
        <v>239</v>
      </c>
      <c r="K181" s="376" t="s">
        <v>744</v>
      </c>
      <c r="L181" s="376" t="s">
        <v>296</v>
      </c>
      <c r="M181" s="376" t="s">
        <v>171</v>
      </c>
      <c r="N181" s="376" t="s">
        <v>172</v>
      </c>
      <c r="O181" s="379">
        <v>1</v>
      </c>
      <c r="P181" s="385">
        <v>0.75</v>
      </c>
      <c r="Q181" s="385">
        <v>0.75</v>
      </c>
      <c r="R181" s="380">
        <v>80</v>
      </c>
      <c r="S181" s="385">
        <v>0.75</v>
      </c>
      <c r="T181" s="380">
        <v>0</v>
      </c>
      <c r="U181" s="380">
        <v>0</v>
      </c>
      <c r="V181" s="380">
        <v>0</v>
      </c>
      <c r="W181" s="380">
        <v>40950</v>
      </c>
      <c r="X181" s="380">
        <v>17592.93</v>
      </c>
      <c r="Y181" s="380">
        <v>40950</v>
      </c>
      <c r="Z181" s="380">
        <v>17420.939999999999</v>
      </c>
      <c r="AA181" s="376" t="s">
        <v>750</v>
      </c>
      <c r="AB181" s="376" t="s">
        <v>751</v>
      </c>
      <c r="AC181" s="376" t="s">
        <v>752</v>
      </c>
      <c r="AD181" s="376" t="s">
        <v>587</v>
      </c>
      <c r="AE181" s="376" t="s">
        <v>744</v>
      </c>
      <c r="AF181" s="376" t="s">
        <v>301</v>
      </c>
      <c r="AG181" s="376" t="s">
        <v>178</v>
      </c>
      <c r="AH181" s="381">
        <v>26.25</v>
      </c>
      <c r="AI181" s="379">
        <v>1800</v>
      </c>
      <c r="AJ181" s="376" t="s">
        <v>179</v>
      </c>
      <c r="AK181" s="376" t="s">
        <v>180</v>
      </c>
      <c r="AL181" s="376" t="s">
        <v>181</v>
      </c>
      <c r="AM181" s="376" t="s">
        <v>182</v>
      </c>
      <c r="AN181" s="376" t="s">
        <v>68</v>
      </c>
      <c r="AO181" s="379">
        <v>80</v>
      </c>
      <c r="AP181" s="385">
        <v>1</v>
      </c>
      <c r="AQ181" s="385">
        <v>0.75</v>
      </c>
      <c r="AR181" s="383" t="s">
        <v>183</v>
      </c>
      <c r="AS181" s="387">
        <f t="shared" si="115"/>
        <v>0.75</v>
      </c>
      <c r="AT181">
        <f t="shared" si="116"/>
        <v>1</v>
      </c>
      <c r="AU181" s="387">
        <f>IF(AT181=0,"",IF(AND(AT181=1,M181="F",SUMIF(C2:C1334,C181,AS2:AS1334)&lt;=1),SUMIF(C2:C1334,C181,AS2:AS1334),IF(AND(AT181=1,M181="F",SUMIF(C2:C1334,C181,AS2:AS1334)&gt;1),1,"")))</f>
        <v>1</v>
      </c>
      <c r="AV181" s="387" t="str">
        <f>IF(AT181=0,"",IF(AND(AT181=3,M181="F",SUMIF(C2:C1334,C181,AS2:AS1334)&lt;=1),SUMIF(C2:C1334,C181,AS2:AS1334),IF(AND(AT181=3,M181="F",SUMIF(C2:C1334,C181,AS2:AS1334)&gt;1),1,"")))</f>
        <v/>
      </c>
      <c r="AW181" s="387">
        <f>SUMIF(C2:C1334,C181,O2:O1334)</f>
        <v>4</v>
      </c>
      <c r="AX181" s="387">
        <f>IF(AND(M181="F",AS181&lt;&gt;0),SUMIF(C2:C1334,C181,W2:W1334),0)</f>
        <v>54600</v>
      </c>
      <c r="AY181" s="387">
        <f t="shared" si="117"/>
        <v>40950</v>
      </c>
      <c r="AZ181" s="387" t="str">
        <f t="shared" si="118"/>
        <v/>
      </c>
      <c r="BA181" s="387">
        <f t="shared" si="119"/>
        <v>0</v>
      </c>
      <c r="BB181" s="387">
        <f t="shared" si="88"/>
        <v>8737.5</v>
      </c>
      <c r="BC181" s="387">
        <f t="shared" si="89"/>
        <v>0</v>
      </c>
      <c r="BD181" s="387">
        <f t="shared" si="90"/>
        <v>2538.9</v>
      </c>
      <c r="BE181" s="387">
        <f t="shared" si="91"/>
        <v>593.77499999999998</v>
      </c>
      <c r="BF181" s="387">
        <f t="shared" si="92"/>
        <v>4889.43</v>
      </c>
      <c r="BG181" s="387">
        <f t="shared" si="93"/>
        <v>295.24950000000001</v>
      </c>
      <c r="BH181" s="387">
        <f t="shared" si="94"/>
        <v>200.655</v>
      </c>
      <c r="BI181" s="387">
        <f t="shared" si="95"/>
        <v>226.65825000000001</v>
      </c>
      <c r="BJ181" s="387">
        <f t="shared" si="96"/>
        <v>110.56500000000001</v>
      </c>
      <c r="BK181" s="387">
        <f t="shared" si="97"/>
        <v>0</v>
      </c>
      <c r="BL181" s="387">
        <f t="shared" si="120"/>
        <v>8855.2327500000029</v>
      </c>
      <c r="BM181" s="387">
        <f t="shared" si="121"/>
        <v>0</v>
      </c>
      <c r="BN181" s="387">
        <f t="shared" si="98"/>
        <v>8737.5</v>
      </c>
      <c r="BO181" s="387">
        <f t="shared" si="99"/>
        <v>0</v>
      </c>
      <c r="BP181" s="387">
        <f t="shared" si="100"/>
        <v>2538.9</v>
      </c>
      <c r="BQ181" s="387">
        <f t="shared" si="101"/>
        <v>593.77499999999998</v>
      </c>
      <c r="BR181" s="387">
        <f t="shared" si="102"/>
        <v>4889.43</v>
      </c>
      <c r="BS181" s="387">
        <f t="shared" si="103"/>
        <v>295.24950000000001</v>
      </c>
      <c r="BT181" s="387">
        <f t="shared" si="104"/>
        <v>0</v>
      </c>
      <c r="BU181" s="387">
        <f t="shared" si="105"/>
        <v>226.65825000000001</v>
      </c>
      <c r="BV181" s="387">
        <f t="shared" si="106"/>
        <v>139.22999999999999</v>
      </c>
      <c r="BW181" s="387">
        <f t="shared" si="107"/>
        <v>0</v>
      </c>
      <c r="BX181" s="387">
        <f t="shared" si="122"/>
        <v>8683.2427500000013</v>
      </c>
      <c r="BY181" s="387">
        <f t="shared" si="123"/>
        <v>0</v>
      </c>
      <c r="BZ181" s="387">
        <f t="shared" si="124"/>
        <v>0</v>
      </c>
      <c r="CA181" s="387">
        <f t="shared" si="125"/>
        <v>0</v>
      </c>
      <c r="CB181" s="387">
        <f t="shared" si="126"/>
        <v>0</v>
      </c>
      <c r="CC181" s="387">
        <f t="shared" si="108"/>
        <v>0</v>
      </c>
      <c r="CD181" s="387">
        <f t="shared" si="109"/>
        <v>0</v>
      </c>
      <c r="CE181" s="387">
        <f t="shared" si="110"/>
        <v>0</v>
      </c>
      <c r="CF181" s="387">
        <f t="shared" si="111"/>
        <v>-200.655</v>
      </c>
      <c r="CG181" s="387">
        <f t="shared" si="112"/>
        <v>0</v>
      </c>
      <c r="CH181" s="387">
        <f t="shared" si="113"/>
        <v>28.664999999999985</v>
      </c>
      <c r="CI181" s="387">
        <f t="shared" si="114"/>
        <v>0</v>
      </c>
      <c r="CJ181" s="387">
        <f t="shared" si="127"/>
        <v>-171.99</v>
      </c>
      <c r="CK181" s="387" t="str">
        <f t="shared" si="128"/>
        <v/>
      </c>
      <c r="CL181" s="387" t="str">
        <f t="shared" si="129"/>
        <v/>
      </c>
      <c r="CM181" s="387" t="str">
        <f t="shared" si="130"/>
        <v/>
      </c>
      <c r="CN181" s="387" t="str">
        <f t="shared" si="131"/>
        <v>0303-00</v>
      </c>
    </row>
    <row r="182" spans="1:92" ht="15.75" thickBot="1" x14ac:dyDescent="0.3">
      <c r="A182" s="376" t="s">
        <v>161</v>
      </c>
      <c r="B182" s="376" t="s">
        <v>162</v>
      </c>
      <c r="C182" s="376" t="s">
        <v>753</v>
      </c>
      <c r="D182" s="376" t="s">
        <v>743</v>
      </c>
      <c r="E182" s="376" t="s">
        <v>214</v>
      </c>
      <c r="F182" s="377" t="s">
        <v>166</v>
      </c>
      <c r="G182" s="376" t="s">
        <v>781</v>
      </c>
      <c r="H182" s="378"/>
      <c r="I182" s="378"/>
      <c r="J182" s="376" t="s">
        <v>239</v>
      </c>
      <c r="K182" s="376" t="s">
        <v>744</v>
      </c>
      <c r="L182" s="376" t="s">
        <v>296</v>
      </c>
      <c r="M182" s="376" t="s">
        <v>171</v>
      </c>
      <c r="N182" s="376" t="s">
        <v>172</v>
      </c>
      <c r="O182" s="379">
        <v>1</v>
      </c>
      <c r="P182" s="385">
        <v>0.75</v>
      </c>
      <c r="Q182" s="385">
        <v>0.75</v>
      </c>
      <c r="R182" s="380">
        <v>80</v>
      </c>
      <c r="S182" s="385">
        <v>0.75</v>
      </c>
      <c r="T182" s="380">
        <v>0</v>
      </c>
      <c r="U182" s="380">
        <v>0</v>
      </c>
      <c r="V182" s="380">
        <v>0</v>
      </c>
      <c r="W182" s="380">
        <v>42120</v>
      </c>
      <c r="X182" s="380">
        <v>17845.93</v>
      </c>
      <c r="Y182" s="380">
        <v>42120</v>
      </c>
      <c r="Z182" s="380">
        <v>17669.03</v>
      </c>
      <c r="AA182" s="376" t="s">
        <v>754</v>
      </c>
      <c r="AB182" s="376" t="s">
        <v>755</v>
      </c>
      <c r="AC182" s="376" t="s">
        <v>756</v>
      </c>
      <c r="AD182" s="376" t="s">
        <v>757</v>
      </c>
      <c r="AE182" s="376" t="s">
        <v>744</v>
      </c>
      <c r="AF182" s="376" t="s">
        <v>301</v>
      </c>
      <c r="AG182" s="376" t="s">
        <v>178</v>
      </c>
      <c r="AH182" s="379">
        <v>27</v>
      </c>
      <c r="AI182" s="379">
        <v>8197</v>
      </c>
      <c r="AJ182" s="376" t="s">
        <v>179</v>
      </c>
      <c r="AK182" s="376" t="s">
        <v>180</v>
      </c>
      <c r="AL182" s="376" t="s">
        <v>181</v>
      </c>
      <c r="AM182" s="376" t="s">
        <v>182</v>
      </c>
      <c r="AN182" s="376" t="s">
        <v>68</v>
      </c>
      <c r="AO182" s="379">
        <v>80</v>
      </c>
      <c r="AP182" s="385">
        <v>1</v>
      </c>
      <c r="AQ182" s="385">
        <v>0.75</v>
      </c>
      <c r="AR182" s="383" t="s">
        <v>183</v>
      </c>
      <c r="AS182" s="387">
        <f t="shared" si="115"/>
        <v>0.75</v>
      </c>
      <c r="AT182">
        <f t="shared" si="116"/>
        <v>1</v>
      </c>
      <c r="AU182" s="387">
        <f>IF(AT182=0,"",IF(AND(AT182=1,M182="F",SUMIF(C2:C1334,C182,AS2:AS1334)&lt;=1),SUMIF(C2:C1334,C182,AS2:AS1334),IF(AND(AT182=1,M182="F",SUMIF(C2:C1334,C182,AS2:AS1334)&gt;1),1,"")))</f>
        <v>1</v>
      </c>
      <c r="AV182" s="387" t="str">
        <f>IF(AT182=0,"",IF(AND(AT182=3,M182="F",SUMIF(C2:C1334,C182,AS2:AS1334)&lt;=1),SUMIF(C2:C1334,C182,AS2:AS1334),IF(AND(AT182=3,M182="F",SUMIF(C2:C1334,C182,AS2:AS1334)&gt;1),1,"")))</f>
        <v/>
      </c>
      <c r="AW182" s="387">
        <f>SUMIF(C2:C1334,C182,O2:O1334)</f>
        <v>4</v>
      </c>
      <c r="AX182" s="387">
        <f>IF(AND(M182="F",AS182&lt;&gt;0),SUMIF(C2:C1334,C182,W2:W1334),0)</f>
        <v>56160</v>
      </c>
      <c r="AY182" s="387">
        <f t="shared" si="117"/>
        <v>42120</v>
      </c>
      <c r="AZ182" s="387" t="str">
        <f t="shared" si="118"/>
        <v/>
      </c>
      <c r="BA182" s="387">
        <f t="shared" si="119"/>
        <v>0</v>
      </c>
      <c r="BB182" s="387">
        <f t="shared" si="88"/>
        <v>8737.5</v>
      </c>
      <c r="BC182" s="387">
        <f t="shared" si="89"/>
        <v>0</v>
      </c>
      <c r="BD182" s="387">
        <f t="shared" si="90"/>
        <v>2611.44</v>
      </c>
      <c r="BE182" s="387">
        <f t="shared" si="91"/>
        <v>610.74</v>
      </c>
      <c r="BF182" s="387">
        <f t="shared" si="92"/>
        <v>5029.1280000000006</v>
      </c>
      <c r="BG182" s="387">
        <f t="shared" si="93"/>
        <v>303.68520000000001</v>
      </c>
      <c r="BH182" s="387">
        <f t="shared" si="94"/>
        <v>206.38800000000001</v>
      </c>
      <c r="BI182" s="387">
        <f t="shared" si="95"/>
        <v>233.13419999999999</v>
      </c>
      <c r="BJ182" s="387">
        <f t="shared" si="96"/>
        <v>113.724</v>
      </c>
      <c r="BK182" s="387">
        <f t="shared" si="97"/>
        <v>0</v>
      </c>
      <c r="BL182" s="387">
        <f t="shared" si="120"/>
        <v>9108.2394000000022</v>
      </c>
      <c r="BM182" s="387">
        <f t="shared" si="121"/>
        <v>0</v>
      </c>
      <c r="BN182" s="387">
        <f t="shared" si="98"/>
        <v>8737.5</v>
      </c>
      <c r="BO182" s="387">
        <f t="shared" si="99"/>
        <v>0</v>
      </c>
      <c r="BP182" s="387">
        <f t="shared" si="100"/>
        <v>2611.44</v>
      </c>
      <c r="BQ182" s="387">
        <f t="shared" si="101"/>
        <v>610.74</v>
      </c>
      <c r="BR182" s="387">
        <f t="shared" si="102"/>
        <v>5029.1280000000006</v>
      </c>
      <c r="BS182" s="387">
        <f t="shared" si="103"/>
        <v>303.68520000000001</v>
      </c>
      <c r="BT182" s="387">
        <f t="shared" si="104"/>
        <v>0</v>
      </c>
      <c r="BU182" s="387">
        <f t="shared" si="105"/>
        <v>233.13419999999999</v>
      </c>
      <c r="BV182" s="387">
        <f t="shared" si="106"/>
        <v>143.208</v>
      </c>
      <c r="BW182" s="387">
        <f t="shared" si="107"/>
        <v>0</v>
      </c>
      <c r="BX182" s="387">
        <f t="shared" si="122"/>
        <v>8931.3354000000018</v>
      </c>
      <c r="BY182" s="387">
        <f t="shared" si="123"/>
        <v>0</v>
      </c>
      <c r="BZ182" s="387">
        <f t="shared" si="124"/>
        <v>0</v>
      </c>
      <c r="CA182" s="387">
        <f t="shared" si="125"/>
        <v>0</v>
      </c>
      <c r="CB182" s="387">
        <f t="shared" si="126"/>
        <v>0</v>
      </c>
      <c r="CC182" s="387">
        <f t="shared" si="108"/>
        <v>0</v>
      </c>
      <c r="CD182" s="387">
        <f t="shared" si="109"/>
        <v>0</v>
      </c>
      <c r="CE182" s="387">
        <f t="shared" si="110"/>
        <v>0</v>
      </c>
      <c r="CF182" s="387">
        <f t="shared" si="111"/>
        <v>-206.38800000000001</v>
      </c>
      <c r="CG182" s="387">
        <f t="shared" si="112"/>
        <v>0</v>
      </c>
      <c r="CH182" s="387">
        <f t="shared" si="113"/>
        <v>29.483999999999988</v>
      </c>
      <c r="CI182" s="387">
        <f t="shared" si="114"/>
        <v>0</v>
      </c>
      <c r="CJ182" s="387">
        <f t="shared" si="127"/>
        <v>-176.90400000000002</v>
      </c>
      <c r="CK182" s="387" t="str">
        <f t="shared" si="128"/>
        <v/>
      </c>
      <c r="CL182" s="387" t="str">
        <f t="shared" si="129"/>
        <v/>
      </c>
      <c r="CM182" s="387" t="str">
        <f t="shared" si="130"/>
        <v/>
      </c>
      <c r="CN182" s="387" t="str">
        <f t="shared" si="131"/>
        <v>0303-00</v>
      </c>
    </row>
    <row r="183" spans="1:92" ht="15.75" thickBot="1" x14ac:dyDescent="0.3">
      <c r="A183" s="376" t="s">
        <v>161</v>
      </c>
      <c r="B183" s="376" t="s">
        <v>162</v>
      </c>
      <c r="C183" s="376" t="s">
        <v>758</v>
      </c>
      <c r="D183" s="376" t="s">
        <v>743</v>
      </c>
      <c r="E183" s="376" t="s">
        <v>214</v>
      </c>
      <c r="F183" s="377" t="s">
        <v>166</v>
      </c>
      <c r="G183" s="376" t="s">
        <v>781</v>
      </c>
      <c r="H183" s="378"/>
      <c r="I183" s="378"/>
      <c r="J183" s="376" t="s">
        <v>239</v>
      </c>
      <c r="K183" s="376" t="s">
        <v>744</v>
      </c>
      <c r="L183" s="376" t="s">
        <v>296</v>
      </c>
      <c r="M183" s="376" t="s">
        <v>171</v>
      </c>
      <c r="N183" s="376" t="s">
        <v>172</v>
      </c>
      <c r="O183" s="379">
        <v>1</v>
      </c>
      <c r="P183" s="385">
        <v>0.75</v>
      </c>
      <c r="Q183" s="385">
        <v>0.75</v>
      </c>
      <c r="R183" s="380">
        <v>80</v>
      </c>
      <c r="S183" s="385">
        <v>0.75</v>
      </c>
      <c r="T183" s="380">
        <v>0</v>
      </c>
      <c r="U183" s="380">
        <v>0</v>
      </c>
      <c r="V183" s="380">
        <v>0</v>
      </c>
      <c r="W183" s="380">
        <v>39280.800000000003</v>
      </c>
      <c r="X183" s="380">
        <v>17231.939999999999</v>
      </c>
      <c r="Y183" s="380">
        <v>39280.800000000003</v>
      </c>
      <c r="Z183" s="380">
        <v>17066.97</v>
      </c>
      <c r="AA183" s="376" t="s">
        <v>759</v>
      </c>
      <c r="AB183" s="376" t="s">
        <v>760</v>
      </c>
      <c r="AC183" s="376" t="s">
        <v>577</v>
      </c>
      <c r="AD183" s="376" t="s">
        <v>761</v>
      </c>
      <c r="AE183" s="376" t="s">
        <v>744</v>
      </c>
      <c r="AF183" s="376" t="s">
        <v>301</v>
      </c>
      <c r="AG183" s="376" t="s">
        <v>178</v>
      </c>
      <c r="AH183" s="381">
        <v>25.18</v>
      </c>
      <c r="AI183" s="381">
        <v>8001.6</v>
      </c>
      <c r="AJ183" s="376" t="s">
        <v>179</v>
      </c>
      <c r="AK183" s="376" t="s">
        <v>180</v>
      </c>
      <c r="AL183" s="376" t="s">
        <v>181</v>
      </c>
      <c r="AM183" s="376" t="s">
        <v>182</v>
      </c>
      <c r="AN183" s="376" t="s">
        <v>68</v>
      </c>
      <c r="AO183" s="379">
        <v>80</v>
      </c>
      <c r="AP183" s="385">
        <v>1</v>
      </c>
      <c r="AQ183" s="385">
        <v>0.75</v>
      </c>
      <c r="AR183" s="383" t="s">
        <v>183</v>
      </c>
      <c r="AS183" s="387">
        <f t="shared" si="115"/>
        <v>0.75</v>
      </c>
      <c r="AT183">
        <f t="shared" si="116"/>
        <v>1</v>
      </c>
      <c r="AU183" s="387">
        <f>IF(AT183=0,"",IF(AND(AT183=1,M183="F",SUMIF(C2:C1334,C183,AS2:AS1334)&lt;=1),SUMIF(C2:C1334,C183,AS2:AS1334),IF(AND(AT183=1,M183="F",SUMIF(C2:C1334,C183,AS2:AS1334)&gt;1),1,"")))</f>
        <v>1</v>
      </c>
      <c r="AV183" s="387" t="str">
        <f>IF(AT183=0,"",IF(AND(AT183=3,M183="F",SUMIF(C2:C1334,C183,AS2:AS1334)&lt;=1),SUMIF(C2:C1334,C183,AS2:AS1334),IF(AND(AT183=3,M183="F",SUMIF(C2:C1334,C183,AS2:AS1334)&gt;1),1,"")))</f>
        <v/>
      </c>
      <c r="AW183" s="387">
        <f>SUMIF(C2:C1334,C183,O2:O1334)</f>
        <v>4</v>
      </c>
      <c r="AX183" s="387">
        <f>IF(AND(M183="F",AS183&lt;&gt;0),SUMIF(C2:C1334,C183,W2:W1334),0)</f>
        <v>52374.400000000001</v>
      </c>
      <c r="AY183" s="387">
        <f t="shared" si="117"/>
        <v>39280.800000000003</v>
      </c>
      <c r="AZ183" s="387" t="str">
        <f t="shared" si="118"/>
        <v/>
      </c>
      <c r="BA183" s="387">
        <f t="shared" si="119"/>
        <v>0</v>
      </c>
      <c r="BB183" s="387">
        <f t="shared" si="88"/>
        <v>8737.5</v>
      </c>
      <c r="BC183" s="387">
        <f t="shared" si="89"/>
        <v>0</v>
      </c>
      <c r="BD183" s="387">
        <f t="shared" si="90"/>
        <v>2435.4096</v>
      </c>
      <c r="BE183" s="387">
        <f t="shared" si="91"/>
        <v>569.5716000000001</v>
      </c>
      <c r="BF183" s="387">
        <f t="shared" si="92"/>
        <v>4690.1275200000009</v>
      </c>
      <c r="BG183" s="387">
        <f t="shared" si="93"/>
        <v>283.21456800000004</v>
      </c>
      <c r="BH183" s="387">
        <f t="shared" si="94"/>
        <v>192.47592</v>
      </c>
      <c r="BI183" s="387">
        <f t="shared" si="95"/>
        <v>217.419228</v>
      </c>
      <c r="BJ183" s="387">
        <f t="shared" si="96"/>
        <v>106.05816000000002</v>
      </c>
      <c r="BK183" s="387">
        <f t="shared" si="97"/>
        <v>0</v>
      </c>
      <c r="BL183" s="387">
        <f t="shared" si="120"/>
        <v>8494.2765960000015</v>
      </c>
      <c r="BM183" s="387">
        <f t="shared" si="121"/>
        <v>0</v>
      </c>
      <c r="BN183" s="387">
        <f t="shared" si="98"/>
        <v>8737.5</v>
      </c>
      <c r="BO183" s="387">
        <f t="shared" si="99"/>
        <v>0</v>
      </c>
      <c r="BP183" s="387">
        <f t="shared" si="100"/>
        <v>2435.4096</v>
      </c>
      <c r="BQ183" s="387">
        <f t="shared" si="101"/>
        <v>569.5716000000001</v>
      </c>
      <c r="BR183" s="387">
        <f t="shared" si="102"/>
        <v>4690.1275200000009</v>
      </c>
      <c r="BS183" s="387">
        <f t="shared" si="103"/>
        <v>283.21456800000004</v>
      </c>
      <c r="BT183" s="387">
        <f t="shared" si="104"/>
        <v>0</v>
      </c>
      <c r="BU183" s="387">
        <f t="shared" si="105"/>
        <v>217.419228</v>
      </c>
      <c r="BV183" s="387">
        <f t="shared" si="106"/>
        <v>133.55472</v>
      </c>
      <c r="BW183" s="387">
        <f t="shared" si="107"/>
        <v>0</v>
      </c>
      <c r="BX183" s="387">
        <f t="shared" si="122"/>
        <v>8329.2972360000022</v>
      </c>
      <c r="BY183" s="387">
        <f t="shared" si="123"/>
        <v>0</v>
      </c>
      <c r="BZ183" s="387">
        <f t="shared" si="124"/>
        <v>0</v>
      </c>
      <c r="CA183" s="387">
        <f t="shared" si="125"/>
        <v>0</v>
      </c>
      <c r="CB183" s="387">
        <f t="shared" si="126"/>
        <v>0</v>
      </c>
      <c r="CC183" s="387">
        <f t="shared" si="108"/>
        <v>0</v>
      </c>
      <c r="CD183" s="387">
        <f t="shared" si="109"/>
        <v>0</v>
      </c>
      <c r="CE183" s="387">
        <f t="shared" si="110"/>
        <v>0</v>
      </c>
      <c r="CF183" s="387">
        <f t="shared" si="111"/>
        <v>-192.47592</v>
      </c>
      <c r="CG183" s="387">
        <f t="shared" si="112"/>
        <v>0</v>
      </c>
      <c r="CH183" s="387">
        <f t="shared" si="113"/>
        <v>27.496559999999988</v>
      </c>
      <c r="CI183" s="387">
        <f t="shared" si="114"/>
        <v>0</v>
      </c>
      <c r="CJ183" s="387">
        <f t="shared" si="127"/>
        <v>-164.97936000000001</v>
      </c>
      <c r="CK183" s="387" t="str">
        <f t="shared" si="128"/>
        <v/>
      </c>
      <c r="CL183" s="387" t="str">
        <f t="shared" si="129"/>
        <v/>
      </c>
      <c r="CM183" s="387" t="str">
        <f t="shared" si="130"/>
        <v/>
      </c>
      <c r="CN183" s="387" t="str">
        <f t="shared" si="131"/>
        <v>0303-00</v>
      </c>
    </row>
    <row r="184" spans="1:92" ht="15.75" thickBot="1" x14ac:dyDescent="0.3">
      <c r="A184" s="376" t="s">
        <v>161</v>
      </c>
      <c r="B184" s="376" t="s">
        <v>162</v>
      </c>
      <c r="C184" s="376" t="s">
        <v>762</v>
      </c>
      <c r="D184" s="376" t="s">
        <v>743</v>
      </c>
      <c r="E184" s="376" t="s">
        <v>214</v>
      </c>
      <c r="F184" s="377" t="s">
        <v>166</v>
      </c>
      <c r="G184" s="376" t="s">
        <v>781</v>
      </c>
      <c r="H184" s="378"/>
      <c r="I184" s="378"/>
      <c r="J184" s="376" t="s">
        <v>215</v>
      </c>
      <c r="K184" s="376" t="s">
        <v>744</v>
      </c>
      <c r="L184" s="376" t="s">
        <v>296</v>
      </c>
      <c r="M184" s="376" t="s">
        <v>171</v>
      </c>
      <c r="N184" s="376" t="s">
        <v>172</v>
      </c>
      <c r="O184" s="379">
        <v>1</v>
      </c>
      <c r="P184" s="385">
        <v>1</v>
      </c>
      <c r="Q184" s="385">
        <v>1</v>
      </c>
      <c r="R184" s="380">
        <v>80</v>
      </c>
      <c r="S184" s="385">
        <v>1</v>
      </c>
      <c r="T184" s="380">
        <v>0</v>
      </c>
      <c r="U184" s="380">
        <v>0</v>
      </c>
      <c r="V184" s="380">
        <v>0</v>
      </c>
      <c r="W184" s="380">
        <v>49920</v>
      </c>
      <c r="X184" s="380">
        <v>22445.17</v>
      </c>
      <c r="Y184" s="380">
        <v>49920</v>
      </c>
      <c r="Z184" s="380">
        <v>22235.51</v>
      </c>
      <c r="AA184" s="376" t="s">
        <v>763</v>
      </c>
      <c r="AB184" s="376" t="s">
        <v>764</v>
      </c>
      <c r="AC184" s="376" t="s">
        <v>765</v>
      </c>
      <c r="AD184" s="376" t="s">
        <v>458</v>
      </c>
      <c r="AE184" s="376" t="s">
        <v>744</v>
      </c>
      <c r="AF184" s="376" t="s">
        <v>301</v>
      </c>
      <c r="AG184" s="376" t="s">
        <v>178</v>
      </c>
      <c r="AH184" s="379">
        <v>24</v>
      </c>
      <c r="AI184" s="379">
        <v>320</v>
      </c>
      <c r="AJ184" s="376" t="s">
        <v>179</v>
      </c>
      <c r="AK184" s="376" t="s">
        <v>180</v>
      </c>
      <c r="AL184" s="376" t="s">
        <v>181</v>
      </c>
      <c r="AM184" s="376" t="s">
        <v>182</v>
      </c>
      <c r="AN184" s="376" t="s">
        <v>68</v>
      </c>
      <c r="AO184" s="379">
        <v>80</v>
      </c>
      <c r="AP184" s="385">
        <v>1</v>
      </c>
      <c r="AQ184" s="385">
        <v>1</v>
      </c>
      <c r="AR184" s="383" t="s">
        <v>183</v>
      </c>
      <c r="AS184" s="387">
        <f t="shared" si="115"/>
        <v>1</v>
      </c>
      <c r="AT184">
        <f t="shared" si="116"/>
        <v>1</v>
      </c>
      <c r="AU184" s="387">
        <f>IF(AT184=0,"",IF(AND(AT184=1,M184="F",SUMIF(C2:C1334,C184,AS2:AS1334)&lt;=1),SUMIF(C2:C1334,C184,AS2:AS1334),IF(AND(AT184=1,M184="F",SUMIF(C2:C1334,C184,AS2:AS1334)&gt;1),1,"")))</f>
        <v>1</v>
      </c>
      <c r="AV184" s="387" t="str">
        <f>IF(AT184=0,"",IF(AND(AT184=3,M184="F",SUMIF(C2:C1334,C184,AS2:AS1334)&lt;=1),SUMIF(C2:C1334,C184,AS2:AS1334),IF(AND(AT184=3,M184="F",SUMIF(C2:C1334,C184,AS2:AS1334)&gt;1),1,"")))</f>
        <v/>
      </c>
      <c r="AW184" s="387">
        <f>SUMIF(C2:C1334,C184,O2:O1334)</f>
        <v>3</v>
      </c>
      <c r="AX184" s="387">
        <f>IF(AND(M184="F",AS184&lt;&gt;0),SUMIF(C2:C1334,C184,W2:W1334),0)</f>
        <v>49920</v>
      </c>
      <c r="AY184" s="387">
        <f t="shared" si="117"/>
        <v>49920</v>
      </c>
      <c r="AZ184" s="387" t="str">
        <f t="shared" si="118"/>
        <v/>
      </c>
      <c r="BA184" s="387">
        <f t="shared" si="119"/>
        <v>0</v>
      </c>
      <c r="BB184" s="387">
        <f t="shared" si="88"/>
        <v>11650</v>
      </c>
      <c r="BC184" s="387">
        <f t="shared" si="89"/>
        <v>0</v>
      </c>
      <c r="BD184" s="387">
        <f t="shared" si="90"/>
        <v>3095.04</v>
      </c>
      <c r="BE184" s="387">
        <f t="shared" si="91"/>
        <v>723.84</v>
      </c>
      <c r="BF184" s="387">
        <f t="shared" si="92"/>
        <v>5960.4480000000003</v>
      </c>
      <c r="BG184" s="387">
        <f t="shared" si="93"/>
        <v>359.92320000000001</v>
      </c>
      <c r="BH184" s="387">
        <f t="shared" si="94"/>
        <v>244.608</v>
      </c>
      <c r="BI184" s="387">
        <f t="shared" si="95"/>
        <v>276.30720000000002</v>
      </c>
      <c r="BJ184" s="387">
        <f t="shared" si="96"/>
        <v>134.78400000000002</v>
      </c>
      <c r="BK184" s="387">
        <f t="shared" si="97"/>
        <v>0</v>
      </c>
      <c r="BL184" s="387">
        <f t="shared" si="120"/>
        <v>10794.9504</v>
      </c>
      <c r="BM184" s="387">
        <f t="shared" si="121"/>
        <v>0</v>
      </c>
      <c r="BN184" s="387">
        <f t="shared" si="98"/>
        <v>11650</v>
      </c>
      <c r="BO184" s="387">
        <f t="shared" si="99"/>
        <v>0</v>
      </c>
      <c r="BP184" s="387">
        <f t="shared" si="100"/>
        <v>3095.04</v>
      </c>
      <c r="BQ184" s="387">
        <f t="shared" si="101"/>
        <v>723.84</v>
      </c>
      <c r="BR184" s="387">
        <f t="shared" si="102"/>
        <v>5960.4480000000003</v>
      </c>
      <c r="BS184" s="387">
        <f t="shared" si="103"/>
        <v>359.92320000000001</v>
      </c>
      <c r="BT184" s="387">
        <f t="shared" si="104"/>
        <v>0</v>
      </c>
      <c r="BU184" s="387">
        <f t="shared" si="105"/>
        <v>276.30720000000002</v>
      </c>
      <c r="BV184" s="387">
        <f t="shared" si="106"/>
        <v>169.72799999999998</v>
      </c>
      <c r="BW184" s="387">
        <f t="shared" si="107"/>
        <v>0</v>
      </c>
      <c r="BX184" s="387">
        <f t="shared" si="122"/>
        <v>10585.286399999999</v>
      </c>
      <c r="BY184" s="387">
        <f t="shared" si="123"/>
        <v>0</v>
      </c>
      <c r="BZ184" s="387">
        <f t="shared" si="124"/>
        <v>0</v>
      </c>
      <c r="CA184" s="387">
        <f t="shared" si="125"/>
        <v>0</v>
      </c>
      <c r="CB184" s="387">
        <f t="shared" si="126"/>
        <v>0</v>
      </c>
      <c r="CC184" s="387">
        <f t="shared" si="108"/>
        <v>0</v>
      </c>
      <c r="CD184" s="387">
        <f t="shared" si="109"/>
        <v>0</v>
      </c>
      <c r="CE184" s="387">
        <f t="shared" si="110"/>
        <v>0</v>
      </c>
      <c r="CF184" s="387">
        <f t="shared" si="111"/>
        <v>-244.608</v>
      </c>
      <c r="CG184" s="387">
        <f t="shared" si="112"/>
        <v>0</v>
      </c>
      <c r="CH184" s="387">
        <f t="shared" si="113"/>
        <v>34.943999999999981</v>
      </c>
      <c r="CI184" s="387">
        <f t="shared" si="114"/>
        <v>0</v>
      </c>
      <c r="CJ184" s="387">
        <f t="shared" si="127"/>
        <v>-209.66400000000002</v>
      </c>
      <c r="CK184" s="387" t="str">
        <f t="shared" si="128"/>
        <v/>
      </c>
      <c r="CL184" s="387" t="str">
        <f t="shared" si="129"/>
        <v/>
      </c>
      <c r="CM184" s="387" t="str">
        <f t="shared" si="130"/>
        <v/>
      </c>
      <c r="CN184" s="387" t="str">
        <f t="shared" si="131"/>
        <v>0303-00</v>
      </c>
    </row>
    <row r="185" spans="1:92" ht="15.75" thickBot="1" x14ac:dyDescent="0.3">
      <c r="A185" s="376" t="s">
        <v>161</v>
      </c>
      <c r="B185" s="376" t="s">
        <v>162</v>
      </c>
      <c r="C185" s="376" t="s">
        <v>766</v>
      </c>
      <c r="D185" s="376" t="s">
        <v>767</v>
      </c>
      <c r="E185" s="376" t="s">
        <v>214</v>
      </c>
      <c r="F185" s="377" t="s">
        <v>166</v>
      </c>
      <c r="G185" s="376" t="s">
        <v>781</v>
      </c>
      <c r="H185" s="378"/>
      <c r="I185" s="378"/>
      <c r="J185" s="376" t="s">
        <v>239</v>
      </c>
      <c r="K185" s="376" t="s">
        <v>768</v>
      </c>
      <c r="L185" s="376" t="s">
        <v>170</v>
      </c>
      <c r="M185" s="376" t="s">
        <v>171</v>
      </c>
      <c r="N185" s="376" t="s">
        <v>172</v>
      </c>
      <c r="O185" s="379">
        <v>1</v>
      </c>
      <c r="P185" s="385">
        <v>0.75</v>
      </c>
      <c r="Q185" s="385">
        <v>0.75</v>
      </c>
      <c r="R185" s="380">
        <v>80</v>
      </c>
      <c r="S185" s="385">
        <v>0.75</v>
      </c>
      <c r="T185" s="380">
        <v>0</v>
      </c>
      <c r="U185" s="380">
        <v>0</v>
      </c>
      <c r="V185" s="380">
        <v>0</v>
      </c>
      <c r="W185" s="380">
        <v>45708</v>
      </c>
      <c r="X185" s="380">
        <v>18621.810000000001</v>
      </c>
      <c r="Y185" s="380">
        <v>45708</v>
      </c>
      <c r="Z185" s="380">
        <v>18429.84</v>
      </c>
      <c r="AA185" s="376" t="s">
        <v>769</v>
      </c>
      <c r="AB185" s="376" t="s">
        <v>770</v>
      </c>
      <c r="AC185" s="376" t="s">
        <v>771</v>
      </c>
      <c r="AD185" s="376" t="s">
        <v>268</v>
      </c>
      <c r="AE185" s="376" t="s">
        <v>768</v>
      </c>
      <c r="AF185" s="376" t="s">
        <v>177</v>
      </c>
      <c r="AG185" s="376" t="s">
        <v>178</v>
      </c>
      <c r="AH185" s="381">
        <v>29.3</v>
      </c>
      <c r="AI185" s="381">
        <v>40249.1</v>
      </c>
      <c r="AJ185" s="376" t="s">
        <v>179</v>
      </c>
      <c r="AK185" s="376" t="s">
        <v>180</v>
      </c>
      <c r="AL185" s="376" t="s">
        <v>181</v>
      </c>
      <c r="AM185" s="376" t="s">
        <v>182</v>
      </c>
      <c r="AN185" s="376" t="s">
        <v>68</v>
      </c>
      <c r="AO185" s="379">
        <v>80</v>
      </c>
      <c r="AP185" s="385">
        <v>1</v>
      </c>
      <c r="AQ185" s="385">
        <v>0.75</v>
      </c>
      <c r="AR185" s="383" t="s">
        <v>183</v>
      </c>
      <c r="AS185" s="387">
        <f t="shared" si="115"/>
        <v>0.75</v>
      </c>
      <c r="AT185">
        <f t="shared" si="116"/>
        <v>1</v>
      </c>
      <c r="AU185" s="387">
        <f>IF(AT185=0,"",IF(AND(AT185=1,M185="F",SUMIF(C2:C1334,C185,AS2:AS1334)&lt;=1),SUMIF(C2:C1334,C185,AS2:AS1334),IF(AND(AT185=1,M185="F",SUMIF(C2:C1334,C185,AS2:AS1334)&gt;1),1,"")))</f>
        <v>1</v>
      </c>
      <c r="AV185" s="387" t="str">
        <f>IF(AT185=0,"",IF(AND(AT185=3,M185="F",SUMIF(C2:C1334,C185,AS2:AS1334)&lt;=1),SUMIF(C2:C1334,C185,AS2:AS1334),IF(AND(AT185=3,M185="F",SUMIF(C2:C1334,C185,AS2:AS1334)&gt;1),1,"")))</f>
        <v/>
      </c>
      <c r="AW185" s="387">
        <f>SUMIF(C2:C1334,C185,O2:O1334)</f>
        <v>4</v>
      </c>
      <c r="AX185" s="387">
        <f>IF(AND(M185="F",AS185&lt;&gt;0),SUMIF(C2:C1334,C185,W2:W1334),0)</f>
        <v>60944</v>
      </c>
      <c r="AY185" s="387">
        <f t="shared" si="117"/>
        <v>45708</v>
      </c>
      <c r="AZ185" s="387" t="str">
        <f t="shared" si="118"/>
        <v/>
      </c>
      <c r="BA185" s="387">
        <f t="shared" si="119"/>
        <v>0</v>
      </c>
      <c r="BB185" s="387">
        <f t="shared" si="88"/>
        <v>8737.5</v>
      </c>
      <c r="BC185" s="387">
        <f t="shared" si="89"/>
        <v>0</v>
      </c>
      <c r="BD185" s="387">
        <f t="shared" si="90"/>
        <v>2833.8960000000002</v>
      </c>
      <c r="BE185" s="387">
        <f t="shared" si="91"/>
        <v>662.76600000000008</v>
      </c>
      <c r="BF185" s="387">
        <f t="shared" si="92"/>
        <v>5457.5352000000003</v>
      </c>
      <c r="BG185" s="387">
        <f t="shared" si="93"/>
        <v>329.55468000000002</v>
      </c>
      <c r="BH185" s="387">
        <f t="shared" si="94"/>
        <v>223.9692</v>
      </c>
      <c r="BI185" s="387">
        <f t="shared" si="95"/>
        <v>252.99377999999999</v>
      </c>
      <c r="BJ185" s="387">
        <f t="shared" si="96"/>
        <v>123.41160000000001</v>
      </c>
      <c r="BK185" s="387">
        <f t="shared" si="97"/>
        <v>0</v>
      </c>
      <c r="BL185" s="387">
        <f t="shared" si="120"/>
        <v>9884.1264599999995</v>
      </c>
      <c r="BM185" s="387">
        <f t="shared" si="121"/>
        <v>0</v>
      </c>
      <c r="BN185" s="387">
        <f t="shared" si="98"/>
        <v>8737.5</v>
      </c>
      <c r="BO185" s="387">
        <f t="shared" si="99"/>
        <v>0</v>
      </c>
      <c r="BP185" s="387">
        <f t="shared" si="100"/>
        <v>2833.8960000000002</v>
      </c>
      <c r="BQ185" s="387">
        <f t="shared" si="101"/>
        <v>662.76600000000008</v>
      </c>
      <c r="BR185" s="387">
        <f t="shared" si="102"/>
        <v>5457.5352000000003</v>
      </c>
      <c r="BS185" s="387">
        <f t="shared" si="103"/>
        <v>329.55468000000002</v>
      </c>
      <c r="BT185" s="387">
        <f t="shared" si="104"/>
        <v>0</v>
      </c>
      <c r="BU185" s="387">
        <f t="shared" si="105"/>
        <v>252.99377999999999</v>
      </c>
      <c r="BV185" s="387">
        <f t="shared" si="106"/>
        <v>155.40719999999999</v>
      </c>
      <c r="BW185" s="387">
        <f t="shared" si="107"/>
        <v>0</v>
      </c>
      <c r="BX185" s="387">
        <f t="shared" si="122"/>
        <v>9692.1528600000001</v>
      </c>
      <c r="BY185" s="387">
        <f t="shared" si="123"/>
        <v>0</v>
      </c>
      <c r="BZ185" s="387">
        <f t="shared" si="124"/>
        <v>0</v>
      </c>
      <c r="CA185" s="387">
        <f t="shared" si="125"/>
        <v>0</v>
      </c>
      <c r="CB185" s="387">
        <f t="shared" si="126"/>
        <v>0</v>
      </c>
      <c r="CC185" s="387">
        <f t="shared" si="108"/>
        <v>0</v>
      </c>
      <c r="CD185" s="387">
        <f t="shared" si="109"/>
        <v>0</v>
      </c>
      <c r="CE185" s="387">
        <f t="shared" si="110"/>
        <v>0</v>
      </c>
      <c r="CF185" s="387">
        <f t="shared" si="111"/>
        <v>-223.9692</v>
      </c>
      <c r="CG185" s="387">
        <f t="shared" si="112"/>
        <v>0</v>
      </c>
      <c r="CH185" s="387">
        <f t="shared" si="113"/>
        <v>31.995599999999985</v>
      </c>
      <c r="CI185" s="387">
        <f t="shared" si="114"/>
        <v>0</v>
      </c>
      <c r="CJ185" s="387">
        <f t="shared" si="127"/>
        <v>-191.9736</v>
      </c>
      <c r="CK185" s="387" t="str">
        <f t="shared" si="128"/>
        <v/>
      </c>
      <c r="CL185" s="387" t="str">
        <f t="shared" si="129"/>
        <v/>
      </c>
      <c r="CM185" s="387" t="str">
        <f t="shared" si="130"/>
        <v/>
      </c>
      <c r="CN185" s="387" t="str">
        <f t="shared" si="131"/>
        <v>0303-00</v>
      </c>
    </row>
    <row r="186" spans="1:92" ht="15.75" thickBot="1" x14ac:dyDescent="0.3">
      <c r="A186" s="376" t="s">
        <v>161</v>
      </c>
      <c r="B186" s="376" t="s">
        <v>162</v>
      </c>
      <c r="C186" s="376" t="s">
        <v>822</v>
      </c>
      <c r="D186" s="376" t="s">
        <v>823</v>
      </c>
      <c r="E186" s="376" t="s">
        <v>214</v>
      </c>
      <c r="F186" s="377" t="s">
        <v>166</v>
      </c>
      <c r="G186" s="376" t="s">
        <v>781</v>
      </c>
      <c r="H186" s="378"/>
      <c r="I186" s="378"/>
      <c r="J186" s="376" t="s">
        <v>215</v>
      </c>
      <c r="K186" s="376" t="s">
        <v>824</v>
      </c>
      <c r="L186" s="376" t="s">
        <v>166</v>
      </c>
      <c r="M186" s="376" t="s">
        <v>272</v>
      </c>
      <c r="N186" s="376" t="s">
        <v>780</v>
      </c>
      <c r="O186" s="379">
        <v>0</v>
      </c>
      <c r="P186" s="385">
        <v>1</v>
      </c>
      <c r="Q186" s="385">
        <v>0</v>
      </c>
      <c r="R186" s="380">
        <v>0</v>
      </c>
      <c r="S186" s="385">
        <v>0</v>
      </c>
      <c r="T186" s="380">
        <v>0</v>
      </c>
      <c r="U186" s="380">
        <v>0</v>
      </c>
      <c r="V186" s="380">
        <v>0</v>
      </c>
      <c r="W186" s="380">
        <v>0</v>
      </c>
      <c r="X186" s="380">
        <v>0</v>
      </c>
      <c r="Y186" s="380">
        <v>0</v>
      </c>
      <c r="Z186" s="380">
        <v>0</v>
      </c>
      <c r="AA186" s="378"/>
      <c r="AB186" s="376" t="s">
        <v>45</v>
      </c>
      <c r="AC186" s="376" t="s">
        <v>45</v>
      </c>
      <c r="AD186" s="378"/>
      <c r="AE186" s="378"/>
      <c r="AF186" s="378"/>
      <c r="AG186" s="378"/>
      <c r="AH186" s="379">
        <v>0</v>
      </c>
      <c r="AI186" s="379">
        <v>0</v>
      </c>
      <c r="AJ186" s="378"/>
      <c r="AK186" s="378"/>
      <c r="AL186" s="376" t="s">
        <v>181</v>
      </c>
      <c r="AM186" s="378"/>
      <c r="AN186" s="378"/>
      <c r="AO186" s="379">
        <v>0</v>
      </c>
      <c r="AP186" s="385">
        <v>0</v>
      </c>
      <c r="AQ186" s="385">
        <v>0</v>
      </c>
      <c r="AR186" s="384"/>
      <c r="AS186" s="387">
        <f t="shared" si="115"/>
        <v>0</v>
      </c>
      <c r="AT186">
        <f t="shared" si="116"/>
        <v>0</v>
      </c>
      <c r="AU186" s="387" t="str">
        <f>IF(AT186=0,"",IF(AND(AT186=1,M186="F",SUMIF(C2:C1334,C186,AS2:AS1334)&lt;=1),SUMIF(C2:C1334,C186,AS2:AS1334),IF(AND(AT186=1,M186="F",SUMIF(C2:C1334,C186,AS2:AS1334)&gt;1),1,"")))</f>
        <v/>
      </c>
      <c r="AV186" s="387" t="str">
        <f>IF(AT186=0,"",IF(AND(AT186=3,M186="F",SUMIF(C2:C1334,C186,AS2:AS1334)&lt;=1),SUMIF(C2:C1334,C186,AS2:AS1334),IF(AND(AT186=3,M186="F",SUMIF(C2:C1334,C186,AS2:AS1334)&gt;1),1,"")))</f>
        <v/>
      </c>
      <c r="AW186" s="387">
        <f>SUMIF(C2:C1334,C186,O2:O1334)</f>
        <v>0</v>
      </c>
      <c r="AX186" s="387">
        <f>IF(AND(M186="F",AS186&lt;&gt;0),SUMIF(C2:C1334,C186,W2:W1334),0)</f>
        <v>0</v>
      </c>
      <c r="AY186" s="387" t="str">
        <f t="shared" si="117"/>
        <v/>
      </c>
      <c r="AZ186" s="387" t="str">
        <f t="shared" si="118"/>
        <v/>
      </c>
      <c r="BA186" s="387">
        <f t="shared" si="119"/>
        <v>0</v>
      </c>
      <c r="BB186" s="387">
        <f t="shared" si="88"/>
        <v>0</v>
      </c>
      <c r="BC186" s="387">
        <f t="shared" si="89"/>
        <v>0</v>
      </c>
      <c r="BD186" s="387">
        <f t="shared" si="90"/>
        <v>0</v>
      </c>
      <c r="BE186" s="387">
        <f t="shared" si="91"/>
        <v>0</v>
      </c>
      <c r="BF186" s="387">
        <f t="shared" si="92"/>
        <v>0</v>
      </c>
      <c r="BG186" s="387">
        <f t="shared" si="93"/>
        <v>0</v>
      </c>
      <c r="BH186" s="387">
        <f t="shared" si="94"/>
        <v>0</v>
      </c>
      <c r="BI186" s="387">
        <f t="shared" si="95"/>
        <v>0</v>
      </c>
      <c r="BJ186" s="387">
        <f t="shared" si="96"/>
        <v>0</v>
      </c>
      <c r="BK186" s="387">
        <f t="shared" si="97"/>
        <v>0</v>
      </c>
      <c r="BL186" s="387">
        <f t="shared" si="120"/>
        <v>0</v>
      </c>
      <c r="BM186" s="387">
        <f t="shared" si="121"/>
        <v>0</v>
      </c>
      <c r="BN186" s="387">
        <f t="shared" si="98"/>
        <v>0</v>
      </c>
      <c r="BO186" s="387">
        <f t="shared" si="99"/>
        <v>0</v>
      </c>
      <c r="BP186" s="387">
        <f t="shared" si="100"/>
        <v>0</v>
      </c>
      <c r="BQ186" s="387">
        <f t="shared" si="101"/>
        <v>0</v>
      </c>
      <c r="BR186" s="387">
        <f t="shared" si="102"/>
        <v>0</v>
      </c>
      <c r="BS186" s="387">
        <f t="shared" si="103"/>
        <v>0</v>
      </c>
      <c r="BT186" s="387">
        <f t="shared" si="104"/>
        <v>0</v>
      </c>
      <c r="BU186" s="387">
        <f t="shared" si="105"/>
        <v>0</v>
      </c>
      <c r="BV186" s="387">
        <f t="shared" si="106"/>
        <v>0</v>
      </c>
      <c r="BW186" s="387">
        <f t="shared" si="107"/>
        <v>0</v>
      </c>
      <c r="BX186" s="387">
        <f t="shared" si="122"/>
        <v>0</v>
      </c>
      <c r="BY186" s="387">
        <f t="shared" si="123"/>
        <v>0</v>
      </c>
      <c r="BZ186" s="387">
        <f t="shared" si="124"/>
        <v>0</v>
      </c>
      <c r="CA186" s="387">
        <f t="shared" si="125"/>
        <v>0</v>
      </c>
      <c r="CB186" s="387">
        <f t="shared" si="126"/>
        <v>0</v>
      </c>
      <c r="CC186" s="387">
        <f t="shared" si="108"/>
        <v>0</v>
      </c>
      <c r="CD186" s="387">
        <f t="shared" si="109"/>
        <v>0</v>
      </c>
      <c r="CE186" s="387">
        <f t="shared" si="110"/>
        <v>0</v>
      </c>
      <c r="CF186" s="387">
        <f t="shared" si="111"/>
        <v>0</v>
      </c>
      <c r="CG186" s="387">
        <f t="shared" si="112"/>
        <v>0</v>
      </c>
      <c r="CH186" s="387">
        <f t="shared" si="113"/>
        <v>0</v>
      </c>
      <c r="CI186" s="387">
        <f t="shared" si="114"/>
        <v>0</v>
      </c>
      <c r="CJ186" s="387">
        <f t="shared" si="127"/>
        <v>0</v>
      </c>
      <c r="CK186" s="387" t="str">
        <f t="shared" si="128"/>
        <v/>
      </c>
      <c r="CL186" s="387">
        <f t="shared" si="129"/>
        <v>0</v>
      </c>
      <c r="CM186" s="387">
        <f t="shared" si="130"/>
        <v>0</v>
      </c>
      <c r="CN186" s="387" t="str">
        <f t="shared" si="131"/>
        <v>0303-00</v>
      </c>
    </row>
    <row r="187" spans="1:92" ht="15.75" thickBot="1" x14ac:dyDescent="0.3">
      <c r="A187" s="376" t="s">
        <v>161</v>
      </c>
      <c r="B187" s="376" t="s">
        <v>162</v>
      </c>
      <c r="C187" s="376" t="s">
        <v>772</v>
      </c>
      <c r="D187" s="376" t="s">
        <v>767</v>
      </c>
      <c r="E187" s="376" t="s">
        <v>214</v>
      </c>
      <c r="F187" s="377" t="s">
        <v>166</v>
      </c>
      <c r="G187" s="376" t="s">
        <v>781</v>
      </c>
      <c r="H187" s="378"/>
      <c r="I187" s="378"/>
      <c r="J187" s="376" t="s">
        <v>239</v>
      </c>
      <c r="K187" s="376" t="s">
        <v>768</v>
      </c>
      <c r="L187" s="376" t="s">
        <v>170</v>
      </c>
      <c r="M187" s="376" t="s">
        <v>171</v>
      </c>
      <c r="N187" s="376" t="s">
        <v>172</v>
      </c>
      <c r="O187" s="379">
        <v>1</v>
      </c>
      <c r="P187" s="385">
        <v>0.75</v>
      </c>
      <c r="Q187" s="385">
        <v>0.75</v>
      </c>
      <c r="R187" s="380">
        <v>80</v>
      </c>
      <c r="S187" s="385">
        <v>0.75</v>
      </c>
      <c r="T187" s="380">
        <v>0</v>
      </c>
      <c r="U187" s="380">
        <v>0</v>
      </c>
      <c r="V187" s="380">
        <v>0</v>
      </c>
      <c r="W187" s="380">
        <v>45708</v>
      </c>
      <c r="X187" s="380">
        <v>18621.810000000001</v>
      </c>
      <c r="Y187" s="380">
        <v>45708</v>
      </c>
      <c r="Z187" s="380">
        <v>18429.84</v>
      </c>
      <c r="AA187" s="376" t="s">
        <v>773</v>
      </c>
      <c r="AB187" s="376" t="s">
        <v>774</v>
      </c>
      <c r="AC187" s="376" t="s">
        <v>775</v>
      </c>
      <c r="AD187" s="376" t="s">
        <v>776</v>
      </c>
      <c r="AE187" s="376" t="s">
        <v>768</v>
      </c>
      <c r="AF187" s="376" t="s">
        <v>177</v>
      </c>
      <c r="AG187" s="376" t="s">
        <v>178</v>
      </c>
      <c r="AH187" s="381">
        <v>29.3</v>
      </c>
      <c r="AI187" s="379">
        <v>19549</v>
      </c>
      <c r="AJ187" s="376" t="s">
        <v>179</v>
      </c>
      <c r="AK187" s="376" t="s">
        <v>180</v>
      </c>
      <c r="AL187" s="376" t="s">
        <v>181</v>
      </c>
      <c r="AM187" s="376" t="s">
        <v>182</v>
      </c>
      <c r="AN187" s="376" t="s">
        <v>68</v>
      </c>
      <c r="AO187" s="379">
        <v>80</v>
      </c>
      <c r="AP187" s="385">
        <v>1</v>
      </c>
      <c r="AQ187" s="385">
        <v>0.75</v>
      </c>
      <c r="AR187" s="383" t="s">
        <v>183</v>
      </c>
      <c r="AS187" s="387">
        <f t="shared" si="115"/>
        <v>0.75</v>
      </c>
      <c r="AT187">
        <f t="shared" si="116"/>
        <v>1</v>
      </c>
      <c r="AU187" s="387">
        <f>IF(AT187=0,"",IF(AND(AT187=1,M187="F",SUMIF(C2:C1334,C187,AS2:AS1334)&lt;=1),SUMIF(C2:C1334,C187,AS2:AS1334),IF(AND(AT187=1,M187="F",SUMIF(C2:C1334,C187,AS2:AS1334)&gt;1),1,"")))</f>
        <v>1</v>
      </c>
      <c r="AV187" s="387" t="str">
        <f>IF(AT187=0,"",IF(AND(AT187=3,M187="F",SUMIF(C2:C1334,C187,AS2:AS1334)&lt;=1),SUMIF(C2:C1334,C187,AS2:AS1334),IF(AND(AT187=3,M187="F",SUMIF(C2:C1334,C187,AS2:AS1334)&gt;1),1,"")))</f>
        <v/>
      </c>
      <c r="AW187" s="387">
        <f>SUMIF(C2:C1334,C187,O2:O1334)</f>
        <v>4</v>
      </c>
      <c r="AX187" s="387">
        <f>IF(AND(M187="F",AS187&lt;&gt;0),SUMIF(C2:C1334,C187,W2:W1334),0)</f>
        <v>60944</v>
      </c>
      <c r="AY187" s="387">
        <f t="shared" si="117"/>
        <v>45708</v>
      </c>
      <c r="AZ187" s="387" t="str">
        <f t="shared" si="118"/>
        <v/>
      </c>
      <c r="BA187" s="387">
        <f t="shared" si="119"/>
        <v>0</v>
      </c>
      <c r="BB187" s="387">
        <f t="shared" si="88"/>
        <v>8737.5</v>
      </c>
      <c r="BC187" s="387">
        <f t="shared" si="89"/>
        <v>0</v>
      </c>
      <c r="BD187" s="387">
        <f t="shared" si="90"/>
        <v>2833.8960000000002</v>
      </c>
      <c r="BE187" s="387">
        <f t="shared" si="91"/>
        <v>662.76600000000008</v>
      </c>
      <c r="BF187" s="387">
        <f t="shared" si="92"/>
        <v>5457.5352000000003</v>
      </c>
      <c r="BG187" s="387">
        <f t="shared" si="93"/>
        <v>329.55468000000002</v>
      </c>
      <c r="BH187" s="387">
        <f t="shared" si="94"/>
        <v>223.9692</v>
      </c>
      <c r="BI187" s="387">
        <f t="shared" si="95"/>
        <v>252.99377999999999</v>
      </c>
      <c r="BJ187" s="387">
        <f t="shared" si="96"/>
        <v>123.41160000000001</v>
      </c>
      <c r="BK187" s="387">
        <f t="shared" si="97"/>
        <v>0</v>
      </c>
      <c r="BL187" s="387">
        <f t="shared" si="120"/>
        <v>9884.1264599999995</v>
      </c>
      <c r="BM187" s="387">
        <f t="shared" si="121"/>
        <v>0</v>
      </c>
      <c r="BN187" s="387">
        <f t="shared" si="98"/>
        <v>8737.5</v>
      </c>
      <c r="BO187" s="387">
        <f t="shared" si="99"/>
        <v>0</v>
      </c>
      <c r="BP187" s="387">
        <f t="shared" si="100"/>
        <v>2833.8960000000002</v>
      </c>
      <c r="BQ187" s="387">
        <f t="shared" si="101"/>
        <v>662.76600000000008</v>
      </c>
      <c r="BR187" s="387">
        <f t="shared" si="102"/>
        <v>5457.5352000000003</v>
      </c>
      <c r="BS187" s="387">
        <f t="shared" si="103"/>
        <v>329.55468000000002</v>
      </c>
      <c r="BT187" s="387">
        <f t="shared" si="104"/>
        <v>0</v>
      </c>
      <c r="BU187" s="387">
        <f t="shared" si="105"/>
        <v>252.99377999999999</v>
      </c>
      <c r="BV187" s="387">
        <f t="shared" si="106"/>
        <v>155.40719999999999</v>
      </c>
      <c r="BW187" s="387">
        <f t="shared" si="107"/>
        <v>0</v>
      </c>
      <c r="BX187" s="387">
        <f t="shared" si="122"/>
        <v>9692.1528600000001</v>
      </c>
      <c r="BY187" s="387">
        <f t="shared" si="123"/>
        <v>0</v>
      </c>
      <c r="BZ187" s="387">
        <f t="shared" si="124"/>
        <v>0</v>
      </c>
      <c r="CA187" s="387">
        <f t="shared" si="125"/>
        <v>0</v>
      </c>
      <c r="CB187" s="387">
        <f t="shared" si="126"/>
        <v>0</v>
      </c>
      <c r="CC187" s="387">
        <f t="shared" si="108"/>
        <v>0</v>
      </c>
      <c r="CD187" s="387">
        <f t="shared" si="109"/>
        <v>0</v>
      </c>
      <c r="CE187" s="387">
        <f t="shared" si="110"/>
        <v>0</v>
      </c>
      <c r="CF187" s="387">
        <f t="shared" si="111"/>
        <v>-223.9692</v>
      </c>
      <c r="CG187" s="387">
        <f t="shared" si="112"/>
        <v>0</v>
      </c>
      <c r="CH187" s="387">
        <f t="shared" si="113"/>
        <v>31.995599999999985</v>
      </c>
      <c r="CI187" s="387">
        <f t="shared" si="114"/>
        <v>0</v>
      </c>
      <c r="CJ187" s="387">
        <f t="shared" si="127"/>
        <v>-191.9736</v>
      </c>
      <c r="CK187" s="387" t="str">
        <f t="shared" si="128"/>
        <v/>
      </c>
      <c r="CL187" s="387" t="str">
        <f t="shared" si="129"/>
        <v/>
      </c>
      <c r="CM187" s="387" t="str">
        <f t="shared" si="130"/>
        <v/>
      </c>
      <c r="CN187" s="387" t="str">
        <f t="shared" si="131"/>
        <v>0303-00</v>
      </c>
    </row>
    <row r="188" spans="1:92" ht="15.75" thickBot="1" x14ac:dyDescent="0.3">
      <c r="A188" s="376" t="s">
        <v>161</v>
      </c>
      <c r="B188" s="376" t="s">
        <v>162</v>
      </c>
      <c r="C188" s="376" t="s">
        <v>825</v>
      </c>
      <c r="D188" s="376" t="s">
        <v>804</v>
      </c>
      <c r="E188" s="376" t="s">
        <v>214</v>
      </c>
      <c r="F188" s="377" t="s">
        <v>166</v>
      </c>
      <c r="G188" s="376" t="s">
        <v>781</v>
      </c>
      <c r="H188" s="378"/>
      <c r="I188" s="378"/>
      <c r="J188" s="376" t="s">
        <v>239</v>
      </c>
      <c r="K188" s="376" t="s">
        <v>805</v>
      </c>
      <c r="L188" s="376" t="s">
        <v>351</v>
      </c>
      <c r="M188" s="376" t="s">
        <v>171</v>
      </c>
      <c r="N188" s="376" t="s">
        <v>172</v>
      </c>
      <c r="O188" s="379">
        <v>1</v>
      </c>
      <c r="P188" s="385">
        <v>0.5</v>
      </c>
      <c r="Q188" s="385">
        <v>0.5</v>
      </c>
      <c r="R188" s="380">
        <v>80</v>
      </c>
      <c r="S188" s="385">
        <v>0.5</v>
      </c>
      <c r="T188" s="380">
        <v>34419.949999999997</v>
      </c>
      <c r="U188" s="380">
        <v>0</v>
      </c>
      <c r="V188" s="380">
        <v>11643.49</v>
      </c>
      <c r="W188" s="380">
        <v>46352.800000000003</v>
      </c>
      <c r="X188" s="380">
        <v>15848.77</v>
      </c>
      <c r="Y188" s="380">
        <v>46352.800000000003</v>
      </c>
      <c r="Z188" s="380">
        <v>15654.09</v>
      </c>
      <c r="AA188" s="376" t="s">
        <v>826</v>
      </c>
      <c r="AB188" s="376" t="s">
        <v>827</v>
      </c>
      <c r="AC188" s="376" t="s">
        <v>828</v>
      </c>
      <c r="AD188" s="376" t="s">
        <v>170</v>
      </c>
      <c r="AE188" s="376" t="s">
        <v>805</v>
      </c>
      <c r="AF188" s="376" t="s">
        <v>355</v>
      </c>
      <c r="AG188" s="376" t="s">
        <v>178</v>
      </c>
      <c r="AH188" s="381">
        <v>44.57</v>
      </c>
      <c r="AI188" s="379">
        <v>47552</v>
      </c>
      <c r="AJ188" s="376" t="s">
        <v>179</v>
      </c>
      <c r="AK188" s="376" t="s">
        <v>180</v>
      </c>
      <c r="AL188" s="376" t="s">
        <v>181</v>
      </c>
      <c r="AM188" s="376" t="s">
        <v>182</v>
      </c>
      <c r="AN188" s="376" t="s">
        <v>68</v>
      </c>
      <c r="AO188" s="379">
        <v>80</v>
      </c>
      <c r="AP188" s="385">
        <v>1</v>
      </c>
      <c r="AQ188" s="385">
        <v>0.5</v>
      </c>
      <c r="AR188" s="383" t="s">
        <v>183</v>
      </c>
      <c r="AS188" s="387">
        <f t="shared" si="115"/>
        <v>0.5</v>
      </c>
      <c r="AT188">
        <f t="shared" si="116"/>
        <v>1</v>
      </c>
      <c r="AU188" s="387">
        <f>IF(AT188=0,"",IF(AND(AT188=1,M188="F",SUMIF(C2:C1334,C188,AS2:AS1334)&lt;=1),SUMIF(C2:C1334,C188,AS2:AS1334),IF(AND(AT188=1,M188="F",SUMIF(C2:C1334,C188,AS2:AS1334)&gt;1),1,"")))</f>
        <v>1</v>
      </c>
      <c r="AV188" s="387" t="str">
        <f>IF(AT188=0,"",IF(AND(AT188=3,M188="F",SUMIF(C2:C1334,C188,AS2:AS1334)&lt;=1),SUMIF(C2:C1334,C188,AS2:AS1334),IF(AND(AT188=3,M188="F",SUMIF(C2:C1334,C188,AS2:AS1334)&gt;1),1,"")))</f>
        <v/>
      </c>
      <c r="AW188" s="387">
        <f>SUMIF(C2:C1334,C188,O2:O1334)</f>
        <v>4</v>
      </c>
      <c r="AX188" s="387">
        <f>IF(AND(M188="F",AS188&lt;&gt;0),SUMIF(C2:C1334,C188,W2:W1334),0)</f>
        <v>92705.600000000006</v>
      </c>
      <c r="AY188" s="387">
        <f t="shared" si="117"/>
        <v>46352.800000000003</v>
      </c>
      <c r="AZ188" s="387" t="str">
        <f t="shared" si="118"/>
        <v/>
      </c>
      <c r="BA188" s="387">
        <f t="shared" si="119"/>
        <v>0</v>
      </c>
      <c r="BB188" s="387">
        <f t="shared" si="88"/>
        <v>5825</v>
      </c>
      <c r="BC188" s="387">
        <f t="shared" si="89"/>
        <v>0</v>
      </c>
      <c r="BD188" s="387">
        <f t="shared" si="90"/>
        <v>2873.8736000000004</v>
      </c>
      <c r="BE188" s="387">
        <f t="shared" si="91"/>
        <v>672.11560000000009</v>
      </c>
      <c r="BF188" s="387">
        <f t="shared" si="92"/>
        <v>5534.5243200000004</v>
      </c>
      <c r="BG188" s="387">
        <f t="shared" si="93"/>
        <v>334.20368800000006</v>
      </c>
      <c r="BH188" s="387">
        <f t="shared" si="94"/>
        <v>227.12872000000002</v>
      </c>
      <c r="BI188" s="387">
        <f t="shared" si="95"/>
        <v>256.562748</v>
      </c>
      <c r="BJ188" s="387">
        <f t="shared" si="96"/>
        <v>125.15256000000001</v>
      </c>
      <c r="BK188" s="387">
        <f t="shared" si="97"/>
        <v>0</v>
      </c>
      <c r="BL188" s="387">
        <f t="shared" si="120"/>
        <v>10023.561236000001</v>
      </c>
      <c r="BM188" s="387">
        <f t="shared" si="121"/>
        <v>0</v>
      </c>
      <c r="BN188" s="387">
        <f t="shared" si="98"/>
        <v>5825</v>
      </c>
      <c r="BO188" s="387">
        <f t="shared" si="99"/>
        <v>0</v>
      </c>
      <c r="BP188" s="387">
        <f t="shared" si="100"/>
        <v>2873.8736000000004</v>
      </c>
      <c r="BQ188" s="387">
        <f t="shared" si="101"/>
        <v>672.11560000000009</v>
      </c>
      <c r="BR188" s="387">
        <f t="shared" si="102"/>
        <v>5534.5243200000004</v>
      </c>
      <c r="BS188" s="387">
        <f t="shared" si="103"/>
        <v>334.20368800000006</v>
      </c>
      <c r="BT188" s="387">
        <f t="shared" si="104"/>
        <v>0</v>
      </c>
      <c r="BU188" s="387">
        <f t="shared" si="105"/>
        <v>256.562748</v>
      </c>
      <c r="BV188" s="387">
        <f t="shared" si="106"/>
        <v>157.59952000000001</v>
      </c>
      <c r="BW188" s="387">
        <f t="shared" si="107"/>
        <v>0</v>
      </c>
      <c r="BX188" s="387">
        <f t="shared" si="122"/>
        <v>9828.8794760000001</v>
      </c>
      <c r="BY188" s="387">
        <f t="shared" si="123"/>
        <v>0</v>
      </c>
      <c r="BZ188" s="387">
        <f t="shared" si="124"/>
        <v>0</v>
      </c>
      <c r="CA188" s="387">
        <f t="shared" si="125"/>
        <v>0</v>
      </c>
      <c r="CB188" s="387">
        <f t="shared" si="126"/>
        <v>0</v>
      </c>
      <c r="CC188" s="387">
        <f t="shared" si="108"/>
        <v>0</v>
      </c>
      <c r="CD188" s="387">
        <f t="shared" si="109"/>
        <v>0</v>
      </c>
      <c r="CE188" s="387">
        <f t="shared" si="110"/>
        <v>0</v>
      </c>
      <c r="CF188" s="387">
        <f t="shared" si="111"/>
        <v>-227.12872000000002</v>
      </c>
      <c r="CG188" s="387">
        <f t="shared" si="112"/>
        <v>0</v>
      </c>
      <c r="CH188" s="387">
        <f t="shared" si="113"/>
        <v>32.44695999999999</v>
      </c>
      <c r="CI188" s="387">
        <f t="shared" si="114"/>
        <v>0</v>
      </c>
      <c r="CJ188" s="387">
        <f t="shared" si="127"/>
        <v>-194.68176000000003</v>
      </c>
      <c r="CK188" s="387" t="str">
        <f t="shared" si="128"/>
        <v/>
      </c>
      <c r="CL188" s="387" t="str">
        <f t="shared" si="129"/>
        <v/>
      </c>
      <c r="CM188" s="387" t="str">
        <f t="shared" si="130"/>
        <v/>
      </c>
      <c r="CN188" s="387" t="str">
        <f t="shared" si="131"/>
        <v>0303-00</v>
      </c>
    </row>
    <row r="189" spans="1:92" ht="15.75" thickBot="1" x14ac:dyDescent="0.3">
      <c r="A189" s="376" t="s">
        <v>161</v>
      </c>
      <c r="B189" s="376" t="s">
        <v>162</v>
      </c>
      <c r="C189" s="376" t="s">
        <v>829</v>
      </c>
      <c r="D189" s="376" t="s">
        <v>786</v>
      </c>
      <c r="E189" s="376" t="s">
        <v>214</v>
      </c>
      <c r="F189" s="377" t="s">
        <v>166</v>
      </c>
      <c r="G189" s="376" t="s">
        <v>781</v>
      </c>
      <c r="H189" s="378"/>
      <c r="I189" s="378"/>
      <c r="J189" s="376" t="s">
        <v>215</v>
      </c>
      <c r="K189" s="376" t="s">
        <v>787</v>
      </c>
      <c r="L189" s="376" t="s">
        <v>181</v>
      </c>
      <c r="M189" s="376" t="s">
        <v>171</v>
      </c>
      <c r="N189" s="376" t="s">
        <v>172</v>
      </c>
      <c r="O189" s="379">
        <v>1</v>
      </c>
      <c r="P189" s="385">
        <v>0</v>
      </c>
      <c r="Q189" s="385">
        <v>0</v>
      </c>
      <c r="R189" s="380">
        <v>80</v>
      </c>
      <c r="S189" s="385">
        <v>0</v>
      </c>
      <c r="T189" s="380">
        <v>6898.88</v>
      </c>
      <c r="U189" s="380">
        <v>0</v>
      </c>
      <c r="V189" s="380">
        <v>2594.88</v>
      </c>
      <c r="W189" s="380">
        <v>0</v>
      </c>
      <c r="X189" s="380">
        <v>0</v>
      </c>
      <c r="Y189" s="380">
        <v>0</v>
      </c>
      <c r="Z189" s="380">
        <v>0</v>
      </c>
      <c r="AA189" s="376" t="s">
        <v>830</v>
      </c>
      <c r="AB189" s="376" t="s">
        <v>831</v>
      </c>
      <c r="AC189" s="376" t="s">
        <v>832</v>
      </c>
      <c r="AD189" s="376" t="s">
        <v>170</v>
      </c>
      <c r="AE189" s="376" t="s">
        <v>787</v>
      </c>
      <c r="AF189" s="376" t="s">
        <v>211</v>
      </c>
      <c r="AG189" s="376" t="s">
        <v>178</v>
      </c>
      <c r="AH189" s="381">
        <v>35.299999999999997</v>
      </c>
      <c r="AI189" s="381">
        <v>36143.599999999999</v>
      </c>
      <c r="AJ189" s="376" t="s">
        <v>179</v>
      </c>
      <c r="AK189" s="376" t="s">
        <v>180</v>
      </c>
      <c r="AL189" s="376" t="s">
        <v>181</v>
      </c>
      <c r="AM189" s="376" t="s">
        <v>182</v>
      </c>
      <c r="AN189" s="376" t="s">
        <v>68</v>
      </c>
      <c r="AO189" s="379">
        <v>80</v>
      </c>
      <c r="AP189" s="385">
        <v>1</v>
      </c>
      <c r="AQ189" s="385">
        <v>0</v>
      </c>
      <c r="AR189" s="383" t="s">
        <v>183</v>
      </c>
      <c r="AS189" s="387">
        <f t="shared" si="115"/>
        <v>0</v>
      </c>
      <c r="AT189">
        <f t="shared" si="116"/>
        <v>0</v>
      </c>
      <c r="AU189" s="387" t="str">
        <f>IF(AT189=0,"",IF(AND(AT189=1,M189="F",SUMIF(C2:C1334,C189,AS2:AS1334)&lt;=1),SUMIF(C2:C1334,C189,AS2:AS1334),IF(AND(AT189=1,M189="F",SUMIF(C2:C1334,C189,AS2:AS1334)&gt;1),1,"")))</f>
        <v/>
      </c>
      <c r="AV189" s="387" t="str">
        <f>IF(AT189=0,"",IF(AND(AT189=3,M189="F",SUMIF(C2:C1334,C189,AS2:AS1334)&lt;=1),SUMIF(C2:C1334,C189,AS2:AS1334),IF(AND(AT189=3,M189="F",SUMIF(C2:C1334,C189,AS2:AS1334)&gt;1),1,"")))</f>
        <v/>
      </c>
      <c r="AW189" s="387">
        <f>SUMIF(C2:C1334,C189,O2:O1334)</f>
        <v>4</v>
      </c>
      <c r="AX189" s="387">
        <f>IF(AND(M189="F",AS189&lt;&gt;0),SUMIF(C2:C1334,C189,W2:W1334),0)</f>
        <v>0</v>
      </c>
      <c r="AY189" s="387" t="str">
        <f t="shared" si="117"/>
        <v/>
      </c>
      <c r="AZ189" s="387" t="str">
        <f t="shared" si="118"/>
        <v/>
      </c>
      <c r="BA189" s="387">
        <f t="shared" si="119"/>
        <v>0</v>
      </c>
      <c r="BB189" s="387">
        <f t="shared" si="88"/>
        <v>0</v>
      </c>
      <c r="BC189" s="387">
        <f t="shared" si="89"/>
        <v>0</v>
      </c>
      <c r="BD189" s="387">
        <f t="shared" si="90"/>
        <v>0</v>
      </c>
      <c r="BE189" s="387">
        <f t="shared" si="91"/>
        <v>0</v>
      </c>
      <c r="BF189" s="387">
        <f t="shared" si="92"/>
        <v>0</v>
      </c>
      <c r="BG189" s="387">
        <f t="shared" si="93"/>
        <v>0</v>
      </c>
      <c r="BH189" s="387">
        <f t="shared" si="94"/>
        <v>0</v>
      </c>
      <c r="BI189" s="387">
        <f t="shared" si="95"/>
        <v>0</v>
      </c>
      <c r="BJ189" s="387">
        <f t="shared" si="96"/>
        <v>0</v>
      </c>
      <c r="BK189" s="387">
        <f t="shared" si="97"/>
        <v>0</v>
      </c>
      <c r="BL189" s="387">
        <f t="shared" si="120"/>
        <v>0</v>
      </c>
      <c r="BM189" s="387">
        <f t="shared" si="121"/>
        <v>0</v>
      </c>
      <c r="BN189" s="387">
        <f t="shared" si="98"/>
        <v>0</v>
      </c>
      <c r="BO189" s="387">
        <f t="shared" si="99"/>
        <v>0</v>
      </c>
      <c r="BP189" s="387">
        <f t="shared" si="100"/>
        <v>0</v>
      </c>
      <c r="BQ189" s="387">
        <f t="shared" si="101"/>
        <v>0</v>
      </c>
      <c r="BR189" s="387">
        <f t="shared" si="102"/>
        <v>0</v>
      </c>
      <c r="BS189" s="387">
        <f t="shared" si="103"/>
        <v>0</v>
      </c>
      <c r="BT189" s="387">
        <f t="shared" si="104"/>
        <v>0</v>
      </c>
      <c r="BU189" s="387">
        <f t="shared" si="105"/>
        <v>0</v>
      </c>
      <c r="BV189" s="387">
        <f t="shared" si="106"/>
        <v>0</v>
      </c>
      <c r="BW189" s="387">
        <f t="shared" si="107"/>
        <v>0</v>
      </c>
      <c r="BX189" s="387">
        <f t="shared" si="122"/>
        <v>0</v>
      </c>
      <c r="BY189" s="387">
        <f t="shared" si="123"/>
        <v>0</v>
      </c>
      <c r="BZ189" s="387">
        <f t="shared" si="124"/>
        <v>0</v>
      </c>
      <c r="CA189" s="387">
        <f t="shared" si="125"/>
        <v>0</v>
      </c>
      <c r="CB189" s="387">
        <f t="shared" si="126"/>
        <v>0</v>
      </c>
      <c r="CC189" s="387">
        <f t="shared" si="108"/>
        <v>0</v>
      </c>
      <c r="CD189" s="387">
        <f t="shared" si="109"/>
        <v>0</v>
      </c>
      <c r="CE189" s="387">
        <f t="shared" si="110"/>
        <v>0</v>
      </c>
      <c r="CF189" s="387">
        <f t="shared" si="111"/>
        <v>0</v>
      </c>
      <c r="CG189" s="387">
        <f t="shared" si="112"/>
        <v>0</v>
      </c>
      <c r="CH189" s="387">
        <f t="shared" si="113"/>
        <v>0</v>
      </c>
      <c r="CI189" s="387">
        <f t="shared" si="114"/>
        <v>0</v>
      </c>
      <c r="CJ189" s="387">
        <f t="shared" si="127"/>
        <v>0</v>
      </c>
      <c r="CK189" s="387" t="str">
        <f t="shared" si="128"/>
        <v/>
      </c>
      <c r="CL189" s="387" t="str">
        <f t="shared" si="129"/>
        <v/>
      </c>
      <c r="CM189" s="387" t="str">
        <f t="shared" si="130"/>
        <v/>
      </c>
      <c r="CN189" s="387" t="str">
        <f t="shared" si="131"/>
        <v>0303-00</v>
      </c>
    </row>
    <row r="190" spans="1:92" ht="15.75" thickBot="1" x14ac:dyDescent="0.3">
      <c r="A190" s="376" t="s">
        <v>161</v>
      </c>
      <c r="B190" s="376" t="s">
        <v>162</v>
      </c>
      <c r="C190" s="376" t="s">
        <v>833</v>
      </c>
      <c r="D190" s="376" t="s">
        <v>786</v>
      </c>
      <c r="E190" s="376" t="s">
        <v>214</v>
      </c>
      <c r="F190" s="377" t="s">
        <v>166</v>
      </c>
      <c r="G190" s="376" t="s">
        <v>781</v>
      </c>
      <c r="H190" s="378"/>
      <c r="I190" s="378"/>
      <c r="J190" s="376" t="s">
        <v>239</v>
      </c>
      <c r="K190" s="376" t="s">
        <v>787</v>
      </c>
      <c r="L190" s="376" t="s">
        <v>181</v>
      </c>
      <c r="M190" s="376" t="s">
        <v>171</v>
      </c>
      <c r="N190" s="376" t="s">
        <v>172</v>
      </c>
      <c r="O190" s="379">
        <v>1</v>
      </c>
      <c r="P190" s="385">
        <v>0</v>
      </c>
      <c r="Q190" s="385">
        <v>0</v>
      </c>
      <c r="R190" s="380">
        <v>80</v>
      </c>
      <c r="S190" s="385">
        <v>0</v>
      </c>
      <c r="T190" s="380">
        <v>6077.23</v>
      </c>
      <c r="U190" s="380">
        <v>0</v>
      </c>
      <c r="V190" s="380">
        <v>1964.74</v>
      </c>
      <c r="W190" s="380">
        <v>0</v>
      </c>
      <c r="X190" s="380">
        <v>0</v>
      </c>
      <c r="Y190" s="380">
        <v>0</v>
      </c>
      <c r="Z190" s="380">
        <v>0</v>
      </c>
      <c r="AA190" s="376" t="s">
        <v>834</v>
      </c>
      <c r="AB190" s="376" t="s">
        <v>835</v>
      </c>
      <c r="AC190" s="376" t="s">
        <v>428</v>
      </c>
      <c r="AD190" s="376" t="s">
        <v>836</v>
      </c>
      <c r="AE190" s="376" t="s">
        <v>787</v>
      </c>
      <c r="AF190" s="376" t="s">
        <v>211</v>
      </c>
      <c r="AG190" s="376" t="s">
        <v>178</v>
      </c>
      <c r="AH190" s="381">
        <v>37.979999999999997</v>
      </c>
      <c r="AI190" s="381">
        <v>27965.8</v>
      </c>
      <c r="AJ190" s="376" t="s">
        <v>179</v>
      </c>
      <c r="AK190" s="376" t="s">
        <v>180</v>
      </c>
      <c r="AL190" s="376" t="s">
        <v>181</v>
      </c>
      <c r="AM190" s="376" t="s">
        <v>182</v>
      </c>
      <c r="AN190" s="376" t="s">
        <v>68</v>
      </c>
      <c r="AO190" s="379">
        <v>80</v>
      </c>
      <c r="AP190" s="385">
        <v>1</v>
      </c>
      <c r="AQ190" s="385">
        <v>0</v>
      </c>
      <c r="AR190" s="383" t="s">
        <v>183</v>
      </c>
      <c r="AS190" s="387">
        <f t="shared" si="115"/>
        <v>0</v>
      </c>
      <c r="AT190">
        <f t="shared" si="116"/>
        <v>0</v>
      </c>
      <c r="AU190" s="387" t="str">
        <f>IF(AT190=0,"",IF(AND(AT190=1,M190="F",SUMIF(C2:C1334,C190,AS2:AS1334)&lt;=1),SUMIF(C2:C1334,C190,AS2:AS1334),IF(AND(AT190=1,M190="F",SUMIF(C2:C1334,C190,AS2:AS1334)&gt;1),1,"")))</f>
        <v/>
      </c>
      <c r="AV190" s="387" t="str">
        <f>IF(AT190=0,"",IF(AND(AT190=3,M190="F",SUMIF(C2:C1334,C190,AS2:AS1334)&lt;=1),SUMIF(C2:C1334,C190,AS2:AS1334),IF(AND(AT190=3,M190="F",SUMIF(C2:C1334,C190,AS2:AS1334)&gt;1),1,"")))</f>
        <v/>
      </c>
      <c r="AW190" s="387">
        <f>SUMIF(C2:C1334,C190,O2:O1334)</f>
        <v>4</v>
      </c>
      <c r="AX190" s="387">
        <f>IF(AND(M190="F",AS190&lt;&gt;0),SUMIF(C2:C1334,C190,W2:W1334),0)</f>
        <v>0</v>
      </c>
      <c r="AY190" s="387" t="str">
        <f t="shared" si="117"/>
        <v/>
      </c>
      <c r="AZ190" s="387" t="str">
        <f t="shared" si="118"/>
        <v/>
      </c>
      <c r="BA190" s="387">
        <f t="shared" si="119"/>
        <v>0</v>
      </c>
      <c r="BB190" s="387">
        <f t="shared" si="88"/>
        <v>0</v>
      </c>
      <c r="BC190" s="387">
        <f t="shared" si="89"/>
        <v>0</v>
      </c>
      <c r="BD190" s="387">
        <f t="shared" si="90"/>
        <v>0</v>
      </c>
      <c r="BE190" s="387">
        <f t="shared" si="91"/>
        <v>0</v>
      </c>
      <c r="BF190" s="387">
        <f t="shared" si="92"/>
        <v>0</v>
      </c>
      <c r="BG190" s="387">
        <f t="shared" si="93"/>
        <v>0</v>
      </c>
      <c r="BH190" s="387">
        <f t="shared" si="94"/>
        <v>0</v>
      </c>
      <c r="BI190" s="387">
        <f t="shared" si="95"/>
        <v>0</v>
      </c>
      <c r="BJ190" s="387">
        <f t="shared" si="96"/>
        <v>0</v>
      </c>
      <c r="BK190" s="387">
        <f t="shared" si="97"/>
        <v>0</v>
      </c>
      <c r="BL190" s="387">
        <f t="shared" si="120"/>
        <v>0</v>
      </c>
      <c r="BM190" s="387">
        <f t="shared" si="121"/>
        <v>0</v>
      </c>
      <c r="BN190" s="387">
        <f t="shared" si="98"/>
        <v>0</v>
      </c>
      <c r="BO190" s="387">
        <f t="shared" si="99"/>
        <v>0</v>
      </c>
      <c r="BP190" s="387">
        <f t="shared" si="100"/>
        <v>0</v>
      </c>
      <c r="BQ190" s="387">
        <f t="shared" si="101"/>
        <v>0</v>
      </c>
      <c r="BR190" s="387">
        <f t="shared" si="102"/>
        <v>0</v>
      </c>
      <c r="BS190" s="387">
        <f t="shared" si="103"/>
        <v>0</v>
      </c>
      <c r="BT190" s="387">
        <f t="shared" si="104"/>
        <v>0</v>
      </c>
      <c r="BU190" s="387">
        <f t="shared" si="105"/>
        <v>0</v>
      </c>
      <c r="BV190" s="387">
        <f t="shared" si="106"/>
        <v>0</v>
      </c>
      <c r="BW190" s="387">
        <f t="shared" si="107"/>
        <v>0</v>
      </c>
      <c r="BX190" s="387">
        <f t="shared" si="122"/>
        <v>0</v>
      </c>
      <c r="BY190" s="387">
        <f t="shared" si="123"/>
        <v>0</v>
      </c>
      <c r="BZ190" s="387">
        <f t="shared" si="124"/>
        <v>0</v>
      </c>
      <c r="CA190" s="387">
        <f t="shared" si="125"/>
        <v>0</v>
      </c>
      <c r="CB190" s="387">
        <f t="shared" si="126"/>
        <v>0</v>
      </c>
      <c r="CC190" s="387">
        <f t="shared" si="108"/>
        <v>0</v>
      </c>
      <c r="CD190" s="387">
        <f t="shared" si="109"/>
        <v>0</v>
      </c>
      <c r="CE190" s="387">
        <f t="shared" si="110"/>
        <v>0</v>
      </c>
      <c r="CF190" s="387">
        <f t="shared" si="111"/>
        <v>0</v>
      </c>
      <c r="CG190" s="387">
        <f t="shared" si="112"/>
        <v>0</v>
      </c>
      <c r="CH190" s="387">
        <f t="shared" si="113"/>
        <v>0</v>
      </c>
      <c r="CI190" s="387">
        <f t="shared" si="114"/>
        <v>0</v>
      </c>
      <c r="CJ190" s="387">
        <f t="shared" si="127"/>
        <v>0</v>
      </c>
      <c r="CK190" s="387" t="str">
        <f t="shared" si="128"/>
        <v/>
      </c>
      <c r="CL190" s="387" t="str">
        <f t="shared" si="129"/>
        <v/>
      </c>
      <c r="CM190" s="387" t="str">
        <f t="shared" si="130"/>
        <v/>
      </c>
      <c r="CN190" s="387" t="str">
        <f t="shared" si="131"/>
        <v>0303-00</v>
      </c>
    </row>
    <row r="191" spans="1:92" ht="15.75" thickBot="1" x14ac:dyDescent="0.3">
      <c r="A191" s="376" t="s">
        <v>161</v>
      </c>
      <c r="B191" s="376" t="s">
        <v>162</v>
      </c>
      <c r="C191" s="376" t="s">
        <v>837</v>
      </c>
      <c r="D191" s="376" t="s">
        <v>786</v>
      </c>
      <c r="E191" s="376" t="s">
        <v>214</v>
      </c>
      <c r="F191" s="377" t="s">
        <v>166</v>
      </c>
      <c r="G191" s="376" t="s">
        <v>781</v>
      </c>
      <c r="H191" s="378"/>
      <c r="I191" s="378"/>
      <c r="J191" s="376" t="s">
        <v>239</v>
      </c>
      <c r="K191" s="376" t="s">
        <v>787</v>
      </c>
      <c r="L191" s="376" t="s">
        <v>181</v>
      </c>
      <c r="M191" s="376" t="s">
        <v>171</v>
      </c>
      <c r="N191" s="376" t="s">
        <v>172</v>
      </c>
      <c r="O191" s="379">
        <v>1</v>
      </c>
      <c r="P191" s="385">
        <v>0</v>
      </c>
      <c r="Q191" s="385">
        <v>0</v>
      </c>
      <c r="R191" s="380">
        <v>80</v>
      </c>
      <c r="S191" s="385">
        <v>0</v>
      </c>
      <c r="T191" s="380">
        <v>382.89</v>
      </c>
      <c r="U191" s="380">
        <v>0</v>
      </c>
      <c r="V191" s="380">
        <v>161.25</v>
      </c>
      <c r="W191" s="380">
        <v>0</v>
      </c>
      <c r="X191" s="380">
        <v>0</v>
      </c>
      <c r="Y191" s="380">
        <v>0</v>
      </c>
      <c r="Z191" s="380">
        <v>0</v>
      </c>
      <c r="AA191" s="376" t="s">
        <v>838</v>
      </c>
      <c r="AB191" s="376" t="s">
        <v>839</v>
      </c>
      <c r="AC191" s="376" t="s">
        <v>840</v>
      </c>
      <c r="AD191" s="376" t="s">
        <v>198</v>
      </c>
      <c r="AE191" s="376" t="s">
        <v>787</v>
      </c>
      <c r="AF191" s="376" t="s">
        <v>211</v>
      </c>
      <c r="AG191" s="376" t="s">
        <v>178</v>
      </c>
      <c r="AH191" s="381">
        <v>29.42</v>
      </c>
      <c r="AI191" s="379">
        <v>45062</v>
      </c>
      <c r="AJ191" s="376" t="s">
        <v>179</v>
      </c>
      <c r="AK191" s="376" t="s">
        <v>180</v>
      </c>
      <c r="AL191" s="376" t="s">
        <v>181</v>
      </c>
      <c r="AM191" s="376" t="s">
        <v>182</v>
      </c>
      <c r="AN191" s="376" t="s">
        <v>68</v>
      </c>
      <c r="AO191" s="379">
        <v>80</v>
      </c>
      <c r="AP191" s="385">
        <v>1</v>
      </c>
      <c r="AQ191" s="385">
        <v>0</v>
      </c>
      <c r="AR191" s="383" t="s">
        <v>183</v>
      </c>
      <c r="AS191" s="387">
        <f t="shared" si="115"/>
        <v>0</v>
      </c>
      <c r="AT191">
        <f t="shared" si="116"/>
        <v>0</v>
      </c>
      <c r="AU191" s="387" t="str">
        <f>IF(AT191=0,"",IF(AND(AT191=1,M191="F",SUMIF(C2:C1334,C191,AS2:AS1334)&lt;=1),SUMIF(C2:C1334,C191,AS2:AS1334),IF(AND(AT191=1,M191="F",SUMIF(C2:C1334,C191,AS2:AS1334)&gt;1),1,"")))</f>
        <v/>
      </c>
      <c r="AV191" s="387" t="str">
        <f>IF(AT191=0,"",IF(AND(AT191=3,M191="F",SUMIF(C2:C1334,C191,AS2:AS1334)&lt;=1),SUMIF(C2:C1334,C191,AS2:AS1334),IF(AND(AT191=3,M191="F",SUMIF(C2:C1334,C191,AS2:AS1334)&gt;1),1,"")))</f>
        <v/>
      </c>
      <c r="AW191" s="387">
        <f>SUMIF(C2:C1334,C191,O2:O1334)</f>
        <v>4</v>
      </c>
      <c r="AX191" s="387">
        <f>IF(AND(M191="F",AS191&lt;&gt;0),SUMIF(C2:C1334,C191,W2:W1334),0)</f>
        <v>0</v>
      </c>
      <c r="AY191" s="387" t="str">
        <f t="shared" si="117"/>
        <v/>
      </c>
      <c r="AZ191" s="387" t="str">
        <f t="shared" si="118"/>
        <v/>
      </c>
      <c r="BA191" s="387">
        <f t="shared" si="119"/>
        <v>0</v>
      </c>
      <c r="BB191" s="387">
        <f t="shared" si="88"/>
        <v>0</v>
      </c>
      <c r="BC191" s="387">
        <f t="shared" si="89"/>
        <v>0</v>
      </c>
      <c r="BD191" s="387">
        <f t="shared" si="90"/>
        <v>0</v>
      </c>
      <c r="BE191" s="387">
        <f t="shared" si="91"/>
        <v>0</v>
      </c>
      <c r="BF191" s="387">
        <f t="shared" si="92"/>
        <v>0</v>
      </c>
      <c r="BG191" s="387">
        <f t="shared" si="93"/>
        <v>0</v>
      </c>
      <c r="BH191" s="387">
        <f t="shared" si="94"/>
        <v>0</v>
      </c>
      <c r="BI191" s="387">
        <f t="shared" si="95"/>
        <v>0</v>
      </c>
      <c r="BJ191" s="387">
        <f t="shared" si="96"/>
        <v>0</v>
      </c>
      <c r="BK191" s="387">
        <f t="shared" si="97"/>
        <v>0</v>
      </c>
      <c r="BL191" s="387">
        <f t="shared" si="120"/>
        <v>0</v>
      </c>
      <c r="BM191" s="387">
        <f t="shared" si="121"/>
        <v>0</v>
      </c>
      <c r="BN191" s="387">
        <f t="shared" si="98"/>
        <v>0</v>
      </c>
      <c r="BO191" s="387">
        <f t="shared" si="99"/>
        <v>0</v>
      </c>
      <c r="BP191" s="387">
        <f t="shared" si="100"/>
        <v>0</v>
      </c>
      <c r="BQ191" s="387">
        <f t="shared" si="101"/>
        <v>0</v>
      </c>
      <c r="BR191" s="387">
        <f t="shared" si="102"/>
        <v>0</v>
      </c>
      <c r="BS191" s="387">
        <f t="shared" si="103"/>
        <v>0</v>
      </c>
      <c r="BT191" s="387">
        <f t="shared" si="104"/>
        <v>0</v>
      </c>
      <c r="BU191" s="387">
        <f t="shared" si="105"/>
        <v>0</v>
      </c>
      <c r="BV191" s="387">
        <f t="shared" si="106"/>
        <v>0</v>
      </c>
      <c r="BW191" s="387">
        <f t="shared" si="107"/>
        <v>0</v>
      </c>
      <c r="BX191" s="387">
        <f t="shared" si="122"/>
        <v>0</v>
      </c>
      <c r="BY191" s="387">
        <f t="shared" si="123"/>
        <v>0</v>
      </c>
      <c r="BZ191" s="387">
        <f t="shared" si="124"/>
        <v>0</v>
      </c>
      <c r="CA191" s="387">
        <f t="shared" si="125"/>
        <v>0</v>
      </c>
      <c r="CB191" s="387">
        <f t="shared" si="126"/>
        <v>0</v>
      </c>
      <c r="CC191" s="387">
        <f t="shared" si="108"/>
        <v>0</v>
      </c>
      <c r="CD191" s="387">
        <f t="shared" si="109"/>
        <v>0</v>
      </c>
      <c r="CE191" s="387">
        <f t="shared" si="110"/>
        <v>0</v>
      </c>
      <c r="CF191" s="387">
        <f t="shared" si="111"/>
        <v>0</v>
      </c>
      <c r="CG191" s="387">
        <f t="shared" si="112"/>
        <v>0</v>
      </c>
      <c r="CH191" s="387">
        <f t="shared" si="113"/>
        <v>0</v>
      </c>
      <c r="CI191" s="387">
        <f t="shared" si="114"/>
        <v>0</v>
      </c>
      <c r="CJ191" s="387">
        <f t="shared" si="127"/>
        <v>0</v>
      </c>
      <c r="CK191" s="387" t="str">
        <f t="shared" si="128"/>
        <v/>
      </c>
      <c r="CL191" s="387" t="str">
        <f t="shared" si="129"/>
        <v/>
      </c>
      <c r="CM191" s="387" t="str">
        <f t="shared" si="130"/>
        <v/>
      </c>
      <c r="CN191" s="387" t="str">
        <f t="shared" si="131"/>
        <v>0303-00</v>
      </c>
    </row>
    <row r="192" spans="1:92" ht="15.75" thickBot="1" x14ac:dyDescent="0.3">
      <c r="A192" s="376" t="s">
        <v>161</v>
      </c>
      <c r="B192" s="376" t="s">
        <v>162</v>
      </c>
      <c r="C192" s="376" t="s">
        <v>841</v>
      </c>
      <c r="D192" s="376" t="s">
        <v>792</v>
      </c>
      <c r="E192" s="376" t="s">
        <v>214</v>
      </c>
      <c r="F192" s="377" t="s">
        <v>166</v>
      </c>
      <c r="G192" s="376" t="s">
        <v>781</v>
      </c>
      <c r="H192" s="378"/>
      <c r="I192" s="378"/>
      <c r="J192" s="376" t="s">
        <v>239</v>
      </c>
      <c r="K192" s="376" t="s">
        <v>793</v>
      </c>
      <c r="L192" s="376" t="s">
        <v>170</v>
      </c>
      <c r="M192" s="376" t="s">
        <v>171</v>
      </c>
      <c r="N192" s="376" t="s">
        <v>172</v>
      </c>
      <c r="O192" s="379">
        <v>1</v>
      </c>
      <c r="P192" s="385">
        <v>0</v>
      </c>
      <c r="Q192" s="385">
        <v>0</v>
      </c>
      <c r="R192" s="380">
        <v>80</v>
      </c>
      <c r="S192" s="385">
        <v>0</v>
      </c>
      <c r="T192" s="380">
        <v>14682.11</v>
      </c>
      <c r="U192" s="380">
        <v>0</v>
      </c>
      <c r="V192" s="380">
        <v>6579.88</v>
      </c>
      <c r="W192" s="380">
        <v>0</v>
      </c>
      <c r="X192" s="380">
        <v>0</v>
      </c>
      <c r="Y192" s="380">
        <v>0</v>
      </c>
      <c r="Z192" s="380">
        <v>0</v>
      </c>
      <c r="AA192" s="376" t="s">
        <v>842</v>
      </c>
      <c r="AB192" s="376" t="s">
        <v>843</v>
      </c>
      <c r="AC192" s="376" t="s">
        <v>236</v>
      </c>
      <c r="AD192" s="376" t="s">
        <v>324</v>
      </c>
      <c r="AE192" s="376" t="s">
        <v>793</v>
      </c>
      <c r="AF192" s="376" t="s">
        <v>177</v>
      </c>
      <c r="AG192" s="376" t="s">
        <v>178</v>
      </c>
      <c r="AH192" s="381">
        <v>23.57</v>
      </c>
      <c r="AI192" s="381">
        <v>17414.5</v>
      </c>
      <c r="AJ192" s="376" t="s">
        <v>179</v>
      </c>
      <c r="AK192" s="376" t="s">
        <v>180</v>
      </c>
      <c r="AL192" s="376" t="s">
        <v>181</v>
      </c>
      <c r="AM192" s="376" t="s">
        <v>182</v>
      </c>
      <c r="AN192" s="376" t="s">
        <v>68</v>
      </c>
      <c r="AO192" s="379">
        <v>80</v>
      </c>
      <c r="AP192" s="385">
        <v>1</v>
      </c>
      <c r="AQ192" s="385">
        <v>0</v>
      </c>
      <c r="AR192" s="383" t="s">
        <v>183</v>
      </c>
      <c r="AS192" s="387">
        <f t="shared" si="115"/>
        <v>0</v>
      </c>
      <c r="AT192">
        <f t="shared" si="116"/>
        <v>0</v>
      </c>
      <c r="AU192" s="387" t="str">
        <f>IF(AT192=0,"",IF(AND(AT192=1,M192="F",SUMIF(C2:C1334,C192,AS2:AS1334)&lt;=1),SUMIF(C2:C1334,C192,AS2:AS1334),IF(AND(AT192=1,M192="F",SUMIF(C2:C1334,C192,AS2:AS1334)&gt;1),1,"")))</f>
        <v/>
      </c>
      <c r="AV192" s="387" t="str">
        <f>IF(AT192=0,"",IF(AND(AT192=3,M192="F",SUMIF(C2:C1334,C192,AS2:AS1334)&lt;=1),SUMIF(C2:C1334,C192,AS2:AS1334),IF(AND(AT192=3,M192="F",SUMIF(C2:C1334,C192,AS2:AS1334)&gt;1),1,"")))</f>
        <v/>
      </c>
      <c r="AW192" s="387">
        <f>SUMIF(C2:C1334,C192,O2:O1334)</f>
        <v>4</v>
      </c>
      <c r="AX192" s="387">
        <f>IF(AND(M192="F",AS192&lt;&gt;0),SUMIF(C2:C1334,C192,W2:W1334),0)</f>
        <v>0</v>
      </c>
      <c r="AY192" s="387" t="str">
        <f t="shared" si="117"/>
        <v/>
      </c>
      <c r="AZ192" s="387" t="str">
        <f t="shared" si="118"/>
        <v/>
      </c>
      <c r="BA192" s="387">
        <f t="shared" si="119"/>
        <v>0</v>
      </c>
      <c r="BB192" s="387">
        <f t="shared" si="88"/>
        <v>0</v>
      </c>
      <c r="BC192" s="387">
        <f t="shared" si="89"/>
        <v>0</v>
      </c>
      <c r="BD192" s="387">
        <f t="shared" si="90"/>
        <v>0</v>
      </c>
      <c r="BE192" s="387">
        <f t="shared" si="91"/>
        <v>0</v>
      </c>
      <c r="BF192" s="387">
        <f t="shared" si="92"/>
        <v>0</v>
      </c>
      <c r="BG192" s="387">
        <f t="shared" si="93"/>
        <v>0</v>
      </c>
      <c r="BH192" s="387">
        <f t="shared" si="94"/>
        <v>0</v>
      </c>
      <c r="BI192" s="387">
        <f t="shared" si="95"/>
        <v>0</v>
      </c>
      <c r="BJ192" s="387">
        <f t="shared" si="96"/>
        <v>0</v>
      </c>
      <c r="BK192" s="387">
        <f t="shared" si="97"/>
        <v>0</v>
      </c>
      <c r="BL192" s="387">
        <f t="shared" si="120"/>
        <v>0</v>
      </c>
      <c r="BM192" s="387">
        <f t="shared" si="121"/>
        <v>0</v>
      </c>
      <c r="BN192" s="387">
        <f t="shared" si="98"/>
        <v>0</v>
      </c>
      <c r="BO192" s="387">
        <f t="shared" si="99"/>
        <v>0</v>
      </c>
      <c r="BP192" s="387">
        <f t="shared" si="100"/>
        <v>0</v>
      </c>
      <c r="BQ192" s="387">
        <f t="shared" si="101"/>
        <v>0</v>
      </c>
      <c r="BR192" s="387">
        <f t="shared" si="102"/>
        <v>0</v>
      </c>
      <c r="BS192" s="387">
        <f t="shared" si="103"/>
        <v>0</v>
      </c>
      <c r="BT192" s="387">
        <f t="shared" si="104"/>
        <v>0</v>
      </c>
      <c r="BU192" s="387">
        <f t="shared" si="105"/>
        <v>0</v>
      </c>
      <c r="BV192" s="387">
        <f t="shared" si="106"/>
        <v>0</v>
      </c>
      <c r="BW192" s="387">
        <f t="shared" si="107"/>
        <v>0</v>
      </c>
      <c r="BX192" s="387">
        <f t="shared" si="122"/>
        <v>0</v>
      </c>
      <c r="BY192" s="387">
        <f t="shared" si="123"/>
        <v>0</v>
      </c>
      <c r="BZ192" s="387">
        <f t="shared" si="124"/>
        <v>0</v>
      </c>
      <c r="CA192" s="387">
        <f t="shared" si="125"/>
        <v>0</v>
      </c>
      <c r="CB192" s="387">
        <f t="shared" si="126"/>
        <v>0</v>
      </c>
      <c r="CC192" s="387">
        <f t="shared" si="108"/>
        <v>0</v>
      </c>
      <c r="CD192" s="387">
        <f t="shared" si="109"/>
        <v>0</v>
      </c>
      <c r="CE192" s="387">
        <f t="shared" si="110"/>
        <v>0</v>
      </c>
      <c r="CF192" s="387">
        <f t="shared" si="111"/>
        <v>0</v>
      </c>
      <c r="CG192" s="387">
        <f t="shared" si="112"/>
        <v>0</v>
      </c>
      <c r="CH192" s="387">
        <f t="shared" si="113"/>
        <v>0</v>
      </c>
      <c r="CI192" s="387">
        <f t="shared" si="114"/>
        <v>0</v>
      </c>
      <c r="CJ192" s="387">
        <f t="shared" si="127"/>
        <v>0</v>
      </c>
      <c r="CK192" s="387" t="str">
        <f t="shared" si="128"/>
        <v/>
      </c>
      <c r="CL192" s="387" t="str">
        <f t="shared" si="129"/>
        <v/>
      </c>
      <c r="CM192" s="387" t="str">
        <f t="shared" si="130"/>
        <v/>
      </c>
      <c r="CN192" s="387" t="str">
        <f t="shared" si="131"/>
        <v>0303-00</v>
      </c>
    </row>
    <row r="193" spans="1:92" ht="15.75" thickBot="1" x14ac:dyDescent="0.3">
      <c r="A193" s="376" t="s">
        <v>161</v>
      </c>
      <c r="B193" s="376" t="s">
        <v>162</v>
      </c>
      <c r="C193" s="376" t="s">
        <v>844</v>
      </c>
      <c r="D193" s="376" t="s">
        <v>786</v>
      </c>
      <c r="E193" s="376" t="s">
        <v>214</v>
      </c>
      <c r="F193" s="377" t="s">
        <v>166</v>
      </c>
      <c r="G193" s="376" t="s">
        <v>781</v>
      </c>
      <c r="H193" s="378"/>
      <c r="I193" s="378"/>
      <c r="J193" s="376" t="s">
        <v>239</v>
      </c>
      <c r="K193" s="376" t="s">
        <v>787</v>
      </c>
      <c r="L193" s="376" t="s">
        <v>181</v>
      </c>
      <c r="M193" s="376" t="s">
        <v>171</v>
      </c>
      <c r="N193" s="376" t="s">
        <v>172</v>
      </c>
      <c r="O193" s="379">
        <v>1</v>
      </c>
      <c r="P193" s="385">
        <v>0</v>
      </c>
      <c r="Q193" s="385">
        <v>0</v>
      </c>
      <c r="R193" s="380">
        <v>80</v>
      </c>
      <c r="S193" s="385">
        <v>0</v>
      </c>
      <c r="T193" s="380">
        <v>1441.36</v>
      </c>
      <c r="U193" s="380">
        <v>0</v>
      </c>
      <c r="V193" s="380">
        <v>583.53</v>
      </c>
      <c r="W193" s="380">
        <v>0</v>
      </c>
      <c r="X193" s="380">
        <v>0</v>
      </c>
      <c r="Y193" s="380">
        <v>0</v>
      </c>
      <c r="Z193" s="380">
        <v>0</v>
      </c>
      <c r="AA193" s="376" t="s">
        <v>845</v>
      </c>
      <c r="AB193" s="376" t="s">
        <v>846</v>
      </c>
      <c r="AC193" s="376" t="s">
        <v>847</v>
      </c>
      <c r="AD193" s="376" t="s">
        <v>178</v>
      </c>
      <c r="AE193" s="376" t="s">
        <v>787</v>
      </c>
      <c r="AF193" s="376" t="s">
        <v>211</v>
      </c>
      <c r="AG193" s="376" t="s">
        <v>178</v>
      </c>
      <c r="AH193" s="381">
        <v>36.450000000000003</v>
      </c>
      <c r="AI193" s="379">
        <v>51107</v>
      </c>
      <c r="AJ193" s="376" t="s">
        <v>179</v>
      </c>
      <c r="AK193" s="376" t="s">
        <v>180</v>
      </c>
      <c r="AL193" s="376" t="s">
        <v>181</v>
      </c>
      <c r="AM193" s="376" t="s">
        <v>182</v>
      </c>
      <c r="AN193" s="376" t="s">
        <v>68</v>
      </c>
      <c r="AO193" s="379">
        <v>80</v>
      </c>
      <c r="AP193" s="385">
        <v>1</v>
      </c>
      <c r="AQ193" s="385">
        <v>0</v>
      </c>
      <c r="AR193" s="383" t="s">
        <v>183</v>
      </c>
      <c r="AS193" s="387">
        <f t="shared" si="115"/>
        <v>0</v>
      </c>
      <c r="AT193">
        <f t="shared" si="116"/>
        <v>0</v>
      </c>
      <c r="AU193" s="387" t="str">
        <f>IF(AT193=0,"",IF(AND(AT193=1,M193="F",SUMIF(C2:C1334,C193,AS2:AS1334)&lt;=1),SUMIF(C2:C1334,C193,AS2:AS1334),IF(AND(AT193=1,M193="F",SUMIF(C2:C1334,C193,AS2:AS1334)&gt;1),1,"")))</f>
        <v/>
      </c>
      <c r="AV193" s="387" t="str">
        <f>IF(AT193=0,"",IF(AND(AT193=3,M193="F",SUMIF(C2:C1334,C193,AS2:AS1334)&lt;=1),SUMIF(C2:C1334,C193,AS2:AS1334),IF(AND(AT193=3,M193="F",SUMIF(C2:C1334,C193,AS2:AS1334)&gt;1),1,"")))</f>
        <v/>
      </c>
      <c r="AW193" s="387">
        <f>SUMIF(C2:C1334,C193,O2:O1334)</f>
        <v>4</v>
      </c>
      <c r="AX193" s="387">
        <f>IF(AND(M193="F",AS193&lt;&gt;0),SUMIF(C2:C1334,C193,W2:W1334),0)</f>
        <v>0</v>
      </c>
      <c r="AY193" s="387" t="str">
        <f t="shared" si="117"/>
        <v/>
      </c>
      <c r="AZ193" s="387" t="str">
        <f t="shared" si="118"/>
        <v/>
      </c>
      <c r="BA193" s="387">
        <f t="shared" si="119"/>
        <v>0</v>
      </c>
      <c r="BB193" s="387">
        <f t="shared" si="88"/>
        <v>0</v>
      </c>
      <c r="BC193" s="387">
        <f t="shared" si="89"/>
        <v>0</v>
      </c>
      <c r="BD193" s="387">
        <f t="shared" si="90"/>
        <v>0</v>
      </c>
      <c r="BE193" s="387">
        <f t="shared" si="91"/>
        <v>0</v>
      </c>
      <c r="BF193" s="387">
        <f t="shared" si="92"/>
        <v>0</v>
      </c>
      <c r="BG193" s="387">
        <f t="shared" si="93"/>
        <v>0</v>
      </c>
      <c r="BH193" s="387">
        <f t="shared" si="94"/>
        <v>0</v>
      </c>
      <c r="BI193" s="387">
        <f t="shared" si="95"/>
        <v>0</v>
      </c>
      <c r="BJ193" s="387">
        <f t="shared" si="96"/>
        <v>0</v>
      </c>
      <c r="BK193" s="387">
        <f t="shared" si="97"/>
        <v>0</v>
      </c>
      <c r="BL193" s="387">
        <f t="shared" si="120"/>
        <v>0</v>
      </c>
      <c r="BM193" s="387">
        <f t="shared" si="121"/>
        <v>0</v>
      </c>
      <c r="BN193" s="387">
        <f t="shared" si="98"/>
        <v>0</v>
      </c>
      <c r="BO193" s="387">
        <f t="shared" si="99"/>
        <v>0</v>
      </c>
      <c r="BP193" s="387">
        <f t="shared" si="100"/>
        <v>0</v>
      </c>
      <c r="BQ193" s="387">
        <f t="shared" si="101"/>
        <v>0</v>
      </c>
      <c r="BR193" s="387">
        <f t="shared" si="102"/>
        <v>0</v>
      </c>
      <c r="BS193" s="387">
        <f t="shared" si="103"/>
        <v>0</v>
      </c>
      <c r="BT193" s="387">
        <f t="shared" si="104"/>
        <v>0</v>
      </c>
      <c r="BU193" s="387">
        <f t="shared" si="105"/>
        <v>0</v>
      </c>
      <c r="BV193" s="387">
        <f t="shared" si="106"/>
        <v>0</v>
      </c>
      <c r="BW193" s="387">
        <f t="shared" si="107"/>
        <v>0</v>
      </c>
      <c r="BX193" s="387">
        <f t="shared" si="122"/>
        <v>0</v>
      </c>
      <c r="BY193" s="387">
        <f t="shared" si="123"/>
        <v>0</v>
      </c>
      <c r="BZ193" s="387">
        <f t="shared" si="124"/>
        <v>0</v>
      </c>
      <c r="CA193" s="387">
        <f t="shared" si="125"/>
        <v>0</v>
      </c>
      <c r="CB193" s="387">
        <f t="shared" si="126"/>
        <v>0</v>
      </c>
      <c r="CC193" s="387">
        <f t="shared" si="108"/>
        <v>0</v>
      </c>
      <c r="CD193" s="387">
        <f t="shared" si="109"/>
        <v>0</v>
      </c>
      <c r="CE193" s="387">
        <f t="shared" si="110"/>
        <v>0</v>
      </c>
      <c r="CF193" s="387">
        <f t="shared" si="111"/>
        <v>0</v>
      </c>
      <c r="CG193" s="387">
        <f t="shared" si="112"/>
        <v>0</v>
      </c>
      <c r="CH193" s="387">
        <f t="shared" si="113"/>
        <v>0</v>
      </c>
      <c r="CI193" s="387">
        <f t="shared" si="114"/>
        <v>0</v>
      </c>
      <c r="CJ193" s="387">
        <f t="shared" si="127"/>
        <v>0</v>
      </c>
      <c r="CK193" s="387" t="str">
        <f t="shared" si="128"/>
        <v/>
      </c>
      <c r="CL193" s="387" t="str">
        <f t="shared" si="129"/>
        <v/>
      </c>
      <c r="CM193" s="387" t="str">
        <f t="shared" si="130"/>
        <v/>
      </c>
      <c r="CN193" s="387" t="str">
        <f t="shared" si="131"/>
        <v>0303-00</v>
      </c>
    </row>
    <row r="194" spans="1:92" ht="15.75" thickBot="1" x14ac:dyDescent="0.3">
      <c r="A194" s="376" t="s">
        <v>161</v>
      </c>
      <c r="B194" s="376" t="s">
        <v>162</v>
      </c>
      <c r="C194" s="376" t="s">
        <v>848</v>
      </c>
      <c r="D194" s="376" t="s">
        <v>792</v>
      </c>
      <c r="E194" s="376" t="s">
        <v>214</v>
      </c>
      <c r="F194" s="377" t="s">
        <v>166</v>
      </c>
      <c r="G194" s="376" t="s">
        <v>781</v>
      </c>
      <c r="H194" s="378"/>
      <c r="I194" s="378"/>
      <c r="J194" s="376" t="s">
        <v>168</v>
      </c>
      <c r="K194" s="376" t="s">
        <v>793</v>
      </c>
      <c r="L194" s="376" t="s">
        <v>170</v>
      </c>
      <c r="M194" s="376" t="s">
        <v>171</v>
      </c>
      <c r="N194" s="376" t="s">
        <v>172</v>
      </c>
      <c r="O194" s="379">
        <v>1</v>
      </c>
      <c r="P194" s="385">
        <v>0</v>
      </c>
      <c r="Q194" s="385">
        <v>0</v>
      </c>
      <c r="R194" s="380">
        <v>80</v>
      </c>
      <c r="S194" s="385">
        <v>0</v>
      </c>
      <c r="T194" s="380">
        <v>3934.32</v>
      </c>
      <c r="U194" s="380">
        <v>0</v>
      </c>
      <c r="V194" s="380">
        <v>1849.62</v>
      </c>
      <c r="W194" s="380">
        <v>0</v>
      </c>
      <c r="X194" s="380">
        <v>0</v>
      </c>
      <c r="Y194" s="380">
        <v>0</v>
      </c>
      <c r="Z194" s="380">
        <v>0</v>
      </c>
      <c r="AA194" s="376" t="s">
        <v>849</v>
      </c>
      <c r="AB194" s="376" t="s">
        <v>850</v>
      </c>
      <c r="AC194" s="376" t="s">
        <v>851</v>
      </c>
      <c r="AD194" s="376" t="s">
        <v>279</v>
      </c>
      <c r="AE194" s="376" t="s">
        <v>793</v>
      </c>
      <c r="AF194" s="376" t="s">
        <v>177</v>
      </c>
      <c r="AG194" s="376" t="s">
        <v>178</v>
      </c>
      <c r="AH194" s="381">
        <v>23.24</v>
      </c>
      <c r="AI194" s="381">
        <v>19019.400000000001</v>
      </c>
      <c r="AJ194" s="376" t="s">
        <v>179</v>
      </c>
      <c r="AK194" s="376" t="s">
        <v>180</v>
      </c>
      <c r="AL194" s="376" t="s">
        <v>181</v>
      </c>
      <c r="AM194" s="376" t="s">
        <v>182</v>
      </c>
      <c r="AN194" s="376" t="s">
        <v>68</v>
      </c>
      <c r="AO194" s="379">
        <v>80</v>
      </c>
      <c r="AP194" s="385">
        <v>1</v>
      </c>
      <c r="AQ194" s="385">
        <v>0</v>
      </c>
      <c r="AR194" s="383" t="s">
        <v>183</v>
      </c>
      <c r="AS194" s="387">
        <f t="shared" si="115"/>
        <v>0</v>
      </c>
      <c r="AT194">
        <f t="shared" si="116"/>
        <v>0</v>
      </c>
      <c r="AU194" s="387" t="str">
        <f>IF(AT194=0,"",IF(AND(AT194=1,M194="F",SUMIF(C2:C1334,C194,AS2:AS1334)&lt;=1),SUMIF(C2:C1334,C194,AS2:AS1334),IF(AND(AT194=1,M194="F",SUMIF(C2:C1334,C194,AS2:AS1334)&gt;1),1,"")))</f>
        <v/>
      </c>
      <c r="AV194" s="387" t="str">
        <f>IF(AT194=0,"",IF(AND(AT194=3,M194="F",SUMIF(C2:C1334,C194,AS2:AS1334)&lt;=1),SUMIF(C2:C1334,C194,AS2:AS1334),IF(AND(AT194=3,M194="F",SUMIF(C2:C1334,C194,AS2:AS1334)&gt;1),1,"")))</f>
        <v/>
      </c>
      <c r="AW194" s="387">
        <f>SUMIF(C2:C1334,C194,O2:O1334)</f>
        <v>4</v>
      </c>
      <c r="AX194" s="387">
        <f>IF(AND(M194="F",AS194&lt;&gt;0),SUMIF(C2:C1334,C194,W2:W1334),0)</f>
        <v>0</v>
      </c>
      <c r="AY194" s="387" t="str">
        <f t="shared" si="117"/>
        <v/>
      </c>
      <c r="AZ194" s="387" t="str">
        <f t="shared" si="118"/>
        <v/>
      </c>
      <c r="BA194" s="387">
        <f t="shared" si="119"/>
        <v>0</v>
      </c>
      <c r="BB194" s="387">
        <f t="shared" ref="BB194:BB257" si="132">IF(AND(AT194=1,AK194="E",AU194&gt;=0.75,AW194=1),Health,IF(AND(AT194=1,AK194="E",AU194&gt;=0.75),Health*P194,IF(AND(AT194=1,AK194="E",AU194&gt;=0.5,AW194=1),PTHealth,IF(AND(AT194=1,AK194="E",AU194&gt;=0.5),PTHealth*P194,0))))</f>
        <v>0</v>
      </c>
      <c r="BC194" s="387">
        <f t="shared" ref="BC194:BC257" si="133">IF(AND(AT194=3,AK194="E",AV194&gt;=0.75,AW194=1),Health,IF(AND(AT194=3,AK194="E",AV194&gt;=0.75),Health*P194,IF(AND(AT194=3,AK194="E",AV194&gt;=0.5,AW194=1),PTHealth,IF(AND(AT194=3,AK194="E",AV194&gt;=0.5),PTHealth*P194,0))))</f>
        <v>0</v>
      </c>
      <c r="BD194" s="387">
        <f t="shared" ref="BD194:BD257" si="134">IF(AND(AT194&lt;&gt;0,AX194&gt;=MAXSSDI),SSDI*MAXSSDI*P194,IF(AT194&lt;&gt;0,SSDI*W194,0))</f>
        <v>0</v>
      </c>
      <c r="BE194" s="387">
        <f t="shared" ref="BE194:BE257" si="135">IF(AT194&lt;&gt;0,SSHI*W194,0)</f>
        <v>0</v>
      </c>
      <c r="BF194" s="387">
        <f t="shared" ref="BF194:BF257" si="136">IF(AND(AT194&lt;&gt;0,AN194&lt;&gt;"NE"),VLOOKUP(AN194,Retirement_Rates,3,FALSE)*W194,0)</f>
        <v>0</v>
      </c>
      <c r="BG194" s="387">
        <f t="shared" ref="BG194:BG257" si="137">IF(AND(AT194&lt;&gt;0,AJ194&lt;&gt;"PF"),Life*W194,0)</f>
        <v>0</v>
      </c>
      <c r="BH194" s="387">
        <f t="shared" ref="BH194:BH257" si="138">IF(AND(AT194&lt;&gt;0,AM194="Y"),UI*W194,0)</f>
        <v>0</v>
      </c>
      <c r="BI194" s="387">
        <f t="shared" ref="BI194:BI257" si="139">IF(AND(AT194&lt;&gt;0,N194&lt;&gt;"NR"),DHR*W194,0)</f>
        <v>0</v>
      </c>
      <c r="BJ194" s="387">
        <f t="shared" ref="BJ194:BJ257" si="140">IF(AT194&lt;&gt;0,WC*W194,0)</f>
        <v>0</v>
      </c>
      <c r="BK194" s="387">
        <f t="shared" ref="BK194:BK257" si="141">IF(OR(AND(AT194&lt;&gt;0,AJ194&lt;&gt;"PF",AN194&lt;&gt;"NE",AG194&lt;&gt;"A"),AND(AL194="E",OR(AT194=1,AT194=3))),Sick*W194,0)</f>
        <v>0</v>
      </c>
      <c r="BL194" s="387">
        <f t="shared" si="120"/>
        <v>0</v>
      </c>
      <c r="BM194" s="387">
        <f t="shared" si="121"/>
        <v>0</v>
      </c>
      <c r="BN194" s="387">
        <f t="shared" ref="BN194:BN257" si="142">IF(AND(AT194=1,AK194="E",AU194&gt;=0.75,AW194=1),HealthBY,IF(AND(AT194=1,AK194="E",AU194&gt;=0.75),HealthBY*P194,IF(AND(AT194=1,AK194="E",AU194&gt;=0.5,AW194=1),PTHealthBY,IF(AND(AT194=1,AK194="E",AU194&gt;=0.5),PTHealthBY*P194,0))))</f>
        <v>0</v>
      </c>
      <c r="BO194" s="387">
        <f t="shared" ref="BO194:BO257" si="143">IF(AND(AT194=3,AK194="E",AV194&gt;=0.75,AW194=1),HealthBY,IF(AND(AT194=3,AK194="E",AV194&gt;=0.75),HealthBY*P194,IF(AND(AT194=3,AK194="E",AV194&gt;=0.5,AW194=1),PTHealthBY,IF(AND(AT194=3,AK194="E",AV194&gt;=0.5),PTHealthBY*P194,0))))</f>
        <v>0</v>
      </c>
      <c r="BP194" s="387">
        <f t="shared" ref="BP194:BP257" si="144">IF(AND(AT194&lt;&gt;0,(AX194+BA194)&gt;=MAXSSDIBY),SSDIBY*MAXSSDIBY*P194,IF(AT194&lt;&gt;0,SSDIBY*W194,0))</f>
        <v>0</v>
      </c>
      <c r="BQ194" s="387">
        <f t="shared" ref="BQ194:BQ257" si="145">IF(AT194&lt;&gt;0,SSHIBY*W194,0)</f>
        <v>0</v>
      </c>
      <c r="BR194" s="387">
        <f t="shared" ref="BR194:BR257" si="146">IF(AND(AT194&lt;&gt;0,AN194&lt;&gt;"NE"),VLOOKUP(AN194,Retirement_Rates,4,FALSE)*W194,0)</f>
        <v>0</v>
      </c>
      <c r="BS194" s="387">
        <f t="shared" ref="BS194:BS257" si="147">IF(AND(AT194&lt;&gt;0,AJ194&lt;&gt;"PF"),LifeBY*W194,0)</f>
        <v>0</v>
      </c>
      <c r="BT194" s="387">
        <f t="shared" ref="BT194:BT257" si="148">IF(AND(AT194&lt;&gt;0,AM194="Y"),UIBY*W194,0)</f>
        <v>0</v>
      </c>
      <c r="BU194" s="387">
        <f t="shared" ref="BU194:BU257" si="149">IF(AND(AT194&lt;&gt;0,N194&lt;&gt;"NR"),DHRBY*W194,0)</f>
        <v>0</v>
      </c>
      <c r="BV194" s="387">
        <f t="shared" ref="BV194:BV257" si="150">IF(AT194&lt;&gt;0,WCBY*W194,0)</f>
        <v>0</v>
      </c>
      <c r="BW194" s="387">
        <f t="shared" ref="BW194:BW257" si="151">IF(OR(AND(AT194&lt;&gt;0,AJ194&lt;&gt;"PF",AN194&lt;&gt;"NE",AG194&lt;&gt;"A"),AND(AL194="E",OR(AT194=1,AT194=3))),SickBY*W194,0)</f>
        <v>0</v>
      </c>
      <c r="BX194" s="387">
        <f t="shared" si="122"/>
        <v>0</v>
      </c>
      <c r="BY194" s="387">
        <f t="shared" si="123"/>
        <v>0</v>
      </c>
      <c r="BZ194" s="387">
        <f t="shared" si="124"/>
        <v>0</v>
      </c>
      <c r="CA194" s="387">
        <f t="shared" si="125"/>
        <v>0</v>
      </c>
      <c r="CB194" s="387">
        <f t="shared" si="126"/>
        <v>0</v>
      </c>
      <c r="CC194" s="387">
        <f t="shared" ref="CC194:CC257" si="152">IF(AT194&lt;&gt;0,SSHICHG*Y194,0)</f>
        <v>0</v>
      </c>
      <c r="CD194" s="387">
        <f t="shared" ref="CD194:CD257" si="153">IF(AND(AT194&lt;&gt;0,AN194&lt;&gt;"NE"),VLOOKUP(AN194,Retirement_Rates,5,FALSE)*Y194,0)</f>
        <v>0</v>
      </c>
      <c r="CE194" s="387">
        <f t="shared" ref="CE194:CE257" si="154">IF(AND(AT194&lt;&gt;0,AJ194&lt;&gt;"PF"),LifeCHG*Y194,0)</f>
        <v>0</v>
      </c>
      <c r="CF194" s="387">
        <f t="shared" ref="CF194:CF257" si="155">IF(AND(AT194&lt;&gt;0,AM194="Y"),UICHG*Y194,0)</f>
        <v>0</v>
      </c>
      <c r="CG194" s="387">
        <f t="shared" ref="CG194:CG257" si="156">IF(AND(AT194&lt;&gt;0,N194&lt;&gt;"NR"),DHRCHG*Y194,0)</f>
        <v>0</v>
      </c>
      <c r="CH194" s="387">
        <f t="shared" ref="CH194:CH257" si="157">IF(AT194&lt;&gt;0,WCCHG*Y194,0)</f>
        <v>0</v>
      </c>
      <c r="CI194" s="387">
        <f t="shared" ref="CI194:CI257" si="158">IF(OR(AND(AT194&lt;&gt;0,AJ194&lt;&gt;"PF",AN194&lt;&gt;"NE",AG194&lt;&gt;"A"),AND(AL194="E",OR(AT194=1,AT194=3))),SickCHG*Y194,0)</f>
        <v>0</v>
      </c>
      <c r="CJ194" s="387">
        <f t="shared" si="127"/>
        <v>0</v>
      </c>
      <c r="CK194" s="387" t="str">
        <f t="shared" si="128"/>
        <v/>
      </c>
      <c r="CL194" s="387" t="str">
        <f t="shared" si="129"/>
        <v/>
      </c>
      <c r="CM194" s="387" t="str">
        <f t="shared" si="130"/>
        <v/>
      </c>
      <c r="CN194" s="387" t="str">
        <f t="shared" si="131"/>
        <v>0303-00</v>
      </c>
    </row>
    <row r="195" spans="1:92" ht="15.75" thickBot="1" x14ac:dyDescent="0.3">
      <c r="A195" s="376" t="s">
        <v>161</v>
      </c>
      <c r="B195" s="376" t="s">
        <v>162</v>
      </c>
      <c r="C195" s="376" t="s">
        <v>777</v>
      </c>
      <c r="D195" s="376" t="s">
        <v>778</v>
      </c>
      <c r="E195" s="376" t="s">
        <v>214</v>
      </c>
      <c r="F195" s="377" t="s">
        <v>166</v>
      </c>
      <c r="G195" s="376" t="s">
        <v>781</v>
      </c>
      <c r="H195" s="378"/>
      <c r="I195" s="378"/>
      <c r="J195" s="376" t="s">
        <v>215</v>
      </c>
      <c r="K195" s="376" t="s">
        <v>779</v>
      </c>
      <c r="L195" s="376" t="s">
        <v>166</v>
      </c>
      <c r="M195" s="376" t="s">
        <v>171</v>
      </c>
      <c r="N195" s="376" t="s">
        <v>780</v>
      </c>
      <c r="O195" s="379">
        <v>0</v>
      </c>
      <c r="P195" s="385">
        <v>1</v>
      </c>
      <c r="Q195" s="385">
        <v>0</v>
      </c>
      <c r="R195" s="380">
        <v>0</v>
      </c>
      <c r="S195" s="385">
        <v>0</v>
      </c>
      <c r="T195" s="380">
        <v>0</v>
      </c>
      <c r="U195" s="380">
        <v>0</v>
      </c>
      <c r="V195" s="380">
        <v>0</v>
      </c>
      <c r="W195" s="380">
        <v>2650</v>
      </c>
      <c r="X195" s="380">
        <v>442.87</v>
      </c>
      <c r="Y195" s="380">
        <v>2650</v>
      </c>
      <c r="Z195" s="380">
        <v>442.87</v>
      </c>
      <c r="AA195" s="378"/>
      <c r="AB195" s="376" t="s">
        <v>45</v>
      </c>
      <c r="AC195" s="376" t="s">
        <v>45</v>
      </c>
      <c r="AD195" s="378"/>
      <c r="AE195" s="378"/>
      <c r="AF195" s="378"/>
      <c r="AG195" s="378"/>
      <c r="AH195" s="379">
        <v>0</v>
      </c>
      <c r="AI195" s="379">
        <v>0</v>
      </c>
      <c r="AJ195" s="378"/>
      <c r="AK195" s="378"/>
      <c r="AL195" s="376" t="s">
        <v>181</v>
      </c>
      <c r="AM195" s="378"/>
      <c r="AN195" s="378"/>
      <c r="AO195" s="379">
        <v>0</v>
      </c>
      <c r="AP195" s="385">
        <v>0</v>
      </c>
      <c r="AQ195" s="385">
        <v>0</v>
      </c>
      <c r="AR195" s="384"/>
      <c r="AS195" s="387">
        <f t="shared" ref="AS195:AS258" si="159">IF(((AO195/80)*AP195*P195)&gt;1,AQ195,((AO195/80)*AP195*P195))</f>
        <v>0</v>
      </c>
      <c r="AT195">
        <f t="shared" ref="AT195:AT258" si="160">IF(AND(M195="F",N195&lt;&gt;"NG",AS195&lt;&gt;0,AND(AR195&lt;&gt;6,AR195&lt;&gt;36,AR195&lt;&gt;56),AG195&lt;&gt;"A",OR(AG195="H",AJ195="FS")),1,IF(AND(M195="F",N195&lt;&gt;"NG",AS195&lt;&gt;0,AG195="A"),3,0))</f>
        <v>0</v>
      </c>
      <c r="AU195" s="387" t="str">
        <f>IF(AT195=0,"",IF(AND(AT195=1,M195="F",SUMIF(C2:C1334,C195,AS2:AS1334)&lt;=1),SUMIF(C2:C1334,C195,AS2:AS1334),IF(AND(AT195=1,M195="F",SUMIF(C2:C1334,C195,AS2:AS1334)&gt;1),1,"")))</f>
        <v/>
      </c>
      <c r="AV195" s="387" t="str">
        <f>IF(AT195=0,"",IF(AND(AT195=3,M195="F",SUMIF(C2:C1334,C195,AS2:AS1334)&lt;=1),SUMIF(C2:C1334,C195,AS2:AS1334),IF(AND(AT195=3,M195="F",SUMIF(C2:C1334,C195,AS2:AS1334)&gt;1),1,"")))</f>
        <v/>
      </c>
      <c r="AW195" s="387">
        <f>SUMIF(C2:C1334,C195,O2:O1334)</f>
        <v>0</v>
      </c>
      <c r="AX195" s="387">
        <f>IF(AND(M195="F",AS195&lt;&gt;0),SUMIF(C2:C1334,C195,W2:W1334),0)</f>
        <v>0</v>
      </c>
      <c r="AY195" s="387" t="str">
        <f t="shared" ref="AY195:AY258" si="161">IF(AT195=1,W195,"")</f>
        <v/>
      </c>
      <c r="AZ195" s="387" t="str">
        <f t="shared" ref="AZ195:AZ258" si="162">IF(AT195=3,W195,"")</f>
        <v/>
      </c>
      <c r="BA195" s="387">
        <f t="shared" ref="BA195:BA258" si="163">IF(AT195=1,Y195-W195,0)</f>
        <v>0</v>
      </c>
      <c r="BB195" s="387">
        <f t="shared" si="132"/>
        <v>0</v>
      </c>
      <c r="BC195" s="387">
        <f t="shared" si="133"/>
        <v>0</v>
      </c>
      <c r="BD195" s="387">
        <f t="shared" si="134"/>
        <v>0</v>
      </c>
      <c r="BE195" s="387">
        <f t="shared" si="135"/>
        <v>0</v>
      </c>
      <c r="BF195" s="387">
        <f t="shared" si="136"/>
        <v>0</v>
      </c>
      <c r="BG195" s="387">
        <f t="shared" si="137"/>
        <v>0</v>
      </c>
      <c r="BH195" s="387">
        <f t="shared" si="138"/>
        <v>0</v>
      </c>
      <c r="BI195" s="387">
        <f t="shared" si="139"/>
        <v>0</v>
      </c>
      <c r="BJ195" s="387">
        <f t="shared" si="140"/>
        <v>0</v>
      </c>
      <c r="BK195" s="387">
        <f t="shared" si="141"/>
        <v>0</v>
      </c>
      <c r="BL195" s="387">
        <f t="shared" ref="BL195:BL258" si="164">IF(AT195=1,SUM(BD195:BK195),0)</f>
        <v>0</v>
      </c>
      <c r="BM195" s="387">
        <f t="shared" ref="BM195:BM258" si="165">IF(AT195=3,SUM(BD195:BK195),0)</f>
        <v>0</v>
      </c>
      <c r="BN195" s="387">
        <f t="shared" si="142"/>
        <v>0</v>
      </c>
      <c r="BO195" s="387">
        <f t="shared" si="143"/>
        <v>0</v>
      </c>
      <c r="BP195" s="387">
        <f t="shared" si="144"/>
        <v>0</v>
      </c>
      <c r="BQ195" s="387">
        <f t="shared" si="145"/>
        <v>0</v>
      </c>
      <c r="BR195" s="387">
        <f t="shared" si="146"/>
        <v>0</v>
      </c>
      <c r="BS195" s="387">
        <f t="shared" si="147"/>
        <v>0</v>
      </c>
      <c r="BT195" s="387">
        <f t="shared" si="148"/>
        <v>0</v>
      </c>
      <c r="BU195" s="387">
        <f t="shared" si="149"/>
        <v>0</v>
      </c>
      <c r="BV195" s="387">
        <f t="shared" si="150"/>
        <v>0</v>
      </c>
      <c r="BW195" s="387">
        <f t="shared" si="151"/>
        <v>0</v>
      </c>
      <c r="BX195" s="387">
        <f t="shared" ref="BX195:BX258" si="166">IF(AT195=1,SUM(BP195:BW195),0)</f>
        <v>0</v>
      </c>
      <c r="BY195" s="387">
        <f t="shared" ref="BY195:BY258" si="167">IF(AT195=3,SUM(BP195:BW195),0)</f>
        <v>0</v>
      </c>
      <c r="BZ195" s="387">
        <f t="shared" ref="BZ195:BZ258" si="168">IF(AT195=1,BN195-BB195,0)</f>
        <v>0</v>
      </c>
      <c r="CA195" s="387">
        <f t="shared" ref="CA195:CA258" si="169">IF(AT195=3,BO195-BC195,0)</f>
        <v>0</v>
      </c>
      <c r="CB195" s="387">
        <f t="shared" ref="CB195:CB258" si="170">BP195-BD195</f>
        <v>0</v>
      </c>
      <c r="CC195" s="387">
        <f t="shared" si="152"/>
        <v>0</v>
      </c>
      <c r="CD195" s="387">
        <f t="shared" si="153"/>
        <v>0</v>
      </c>
      <c r="CE195" s="387">
        <f t="shared" si="154"/>
        <v>0</v>
      </c>
      <c r="CF195" s="387">
        <f t="shared" si="155"/>
        <v>0</v>
      </c>
      <c r="CG195" s="387">
        <f t="shared" si="156"/>
        <v>0</v>
      </c>
      <c r="CH195" s="387">
        <f t="shared" si="157"/>
        <v>0</v>
      </c>
      <c r="CI195" s="387">
        <f t="shared" si="158"/>
        <v>0</v>
      </c>
      <c r="CJ195" s="387">
        <f t="shared" ref="CJ195:CJ258" si="171">IF(AT195=1,SUM(CB195:CI195),0)</f>
        <v>0</v>
      </c>
      <c r="CK195" s="387" t="str">
        <f t="shared" ref="CK195:CK258" si="172">IF(AT195=3,SUM(CB195:CI195),"")</f>
        <v/>
      </c>
      <c r="CL195" s="387">
        <f t="shared" ref="CL195:CL258" si="173">IF(OR(N195="NG",AG195="D"),(T195+U195),"")</f>
        <v>0</v>
      </c>
      <c r="CM195" s="387">
        <f t="shared" ref="CM195:CM258" si="174">IF(OR(N195="NG",AG195="D"),V195,"")</f>
        <v>0</v>
      </c>
      <c r="CN195" s="387" t="str">
        <f t="shared" ref="CN195:CN258" si="175">E195 &amp; "-" &amp; F195</f>
        <v>0303-00</v>
      </c>
    </row>
    <row r="196" spans="1:92" ht="15.75" thickBot="1" x14ac:dyDescent="0.3">
      <c r="A196" s="376" t="s">
        <v>161</v>
      </c>
      <c r="B196" s="376" t="s">
        <v>162</v>
      </c>
      <c r="C196" s="376" t="s">
        <v>852</v>
      </c>
      <c r="D196" s="376" t="s">
        <v>786</v>
      </c>
      <c r="E196" s="376" t="s">
        <v>214</v>
      </c>
      <c r="F196" s="377" t="s">
        <v>166</v>
      </c>
      <c r="G196" s="376" t="s">
        <v>781</v>
      </c>
      <c r="H196" s="378"/>
      <c r="I196" s="378"/>
      <c r="J196" s="376" t="s">
        <v>239</v>
      </c>
      <c r="K196" s="376" t="s">
        <v>787</v>
      </c>
      <c r="L196" s="376" t="s">
        <v>181</v>
      </c>
      <c r="M196" s="376" t="s">
        <v>171</v>
      </c>
      <c r="N196" s="376" t="s">
        <v>172</v>
      </c>
      <c r="O196" s="379">
        <v>1</v>
      </c>
      <c r="P196" s="385">
        <v>0</v>
      </c>
      <c r="Q196" s="385">
        <v>0</v>
      </c>
      <c r="R196" s="380">
        <v>80</v>
      </c>
      <c r="S196" s="385">
        <v>0</v>
      </c>
      <c r="T196" s="380">
        <v>30.92</v>
      </c>
      <c r="U196" s="380">
        <v>0</v>
      </c>
      <c r="V196" s="380">
        <v>12.81</v>
      </c>
      <c r="W196" s="380">
        <v>0</v>
      </c>
      <c r="X196" s="380">
        <v>0</v>
      </c>
      <c r="Y196" s="380">
        <v>0</v>
      </c>
      <c r="Z196" s="380">
        <v>0</v>
      </c>
      <c r="AA196" s="376" t="s">
        <v>853</v>
      </c>
      <c r="AB196" s="376" t="s">
        <v>854</v>
      </c>
      <c r="AC196" s="376" t="s">
        <v>855</v>
      </c>
      <c r="AD196" s="376" t="s">
        <v>856</v>
      </c>
      <c r="AE196" s="376" t="s">
        <v>787</v>
      </c>
      <c r="AF196" s="376" t="s">
        <v>211</v>
      </c>
      <c r="AG196" s="376" t="s">
        <v>178</v>
      </c>
      <c r="AH196" s="381">
        <v>35.950000000000003</v>
      </c>
      <c r="AI196" s="381">
        <v>23289.1</v>
      </c>
      <c r="AJ196" s="376" t="s">
        <v>179</v>
      </c>
      <c r="AK196" s="376" t="s">
        <v>180</v>
      </c>
      <c r="AL196" s="376" t="s">
        <v>181</v>
      </c>
      <c r="AM196" s="376" t="s">
        <v>182</v>
      </c>
      <c r="AN196" s="376" t="s">
        <v>68</v>
      </c>
      <c r="AO196" s="379">
        <v>80</v>
      </c>
      <c r="AP196" s="385">
        <v>1</v>
      </c>
      <c r="AQ196" s="385">
        <v>0</v>
      </c>
      <c r="AR196" s="383" t="s">
        <v>183</v>
      </c>
      <c r="AS196" s="387">
        <f t="shared" si="159"/>
        <v>0</v>
      </c>
      <c r="AT196">
        <f t="shared" si="160"/>
        <v>0</v>
      </c>
      <c r="AU196" s="387" t="str">
        <f>IF(AT196=0,"",IF(AND(AT196=1,M196="F",SUMIF(C2:C1334,C196,AS2:AS1334)&lt;=1),SUMIF(C2:C1334,C196,AS2:AS1334),IF(AND(AT196=1,M196="F",SUMIF(C2:C1334,C196,AS2:AS1334)&gt;1),1,"")))</f>
        <v/>
      </c>
      <c r="AV196" s="387" t="str">
        <f>IF(AT196=0,"",IF(AND(AT196=3,M196="F",SUMIF(C2:C1334,C196,AS2:AS1334)&lt;=1),SUMIF(C2:C1334,C196,AS2:AS1334),IF(AND(AT196=3,M196="F",SUMIF(C2:C1334,C196,AS2:AS1334)&gt;1),1,"")))</f>
        <v/>
      </c>
      <c r="AW196" s="387">
        <f>SUMIF(C2:C1334,C196,O2:O1334)</f>
        <v>4</v>
      </c>
      <c r="AX196" s="387">
        <f>IF(AND(M196="F",AS196&lt;&gt;0),SUMIF(C2:C1334,C196,W2:W1334),0)</f>
        <v>0</v>
      </c>
      <c r="AY196" s="387" t="str">
        <f t="shared" si="161"/>
        <v/>
      </c>
      <c r="AZ196" s="387" t="str">
        <f t="shared" si="162"/>
        <v/>
      </c>
      <c r="BA196" s="387">
        <f t="shared" si="163"/>
        <v>0</v>
      </c>
      <c r="BB196" s="387">
        <f t="shared" si="132"/>
        <v>0</v>
      </c>
      <c r="BC196" s="387">
        <f t="shared" si="133"/>
        <v>0</v>
      </c>
      <c r="BD196" s="387">
        <f t="shared" si="134"/>
        <v>0</v>
      </c>
      <c r="BE196" s="387">
        <f t="shared" si="135"/>
        <v>0</v>
      </c>
      <c r="BF196" s="387">
        <f t="shared" si="136"/>
        <v>0</v>
      </c>
      <c r="BG196" s="387">
        <f t="shared" si="137"/>
        <v>0</v>
      </c>
      <c r="BH196" s="387">
        <f t="shared" si="138"/>
        <v>0</v>
      </c>
      <c r="BI196" s="387">
        <f t="shared" si="139"/>
        <v>0</v>
      </c>
      <c r="BJ196" s="387">
        <f t="shared" si="140"/>
        <v>0</v>
      </c>
      <c r="BK196" s="387">
        <f t="shared" si="141"/>
        <v>0</v>
      </c>
      <c r="BL196" s="387">
        <f t="shared" si="164"/>
        <v>0</v>
      </c>
      <c r="BM196" s="387">
        <f t="shared" si="165"/>
        <v>0</v>
      </c>
      <c r="BN196" s="387">
        <f t="shared" si="142"/>
        <v>0</v>
      </c>
      <c r="BO196" s="387">
        <f t="shared" si="143"/>
        <v>0</v>
      </c>
      <c r="BP196" s="387">
        <f t="shared" si="144"/>
        <v>0</v>
      </c>
      <c r="BQ196" s="387">
        <f t="shared" si="145"/>
        <v>0</v>
      </c>
      <c r="BR196" s="387">
        <f t="shared" si="146"/>
        <v>0</v>
      </c>
      <c r="BS196" s="387">
        <f t="shared" si="147"/>
        <v>0</v>
      </c>
      <c r="BT196" s="387">
        <f t="shared" si="148"/>
        <v>0</v>
      </c>
      <c r="BU196" s="387">
        <f t="shared" si="149"/>
        <v>0</v>
      </c>
      <c r="BV196" s="387">
        <f t="shared" si="150"/>
        <v>0</v>
      </c>
      <c r="BW196" s="387">
        <f t="shared" si="151"/>
        <v>0</v>
      </c>
      <c r="BX196" s="387">
        <f t="shared" si="166"/>
        <v>0</v>
      </c>
      <c r="BY196" s="387">
        <f t="shared" si="167"/>
        <v>0</v>
      </c>
      <c r="BZ196" s="387">
        <f t="shared" si="168"/>
        <v>0</v>
      </c>
      <c r="CA196" s="387">
        <f t="shared" si="169"/>
        <v>0</v>
      </c>
      <c r="CB196" s="387">
        <f t="shared" si="170"/>
        <v>0</v>
      </c>
      <c r="CC196" s="387">
        <f t="shared" si="152"/>
        <v>0</v>
      </c>
      <c r="CD196" s="387">
        <f t="shared" si="153"/>
        <v>0</v>
      </c>
      <c r="CE196" s="387">
        <f t="shared" si="154"/>
        <v>0</v>
      </c>
      <c r="CF196" s="387">
        <f t="shared" si="155"/>
        <v>0</v>
      </c>
      <c r="CG196" s="387">
        <f t="shared" si="156"/>
        <v>0</v>
      </c>
      <c r="CH196" s="387">
        <f t="shared" si="157"/>
        <v>0</v>
      </c>
      <c r="CI196" s="387">
        <f t="shared" si="158"/>
        <v>0</v>
      </c>
      <c r="CJ196" s="387">
        <f t="shared" si="171"/>
        <v>0</v>
      </c>
      <c r="CK196" s="387" t="str">
        <f t="shared" si="172"/>
        <v/>
      </c>
      <c r="CL196" s="387" t="str">
        <f t="shared" si="173"/>
        <v/>
      </c>
      <c r="CM196" s="387" t="str">
        <f t="shared" si="174"/>
        <v/>
      </c>
      <c r="CN196" s="387" t="str">
        <f t="shared" si="175"/>
        <v>0303-00</v>
      </c>
    </row>
    <row r="197" spans="1:92" ht="15.75" thickBot="1" x14ac:dyDescent="0.3">
      <c r="A197" s="376" t="s">
        <v>161</v>
      </c>
      <c r="B197" s="376" t="s">
        <v>162</v>
      </c>
      <c r="C197" s="376" t="s">
        <v>857</v>
      </c>
      <c r="D197" s="376" t="s">
        <v>786</v>
      </c>
      <c r="E197" s="376" t="s">
        <v>214</v>
      </c>
      <c r="F197" s="377" t="s">
        <v>166</v>
      </c>
      <c r="G197" s="376" t="s">
        <v>781</v>
      </c>
      <c r="H197" s="378"/>
      <c r="I197" s="378"/>
      <c r="J197" s="376" t="s">
        <v>168</v>
      </c>
      <c r="K197" s="376" t="s">
        <v>787</v>
      </c>
      <c r="L197" s="376" t="s">
        <v>181</v>
      </c>
      <c r="M197" s="376" t="s">
        <v>171</v>
      </c>
      <c r="N197" s="376" t="s">
        <v>172</v>
      </c>
      <c r="O197" s="379">
        <v>1</v>
      </c>
      <c r="P197" s="385">
        <v>0</v>
      </c>
      <c r="Q197" s="385">
        <v>0</v>
      </c>
      <c r="R197" s="380">
        <v>80</v>
      </c>
      <c r="S197" s="385">
        <v>0</v>
      </c>
      <c r="T197" s="380">
        <v>12104.71</v>
      </c>
      <c r="U197" s="380">
        <v>0</v>
      </c>
      <c r="V197" s="380">
        <v>4369.95</v>
      </c>
      <c r="W197" s="380">
        <v>0</v>
      </c>
      <c r="X197" s="380">
        <v>0</v>
      </c>
      <c r="Y197" s="380">
        <v>0</v>
      </c>
      <c r="Z197" s="380">
        <v>0</v>
      </c>
      <c r="AA197" s="376" t="s">
        <v>858</v>
      </c>
      <c r="AB197" s="376" t="s">
        <v>859</v>
      </c>
      <c r="AC197" s="376" t="s">
        <v>860</v>
      </c>
      <c r="AD197" s="376" t="s">
        <v>300</v>
      </c>
      <c r="AE197" s="376" t="s">
        <v>787</v>
      </c>
      <c r="AF197" s="376" t="s">
        <v>211</v>
      </c>
      <c r="AG197" s="376" t="s">
        <v>178</v>
      </c>
      <c r="AH197" s="381">
        <v>29.26</v>
      </c>
      <c r="AI197" s="381">
        <v>7042.3</v>
      </c>
      <c r="AJ197" s="376" t="s">
        <v>179</v>
      </c>
      <c r="AK197" s="376" t="s">
        <v>180</v>
      </c>
      <c r="AL197" s="376" t="s">
        <v>181</v>
      </c>
      <c r="AM197" s="376" t="s">
        <v>182</v>
      </c>
      <c r="AN197" s="376" t="s">
        <v>68</v>
      </c>
      <c r="AO197" s="379">
        <v>80</v>
      </c>
      <c r="AP197" s="385">
        <v>1</v>
      </c>
      <c r="AQ197" s="385">
        <v>0</v>
      </c>
      <c r="AR197" s="383" t="s">
        <v>183</v>
      </c>
      <c r="AS197" s="387">
        <f t="shared" si="159"/>
        <v>0</v>
      </c>
      <c r="AT197">
        <f t="shared" si="160"/>
        <v>0</v>
      </c>
      <c r="AU197" s="387" t="str">
        <f>IF(AT197=0,"",IF(AND(AT197=1,M197="F",SUMIF(C2:C1334,C197,AS2:AS1334)&lt;=1),SUMIF(C2:C1334,C197,AS2:AS1334),IF(AND(AT197=1,M197="F",SUMIF(C2:C1334,C197,AS2:AS1334)&gt;1),1,"")))</f>
        <v/>
      </c>
      <c r="AV197" s="387" t="str">
        <f>IF(AT197=0,"",IF(AND(AT197=3,M197="F",SUMIF(C2:C1334,C197,AS2:AS1334)&lt;=1),SUMIF(C2:C1334,C197,AS2:AS1334),IF(AND(AT197=3,M197="F",SUMIF(C2:C1334,C197,AS2:AS1334)&gt;1),1,"")))</f>
        <v/>
      </c>
      <c r="AW197" s="387">
        <f>SUMIF(C2:C1334,C197,O2:O1334)</f>
        <v>4</v>
      </c>
      <c r="AX197" s="387">
        <f>IF(AND(M197="F",AS197&lt;&gt;0),SUMIF(C2:C1334,C197,W2:W1334),0)</f>
        <v>0</v>
      </c>
      <c r="AY197" s="387" t="str">
        <f t="shared" si="161"/>
        <v/>
      </c>
      <c r="AZ197" s="387" t="str">
        <f t="shared" si="162"/>
        <v/>
      </c>
      <c r="BA197" s="387">
        <f t="shared" si="163"/>
        <v>0</v>
      </c>
      <c r="BB197" s="387">
        <f t="shared" si="132"/>
        <v>0</v>
      </c>
      <c r="BC197" s="387">
        <f t="shared" si="133"/>
        <v>0</v>
      </c>
      <c r="BD197" s="387">
        <f t="shared" si="134"/>
        <v>0</v>
      </c>
      <c r="BE197" s="387">
        <f t="shared" si="135"/>
        <v>0</v>
      </c>
      <c r="BF197" s="387">
        <f t="shared" si="136"/>
        <v>0</v>
      </c>
      <c r="BG197" s="387">
        <f t="shared" si="137"/>
        <v>0</v>
      </c>
      <c r="BH197" s="387">
        <f t="shared" si="138"/>
        <v>0</v>
      </c>
      <c r="BI197" s="387">
        <f t="shared" si="139"/>
        <v>0</v>
      </c>
      <c r="BJ197" s="387">
        <f t="shared" si="140"/>
        <v>0</v>
      </c>
      <c r="BK197" s="387">
        <f t="shared" si="141"/>
        <v>0</v>
      </c>
      <c r="BL197" s="387">
        <f t="shared" si="164"/>
        <v>0</v>
      </c>
      <c r="BM197" s="387">
        <f t="shared" si="165"/>
        <v>0</v>
      </c>
      <c r="BN197" s="387">
        <f t="shared" si="142"/>
        <v>0</v>
      </c>
      <c r="BO197" s="387">
        <f t="shared" si="143"/>
        <v>0</v>
      </c>
      <c r="BP197" s="387">
        <f t="shared" si="144"/>
        <v>0</v>
      </c>
      <c r="BQ197" s="387">
        <f t="shared" si="145"/>
        <v>0</v>
      </c>
      <c r="BR197" s="387">
        <f t="shared" si="146"/>
        <v>0</v>
      </c>
      <c r="BS197" s="387">
        <f t="shared" si="147"/>
        <v>0</v>
      </c>
      <c r="BT197" s="387">
        <f t="shared" si="148"/>
        <v>0</v>
      </c>
      <c r="BU197" s="387">
        <f t="shared" si="149"/>
        <v>0</v>
      </c>
      <c r="BV197" s="387">
        <f t="shared" si="150"/>
        <v>0</v>
      </c>
      <c r="BW197" s="387">
        <f t="shared" si="151"/>
        <v>0</v>
      </c>
      <c r="BX197" s="387">
        <f t="shared" si="166"/>
        <v>0</v>
      </c>
      <c r="BY197" s="387">
        <f t="shared" si="167"/>
        <v>0</v>
      </c>
      <c r="BZ197" s="387">
        <f t="shared" si="168"/>
        <v>0</v>
      </c>
      <c r="CA197" s="387">
        <f t="shared" si="169"/>
        <v>0</v>
      </c>
      <c r="CB197" s="387">
        <f t="shared" si="170"/>
        <v>0</v>
      </c>
      <c r="CC197" s="387">
        <f t="shared" si="152"/>
        <v>0</v>
      </c>
      <c r="CD197" s="387">
        <f t="shared" si="153"/>
        <v>0</v>
      </c>
      <c r="CE197" s="387">
        <f t="shared" si="154"/>
        <v>0</v>
      </c>
      <c r="CF197" s="387">
        <f t="shared" si="155"/>
        <v>0</v>
      </c>
      <c r="CG197" s="387">
        <f t="shared" si="156"/>
        <v>0</v>
      </c>
      <c r="CH197" s="387">
        <f t="shared" si="157"/>
        <v>0</v>
      </c>
      <c r="CI197" s="387">
        <f t="shared" si="158"/>
        <v>0</v>
      </c>
      <c r="CJ197" s="387">
        <f t="shared" si="171"/>
        <v>0</v>
      </c>
      <c r="CK197" s="387" t="str">
        <f t="shared" si="172"/>
        <v/>
      </c>
      <c r="CL197" s="387" t="str">
        <f t="shared" si="173"/>
        <v/>
      </c>
      <c r="CM197" s="387" t="str">
        <f t="shared" si="174"/>
        <v/>
      </c>
      <c r="CN197" s="387" t="str">
        <f t="shared" si="175"/>
        <v>0303-00</v>
      </c>
    </row>
    <row r="198" spans="1:92" ht="15.75" thickBot="1" x14ac:dyDescent="0.3">
      <c r="A198" s="376" t="s">
        <v>161</v>
      </c>
      <c r="B198" s="376" t="s">
        <v>162</v>
      </c>
      <c r="C198" s="376" t="s">
        <v>861</v>
      </c>
      <c r="D198" s="376" t="s">
        <v>862</v>
      </c>
      <c r="E198" s="376" t="s">
        <v>224</v>
      </c>
      <c r="F198" s="382" t="s">
        <v>225</v>
      </c>
      <c r="G198" s="376" t="s">
        <v>781</v>
      </c>
      <c r="H198" s="378"/>
      <c r="I198" s="378"/>
      <c r="J198" s="376" t="s">
        <v>239</v>
      </c>
      <c r="K198" s="376" t="s">
        <v>863</v>
      </c>
      <c r="L198" s="376" t="s">
        <v>252</v>
      </c>
      <c r="M198" s="376" t="s">
        <v>171</v>
      </c>
      <c r="N198" s="376" t="s">
        <v>172</v>
      </c>
      <c r="O198" s="379">
        <v>1</v>
      </c>
      <c r="P198" s="385">
        <v>0.25</v>
      </c>
      <c r="Q198" s="385">
        <v>0.25</v>
      </c>
      <c r="R198" s="380">
        <v>80</v>
      </c>
      <c r="S198" s="385">
        <v>0.25</v>
      </c>
      <c r="T198" s="380">
        <v>9041.44</v>
      </c>
      <c r="U198" s="380">
        <v>0</v>
      </c>
      <c r="V198" s="380">
        <v>4502.08</v>
      </c>
      <c r="W198" s="380">
        <v>9755.2000000000007</v>
      </c>
      <c r="X198" s="380">
        <v>5022.05</v>
      </c>
      <c r="Y198" s="380">
        <v>9755.2000000000007</v>
      </c>
      <c r="Z198" s="380">
        <v>4981.08</v>
      </c>
      <c r="AA198" s="376" t="s">
        <v>864</v>
      </c>
      <c r="AB198" s="376" t="s">
        <v>865</v>
      </c>
      <c r="AC198" s="376" t="s">
        <v>866</v>
      </c>
      <c r="AD198" s="376" t="s">
        <v>441</v>
      </c>
      <c r="AE198" s="376" t="s">
        <v>863</v>
      </c>
      <c r="AF198" s="376" t="s">
        <v>393</v>
      </c>
      <c r="AG198" s="376" t="s">
        <v>178</v>
      </c>
      <c r="AH198" s="381">
        <v>18.760000000000002</v>
      </c>
      <c r="AI198" s="379">
        <v>3208</v>
      </c>
      <c r="AJ198" s="376" t="s">
        <v>179</v>
      </c>
      <c r="AK198" s="376" t="s">
        <v>180</v>
      </c>
      <c r="AL198" s="376" t="s">
        <v>181</v>
      </c>
      <c r="AM198" s="376" t="s">
        <v>182</v>
      </c>
      <c r="AN198" s="376" t="s">
        <v>68</v>
      </c>
      <c r="AO198" s="379">
        <v>80</v>
      </c>
      <c r="AP198" s="385">
        <v>1</v>
      </c>
      <c r="AQ198" s="385">
        <v>0.25</v>
      </c>
      <c r="AR198" s="383" t="s">
        <v>183</v>
      </c>
      <c r="AS198" s="387">
        <f t="shared" si="159"/>
        <v>0.25</v>
      </c>
      <c r="AT198">
        <f t="shared" si="160"/>
        <v>1</v>
      </c>
      <c r="AU198" s="387">
        <f>IF(AT198=0,"",IF(AND(AT198=1,M198="F",SUMIF(C2:C1334,C198,AS2:AS1334)&lt;=1),SUMIF(C2:C1334,C198,AS2:AS1334),IF(AND(AT198=1,M198="F",SUMIF(C2:C1334,C198,AS2:AS1334)&gt;1),1,"")))</f>
        <v>1</v>
      </c>
      <c r="AV198" s="387" t="str">
        <f>IF(AT198=0,"",IF(AND(AT198=3,M198="F",SUMIF(C2:C1334,C198,AS2:AS1334)&lt;=1),SUMIF(C2:C1334,C198,AS2:AS1334),IF(AND(AT198=3,M198="F",SUMIF(C2:C1334,C198,AS2:AS1334)&gt;1),1,"")))</f>
        <v/>
      </c>
      <c r="AW198" s="387">
        <f>SUMIF(C2:C1334,C198,O2:O1334)</f>
        <v>3</v>
      </c>
      <c r="AX198" s="387">
        <f>IF(AND(M198="F",AS198&lt;&gt;0),SUMIF(C2:C1334,C198,W2:W1334),0)</f>
        <v>39020.800000000003</v>
      </c>
      <c r="AY198" s="387">
        <f t="shared" si="161"/>
        <v>9755.2000000000007</v>
      </c>
      <c r="AZ198" s="387" t="str">
        <f t="shared" si="162"/>
        <v/>
      </c>
      <c r="BA198" s="387">
        <f t="shared" si="163"/>
        <v>0</v>
      </c>
      <c r="BB198" s="387">
        <f t="shared" si="132"/>
        <v>2912.5</v>
      </c>
      <c r="BC198" s="387">
        <f t="shared" si="133"/>
        <v>0</v>
      </c>
      <c r="BD198" s="387">
        <f t="shared" si="134"/>
        <v>604.82240000000002</v>
      </c>
      <c r="BE198" s="387">
        <f t="shared" si="135"/>
        <v>141.45040000000003</v>
      </c>
      <c r="BF198" s="387">
        <f t="shared" si="136"/>
        <v>1164.77088</v>
      </c>
      <c r="BG198" s="387">
        <f t="shared" si="137"/>
        <v>70.334992000000014</v>
      </c>
      <c r="BH198" s="387">
        <f t="shared" si="138"/>
        <v>47.80048</v>
      </c>
      <c r="BI198" s="387">
        <f t="shared" si="139"/>
        <v>53.995032000000002</v>
      </c>
      <c r="BJ198" s="387">
        <f t="shared" si="140"/>
        <v>26.339040000000004</v>
      </c>
      <c r="BK198" s="387">
        <f t="shared" si="141"/>
        <v>0</v>
      </c>
      <c r="BL198" s="387">
        <f t="shared" si="164"/>
        <v>2109.5132240000003</v>
      </c>
      <c r="BM198" s="387">
        <f t="shared" si="165"/>
        <v>0</v>
      </c>
      <c r="BN198" s="387">
        <f t="shared" si="142"/>
        <v>2912.5</v>
      </c>
      <c r="BO198" s="387">
        <f t="shared" si="143"/>
        <v>0</v>
      </c>
      <c r="BP198" s="387">
        <f t="shared" si="144"/>
        <v>604.82240000000002</v>
      </c>
      <c r="BQ198" s="387">
        <f t="shared" si="145"/>
        <v>141.45040000000003</v>
      </c>
      <c r="BR198" s="387">
        <f t="shared" si="146"/>
        <v>1164.77088</v>
      </c>
      <c r="BS198" s="387">
        <f t="shared" si="147"/>
        <v>70.334992000000014</v>
      </c>
      <c r="BT198" s="387">
        <f t="shared" si="148"/>
        <v>0</v>
      </c>
      <c r="BU198" s="387">
        <f t="shared" si="149"/>
        <v>53.995032000000002</v>
      </c>
      <c r="BV198" s="387">
        <f t="shared" si="150"/>
        <v>33.167679999999997</v>
      </c>
      <c r="BW198" s="387">
        <f t="shared" si="151"/>
        <v>0</v>
      </c>
      <c r="BX198" s="387">
        <f t="shared" si="166"/>
        <v>2068.5413840000001</v>
      </c>
      <c r="BY198" s="387">
        <f t="shared" si="167"/>
        <v>0</v>
      </c>
      <c r="BZ198" s="387">
        <f t="shared" si="168"/>
        <v>0</v>
      </c>
      <c r="CA198" s="387">
        <f t="shared" si="169"/>
        <v>0</v>
      </c>
      <c r="CB198" s="387">
        <f t="shared" si="170"/>
        <v>0</v>
      </c>
      <c r="CC198" s="387">
        <f t="shared" si="152"/>
        <v>0</v>
      </c>
      <c r="CD198" s="387">
        <f t="shared" si="153"/>
        <v>0</v>
      </c>
      <c r="CE198" s="387">
        <f t="shared" si="154"/>
        <v>0</v>
      </c>
      <c r="CF198" s="387">
        <f t="shared" si="155"/>
        <v>-47.80048</v>
      </c>
      <c r="CG198" s="387">
        <f t="shared" si="156"/>
        <v>0</v>
      </c>
      <c r="CH198" s="387">
        <f t="shared" si="157"/>
        <v>6.8286399999999974</v>
      </c>
      <c r="CI198" s="387">
        <f t="shared" si="158"/>
        <v>0</v>
      </c>
      <c r="CJ198" s="387">
        <f t="shared" si="171"/>
        <v>-40.97184</v>
      </c>
      <c r="CK198" s="387" t="str">
        <f t="shared" si="172"/>
        <v/>
      </c>
      <c r="CL198" s="387" t="str">
        <f t="shared" si="173"/>
        <v/>
      </c>
      <c r="CM198" s="387" t="str">
        <f t="shared" si="174"/>
        <v/>
      </c>
      <c r="CN198" s="387" t="str">
        <f t="shared" si="175"/>
        <v>0348-31</v>
      </c>
    </row>
    <row r="199" spans="1:92" ht="15.75" thickBot="1" x14ac:dyDescent="0.3">
      <c r="A199" s="376" t="s">
        <v>161</v>
      </c>
      <c r="B199" s="376" t="s">
        <v>162</v>
      </c>
      <c r="C199" s="376" t="s">
        <v>469</v>
      </c>
      <c r="D199" s="376" t="s">
        <v>213</v>
      </c>
      <c r="E199" s="376" t="s">
        <v>224</v>
      </c>
      <c r="F199" s="382" t="s">
        <v>225</v>
      </c>
      <c r="G199" s="376" t="s">
        <v>781</v>
      </c>
      <c r="H199" s="378"/>
      <c r="I199" s="378"/>
      <c r="J199" s="376" t="s">
        <v>215</v>
      </c>
      <c r="K199" s="376" t="s">
        <v>216</v>
      </c>
      <c r="L199" s="376" t="s">
        <v>217</v>
      </c>
      <c r="M199" s="376" t="s">
        <v>171</v>
      </c>
      <c r="N199" s="376" t="s">
        <v>172</v>
      </c>
      <c r="O199" s="379">
        <v>1</v>
      </c>
      <c r="P199" s="385">
        <v>0</v>
      </c>
      <c r="Q199" s="385">
        <v>0</v>
      </c>
      <c r="R199" s="380">
        <v>80</v>
      </c>
      <c r="S199" s="385">
        <v>0</v>
      </c>
      <c r="T199" s="380">
        <v>47391.45</v>
      </c>
      <c r="U199" s="380">
        <v>0</v>
      </c>
      <c r="V199" s="380">
        <v>20751.37</v>
      </c>
      <c r="W199" s="380">
        <v>0</v>
      </c>
      <c r="X199" s="380">
        <v>0</v>
      </c>
      <c r="Y199" s="380">
        <v>0</v>
      </c>
      <c r="Z199" s="380">
        <v>0</v>
      </c>
      <c r="AA199" s="376" t="s">
        <v>470</v>
      </c>
      <c r="AB199" s="376" t="s">
        <v>471</v>
      </c>
      <c r="AC199" s="376" t="s">
        <v>472</v>
      </c>
      <c r="AD199" s="376" t="s">
        <v>198</v>
      </c>
      <c r="AE199" s="376" t="s">
        <v>216</v>
      </c>
      <c r="AF199" s="376" t="s">
        <v>221</v>
      </c>
      <c r="AG199" s="376" t="s">
        <v>178</v>
      </c>
      <c r="AH199" s="381">
        <v>27.9</v>
      </c>
      <c r="AI199" s="381">
        <v>90442.3</v>
      </c>
      <c r="AJ199" s="376" t="s">
        <v>473</v>
      </c>
      <c r="AK199" s="376" t="s">
        <v>180</v>
      </c>
      <c r="AL199" s="376" t="s">
        <v>181</v>
      </c>
      <c r="AM199" s="376" t="s">
        <v>182</v>
      </c>
      <c r="AN199" s="376" t="s">
        <v>68</v>
      </c>
      <c r="AO199" s="379">
        <v>50</v>
      </c>
      <c r="AP199" s="385">
        <v>1</v>
      </c>
      <c r="AQ199" s="385">
        <v>0</v>
      </c>
      <c r="AR199" s="383" t="s">
        <v>183</v>
      </c>
      <c r="AS199" s="387">
        <f t="shared" si="159"/>
        <v>0</v>
      </c>
      <c r="AT199">
        <f t="shared" si="160"/>
        <v>0</v>
      </c>
      <c r="AU199" s="387" t="str">
        <f>IF(AT199=0,"",IF(AND(AT199=1,M199="F",SUMIF(C2:C1334,C199,AS2:AS1334)&lt;=1),SUMIF(C2:C1334,C199,AS2:AS1334),IF(AND(AT199=1,M199="F",SUMIF(C2:C1334,C199,AS2:AS1334)&gt;1),1,"")))</f>
        <v/>
      </c>
      <c r="AV199" s="387" t="str">
        <f>IF(AT199=0,"",IF(AND(AT199=3,M199="F",SUMIF(C2:C1334,C199,AS2:AS1334)&lt;=1),SUMIF(C2:C1334,C199,AS2:AS1334),IF(AND(AT199=3,M199="F",SUMIF(C2:C1334,C199,AS2:AS1334)&gt;1),1,"")))</f>
        <v/>
      </c>
      <c r="AW199" s="387">
        <f>SUMIF(C2:C1334,C199,O2:O1334)</f>
        <v>3</v>
      </c>
      <c r="AX199" s="387">
        <f>IF(AND(M199="F",AS199&lt;&gt;0),SUMIF(C2:C1334,C199,W2:W1334),0)</f>
        <v>0</v>
      </c>
      <c r="AY199" s="387" t="str">
        <f t="shared" si="161"/>
        <v/>
      </c>
      <c r="AZ199" s="387" t="str">
        <f t="shared" si="162"/>
        <v/>
      </c>
      <c r="BA199" s="387">
        <f t="shared" si="163"/>
        <v>0</v>
      </c>
      <c r="BB199" s="387">
        <f t="shared" si="132"/>
        <v>0</v>
      </c>
      <c r="BC199" s="387">
        <f t="shared" si="133"/>
        <v>0</v>
      </c>
      <c r="BD199" s="387">
        <f t="shared" si="134"/>
        <v>0</v>
      </c>
      <c r="BE199" s="387">
        <f t="shared" si="135"/>
        <v>0</v>
      </c>
      <c r="BF199" s="387">
        <f t="shared" si="136"/>
        <v>0</v>
      </c>
      <c r="BG199" s="387">
        <f t="shared" si="137"/>
        <v>0</v>
      </c>
      <c r="BH199" s="387">
        <f t="shared" si="138"/>
        <v>0</v>
      </c>
      <c r="BI199" s="387">
        <f t="shared" si="139"/>
        <v>0</v>
      </c>
      <c r="BJ199" s="387">
        <f t="shared" si="140"/>
        <v>0</v>
      </c>
      <c r="BK199" s="387">
        <f t="shared" si="141"/>
        <v>0</v>
      </c>
      <c r="BL199" s="387">
        <f t="shared" si="164"/>
        <v>0</v>
      </c>
      <c r="BM199" s="387">
        <f t="shared" si="165"/>
        <v>0</v>
      </c>
      <c r="BN199" s="387">
        <f t="shared" si="142"/>
        <v>0</v>
      </c>
      <c r="BO199" s="387">
        <f t="shared" si="143"/>
        <v>0</v>
      </c>
      <c r="BP199" s="387">
        <f t="shared" si="144"/>
        <v>0</v>
      </c>
      <c r="BQ199" s="387">
        <f t="shared" si="145"/>
        <v>0</v>
      </c>
      <c r="BR199" s="387">
        <f t="shared" si="146"/>
        <v>0</v>
      </c>
      <c r="BS199" s="387">
        <f t="shared" si="147"/>
        <v>0</v>
      </c>
      <c r="BT199" s="387">
        <f t="shared" si="148"/>
        <v>0</v>
      </c>
      <c r="BU199" s="387">
        <f t="shared" si="149"/>
        <v>0</v>
      </c>
      <c r="BV199" s="387">
        <f t="shared" si="150"/>
        <v>0</v>
      </c>
      <c r="BW199" s="387">
        <f t="shared" si="151"/>
        <v>0</v>
      </c>
      <c r="BX199" s="387">
        <f t="shared" si="166"/>
        <v>0</v>
      </c>
      <c r="BY199" s="387">
        <f t="shared" si="167"/>
        <v>0</v>
      </c>
      <c r="BZ199" s="387">
        <f t="shared" si="168"/>
        <v>0</v>
      </c>
      <c r="CA199" s="387">
        <f t="shared" si="169"/>
        <v>0</v>
      </c>
      <c r="CB199" s="387">
        <f t="shared" si="170"/>
        <v>0</v>
      </c>
      <c r="CC199" s="387">
        <f t="shared" si="152"/>
        <v>0</v>
      </c>
      <c r="CD199" s="387">
        <f t="shared" si="153"/>
        <v>0</v>
      </c>
      <c r="CE199" s="387">
        <f t="shared" si="154"/>
        <v>0</v>
      </c>
      <c r="CF199" s="387">
        <f t="shared" si="155"/>
        <v>0</v>
      </c>
      <c r="CG199" s="387">
        <f t="shared" si="156"/>
        <v>0</v>
      </c>
      <c r="CH199" s="387">
        <f t="shared" si="157"/>
        <v>0</v>
      </c>
      <c r="CI199" s="387">
        <f t="shared" si="158"/>
        <v>0</v>
      </c>
      <c r="CJ199" s="387">
        <f t="shared" si="171"/>
        <v>0</v>
      </c>
      <c r="CK199" s="387" t="str">
        <f t="shared" si="172"/>
        <v/>
      </c>
      <c r="CL199" s="387" t="str">
        <f t="shared" si="173"/>
        <v/>
      </c>
      <c r="CM199" s="387" t="str">
        <f t="shared" si="174"/>
        <v/>
      </c>
      <c r="CN199" s="387" t="str">
        <f t="shared" si="175"/>
        <v>0348-31</v>
      </c>
    </row>
    <row r="200" spans="1:92" ht="15.75" thickBot="1" x14ac:dyDescent="0.3">
      <c r="A200" s="376" t="s">
        <v>161</v>
      </c>
      <c r="B200" s="376" t="s">
        <v>162</v>
      </c>
      <c r="C200" s="376" t="s">
        <v>867</v>
      </c>
      <c r="D200" s="376" t="s">
        <v>868</v>
      </c>
      <c r="E200" s="376" t="s">
        <v>224</v>
      </c>
      <c r="F200" s="382" t="s">
        <v>225</v>
      </c>
      <c r="G200" s="376" t="s">
        <v>781</v>
      </c>
      <c r="H200" s="378"/>
      <c r="I200" s="378"/>
      <c r="J200" s="376" t="s">
        <v>215</v>
      </c>
      <c r="K200" s="376" t="s">
        <v>869</v>
      </c>
      <c r="L200" s="376" t="s">
        <v>296</v>
      </c>
      <c r="M200" s="376" t="s">
        <v>171</v>
      </c>
      <c r="N200" s="376" t="s">
        <v>172</v>
      </c>
      <c r="O200" s="379">
        <v>1</v>
      </c>
      <c r="P200" s="385">
        <v>0</v>
      </c>
      <c r="Q200" s="385">
        <v>0</v>
      </c>
      <c r="R200" s="380">
        <v>80</v>
      </c>
      <c r="S200" s="385">
        <v>0</v>
      </c>
      <c r="T200" s="380">
        <v>30704</v>
      </c>
      <c r="U200" s="380">
        <v>0</v>
      </c>
      <c r="V200" s="380">
        <v>16150.6</v>
      </c>
      <c r="W200" s="380">
        <v>0</v>
      </c>
      <c r="X200" s="380">
        <v>0</v>
      </c>
      <c r="Y200" s="380">
        <v>0</v>
      </c>
      <c r="Z200" s="380">
        <v>0</v>
      </c>
      <c r="AA200" s="376" t="s">
        <v>870</v>
      </c>
      <c r="AB200" s="376" t="s">
        <v>871</v>
      </c>
      <c r="AC200" s="376" t="s">
        <v>872</v>
      </c>
      <c r="AD200" s="376" t="s">
        <v>587</v>
      </c>
      <c r="AE200" s="376" t="s">
        <v>873</v>
      </c>
      <c r="AF200" s="376" t="s">
        <v>393</v>
      </c>
      <c r="AG200" s="376" t="s">
        <v>178</v>
      </c>
      <c r="AH200" s="381">
        <v>20.2</v>
      </c>
      <c r="AI200" s="379">
        <v>1592</v>
      </c>
      <c r="AJ200" s="376" t="s">
        <v>179</v>
      </c>
      <c r="AK200" s="376" t="s">
        <v>180</v>
      </c>
      <c r="AL200" s="376" t="s">
        <v>181</v>
      </c>
      <c r="AM200" s="376" t="s">
        <v>182</v>
      </c>
      <c r="AN200" s="376" t="s">
        <v>68</v>
      </c>
      <c r="AO200" s="379">
        <v>80</v>
      </c>
      <c r="AP200" s="385">
        <v>1</v>
      </c>
      <c r="AQ200" s="385">
        <v>0</v>
      </c>
      <c r="AR200" s="383">
        <v>3</v>
      </c>
      <c r="AS200" s="387">
        <f t="shared" si="159"/>
        <v>0</v>
      </c>
      <c r="AT200">
        <f t="shared" si="160"/>
        <v>0</v>
      </c>
      <c r="AU200" s="387" t="str">
        <f>IF(AT200=0,"",IF(AND(AT200=1,M200="F",SUMIF(C2:C1334,C200,AS2:AS1334)&lt;=1),SUMIF(C2:C1334,C200,AS2:AS1334),IF(AND(AT200=1,M200="F",SUMIF(C2:C1334,C200,AS2:AS1334)&gt;1),1,"")))</f>
        <v/>
      </c>
      <c r="AV200" s="387" t="str">
        <f>IF(AT200=0,"",IF(AND(AT200=3,M200="F",SUMIF(C2:C1334,C200,AS2:AS1334)&lt;=1),SUMIF(C2:C1334,C200,AS2:AS1334),IF(AND(AT200=3,M200="F",SUMIF(C2:C1334,C200,AS2:AS1334)&gt;1),1,"")))</f>
        <v/>
      </c>
      <c r="AW200" s="387">
        <f>SUMIF(C2:C1334,C200,O2:O1334)</f>
        <v>2</v>
      </c>
      <c r="AX200" s="387">
        <f>IF(AND(M200="F",AS200&lt;&gt;0),SUMIF(C2:C1334,C200,W2:W1334),0)</f>
        <v>0</v>
      </c>
      <c r="AY200" s="387" t="str">
        <f t="shared" si="161"/>
        <v/>
      </c>
      <c r="AZ200" s="387" t="str">
        <f t="shared" si="162"/>
        <v/>
      </c>
      <c r="BA200" s="387">
        <f t="shared" si="163"/>
        <v>0</v>
      </c>
      <c r="BB200" s="387">
        <f t="shared" si="132"/>
        <v>0</v>
      </c>
      <c r="BC200" s="387">
        <f t="shared" si="133"/>
        <v>0</v>
      </c>
      <c r="BD200" s="387">
        <f t="shared" si="134"/>
        <v>0</v>
      </c>
      <c r="BE200" s="387">
        <f t="shared" si="135"/>
        <v>0</v>
      </c>
      <c r="BF200" s="387">
        <f t="shared" si="136"/>
        <v>0</v>
      </c>
      <c r="BG200" s="387">
        <f t="shared" si="137"/>
        <v>0</v>
      </c>
      <c r="BH200" s="387">
        <f t="shared" si="138"/>
        <v>0</v>
      </c>
      <c r="BI200" s="387">
        <f t="shared" si="139"/>
        <v>0</v>
      </c>
      <c r="BJ200" s="387">
        <f t="shared" si="140"/>
        <v>0</v>
      </c>
      <c r="BK200" s="387">
        <f t="shared" si="141"/>
        <v>0</v>
      </c>
      <c r="BL200" s="387">
        <f t="shared" si="164"/>
        <v>0</v>
      </c>
      <c r="BM200" s="387">
        <f t="shared" si="165"/>
        <v>0</v>
      </c>
      <c r="BN200" s="387">
        <f t="shared" si="142"/>
        <v>0</v>
      </c>
      <c r="BO200" s="387">
        <f t="shared" si="143"/>
        <v>0</v>
      </c>
      <c r="BP200" s="387">
        <f t="shared" si="144"/>
        <v>0</v>
      </c>
      <c r="BQ200" s="387">
        <f t="shared" si="145"/>
        <v>0</v>
      </c>
      <c r="BR200" s="387">
        <f t="shared" si="146"/>
        <v>0</v>
      </c>
      <c r="BS200" s="387">
        <f t="shared" si="147"/>
        <v>0</v>
      </c>
      <c r="BT200" s="387">
        <f t="shared" si="148"/>
        <v>0</v>
      </c>
      <c r="BU200" s="387">
        <f t="shared" si="149"/>
        <v>0</v>
      </c>
      <c r="BV200" s="387">
        <f t="shared" si="150"/>
        <v>0</v>
      </c>
      <c r="BW200" s="387">
        <f t="shared" si="151"/>
        <v>0</v>
      </c>
      <c r="BX200" s="387">
        <f t="shared" si="166"/>
        <v>0</v>
      </c>
      <c r="BY200" s="387">
        <f t="shared" si="167"/>
        <v>0</v>
      </c>
      <c r="BZ200" s="387">
        <f t="shared" si="168"/>
        <v>0</v>
      </c>
      <c r="CA200" s="387">
        <f t="shared" si="169"/>
        <v>0</v>
      </c>
      <c r="CB200" s="387">
        <f t="shared" si="170"/>
        <v>0</v>
      </c>
      <c r="CC200" s="387">
        <f t="shared" si="152"/>
        <v>0</v>
      </c>
      <c r="CD200" s="387">
        <f t="shared" si="153"/>
        <v>0</v>
      </c>
      <c r="CE200" s="387">
        <f t="shared" si="154"/>
        <v>0</v>
      </c>
      <c r="CF200" s="387">
        <f t="shared" si="155"/>
        <v>0</v>
      </c>
      <c r="CG200" s="387">
        <f t="shared" si="156"/>
        <v>0</v>
      </c>
      <c r="CH200" s="387">
        <f t="shared" si="157"/>
        <v>0</v>
      </c>
      <c r="CI200" s="387">
        <f t="shared" si="158"/>
        <v>0</v>
      </c>
      <c r="CJ200" s="387">
        <f t="shared" si="171"/>
        <v>0</v>
      </c>
      <c r="CK200" s="387" t="str">
        <f t="shared" si="172"/>
        <v/>
      </c>
      <c r="CL200" s="387" t="str">
        <f t="shared" si="173"/>
        <v/>
      </c>
      <c r="CM200" s="387" t="str">
        <f t="shared" si="174"/>
        <v/>
      </c>
      <c r="CN200" s="387" t="str">
        <f t="shared" si="175"/>
        <v>0348-31</v>
      </c>
    </row>
    <row r="201" spans="1:92" ht="15.75" thickBot="1" x14ac:dyDescent="0.3">
      <c r="A201" s="376" t="s">
        <v>161</v>
      </c>
      <c r="B201" s="376" t="s">
        <v>162</v>
      </c>
      <c r="C201" s="376" t="s">
        <v>874</v>
      </c>
      <c r="D201" s="376" t="s">
        <v>875</v>
      </c>
      <c r="E201" s="376" t="s">
        <v>224</v>
      </c>
      <c r="F201" s="382" t="s">
        <v>225</v>
      </c>
      <c r="G201" s="376" t="s">
        <v>781</v>
      </c>
      <c r="H201" s="378"/>
      <c r="I201" s="378"/>
      <c r="J201" s="376" t="s">
        <v>215</v>
      </c>
      <c r="K201" s="376" t="s">
        <v>876</v>
      </c>
      <c r="L201" s="376" t="s">
        <v>252</v>
      </c>
      <c r="M201" s="376" t="s">
        <v>171</v>
      </c>
      <c r="N201" s="376" t="s">
        <v>877</v>
      </c>
      <c r="O201" s="379">
        <v>1</v>
      </c>
      <c r="P201" s="385">
        <v>1</v>
      </c>
      <c r="Q201" s="385">
        <v>1</v>
      </c>
      <c r="R201" s="380">
        <v>80</v>
      </c>
      <c r="S201" s="385">
        <v>1</v>
      </c>
      <c r="T201" s="380">
        <v>44853.43</v>
      </c>
      <c r="U201" s="380">
        <v>9591.3799999999992</v>
      </c>
      <c r="V201" s="380">
        <v>24260.44</v>
      </c>
      <c r="W201" s="380">
        <v>46550.400000000001</v>
      </c>
      <c r="X201" s="380">
        <v>21716.48</v>
      </c>
      <c r="Y201" s="380">
        <v>46550.400000000001</v>
      </c>
      <c r="Z201" s="380">
        <v>21520.98</v>
      </c>
      <c r="AA201" s="376" t="s">
        <v>878</v>
      </c>
      <c r="AB201" s="376" t="s">
        <v>879</v>
      </c>
      <c r="AC201" s="376" t="s">
        <v>428</v>
      </c>
      <c r="AD201" s="376" t="s">
        <v>583</v>
      </c>
      <c r="AE201" s="376" t="s">
        <v>876</v>
      </c>
      <c r="AF201" s="376" t="s">
        <v>393</v>
      </c>
      <c r="AG201" s="376" t="s">
        <v>178</v>
      </c>
      <c r="AH201" s="381">
        <v>22.38</v>
      </c>
      <c r="AI201" s="381">
        <v>4690.1000000000004</v>
      </c>
      <c r="AJ201" s="376" t="s">
        <v>179</v>
      </c>
      <c r="AK201" s="376" t="s">
        <v>180</v>
      </c>
      <c r="AL201" s="376" t="s">
        <v>181</v>
      </c>
      <c r="AM201" s="376" t="s">
        <v>182</v>
      </c>
      <c r="AN201" s="376" t="s">
        <v>68</v>
      </c>
      <c r="AO201" s="379">
        <v>80</v>
      </c>
      <c r="AP201" s="385">
        <v>1</v>
      </c>
      <c r="AQ201" s="385">
        <v>1</v>
      </c>
      <c r="AR201" s="383" t="s">
        <v>183</v>
      </c>
      <c r="AS201" s="387">
        <f t="shared" si="159"/>
        <v>1</v>
      </c>
      <c r="AT201">
        <f t="shared" si="160"/>
        <v>1</v>
      </c>
      <c r="AU201" s="387">
        <f>IF(AT201=0,"",IF(AND(AT201=1,M201="F",SUMIF(C2:C1334,C201,AS2:AS1334)&lt;=1),SUMIF(C2:C1334,C201,AS2:AS1334),IF(AND(AT201=1,M201="F",SUMIF(C2:C1334,C201,AS2:AS1334)&gt;1),1,"")))</f>
        <v>1</v>
      </c>
      <c r="AV201" s="387" t="str">
        <f>IF(AT201=0,"",IF(AND(AT201=3,M201="F",SUMIF(C2:C1334,C201,AS2:AS1334)&lt;=1),SUMIF(C2:C1334,C201,AS2:AS1334),IF(AND(AT201=3,M201="F",SUMIF(C2:C1334,C201,AS2:AS1334)&gt;1),1,"")))</f>
        <v/>
      </c>
      <c r="AW201" s="387">
        <f>SUMIF(C2:C1334,C201,O2:O1334)</f>
        <v>1</v>
      </c>
      <c r="AX201" s="387">
        <f>IF(AND(M201="F",AS201&lt;&gt;0),SUMIF(C2:C1334,C201,W2:W1334),0)</f>
        <v>46550.400000000001</v>
      </c>
      <c r="AY201" s="387">
        <f t="shared" si="161"/>
        <v>46550.400000000001</v>
      </c>
      <c r="AZ201" s="387" t="str">
        <f t="shared" si="162"/>
        <v/>
      </c>
      <c r="BA201" s="387">
        <f t="shared" si="163"/>
        <v>0</v>
      </c>
      <c r="BB201" s="387">
        <f t="shared" si="132"/>
        <v>11650</v>
      </c>
      <c r="BC201" s="387">
        <f t="shared" si="133"/>
        <v>0</v>
      </c>
      <c r="BD201" s="387">
        <f t="shared" si="134"/>
        <v>2886.1248000000001</v>
      </c>
      <c r="BE201" s="387">
        <f t="shared" si="135"/>
        <v>674.98080000000004</v>
      </c>
      <c r="BF201" s="387">
        <f t="shared" si="136"/>
        <v>5558.1177600000001</v>
      </c>
      <c r="BG201" s="387">
        <f t="shared" si="137"/>
        <v>335.62838400000004</v>
      </c>
      <c r="BH201" s="387">
        <f t="shared" si="138"/>
        <v>228.09696</v>
      </c>
      <c r="BI201" s="387">
        <f t="shared" si="139"/>
        <v>257.65646400000003</v>
      </c>
      <c r="BJ201" s="387">
        <f t="shared" si="140"/>
        <v>125.68608</v>
      </c>
      <c r="BK201" s="387">
        <f t="shared" si="141"/>
        <v>0</v>
      </c>
      <c r="BL201" s="387">
        <f t="shared" si="164"/>
        <v>10066.291248</v>
      </c>
      <c r="BM201" s="387">
        <f t="shared" si="165"/>
        <v>0</v>
      </c>
      <c r="BN201" s="387">
        <f t="shared" si="142"/>
        <v>11650</v>
      </c>
      <c r="BO201" s="387">
        <f t="shared" si="143"/>
        <v>0</v>
      </c>
      <c r="BP201" s="387">
        <f t="shared" si="144"/>
        <v>2886.1248000000001</v>
      </c>
      <c r="BQ201" s="387">
        <f t="shared" si="145"/>
        <v>674.98080000000004</v>
      </c>
      <c r="BR201" s="387">
        <f t="shared" si="146"/>
        <v>5558.1177600000001</v>
      </c>
      <c r="BS201" s="387">
        <f t="shared" si="147"/>
        <v>335.62838400000004</v>
      </c>
      <c r="BT201" s="387">
        <f t="shared" si="148"/>
        <v>0</v>
      </c>
      <c r="BU201" s="387">
        <f t="shared" si="149"/>
        <v>257.65646400000003</v>
      </c>
      <c r="BV201" s="387">
        <f t="shared" si="150"/>
        <v>158.27135999999999</v>
      </c>
      <c r="BW201" s="387">
        <f t="shared" si="151"/>
        <v>0</v>
      </c>
      <c r="BX201" s="387">
        <f t="shared" si="166"/>
        <v>9870.7795679999999</v>
      </c>
      <c r="BY201" s="387">
        <f t="shared" si="167"/>
        <v>0</v>
      </c>
      <c r="BZ201" s="387">
        <f t="shared" si="168"/>
        <v>0</v>
      </c>
      <c r="CA201" s="387">
        <f t="shared" si="169"/>
        <v>0</v>
      </c>
      <c r="CB201" s="387">
        <f t="shared" si="170"/>
        <v>0</v>
      </c>
      <c r="CC201" s="387">
        <f t="shared" si="152"/>
        <v>0</v>
      </c>
      <c r="CD201" s="387">
        <f t="shared" si="153"/>
        <v>0</v>
      </c>
      <c r="CE201" s="387">
        <f t="shared" si="154"/>
        <v>0</v>
      </c>
      <c r="CF201" s="387">
        <f t="shared" si="155"/>
        <v>-228.09696</v>
      </c>
      <c r="CG201" s="387">
        <f t="shared" si="156"/>
        <v>0</v>
      </c>
      <c r="CH201" s="387">
        <f t="shared" si="157"/>
        <v>32.585279999999983</v>
      </c>
      <c r="CI201" s="387">
        <f t="shared" si="158"/>
        <v>0</v>
      </c>
      <c r="CJ201" s="387">
        <f t="shared" si="171"/>
        <v>-195.51168000000001</v>
      </c>
      <c r="CK201" s="387" t="str">
        <f t="shared" si="172"/>
        <v/>
      </c>
      <c r="CL201" s="387" t="str">
        <f t="shared" si="173"/>
        <v/>
      </c>
      <c r="CM201" s="387" t="str">
        <f t="shared" si="174"/>
        <v/>
      </c>
      <c r="CN201" s="387" t="str">
        <f t="shared" si="175"/>
        <v>0348-31</v>
      </c>
    </row>
    <row r="202" spans="1:92" ht="15.75" thickBot="1" x14ac:dyDescent="0.3">
      <c r="A202" s="376" t="s">
        <v>161</v>
      </c>
      <c r="B202" s="376" t="s">
        <v>162</v>
      </c>
      <c r="C202" s="376" t="s">
        <v>880</v>
      </c>
      <c r="D202" s="376" t="s">
        <v>881</v>
      </c>
      <c r="E202" s="376" t="s">
        <v>224</v>
      </c>
      <c r="F202" s="382" t="s">
        <v>225</v>
      </c>
      <c r="G202" s="376" t="s">
        <v>781</v>
      </c>
      <c r="H202" s="378"/>
      <c r="I202" s="378"/>
      <c r="J202" s="376" t="s">
        <v>215</v>
      </c>
      <c r="K202" s="376" t="s">
        <v>882</v>
      </c>
      <c r="L202" s="376" t="s">
        <v>210</v>
      </c>
      <c r="M202" s="376" t="s">
        <v>171</v>
      </c>
      <c r="N202" s="376" t="s">
        <v>172</v>
      </c>
      <c r="O202" s="379">
        <v>1</v>
      </c>
      <c r="P202" s="385">
        <v>0</v>
      </c>
      <c r="Q202" s="385">
        <v>0</v>
      </c>
      <c r="R202" s="380">
        <v>80</v>
      </c>
      <c r="S202" s="385">
        <v>0</v>
      </c>
      <c r="T202" s="380">
        <v>1138</v>
      </c>
      <c r="U202" s="380">
        <v>0</v>
      </c>
      <c r="V202" s="380">
        <v>469.62</v>
      </c>
      <c r="W202" s="380">
        <v>0</v>
      </c>
      <c r="X202" s="380">
        <v>0</v>
      </c>
      <c r="Y202" s="380">
        <v>0</v>
      </c>
      <c r="Z202" s="380">
        <v>0</v>
      </c>
      <c r="AA202" s="376" t="s">
        <v>883</v>
      </c>
      <c r="AB202" s="376" t="s">
        <v>884</v>
      </c>
      <c r="AC202" s="376" t="s">
        <v>365</v>
      </c>
      <c r="AD202" s="376" t="s">
        <v>198</v>
      </c>
      <c r="AE202" s="376" t="s">
        <v>882</v>
      </c>
      <c r="AF202" s="376" t="s">
        <v>245</v>
      </c>
      <c r="AG202" s="376" t="s">
        <v>178</v>
      </c>
      <c r="AH202" s="381">
        <v>29.94</v>
      </c>
      <c r="AI202" s="381">
        <v>28465.5</v>
      </c>
      <c r="AJ202" s="376" t="s">
        <v>179</v>
      </c>
      <c r="AK202" s="376" t="s">
        <v>180</v>
      </c>
      <c r="AL202" s="376" t="s">
        <v>181</v>
      </c>
      <c r="AM202" s="376" t="s">
        <v>182</v>
      </c>
      <c r="AN202" s="376" t="s">
        <v>68</v>
      </c>
      <c r="AO202" s="379">
        <v>80</v>
      </c>
      <c r="AP202" s="385">
        <v>1</v>
      </c>
      <c r="AQ202" s="385">
        <v>0</v>
      </c>
      <c r="AR202" s="383" t="s">
        <v>183</v>
      </c>
      <c r="AS202" s="387">
        <f t="shared" si="159"/>
        <v>0</v>
      </c>
      <c r="AT202">
        <f t="shared" si="160"/>
        <v>0</v>
      </c>
      <c r="AU202" s="387" t="str">
        <f>IF(AT202=0,"",IF(AND(AT202=1,M202="F",SUMIF(C2:C1334,C202,AS2:AS1334)&lt;=1),SUMIF(C2:C1334,C202,AS2:AS1334),IF(AND(AT202=1,M202="F",SUMIF(C2:C1334,C202,AS2:AS1334)&gt;1),1,"")))</f>
        <v/>
      </c>
      <c r="AV202" s="387" t="str">
        <f>IF(AT202=0,"",IF(AND(AT202=3,M202="F",SUMIF(C2:C1334,C202,AS2:AS1334)&lt;=1),SUMIF(C2:C1334,C202,AS2:AS1334),IF(AND(AT202=3,M202="F",SUMIF(C2:C1334,C202,AS2:AS1334)&gt;1),1,"")))</f>
        <v/>
      </c>
      <c r="AW202" s="387">
        <f>SUMIF(C2:C1334,C202,O2:O1334)</f>
        <v>2</v>
      </c>
      <c r="AX202" s="387">
        <f>IF(AND(M202="F",AS202&lt;&gt;0),SUMIF(C2:C1334,C202,W2:W1334),0)</f>
        <v>0</v>
      </c>
      <c r="AY202" s="387" t="str">
        <f t="shared" si="161"/>
        <v/>
      </c>
      <c r="AZ202" s="387" t="str">
        <f t="shared" si="162"/>
        <v/>
      </c>
      <c r="BA202" s="387">
        <f t="shared" si="163"/>
        <v>0</v>
      </c>
      <c r="BB202" s="387">
        <f t="shared" si="132"/>
        <v>0</v>
      </c>
      <c r="BC202" s="387">
        <f t="shared" si="133"/>
        <v>0</v>
      </c>
      <c r="BD202" s="387">
        <f t="shared" si="134"/>
        <v>0</v>
      </c>
      <c r="BE202" s="387">
        <f t="shared" si="135"/>
        <v>0</v>
      </c>
      <c r="BF202" s="387">
        <f t="shared" si="136"/>
        <v>0</v>
      </c>
      <c r="BG202" s="387">
        <f t="shared" si="137"/>
        <v>0</v>
      </c>
      <c r="BH202" s="387">
        <f t="shared" si="138"/>
        <v>0</v>
      </c>
      <c r="BI202" s="387">
        <f t="shared" si="139"/>
        <v>0</v>
      </c>
      <c r="BJ202" s="387">
        <f t="shared" si="140"/>
        <v>0</v>
      </c>
      <c r="BK202" s="387">
        <f t="shared" si="141"/>
        <v>0</v>
      </c>
      <c r="BL202" s="387">
        <f t="shared" si="164"/>
        <v>0</v>
      </c>
      <c r="BM202" s="387">
        <f t="shared" si="165"/>
        <v>0</v>
      </c>
      <c r="BN202" s="387">
        <f t="shared" si="142"/>
        <v>0</v>
      </c>
      <c r="BO202" s="387">
        <f t="shared" si="143"/>
        <v>0</v>
      </c>
      <c r="BP202" s="387">
        <f t="shared" si="144"/>
        <v>0</v>
      </c>
      <c r="BQ202" s="387">
        <f t="shared" si="145"/>
        <v>0</v>
      </c>
      <c r="BR202" s="387">
        <f t="shared" si="146"/>
        <v>0</v>
      </c>
      <c r="BS202" s="387">
        <f t="shared" si="147"/>
        <v>0</v>
      </c>
      <c r="BT202" s="387">
        <f t="shared" si="148"/>
        <v>0</v>
      </c>
      <c r="BU202" s="387">
        <f t="shared" si="149"/>
        <v>0</v>
      </c>
      <c r="BV202" s="387">
        <f t="shared" si="150"/>
        <v>0</v>
      </c>
      <c r="BW202" s="387">
        <f t="shared" si="151"/>
        <v>0</v>
      </c>
      <c r="BX202" s="387">
        <f t="shared" si="166"/>
        <v>0</v>
      </c>
      <c r="BY202" s="387">
        <f t="shared" si="167"/>
        <v>0</v>
      </c>
      <c r="BZ202" s="387">
        <f t="shared" si="168"/>
        <v>0</v>
      </c>
      <c r="CA202" s="387">
        <f t="shared" si="169"/>
        <v>0</v>
      </c>
      <c r="CB202" s="387">
        <f t="shared" si="170"/>
        <v>0</v>
      </c>
      <c r="CC202" s="387">
        <f t="shared" si="152"/>
        <v>0</v>
      </c>
      <c r="CD202" s="387">
        <f t="shared" si="153"/>
        <v>0</v>
      </c>
      <c r="CE202" s="387">
        <f t="shared" si="154"/>
        <v>0</v>
      </c>
      <c r="CF202" s="387">
        <f t="shared" si="155"/>
        <v>0</v>
      </c>
      <c r="CG202" s="387">
        <f t="shared" si="156"/>
        <v>0</v>
      </c>
      <c r="CH202" s="387">
        <f t="shared" si="157"/>
        <v>0</v>
      </c>
      <c r="CI202" s="387">
        <f t="shared" si="158"/>
        <v>0</v>
      </c>
      <c r="CJ202" s="387">
        <f t="shared" si="171"/>
        <v>0</v>
      </c>
      <c r="CK202" s="387" t="str">
        <f t="shared" si="172"/>
        <v/>
      </c>
      <c r="CL202" s="387" t="str">
        <f t="shared" si="173"/>
        <v/>
      </c>
      <c r="CM202" s="387" t="str">
        <f t="shared" si="174"/>
        <v/>
      </c>
      <c r="CN202" s="387" t="str">
        <f t="shared" si="175"/>
        <v>0348-31</v>
      </c>
    </row>
    <row r="203" spans="1:92" ht="15.75" thickBot="1" x14ac:dyDescent="0.3">
      <c r="A203" s="376" t="s">
        <v>161</v>
      </c>
      <c r="B203" s="376" t="s">
        <v>162</v>
      </c>
      <c r="C203" s="376" t="s">
        <v>885</v>
      </c>
      <c r="D203" s="376" t="s">
        <v>706</v>
      </c>
      <c r="E203" s="376" t="s">
        <v>224</v>
      </c>
      <c r="F203" s="382" t="s">
        <v>225</v>
      </c>
      <c r="G203" s="376" t="s">
        <v>781</v>
      </c>
      <c r="H203" s="378"/>
      <c r="I203" s="378"/>
      <c r="J203" s="376" t="s">
        <v>215</v>
      </c>
      <c r="K203" s="376" t="s">
        <v>707</v>
      </c>
      <c r="L203" s="376" t="s">
        <v>210</v>
      </c>
      <c r="M203" s="376" t="s">
        <v>171</v>
      </c>
      <c r="N203" s="376" t="s">
        <v>172</v>
      </c>
      <c r="O203" s="379">
        <v>1</v>
      </c>
      <c r="P203" s="385">
        <v>1</v>
      </c>
      <c r="Q203" s="385">
        <v>1</v>
      </c>
      <c r="R203" s="380">
        <v>80</v>
      </c>
      <c r="S203" s="385">
        <v>1</v>
      </c>
      <c r="T203" s="380">
        <v>56517.599999999999</v>
      </c>
      <c r="U203" s="380">
        <v>0</v>
      </c>
      <c r="V203" s="380">
        <v>23335.68</v>
      </c>
      <c r="W203" s="380">
        <v>59259.199999999997</v>
      </c>
      <c r="X203" s="380">
        <v>24464.76</v>
      </c>
      <c r="Y203" s="380">
        <v>59259.199999999997</v>
      </c>
      <c r="Z203" s="380">
        <v>24215.88</v>
      </c>
      <c r="AA203" s="376" t="s">
        <v>886</v>
      </c>
      <c r="AB203" s="376" t="s">
        <v>887</v>
      </c>
      <c r="AC203" s="376" t="s">
        <v>888</v>
      </c>
      <c r="AD203" s="376" t="s">
        <v>889</v>
      </c>
      <c r="AE203" s="376" t="s">
        <v>707</v>
      </c>
      <c r="AF203" s="376" t="s">
        <v>245</v>
      </c>
      <c r="AG203" s="376" t="s">
        <v>178</v>
      </c>
      <c r="AH203" s="381">
        <v>28.49</v>
      </c>
      <c r="AI203" s="381">
        <v>3741.1</v>
      </c>
      <c r="AJ203" s="376" t="s">
        <v>179</v>
      </c>
      <c r="AK203" s="376" t="s">
        <v>180</v>
      </c>
      <c r="AL203" s="376" t="s">
        <v>181</v>
      </c>
      <c r="AM203" s="376" t="s">
        <v>182</v>
      </c>
      <c r="AN203" s="376" t="s">
        <v>68</v>
      </c>
      <c r="AO203" s="379">
        <v>80</v>
      </c>
      <c r="AP203" s="385">
        <v>1</v>
      </c>
      <c r="AQ203" s="385">
        <v>1</v>
      </c>
      <c r="AR203" s="383" t="s">
        <v>183</v>
      </c>
      <c r="AS203" s="387">
        <f t="shared" si="159"/>
        <v>1</v>
      </c>
      <c r="AT203">
        <f t="shared" si="160"/>
        <v>1</v>
      </c>
      <c r="AU203" s="387">
        <f>IF(AT203=0,"",IF(AND(AT203=1,M203="F",SUMIF(C2:C1334,C203,AS2:AS1334)&lt;=1),SUMIF(C2:C1334,C203,AS2:AS1334),IF(AND(AT203=1,M203="F",SUMIF(C2:C1334,C203,AS2:AS1334)&gt;1),1,"")))</f>
        <v>1</v>
      </c>
      <c r="AV203" s="387" t="str">
        <f>IF(AT203=0,"",IF(AND(AT203=3,M203="F",SUMIF(C2:C1334,C203,AS2:AS1334)&lt;=1),SUMIF(C2:C1334,C203,AS2:AS1334),IF(AND(AT203=3,M203="F",SUMIF(C2:C1334,C203,AS2:AS1334)&gt;1),1,"")))</f>
        <v/>
      </c>
      <c r="AW203" s="387">
        <f>SUMIF(C2:C1334,C203,O2:O1334)</f>
        <v>1</v>
      </c>
      <c r="AX203" s="387">
        <f>IF(AND(M203="F",AS203&lt;&gt;0),SUMIF(C2:C1334,C203,W2:W1334),0)</f>
        <v>59259.199999999997</v>
      </c>
      <c r="AY203" s="387">
        <f t="shared" si="161"/>
        <v>59259.199999999997</v>
      </c>
      <c r="AZ203" s="387" t="str">
        <f t="shared" si="162"/>
        <v/>
      </c>
      <c r="BA203" s="387">
        <f t="shared" si="163"/>
        <v>0</v>
      </c>
      <c r="BB203" s="387">
        <f t="shared" si="132"/>
        <v>11650</v>
      </c>
      <c r="BC203" s="387">
        <f t="shared" si="133"/>
        <v>0</v>
      </c>
      <c r="BD203" s="387">
        <f t="shared" si="134"/>
        <v>3674.0703999999996</v>
      </c>
      <c r="BE203" s="387">
        <f t="shared" si="135"/>
        <v>859.25840000000005</v>
      </c>
      <c r="BF203" s="387">
        <f t="shared" si="136"/>
        <v>7075.5484800000004</v>
      </c>
      <c r="BG203" s="387">
        <f t="shared" si="137"/>
        <v>427.25883199999998</v>
      </c>
      <c r="BH203" s="387">
        <f t="shared" si="138"/>
        <v>290.37007999999997</v>
      </c>
      <c r="BI203" s="387">
        <f t="shared" si="139"/>
        <v>327.99967199999998</v>
      </c>
      <c r="BJ203" s="387">
        <f t="shared" si="140"/>
        <v>159.99984000000001</v>
      </c>
      <c r="BK203" s="387">
        <f t="shared" si="141"/>
        <v>0</v>
      </c>
      <c r="BL203" s="387">
        <f t="shared" si="164"/>
        <v>12814.505704000001</v>
      </c>
      <c r="BM203" s="387">
        <f t="shared" si="165"/>
        <v>0</v>
      </c>
      <c r="BN203" s="387">
        <f t="shared" si="142"/>
        <v>11650</v>
      </c>
      <c r="BO203" s="387">
        <f t="shared" si="143"/>
        <v>0</v>
      </c>
      <c r="BP203" s="387">
        <f t="shared" si="144"/>
        <v>3674.0703999999996</v>
      </c>
      <c r="BQ203" s="387">
        <f t="shared" si="145"/>
        <v>859.25840000000005</v>
      </c>
      <c r="BR203" s="387">
        <f t="shared" si="146"/>
        <v>7075.5484800000004</v>
      </c>
      <c r="BS203" s="387">
        <f t="shared" si="147"/>
        <v>427.25883199999998</v>
      </c>
      <c r="BT203" s="387">
        <f t="shared" si="148"/>
        <v>0</v>
      </c>
      <c r="BU203" s="387">
        <f t="shared" si="149"/>
        <v>327.99967199999998</v>
      </c>
      <c r="BV203" s="387">
        <f t="shared" si="150"/>
        <v>201.48127999999997</v>
      </c>
      <c r="BW203" s="387">
        <f t="shared" si="151"/>
        <v>0</v>
      </c>
      <c r="BX203" s="387">
        <f t="shared" si="166"/>
        <v>12565.617064</v>
      </c>
      <c r="BY203" s="387">
        <f t="shared" si="167"/>
        <v>0</v>
      </c>
      <c r="BZ203" s="387">
        <f t="shared" si="168"/>
        <v>0</v>
      </c>
      <c r="CA203" s="387">
        <f t="shared" si="169"/>
        <v>0</v>
      </c>
      <c r="CB203" s="387">
        <f t="shared" si="170"/>
        <v>0</v>
      </c>
      <c r="CC203" s="387">
        <f t="shared" si="152"/>
        <v>0</v>
      </c>
      <c r="CD203" s="387">
        <f t="shared" si="153"/>
        <v>0</v>
      </c>
      <c r="CE203" s="387">
        <f t="shared" si="154"/>
        <v>0</v>
      </c>
      <c r="CF203" s="387">
        <f t="shared" si="155"/>
        <v>-290.37007999999997</v>
      </c>
      <c r="CG203" s="387">
        <f t="shared" si="156"/>
        <v>0</v>
      </c>
      <c r="CH203" s="387">
        <f t="shared" si="157"/>
        <v>41.481439999999978</v>
      </c>
      <c r="CI203" s="387">
        <f t="shared" si="158"/>
        <v>0</v>
      </c>
      <c r="CJ203" s="387">
        <f t="shared" si="171"/>
        <v>-248.88864000000001</v>
      </c>
      <c r="CK203" s="387" t="str">
        <f t="shared" si="172"/>
        <v/>
      </c>
      <c r="CL203" s="387" t="str">
        <f t="shared" si="173"/>
        <v/>
      </c>
      <c r="CM203" s="387" t="str">
        <f t="shared" si="174"/>
        <v/>
      </c>
      <c r="CN203" s="387" t="str">
        <f t="shared" si="175"/>
        <v>0348-31</v>
      </c>
    </row>
    <row r="204" spans="1:92" ht="15.75" thickBot="1" x14ac:dyDescent="0.3">
      <c r="A204" s="376" t="s">
        <v>161</v>
      </c>
      <c r="B204" s="376" t="s">
        <v>162</v>
      </c>
      <c r="C204" s="376" t="s">
        <v>890</v>
      </c>
      <c r="D204" s="376" t="s">
        <v>891</v>
      </c>
      <c r="E204" s="376" t="s">
        <v>224</v>
      </c>
      <c r="F204" s="382" t="s">
        <v>225</v>
      </c>
      <c r="G204" s="376" t="s">
        <v>781</v>
      </c>
      <c r="H204" s="378"/>
      <c r="I204" s="378"/>
      <c r="J204" s="376" t="s">
        <v>239</v>
      </c>
      <c r="K204" s="376" t="s">
        <v>892</v>
      </c>
      <c r="L204" s="376" t="s">
        <v>432</v>
      </c>
      <c r="M204" s="376" t="s">
        <v>566</v>
      </c>
      <c r="N204" s="376" t="s">
        <v>172</v>
      </c>
      <c r="O204" s="379">
        <v>0</v>
      </c>
      <c r="P204" s="385">
        <v>0</v>
      </c>
      <c r="Q204" s="385">
        <v>0</v>
      </c>
      <c r="R204" s="380">
        <v>80</v>
      </c>
      <c r="S204" s="385">
        <v>0</v>
      </c>
      <c r="T204" s="380">
        <v>2739.75</v>
      </c>
      <c r="U204" s="380">
        <v>0</v>
      </c>
      <c r="V204" s="380">
        <v>922.22</v>
      </c>
      <c r="W204" s="380">
        <v>0</v>
      </c>
      <c r="X204" s="380">
        <v>0</v>
      </c>
      <c r="Y204" s="380">
        <v>0</v>
      </c>
      <c r="Z204" s="380">
        <v>0</v>
      </c>
      <c r="AA204" s="378"/>
      <c r="AB204" s="376" t="s">
        <v>45</v>
      </c>
      <c r="AC204" s="376" t="s">
        <v>45</v>
      </c>
      <c r="AD204" s="378"/>
      <c r="AE204" s="378"/>
      <c r="AF204" s="378"/>
      <c r="AG204" s="378"/>
      <c r="AH204" s="379">
        <v>0</v>
      </c>
      <c r="AI204" s="379">
        <v>0</v>
      </c>
      <c r="AJ204" s="378"/>
      <c r="AK204" s="378"/>
      <c r="AL204" s="376" t="s">
        <v>181</v>
      </c>
      <c r="AM204" s="378"/>
      <c r="AN204" s="378"/>
      <c r="AO204" s="379">
        <v>0</v>
      </c>
      <c r="AP204" s="385">
        <v>0</v>
      </c>
      <c r="AQ204" s="385">
        <v>0</v>
      </c>
      <c r="AR204" s="384"/>
      <c r="AS204" s="387">
        <f t="shared" si="159"/>
        <v>0</v>
      </c>
      <c r="AT204">
        <f t="shared" si="160"/>
        <v>0</v>
      </c>
      <c r="AU204" s="387" t="str">
        <f>IF(AT204=0,"",IF(AND(AT204=1,M204="F",SUMIF(C2:C1334,C204,AS2:AS1334)&lt;=1),SUMIF(C2:C1334,C204,AS2:AS1334),IF(AND(AT204=1,M204="F",SUMIF(C2:C1334,C204,AS2:AS1334)&gt;1),1,"")))</f>
        <v/>
      </c>
      <c r="AV204" s="387" t="str">
        <f>IF(AT204=0,"",IF(AND(AT204=3,M204="F",SUMIF(C2:C1334,C204,AS2:AS1334)&lt;=1),SUMIF(C2:C1334,C204,AS2:AS1334),IF(AND(AT204=3,M204="F",SUMIF(C2:C1334,C204,AS2:AS1334)&gt;1),1,"")))</f>
        <v/>
      </c>
      <c r="AW204" s="387">
        <f>SUMIF(C2:C1334,C204,O2:O1334)</f>
        <v>0</v>
      </c>
      <c r="AX204" s="387">
        <f>IF(AND(M204="F",AS204&lt;&gt;0),SUMIF(C2:C1334,C204,W2:W1334),0)</f>
        <v>0</v>
      </c>
      <c r="AY204" s="387" t="str">
        <f t="shared" si="161"/>
        <v/>
      </c>
      <c r="AZ204" s="387" t="str">
        <f t="shared" si="162"/>
        <v/>
      </c>
      <c r="BA204" s="387">
        <f t="shared" si="163"/>
        <v>0</v>
      </c>
      <c r="BB204" s="387">
        <f t="shared" si="132"/>
        <v>0</v>
      </c>
      <c r="BC204" s="387">
        <f t="shared" si="133"/>
        <v>0</v>
      </c>
      <c r="BD204" s="387">
        <f t="shared" si="134"/>
        <v>0</v>
      </c>
      <c r="BE204" s="387">
        <f t="shared" si="135"/>
        <v>0</v>
      </c>
      <c r="BF204" s="387">
        <f t="shared" si="136"/>
        <v>0</v>
      </c>
      <c r="BG204" s="387">
        <f t="shared" si="137"/>
        <v>0</v>
      </c>
      <c r="BH204" s="387">
        <f t="shared" si="138"/>
        <v>0</v>
      </c>
      <c r="BI204" s="387">
        <f t="shared" si="139"/>
        <v>0</v>
      </c>
      <c r="BJ204" s="387">
        <f t="shared" si="140"/>
        <v>0</v>
      </c>
      <c r="BK204" s="387">
        <f t="shared" si="141"/>
        <v>0</v>
      </c>
      <c r="BL204" s="387">
        <f t="shared" si="164"/>
        <v>0</v>
      </c>
      <c r="BM204" s="387">
        <f t="shared" si="165"/>
        <v>0</v>
      </c>
      <c r="BN204" s="387">
        <f t="shared" si="142"/>
        <v>0</v>
      </c>
      <c r="BO204" s="387">
        <f t="shared" si="143"/>
        <v>0</v>
      </c>
      <c r="BP204" s="387">
        <f t="shared" si="144"/>
        <v>0</v>
      </c>
      <c r="BQ204" s="387">
        <f t="shared" si="145"/>
        <v>0</v>
      </c>
      <c r="BR204" s="387">
        <f t="shared" si="146"/>
        <v>0</v>
      </c>
      <c r="BS204" s="387">
        <f t="shared" si="147"/>
        <v>0</v>
      </c>
      <c r="BT204" s="387">
        <f t="shared" si="148"/>
        <v>0</v>
      </c>
      <c r="BU204" s="387">
        <f t="shared" si="149"/>
        <v>0</v>
      </c>
      <c r="BV204" s="387">
        <f t="shared" si="150"/>
        <v>0</v>
      </c>
      <c r="BW204" s="387">
        <f t="shared" si="151"/>
        <v>0</v>
      </c>
      <c r="BX204" s="387">
        <f t="shared" si="166"/>
        <v>0</v>
      </c>
      <c r="BY204" s="387">
        <f t="shared" si="167"/>
        <v>0</v>
      </c>
      <c r="BZ204" s="387">
        <f t="shared" si="168"/>
        <v>0</v>
      </c>
      <c r="CA204" s="387">
        <f t="shared" si="169"/>
        <v>0</v>
      </c>
      <c r="CB204" s="387">
        <f t="shared" si="170"/>
        <v>0</v>
      </c>
      <c r="CC204" s="387">
        <f t="shared" si="152"/>
        <v>0</v>
      </c>
      <c r="CD204" s="387">
        <f t="shared" si="153"/>
        <v>0</v>
      </c>
      <c r="CE204" s="387">
        <f t="shared" si="154"/>
        <v>0</v>
      </c>
      <c r="CF204" s="387">
        <f t="shared" si="155"/>
        <v>0</v>
      </c>
      <c r="CG204" s="387">
        <f t="shared" si="156"/>
        <v>0</v>
      </c>
      <c r="CH204" s="387">
        <f t="shared" si="157"/>
        <v>0</v>
      </c>
      <c r="CI204" s="387">
        <f t="shared" si="158"/>
        <v>0</v>
      </c>
      <c r="CJ204" s="387">
        <f t="shared" si="171"/>
        <v>0</v>
      </c>
      <c r="CK204" s="387" t="str">
        <f t="shared" si="172"/>
        <v/>
      </c>
      <c r="CL204" s="387" t="str">
        <f t="shared" si="173"/>
        <v/>
      </c>
      <c r="CM204" s="387" t="str">
        <f t="shared" si="174"/>
        <v/>
      </c>
      <c r="CN204" s="387" t="str">
        <f t="shared" si="175"/>
        <v>0348-31</v>
      </c>
    </row>
    <row r="205" spans="1:92" ht="15.75" thickBot="1" x14ac:dyDescent="0.3">
      <c r="A205" s="376" t="s">
        <v>161</v>
      </c>
      <c r="B205" s="376" t="s">
        <v>162</v>
      </c>
      <c r="C205" s="376" t="s">
        <v>893</v>
      </c>
      <c r="D205" s="376" t="s">
        <v>868</v>
      </c>
      <c r="E205" s="376" t="s">
        <v>224</v>
      </c>
      <c r="F205" s="382" t="s">
        <v>225</v>
      </c>
      <c r="G205" s="376" t="s">
        <v>781</v>
      </c>
      <c r="H205" s="378"/>
      <c r="I205" s="378"/>
      <c r="J205" s="376" t="s">
        <v>215</v>
      </c>
      <c r="K205" s="376" t="s">
        <v>894</v>
      </c>
      <c r="L205" s="376" t="s">
        <v>170</v>
      </c>
      <c r="M205" s="376" t="s">
        <v>272</v>
      </c>
      <c r="N205" s="376" t="s">
        <v>172</v>
      </c>
      <c r="O205" s="379">
        <v>0</v>
      </c>
      <c r="P205" s="385">
        <v>0</v>
      </c>
      <c r="Q205" s="385">
        <v>0</v>
      </c>
      <c r="R205" s="380">
        <v>80</v>
      </c>
      <c r="S205" s="385">
        <v>0</v>
      </c>
      <c r="T205" s="380">
        <v>23975.16</v>
      </c>
      <c r="U205" s="380">
        <v>1577.6</v>
      </c>
      <c r="V205" s="380">
        <v>10178.94</v>
      </c>
      <c r="W205" s="380">
        <v>0</v>
      </c>
      <c r="X205" s="380">
        <v>0</v>
      </c>
      <c r="Y205" s="380">
        <v>0</v>
      </c>
      <c r="Z205" s="380">
        <v>0</v>
      </c>
      <c r="AA205" s="378"/>
      <c r="AB205" s="376" t="s">
        <v>45</v>
      </c>
      <c r="AC205" s="376" t="s">
        <v>45</v>
      </c>
      <c r="AD205" s="378"/>
      <c r="AE205" s="378"/>
      <c r="AF205" s="378"/>
      <c r="AG205" s="378"/>
      <c r="AH205" s="379">
        <v>0</v>
      </c>
      <c r="AI205" s="379">
        <v>0</v>
      </c>
      <c r="AJ205" s="378"/>
      <c r="AK205" s="378"/>
      <c r="AL205" s="376" t="s">
        <v>181</v>
      </c>
      <c r="AM205" s="378"/>
      <c r="AN205" s="378"/>
      <c r="AO205" s="379">
        <v>0</v>
      </c>
      <c r="AP205" s="385">
        <v>0</v>
      </c>
      <c r="AQ205" s="385">
        <v>0</v>
      </c>
      <c r="AR205" s="384"/>
      <c r="AS205" s="387">
        <f t="shared" si="159"/>
        <v>0</v>
      </c>
      <c r="AT205">
        <f t="shared" si="160"/>
        <v>0</v>
      </c>
      <c r="AU205" s="387" t="str">
        <f>IF(AT205=0,"",IF(AND(AT205=1,M205="F",SUMIF(C2:C1334,C205,AS2:AS1334)&lt;=1),SUMIF(C2:C1334,C205,AS2:AS1334),IF(AND(AT205=1,M205="F",SUMIF(C2:C1334,C205,AS2:AS1334)&gt;1),1,"")))</f>
        <v/>
      </c>
      <c r="AV205" s="387" t="str">
        <f>IF(AT205=0,"",IF(AND(AT205=3,M205="F",SUMIF(C2:C1334,C205,AS2:AS1334)&lt;=1),SUMIF(C2:C1334,C205,AS2:AS1334),IF(AND(AT205=3,M205="F",SUMIF(C2:C1334,C205,AS2:AS1334)&gt;1),1,"")))</f>
        <v/>
      </c>
      <c r="AW205" s="387">
        <f>SUMIF(C2:C1334,C205,O2:O1334)</f>
        <v>0</v>
      </c>
      <c r="AX205" s="387">
        <f>IF(AND(M205="F",AS205&lt;&gt;0),SUMIF(C2:C1334,C205,W2:W1334),0)</f>
        <v>0</v>
      </c>
      <c r="AY205" s="387" t="str">
        <f t="shared" si="161"/>
        <v/>
      </c>
      <c r="AZ205" s="387" t="str">
        <f t="shared" si="162"/>
        <v/>
      </c>
      <c r="BA205" s="387">
        <f t="shared" si="163"/>
        <v>0</v>
      </c>
      <c r="BB205" s="387">
        <f t="shared" si="132"/>
        <v>0</v>
      </c>
      <c r="BC205" s="387">
        <f t="shared" si="133"/>
        <v>0</v>
      </c>
      <c r="BD205" s="387">
        <f t="shared" si="134"/>
        <v>0</v>
      </c>
      <c r="BE205" s="387">
        <f t="shared" si="135"/>
        <v>0</v>
      </c>
      <c r="BF205" s="387">
        <f t="shared" si="136"/>
        <v>0</v>
      </c>
      <c r="BG205" s="387">
        <f t="shared" si="137"/>
        <v>0</v>
      </c>
      <c r="BH205" s="387">
        <f t="shared" si="138"/>
        <v>0</v>
      </c>
      <c r="BI205" s="387">
        <f t="shared" si="139"/>
        <v>0</v>
      </c>
      <c r="BJ205" s="387">
        <f t="shared" si="140"/>
        <v>0</v>
      </c>
      <c r="BK205" s="387">
        <f t="shared" si="141"/>
        <v>0</v>
      </c>
      <c r="BL205" s="387">
        <f t="shared" si="164"/>
        <v>0</v>
      </c>
      <c r="BM205" s="387">
        <f t="shared" si="165"/>
        <v>0</v>
      </c>
      <c r="BN205" s="387">
        <f t="shared" si="142"/>
        <v>0</v>
      </c>
      <c r="BO205" s="387">
        <f t="shared" si="143"/>
        <v>0</v>
      </c>
      <c r="BP205" s="387">
        <f t="shared" si="144"/>
        <v>0</v>
      </c>
      <c r="BQ205" s="387">
        <f t="shared" si="145"/>
        <v>0</v>
      </c>
      <c r="BR205" s="387">
        <f t="shared" si="146"/>
        <v>0</v>
      </c>
      <c r="BS205" s="387">
        <f t="shared" si="147"/>
        <v>0</v>
      </c>
      <c r="BT205" s="387">
        <f t="shared" si="148"/>
        <v>0</v>
      </c>
      <c r="BU205" s="387">
        <f t="shared" si="149"/>
        <v>0</v>
      </c>
      <c r="BV205" s="387">
        <f t="shared" si="150"/>
        <v>0</v>
      </c>
      <c r="BW205" s="387">
        <f t="shared" si="151"/>
        <v>0</v>
      </c>
      <c r="BX205" s="387">
        <f t="shared" si="166"/>
        <v>0</v>
      </c>
      <c r="BY205" s="387">
        <f t="shared" si="167"/>
        <v>0</v>
      </c>
      <c r="BZ205" s="387">
        <f t="shared" si="168"/>
        <v>0</v>
      </c>
      <c r="CA205" s="387">
        <f t="shared" si="169"/>
        <v>0</v>
      </c>
      <c r="CB205" s="387">
        <f t="shared" si="170"/>
        <v>0</v>
      </c>
      <c r="CC205" s="387">
        <f t="shared" si="152"/>
        <v>0</v>
      </c>
      <c r="CD205" s="387">
        <f t="shared" si="153"/>
        <v>0</v>
      </c>
      <c r="CE205" s="387">
        <f t="shared" si="154"/>
        <v>0</v>
      </c>
      <c r="CF205" s="387">
        <f t="shared" si="155"/>
        <v>0</v>
      </c>
      <c r="CG205" s="387">
        <f t="shared" si="156"/>
        <v>0</v>
      </c>
      <c r="CH205" s="387">
        <f t="shared" si="157"/>
        <v>0</v>
      </c>
      <c r="CI205" s="387">
        <f t="shared" si="158"/>
        <v>0</v>
      </c>
      <c r="CJ205" s="387">
        <f t="shared" si="171"/>
        <v>0</v>
      </c>
      <c r="CK205" s="387" t="str">
        <f t="shared" si="172"/>
        <v/>
      </c>
      <c r="CL205" s="387" t="str">
        <f t="shared" si="173"/>
        <v/>
      </c>
      <c r="CM205" s="387" t="str">
        <f t="shared" si="174"/>
        <v/>
      </c>
      <c r="CN205" s="387" t="str">
        <f t="shared" si="175"/>
        <v>0348-31</v>
      </c>
    </row>
    <row r="206" spans="1:92" ht="15.75" thickBot="1" x14ac:dyDescent="0.3">
      <c r="A206" s="376" t="s">
        <v>161</v>
      </c>
      <c r="B206" s="376" t="s">
        <v>162</v>
      </c>
      <c r="C206" s="376" t="s">
        <v>280</v>
      </c>
      <c r="D206" s="376" t="s">
        <v>255</v>
      </c>
      <c r="E206" s="376" t="s">
        <v>224</v>
      </c>
      <c r="F206" s="382" t="s">
        <v>225</v>
      </c>
      <c r="G206" s="376" t="s">
        <v>781</v>
      </c>
      <c r="H206" s="378"/>
      <c r="I206" s="378"/>
      <c r="J206" s="376" t="s">
        <v>205</v>
      </c>
      <c r="K206" s="376" t="s">
        <v>256</v>
      </c>
      <c r="L206" s="376" t="s">
        <v>166</v>
      </c>
      <c r="M206" s="376" t="s">
        <v>171</v>
      </c>
      <c r="N206" s="376" t="s">
        <v>257</v>
      </c>
      <c r="O206" s="379">
        <v>1</v>
      </c>
      <c r="P206" s="385">
        <v>0.95</v>
      </c>
      <c r="Q206" s="385">
        <v>0.95</v>
      </c>
      <c r="R206" s="380">
        <v>80</v>
      </c>
      <c r="S206" s="385">
        <v>0.95</v>
      </c>
      <c r="T206" s="380">
        <v>109216.27</v>
      </c>
      <c r="U206" s="380">
        <v>0</v>
      </c>
      <c r="V206" s="380">
        <v>32554.87</v>
      </c>
      <c r="W206" s="380">
        <v>117097.76</v>
      </c>
      <c r="X206" s="380">
        <v>35741.129999999997</v>
      </c>
      <c r="Y206" s="380">
        <v>117097.76</v>
      </c>
      <c r="Z206" s="380">
        <v>35249.32</v>
      </c>
      <c r="AA206" s="376" t="s">
        <v>281</v>
      </c>
      <c r="AB206" s="376" t="s">
        <v>282</v>
      </c>
      <c r="AC206" s="376" t="s">
        <v>283</v>
      </c>
      <c r="AD206" s="376" t="s">
        <v>210</v>
      </c>
      <c r="AE206" s="376" t="s">
        <v>256</v>
      </c>
      <c r="AF206" s="376" t="s">
        <v>261</v>
      </c>
      <c r="AG206" s="376" t="s">
        <v>178</v>
      </c>
      <c r="AH206" s="381">
        <v>59.26</v>
      </c>
      <c r="AI206" s="381">
        <v>47005.3</v>
      </c>
      <c r="AJ206" s="376" t="s">
        <v>179</v>
      </c>
      <c r="AK206" s="376" t="s">
        <v>180</v>
      </c>
      <c r="AL206" s="376" t="s">
        <v>181</v>
      </c>
      <c r="AM206" s="376" t="s">
        <v>182</v>
      </c>
      <c r="AN206" s="376" t="s">
        <v>68</v>
      </c>
      <c r="AO206" s="379">
        <v>80</v>
      </c>
      <c r="AP206" s="385">
        <v>1</v>
      </c>
      <c r="AQ206" s="385">
        <v>0.95</v>
      </c>
      <c r="AR206" s="383" t="s">
        <v>183</v>
      </c>
      <c r="AS206" s="387">
        <f t="shared" si="159"/>
        <v>0.95</v>
      </c>
      <c r="AT206">
        <f t="shared" si="160"/>
        <v>1</v>
      </c>
      <c r="AU206" s="387">
        <f>IF(AT206=0,"",IF(AND(AT206=1,M206="F",SUMIF(C2:C1334,C206,AS2:AS1334)&lt;=1),SUMIF(C2:C1334,C206,AS2:AS1334),IF(AND(AT206=1,M206="F",SUMIF(C2:C1334,C206,AS2:AS1334)&gt;1),1,"")))</f>
        <v>1</v>
      </c>
      <c r="AV206" s="387" t="str">
        <f>IF(AT206=0,"",IF(AND(AT206=3,M206="F",SUMIF(C2:C1334,C206,AS2:AS1334)&lt;=1),SUMIF(C2:C1334,C206,AS2:AS1334),IF(AND(AT206=3,M206="F",SUMIF(C2:C1334,C206,AS2:AS1334)&gt;1),1,"")))</f>
        <v/>
      </c>
      <c r="AW206" s="387">
        <f>SUMIF(C2:C1334,C206,O2:O1334)</f>
        <v>3</v>
      </c>
      <c r="AX206" s="387">
        <f>IF(AND(M206="F",AS206&lt;&gt;0),SUMIF(C2:C1334,C206,W2:W1334),0)</f>
        <v>123260.79999999999</v>
      </c>
      <c r="AY206" s="387">
        <f t="shared" si="161"/>
        <v>117097.76</v>
      </c>
      <c r="AZ206" s="387" t="str">
        <f t="shared" si="162"/>
        <v/>
      </c>
      <c r="BA206" s="387">
        <f t="shared" si="163"/>
        <v>0</v>
      </c>
      <c r="BB206" s="387">
        <f t="shared" si="132"/>
        <v>11067.5</v>
      </c>
      <c r="BC206" s="387">
        <f t="shared" si="133"/>
        <v>0</v>
      </c>
      <c r="BD206" s="387">
        <f t="shared" si="134"/>
        <v>7260.0611199999994</v>
      </c>
      <c r="BE206" s="387">
        <f t="shared" si="135"/>
        <v>1697.91752</v>
      </c>
      <c r="BF206" s="387">
        <f t="shared" si="136"/>
        <v>13981.472544</v>
      </c>
      <c r="BG206" s="387">
        <f t="shared" si="137"/>
        <v>844.27484960000004</v>
      </c>
      <c r="BH206" s="387">
        <f t="shared" si="138"/>
        <v>573.77902399999994</v>
      </c>
      <c r="BI206" s="387">
        <f t="shared" si="139"/>
        <v>0</v>
      </c>
      <c r="BJ206" s="387">
        <f t="shared" si="140"/>
        <v>316.16395199999999</v>
      </c>
      <c r="BK206" s="387">
        <f t="shared" si="141"/>
        <v>0</v>
      </c>
      <c r="BL206" s="387">
        <f t="shared" si="164"/>
        <v>24673.669009599995</v>
      </c>
      <c r="BM206" s="387">
        <f t="shared" si="165"/>
        <v>0</v>
      </c>
      <c r="BN206" s="387">
        <f t="shared" si="142"/>
        <v>11067.5</v>
      </c>
      <c r="BO206" s="387">
        <f t="shared" si="143"/>
        <v>0</v>
      </c>
      <c r="BP206" s="387">
        <f t="shared" si="144"/>
        <v>7260.0611199999994</v>
      </c>
      <c r="BQ206" s="387">
        <f t="shared" si="145"/>
        <v>1697.91752</v>
      </c>
      <c r="BR206" s="387">
        <f t="shared" si="146"/>
        <v>13981.472544</v>
      </c>
      <c r="BS206" s="387">
        <f t="shared" si="147"/>
        <v>844.27484960000004</v>
      </c>
      <c r="BT206" s="387">
        <f t="shared" si="148"/>
        <v>0</v>
      </c>
      <c r="BU206" s="387">
        <f t="shared" si="149"/>
        <v>0</v>
      </c>
      <c r="BV206" s="387">
        <f t="shared" si="150"/>
        <v>398.13238399999994</v>
      </c>
      <c r="BW206" s="387">
        <f t="shared" si="151"/>
        <v>0</v>
      </c>
      <c r="BX206" s="387">
        <f t="shared" si="166"/>
        <v>24181.858417599997</v>
      </c>
      <c r="BY206" s="387">
        <f t="shared" si="167"/>
        <v>0</v>
      </c>
      <c r="BZ206" s="387">
        <f t="shared" si="168"/>
        <v>0</v>
      </c>
      <c r="CA206" s="387">
        <f t="shared" si="169"/>
        <v>0</v>
      </c>
      <c r="CB206" s="387">
        <f t="shared" si="170"/>
        <v>0</v>
      </c>
      <c r="CC206" s="387">
        <f t="shared" si="152"/>
        <v>0</v>
      </c>
      <c r="CD206" s="387">
        <f t="shared" si="153"/>
        <v>0</v>
      </c>
      <c r="CE206" s="387">
        <f t="shared" si="154"/>
        <v>0</v>
      </c>
      <c r="CF206" s="387">
        <f t="shared" si="155"/>
        <v>-573.77902399999994</v>
      </c>
      <c r="CG206" s="387">
        <f t="shared" si="156"/>
        <v>0</v>
      </c>
      <c r="CH206" s="387">
        <f t="shared" si="157"/>
        <v>81.968431999999964</v>
      </c>
      <c r="CI206" s="387">
        <f t="shared" si="158"/>
        <v>0</v>
      </c>
      <c r="CJ206" s="387">
        <f t="shared" si="171"/>
        <v>-491.81059199999999</v>
      </c>
      <c r="CK206" s="387" t="str">
        <f t="shared" si="172"/>
        <v/>
      </c>
      <c r="CL206" s="387" t="str">
        <f t="shared" si="173"/>
        <v/>
      </c>
      <c r="CM206" s="387" t="str">
        <f t="shared" si="174"/>
        <v/>
      </c>
      <c r="CN206" s="387" t="str">
        <f t="shared" si="175"/>
        <v>0348-31</v>
      </c>
    </row>
    <row r="207" spans="1:92" ht="15.75" thickBot="1" x14ac:dyDescent="0.3">
      <c r="A207" s="376" t="s">
        <v>161</v>
      </c>
      <c r="B207" s="376" t="s">
        <v>162</v>
      </c>
      <c r="C207" s="376" t="s">
        <v>895</v>
      </c>
      <c r="D207" s="376" t="s">
        <v>862</v>
      </c>
      <c r="E207" s="376" t="s">
        <v>224</v>
      </c>
      <c r="F207" s="382" t="s">
        <v>225</v>
      </c>
      <c r="G207" s="376" t="s">
        <v>781</v>
      </c>
      <c r="H207" s="378"/>
      <c r="I207" s="378"/>
      <c r="J207" s="376" t="s">
        <v>215</v>
      </c>
      <c r="K207" s="376" t="s">
        <v>863</v>
      </c>
      <c r="L207" s="376" t="s">
        <v>252</v>
      </c>
      <c r="M207" s="376" t="s">
        <v>171</v>
      </c>
      <c r="N207" s="376" t="s">
        <v>172</v>
      </c>
      <c r="O207" s="379">
        <v>1</v>
      </c>
      <c r="P207" s="385">
        <v>1</v>
      </c>
      <c r="Q207" s="385">
        <v>1</v>
      </c>
      <c r="R207" s="380">
        <v>80</v>
      </c>
      <c r="S207" s="385">
        <v>1</v>
      </c>
      <c r="T207" s="380">
        <v>45522.81</v>
      </c>
      <c r="U207" s="380">
        <v>0</v>
      </c>
      <c r="V207" s="380">
        <v>21703.91</v>
      </c>
      <c r="W207" s="380">
        <v>36816</v>
      </c>
      <c r="X207" s="380">
        <v>19611.439999999999</v>
      </c>
      <c r="Y207" s="380">
        <v>36816</v>
      </c>
      <c r="Z207" s="380">
        <v>19456.82</v>
      </c>
      <c r="AA207" s="376" t="s">
        <v>896</v>
      </c>
      <c r="AB207" s="376" t="s">
        <v>310</v>
      </c>
      <c r="AC207" s="376" t="s">
        <v>659</v>
      </c>
      <c r="AD207" s="376" t="s">
        <v>260</v>
      </c>
      <c r="AE207" s="376" t="s">
        <v>863</v>
      </c>
      <c r="AF207" s="376" t="s">
        <v>393</v>
      </c>
      <c r="AG207" s="376" t="s">
        <v>178</v>
      </c>
      <c r="AH207" s="381">
        <v>17.7</v>
      </c>
      <c r="AI207" s="381">
        <v>583.5</v>
      </c>
      <c r="AJ207" s="376" t="s">
        <v>179</v>
      </c>
      <c r="AK207" s="376" t="s">
        <v>180</v>
      </c>
      <c r="AL207" s="376" t="s">
        <v>181</v>
      </c>
      <c r="AM207" s="376" t="s">
        <v>182</v>
      </c>
      <c r="AN207" s="376" t="s">
        <v>68</v>
      </c>
      <c r="AO207" s="379">
        <v>80</v>
      </c>
      <c r="AP207" s="385">
        <v>1</v>
      </c>
      <c r="AQ207" s="385">
        <v>1</v>
      </c>
      <c r="AR207" s="383" t="s">
        <v>183</v>
      </c>
      <c r="AS207" s="387">
        <f t="shared" si="159"/>
        <v>1</v>
      </c>
      <c r="AT207">
        <f t="shared" si="160"/>
        <v>1</v>
      </c>
      <c r="AU207" s="387">
        <f>IF(AT207=0,"",IF(AND(AT207=1,M207="F",SUMIF(C2:C1334,C207,AS2:AS1334)&lt;=1),SUMIF(C2:C1334,C207,AS2:AS1334),IF(AND(AT207=1,M207="F",SUMIF(C2:C1334,C207,AS2:AS1334)&gt;1),1,"")))</f>
        <v>1</v>
      </c>
      <c r="AV207" s="387" t="str">
        <f>IF(AT207=0,"",IF(AND(AT207=3,M207="F",SUMIF(C2:C1334,C207,AS2:AS1334)&lt;=1),SUMIF(C2:C1334,C207,AS2:AS1334),IF(AND(AT207=3,M207="F",SUMIF(C2:C1334,C207,AS2:AS1334)&gt;1),1,"")))</f>
        <v/>
      </c>
      <c r="AW207" s="387">
        <f>SUMIF(C2:C1334,C207,O2:O1334)</f>
        <v>1</v>
      </c>
      <c r="AX207" s="387">
        <f>IF(AND(M207="F",AS207&lt;&gt;0),SUMIF(C2:C1334,C207,W2:W1334),0)</f>
        <v>36816</v>
      </c>
      <c r="AY207" s="387">
        <f t="shared" si="161"/>
        <v>36816</v>
      </c>
      <c r="AZ207" s="387" t="str">
        <f t="shared" si="162"/>
        <v/>
      </c>
      <c r="BA207" s="387">
        <f t="shared" si="163"/>
        <v>0</v>
      </c>
      <c r="BB207" s="387">
        <f t="shared" si="132"/>
        <v>11650</v>
      </c>
      <c r="BC207" s="387">
        <f t="shared" si="133"/>
        <v>0</v>
      </c>
      <c r="BD207" s="387">
        <f t="shared" si="134"/>
        <v>2282.5920000000001</v>
      </c>
      <c r="BE207" s="387">
        <f t="shared" si="135"/>
        <v>533.83199999999999</v>
      </c>
      <c r="BF207" s="387">
        <f t="shared" si="136"/>
        <v>4395.8303999999998</v>
      </c>
      <c r="BG207" s="387">
        <f t="shared" si="137"/>
        <v>265.44335999999998</v>
      </c>
      <c r="BH207" s="387">
        <f t="shared" si="138"/>
        <v>180.39839999999998</v>
      </c>
      <c r="BI207" s="387">
        <f t="shared" si="139"/>
        <v>203.77655999999999</v>
      </c>
      <c r="BJ207" s="387">
        <f t="shared" si="140"/>
        <v>99.403199999999998</v>
      </c>
      <c r="BK207" s="387">
        <f t="shared" si="141"/>
        <v>0</v>
      </c>
      <c r="BL207" s="387">
        <f t="shared" si="164"/>
        <v>7961.27592</v>
      </c>
      <c r="BM207" s="387">
        <f t="shared" si="165"/>
        <v>0</v>
      </c>
      <c r="BN207" s="387">
        <f t="shared" si="142"/>
        <v>11650</v>
      </c>
      <c r="BO207" s="387">
        <f t="shared" si="143"/>
        <v>0</v>
      </c>
      <c r="BP207" s="387">
        <f t="shared" si="144"/>
        <v>2282.5920000000001</v>
      </c>
      <c r="BQ207" s="387">
        <f t="shared" si="145"/>
        <v>533.83199999999999</v>
      </c>
      <c r="BR207" s="387">
        <f t="shared" si="146"/>
        <v>4395.8303999999998</v>
      </c>
      <c r="BS207" s="387">
        <f t="shared" si="147"/>
        <v>265.44335999999998</v>
      </c>
      <c r="BT207" s="387">
        <f t="shared" si="148"/>
        <v>0</v>
      </c>
      <c r="BU207" s="387">
        <f t="shared" si="149"/>
        <v>203.77655999999999</v>
      </c>
      <c r="BV207" s="387">
        <f t="shared" si="150"/>
        <v>125.17439999999999</v>
      </c>
      <c r="BW207" s="387">
        <f t="shared" si="151"/>
        <v>0</v>
      </c>
      <c r="BX207" s="387">
        <f t="shared" si="166"/>
        <v>7806.6487200000001</v>
      </c>
      <c r="BY207" s="387">
        <f t="shared" si="167"/>
        <v>0</v>
      </c>
      <c r="BZ207" s="387">
        <f t="shared" si="168"/>
        <v>0</v>
      </c>
      <c r="CA207" s="387">
        <f t="shared" si="169"/>
        <v>0</v>
      </c>
      <c r="CB207" s="387">
        <f t="shared" si="170"/>
        <v>0</v>
      </c>
      <c r="CC207" s="387">
        <f t="shared" si="152"/>
        <v>0</v>
      </c>
      <c r="CD207" s="387">
        <f t="shared" si="153"/>
        <v>0</v>
      </c>
      <c r="CE207" s="387">
        <f t="shared" si="154"/>
        <v>0</v>
      </c>
      <c r="CF207" s="387">
        <f t="shared" si="155"/>
        <v>-180.39839999999998</v>
      </c>
      <c r="CG207" s="387">
        <f t="shared" si="156"/>
        <v>0</v>
      </c>
      <c r="CH207" s="387">
        <f t="shared" si="157"/>
        <v>25.771199999999986</v>
      </c>
      <c r="CI207" s="387">
        <f t="shared" si="158"/>
        <v>0</v>
      </c>
      <c r="CJ207" s="387">
        <f t="shared" si="171"/>
        <v>-154.62719999999999</v>
      </c>
      <c r="CK207" s="387" t="str">
        <f t="shared" si="172"/>
        <v/>
      </c>
      <c r="CL207" s="387" t="str">
        <f t="shared" si="173"/>
        <v/>
      </c>
      <c r="CM207" s="387" t="str">
        <f t="shared" si="174"/>
        <v/>
      </c>
      <c r="CN207" s="387" t="str">
        <f t="shared" si="175"/>
        <v>0348-31</v>
      </c>
    </row>
    <row r="208" spans="1:92" ht="15.75" thickBot="1" x14ac:dyDescent="0.3">
      <c r="A208" s="376" t="s">
        <v>161</v>
      </c>
      <c r="B208" s="376" t="s">
        <v>162</v>
      </c>
      <c r="C208" s="376" t="s">
        <v>660</v>
      </c>
      <c r="D208" s="376" t="s">
        <v>368</v>
      </c>
      <c r="E208" s="376" t="s">
        <v>224</v>
      </c>
      <c r="F208" s="382" t="s">
        <v>225</v>
      </c>
      <c r="G208" s="376" t="s">
        <v>781</v>
      </c>
      <c r="H208" s="378"/>
      <c r="I208" s="378"/>
      <c r="J208" s="376" t="s">
        <v>239</v>
      </c>
      <c r="K208" s="376" t="s">
        <v>424</v>
      </c>
      <c r="L208" s="376" t="s">
        <v>210</v>
      </c>
      <c r="M208" s="376" t="s">
        <v>171</v>
      </c>
      <c r="N208" s="376" t="s">
        <v>172</v>
      </c>
      <c r="O208" s="379">
        <v>1</v>
      </c>
      <c r="P208" s="385">
        <v>0</v>
      </c>
      <c r="Q208" s="385">
        <v>0</v>
      </c>
      <c r="R208" s="380">
        <v>80</v>
      </c>
      <c r="S208" s="385">
        <v>0</v>
      </c>
      <c r="T208" s="380">
        <v>59644.88</v>
      </c>
      <c r="U208" s="380">
        <v>0</v>
      </c>
      <c r="V208" s="380">
        <v>21003.29</v>
      </c>
      <c r="W208" s="380">
        <v>0</v>
      </c>
      <c r="X208" s="380">
        <v>0</v>
      </c>
      <c r="Y208" s="380">
        <v>0</v>
      </c>
      <c r="Z208" s="380">
        <v>0</v>
      </c>
      <c r="AA208" s="376" t="s">
        <v>661</v>
      </c>
      <c r="AB208" s="376" t="s">
        <v>662</v>
      </c>
      <c r="AC208" s="376" t="s">
        <v>663</v>
      </c>
      <c r="AD208" s="376" t="s">
        <v>252</v>
      </c>
      <c r="AE208" s="376" t="s">
        <v>424</v>
      </c>
      <c r="AF208" s="376" t="s">
        <v>245</v>
      </c>
      <c r="AG208" s="376" t="s">
        <v>178</v>
      </c>
      <c r="AH208" s="381">
        <v>39.06</v>
      </c>
      <c r="AI208" s="379">
        <v>49880</v>
      </c>
      <c r="AJ208" s="376" t="s">
        <v>179</v>
      </c>
      <c r="AK208" s="376" t="s">
        <v>180</v>
      </c>
      <c r="AL208" s="376" t="s">
        <v>181</v>
      </c>
      <c r="AM208" s="376" t="s">
        <v>182</v>
      </c>
      <c r="AN208" s="376" t="s">
        <v>68</v>
      </c>
      <c r="AO208" s="379">
        <v>80</v>
      </c>
      <c r="AP208" s="385">
        <v>1</v>
      </c>
      <c r="AQ208" s="385">
        <v>0</v>
      </c>
      <c r="AR208" s="383" t="s">
        <v>183</v>
      </c>
      <c r="AS208" s="387">
        <f t="shared" si="159"/>
        <v>0</v>
      </c>
      <c r="AT208">
        <f t="shared" si="160"/>
        <v>0</v>
      </c>
      <c r="AU208" s="387" t="str">
        <f>IF(AT208=0,"",IF(AND(AT208=1,M208="F",SUMIF(C2:C1334,C208,AS2:AS1334)&lt;=1),SUMIF(C2:C1334,C208,AS2:AS1334),IF(AND(AT208=1,M208="F",SUMIF(C2:C1334,C208,AS2:AS1334)&gt;1),1,"")))</f>
        <v/>
      </c>
      <c r="AV208" s="387" t="str">
        <f>IF(AT208=0,"",IF(AND(AT208=3,M208="F",SUMIF(C2:C1334,C208,AS2:AS1334)&lt;=1),SUMIF(C2:C1334,C208,AS2:AS1334),IF(AND(AT208=3,M208="F",SUMIF(C2:C1334,C208,AS2:AS1334)&gt;1),1,"")))</f>
        <v/>
      </c>
      <c r="AW208" s="387">
        <f>SUMIF(C2:C1334,C208,O2:O1334)</f>
        <v>3</v>
      </c>
      <c r="AX208" s="387">
        <f>IF(AND(M208="F",AS208&lt;&gt;0),SUMIF(C2:C1334,C208,W2:W1334),0)</f>
        <v>0</v>
      </c>
      <c r="AY208" s="387" t="str">
        <f t="shared" si="161"/>
        <v/>
      </c>
      <c r="AZ208" s="387" t="str">
        <f t="shared" si="162"/>
        <v/>
      </c>
      <c r="BA208" s="387">
        <f t="shared" si="163"/>
        <v>0</v>
      </c>
      <c r="BB208" s="387">
        <f t="shared" si="132"/>
        <v>0</v>
      </c>
      <c r="BC208" s="387">
        <f t="shared" si="133"/>
        <v>0</v>
      </c>
      <c r="BD208" s="387">
        <f t="shared" si="134"/>
        <v>0</v>
      </c>
      <c r="BE208" s="387">
        <f t="shared" si="135"/>
        <v>0</v>
      </c>
      <c r="BF208" s="387">
        <f t="shared" si="136"/>
        <v>0</v>
      </c>
      <c r="BG208" s="387">
        <f t="shared" si="137"/>
        <v>0</v>
      </c>
      <c r="BH208" s="387">
        <f t="shared" si="138"/>
        <v>0</v>
      </c>
      <c r="BI208" s="387">
        <f t="shared" si="139"/>
        <v>0</v>
      </c>
      <c r="BJ208" s="387">
        <f t="shared" si="140"/>
        <v>0</v>
      </c>
      <c r="BK208" s="387">
        <f t="shared" si="141"/>
        <v>0</v>
      </c>
      <c r="BL208" s="387">
        <f t="shared" si="164"/>
        <v>0</v>
      </c>
      <c r="BM208" s="387">
        <f t="shared" si="165"/>
        <v>0</v>
      </c>
      <c r="BN208" s="387">
        <f t="shared" si="142"/>
        <v>0</v>
      </c>
      <c r="BO208" s="387">
        <f t="shared" si="143"/>
        <v>0</v>
      </c>
      <c r="BP208" s="387">
        <f t="shared" si="144"/>
        <v>0</v>
      </c>
      <c r="BQ208" s="387">
        <f t="shared" si="145"/>
        <v>0</v>
      </c>
      <c r="BR208" s="387">
        <f t="shared" si="146"/>
        <v>0</v>
      </c>
      <c r="BS208" s="387">
        <f t="shared" si="147"/>
        <v>0</v>
      </c>
      <c r="BT208" s="387">
        <f t="shared" si="148"/>
        <v>0</v>
      </c>
      <c r="BU208" s="387">
        <f t="shared" si="149"/>
        <v>0</v>
      </c>
      <c r="BV208" s="387">
        <f t="shared" si="150"/>
        <v>0</v>
      </c>
      <c r="BW208" s="387">
        <f t="shared" si="151"/>
        <v>0</v>
      </c>
      <c r="BX208" s="387">
        <f t="shared" si="166"/>
        <v>0</v>
      </c>
      <c r="BY208" s="387">
        <f t="shared" si="167"/>
        <v>0</v>
      </c>
      <c r="BZ208" s="387">
        <f t="shared" si="168"/>
        <v>0</v>
      </c>
      <c r="CA208" s="387">
        <f t="shared" si="169"/>
        <v>0</v>
      </c>
      <c r="CB208" s="387">
        <f t="shared" si="170"/>
        <v>0</v>
      </c>
      <c r="CC208" s="387">
        <f t="shared" si="152"/>
        <v>0</v>
      </c>
      <c r="CD208" s="387">
        <f t="shared" si="153"/>
        <v>0</v>
      </c>
      <c r="CE208" s="387">
        <f t="shared" si="154"/>
        <v>0</v>
      </c>
      <c r="CF208" s="387">
        <f t="shared" si="155"/>
        <v>0</v>
      </c>
      <c r="CG208" s="387">
        <f t="shared" si="156"/>
        <v>0</v>
      </c>
      <c r="CH208" s="387">
        <f t="shared" si="157"/>
        <v>0</v>
      </c>
      <c r="CI208" s="387">
        <f t="shared" si="158"/>
        <v>0</v>
      </c>
      <c r="CJ208" s="387">
        <f t="shared" si="171"/>
        <v>0</v>
      </c>
      <c r="CK208" s="387" t="str">
        <f t="shared" si="172"/>
        <v/>
      </c>
      <c r="CL208" s="387" t="str">
        <f t="shared" si="173"/>
        <v/>
      </c>
      <c r="CM208" s="387" t="str">
        <f t="shared" si="174"/>
        <v/>
      </c>
      <c r="CN208" s="387" t="str">
        <f t="shared" si="175"/>
        <v>0348-31</v>
      </c>
    </row>
    <row r="209" spans="1:92" ht="15.75" thickBot="1" x14ac:dyDescent="0.3">
      <c r="A209" s="376" t="s">
        <v>161</v>
      </c>
      <c r="B209" s="376" t="s">
        <v>162</v>
      </c>
      <c r="C209" s="376" t="s">
        <v>897</v>
      </c>
      <c r="D209" s="376" t="s">
        <v>862</v>
      </c>
      <c r="E209" s="376" t="s">
        <v>224</v>
      </c>
      <c r="F209" s="382" t="s">
        <v>225</v>
      </c>
      <c r="G209" s="376" t="s">
        <v>781</v>
      </c>
      <c r="H209" s="378"/>
      <c r="I209" s="378"/>
      <c r="J209" s="376" t="s">
        <v>239</v>
      </c>
      <c r="K209" s="376" t="s">
        <v>863</v>
      </c>
      <c r="L209" s="376" t="s">
        <v>252</v>
      </c>
      <c r="M209" s="376" t="s">
        <v>171</v>
      </c>
      <c r="N209" s="376" t="s">
        <v>172</v>
      </c>
      <c r="O209" s="379">
        <v>1</v>
      </c>
      <c r="P209" s="385">
        <v>0.6</v>
      </c>
      <c r="Q209" s="385">
        <v>0.6</v>
      </c>
      <c r="R209" s="380">
        <v>80</v>
      </c>
      <c r="S209" s="385">
        <v>0.6</v>
      </c>
      <c r="T209" s="380">
        <v>14378.64</v>
      </c>
      <c r="U209" s="380">
        <v>0</v>
      </c>
      <c r="V209" s="380">
        <v>7572.01</v>
      </c>
      <c r="W209" s="380">
        <v>24935.040000000001</v>
      </c>
      <c r="X209" s="380">
        <v>12382.18</v>
      </c>
      <c r="Y209" s="380">
        <v>24935.040000000001</v>
      </c>
      <c r="Z209" s="380">
        <v>12277.45</v>
      </c>
      <c r="AA209" s="376" t="s">
        <v>898</v>
      </c>
      <c r="AB209" s="376" t="s">
        <v>899</v>
      </c>
      <c r="AC209" s="376" t="s">
        <v>900</v>
      </c>
      <c r="AD209" s="376" t="s">
        <v>628</v>
      </c>
      <c r="AE209" s="376" t="s">
        <v>863</v>
      </c>
      <c r="AF209" s="376" t="s">
        <v>393</v>
      </c>
      <c r="AG209" s="376" t="s">
        <v>178</v>
      </c>
      <c r="AH209" s="381">
        <v>19.98</v>
      </c>
      <c r="AI209" s="381">
        <v>7552.2</v>
      </c>
      <c r="AJ209" s="376" t="s">
        <v>179</v>
      </c>
      <c r="AK209" s="376" t="s">
        <v>180</v>
      </c>
      <c r="AL209" s="376" t="s">
        <v>181</v>
      </c>
      <c r="AM209" s="376" t="s">
        <v>182</v>
      </c>
      <c r="AN209" s="376" t="s">
        <v>68</v>
      </c>
      <c r="AO209" s="379">
        <v>80</v>
      </c>
      <c r="AP209" s="385">
        <v>1</v>
      </c>
      <c r="AQ209" s="385">
        <v>0.6</v>
      </c>
      <c r="AR209" s="383" t="s">
        <v>183</v>
      </c>
      <c r="AS209" s="387">
        <f t="shared" si="159"/>
        <v>0.6</v>
      </c>
      <c r="AT209">
        <f t="shared" si="160"/>
        <v>1</v>
      </c>
      <c r="AU209" s="387">
        <f>IF(AT209=0,"",IF(AND(AT209=1,M209="F",SUMIF(C2:C1334,C209,AS2:AS1334)&lt;=1),SUMIF(C2:C1334,C209,AS2:AS1334),IF(AND(AT209=1,M209="F",SUMIF(C2:C1334,C209,AS2:AS1334)&gt;1),1,"")))</f>
        <v>1</v>
      </c>
      <c r="AV209" s="387" t="str">
        <f>IF(AT209=0,"",IF(AND(AT209=3,M209="F",SUMIF(C2:C1334,C209,AS2:AS1334)&lt;=1),SUMIF(C2:C1334,C209,AS2:AS1334),IF(AND(AT209=3,M209="F",SUMIF(C2:C1334,C209,AS2:AS1334)&gt;1),1,"")))</f>
        <v/>
      </c>
      <c r="AW209" s="387">
        <f>SUMIF(C2:C1334,C209,O2:O1334)</f>
        <v>3</v>
      </c>
      <c r="AX209" s="387">
        <f>IF(AND(M209="F",AS209&lt;&gt;0),SUMIF(C2:C1334,C209,W2:W1334),0)</f>
        <v>41558.400000000001</v>
      </c>
      <c r="AY209" s="387">
        <f t="shared" si="161"/>
        <v>24935.040000000001</v>
      </c>
      <c r="AZ209" s="387" t="str">
        <f t="shared" si="162"/>
        <v/>
      </c>
      <c r="BA209" s="387">
        <f t="shared" si="163"/>
        <v>0</v>
      </c>
      <c r="BB209" s="387">
        <f t="shared" si="132"/>
        <v>6990</v>
      </c>
      <c r="BC209" s="387">
        <f t="shared" si="133"/>
        <v>0</v>
      </c>
      <c r="BD209" s="387">
        <f t="shared" si="134"/>
        <v>1545.9724800000001</v>
      </c>
      <c r="BE209" s="387">
        <f t="shared" si="135"/>
        <v>361.55808000000002</v>
      </c>
      <c r="BF209" s="387">
        <f t="shared" si="136"/>
        <v>2977.2437760000003</v>
      </c>
      <c r="BG209" s="387">
        <f t="shared" si="137"/>
        <v>179.78163840000002</v>
      </c>
      <c r="BH209" s="387">
        <f t="shared" si="138"/>
        <v>122.181696</v>
      </c>
      <c r="BI209" s="387">
        <f t="shared" si="139"/>
        <v>138.0154464</v>
      </c>
      <c r="BJ209" s="387">
        <f t="shared" si="140"/>
        <v>67.324608000000012</v>
      </c>
      <c r="BK209" s="387">
        <f t="shared" si="141"/>
        <v>0</v>
      </c>
      <c r="BL209" s="387">
        <f t="shared" si="164"/>
        <v>5392.0777247999995</v>
      </c>
      <c r="BM209" s="387">
        <f t="shared" si="165"/>
        <v>0</v>
      </c>
      <c r="BN209" s="387">
        <f t="shared" si="142"/>
        <v>6990</v>
      </c>
      <c r="BO209" s="387">
        <f t="shared" si="143"/>
        <v>0</v>
      </c>
      <c r="BP209" s="387">
        <f t="shared" si="144"/>
        <v>1545.9724800000001</v>
      </c>
      <c r="BQ209" s="387">
        <f t="shared" si="145"/>
        <v>361.55808000000002</v>
      </c>
      <c r="BR209" s="387">
        <f t="shared" si="146"/>
        <v>2977.2437760000003</v>
      </c>
      <c r="BS209" s="387">
        <f t="shared" si="147"/>
        <v>179.78163840000002</v>
      </c>
      <c r="BT209" s="387">
        <f t="shared" si="148"/>
        <v>0</v>
      </c>
      <c r="BU209" s="387">
        <f t="shared" si="149"/>
        <v>138.0154464</v>
      </c>
      <c r="BV209" s="387">
        <f t="shared" si="150"/>
        <v>84.779135999999994</v>
      </c>
      <c r="BW209" s="387">
        <f t="shared" si="151"/>
        <v>0</v>
      </c>
      <c r="BX209" s="387">
        <f t="shared" si="166"/>
        <v>5287.3505568</v>
      </c>
      <c r="BY209" s="387">
        <f t="shared" si="167"/>
        <v>0</v>
      </c>
      <c r="BZ209" s="387">
        <f t="shared" si="168"/>
        <v>0</v>
      </c>
      <c r="CA209" s="387">
        <f t="shared" si="169"/>
        <v>0</v>
      </c>
      <c r="CB209" s="387">
        <f t="shared" si="170"/>
        <v>0</v>
      </c>
      <c r="CC209" s="387">
        <f t="shared" si="152"/>
        <v>0</v>
      </c>
      <c r="CD209" s="387">
        <f t="shared" si="153"/>
        <v>0</v>
      </c>
      <c r="CE209" s="387">
        <f t="shared" si="154"/>
        <v>0</v>
      </c>
      <c r="CF209" s="387">
        <f t="shared" si="155"/>
        <v>-122.181696</v>
      </c>
      <c r="CG209" s="387">
        <f t="shared" si="156"/>
        <v>0</v>
      </c>
      <c r="CH209" s="387">
        <f t="shared" si="157"/>
        <v>17.454527999999993</v>
      </c>
      <c r="CI209" s="387">
        <f t="shared" si="158"/>
        <v>0</v>
      </c>
      <c r="CJ209" s="387">
        <f t="shared" si="171"/>
        <v>-104.72716800000001</v>
      </c>
      <c r="CK209" s="387" t="str">
        <f t="shared" si="172"/>
        <v/>
      </c>
      <c r="CL209" s="387" t="str">
        <f t="shared" si="173"/>
        <v/>
      </c>
      <c r="CM209" s="387" t="str">
        <f t="shared" si="174"/>
        <v/>
      </c>
      <c r="CN209" s="387" t="str">
        <f t="shared" si="175"/>
        <v>0348-31</v>
      </c>
    </row>
    <row r="210" spans="1:92" ht="15.75" thickBot="1" x14ac:dyDescent="0.3">
      <c r="A210" s="376" t="s">
        <v>161</v>
      </c>
      <c r="B210" s="376" t="s">
        <v>162</v>
      </c>
      <c r="C210" s="376" t="s">
        <v>901</v>
      </c>
      <c r="D210" s="376" t="s">
        <v>862</v>
      </c>
      <c r="E210" s="376" t="s">
        <v>224</v>
      </c>
      <c r="F210" s="382" t="s">
        <v>225</v>
      </c>
      <c r="G210" s="376" t="s">
        <v>781</v>
      </c>
      <c r="H210" s="378"/>
      <c r="I210" s="378"/>
      <c r="J210" s="376" t="s">
        <v>215</v>
      </c>
      <c r="K210" s="376" t="s">
        <v>863</v>
      </c>
      <c r="L210" s="376" t="s">
        <v>252</v>
      </c>
      <c r="M210" s="376" t="s">
        <v>171</v>
      </c>
      <c r="N210" s="376" t="s">
        <v>172</v>
      </c>
      <c r="O210" s="379">
        <v>1</v>
      </c>
      <c r="P210" s="385">
        <v>0</v>
      </c>
      <c r="Q210" s="385">
        <v>0</v>
      </c>
      <c r="R210" s="380">
        <v>80</v>
      </c>
      <c r="S210" s="385">
        <v>0</v>
      </c>
      <c r="T210" s="380">
        <v>1221.45</v>
      </c>
      <c r="U210" s="380">
        <v>0</v>
      </c>
      <c r="V210" s="380">
        <v>712.62</v>
      </c>
      <c r="W210" s="380">
        <v>0</v>
      </c>
      <c r="X210" s="380">
        <v>0</v>
      </c>
      <c r="Y210" s="380">
        <v>0</v>
      </c>
      <c r="Z210" s="380">
        <v>0</v>
      </c>
      <c r="AA210" s="376" t="s">
        <v>902</v>
      </c>
      <c r="AB210" s="376" t="s">
        <v>903</v>
      </c>
      <c r="AC210" s="376" t="s">
        <v>904</v>
      </c>
      <c r="AD210" s="376" t="s">
        <v>427</v>
      </c>
      <c r="AE210" s="376" t="s">
        <v>863</v>
      </c>
      <c r="AF210" s="376" t="s">
        <v>393</v>
      </c>
      <c r="AG210" s="376" t="s">
        <v>178</v>
      </c>
      <c r="AH210" s="381">
        <v>18.559999999999999</v>
      </c>
      <c r="AI210" s="381">
        <v>1630.4</v>
      </c>
      <c r="AJ210" s="376" t="s">
        <v>179</v>
      </c>
      <c r="AK210" s="376" t="s">
        <v>180</v>
      </c>
      <c r="AL210" s="376" t="s">
        <v>181</v>
      </c>
      <c r="AM210" s="376" t="s">
        <v>182</v>
      </c>
      <c r="AN210" s="376" t="s">
        <v>68</v>
      </c>
      <c r="AO210" s="379">
        <v>80</v>
      </c>
      <c r="AP210" s="385">
        <v>1</v>
      </c>
      <c r="AQ210" s="385">
        <v>0</v>
      </c>
      <c r="AR210" s="383" t="s">
        <v>183</v>
      </c>
      <c r="AS210" s="387">
        <f t="shared" si="159"/>
        <v>0</v>
      </c>
      <c r="AT210">
        <f t="shared" si="160"/>
        <v>0</v>
      </c>
      <c r="AU210" s="387" t="str">
        <f>IF(AT210=0,"",IF(AND(AT210=1,M210="F",SUMIF(C2:C1334,C210,AS2:AS1334)&lt;=1),SUMIF(C2:C1334,C210,AS2:AS1334),IF(AND(AT210=1,M210="F",SUMIF(C2:C1334,C210,AS2:AS1334)&gt;1),1,"")))</f>
        <v/>
      </c>
      <c r="AV210" s="387" t="str">
        <f>IF(AT210=0,"",IF(AND(AT210=3,M210="F",SUMIF(C2:C1334,C210,AS2:AS1334)&lt;=1),SUMIF(C2:C1334,C210,AS2:AS1334),IF(AND(AT210=3,M210="F",SUMIF(C2:C1334,C210,AS2:AS1334)&gt;1),1,"")))</f>
        <v/>
      </c>
      <c r="AW210" s="387">
        <f>SUMIF(C2:C1334,C210,O2:O1334)</f>
        <v>2</v>
      </c>
      <c r="AX210" s="387">
        <f>IF(AND(M210="F",AS210&lt;&gt;0),SUMIF(C2:C1334,C210,W2:W1334),0)</f>
        <v>0</v>
      </c>
      <c r="AY210" s="387" t="str">
        <f t="shared" si="161"/>
        <v/>
      </c>
      <c r="AZ210" s="387" t="str">
        <f t="shared" si="162"/>
        <v/>
      </c>
      <c r="BA210" s="387">
        <f t="shared" si="163"/>
        <v>0</v>
      </c>
      <c r="BB210" s="387">
        <f t="shared" si="132"/>
        <v>0</v>
      </c>
      <c r="BC210" s="387">
        <f t="shared" si="133"/>
        <v>0</v>
      </c>
      <c r="BD210" s="387">
        <f t="shared" si="134"/>
        <v>0</v>
      </c>
      <c r="BE210" s="387">
        <f t="shared" si="135"/>
        <v>0</v>
      </c>
      <c r="BF210" s="387">
        <f t="shared" si="136"/>
        <v>0</v>
      </c>
      <c r="BG210" s="387">
        <f t="shared" si="137"/>
        <v>0</v>
      </c>
      <c r="BH210" s="387">
        <f t="shared" si="138"/>
        <v>0</v>
      </c>
      <c r="BI210" s="387">
        <f t="shared" si="139"/>
        <v>0</v>
      </c>
      <c r="BJ210" s="387">
        <f t="shared" si="140"/>
        <v>0</v>
      </c>
      <c r="BK210" s="387">
        <f t="shared" si="141"/>
        <v>0</v>
      </c>
      <c r="BL210" s="387">
        <f t="shared" si="164"/>
        <v>0</v>
      </c>
      <c r="BM210" s="387">
        <f t="shared" si="165"/>
        <v>0</v>
      </c>
      <c r="BN210" s="387">
        <f t="shared" si="142"/>
        <v>0</v>
      </c>
      <c r="BO210" s="387">
        <f t="shared" si="143"/>
        <v>0</v>
      </c>
      <c r="BP210" s="387">
        <f t="shared" si="144"/>
        <v>0</v>
      </c>
      <c r="BQ210" s="387">
        <f t="shared" si="145"/>
        <v>0</v>
      </c>
      <c r="BR210" s="387">
        <f t="shared" si="146"/>
        <v>0</v>
      </c>
      <c r="BS210" s="387">
        <f t="shared" si="147"/>
        <v>0</v>
      </c>
      <c r="BT210" s="387">
        <f t="shared" si="148"/>
        <v>0</v>
      </c>
      <c r="BU210" s="387">
        <f t="shared" si="149"/>
        <v>0</v>
      </c>
      <c r="BV210" s="387">
        <f t="shared" si="150"/>
        <v>0</v>
      </c>
      <c r="BW210" s="387">
        <f t="shared" si="151"/>
        <v>0</v>
      </c>
      <c r="BX210" s="387">
        <f t="shared" si="166"/>
        <v>0</v>
      </c>
      <c r="BY210" s="387">
        <f t="shared" si="167"/>
        <v>0</v>
      </c>
      <c r="BZ210" s="387">
        <f t="shared" si="168"/>
        <v>0</v>
      </c>
      <c r="CA210" s="387">
        <f t="shared" si="169"/>
        <v>0</v>
      </c>
      <c r="CB210" s="387">
        <f t="shared" si="170"/>
        <v>0</v>
      </c>
      <c r="CC210" s="387">
        <f t="shared" si="152"/>
        <v>0</v>
      </c>
      <c r="CD210" s="387">
        <f t="shared" si="153"/>
        <v>0</v>
      </c>
      <c r="CE210" s="387">
        <f t="shared" si="154"/>
        <v>0</v>
      </c>
      <c r="CF210" s="387">
        <f t="shared" si="155"/>
        <v>0</v>
      </c>
      <c r="CG210" s="387">
        <f t="shared" si="156"/>
        <v>0</v>
      </c>
      <c r="CH210" s="387">
        <f t="shared" si="157"/>
        <v>0</v>
      </c>
      <c r="CI210" s="387">
        <f t="shared" si="158"/>
        <v>0</v>
      </c>
      <c r="CJ210" s="387">
        <f t="shared" si="171"/>
        <v>0</v>
      </c>
      <c r="CK210" s="387" t="str">
        <f t="shared" si="172"/>
        <v/>
      </c>
      <c r="CL210" s="387" t="str">
        <f t="shared" si="173"/>
        <v/>
      </c>
      <c r="CM210" s="387" t="str">
        <f t="shared" si="174"/>
        <v/>
      </c>
      <c r="CN210" s="387" t="str">
        <f t="shared" si="175"/>
        <v>0348-31</v>
      </c>
    </row>
    <row r="211" spans="1:92" ht="15.75" thickBot="1" x14ac:dyDescent="0.3">
      <c r="A211" s="376" t="s">
        <v>161</v>
      </c>
      <c r="B211" s="376" t="s">
        <v>162</v>
      </c>
      <c r="C211" s="376" t="s">
        <v>905</v>
      </c>
      <c r="D211" s="376" t="s">
        <v>270</v>
      </c>
      <c r="E211" s="376" t="s">
        <v>224</v>
      </c>
      <c r="F211" s="382" t="s">
        <v>225</v>
      </c>
      <c r="G211" s="376" t="s">
        <v>781</v>
      </c>
      <c r="H211" s="378"/>
      <c r="I211" s="378"/>
      <c r="J211" s="376" t="s">
        <v>215</v>
      </c>
      <c r="K211" s="376" t="s">
        <v>271</v>
      </c>
      <c r="L211" s="376" t="s">
        <v>217</v>
      </c>
      <c r="M211" s="376" t="s">
        <v>171</v>
      </c>
      <c r="N211" s="376" t="s">
        <v>172</v>
      </c>
      <c r="O211" s="379">
        <v>1</v>
      </c>
      <c r="P211" s="385">
        <v>0</v>
      </c>
      <c r="Q211" s="385">
        <v>0</v>
      </c>
      <c r="R211" s="380">
        <v>80</v>
      </c>
      <c r="S211" s="385">
        <v>0</v>
      </c>
      <c r="T211" s="380">
        <v>33826.400000000001</v>
      </c>
      <c r="U211" s="380">
        <v>0</v>
      </c>
      <c r="V211" s="380">
        <v>18604.05</v>
      </c>
      <c r="W211" s="380">
        <v>0</v>
      </c>
      <c r="X211" s="380">
        <v>0</v>
      </c>
      <c r="Y211" s="380">
        <v>0</v>
      </c>
      <c r="Z211" s="380">
        <v>0</v>
      </c>
      <c r="AA211" s="376" t="s">
        <v>906</v>
      </c>
      <c r="AB211" s="376" t="s">
        <v>907</v>
      </c>
      <c r="AC211" s="376" t="s">
        <v>908</v>
      </c>
      <c r="AD211" s="376" t="s">
        <v>566</v>
      </c>
      <c r="AE211" s="376" t="s">
        <v>271</v>
      </c>
      <c r="AF211" s="376" t="s">
        <v>221</v>
      </c>
      <c r="AG211" s="376" t="s">
        <v>178</v>
      </c>
      <c r="AH211" s="381">
        <v>17.05</v>
      </c>
      <c r="AI211" s="381">
        <v>8602.7000000000007</v>
      </c>
      <c r="AJ211" s="376" t="s">
        <v>179</v>
      </c>
      <c r="AK211" s="376" t="s">
        <v>180</v>
      </c>
      <c r="AL211" s="376" t="s">
        <v>181</v>
      </c>
      <c r="AM211" s="376" t="s">
        <v>182</v>
      </c>
      <c r="AN211" s="376" t="s">
        <v>68</v>
      </c>
      <c r="AO211" s="379">
        <v>80</v>
      </c>
      <c r="AP211" s="385">
        <v>1</v>
      </c>
      <c r="AQ211" s="385">
        <v>0</v>
      </c>
      <c r="AR211" s="383" t="s">
        <v>183</v>
      </c>
      <c r="AS211" s="387">
        <f t="shared" si="159"/>
        <v>0</v>
      </c>
      <c r="AT211">
        <f t="shared" si="160"/>
        <v>0</v>
      </c>
      <c r="AU211" s="387" t="str">
        <f>IF(AT211=0,"",IF(AND(AT211=1,M211="F",SUMIF(C2:C1334,C211,AS2:AS1334)&lt;=1),SUMIF(C2:C1334,C211,AS2:AS1334),IF(AND(AT211=1,M211="F",SUMIF(C2:C1334,C211,AS2:AS1334)&gt;1),1,"")))</f>
        <v/>
      </c>
      <c r="AV211" s="387" t="str">
        <f>IF(AT211=0,"",IF(AND(AT211=3,M211="F",SUMIF(C2:C1334,C211,AS2:AS1334)&lt;=1),SUMIF(C2:C1334,C211,AS2:AS1334),IF(AND(AT211=3,M211="F",SUMIF(C2:C1334,C211,AS2:AS1334)&gt;1),1,"")))</f>
        <v/>
      </c>
      <c r="AW211" s="387">
        <f>SUMIF(C2:C1334,C211,O2:O1334)</f>
        <v>2</v>
      </c>
      <c r="AX211" s="387">
        <f>IF(AND(M211="F",AS211&lt;&gt;0),SUMIF(C2:C1334,C211,W2:W1334),0)</f>
        <v>0</v>
      </c>
      <c r="AY211" s="387" t="str">
        <f t="shared" si="161"/>
        <v/>
      </c>
      <c r="AZ211" s="387" t="str">
        <f t="shared" si="162"/>
        <v/>
      </c>
      <c r="BA211" s="387">
        <f t="shared" si="163"/>
        <v>0</v>
      </c>
      <c r="BB211" s="387">
        <f t="shared" si="132"/>
        <v>0</v>
      </c>
      <c r="BC211" s="387">
        <f t="shared" si="133"/>
        <v>0</v>
      </c>
      <c r="BD211" s="387">
        <f t="shared" si="134"/>
        <v>0</v>
      </c>
      <c r="BE211" s="387">
        <f t="shared" si="135"/>
        <v>0</v>
      </c>
      <c r="BF211" s="387">
        <f t="shared" si="136"/>
        <v>0</v>
      </c>
      <c r="BG211" s="387">
        <f t="shared" si="137"/>
        <v>0</v>
      </c>
      <c r="BH211" s="387">
        <f t="shared" si="138"/>
        <v>0</v>
      </c>
      <c r="BI211" s="387">
        <f t="shared" si="139"/>
        <v>0</v>
      </c>
      <c r="BJ211" s="387">
        <f t="shared" si="140"/>
        <v>0</v>
      </c>
      <c r="BK211" s="387">
        <f t="shared" si="141"/>
        <v>0</v>
      </c>
      <c r="BL211" s="387">
        <f t="shared" si="164"/>
        <v>0</v>
      </c>
      <c r="BM211" s="387">
        <f t="shared" si="165"/>
        <v>0</v>
      </c>
      <c r="BN211" s="387">
        <f t="shared" si="142"/>
        <v>0</v>
      </c>
      <c r="BO211" s="387">
        <f t="shared" si="143"/>
        <v>0</v>
      </c>
      <c r="BP211" s="387">
        <f t="shared" si="144"/>
        <v>0</v>
      </c>
      <c r="BQ211" s="387">
        <f t="shared" si="145"/>
        <v>0</v>
      </c>
      <c r="BR211" s="387">
        <f t="shared" si="146"/>
        <v>0</v>
      </c>
      <c r="BS211" s="387">
        <f t="shared" si="147"/>
        <v>0</v>
      </c>
      <c r="BT211" s="387">
        <f t="shared" si="148"/>
        <v>0</v>
      </c>
      <c r="BU211" s="387">
        <f t="shared" si="149"/>
        <v>0</v>
      </c>
      <c r="BV211" s="387">
        <f t="shared" si="150"/>
        <v>0</v>
      </c>
      <c r="BW211" s="387">
        <f t="shared" si="151"/>
        <v>0</v>
      </c>
      <c r="BX211" s="387">
        <f t="shared" si="166"/>
        <v>0</v>
      </c>
      <c r="BY211" s="387">
        <f t="shared" si="167"/>
        <v>0</v>
      </c>
      <c r="BZ211" s="387">
        <f t="shared" si="168"/>
        <v>0</v>
      </c>
      <c r="CA211" s="387">
        <f t="shared" si="169"/>
        <v>0</v>
      </c>
      <c r="CB211" s="387">
        <f t="shared" si="170"/>
        <v>0</v>
      </c>
      <c r="CC211" s="387">
        <f t="shared" si="152"/>
        <v>0</v>
      </c>
      <c r="CD211" s="387">
        <f t="shared" si="153"/>
        <v>0</v>
      </c>
      <c r="CE211" s="387">
        <f t="shared" si="154"/>
        <v>0</v>
      </c>
      <c r="CF211" s="387">
        <f t="shared" si="155"/>
        <v>0</v>
      </c>
      <c r="CG211" s="387">
        <f t="shared" si="156"/>
        <v>0</v>
      </c>
      <c r="CH211" s="387">
        <f t="shared" si="157"/>
        <v>0</v>
      </c>
      <c r="CI211" s="387">
        <f t="shared" si="158"/>
        <v>0</v>
      </c>
      <c r="CJ211" s="387">
        <f t="shared" si="171"/>
        <v>0</v>
      </c>
      <c r="CK211" s="387" t="str">
        <f t="shared" si="172"/>
        <v/>
      </c>
      <c r="CL211" s="387" t="str">
        <f t="shared" si="173"/>
        <v/>
      </c>
      <c r="CM211" s="387" t="str">
        <f t="shared" si="174"/>
        <v/>
      </c>
      <c r="CN211" s="387" t="str">
        <f t="shared" si="175"/>
        <v>0348-31</v>
      </c>
    </row>
    <row r="212" spans="1:92" ht="15.75" thickBot="1" x14ac:dyDescent="0.3">
      <c r="A212" s="376" t="s">
        <v>161</v>
      </c>
      <c r="B212" s="376" t="s">
        <v>162</v>
      </c>
      <c r="C212" s="376" t="s">
        <v>909</v>
      </c>
      <c r="D212" s="376" t="s">
        <v>862</v>
      </c>
      <c r="E212" s="376" t="s">
        <v>224</v>
      </c>
      <c r="F212" s="382" t="s">
        <v>225</v>
      </c>
      <c r="G212" s="376" t="s">
        <v>781</v>
      </c>
      <c r="H212" s="378"/>
      <c r="I212" s="378"/>
      <c r="J212" s="376" t="s">
        <v>239</v>
      </c>
      <c r="K212" s="376" t="s">
        <v>863</v>
      </c>
      <c r="L212" s="376" t="s">
        <v>252</v>
      </c>
      <c r="M212" s="376" t="s">
        <v>171</v>
      </c>
      <c r="N212" s="376" t="s">
        <v>172</v>
      </c>
      <c r="O212" s="379">
        <v>1</v>
      </c>
      <c r="P212" s="385">
        <v>0.6</v>
      </c>
      <c r="Q212" s="385">
        <v>0.6</v>
      </c>
      <c r="R212" s="380">
        <v>80</v>
      </c>
      <c r="S212" s="385">
        <v>0.6</v>
      </c>
      <c r="T212" s="380">
        <v>25171.14</v>
      </c>
      <c r="U212" s="380">
        <v>0</v>
      </c>
      <c r="V212" s="380">
        <v>10452.9</v>
      </c>
      <c r="W212" s="380">
        <v>34619.519999999997</v>
      </c>
      <c r="X212" s="380">
        <v>14476.45</v>
      </c>
      <c r="Y212" s="380">
        <v>34619.519999999997</v>
      </c>
      <c r="Z212" s="380">
        <v>14331.05</v>
      </c>
      <c r="AA212" s="376" t="s">
        <v>910</v>
      </c>
      <c r="AB212" s="376" t="s">
        <v>911</v>
      </c>
      <c r="AC212" s="376" t="s">
        <v>912</v>
      </c>
      <c r="AD212" s="376" t="s">
        <v>566</v>
      </c>
      <c r="AE212" s="376" t="s">
        <v>863</v>
      </c>
      <c r="AF212" s="376" t="s">
        <v>393</v>
      </c>
      <c r="AG212" s="376" t="s">
        <v>178</v>
      </c>
      <c r="AH212" s="381">
        <v>27.74</v>
      </c>
      <c r="AI212" s="381">
        <v>65177.9</v>
      </c>
      <c r="AJ212" s="376" t="s">
        <v>179</v>
      </c>
      <c r="AK212" s="376" t="s">
        <v>180</v>
      </c>
      <c r="AL212" s="376" t="s">
        <v>181</v>
      </c>
      <c r="AM212" s="376" t="s">
        <v>182</v>
      </c>
      <c r="AN212" s="376" t="s">
        <v>68</v>
      </c>
      <c r="AO212" s="379">
        <v>80</v>
      </c>
      <c r="AP212" s="385">
        <v>1</v>
      </c>
      <c r="AQ212" s="385">
        <v>0.6</v>
      </c>
      <c r="AR212" s="383" t="s">
        <v>183</v>
      </c>
      <c r="AS212" s="387">
        <f t="shared" si="159"/>
        <v>0.6</v>
      </c>
      <c r="AT212">
        <f t="shared" si="160"/>
        <v>1</v>
      </c>
      <c r="AU212" s="387">
        <f>IF(AT212=0,"",IF(AND(AT212=1,M212="F",SUMIF(C2:C1334,C212,AS2:AS1334)&lt;=1),SUMIF(C2:C1334,C212,AS2:AS1334),IF(AND(AT212=1,M212="F",SUMIF(C2:C1334,C212,AS2:AS1334)&gt;1),1,"")))</f>
        <v>1</v>
      </c>
      <c r="AV212" s="387" t="str">
        <f>IF(AT212=0,"",IF(AND(AT212=3,M212="F",SUMIF(C2:C1334,C212,AS2:AS1334)&lt;=1),SUMIF(C2:C1334,C212,AS2:AS1334),IF(AND(AT212=3,M212="F",SUMIF(C2:C1334,C212,AS2:AS1334)&gt;1),1,"")))</f>
        <v/>
      </c>
      <c r="AW212" s="387">
        <f>SUMIF(C2:C1334,C212,O2:O1334)</f>
        <v>3</v>
      </c>
      <c r="AX212" s="387">
        <f>IF(AND(M212="F",AS212&lt;&gt;0),SUMIF(C2:C1334,C212,W2:W1334),0)</f>
        <v>57699.199999999997</v>
      </c>
      <c r="AY212" s="387">
        <f t="shared" si="161"/>
        <v>34619.519999999997</v>
      </c>
      <c r="AZ212" s="387" t="str">
        <f t="shared" si="162"/>
        <v/>
      </c>
      <c r="BA212" s="387">
        <f t="shared" si="163"/>
        <v>0</v>
      </c>
      <c r="BB212" s="387">
        <f t="shared" si="132"/>
        <v>6990</v>
      </c>
      <c r="BC212" s="387">
        <f t="shared" si="133"/>
        <v>0</v>
      </c>
      <c r="BD212" s="387">
        <f t="shared" si="134"/>
        <v>2146.4102399999997</v>
      </c>
      <c r="BE212" s="387">
        <f t="shared" si="135"/>
        <v>501.98303999999996</v>
      </c>
      <c r="BF212" s="387">
        <f t="shared" si="136"/>
        <v>4133.5706879999998</v>
      </c>
      <c r="BG212" s="387">
        <f t="shared" si="137"/>
        <v>249.60673919999999</v>
      </c>
      <c r="BH212" s="387">
        <f t="shared" si="138"/>
        <v>169.63564799999997</v>
      </c>
      <c r="BI212" s="387">
        <f t="shared" si="139"/>
        <v>191.61904319999999</v>
      </c>
      <c r="BJ212" s="387">
        <f t="shared" si="140"/>
        <v>93.472703999999993</v>
      </c>
      <c r="BK212" s="387">
        <f t="shared" si="141"/>
        <v>0</v>
      </c>
      <c r="BL212" s="387">
        <f t="shared" si="164"/>
        <v>7486.298102400001</v>
      </c>
      <c r="BM212" s="387">
        <f t="shared" si="165"/>
        <v>0</v>
      </c>
      <c r="BN212" s="387">
        <f t="shared" si="142"/>
        <v>6990</v>
      </c>
      <c r="BO212" s="387">
        <f t="shared" si="143"/>
        <v>0</v>
      </c>
      <c r="BP212" s="387">
        <f t="shared" si="144"/>
        <v>2146.4102399999997</v>
      </c>
      <c r="BQ212" s="387">
        <f t="shared" si="145"/>
        <v>501.98303999999996</v>
      </c>
      <c r="BR212" s="387">
        <f t="shared" si="146"/>
        <v>4133.5706879999998</v>
      </c>
      <c r="BS212" s="387">
        <f t="shared" si="147"/>
        <v>249.60673919999999</v>
      </c>
      <c r="BT212" s="387">
        <f t="shared" si="148"/>
        <v>0</v>
      </c>
      <c r="BU212" s="387">
        <f t="shared" si="149"/>
        <v>191.61904319999999</v>
      </c>
      <c r="BV212" s="387">
        <f t="shared" si="150"/>
        <v>117.70636799999998</v>
      </c>
      <c r="BW212" s="387">
        <f t="shared" si="151"/>
        <v>0</v>
      </c>
      <c r="BX212" s="387">
        <f t="shared" si="166"/>
        <v>7340.8961184000009</v>
      </c>
      <c r="BY212" s="387">
        <f t="shared" si="167"/>
        <v>0</v>
      </c>
      <c r="BZ212" s="387">
        <f t="shared" si="168"/>
        <v>0</v>
      </c>
      <c r="CA212" s="387">
        <f t="shared" si="169"/>
        <v>0</v>
      </c>
      <c r="CB212" s="387">
        <f t="shared" si="170"/>
        <v>0</v>
      </c>
      <c r="CC212" s="387">
        <f t="shared" si="152"/>
        <v>0</v>
      </c>
      <c r="CD212" s="387">
        <f t="shared" si="153"/>
        <v>0</v>
      </c>
      <c r="CE212" s="387">
        <f t="shared" si="154"/>
        <v>0</v>
      </c>
      <c r="CF212" s="387">
        <f t="shared" si="155"/>
        <v>-169.63564799999997</v>
      </c>
      <c r="CG212" s="387">
        <f t="shared" si="156"/>
        <v>0</v>
      </c>
      <c r="CH212" s="387">
        <f t="shared" si="157"/>
        <v>24.233663999999987</v>
      </c>
      <c r="CI212" s="387">
        <f t="shared" si="158"/>
        <v>0</v>
      </c>
      <c r="CJ212" s="387">
        <f t="shared" si="171"/>
        <v>-145.401984</v>
      </c>
      <c r="CK212" s="387" t="str">
        <f t="shared" si="172"/>
        <v/>
      </c>
      <c r="CL212" s="387" t="str">
        <f t="shared" si="173"/>
        <v/>
      </c>
      <c r="CM212" s="387" t="str">
        <f t="shared" si="174"/>
        <v/>
      </c>
      <c r="CN212" s="387" t="str">
        <f t="shared" si="175"/>
        <v>0348-31</v>
      </c>
    </row>
    <row r="213" spans="1:92" ht="15.75" thickBot="1" x14ac:dyDescent="0.3">
      <c r="A213" s="376" t="s">
        <v>161</v>
      </c>
      <c r="B213" s="376" t="s">
        <v>162</v>
      </c>
      <c r="C213" s="376" t="s">
        <v>817</v>
      </c>
      <c r="D213" s="376" t="s">
        <v>786</v>
      </c>
      <c r="E213" s="376" t="s">
        <v>224</v>
      </c>
      <c r="F213" s="382" t="s">
        <v>225</v>
      </c>
      <c r="G213" s="376" t="s">
        <v>781</v>
      </c>
      <c r="H213" s="378"/>
      <c r="I213" s="378"/>
      <c r="J213" s="376" t="s">
        <v>239</v>
      </c>
      <c r="K213" s="376" t="s">
        <v>787</v>
      </c>
      <c r="L213" s="376" t="s">
        <v>181</v>
      </c>
      <c r="M213" s="376" t="s">
        <v>171</v>
      </c>
      <c r="N213" s="376" t="s">
        <v>172</v>
      </c>
      <c r="O213" s="379">
        <v>1</v>
      </c>
      <c r="P213" s="385">
        <v>0.95</v>
      </c>
      <c r="Q213" s="385">
        <v>0.95</v>
      </c>
      <c r="R213" s="380">
        <v>80</v>
      </c>
      <c r="S213" s="385">
        <v>0.95</v>
      </c>
      <c r="T213" s="380">
        <v>52678.35</v>
      </c>
      <c r="U213" s="380">
        <v>0</v>
      </c>
      <c r="V213" s="380">
        <v>21488.23</v>
      </c>
      <c r="W213" s="380">
        <v>59694.96</v>
      </c>
      <c r="X213" s="380">
        <v>23976.5</v>
      </c>
      <c r="Y213" s="380">
        <v>59694.96</v>
      </c>
      <c r="Z213" s="380">
        <v>23725.79</v>
      </c>
      <c r="AA213" s="376" t="s">
        <v>818</v>
      </c>
      <c r="AB213" s="376" t="s">
        <v>819</v>
      </c>
      <c r="AC213" s="376" t="s">
        <v>820</v>
      </c>
      <c r="AD213" s="376" t="s">
        <v>776</v>
      </c>
      <c r="AE213" s="376" t="s">
        <v>787</v>
      </c>
      <c r="AF213" s="376" t="s">
        <v>211</v>
      </c>
      <c r="AG213" s="376" t="s">
        <v>178</v>
      </c>
      <c r="AH213" s="381">
        <v>30.21</v>
      </c>
      <c r="AI213" s="381">
        <v>29251.5</v>
      </c>
      <c r="AJ213" s="376" t="s">
        <v>179</v>
      </c>
      <c r="AK213" s="376" t="s">
        <v>180</v>
      </c>
      <c r="AL213" s="376" t="s">
        <v>181</v>
      </c>
      <c r="AM213" s="376" t="s">
        <v>182</v>
      </c>
      <c r="AN213" s="376" t="s">
        <v>68</v>
      </c>
      <c r="AO213" s="379">
        <v>80</v>
      </c>
      <c r="AP213" s="385">
        <v>1</v>
      </c>
      <c r="AQ213" s="385">
        <v>0.95</v>
      </c>
      <c r="AR213" s="383" t="s">
        <v>183</v>
      </c>
      <c r="AS213" s="387">
        <f t="shared" si="159"/>
        <v>0.95</v>
      </c>
      <c r="AT213">
        <f t="shared" si="160"/>
        <v>1</v>
      </c>
      <c r="AU213" s="387">
        <f>IF(AT213=0,"",IF(AND(AT213=1,M213="F",SUMIF(C2:C1334,C213,AS2:AS1334)&lt;=1),SUMIF(C2:C1334,C213,AS2:AS1334),IF(AND(AT213=1,M213="F",SUMIF(C2:C1334,C213,AS2:AS1334)&gt;1),1,"")))</f>
        <v>1</v>
      </c>
      <c r="AV213" s="387" t="str">
        <f>IF(AT213=0,"",IF(AND(AT213=3,M213="F",SUMIF(C2:C1334,C213,AS2:AS1334)&lt;=1),SUMIF(C2:C1334,C213,AS2:AS1334),IF(AND(AT213=3,M213="F",SUMIF(C2:C1334,C213,AS2:AS1334)&gt;1),1,"")))</f>
        <v/>
      </c>
      <c r="AW213" s="387">
        <f>SUMIF(C2:C1334,C213,O2:O1334)</f>
        <v>4</v>
      </c>
      <c r="AX213" s="387">
        <f>IF(AND(M213="F",AS213&lt;&gt;0),SUMIF(C2:C1334,C213,W2:W1334),0)</f>
        <v>62836.800000000003</v>
      </c>
      <c r="AY213" s="387">
        <f t="shared" si="161"/>
        <v>59694.96</v>
      </c>
      <c r="AZ213" s="387" t="str">
        <f t="shared" si="162"/>
        <v/>
      </c>
      <c r="BA213" s="387">
        <f t="shared" si="163"/>
        <v>0</v>
      </c>
      <c r="BB213" s="387">
        <f t="shared" si="132"/>
        <v>11067.5</v>
      </c>
      <c r="BC213" s="387">
        <f t="shared" si="133"/>
        <v>0</v>
      </c>
      <c r="BD213" s="387">
        <f t="shared" si="134"/>
        <v>3701.08752</v>
      </c>
      <c r="BE213" s="387">
        <f t="shared" si="135"/>
        <v>865.57692000000009</v>
      </c>
      <c r="BF213" s="387">
        <f t="shared" si="136"/>
        <v>7127.5782239999999</v>
      </c>
      <c r="BG213" s="387">
        <f t="shared" si="137"/>
        <v>430.40066160000003</v>
      </c>
      <c r="BH213" s="387">
        <f t="shared" si="138"/>
        <v>292.50530399999997</v>
      </c>
      <c r="BI213" s="387">
        <f t="shared" si="139"/>
        <v>330.41160359999998</v>
      </c>
      <c r="BJ213" s="387">
        <f t="shared" si="140"/>
        <v>161.17639199999999</v>
      </c>
      <c r="BK213" s="387">
        <f t="shared" si="141"/>
        <v>0</v>
      </c>
      <c r="BL213" s="387">
        <f t="shared" si="164"/>
        <v>12908.736625200001</v>
      </c>
      <c r="BM213" s="387">
        <f t="shared" si="165"/>
        <v>0</v>
      </c>
      <c r="BN213" s="387">
        <f t="shared" si="142"/>
        <v>11067.5</v>
      </c>
      <c r="BO213" s="387">
        <f t="shared" si="143"/>
        <v>0</v>
      </c>
      <c r="BP213" s="387">
        <f t="shared" si="144"/>
        <v>3701.08752</v>
      </c>
      <c r="BQ213" s="387">
        <f t="shared" si="145"/>
        <v>865.57692000000009</v>
      </c>
      <c r="BR213" s="387">
        <f t="shared" si="146"/>
        <v>7127.5782239999999</v>
      </c>
      <c r="BS213" s="387">
        <f t="shared" si="147"/>
        <v>430.40066160000003</v>
      </c>
      <c r="BT213" s="387">
        <f t="shared" si="148"/>
        <v>0</v>
      </c>
      <c r="BU213" s="387">
        <f t="shared" si="149"/>
        <v>330.41160359999998</v>
      </c>
      <c r="BV213" s="387">
        <f t="shared" si="150"/>
        <v>202.962864</v>
      </c>
      <c r="BW213" s="387">
        <f t="shared" si="151"/>
        <v>0</v>
      </c>
      <c r="BX213" s="387">
        <f t="shared" si="166"/>
        <v>12658.017793200001</v>
      </c>
      <c r="BY213" s="387">
        <f t="shared" si="167"/>
        <v>0</v>
      </c>
      <c r="BZ213" s="387">
        <f t="shared" si="168"/>
        <v>0</v>
      </c>
      <c r="CA213" s="387">
        <f t="shared" si="169"/>
        <v>0</v>
      </c>
      <c r="CB213" s="387">
        <f t="shared" si="170"/>
        <v>0</v>
      </c>
      <c r="CC213" s="387">
        <f t="shared" si="152"/>
        <v>0</v>
      </c>
      <c r="CD213" s="387">
        <f t="shared" si="153"/>
        <v>0</v>
      </c>
      <c r="CE213" s="387">
        <f t="shared" si="154"/>
        <v>0</v>
      </c>
      <c r="CF213" s="387">
        <f t="shared" si="155"/>
        <v>-292.50530399999997</v>
      </c>
      <c r="CG213" s="387">
        <f t="shared" si="156"/>
        <v>0</v>
      </c>
      <c r="CH213" s="387">
        <f t="shared" si="157"/>
        <v>41.786471999999982</v>
      </c>
      <c r="CI213" s="387">
        <f t="shared" si="158"/>
        <v>0</v>
      </c>
      <c r="CJ213" s="387">
        <f t="shared" si="171"/>
        <v>-250.71883199999999</v>
      </c>
      <c r="CK213" s="387" t="str">
        <f t="shared" si="172"/>
        <v/>
      </c>
      <c r="CL213" s="387" t="str">
        <f t="shared" si="173"/>
        <v/>
      </c>
      <c r="CM213" s="387" t="str">
        <f t="shared" si="174"/>
        <v/>
      </c>
      <c r="CN213" s="387" t="str">
        <f t="shared" si="175"/>
        <v>0348-31</v>
      </c>
    </row>
    <row r="214" spans="1:92" ht="15.75" thickBot="1" x14ac:dyDescent="0.3">
      <c r="A214" s="376" t="s">
        <v>161</v>
      </c>
      <c r="B214" s="376" t="s">
        <v>162</v>
      </c>
      <c r="C214" s="376" t="s">
        <v>913</v>
      </c>
      <c r="D214" s="376" t="s">
        <v>868</v>
      </c>
      <c r="E214" s="376" t="s">
        <v>224</v>
      </c>
      <c r="F214" s="382" t="s">
        <v>225</v>
      </c>
      <c r="G214" s="376" t="s">
        <v>781</v>
      </c>
      <c r="H214" s="378"/>
      <c r="I214" s="378"/>
      <c r="J214" s="376" t="s">
        <v>215</v>
      </c>
      <c r="K214" s="376" t="s">
        <v>869</v>
      </c>
      <c r="L214" s="376" t="s">
        <v>296</v>
      </c>
      <c r="M214" s="376" t="s">
        <v>171</v>
      </c>
      <c r="N214" s="376" t="s">
        <v>172</v>
      </c>
      <c r="O214" s="379">
        <v>1</v>
      </c>
      <c r="P214" s="385">
        <v>0</v>
      </c>
      <c r="Q214" s="385">
        <v>0</v>
      </c>
      <c r="R214" s="380">
        <v>80</v>
      </c>
      <c r="S214" s="385">
        <v>0</v>
      </c>
      <c r="T214" s="380">
        <v>4944</v>
      </c>
      <c r="U214" s="380">
        <v>0</v>
      </c>
      <c r="V214" s="380">
        <v>2987.12</v>
      </c>
      <c r="W214" s="380">
        <v>0</v>
      </c>
      <c r="X214" s="380">
        <v>0</v>
      </c>
      <c r="Y214" s="380">
        <v>0</v>
      </c>
      <c r="Z214" s="380">
        <v>0</v>
      </c>
      <c r="AA214" s="376" t="s">
        <v>914</v>
      </c>
      <c r="AB214" s="376" t="s">
        <v>915</v>
      </c>
      <c r="AC214" s="376" t="s">
        <v>916</v>
      </c>
      <c r="AD214" s="376" t="s">
        <v>441</v>
      </c>
      <c r="AE214" s="376" t="s">
        <v>873</v>
      </c>
      <c r="AF214" s="376" t="s">
        <v>393</v>
      </c>
      <c r="AG214" s="376" t="s">
        <v>178</v>
      </c>
      <c r="AH214" s="381">
        <v>20.6</v>
      </c>
      <c r="AI214" s="379">
        <v>1008</v>
      </c>
      <c r="AJ214" s="376" t="s">
        <v>179</v>
      </c>
      <c r="AK214" s="376" t="s">
        <v>180</v>
      </c>
      <c r="AL214" s="376" t="s">
        <v>181</v>
      </c>
      <c r="AM214" s="376" t="s">
        <v>182</v>
      </c>
      <c r="AN214" s="376" t="s">
        <v>68</v>
      </c>
      <c r="AO214" s="379">
        <v>80</v>
      </c>
      <c r="AP214" s="385">
        <v>1</v>
      </c>
      <c r="AQ214" s="385">
        <v>0</v>
      </c>
      <c r="AR214" s="383">
        <v>3</v>
      </c>
      <c r="AS214" s="387">
        <f t="shared" si="159"/>
        <v>0</v>
      </c>
      <c r="AT214">
        <f t="shared" si="160"/>
        <v>0</v>
      </c>
      <c r="AU214" s="387" t="str">
        <f>IF(AT214=0,"",IF(AND(AT214=1,M214="F",SUMIF(C2:C1334,C214,AS2:AS1334)&lt;=1),SUMIF(C2:C1334,C214,AS2:AS1334),IF(AND(AT214=1,M214="F",SUMIF(C2:C1334,C214,AS2:AS1334)&gt;1),1,"")))</f>
        <v/>
      </c>
      <c r="AV214" s="387" t="str">
        <f>IF(AT214=0,"",IF(AND(AT214=3,M214="F",SUMIF(C2:C1334,C214,AS2:AS1334)&lt;=1),SUMIF(C2:C1334,C214,AS2:AS1334),IF(AND(AT214=3,M214="F",SUMIF(C2:C1334,C214,AS2:AS1334)&gt;1),1,"")))</f>
        <v/>
      </c>
      <c r="AW214" s="387">
        <f>SUMIF(C2:C1334,C214,O2:O1334)</f>
        <v>2</v>
      </c>
      <c r="AX214" s="387">
        <f>IF(AND(M214="F",AS214&lt;&gt;0),SUMIF(C2:C1334,C214,W2:W1334),0)</f>
        <v>0</v>
      </c>
      <c r="AY214" s="387" t="str">
        <f t="shared" si="161"/>
        <v/>
      </c>
      <c r="AZ214" s="387" t="str">
        <f t="shared" si="162"/>
        <v/>
      </c>
      <c r="BA214" s="387">
        <f t="shared" si="163"/>
        <v>0</v>
      </c>
      <c r="BB214" s="387">
        <f t="shared" si="132"/>
        <v>0</v>
      </c>
      <c r="BC214" s="387">
        <f t="shared" si="133"/>
        <v>0</v>
      </c>
      <c r="BD214" s="387">
        <f t="shared" si="134"/>
        <v>0</v>
      </c>
      <c r="BE214" s="387">
        <f t="shared" si="135"/>
        <v>0</v>
      </c>
      <c r="BF214" s="387">
        <f t="shared" si="136"/>
        <v>0</v>
      </c>
      <c r="BG214" s="387">
        <f t="shared" si="137"/>
        <v>0</v>
      </c>
      <c r="BH214" s="387">
        <f t="shared" si="138"/>
        <v>0</v>
      </c>
      <c r="BI214" s="387">
        <f t="shared" si="139"/>
        <v>0</v>
      </c>
      <c r="BJ214" s="387">
        <f t="shared" si="140"/>
        <v>0</v>
      </c>
      <c r="BK214" s="387">
        <f t="shared" si="141"/>
        <v>0</v>
      </c>
      <c r="BL214" s="387">
        <f t="shared" si="164"/>
        <v>0</v>
      </c>
      <c r="BM214" s="387">
        <f t="shared" si="165"/>
        <v>0</v>
      </c>
      <c r="BN214" s="387">
        <f t="shared" si="142"/>
        <v>0</v>
      </c>
      <c r="BO214" s="387">
        <f t="shared" si="143"/>
        <v>0</v>
      </c>
      <c r="BP214" s="387">
        <f t="shared" si="144"/>
        <v>0</v>
      </c>
      <c r="BQ214" s="387">
        <f t="shared" si="145"/>
        <v>0</v>
      </c>
      <c r="BR214" s="387">
        <f t="shared" si="146"/>
        <v>0</v>
      </c>
      <c r="BS214" s="387">
        <f t="shared" si="147"/>
        <v>0</v>
      </c>
      <c r="BT214" s="387">
        <f t="shared" si="148"/>
        <v>0</v>
      </c>
      <c r="BU214" s="387">
        <f t="shared" si="149"/>
        <v>0</v>
      </c>
      <c r="BV214" s="387">
        <f t="shared" si="150"/>
        <v>0</v>
      </c>
      <c r="BW214" s="387">
        <f t="shared" si="151"/>
        <v>0</v>
      </c>
      <c r="BX214" s="387">
        <f t="shared" si="166"/>
        <v>0</v>
      </c>
      <c r="BY214" s="387">
        <f t="shared" si="167"/>
        <v>0</v>
      </c>
      <c r="BZ214" s="387">
        <f t="shared" si="168"/>
        <v>0</v>
      </c>
      <c r="CA214" s="387">
        <f t="shared" si="169"/>
        <v>0</v>
      </c>
      <c r="CB214" s="387">
        <f t="shared" si="170"/>
        <v>0</v>
      </c>
      <c r="CC214" s="387">
        <f t="shared" si="152"/>
        <v>0</v>
      </c>
      <c r="CD214" s="387">
        <f t="shared" si="153"/>
        <v>0</v>
      </c>
      <c r="CE214" s="387">
        <f t="shared" si="154"/>
        <v>0</v>
      </c>
      <c r="CF214" s="387">
        <f t="shared" si="155"/>
        <v>0</v>
      </c>
      <c r="CG214" s="387">
        <f t="shared" si="156"/>
        <v>0</v>
      </c>
      <c r="CH214" s="387">
        <f t="shared" si="157"/>
        <v>0</v>
      </c>
      <c r="CI214" s="387">
        <f t="shared" si="158"/>
        <v>0</v>
      </c>
      <c r="CJ214" s="387">
        <f t="shared" si="171"/>
        <v>0</v>
      </c>
      <c r="CK214" s="387" t="str">
        <f t="shared" si="172"/>
        <v/>
      </c>
      <c r="CL214" s="387" t="str">
        <f t="shared" si="173"/>
        <v/>
      </c>
      <c r="CM214" s="387" t="str">
        <f t="shared" si="174"/>
        <v/>
      </c>
      <c r="CN214" s="387" t="str">
        <f t="shared" si="175"/>
        <v>0348-31</v>
      </c>
    </row>
    <row r="215" spans="1:92" ht="15.75" thickBot="1" x14ac:dyDescent="0.3">
      <c r="A215" s="376" t="s">
        <v>161</v>
      </c>
      <c r="B215" s="376" t="s">
        <v>162</v>
      </c>
      <c r="C215" s="376" t="s">
        <v>917</v>
      </c>
      <c r="D215" s="376" t="s">
        <v>783</v>
      </c>
      <c r="E215" s="376" t="s">
        <v>224</v>
      </c>
      <c r="F215" s="382" t="s">
        <v>225</v>
      </c>
      <c r="G215" s="376" t="s">
        <v>781</v>
      </c>
      <c r="H215" s="378"/>
      <c r="I215" s="378"/>
      <c r="J215" s="376" t="s">
        <v>215</v>
      </c>
      <c r="K215" s="376" t="s">
        <v>784</v>
      </c>
      <c r="L215" s="376" t="s">
        <v>351</v>
      </c>
      <c r="M215" s="376" t="s">
        <v>171</v>
      </c>
      <c r="N215" s="376" t="s">
        <v>877</v>
      </c>
      <c r="O215" s="379">
        <v>1</v>
      </c>
      <c r="P215" s="385">
        <v>1</v>
      </c>
      <c r="Q215" s="385">
        <v>1</v>
      </c>
      <c r="R215" s="380">
        <v>80</v>
      </c>
      <c r="S215" s="385">
        <v>1</v>
      </c>
      <c r="T215" s="380">
        <v>89970.92</v>
      </c>
      <c r="U215" s="380">
        <v>0</v>
      </c>
      <c r="V215" s="380">
        <v>30295.88</v>
      </c>
      <c r="W215" s="380">
        <v>94099.199999999997</v>
      </c>
      <c r="X215" s="380">
        <v>31998.91</v>
      </c>
      <c r="Y215" s="380">
        <v>94099.199999999997</v>
      </c>
      <c r="Z215" s="380">
        <v>31603.7</v>
      </c>
      <c r="AA215" s="376" t="s">
        <v>918</v>
      </c>
      <c r="AB215" s="376" t="s">
        <v>919</v>
      </c>
      <c r="AC215" s="376" t="s">
        <v>920</v>
      </c>
      <c r="AD215" s="376" t="s">
        <v>406</v>
      </c>
      <c r="AE215" s="376" t="s">
        <v>784</v>
      </c>
      <c r="AF215" s="376" t="s">
        <v>355</v>
      </c>
      <c r="AG215" s="376" t="s">
        <v>178</v>
      </c>
      <c r="AH215" s="381">
        <v>45.24</v>
      </c>
      <c r="AI215" s="381">
        <v>13396.6</v>
      </c>
      <c r="AJ215" s="376" t="s">
        <v>179</v>
      </c>
      <c r="AK215" s="376" t="s">
        <v>180</v>
      </c>
      <c r="AL215" s="376" t="s">
        <v>181</v>
      </c>
      <c r="AM215" s="376" t="s">
        <v>182</v>
      </c>
      <c r="AN215" s="376" t="s">
        <v>68</v>
      </c>
      <c r="AO215" s="379">
        <v>80</v>
      </c>
      <c r="AP215" s="385">
        <v>1</v>
      </c>
      <c r="AQ215" s="385">
        <v>1</v>
      </c>
      <c r="AR215" s="383" t="s">
        <v>183</v>
      </c>
      <c r="AS215" s="387">
        <f t="shared" si="159"/>
        <v>1</v>
      </c>
      <c r="AT215">
        <f t="shared" si="160"/>
        <v>1</v>
      </c>
      <c r="AU215" s="387">
        <f>IF(AT215=0,"",IF(AND(AT215=1,M215="F",SUMIF(C2:C1334,C215,AS2:AS1334)&lt;=1),SUMIF(C2:C1334,C215,AS2:AS1334),IF(AND(AT215=1,M215="F",SUMIF(C2:C1334,C215,AS2:AS1334)&gt;1),1,"")))</f>
        <v>1</v>
      </c>
      <c r="AV215" s="387" t="str">
        <f>IF(AT215=0,"",IF(AND(AT215=3,M215="F",SUMIF(C2:C1334,C215,AS2:AS1334)&lt;=1),SUMIF(C2:C1334,C215,AS2:AS1334),IF(AND(AT215=3,M215="F",SUMIF(C2:C1334,C215,AS2:AS1334)&gt;1),1,"")))</f>
        <v/>
      </c>
      <c r="AW215" s="387">
        <f>SUMIF(C2:C1334,C215,O2:O1334)</f>
        <v>1</v>
      </c>
      <c r="AX215" s="387">
        <f>IF(AND(M215="F",AS215&lt;&gt;0),SUMIF(C2:C1334,C215,W2:W1334),0)</f>
        <v>94099.199999999997</v>
      </c>
      <c r="AY215" s="387">
        <f t="shared" si="161"/>
        <v>94099.199999999997</v>
      </c>
      <c r="AZ215" s="387" t="str">
        <f t="shared" si="162"/>
        <v/>
      </c>
      <c r="BA215" s="387">
        <f t="shared" si="163"/>
        <v>0</v>
      </c>
      <c r="BB215" s="387">
        <f t="shared" si="132"/>
        <v>11650</v>
      </c>
      <c r="BC215" s="387">
        <f t="shared" si="133"/>
        <v>0</v>
      </c>
      <c r="BD215" s="387">
        <f t="shared" si="134"/>
        <v>5834.1503999999995</v>
      </c>
      <c r="BE215" s="387">
        <f t="shared" si="135"/>
        <v>1364.4384</v>
      </c>
      <c r="BF215" s="387">
        <f t="shared" si="136"/>
        <v>11235.44448</v>
      </c>
      <c r="BG215" s="387">
        <f t="shared" si="137"/>
        <v>678.45523200000002</v>
      </c>
      <c r="BH215" s="387">
        <f t="shared" si="138"/>
        <v>461.08607999999998</v>
      </c>
      <c r="BI215" s="387">
        <f t="shared" si="139"/>
        <v>520.83907199999999</v>
      </c>
      <c r="BJ215" s="387">
        <f t="shared" si="140"/>
        <v>254.06784000000002</v>
      </c>
      <c r="BK215" s="387">
        <f t="shared" si="141"/>
        <v>0</v>
      </c>
      <c r="BL215" s="387">
        <f t="shared" si="164"/>
        <v>20348.481503999999</v>
      </c>
      <c r="BM215" s="387">
        <f t="shared" si="165"/>
        <v>0</v>
      </c>
      <c r="BN215" s="387">
        <f t="shared" si="142"/>
        <v>11650</v>
      </c>
      <c r="BO215" s="387">
        <f t="shared" si="143"/>
        <v>0</v>
      </c>
      <c r="BP215" s="387">
        <f t="shared" si="144"/>
        <v>5834.1503999999995</v>
      </c>
      <c r="BQ215" s="387">
        <f t="shared" si="145"/>
        <v>1364.4384</v>
      </c>
      <c r="BR215" s="387">
        <f t="shared" si="146"/>
        <v>11235.44448</v>
      </c>
      <c r="BS215" s="387">
        <f t="shared" si="147"/>
        <v>678.45523200000002</v>
      </c>
      <c r="BT215" s="387">
        <f t="shared" si="148"/>
        <v>0</v>
      </c>
      <c r="BU215" s="387">
        <f t="shared" si="149"/>
        <v>520.83907199999999</v>
      </c>
      <c r="BV215" s="387">
        <f t="shared" si="150"/>
        <v>319.93727999999999</v>
      </c>
      <c r="BW215" s="387">
        <f t="shared" si="151"/>
        <v>0</v>
      </c>
      <c r="BX215" s="387">
        <f t="shared" si="166"/>
        <v>19953.264863999997</v>
      </c>
      <c r="BY215" s="387">
        <f t="shared" si="167"/>
        <v>0</v>
      </c>
      <c r="BZ215" s="387">
        <f t="shared" si="168"/>
        <v>0</v>
      </c>
      <c r="CA215" s="387">
        <f t="shared" si="169"/>
        <v>0</v>
      </c>
      <c r="CB215" s="387">
        <f t="shared" si="170"/>
        <v>0</v>
      </c>
      <c r="CC215" s="387">
        <f t="shared" si="152"/>
        <v>0</v>
      </c>
      <c r="CD215" s="387">
        <f t="shared" si="153"/>
        <v>0</v>
      </c>
      <c r="CE215" s="387">
        <f t="shared" si="154"/>
        <v>0</v>
      </c>
      <c r="CF215" s="387">
        <f t="shared" si="155"/>
        <v>-461.08607999999998</v>
      </c>
      <c r="CG215" s="387">
        <f t="shared" si="156"/>
        <v>0</v>
      </c>
      <c r="CH215" s="387">
        <f t="shared" si="157"/>
        <v>65.869439999999969</v>
      </c>
      <c r="CI215" s="387">
        <f t="shared" si="158"/>
        <v>0</v>
      </c>
      <c r="CJ215" s="387">
        <f t="shared" si="171"/>
        <v>-395.21663999999998</v>
      </c>
      <c r="CK215" s="387" t="str">
        <f t="shared" si="172"/>
        <v/>
      </c>
      <c r="CL215" s="387" t="str">
        <f t="shared" si="173"/>
        <v/>
      </c>
      <c r="CM215" s="387" t="str">
        <f t="shared" si="174"/>
        <v/>
      </c>
      <c r="CN215" s="387" t="str">
        <f t="shared" si="175"/>
        <v>0348-31</v>
      </c>
    </row>
    <row r="216" spans="1:92" ht="15.75" thickBot="1" x14ac:dyDescent="0.3">
      <c r="A216" s="376" t="s">
        <v>161</v>
      </c>
      <c r="B216" s="376" t="s">
        <v>162</v>
      </c>
      <c r="C216" s="376" t="s">
        <v>592</v>
      </c>
      <c r="D216" s="376" t="s">
        <v>294</v>
      </c>
      <c r="E216" s="376" t="s">
        <v>224</v>
      </c>
      <c r="F216" s="382" t="s">
        <v>225</v>
      </c>
      <c r="G216" s="376" t="s">
        <v>781</v>
      </c>
      <c r="H216" s="378"/>
      <c r="I216" s="378"/>
      <c r="J216" s="376" t="s">
        <v>215</v>
      </c>
      <c r="K216" s="376" t="s">
        <v>295</v>
      </c>
      <c r="L216" s="376" t="s">
        <v>296</v>
      </c>
      <c r="M216" s="376" t="s">
        <v>171</v>
      </c>
      <c r="N216" s="376" t="s">
        <v>172</v>
      </c>
      <c r="O216" s="379">
        <v>1</v>
      </c>
      <c r="P216" s="385">
        <v>0</v>
      </c>
      <c r="Q216" s="385">
        <v>0</v>
      </c>
      <c r="R216" s="380">
        <v>80</v>
      </c>
      <c r="S216" s="385">
        <v>0</v>
      </c>
      <c r="T216" s="380">
        <v>44858.32</v>
      </c>
      <c r="U216" s="380">
        <v>2279.69</v>
      </c>
      <c r="V216" s="380">
        <v>21245.85</v>
      </c>
      <c r="W216" s="380">
        <v>0</v>
      </c>
      <c r="X216" s="380">
        <v>0</v>
      </c>
      <c r="Y216" s="380">
        <v>0</v>
      </c>
      <c r="Z216" s="380">
        <v>0</v>
      </c>
      <c r="AA216" s="376" t="s">
        <v>593</v>
      </c>
      <c r="AB216" s="376" t="s">
        <v>594</v>
      </c>
      <c r="AC216" s="376" t="s">
        <v>595</v>
      </c>
      <c r="AD216" s="376" t="s">
        <v>324</v>
      </c>
      <c r="AE216" s="376" t="s">
        <v>295</v>
      </c>
      <c r="AF216" s="376" t="s">
        <v>301</v>
      </c>
      <c r="AG216" s="376" t="s">
        <v>178</v>
      </c>
      <c r="AH216" s="381">
        <v>22.52</v>
      </c>
      <c r="AI216" s="381">
        <v>23786.799999999999</v>
      </c>
      <c r="AJ216" s="376" t="s">
        <v>179</v>
      </c>
      <c r="AK216" s="376" t="s">
        <v>180</v>
      </c>
      <c r="AL216" s="376" t="s">
        <v>181</v>
      </c>
      <c r="AM216" s="376" t="s">
        <v>182</v>
      </c>
      <c r="AN216" s="376" t="s">
        <v>68</v>
      </c>
      <c r="AO216" s="379">
        <v>80</v>
      </c>
      <c r="AP216" s="385">
        <v>1</v>
      </c>
      <c r="AQ216" s="385">
        <v>0</v>
      </c>
      <c r="AR216" s="383" t="s">
        <v>183</v>
      </c>
      <c r="AS216" s="387">
        <f t="shared" si="159"/>
        <v>0</v>
      </c>
      <c r="AT216">
        <f t="shared" si="160"/>
        <v>0</v>
      </c>
      <c r="AU216" s="387" t="str">
        <f>IF(AT216=0,"",IF(AND(AT216=1,M216="F",SUMIF(C2:C1334,C216,AS2:AS1334)&lt;=1),SUMIF(C2:C1334,C216,AS2:AS1334),IF(AND(AT216=1,M216="F",SUMIF(C2:C1334,C216,AS2:AS1334)&gt;1),1,"")))</f>
        <v/>
      </c>
      <c r="AV216" s="387" t="str">
        <f>IF(AT216=0,"",IF(AND(AT216=3,M216="F",SUMIF(C2:C1334,C216,AS2:AS1334)&lt;=1),SUMIF(C2:C1334,C216,AS2:AS1334),IF(AND(AT216=3,M216="F",SUMIF(C2:C1334,C216,AS2:AS1334)&gt;1),1,"")))</f>
        <v/>
      </c>
      <c r="AW216" s="387">
        <f>SUMIF(C2:C1334,C216,O2:O1334)</f>
        <v>3</v>
      </c>
      <c r="AX216" s="387">
        <f>IF(AND(M216="F",AS216&lt;&gt;0),SUMIF(C2:C1334,C216,W2:W1334),0)</f>
        <v>0</v>
      </c>
      <c r="AY216" s="387" t="str">
        <f t="shared" si="161"/>
        <v/>
      </c>
      <c r="AZ216" s="387" t="str">
        <f t="shared" si="162"/>
        <v/>
      </c>
      <c r="BA216" s="387">
        <f t="shared" si="163"/>
        <v>0</v>
      </c>
      <c r="BB216" s="387">
        <f t="shared" si="132"/>
        <v>0</v>
      </c>
      <c r="BC216" s="387">
        <f t="shared" si="133"/>
        <v>0</v>
      </c>
      <c r="BD216" s="387">
        <f t="shared" si="134"/>
        <v>0</v>
      </c>
      <c r="BE216" s="387">
        <f t="shared" si="135"/>
        <v>0</v>
      </c>
      <c r="BF216" s="387">
        <f t="shared" si="136"/>
        <v>0</v>
      </c>
      <c r="BG216" s="387">
        <f t="shared" si="137"/>
        <v>0</v>
      </c>
      <c r="BH216" s="387">
        <f t="shared" si="138"/>
        <v>0</v>
      </c>
      <c r="BI216" s="387">
        <f t="shared" si="139"/>
        <v>0</v>
      </c>
      <c r="BJ216" s="387">
        <f t="shared" si="140"/>
        <v>0</v>
      </c>
      <c r="BK216" s="387">
        <f t="shared" si="141"/>
        <v>0</v>
      </c>
      <c r="BL216" s="387">
        <f t="shared" si="164"/>
        <v>0</v>
      </c>
      <c r="BM216" s="387">
        <f t="shared" si="165"/>
        <v>0</v>
      </c>
      <c r="BN216" s="387">
        <f t="shared" si="142"/>
        <v>0</v>
      </c>
      <c r="BO216" s="387">
        <f t="shared" si="143"/>
        <v>0</v>
      </c>
      <c r="BP216" s="387">
        <f t="shared" si="144"/>
        <v>0</v>
      </c>
      <c r="BQ216" s="387">
        <f t="shared" si="145"/>
        <v>0</v>
      </c>
      <c r="BR216" s="387">
        <f t="shared" si="146"/>
        <v>0</v>
      </c>
      <c r="BS216" s="387">
        <f t="shared" si="147"/>
        <v>0</v>
      </c>
      <c r="BT216" s="387">
        <f t="shared" si="148"/>
        <v>0</v>
      </c>
      <c r="BU216" s="387">
        <f t="shared" si="149"/>
        <v>0</v>
      </c>
      <c r="BV216" s="387">
        <f t="shared" si="150"/>
        <v>0</v>
      </c>
      <c r="BW216" s="387">
        <f t="shared" si="151"/>
        <v>0</v>
      </c>
      <c r="BX216" s="387">
        <f t="shared" si="166"/>
        <v>0</v>
      </c>
      <c r="BY216" s="387">
        <f t="shared" si="167"/>
        <v>0</v>
      </c>
      <c r="BZ216" s="387">
        <f t="shared" si="168"/>
        <v>0</v>
      </c>
      <c r="CA216" s="387">
        <f t="shared" si="169"/>
        <v>0</v>
      </c>
      <c r="CB216" s="387">
        <f t="shared" si="170"/>
        <v>0</v>
      </c>
      <c r="CC216" s="387">
        <f t="shared" si="152"/>
        <v>0</v>
      </c>
      <c r="CD216" s="387">
        <f t="shared" si="153"/>
        <v>0</v>
      </c>
      <c r="CE216" s="387">
        <f t="shared" si="154"/>
        <v>0</v>
      </c>
      <c r="CF216" s="387">
        <f t="shared" si="155"/>
        <v>0</v>
      </c>
      <c r="CG216" s="387">
        <f t="shared" si="156"/>
        <v>0</v>
      </c>
      <c r="CH216" s="387">
        <f t="shared" si="157"/>
        <v>0</v>
      </c>
      <c r="CI216" s="387">
        <f t="shared" si="158"/>
        <v>0</v>
      </c>
      <c r="CJ216" s="387">
        <f t="shared" si="171"/>
        <v>0</v>
      </c>
      <c r="CK216" s="387" t="str">
        <f t="shared" si="172"/>
        <v/>
      </c>
      <c r="CL216" s="387" t="str">
        <f t="shared" si="173"/>
        <v/>
      </c>
      <c r="CM216" s="387" t="str">
        <f t="shared" si="174"/>
        <v/>
      </c>
      <c r="CN216" s="387" t="str">
        <f t="shared" si="175"/>
        <v>0348-31</v>
      </c>
    </row>
    <row r="217" spans="1:92" ht="15.75" thickBot="1" x14ac:dyDescent="0.3">
      <c r="A217" s="376" t="s">
        <v>161</v>
      </c>
      <c r="B217" s="376" t="s">
        <v>162</v>
      </c>
      <c r="C217" s="376" t="s">
        <v>921</v>
      </c>
      <c r="D217" s="376" t="s">
        <v>792</v>
      </c>
      <c r="E217" s="376" t="s">
        <v>224</v>
      </c>
      <c r="F217" s="382" t="s">
        <v>225</v>
      </c>
      <c r="G217" s="376" t="s">
        <v>781</v>
      </c>
      <c r="H217" s="378"/>
      <c r="I217" s="378"/>
      <c r="J217" s="376" t="s">
        <v>239</v>
      </c>
      <c r="K217" s="376" t="s">
        <v>793</v>
      </c>
      <c r="L217" s="376" t="s">
        <v>170</v>
      </c>
      <c r="M217" s="376" t="s">
        <v>171</v>
      </c>
      <c r="N217" s="376" t="s">
        <v>172</v>
      </c>
      <c r="O217" s="379">
        <v>1</v>
      </c>
      <c r="P217" s="385">
        <v>0.25</v>
      </c>
      <c r="Q217" s="385">
        <v>0.25</v>
      </c>
      <c r="R217" s="380">
        <v>80</v>
      </c>
      <c r="S217" s="385">
        <v>0.25</v>
      </c>
      <c r="T217" s="380">
        <v>15806.65</v>
      </c>
      <c r="U217" s="380">
        <v>22</v>
      </c>
      <c r="V217" s="380">
        <v>7093.12</v>
      </c>
      <c r="W217" s="380">
        <v>12173.2</v>
      </c>
      <c r="X217" s="380">
        <v>5544.94</v>
      </c>
      <c r="Y217" s="380">
        <v>12173.2</v>
      </c>
      <c r="Z217" s="380">
        <v>5493.82</v>
      </c>
      <c r="AA217" s="376" t="s">
        <v>922</v>
      </c>
      <c r="AB217" s="376" t="s">
        <v>923</v>
      </c>
      <c r="AC217" s="376" t="s">
        <v>278</v>
      </c>
      <c r="AD217" s="376" t="s">
        <v>924</v>
      </c>
      <c r="AE217" s="376" t="s">
        <v>793</v>
      </c>
      <c r="AF217" s="376" t="s">
        <v>177</v>
      </c>
      <c r="AG217" s="376" t="s">
        <v>178</v>
      </c>
      <c r="AH217" s="381">
        <v>23.41</v>
      </c>
      <c r="AI217" s="381">
        <v>12021.7</v>
      </c>
      <c r="AJ217" s="376" t="s">
        <v>179</v>
      </c>
      <c r="AK217" s="376" t="s">
        <v>180</v>
      </c>
      <c r="AL217" s="376" t="s">
        <v>181</v>
      </c>
      <c r="AM217" s="376" t="s">
        <v>182</v>
      </c>
      <c r="AN217" s="376" t="s">
        <v>68</v>
      </c>
      <c r="AO217" s="379">
        <v>80</v>
      </c>
      <c r="AP217" s="385">
        <v>1</v>
      </c>
      <c r="AQ217" s="385">
        <v>0.25</v>
      </c>
      <c r="AR217" s="383" t="s">
        <v>183</v>
      </c>
      <c r="AS217" s="387">
        <f t="shared" si="159"/>
        <v>0.25</v>
      </c>
      <c r="AT217">
        <f t="shared" si="160"/>
        <v>1</v>
      </c>
      <c r="AU217" s="387">
        <f>IF(AT217=0,"",IF(AND(AT217=1,M217="F",SUMIF(C2:C1334,C217,AS2:AS1334)&lt;=1),SUMIF(C2:C1334,C217,AS2:AS1334),IF(AND(AT217=1,M217="F",SUMIF(C2:C1334,C217,AS2:AS1334)&gt;1),1,"")))</f>
        <v>1</v>
      </c>
      <c r="AV217" s="387" t="str">
        <f>IF(AT217=0,"",IF(AND(AT217=3,M217="F",SUMIF(C2:C1334,C217,AS2:AS1334)&lt;=1),SUMIF(C2:C1334,C217,AS2:AS1334),IF(AND(AT217=3,M217="F",SUMIF(C2:C1334,C217,AS2:AS1334)&gt;1),1,"")))</f>
        <v/>
      </c>
      <c r="AW217" s="387">
        <f>SUMIF(C2:C1334,C217,O2:O1334)</f>
        <v>3</v>
      </c>
      <c r="AX217" s="387">
        <f>IF(AND(M217="F",AS217&lt;&gt;0),SUMIF(C2:C1334,C217,W2:W1334),0)</f>
        <v>48692.800000000003</v>
      </c>
      <c r="AY217" s="387">
        <f t="shared" si="161"/>
        <v>12173.2</v>
      </c>
      <c r="AZ217" s="387" t="str">
        <f t="shared" si="162"/>
        <v/>
      </c>
      <c r="BA217" s="387">
        <f t="shared" si="163"/>
        <v>0</v>
      </c>
      <c r="BB217" s="387">
        <f t="shared" si="132"/>
        <v>2912.5</v>
      </c>
      <c r="BC217" s="387">
        <f t="shared" si="133"/>
        <v>0</v>
      </c>
      <c r="BD217" s="387">
        <f t="shared" si="134"/>
        <v>754.73840000000007</v>
      </c>
      <c r="BE217" s="387">
        <f t="shared" si="135"/>
        <v>176.51140000000001</v>
      </c>
      <c r="BF217" s="387">
        <f t="shared" si="136"/>
        <v>1453.4800800000003</v>
      </c>
      <c r="BG217" s="387">
        <f t="shared" si="137"/>
        <v>87.768772000000013</v>
      </c>
      <c r="BH217" s="387">
        <f t="shared" si="138"/>
        <v>59.648679999999999</v>
      </c>
      <c r="BI217" s="387">
        <f t="shared" si="139"/>
        <v>67.378662000000006</v>
      </c>
      <c r="BJ217" s="387">
        <f t="shared" si="140"/>
        <v>32.867640000000002</v>
      </c>
      <c r="BK217" s="387">
        <f t="shared" si="141"/>
        <v>0</v>
      </c>
      <c r="BL217" s="387">
        <f t="shared" si="164"/>
        <v>2632.393634</v>
      </c>
      <c r="BM217" s="387">
        <f t="shared" si="165"/>
        <v>0</v>
      </c>
      <c r="BN217" s="387">
        <f t="shared" si="142"/>
        <v>2912.5</v>
      </c>
      <c r="BO217" s="387">
        <f t="shared" si="143"/>
        <v>0</v>
      </c>
      <c r="BP217" s="387">
        <f t="shared" si="144"/>
        <v>754.73840000000007</v>
      </c>
      <c r="BQ217" s="387">
        <f t="shared" si="145"/>
        <v>176.51140000000001</v>
      </c>
      <c r="BR217" s="387">
        <f t="shared" si="146"/>
        <v>1453.4800800000003</v>
      </c>
      <c r="BS217" s="387">
        <f t="shared" si="147"/>
        <v>87.768772000000013</v>
      </c>
      <c r="BT217" s="387">
        <f t="shared" si="148"/>
        <v>0</v>
      </c>
      <c r="BU217" s="387">
        <f t="shared" si="149"/>
        <v>67.378662000000006</v>
      </c>
      <c r="BV217" s="387">
        <f t="shared" si="150"/>
        <v>41.38888</v>
      </c>
      <c r="BW217" s="387">
        <f t="shared" si="151"/>
        <v>0</v>
      </c>
      <c r="BX217" s="387">
        <f t="shared" si="166"/>
        <v>2581.2661940000003</v>
      </c>
      <c r="BY217" s="387">
        <f t="shared" si="167"/>
        <v>0</v>
      </c>
      <c r="BZ217" s="387">
        <f t="shared" si="168"/>
        <v>0</v>
      </c>
      <c r="CA217" s="387">
        <f t="shared" si="169"/>
        <v>0</v>
      </c>
      <c r="CB217" s="387">
        <f t="shared" si="170"/>
        <v>0</v>
      </c>
      <c r="CC217" s="387">
        <f t="shared" si="152"/>
        <v>0</v>
      </c>
      <c r="CD217" s="387">
        <f t="shared" si="153"/>
        <v>0</v>
      </c>
      <c r="CE217" s="387">
        <f t="shared" si="154"/>
        <v>0</v>
      </c>
      <c r="CF217" s="387">
        <f t="shared" si="155"/>
        <v>-59.648679999999999</v>
      </c>
      <c r="CG217" s="387">
        <f t="shared" si="156"/>
        <v>0</v>
      </c>
      <c r="CH217" s="387">
        <f t="shared" si="157"/>
        <v>8.521239999999997</v>
      </c>
      <c r="CI217" s="387">
        <f t="shared" si="158"/>
        <v>0</v>
      </c>
      <c r="CJ217" s="387">
        <f t="shared" si="171"/>
        <v>-51.12744</v>
      </c>
      <c r="CK217" s="387" t="str">
        <f t="shared" si="172"/>
        <v/>
      </c>
      <c r="CL217" s="387" t="str">
        <f t="shared" si="173"/>
        <v/>
      </c>
      <c r="CM217" s="387" t="str">
        <f t="shared" si="174"/>
        <v/>
      </c>
      <c r="CN217" s="387" t="str">
        <f t="shared" si="175"/>
        <v>0348-31</v>
      </c>
    </row>
    <row r="218" spans="1:92" ht="15.75" thickBot="1" x14ac:dyDescent="0.3">
      <c r="A218" s="376" t="s">
        <v>161</v>
      </c>
      <c r="B218" s="376" t="s">
        <v>162</v>
      </c>
      <c r="C218" s="376" t="s">
        <v>302</v>
      </c>
      <c r="D218" s="376" t="s">
        <v>255</v>
      </c>
      <c r="E218" s="376" t="s">
        <v>224</v>
      </c>
      <c r="F218" s="382" t="s">
        <v>225</v>
      </c>
      <c r="G218" s="376" t="s">
        <v>781</v>
      </c>
      <c r="H218" s="378"/>
      <c r="I218" s="378"/>
      <c r="J218" s="376" t="s">
        <v>215</v>
      </c>
      <c r="K218" s="376" t="s">
        <v>256</v>
      </c>
      <c r="L218" s="376" t="s">
        <v>166</v>
      </c>
      <c r="M218" s="376" t="s">
        <v>171</v>
      </c>
      <c r="N218" s="376" t="s">
        <v>257</v>
      </c>
      <c r="O218" s="379">
        <v>1</v>
      </c>
      <c r="P218" s="385">
        <v>0</v>
      </c>
      <c r="Q218" s="385">
        <v>0</v>
      </c>
      <c r="R218" s="380">
        <v>80</v>
      </c>
      <c r="S218" s="385">
        <v>0</v>
      </c>
      <c r="T218" s="380">
        <v>117038.44</v>
      </c>
      <c r="U218" s="380">
        <v>0</v>
      </c>
      <c r="V218" s="380">
        <v>35159.879999999997</v>
      </c>
      <c r="W218" s="380">
        <v>0</v>
      </c>
      <c r="X218" s="380">
        <v>0</v>
      </c>
      <c r="Y218" s="380">
        <v>0</v>
      </c>
      <c r="Z218" s="380">
        <v>0</v>
      </c>
      <c r="AA218" s="376" t="s">
        <v>303</v>
      </c>
      <c r="AB218" s="376" t="s">
        <v>304</v>
      </c>
      <c r="AC218" s="376" t="s">
        <v>305</v>
      </c>
      <c r="AD218" s="376" t="s">
        <v>296</v>
      </c>
      <c r="AE218" s="376" t="s">
        <v>256</v>
      </c>
      <c r="AF218" s="376" t="s">
        <v>261</v>
      </c>
      <c r="AG218" s="376" t="s">
        <v>178</v>
      </c>
      <c r="AH218" s="381">
        <v>58.25</v>
      </c>
      <c r="AI218" s="381">
        <v>14968.7</v>
      </c>
      <c r="AJ218" s="376" t="s">
        <v>179</v>
      </c>
      <c r="AK218" s="376" t="s">
        <v>180</v>
      </c>
      <c r="AL218" s="376" t="s">
        <v>181</v>
      </c>
      <c r="AM218" s="376" t="s">
        <v>182</v>
      </c>
      <c r="AN218" s="376" t="s">
        <v>68</v>
      </c>
      <c r="AO218" s="379">
        <v>80</v>
      </c>
      <c r="AP218" s="385">
        <v>1</v>
      </c>
      <c r="AQ218" s="385">
        <v>0</v>
      </c>
      <c r="AR218" s="383" t="s">
        <v>183</v>
      </c>
      <c r="AS218" s="387">
        <f t="shared" si="159"/>
        <v>0</v>
      </c>
      <c r="AT218">
        <f t="shared" si="160"/>
        <v>0</v>
      </c>
      <c r="AU218" s="387" t="str">
        <f>IF(AT218=0,"",IF(AND(AT218=1,M218="F",SUMIF(C2:C1334,C218,AS2:AS1334)&lt;=1),SUMIF(C2:C1334,C218,AS2:AS1334),IF(AND(AT218=1,M218="F",SUMIF(C2:C1334,C218,AS2:AS1334)&gt;1),1,"")))</f>
        <v/>
      </c>
      <c r="AV218" s="387" t="str">
        <f>IF(AT218=0,"",IF(AND(AT218=3,M218="F",SUMIF(C2:C1334,C218,AS2:AS1334)&lt;=1),SUMIF(C2:C1334,C218,AS2:AS1334),IF(AND(AT218=3,M218="F",SUMIF(C2:C1334,C218,AS2:AS1334)&gt;1),1,"")))</f>
        <v/>
      </c>
      <c r="AW218" s="387">
        <f>SUMIF(C2:C1334,C218,O2:O1334)</f>
        <v>2</v>
      </c>
      <c r="AX218" s="387">
        <f>IF(AND(M218="F",AS218&lt;&gt;0),SUMIF(C2:C1334,C218,W2:W1334),0)</f>
        <v>0</v>
      </c>
      <c r="AY218" s="387" t="str">
        <f t="shared" si="161"/>
        <v/>
      </c>
      <c r="AZ218" s="387" t="str">
        <f t="shared" si="162"/>
        <v/>
      </c>
      <c r="BA218" s="387">
        <f t="shared" si="163"/>
        <v>0</v>
      </c>
      <c r="BB218" s="387">
        <f t="shared" si="132"/>
        <v>0</v>
      </c>
      <c r="BC218" s="387">
        <f t="shared" si="133"/>
        <v>0</v>
      </c>
      <c r="BD218" s="387">
        <f t="shared" si="134"/>
        <v>0</v>
      </c>
      <c r="BE218" s="387">
        <f t="shared" si="135"/>
        <v>0</v>
      </c>
      <c r="BF218" s="387">
        <f t="shared" si="136"/>
        <v>0</v>
      </c>
      <c r="BG218" s="387">
        <f t="shared" si="137"/>
        <v>0</v>
      </c>
      <c r="BH218" s="387">
        <f t="shared" si="138"/>
        <v>0</v>
      </c>
      <c r="BI218" s="387">
        <f t="shared" si="139"/>
        <v>0</v>
      </c>
      <c r="BJ218" s="387">
        <f t="shared" si="140"/>
        <v>0</v>
      </c>
      <c r="BK218" s="387">
        <f t="shared" si="141"/>
        <v>0</v>
      </c>
      <c r="BL218" s="387">
        <f t="shared" si="164"/>
        <v>0</v>
      </c>
      <c r="BM218" s="387">
        <f t="shared" si="165"/>
        <v>0</v>
      </c>
      <c r="BN218" s="387">
        <f t="shared" si="142"/>
        <v>0</v>
      </c>
      <c r="BO218" s="387">
        <f t="shared" si="143"/>
        <v>0</v>
      </c>
      <c r="BP218" s="387">
        <f t="shared" si="144"/>
        <v>0</v>
      </c>
      <c r="BQ218" s="387">
        <f t="shared" si="145"/>
        <v>0</v>
      </c>
      <c r="BR218" s="387">
        <f t="shared" si="146"/>
        <v>0</v>
      </c>
      <c r="BS218" s="387">
        <f t="shared" si="147"/>
        <v>0</v>
      </c>
      <c r="BT218" s="387">
        <f t="shared" si="148"/>
        <v>0</v>
      </c>
      <c r="BU218" s="387">
        <f t="shared" si="149"/>
        <v>0</v>
      </c>
      <c r="BV218" s="387">
        <f t="shared" si="150"/>
        <v>0</v>
      </c>
      <c r="BW218" s="387">
        <f t="shared" si="151"/>
        <v>0</v>
      </c>
      <c r="BX218" s="387">
        <f t="shared" si="166"/>
        <v>0</v>
      </c>
      <c r="BY218" s="387">
        <f t="shared" si="167"/>
        <v>0</v>
      </c>
      <c r="BZ218" s="387">
        <f t="shared" si="168"/>
        <v>0</v>
      </c>
      <c r="CA218" s="387">
        <f t="shared" si="169"/>
        <v>0</v>
      </c>
      <c r="CB218" s="387">
        <f t="shared" si="170"/>
        <v>0</v>
      </c>
      <c r="CC218" s="387">
        <f t="shared" si="152"/>
        <v>0</v>
      </c>
      <c r="CD218" s="387">
        <f t="shared" si="153"/>
        <v>0</v>
      </c>
      <c r="CE218" s="387">
        <f t="shared" si="154"/>
        <v>0</v>
      </c>
      <c r="CF218" s="387">
        <f t="shared" si="155"/>
        <v>0</v>
      </c>
      <c r="CG218" s="387">
        <f t="shared" si="156"/>
        <v>0</v>
      </c>
      <c r="CH218" s="387">
        <f t="shared" si="157"/>
        <v>0</v>
      </c>
      <c r="CI218" s="387">
        <f t="shared" si="158"/>
        <v>0</v>
      </c>
      <c r="CJ218" s="387">
        <f t="shared" si="171"/>
        <v>0</v>
      </c>
      <c r="CK218" s="387" t="str">
        <f t="shared" si="172"/>
        <v/>
      </c>
      <c r="CL218" s="387" t="str">
        <f t="shared" si="173"/>
        <v/>
      </c>
      <c r="CM218" s="387" t="str">
        <f t="shared" si="174"/>
        <v/>
      </c>
      <c r="CN218" s="387" t="str">
        <f t="shared" si="175"/>
        <v>0348-31</v>
      </c>
    </row>
    <row r="219" spans="1:92" ht="15.75" thickBot="1" x14ac:dyDescent="0.3">
      <c r="A219" s="376" t="s">
        <v>161</v>
      </c>
      <c r="B219" s="376" t="s">
        <v>162</v>
      </c>
      <c r="C219" s="376" t="s">
        <v>194</v>
      </c>
      <c r="D219" s="376" t="s">
        <v>164</v>
      </c>
      <c r="E219" s="376" t="s">
        <v>224</v>
      </c>
      <c r="F219" s="382" t="s">
        <v>225</v>
      </c>
      <c r="G219" s="376" t="s">
        <v>781</v>
      </c>
      <c r="H219" s="378"/>
      <c r="I219" s="378"/>
      <c r="J219" s="376" t="s">
        <v>168</v>
      </c>
      <c r="K219" s="376" t="s">
        <v>169</v>
      </c>
      <c r="L219" s="376" t="s">
        <v>170</v>
      </c>
      <c r="M219" s="376" t="s">
        <v>171</v>
      </c>
      <c r="N219" s="376" t="s">
        <v>172</v>
      </c>
      <c r="O219" s="379">
        <v>1</v>
      </c>
      <c r="P219" s="385">
        <v>0.25</v>
      </c>
      <c r="Q219" s="385">
        <v>0.25</v>
      </c>
      <c r="R219" s="380">
        <v>80</v>
      </c>
      <c r="S219" s="385">
        <v>0.25</v>
      </c>
      <c r="T219" s="380">
        <v>38787.81</v>
      </c>
      <c r="U219" s="380">
        <v>0</v>
      </c>
      <c r="V219" s="380">
        <v>14663.78</v>
      </c>
      <c r="W219" s="380">
        <v>18028.400000000001</v>
      </c>
      <c r="X219" s="380">
        <v>6811.13</v>
      </c>
      <c r="Y219" s="380">
        <v>18028.400000000001</v>
      </c>
      <c r="Z219" s="380">
        <v>6735.41</v>
      </c>
      <c r="AA219" s="376" t="s">
        <v>195</v>
      </c>
      <c r="AB219" s="376" t="s">
        <v>196</v>
      </c>
      <c r="AC219" s="376" t="s">
        <v>197</v>
      </c>
      <c r="AD219" s="376" t="s">
        <v>198</v>
      </c>
      <c r="AE219" s="376" t="s">
        <v>169</v>
      </c>
      <c r="AF219" s="376" t="s">
        <v>177</v>
      </c>
      <c r="AG219" s="376" t="s">
        <v>178</v>
      </c>
      <c r="AH219" s="381">
        <v>34.67</v>
      </c>
      <c r="AI219" s="381">
        <v>75673.8</v>
      </c>
      <c r="AJ219" s="376" t="s">
        <v>179</v>
      </c>
      <c r="AK219" s="376" t="s">
        <v>180</v>
      </c>
      <c r="AL219" s="376" t="s">
        <v>181</v>
      </c>
      <c r="AM219" s="376" t="s">
        <v>182</v>
      </c>
      <c r="AN219" s="376" t="s">
        <v>68</v>
      </c>
      <c r="AO219" s="379">
        <v>80</v>
      </c>
      <c r="AP219" s="385">
        <v>1</v>
      </c>
      <c r="AQ219" s="385">
        <v>0.25</v>
      </c>
      <c r="AR219" s="383" t="s">
        <v>183</v>
      </c>
      <c r="AS219" s="387">
        <f t="shared" si="159"/>
        <v>0.25</v>
      </c>
      <c r="AT219">
        <f t="shared" si="160"/>
        <v>1</v>
      </c>
      <c r="AU219" s="387">
        <f>IF(AT219=0,"",IF(AND(AT219=1,M219="F",SUMIF(C2:C1334,C219,AS2:AS1334)&lt;=1),SUMIF(C2:C1334,C219,AS2:AS1334),IF(AND(AT219=1,M219="F",SUMIF(C2:C1334,C219,AS2:AS1334)&gt;1),1,"")))</f>
        <v>1</v>
      </c>
      <c r="AV219" s="387" t="str">
        <f>IF(AT219=0,"",IF(AND(AT219=3,M219="F",SUMIF(C2:C1334,C219,AS2:AS1334)&lt;=1),SUMIF(C2:C1334,C219,AS2:AS1334),IF(AND(AT219=3,M219="F",SUMIF(C2:C1334,C219,AS2:AS1334)&gt;1),1,"")))</f>
        <v/>
      </c>
      <c r="AW219" s="387">
        <f>SUMIF(C2:C1334,C219,O2:O1334)</f>
        <v>4</v>
      </c>
      <c r="AX219" s="387">
        <f>IF(AND(M219="F",AS219&lt;&gt;0),SUMIF(C2:C1334,C219,W2:W1334),0)</f>
        <v>72113.600000000006</v>
      </c>
      <c r="AY219" s="387">
        <f t="shared" si="161"/>
        <v>18028.400000000001</v>
      </c>
      <c r="AZ219" s="387" t="str">
        <f t="shared" si="162"/>
        <v/>
      </c>
      <c r="BA219" s="387">
        <f t="shared" si="163"/>
        <v>0</v>
      </c>
      <c r="BB219" s="387">
        <f t="shared" si="132"/>
        <v>2912.5</v>
      </c>
      <c r="BC219" s="387">
        <f t="shared" si="133"/>
        <v>0</v>
      </c>
      <c r="BD219" s="387">
        <f t="shared" si="134"/>
        <v>1117.7608</v>
      </c>
      <c r="BE219" s="387">
        <f t="shared" si="135"/>
        <v>261.41180000000003</v>
      </c>
      <c r="BF219" s="387">
        <f t="shared" si="136"/>
        <v>2152.5909600000005</v>
      </c>
      <c r="BG219" s="387">
        <f t="shared" si="137"/>
        <v>129.98476400000001</v>
      </c>
      <c r="BH219" s="387">
        <f t="shared" si="138"/>
        <v>88.339160000000007</v>
      </c>
      <c r="BI219" s="387">
        <f t="shared" si="139"/>
        <v>99.787194000000014</v>
      </c>
      <c r="BJ219" s="387">
        <f t="shared" si="140"/>
        <v>48.676680000000005</v>
      </c>
      <c r="BK219" s="387">
        <f t="shared" si="141"/>
        <v>0</v>
      </c>
      <c r="BL219" s="387">
        <f t="shared" si="164"/>
        <v>3898.5513580000002</v>
      </c>
      <c r="BM219" s="387">
        <f t="shared" si="165"/>
        <v>0</v>
      </c>
      <c r="BN219" s="387">
        <f t="shared" si="142"/>
        <v>2912.5</v>
      </c>
      <c r="BO219" s="387">
        <f t="shared" si="143"/>
        <v>0</v>
      </c>
      <c r="BP219" s="387">
        <f t="shared" si="144"/>
        <v>1117.7608</v>
      </c>
      <c r="BQ219" s="387">
        <f t="shared" si="145"/>
        <v>261.41180000000003</v>
      </c>
      <c r="BR219" s="387">
        <f t="shared" si="146"/>
        <v>2152.5909600000005</v>
      </c>
      <c r="BS219" s="387">
        <f t="shared" si="147"/>
        <v>129.98476400000001</v>
      </c>
      <c r="BT219" s="387">
        <f t="shared" si="148"/>
        <v>0</v>
      </c>
      <c r="BU219" s="387">
        <f t="shared" si="149"/>
        <v>99.787194000000014</v>
      </c>
      <c r="BV219" s="387">
        <f t="shared" si="150"/>
        <v>61.296559999999999</v>
      </c>
      <c r="BW219" s="387">
        <f t="shared" si="151"/>
        <v>0</v>
      </c>
      <c r="BX219" s="387">
        <f t="shared" si="166"/>
        <v>3822.8320780000004</v>
      </c>
      <c r="BY219" s="387">
        <f t="shared" si="167"/>
        <v>0</v>
      </c>
      <c r="BZ219" s="387">
        <f t="shared" si="168"/>
        <v>0</v>
      </c>
      <c r="CA219" s="387">
        <f t="shared" si="169"/>
        <v>0</v>
      </c>
      <c r="CB219" s="387">
        <f t="shared" si="170"/>
        <v>0</v>
      </c>
      <c r="CC219" s="387">
        <f t="shared" si="152"/>
        <v>0</v>
      </c>
      <c r="CD219" s="387">
        <f t="shared" si="153"/>
        <v>0</v>
      </c>
      <c r="CE219" s="387">
        <f t="shared" si="154"/>
        <v>0</v>
      </c>
      <c r="CF219" s="387">
        <f t="shared" si="155"/>
        <v>-88.339160000000007</v>
      </c>
      <c r="CG219" s="387">
        <f t="shared" si="156"/>
        <v>0</v>
      </c>
      <c r="CH219" s="387">
        <f t="shared" si="157"/>
        <v>12.619879999999995</v>
      </c>
      <c r="CI219" s="387">
        <f t="shared" si="158"/>
        <v>0</v>
      </c>
      <c r="CJ219" s="387">
        <f t="shared" si="171"/>
        <v>-75.719280000000012</v>
      </c>
      <c r="CK219" s="387" t="str">
        <f t="shared" si="172"/>
        <v/>
      </c>
      <c r="CL219" s="387" t="str">
        <f t="shared" si="173"/>
        <v/>
      </c>
      <c r="CM219" s="387" t="str">
        <f t="shared" si="174"/>
        <v/>
      </c>
      <c r="CN219" s="387" t="str">
        <f t="shared" si="175"/>
        <v>0348-31</v>
      </c>
    </row>
    <row r="220" spans="1:92" ht="15.75" thickBot="1" x14ac:dyDescent="0.3">
      <c r="A220" s="376" t="s">
        <v>161</v>
      </c>
      <c r="B220" s="376" t="s">
        <v>162</v>
      </c>
      <c r="C220" s="376" t="s">
        <v>222</v>
      </c>
      <c r="D220" s="376" t="s">
        <v>223</v>
      </c>
      <c r="E220" s="376" t="s">
        <v>224</v>
      </c>
      <c r="F220" s="382" t="s">
        <v>225</v>
      </c>
      <c r="G220" s="376" t="s">
        <v>781</v>
      </c>
      <c r="H220" s="378"/>
      <c r="I220" s="378"/>
      <c r="J220" s="376" t="s">
        <v>215</v>
      </c>
      <c r="K220" s="376" t="s">
        <v>226</v>
      </c>
      <c r="L220" s="376" t="s">
        <v>170</v>
      </c>
      <c r="M220" s="376" t="s">
        <v>171</v>
      </c>
      <c r="N220" s="376" t="s">
        <v>172</v>
      </c>
      <c r="O220" s="379">
        <v>1</v>
      </c>
      <c r="P220" s="385">
        <v>0</v>
      </c>
      <c r="Q220" s="385">
        <v>0</v>
      </c>
      <c r="R220" s="380">
        <v>80</v>
      </c>
      <c r="S220" s="385">
        <v>0</v>
      </c>
      <c r="T220" s="380">
        <v>53683.12</v>
      </c>
      <c r="U220" s="380">
        <v>428.34</v>
      </c>
      <c r="V220" s="380">
        <v>22736.799999999999</v>
      </c>
      <c r="W220" s="380">
        <v>0</v>
      </c>
      <c r="X220" s="380">
        <v>0</v>
      </c>
      <c r="Y220" s="380">
        <v>0</v>
      </c>
      <c r="Z220" s="380">
        <v>0</v>
      </c>
      <c r="AA220" s="376" t="s">
        <v>227</v>
      </c>
      <c r="AB220" s="376" t="s">
        <v>228</v>
      </c>
      <c r="AC220" s="376" t="s">
        <v>229</v>
      </c>
      <c r="AD220" s="376" t="s">
        <v>180</v>
      </c>
      <c r="AE220" s="376" t="s">
        <v>226</v>
      </c>
      <c r="AF220" s="376" t="s">
        <v>177</v>
      </c>
      <c r="AG220" s="376" t="s">
        <v>178</v>
      </c>
      <c r="AH220" s="381">
        <v>27.13</v>
      </c>
      <c r="AI220" s="381">
        <v>51706.6</v>
      </c>
      <c r="AJ220" s="376" t="s">
        <v>179</v>
      </c>
      <c r="AK220" s="376" t="s">
        <v>180</v>
      </c>
      <c r="AL220" s="376" t="s">
        <v>181</v>
      </c>
      <c r="AM220" s="376" t="s">
        <v>182</v>
      </c>
      <c r="AN220" s="376" t="s">
        <v>68</v>
      </c>
      <c r="AO220" s="379">
        <v>80</v>
      </c>
      <c r="AP220" s="385">
        <v>1</v>
      </c>
      <c r="AQ220" s="385">
        <v>0</v>
      </c>
      <c r="AR220" s="383" t="s">
        <v>183</v>
      </c>
      <c r="AS220" s="387">
        <f t="shared" si="159"/>
        <v>0</v>
      </c>
      <c r="AT220">
        <f t="shared" si="160"/>
        <v>0</v>
      </c>
      <c r="AU220" s="387" t="str">
        <f>IF(AT220=0,"",IF(AND(AT220=1,M220="F",SUMIF(C2:C1334,C220,AS2:AS1334)&lt;=1),SUMIF(C2:C1334,C220,AS2:AS1334),IF(AND(AT220=1,M220="F",SUMIF(C2:C1334,C220,AS2:AS1334)&gt;1),1,"")))</f>
        <v/>
      </c>
      <c r="AV220" s="387" t="str">
        <f>IF(AT220=0,"",IF(AND(AT220=3,M220="F",SUMIF(C2:C1334,C220,AS2:AS1334)&lt;=1),SUMIF(C2:C1334,C220,AS2:AS1334),IF(AND(AT220=3,M220="F",SUMIF(C2:C1334,C220,AS2:AS1334)&gt;1),1,"")))</f>
        <v/>
      </c>
      <c r="AW220" s="387">
        <f>SUMIF(C2:C1334,C220,O2:O1334)</f>
        <v>3</v>
      </c>
      <c r="AX220" s="387">
        <f>IF(AND(M220="F",AS220&lt;&gt;0),SUMIF(C2:C1334,C220,W2:W1334),0)</f>
        <v>0</v>
      </c>
      <c r="AY220" s="387" t="str">
        <f t="shared" si="161"/>
        <v/>
      </c>
      <c r="AZ220" s="387" t="str">
        <f t="shared" si="162"/>
        <v/>
      </c>
      <c r="BA220" s="387">
        <f t="shared" si="163"/>
        <v>0</v>
      </c>
      <c r="BB220" s="387">
        <f t="shared" si="132"/>
        <v>0</v>
      </c>
      <c r="BC220" s="387">
        <f t="shared" si="133"/>
        <v>0</v>
      </c>
      <c r="BD220" s="387">
        <f t="shared" si="134"/>
        <v>0</v>
      </c>
      <c r="BE220" s="387">
        <f t="shared" si="135"/>
        <v>0</v>
      </c>
      <c r="BF220" s="387">
        <f t="shared" si="136"/>
        <v>0</v>
      </c>
      <c r="BG220" s="387">
        <f t="shared" si="137"/>
        <v>0</v>
      </c>
      <c r="BH220" s="387">
        <f t="shared" si="138"/>
        <v>0</v>
      </c>
      <c r="BI220" s="387">
        <f t="shared" si="139"/>
        <v>0</v>
      </c>
      <c r="BJ220" s="387">
        <f t="shared" si="140"/>
        <v>0</v>
      </c>
      <c r="BK220" s="387">
        <f t="shared" si="141"/>
        <v>0</v>
      </c>
      <c r="BL220" s="387">
        <f t="shared" si="164"/>
        <v>0</v>
      </c>
      <c r="BM220" s="387">
        <f t="shared" si="165"/>
        <v>0</v>
      </c>
      <c r="BN220" s="387">
        <f t="shared" si="142"/>
        <v>0</v>
      </c>
      <c r="BO220" s="387">
        <f t="shared" si="143"/>
        <v>0</v>
      </c>
      <c r="BP220" s="387">
        <f t="shared" si="144"/>
        <v>0</v>
      </c>
      <c r="BQ220" s="387">
        <f t="shared" si="145"/>
        <v>0</v>
      </c>
      <c r="BR220" s="387">
        <f t="shared" si="146"/>
        <v>0</v>
      </c>
      <c r="BS220" s="387">
        <f t="shared" si="147"/>
        <v>0</v>
      </c>
      <c r="BT220" s="387">
        <f t="shared" si="148"/>
        <v>0</v>
      </c>
      <c r="BU220" s="387">
        <f t="shared" si="149"/>
        <v>0</v>
      </c>
      <c r="BV220" s="387">
        <f t="shared" si="150"/>
        <v>0</v>
      </c>
      <c r="BW220" s="387">
        <f t="shared" si="151"/>
        <v>0</v>
      </c>
      <c r="BX220" s="387">
        <f t="shared" si="166"/>
        <v>0</v>
      </c>
      <c r="BY220" s="387">
        <f t="shared" si="167"/>
        <v>0</v>
      </c>
      <c r="BZ220" s="387">
        <f t="shared" si="168"/>
        <v>0</v>
      </c>
      <c r="CA220" s="387">
        <f t="shared" si="169"/>
        <v>0</v>
      </c>
      <c r="CB220" s="387">
        <f t="shared" si="170"/>
        <v>0</v>
      </c>
      <c r="CC220" s="387">
        <f t="shared" si="152"/>
        <v>0</v>
      </c>
      <c r="CD220" s="387">
        <f t="shared" si="153"/>
        <v>0</v>
      </c>
      <c r="CE220" s="387">
        <f t="shared" si="154"/>
        <v>0</v>
      </c>
      <c r="CF220" s="387">
        <f t="shared" si="155"/>
        <v>0</v>
      </c>
      <c r="CG220" s="387">
        <f t="shared" si="156"/>
        <v>0</v>
      </c>
      <c r="CH220" s="387">
        <f t="shared" si="157"/>
        <v>0</v>
      </c>
      <c r="CI220" s="387">
        <f t="shared" si="158"/>
        <v>0</v>
      </c>
      <c r="CJ220" s="387">
        <f t="shared" si="171"/>
        <v>0</v>
      </c>
      <c r="CK220" s="387" t="str">
        <f t="shared" si="172"/>
        <v/>
      </c>
      <c r="CL220" s="387" t="str">
        <f t="shared" si="173"/>
        <v/>
      </c>
      <c r="CM220" s="387" t="str">
        <f t="shared" si="174"/>
        <v/>
      </c>
      <c r="CN220" s="387" t="str">
        <f t="shared" si="175"/>
        <v>0348-31</v>
      </c>
    </row>
    <row r="221" spans="1:92" ht="15.75" thickBot="1" x14ac:dyDescent="0.3">
      <c r="A221" s="376" t="s">
        <v>161</v>
      </c>
      <c r="B221" s="376" t="s">
        <v>162</v>
      </c>
      <c r="C221" s="376" t="s">
        <v>269</v>
      </c>
      <c r="D221" s="376" t="s">
        <v>270</v>
      </c>
      <c r="E221" s="376" t="s">
        <v>224</v>
      </c>
      <c r="F221" s="382" t="s">
        <v>225</v>
      </c>
      <c r="G221" s="376" t="s">
        <v>781</v>
      </c>
      <c r="H221" s="378"/>
      <c r="I221" s="378"/>
      <c r="J221" s="376" t="s">
        <v>239</v>
      </c>
      <c r="K221" s="376" t="s">
        <v>271</v>
      </c>
      <c r="L221" s="376" t="s">
        <v>217</v>
      </c>
      <c r="M221" s="376" t="s">
        <v>272</v>
      </c>
      <c r="N221" s="376" t="s">
        <v>172</v>
      </c>
      <c r="O221" s="379">
        <v>0</v>
      </c>
      <c r="P221" s="385">
        <v>0</v>
      </c>
      <c r="Q221" s="385">
        <v>0</v>
      </c>
      <c r="R221" s="380">
        <v>80</v>
      </c>
      <c r="S221" s="385">
        <v>0</v>
      </c>
      <c r="T221" s="380">
        <v>27679.98</v>
      </c>
      <c r="U221" s="380">
        <v>89.55</v>
      </c>
      <c r="V221" s="380">
        <v>14156.92</v>
      </c>
      <c r="W221" s="380">
        <v>0</v>
      </c>
      <c r="X221" s="380">
        <v>0</v>
      </c>
      <c r="Y221" s="380">
        <v>0</v>
      </c>
      <c r="Z221" s="380">
        <v>0</v>
      </c>
      <c r="AA221" s="378"/>
      <c r="AB221" s="376" t="s">
        <v>45</v>
      </c>
      <c r="AC221" s="376" t="s">
        <v>45</v>
      </c>
      <c r="AD221" s="378"/>
      <c r="AE221" s="378"/>
      <c r="AF221" s="378"/>
      <c r="AG221" s="378"/>
      <c r="AH221" s="379">
        <v>0</v>
      </c>
      <c r="AI221" s="379">
        <v>0</v>
      </c>
      <c r="AJ221" s="378"/>
      <c r="AK221" s="378"/>
      <c r="AL221" s="376" t="s">
        <v>181</v>
      </c>
      <c r="AM221" s="378"/>
      <c r="AN221" s="378"/>
      <c r="AO221" s="379">
        <v>0</v>
      </c>
      <c r="AP221" s="385">
        <v>0</v>
      </c>
      <c r="AQ221" s="385">
        <v>0</v>
      </c>
      <c r="AR221" s="384"/>
      <c r="AS221" s="387">
        <f t="shared" si="159"/>
        <v>0</v>
      </c>
      <c r="AT221">
        <f t="shared" si="160"/>
        <v>0</v>
      </c>
      <c r="AU221" s="387" t="str">
        <f>IF(AT221=0,"",IF(AND(AT221=1,M221="F",SUMIF(C2:C1334,C221,AS2:AS1334)&lt;=1),SUMIF(C2:C1334,C221,AS2:AS1334),IF(AND(AT221=1,M221="F",SUMIF(C2:C1334,C221,AS2:AS1334)&gt;1),1,"")))</f>
        <v/>
      </c>
      <c r="AV221" s="387" t="str">
        <f>IF(AT221=0,"",IF(AND(AT221=3,M221="F",SUMIF(C2:C1334,C221,AS2:AS1334)&lt;=1),SUMIF(C2:C1334,C221,AS2:AS1334),IF(AND(AT221=3,M221="F",SUMIF(C2:C1334,C221,AS2:AS1334)&gt;1),1,"")))</f>
        <v/>
      </c>
      <c r="AW221" s="387">
        <f>SUMIF(C2:C1334,C221,O2:O1334)</f>
        <v>0</v>
      </c>
      <c r="AX221" s="387">
        <f>IF(AND(M221="F",AS221&lt;&gt;0),SUMIF(C2:C1334,C221,W2:W1334),0)</f>
        <v>0</v>
      </c>
      <c r="AY221" s="387" t="str">
        <f t="shared" si="161"/>
        <v/>
      </c>
      <c r="AZ221" s="387" t="str">
        <f t="shared" si="162"/>
        <v/>
      </c>
      <c r="BA221" s="387">
        <f t="shared" si="163"/>
        <v>0</v>
      </c>
      <c r="BB221" s="387">
        <f t="shared" si="132"/>
        <v>0</v>
      </c>
      <c r="BC221" s="387">
        <f t="shared" si="133"/>
        <v>0</v>
      </c>
      <c r="BD221" s="387">
        <f t="shared" si="134"/>
        <v>0</v>
      </c>
      <c r="BE221" s="387">
        <f t="shared" si="135"/>
        <v>0</v>
      </c>
      <c r="BF221" s="387">
        <f t="shared" si="136"/>
        <v>0</v>
      </c>
      <c r="BG221" s="387">
        <f t="shared" si="137"/>
        <v>0</v>
      </c>
      <c r="BH221" s="387">
        <f t="shared" si="138"/>
        <v>0</v>
      </c>
      <c r="BI221" s="387">
        <f t="shared" si="139"/>
        <v>0</v>
      </c>
      <c r="BJ221" s="387">
        <f t="shared" si="140"/>
        <v>0</v>
      </c>
      <c r="BK221" s="387">
        <f t="shared" si="141"/>
        <v>0</v>
      </c>
      <c r="BL221" s="387">
        <f t="shared" si="164"/>
        <v>0</v>
      </c>
      <c r="BM221" s="387">
        <f t="shared" si="165"/>
        <v>0</v>
      </c>
      <c r="BN221" s="387">
        <f t="shared" si="142"/>
        <v>0</v>
      </c>
      <c r="BO221" s="387">
        <f t="shared" si="143"/>
        <v>0</v>
      </c>
      <c r="BP221" s="387">
        <f t="shared" si="144"/>
        <v>0</v>
      </c>
      <c r="BQ221" s="387">
        <f t="shared" si="145"/>
        <v>0</v>
      </c>
      <c r="BR221" s="387">
        <f t="shared" si="146"/>
        <v>0</v>
      </c>
      <c r="BS221" s="387">
        <f t="shared" si="147"/>
        <v>0</v>
      </c>
      <c r="BT221" s="387">
        <f t="shared" si="148"/>
        <v>0</v>
      </c>
      <c r="BU221" s="387">
        <f t="shared" si="149"/>
        <v>0</v>
      </c>
      <c r="BV221" s="387">
        <f t="shared" si="150"/>
        <v>0</v>
      </c>
      <c r="BW221" s="387">
        <f t="shared" si="151"/>
        <v>0</v>
      </c>
      <c r="BX221" s="387">
        <f t="shared" si="166"/>
        <v>0</v>
      </c>
      <c r="BY221" s="387">
        <f t="shared" si="167"/>
        <v>0</v>
      </c>
      <c r="BZ221" s="387">
        <f t="shared" si="168"/>
        <v>0</v>
      </c>
      <c r="CA221" s="387">
        <f t="shared" si="169"/>
        <v>0</v>
      </c>
      <c r="CB221" s="387">
        <f t="shared" si="170"/>
        <v>0</v>
      </c>
      <c r="CC221" s="387">
        <f t="shared" si="152"/>
        <v>0</v>
      </c>
      <c r="CD221" s="387">
        <f t="shared" si="153"/>
        <v>0</v>
      </c>
      <c r="CE221" s="387">
        <f t="shared" si="154"/>
        <v>0</v>
      </c>
      <c r="CF221" s="387">
        <f t="shared" si="155"/>
        <v>0</v>
      </c>
      <c r="CG221" s="387">
        <f t="shared" si="156"/>
        <v>0</v>
      </c>
      <c r="CH221" s="387">
        <f t="shared" si="157"/>
        <v>0</v>
      </c>
      <c r="CI221" s="387">
        <f t="shared" si="158"/>
        <v>0</v>
      </c>
      <c r="CJ221" s="387">
        <f t="shared" si="171"/>
        <v>0</v>
      </c>
      <c r="CK221" s="387" t="str">
        <f t="shared" si="172"/>
        <v/>
      </c>
      <c r="CL221" s="387" t="str">
        <f t="shared" si="173"/>
        <v/>
      </c>
      <c r="CM221" s="387" t="str">
        <f t="shared" si="174"/>
        <v/>
      </c>
      <c r="CN221" s="387" t="str">
        <f t="shared" si="175"/>
        <v>0348-31</v>
      </c>
    </row>
    <row r="222" spans="1:92" ht="15.75" thickBot="1" x14ac:dyDescent="0.3">
      <c r="A222" s="376" t="s">
        <v>161</v>
      </c>
      <c r="B222" s="376" t="s">
        <v>162</v>
      </c>
      <c r="C222" s="376" t="s">
        <v>474</v>
      </c>
      <c r="D222" s="376" t="s">
        <v>238</v>
      </c>
      <c r="E222" s="376" t="s">
        <v>224</v>
      </c>
      <c r="F222" s="382" t="s">
        <v>225</v>
      </c>
      <c r="G222" s="376" t="s">
        <v>781</v>
      </c>
      <c r="H222" s="378"/>
      <c r="I222" s="378"/>
      <c r="J222" s="376" t="s">
        <v>168</v>
      </c>
      <c r="K222" s="376" t="s">
        <v>285</v>
      </c>
      <c r="L222" s="376" t="s">
        <v>170</v>
      </c>
      <c r="M222" s="376" t="s">
        <v>171</v>
      </c>
      <c r="N222" s="376" t="s">
        <v>172</v>
      </c>
      <c r="O222" s="379">
        <v>1</v>
      </c>
      <c r="P222" s="385">
        <v>0.05</v>
      </c>
      <c r="Q222" s="385">
        <v>0.05</v>
      </c>
      <c r="R222" s="380">
        <v>80</v>
      </c>
      <c r="S222" s="385">
        <v>0.05</v>
      </c>
      <c r="T222" s="380">
        <v>53626.66</v>
      </c>
      <c r="U222" s="380">
        <v>0</v>
      </c>
      <c r="V222" s="380">
        <v>22720.25</v>
      </c>
      <c r="W222" s="380">
        <v>2785.12</v>
      </c>
      <c r="X222" s="380">
        <v>1184.78</v>
      </c>
      <c r="Y222" s="380">
        <v>2785.12</v>
      </c>
      <c r="Z222" s="380">
        <v>1173.08</v>
      </c>
      <c r="AA222" s="376" t="s">
        <v>475</v>
      </c>
      <c r="AB222" s="376" t="s">
        <v>476</v>
      </c>
      <c r="AC222" s="376" t="s">
        <v>477</v>
      </c>
      <c r="AD222" s="376" t="s">
        <v>324</v>
      </c>
      <c r="AE222" s="376" t="s">
        <v>285</v>
      </c>
      <c r="AF222" s="376" t="s">
        <v>177</v>
      </c>
      <c r="AG222" s="376" t="s">
        <v>178</v>
      </c>
      <c r="AH222" s="381">
        <v>26.78</v>
      </c>
      <c r="AI222" s="379">
        <v>28928</v>
      </c>
      <c r="AJ222" s="376" t="s">
        <v>179</v>
      </c>
      <c r="AK222" s="376" t="s">
        <v>180</v>
      </c>
      <c r="AL222" s="376" t="s">
        <v>181</v>
      </c>
      <c r="AM222" s="376" t="s">
        <v>182</v>
      </c>
      <c r="AN222" s="376" t="s">
        <v>68</v>
      </c>
      <c r="AO222" s="379">
        <v>80</v>
      </c>
      <c r="AP222" s="385">
        <v>1</v>
      </c>
      <c r="AQ222" s="385">
        <v>0.05</v>
      </c>
      <c r="AR222" s="383" t="s">
        <v>183</v>
      </c>
      <c r="AS222" s="387">
        <f t="shared" si="159"/>
        <v>0.05</v>
      </c>
      <c r="AT222">
        <f t="shared" si="160"/>
        <v>1</v>
      </c>
      <c r="AU222" s="387">
        <f>IF(AT222=0,"",IF(AND(AT222=1,M222="F",SUMIF(C2:C1334,C222,AS2:AS1334)&lt;=1),SUMIF(C2:C1334,C222,AS2:AS1334),IF(AND(AT222=1,M222="F",SUMIF(C2:C1334,C222,AS2:AS1334)&gt;1),1,"")))</f>
        <v>1</v>
      </c>
      <c r="AV222" s="387" t="str">
        <f>IF(AT222=0,"",IF(AND(AT222=3,M222="F",SUMIF(C2:C1334,C222,AS2:AS1334)&lt;=1),SUMIF(C2:C1334,C222,AS2:AS1334),IF(AND(AT222=3,M222="F",SUMIF(C2:C1334,C222,AS2:AS1334)&gt;1),1,"")))</f>
        <v/>
      </c>
      <c r="AW222" s="387">
        <f>SUMIF(C2:C1334,C222,O2:O1334)</f>
        <v>2</v>
      </c>
      <c r="AX222" s="387">
        <f>IF(AND(M222="F",AS222&lt;&gt;0),SUMIF(C2:C1334,C222,W2:W1334),0)</f>
        <v>55702.400000000001</v>
      </c>
      <c r="AY222" s="387">
        <f t="shared" si="161"/>
        <v>2785.12</v>
      </c>
      <c r="AZ222" s="387" t="str">
        <f t="shared" si="162"/>
        <v/>
      </c>
      <c r="BA222" s="387">
        <f t="shared" si="163"/>
        <v>0</v>
      </c>
      <c r="BB222" s="387">
        <f t="shared" si="132"/>
        <v>582.5</v>
      </c>
      <c r="BC222" s="387">
        <f t="shared" si="133"/>
        <v>0</v>
      </c>
      <c r="BD222" s="387">
        <f t="shared" si="134"/>
        <v>172.67743999999999</v>
      </c>
      <c r="BE222" s="387">
        <f t="shared" si="135"/>
        <v>40.384239999999998</v>
      </c>
      <c r="BF222" s="387">
        <f t="shared" si="136"/>
        <v>332.54332800000003</v>
      </c>
      <c r="BG222" s="387">
        <f t="shared" si="137"/>
        <v>20.0807152</v>
      </c>
      <c r="BH222" s="387">
        <f t="shared" si="138"/>
        <v>13.647087999999998</v>
      </c>
      <c r="BI222" s="387">
        <f t="shared" si="139"/>
        <v>15.415639199999999</v>
      </c>
      <c r="BJ222" s="387">
        <f t="shared" si="140"/>
        <v>7.5198239999999998</v>
      </c>
      <c r="BK222" s="387">
        <f t="shared" si="141"/>
        <v>0</v>
      </c>
      <c r="BL222" s="387">
        <f t="shared" si="164"/>
        <v>602.2682744</v>
      </c>
      <c r="BM222" s="387">
        <f t="shared" si="165"/>
        <v>0</v>
      </c>
      <c r="BN222" s="387">
        <f t="shared" si="142"/>
        <v>582.5</v>
      </c>
      <c r="BO222" s="387">
        <f t="shared" si="143"/>
        <v>0</v>
      </c>
      <c r="BP222" s="387">
        <f t="shared" si="144"/>
        <v>172.67743999999999</v>
      </c>
      <c r="BQ222" s="387">
        <f t="shared" si="145"/>
        <v>40.384239999999998</v>
      </c>
      <c r="BR222" s="387">
        <f t="shared" si="146"/>
        <v>332.54332800000003</v>
      </c>
      <c r="BS222" s="387">
        <f t="shared" si="147"/>
        <v>20.0807152</v>
      </c>
      <c r="BT222" s="387">
        <f t="shared" si="148"/>
        <v>0</v>
      </c>
      <c r="BU222" s="387">
        <f t="shared" si="149"/>
        <v>15.415639199999999</v>
      </c>
      <c r="BV222" s="387">
        <f t="shared" si="150"/>
        <v>9.4694079999999996</v>
      </c>
      <c r="BW222" s="387">
        <f t="shared" si="151"/>
        <v>0</v>
      </c>
      <c r="BX222" s="387">
        <f t="shared" si="166"/>
        <v>590.57077040000001</v>
      </c>
      <c r="BY222" s="387">
        <f t="shared" si="167"/>
        <v>0</v>
      </c>
      <c r="BZ222" s="387">
        <f t="shared" si="168"/>
        <v>0</v>
      </c>
      <c r="CA222" s="387">
        <f t="shared" si="169"/>
        <v>0</v>
      </c>
      <c r="CB222" s="387">
        <f t="shared" si="170"/>
        <v>0</v>
      </c>
      <c r="CC222" s="387">
        <f t="shared" si="152"/>
        <v>0</v>
      </c>
      <c r="CD222" s="387">
        <f t="shared" si="153"/>
        <v>0</v>
      </c>
      <c r="CE222" s="387">
        <f t="shared" si="154"/>
        <v>0</v>
      </c>
      <c r="CF222" s="387">
        <f t="shared" si="155"/>
        <v>-13.647087999999998</v>
      </c>
      <c r="CG222" s="387">
        <f t="shared" si="156"/>
        <v>0</v>
      </c>
      <c r="CH222" s="387">
        <f t="shared" si="157"/>
        <v>1.9495839999999991</v>
      </c>
      <c r="CI222" s="387">
        <f t="shared" si="158"/>
        <v>0</v>
      </c>
      <c r="CJ222" s="387">
        <f t="shared" si="171"/>
        <v>-11.697503999999999</v>
      </c>
      <c r="CK222" s="387" t="str">
        <f t="shared" si="172"/>
        <v/>
      </c>
      <c r="CL222" s="387" t="str">
        <f t="shared" si="173"/>
        <v/>
      </c>
      <c r="CM222" s="387" t="str">
        <f t="shared" si="174"/>
        <v/>
      </c>
      <c r="CN222" s="387" t="str">
        <f t="shared" si="175"/>
        <v>0348-31</v>
      </c>
    </row>
    <row r="223" spans="1:92" ht="15.75" thickBot="1" x14ac:dyDescent="0.3">
      <c r="A223" s="376" t="s">
        <v>161</v>
      </c>
      <c r="B223" s="376" t="s">
        <v>162</v>
      </c>
      <c r="C223" s="376" t="s">
        <v>925</v>
      </c>
      <c r="D223" s="376" t="s">
        <v>862</v>
      </c>
      <c r="E223" s="376" t="s">
        <v>224</v>
      </c>
      <c r="F223" s="382" t="s">
        <v>225</v>
      </c>
      <c r="G223" s="376" t="s">
        <v>781</v>
      </c>
      <c r="H223" s="378"/>
      <c r="I223" s="378"/>
      <c r="J223" s="376" t="s">
        <v>215</v>
      </c>
      <c r="K223" s="376" t="s">
        <v>863</v>
      </c>
      <c r="L223" s="376" t="s">
        <v>252</v>
      </c>
      <c r="M223" s="376" t="s">
        <v>171</v>
      </c>
      <c r="N223" s="376" t="s">
        <v>172</v>
      </c>
      <c r="O223" s="379">
        <v>1</v>
      </c>
      <c r="P223" s="385">
        <v>0</v>
      </c>
      <c r="Q223" s="385">
        <v>0</v>
      </c>
      <c r="R223" s="380">
        <v>80</v>
      </c>
      <c r="S223" s="385">
        <v>0</v>
      </c>
      <c r="T223" s="380">
        <v>83.28</v>
      </c>
      <c r="U223" s="380">
        <v>0</v>
      </c>
      <c r="V223" s="380">
        <v>-964.46</v>
      </c>
      <c r="W223" s="380">
        <v>0</v>
      </c>
      <c r="X223" s="380">
        <v>0</v>
      </c>
      <c r="Y223" s="380">
        <v>0</v>
      </c>
      <c r="Z223" s="380">
        <v>0</v>
      </c>
      <c r="AA223" s="376" t="s">
        <v>926</v>
      </c>
      <c r="AB223" s="376" t="s">
        <v>927</v>
      </c>
      <c r="AC223" s="376" t="s">
        <v>435</v>
      </c>
      <c r="AD223" s="376" t="s">
        <v>170</v>
      </c>
      <c r="AE223" s="376" t="s">
        <v>863</v>
      </c>
      <c r="AF223" s="376" t="s">
        <v>393</v>
      </c>
      <c r="AG223" s="376" t="s">
        <v>178</v>
      </c>
      <c r="AH223" s="381">
        <v>18.66</v>
      </c>
      <c r="AI223" s="381">
        <v>25768.5</v>
      </c>
      <c r="AJ223" s="376" t="s">
        <v>179</v>
      </c>
      <c r="AK223" s="376" t="s">
        <v>180</v>
      </c>
      <c r="AL223" s="376" t="s">
        <v>181</v>
      </c>
      <c r="AM223" s="376" t="s">
        <v>182</v>
      </c>
      <c r="AN223" s="376" t="s">
        <v>68</v>
      </c>
      <c r="AO223" s="379">
        <v>80</v>
      </c>
      <c r="AP223" s="385">
        <v>1</v>
      </c>
      <c r="AQ223" s="385">
        <v>0</v>
      </c>
      <c r="AR223" s="383" t="s">
        <v>183</v>
      </c>
      <c r="AS223" s="387">
        <f t="shared" si="159"/>
        <v>0</v>
      </c>
      <c r="AT223">
        <f t="shared" si="160"/>
        <v>0</v>
      </c>
      <c r="AU223" s="387" t="str">
        <f>IF(AT223=0,"",IF(AND(AT223=1,M223="F",SUMIF(C2:C1334,C223,AS2:AS1334)&lt;=1),SUMIF(C2:C1334,C223,AS2:AS1334),IF(AND(AT223=1,M223="F",SUMIF(C2:C1334,C223,AS2:AS1334)&gt;1),1,"")))</f>
        <v/>
      </c>
      <c r="AV223" s="387" t="str">
        <f>IF(AT223=0,"",IF(AND(AT223=3,M223="F",SUMIF(C2:C1334,C223,AS2:AS1334)&lt;=1),SUMIF(C2:C1334,C223,AS2:AS1334),IF(AND(AT223=3,M223="F",SUMIF(C2:C1334,C223,AS2:AS1334)&gt;1),1,"")))</f>
        <v/>
      </c>
      <c r="AW223" s="387">
        <f>SUMIF(C2:C1334,C223,O2:O1334)</f>
        <v>2</v>
      </c>
      <c r="AX223" s="387">
        <f>IF(AND(M223="F",AS223&lt;&gt;0),SUMIF(C2:C1334,C223,W2:W1334),0)</f>
        <v>0</v>
      </c>
      <c r="AY223" s="387" t="str">
        <f t="shared" si="161"/>
        <v/>
      </c>
      <c r="AZ223" s="387" t="str">
        <f t="shared" si="162"/>
        <v/>
      </c>
      <c r="BA223" s="387">
        <f t="shared" si="163"/>
        <v>0</v>
      </c>
      <c r="BB223" s="387">
        <f t="shared" si="132"/>
        <v>0</v>
      </c>
      <c r="BC223" s="387">
        <f t="shared" si="133"/>
        <v>0</v>
      </c>
      <c r="BD223" s="387">
        <f t="shared" si="134"/>
        <v>0</v>
      </c>
      <c r="BE223" s="387">
        <f t="shared" si="135"/>
        <v>0</v>
      </c>
      <c r="BF223" s="387">
        <f t="shared" si="136"/>
        <v>0</v>
      </c>
      <c r="BG223" s="387">
        <f t="shared" si="137"/>
        <v>0</v>
      </c>
      <c r="BH223" s="387">
        <f t="shared" si="138"/>
        <v>0</v>
      </c>
      <c r="BI223" s="387">
        <f t="shared" si="139"/>
        <v>0</v>
      </c>
      <c r="BJ223" s="387">
        <f t="shared" si="140"/>
        <v>0</v>
      </c>
      <c r="BK223" s="387">
        <f t="shared" si="141"/>
        <v>0</v>
      </c>
      <c r="BL223" s="387">
        <f t="shared" si="164"/>
        <v>0</v>
      </c>
      <c r="BM223" s="387">
        <f t="shared" si="165"/>
        <v>0</v>
      </c>
      <c r="BN223" s="387">
        <f t="shared" si="142"/>
        <v>0</v>
      </c>
      <c r="BO223" s="387">
        <f t="shared" si="143"/>
        <v>0</v>
      </c>
      <c r="BP223" s="387">
        <f t="shared" si="144"/>
        <v>0</v>
      </c>
      <c r="BQ223" s="387">
        <f t="shared" si="145"/>
        <v>0</v>
      </c>
      <c r="BR223" s="387">
        <f t="shared" si="146"/>
        <v>0</v>
      </c>
      <c r="BS223" s="387">
        <f t="shared" si="147"/>
        <v>0</v>
      </c>
      <c r="BT223" s="387">
        <f t="shared" si="148"/>
        <v>0</v>
      </c>
      <c r="BU223" s="387">
        <f t="shared" si="149"/>
        <v>0</v>
      </c>
      <c r="BV223" s="387">
        <f t="shared" si="150"/>
        <v>0</v>
      </c>
      <c r="BW223" s="387">
        <f t="shared" si="151"/>
        <v>0</v>
      </c>
      <c r="BX223" s="387">
        <f t="shared" si="166"/>
        <v>0</v>
      </c>
      <c r="BY223" s="387">
        <f t="shared" si="167"/>
        <v>0</v>
      </c>
      <c r="BZ223" s="387">
        <f t="shared" si="168"/>
        <v>0</v>
      </c>
      <c r="CA223" s="387">
        <f t="shared" si="169"/>
        <v>0</v>
      </c>
      <c r="CB223" s="387">
        <f t="shared" si="170"/>
        <v>0</v>
      </c>
      <c r="CC223" s="387">
        <f t="shared" si="152"/>
        <v>0</v>
      </c>
      <c r="CD223" s="387">
        <f t="shared" si="153"/>
        <v>0</v>
      </c>
      <c r="CE223" s="387">
        <f t="shared" si="154"/>
        <v>0</v>
      </c>
      <c r="CF223" s="387">
        <f t="shared" si="155"/>
        <v>0</v>
      </c>
      <c r="CG223" s="387">
        <f t="shared" si="156"/>
        <v>0</v>
      </c>
      <c r="CH223" s="387">
        <f t="shared" si="157"/>
        <v>0</v>
      </c>
      <c r="CI223" s="387">
        <f t="shared" si="158"/>
        <v>0</v>
      </c>
      <c r="CJ223" s="387">
        <f t="shared" si="171"/>
        <v>0</v>
      </c>
      <c r="CK223" s="387" t="str">
        <f t="shared" si="172"/>
        <v/>
      </c>
      <c r="CL223" s="387" t="str">
        <f t="shared" si="173"/>
        <v/>
      </c>
      <c r="CM223" s="387" t="str">
        <f t="shared" si="174"/>
        <v/>
      </c>
      <c r="CN223" s="387" t="str">
        <f t="shared" si="175"/>
        <v>0348-31</v>
      </c>
    </row>
    <row r="224" spans="1:92" ht="15.75" thickBot="1" x14ac:dyDescent="0.3">
      <c r="A224" s="376" t="s">
        <v>161</v>
      </c>
      <c r="B224" s="376" t="s">
        <v>162</v>
      </c>
      <c r="C224" s="376" t="s">
        <v>928</v>
      </c>
      <c r="D224" s="376" t="s">
        <v>868</v>
      </c>
      <c r="E224" s="376" t="s">
        <v>224</v>
      </c>
      <c r="F224" s="382" t="s">
        <v>225</v>
      </c>
      <c r="G224" s="376" t="s">
        <v>781</v>
      </c>
      <c r="H224" s="378"/>
      <c r="I224" s="378"/>
      <c r="J224" s="376" t="s">
        <v>215</v>
      </c>
      <c r="K224" s="376" t="s">
        <v>894</v>
      </c>
      <c r="L224" s="376" t="s">
        <v>170</v>
      </c>
      <c r="M224" s="376" t="s">
        <v>171</v>
      </c>
      <c r="N224" s="376" t="s">
        <v>172</v>
      </c>
      <c r="O224" s="379">
        <v>1</v>
      </c>
      <c r="P224" s="385">
        <v>0</v>
      </c>
      <c r="Q224" s="385">
        <v>0</v>
      </c>
      <c r="R224" s="380">
        <v>80</v>
      </c>
      <c r="S224" s="385">
        <v>0</v>
      </c>
      <c r="T224" s="380">
        <v>60197.21</v>
      </c>
      <c r="U224" s="380">
        <v>7834.7</v>
      </c>
      <c r="V224" s="380">
        <v>25819.98</v>
      </c>
      <c r="W224" s="380">
        <v>0</v>
      </c>
      <c r="X224" s="380">
        <v>0</v>
      </c>
      <c r="Y224" s="380">
        <v>0</v>
      </c>
      <c r="Z224" s="380">
        <v>0</v>
      </c>
      <c r="AA224" s="376" t="s">
        <v>929</v>
      </c>
      <c r="AB224" s="376" t="s">
        <v>930</v>
      </c>
      <c r="AC224" s="376" t="s">
        <v>931</v>
      </c>
      <c r="AD224" s="376" t="s">
        <v>932</v>
      </c>
      <c r="AE224" s="376" t="s">
        <v>894</v>
      </c>
      <c r="AF224" s="376" t="s">
        <v>177</v>
      </c>
      <c r="AG224" s="376" t="s">
        <v>178</v>
      </c>
      <c r="AH224" s="381">
        <v>29.43</v>
      </c>
      <c r="AI224" s="381">
        <v>15367.2</v>
      </c>
      <c r="AJ224" s="376" t="s">
        <v>179</v>
      </c>
      <c r="AK224" s="376" t="s">
        <v>180</v>
      </c>
      <c r="AL224" s="376" t="s">
        <v>181</v>
      </c>
      <c r="AM224" s="376" t="s">
        <v>182</v>
      </c>
      <c r="AN224" s="376" t="s">
        <v>68</v>
      </c>
      <c r="AO224" s="379">
        <v>80</v>
      </c>
      <c r="AP224" s="385">
        <v>1</v>
      </c>
      <c r="AQ224" s="385">
        <v>0</v>
      </c>
      <c r="AR224" s="383" t="s">
        <v>183</v>
      </c>
      <c r="AS224" s="387">
        <f t="shared" si="159"/>
        <v>0</v>
      </c>
      <c r="AT224">
        <f t="shared" si="160"/>
        <v>0</v>
      </c>
      <c r="AU224" s="387" t="str">
        <f>IF(AT224=0,"",IF(AND(AT224=1,M224="F",SUMIF(C2:C1334,C224,AS2:AS1334)&lt;=1),SUMIF(C2:C1334,C224,AS2:AS1334),IF(AND(AT224=1,M224="F",SUMIF(C2:C1334,C224,AS2:AS1334)&gt;1),1,"")))</f>
        <v/>
      </c>
      <c r="AV224" s="387" t="str">
        <f>IF(AT224=0,"",IF(AND(AT224=3,M224="F",SUMIF(C2:C1334,C224,AS2:AS1334)&lt;=1),SUMIF(C2:C1334,C224,AS2:AS1334),IF(AND(AT224=3,M224="F",SUMIF(C2:C1334,C224,AS2:AS1334)&gt;1),1,"")))</f>
        <v/>
      </c>
      <c r="AW224" s="387">
        <f>SUMIF(C2:C1334,C224,O2:O1334)</f>
        <v>2</v>
      </c>
      <c r="AX224" s="387">
        <f>IF(AND(M224="F",AS224&lt;&gt;0),SUMIF(C2:C1334,C224,W2:W1334),0)</f>
        <v>0</v>
      </c>
      <c r="AY224" s="387" t="str">
        <f t="shared" si="161"/>
        <v/>
      </c>
      <c r="AZ224" s="387" t="str">
        <f t="shared" si="162"/>
        <v/>
      </c>
      <c r="BA224" s="387">
        <f t="shared" si="163"/>
        <v>0</v>
      </c>
      <c r="BB224" s="387">
        <f t="shared" si="132"/>
        <v>0</v>
      </c>
      <c r="BC224" s="387">
        <f t="shared" si="133"/>
        <v>0</v>
      </c>
      <c r="BD224" s="387">
        <f t="shared" si="134"/>
        <v>0</v>
      </c>
      <c r="BE224" s="387">
        <f t="shared" si="135"/>
        <v>0</v>
      </c>
      <c r="BF224" s="387">
        <f t="shared" si="136"/>
        <v>0</v>
      </c>
      <c r="BG224" s="387">
        <f t="shared" si="137"/>
        <v>0</v>
      </c>
      <c r="BH224" s="387">
        <f t="shared" si="138"/>
        <v>0</v>
      </c>
      <c r="BI224" s="387">
        <f t="shared" si="139"/>
        <v>0</v>
      </c>
      <c r="BJ224" s="387">
        <f t="shared" si="140"/>
        <v>0</v>
      </c>
      <c r="BK224" s="387">
        <f t="shared" si="141"/>
        <v>0</v>
      </c>
      <c r="BL224" s="387">
        <f t="shared" si="164"/>
        <v>0</v>
      </c>
      <c r="BM224" s="387">
        <f t="shared" si="165"/>
        <v>0</v>
      </c>
      <c r="BN224" s="387">
        <f t="shared" si="142"/>
        <v>0</v>
      </c>
      <c r="BO224" s="387">
        <f t="shared" si="143"/>
        <v>0</v>
      </c>
      <c r="BP224" s="387">
        <f t="shared" si="144"/>
        <v>0</v>
      </c>
      <c r="BQ224" s="387">
        <f t="shared" si="145"/>
        <v>0</v>
      </c>
      <c r="BR224" s="387">
        <f t="shared" si="146"/>
        <v>0</v>
      </c>
      <c r="BS224" s="387">
        <f t="shared" si="147"/>
        <v>0</v>
      </c>
      <c r="BT224" s="387">
        <f t="shared" si="148"/>
        <v>0</v>
      </c>
      <c r="BU224" s="387">
        <f t="shared" si="149"/>
        <v>0</v>
      </c>
      <c r="BV224" s="387">
        <f t="shared" si="150"/>
        <v>0</v>
      </c>
      <c r="BW224" s="387">
        <f t="shared" si="151"/>
        <v>0</v>
      </c>
      <c r="BX224" s="387">
        <f t="shared" si="166"/>
        <v>0</v>
      </c>
      <c r="BY224" s="387">
        <f t="shared" si="167"/>
        <v>0</v>
      </c>
      <c r="BZ224" s="387">
        <f t="shared" si="168"/>
        <v>0</v>
      </c>
      <c r="CA224" s="387">
        <f t="shared" si="169"/>
        <v>0</v>
      </c>
      <c r="CB224" s="387">
        <f t="shared" si="170"/>
        <v>0</v>
      </c>
      <c r="CC224" s="387">
        <f t="shared" si="152"/>
        <v>0</v>
      </c>
      <c r="CD224" s="387">
        <f t="shared" si="153"/>
        <v>0</v>
      </c>
      <c r="CE224" s="387">
        <f t="shared" si="154"/>
        <v>0</v>
      </c>
      <c r="CF224" s="387">
        <f t="shared" si="155"/>
        <v>0</v>
      </c>
      <c r="CG224" s="387">
        <f t="shared" si="156"/>
        <v>0</v>
      </c>
      <c r="CH224" s="387">
        <f t="shared" si="157"/>
        <v>0</v>
      </c>
      <c r="CI224" s="387">
        <f t="shared" si="158"/>
        <v>0</v>
      </c>
      <c r="CJ224" s="387">
        <f t="shared" si="171"/>
        <v>0</v>
      </c>
      <c r="CK224" s="387" t="str">
        <f t="shared" si="172"/>
        <v/>
      </c>
      <c r="CL224" s="387" t="str">
        <f t="shared" si="173"/>
        <v/>
      </c>
      <c r="CM224" s="387" t="str">
        <f t="shared" si="174"/>
        <v/>
      </c>
      <c r="CN224" s="387" t="str">
        <f t="shared" si="175"/>
        <v>0348-31</v>
      </c>
    </row>
    <row r="225" spans="1:92" ht="15.75" thickBot="1" x14ac:dyDescent="0.3">
      <c r="A225" s="376" t="s">
        <v>161</v>
      </c>
      <c r="B225" s="376" t="s">
        <v>162</v>
      </c>
      <c r="C225" s="376" t="s">
        <v>333</v>
      </c>
      <c r="D225" s="376" t="s">
        <v>334</v>
      </c>
      <c r="E225" s="376" t="s">
        <v>224</v>
      </c>
      <c r="F225" s="382" t="s">
        <v>225</v>
      </c>
      <c r="G225" s="376" t="s">
        <v>781</v>
      </c>
      <c r="H225" s="378"/>
      <c r="I225" s="378"/>
      <c r="J225" s="376" t="s">
        <v>215</v>
      </c>
      <c r="K225" s="376" t="s">
        <v>335</v>
      </c>
      <c r="L225" s="376" t="s">
        <v>170</v>
      </c>
      <c r="M225" s="376" t="s">
        <v>272</v>
      </c>
      <c r="N225" s="376" t="s">
        <v>257</v>
      </c>
      <c r="O225" s="379">
        <v>0</v>
      </c>
      <c r="P225" s="385">
        <v>0</v>
      </c>
      <c r="Q225" s="385">
        <v>0</v>
      </c>
      <c r="R225" s="380">
        <v>80</v>
      </c>
      <c r="S225" s="385">
        <v>0</v>
      </c>
      <c r="T225" s="380">
        <v>41000.879999999997</v>
      </c>
      <c r="U225" s="380">
        <v>16.809999999999999</v>
      </c>
      <c r="V225" s="380">
        <v>15292.42</v>
      </c>
      <c r="W225" s="380">
        <v>0</v>
      </c>
      <c r="X225" s="380">
        <v>0</v>
      </c>
      <c r="Y225" s="380">
        <v>0</v>
      </c>
      <c r="Z225" s="380">
        <v>0</v>
      </c>
      <c r="AA225" s="378"/>
      <c r="AB225" s="376" t="s">
        <v>45</v>
      </c>
      <c r="AC225" s="376" t="s">
        <v>45</v>
      </c>
      <c r="AD225" s="378"/>
      <c r="AE225" s="378"/>
      <c r="AF225" s="378"/>
      <c r="AG225" s="378"/>
      <c r="AH225" s="379">
        <v>0</v>
      </c>
      <c r="AI225" s="379">
        <v>0</v>
      </c>
      <c r="AJ225" s="378"/>
      <c r="AK225" s="378"/>
      <c r="AL225" s="376" t="s">
        <v>181</v>
      </c>
      <c r="AM225" s="378"/>
      <c r="AN225" s="378"/>
      <c r="AO225" s="379">
        <v>0</v>
      </c>
      <c r="AP225" s="385">
        <v>0</v>
      </c>
      <c r="AQ225" s="385">
        <v>0</v>
      </c>
      <c r="AR225" s="384"/>
      <c r="AS225" s="387">
        <f t="shared" si="159"/>
        <v>0</v>
      </c>
      <c r="AT225">
        <f t="shared" si="160"/>
        <v>0</v>
      </c>
      <c r="AU225" s="387" t="str">
        <f>IF(AT225=0,"",IF(AND(AT225=1,M225="F",SUMIF(C2:C1334,C225,AS2:AS1334)&lt;=1),SUMIF(C2:C1334,C225,AS2:AS1334),IF(AND(AT225=1,M225="F",SUMIF(C2:C1334,C225,AS2:AS1334)&gt;1),1,"")))</f>
        <v/>
      </c>
      <c r="AV225" s="387" t="str">
        <f>IF(AT225=0,"",IF(AND(AT225=3,M225="F",SUMIF(C2:C1334,C225,AS2:AS1334)&lt;=1),SUMIF(C2:C1334,C225,AS2:AS1334),IF(AND(AT225=3,M225="F",SUMIF(C2:C1334,C225,AS2:AS1334)&gt;1),1,"")))</f>
        <v/>
      </c>
      <c r="AW225" s="387">
        <f>SUMIF(C2:C1334,C225,O2:O1334)</f>
        <v>0</v>
      </c>
      <c r="AX225" s="387">
        <f>IF(AND(M225="F",AS225&lt;&gt;0),SUMIF(C2:C1334,C225,W2:W1334),0)</f>
        <v>0</v>
      </c>
      <c r="AY225" s="387" t="str">
        <f t="shared" si="161"/>
        <v/>
      </c>
      <c r="AZ225" s="387" t="str">
        <f t="shared" si="162"/>
        <v/>
      </c>
      <c r="BA225" s="387">
        <f t="shared" si="163"/>
        <v>0</v>
      </c>
      <c r="BB225" s="387">
        <f t="shared" si="132"/>
        <v>0</v>
      </c>
      <c r="BC225" s="387">
        <f t="shared" si="133"/>
        <v>0</v>
      </c>
      <c r="BD225" s="387">
        <f t="shared" si="134"/>
        <v>0</v>
      </c>
      <c r="BE225" s="387">
        <f t="shared" si="135"/>
        <v>0</v>
      </c>
      <c r="BF225" s="387">
        <f t="shared" si="136"/>
        <v>0</v>
      </c>
      <c r="BG225" s="387">
        <f t="shared" si="137"/>
        <v>0</v>
      </c>
      <c r="BH225" s="387">
        <f t="shared" si="138"/>
        <v>0</v>
      </c>
      <c r="BI225" s="387">
        <f t="shared" si="139"/>
        <v>0</v>
      </c>
      <c r="BJ225" s="387">
        <f t="shared" si="140"/>
        <v>0</v>
      </c>
      <c r="BK225" s="387">
        <f t="shared" si="141"/>
        <v>0</v>
      </c>
      <c r="BL225" s="387">
        <f t="shared" si="164"/>
        <v>0</v>
      </c>
      <c r="BM225" s="387">
        <f t="shared" si="165"/>
        <v>0</v>
      </c>
      <c r="BN225" s="387">
        <f t="shared" si="142"/>
        <v>0</v>
      </c>
      <c r="BO225" s="387">
        <f t="shared" si="143"/>
        <v>0</v>
      </c>
      <c r="BP225" s="387">
        <f t="shared" si="144"/>
        <v>0</v>
      </c>
      <c r="BQ225" s="387">
        <f t="shared" si="145"/>
        <v>0</v>
      </c>
      <c r="BR225" s="387">
        <f t="shared" si="146"/>
        <v>0</v>
      </c>
      <c r="BS225" s="387">
        <f t="shared" si="147"/>
        <v>0</v>
      </c>
      <c r="BT225" s="387">
        <f t="shared" si="148"/>
        <v>0</v>
      </c>
      <c r="BU225" s="387">
        <f t="shared" si="149"/>
        <v>0</v>
      </c>
      <c r="BV225" s="387">
        <f t="shared" si="150"/>
        <v>0</v>
      </c>
      <c r="BW225" s="387">
        <f t="shared" si="151"/>
        <v>0</v>
      </c>
      <c r="BX225" s="387">
        <f t="shared" si="166"/>
        <v>0</v>
      </c>
      <c r="BY225" s="387">
        <f t="shared" si="167"/>
        <v>0</v>
      </c>
      <c r="BZ225" s="387">
        <f t="shared" si="168"/>
        <v>0</v>
      </c>
      <c r="CA225" s="387">
        <f t="shared" si="169"/>
        <v>0</v>
      </c>
      <c r="CB225" s="387">
        <f t="shared" si="170"/>
        <v>0</v>
      </c>
      <c r="CC225" s="387">
        <f t="shared" si="152"/>
        <v>0</v>
      </c>
      <c r="CD225" s="387">
        <f t="shared" si="153"/>
        <v>0</v>
      </c>
      <c r="CE225" s="387">
        <f t="shared" si="154"/>
        <v>0</v>
      </c>
      <c r="CF225" s="387">
        <f t="shared" si="155"/>
        <v>0</v>
      </c>
      <c r="CG225" s="387">
        <f t="shared" si="156"/>
        <v>0</v>
      </c>
      <c r="CH225" s="387">
        <f t="shared" si="157"/>
        <v>0</v>
      </c>
      <c r="CI225" s="387">
        <f t="shared" si="158"/>
        <v>0</v>
      </c>
      <c r="CJ225" s="387">
        <f t="shared" si="171"/>
        <v>0</v>
      </c>
      <c r="CK225" s="387" t="str">
        <f t="shared" si="172"/>
        <v/>
      </c>
      <c r="CL225" s="387" t="str">
        <f t="shared" si="173"/>
        <v/>
      </c>
      <c r="CM225" s="387" t="str">
        <f t="shared" si="174"/>
        <v/>
      </c>
      <c r="CN225" s="387" t="str">
        <f t="shared" si="175"/>
        <v>0348-31</v>
      </c>
    </row>
    <row r="226" spans="1:92" ht="15.75" thickBot="1" x14ac:dyDescent="0.3">
      <c r="A226" s="376" t="s">
        <v>161</v>
      </c>
      <c r="B226" s="376" t="s">
        <v>162</v>
      </c>
      <c r="C226" s="376" t="s">
        <v>933</v>
      </c>
      <c r="D226" s="376" t="s">
        <v>862</v>
      </c>
      <c r="E226" s="376" t="s">
        <v>224</v>
      </c>
      <c r="F226" s="382" t="s">
        <v>225</v>
      </c>
      <c r="G226" s="376" t="s">
        <v>781</v>
      </c>
      <c r="H226" s="378"/>
      <c r="I226" s="378"/>
      <c r="J226" s="376" t="s">
        <v>215</v>
      </c>
      <c r="K226" s="376" t="s">
        <v>863</v>
      </c>
      <c r="L226" s="376" t="s">
        <v>252</v>
      </c>
      <c r="M226" s="376" t="s">
        <v>272</v>
      </c>
      <c r="N226" s="376" t="s">
        <v>172</v>
      </c>
      <c r="O226" s="379">
        <v>0</v>
      </c>
      <c r="P226" s="385">
        <v>0</v>
      </c>
      <c r="Q226" s="385">
        <v>0</v>
      </c>
      <c r="R226" s="380">
        <v>80</v>
      </c>
      <c r="S226" s="385">
        <v>0</v>
      </c>
      <c r="T226" s="380">
        <v>38.17</v>
      </c>
      <c r="U226" s="380">
        <v>0</v>
      </c>
      <c r="V226" s="380">
        <v>28.89</v>
      </c>
      <c r="W226" s="380">
        <v>0</v>
      </c>
      <c r="X226" s="380">
        <v>0</v>
      </c>
      <c r="Y226" s="380">
        <v>0</v>
      </c>
      <c r="Z226" s="380">
        <v>0</v>
      </c>
      <c r="AA226" s="378"/>
      <c r="AB226" s="376" t="s">
        <v>45</v>
      </c>
      <c r="AC226" s="376" t="s">
        <v>45</v>
      </c>
      <c r="AD226" s="378"/>
      <c r="AE226" s="378"/>
      <c r="AF226" s="378"/>
      <c r="AG226" s="378"/>
      <c r="AH226" s="379">
        <v>0</v>
      </c>
      <c r="AI226" s="379">
        <v>0</v>
      </c>
      <c r="AJ226" s="378"/>
      <c r="AK226" s="378"/>
      <c r="AL226" s="376" t="s">
        <v>181</v>
      </c>
      <c r="AM226" s="378"/>
      <c r="AN226" s="378"/>
      <c r="AO226" s="379">
        <v>0</v>
      </c>
      <c r="AP226" s="385">
        <v>0</v>
      </c>
      <c r="AQ226" s="385">
        <v>0</v>
      </c>
      <c r="AR226" s="384"/>
      <c r="AS226" s="387">
        <f t="shared" si="159"/>
        <v>0</v>
      </c>
      <c r="AT226">
        <f t="shared" si="160"/>
        <v>0</v>
      </c>
      <c r="AU226" s="387" t="str">
        <f>IF(AT226=0,"",IF(AND(AT226=1,M226="F",SUMIF(C2:C1334,C226,AS2:AS1334)&lt;=1),SUMIF(C2:C1334,C226,AS2:AS1334),IF(AND(AT226=1,M226="F",SUMIF(C2:C1334,C226,AS2:AS1334)&gt;1),1,"")))</f>
        <v/>
      </c>
      <c r="AV226" s="387" t="str">
        <f>IF(AT226=0,"",IF(AND(AT226=3,M226="F",SUMIF(C2:C1334,C226,AS2:AS1334)&lt;=1),SUMIF(C2:C1334,C226,AS2:AS1334),IF(AND(AT226=3,M226="F",SUMIF(C2:C1334,C226,AS2:AS1334)&gt;1),1,"")))</f>
        <v/>
      </c>
      <c r="AW226" s="387">
        <f>SUMIF(C2:C1334,C226,O2:O1334)</f>
        <v>0</v>
      </c>
      <c r="AX226" s="387">
        <f>IF(AND(M226="F",AS226&lt;&gt;0),SUMIF(C2:C1334,C226,W2:W1334),0)</f>
        <v>0</v>
      </c>
      <c r="AY226" s="387" t="str">
        <f t="shared" si="161"/>
        <v/>
      </c>
      <c r="AZ226" s="387" t="str">
        <f t="shared" si="162"/>
        <v/>
      </c>
      <c r="BA226" s="387">
        <f t="shared" si="163"/>
        <v>0</v>
      </c>
      <c r="BB226" s="387">
        <f t="shared" si="132"/>
        <v>0</v>
      </c>
      <c r="BC226" s="387">
        <f t="shared" si="133"/>
        <v>0</v>
      </c>
      <c r="BD226" s="387">
        <f t="shared" si="134"/>
        <v>0</v>
      </c>
      <c r="BE226" s="387">
        <f t="shared" si="135"/>
        <v>0</v>
      </c>
      <c r="BF226" s="387">
        <f t="shared" si="136"/>
        <v>0</v>
      </c>
      <c r="BG226" s="387">
        <f t="shared" si="137"/>
        <v>0</v>
      </c>
      <c r="BH226" s="387">
        <f t="shared" si="138"/>
        <v>0</v>
      </c>
      <c r="BI226" s="387">
        <f t="shared" si="139"/>
        <v>0</v>
      </c>
      <c r="BJ226" s="387">
        <f t="shared" si="140"/>
        <v>0</v>
      </c>
      <c r="BK226" s="387">
        <f t="shared" si="141"/>
        <v>0</v>
      </c>
      <c r="BL226" s="387">
        <f t="shared" si="164"/>
        <v>0</v>
      </c>
      <c r="BM226" s="387">
        <f t="shared" si="165"/>
        <v>0</v>
      </c>
      <c r="BN226" s="387">
        <f t="shared" si="142"/>
        <v>0</v>
      </c>
      <c r="BO226" s="387">
        <f t="shared" si="143"/>
        <v>0</v>
      </c>
      <c r="BP226" s="387">
        <f t="shared" si="144"/>
        <v>0</v>
      </c>
      <c r="BQ226" s="387">
        <f t="shared" si="145"/>
        <v>0</v>
      </c>
      <c r="BR226" s="387">
        <f t="shared" si="146"/>
        <v>0</v>
      </c>
      <c r="BS226" s="387">
        <f t="shared" si="147"/>
        <v>0</v>
      </c>
      <c r="BT226" s="387">
        <f t="shared" si="148"/>
        <v>0</v>
      </c>
      <c r="BU226" s="387">
        <f t="shared" si="149"/>
        <v>0</v>
      </c>
      <c r="BV226" s="387">
        <f t="shared" si="150"/>
        <v>0</v>
      </c>
      <c r="BW226" s="387">
        <f t="shared" si="151"/>
        <v>0</v>
      </c>
      <c r="BX226" s="387">
        <f t="shared" si="166"/>
        <v>0</v>
      </c>
      <c r="BY226" s="387">
        <f t="shared" si="167"/>
        <v>0</v>
      </c>
      <c r="BZ226" s="387">
        <f t="shared" si="168"/>
        <v>0</v>
      </c>
      <c r="CA226" s="387">
        <f t="shared" si="169"/>
        <v>0</v>
      </c>
      <c r="CB226" s="387">
        <f t="shared" si="170"/>
        <v>0</v>
      </c>
      <c r="CC226" s="387">
        <f t="shared" si="152"/>
        <v>0</v>
      </c>
      <c r="CD226" s="387">
        <f t="shared" si="153"/>
        <v>0</v>
      </c>
      <c r="CE226" s="387">
        <f t="shared" si="154"/>
        <v>0</v>
      </c>
      <c r="CF226" s="387">
        <f t="shared" si="155"/>
        <v>0</v>
      </c>
      <c r="CG226" s="387">
        <f t="shared" si="156"/>
        <v>0</v>
      </c>
      <c r="CH226" s="387">
        <f t="shared" si="157"/>
        <v>0</v>
      </c>
      <c r="CI226" s="387">
        <f t="shared" si="158"/>
        <v>0</v>
      </c>
      <c r="CJ226" s="387">
        <f t="shared" si="171"/>
        <v>0</v>
      </c>
      <c r="CK226" s="387" t="str">
        <f t="shared" si="172"/>
        <v/>
      </c>
      <c r="CL226" s="387" t="str">
        <f t="shared" si="173"/>
        <v/>
      </c>
      <c r="CM226" s="387" t="str">
        <f t="shared" si="174"/>
        <v/>
      </c>
      <c r="CN226" s="387" t="str">
        <f t="shared" si="175"/>
        <v>0348-31</v>
      </c>
    </row>
    <row r="227" spans="1:92" ht="15.75" thickBot="1" x14ac:dyDescent="0.3">
      <c r="A227" s="376" t="s">
        <v>161</v>
      </c>
      <c r="B227" s="376" t="s">
        <v>162</v>
      </c>
      <c r="C227" s="376" t="s">
        <v>829</v>
      </c>
      <c r="D227" s="376" t="s">
        <v>786</v>
      </c>
      <c r="E227" s="376" t="s">
        <v>224</v>
      </c>
      <c r="F227" s="382" t="s">
        <v>225</v>
      </c>
      <c r="G227" s="376" t="s">
        <v>781</v>
      </c>
      <c r="H227" s="378"/>
      <c r="I227" s="378"/>
      <c r="J227" s="376" t="s">
        <v>215</v>
      </c>
      <c r="K227" s="376" t="s">
        <v>787</v>
      </c>
      <c r="L227" s="376" t="s">
        <v>181</v>
      </c>
      <c r="M227" s="376" t="s">
        <v>171</v>
      </c>
      <c r="N227" s="376" t="s">
        <v>172</v>
      </c>
      <c r="O227" s="379">
        <v>1</v>
      </c>
      <c r="P227" s="385">
        <v>1</v>
      </c>
      <c r="Q227" s="385">
        <v>1</v>
      </c>
      <c r="R227" s="380">
        <v>80</v>
      </c>
      <c r="S227" s="385">
        <v>1</v>
      </c>
      <c r="T227" s="380">
        <v>57513.46</v>
      </c>
      <c r="U227" s="380">
        <v>0</v>
      </c>
      <c r="V227" s="380">
        <v>22396.67</v>
      </c>
      <c r="W227" s="380">
        <v>73424</v>
      </c>
      <c r="X227" s="380">
        <v>27527.89</v>
      </c>
      <c r="Y227" s="380">
        <v>73424</v>
      </c>
      <c r="Z227" s="380">
        <v>27219.52</v>
      </c>
      <c r="AA227" s="376" t="s">
        <v>830</v>
      </c>
      <c r="AB227" s="376" t="s">
        <v>831</v>
      </c>
      <c r="AC227" s="376" t="s">
        <v>832</v>
      </c>
      <c r="AD227" s="376" t="s">
        <v>170</v>
      </c>
      <c r="AE227" s="376" t="s">
        <v>787</v>
      </c>
      <c r="AF227" s="376" t="s">
        <v>211</v>
      </c>
      <c r="AG227" s="376" t="s">
        <v>178</v>
      </c>
      <c r="AH227" s="381">
        <v>35.299999999999997</v>
      </c>
      <c r="AI227" s="381">
        <v>36143.599999999999</v>
      </c>
      <c r="AJ227" s="376" t="s">
        <v>179</v>
      </c>
      <c r="AK227" s="376" t="s">
        <v>180</v>
      </c>
      <c r="AL227" s="376" t="s">
        <v>181</v>
      </c>
      <c r="AM227" s="376" t="s">
        <v>182</v>
      </c>
      <c r="AN227" s="376" t="s">
        <v>68</v>
      </c>
      <c r="AO227" s="379">
        <v>80</v>
      </c>
      <c r="AP227" s="385">
        <v>1</v>
      </c>
      <c r="AQ227" s="385">
        <v>1</v>
      </c>
      <c r="AR227" s="383" t="s">
        <v>183</v>
      </c>
      <c r="AS227" s="387">
        <f t="shared" si="159"/>
        <v>1</v>
      </c>
      <c r="AT227">
        <f t="shared" si="160"/>
        <v>1</v>
      </c>
      <c r="AU227" s="387">
        <f>IF(AT227=0,"",IF(AND(AT227=1,M227="F",SUMIF(C2:C1334,C227,AS2:AS1334)&lt;=1),SUMIF(C2:C1334,C227,AS2:AS1334),IF(AND(AT227=1,M227="F",SUMIF(C2:C1334,C227,AS2:AS1334)&gt;1),1,"")))</f>
        <v>1</v>
      </c>
      <c r="AV227" s="387" t="str">
        <f>IF(AT227=0,"",IF(AND(AT227=3,M227="F",SUMIF(C2:C1334,C227,AS2:AS1334)&lt;=1),SUMIF(C2:C1334,C227,AS2:AS1334),IF(AND(AT227=3,M227="F",SUMIF(C2:C1334,C227,AS2:AS1334)&gt;1),1,"")))</f>
        <v/>
      </c>
      <c r="AW227" s="387">
        <f>SUMIF(C2:C1334,C227,O2:O1334)</f>
        <v>4</v>
      </c>
      <c r="AX227" s="387">
        <f>IF(AND(M227="F",AS227&lt;&gt;0),SUMIF(C2:C1334,C227,W2:W1334),0)</f>
        <v>73424</v>
      </c>
      <c r="AY227" s="387">
        <f t="shared" si="161"/>
        <v>73424</v>
      </c>
      <c r="AZ227" s="387" t="str">
        <f t="shared" si="162"/>
        <v/>
      </c>
      <c r="BA227" s="387">
        <f t="shared" si="163"/>
        <v>0</v>
      </c>
      <c r="BB227" s="387">
        <f t="shared" si="132"/>
        <v>11650</v>
      </c>
      <c r="BC227" s="387">
        <f t="shared" si="133"/>
        <v>0</v>
      </c>
      <c r="BD227" s="387">
        <f t="shared" si="134"/>
        <v>4552.2879999999996</v>
      </c>
      <c r="BE227" s="387">
        <f t="shared" si="135"/>
        <v>1064.6480000000001</v>
      </c>
      <c r="BF227" s="387">
        <f t="shared" si="136"/>
        <v>8766.8256000000001</v>
      </c>
      <c r="BG227" s="387">
        <f t="shared" si="137"/>
        <v>529.38704000000007</v>
      </c>
      <c r="BH227" s="387">
        <f t="shared" si="138"/>
        <v>359.77760000000001</v>
      </c>
      <c r="BI227" s="387">
        <f t="shared" si="139"/>
        <v>406.40183999999999</v>
      </c>
      <c r="BJ227" s="387">
        <f t="shared" si="140"/>
        <v>198.2448</v>
      </c>
      <c r="BK227" s="387">
        <f t="shared" si="141"/>
        <v>0</v>
      </c>
      <c r="BL227" s="387">
        <f t="shared" si="164"/>
        <v>15877.57288</v>
      </c>
      <c r="BM227" s="387">
        <f t="shared" si="165"/>
        <v>0</v>
      </c>
      <c r="BN227" s="387">
        <f t="shared" si="142"/>
        <v>11650</v>
      </c>
      <c r="BO227" s="387">
        <f t="shared" si="143"/>
        <v>0</v>
      </c>
      <c r="BP227" s="387">
        <f t="shared" si="144"/>
        <v>4552.2879999999996</v>
      </c>
      <c r="BQ227" s="387">
        <f t="shared" si="145"/>
        <v>1064.6480000000001</v>
      </c>
      <c r="BR227" s="387">
        <f t="shared" si="146"/>
        <v>8766.8256000000001</v>
      </c>
      <c r="BS227" s="387">
        <f t="shared" si="147"/>
        <v>529.38704000000007</v>
      </c>
      <c r="BT227" s="387">
        <f t="shared" si="148"/>
        <v>0</v>
      </c>
      <c r="BU227" s="387">
        <f t="shared" si="149"/>
        <v>406.40183999999999</v>
      </c>
      <c r="BV227" s="387">
        <f t="shared" si="150"/>
        <v>249.64159999999998</v>
      </c>
      <c r="BW227" s="387">
        <f t="shared" si="151"/>
        <v>0</v>
      </c>
      <c r="BX227" s="387">
        <f t="shared" si="166"/>
        <v>15569.192080000001</v>
      </c>
      <c r="BY227" s="387">
        <f t="shared" si="167"/>
        <v>0</v>
      </c>
      <c r="BZ227" s="387">
        <f t="shared" si="168"/>
        <v>0</v>
      </c>
      <c r="CA227" s="387">
        <f t="shared" si="169"/>
        <v>0</v>
      </c>
      <c r="CB227" s="387">
        <f t="shared" si="170"/>
        <v>0</v>
      </c>
      <c r="CC227" s="387">
        <f t="shared" si="152"/>
        <v>0</v>
      </c>
      <c r="CD227" s="387">
        <f t="shared" si="153"/>
        <v>0</v>
      </c>
      <c r="CE227" s="387">
        <f t="shared" si="154"/>
        <v>0</v>
      </c>
      <c r="CF227" s="387">
        <f t="shared" si="155"/>
        <v>-359.77760000000001</v>
      </c>
      <c r="CG227" s="387">
        <f t="shared" si="156"/>
        <v>0</v>
      </c>
      <c r="CH227" s="387">
        <f t="shared" si="157"/>
        <v>51.396799999999978</v>
      </c>
      <c r="CI227" s="387">
        <f t="shared" si="158"/>
        <v>0</v>
      </c>
      <c r="CJ227" s="387">
        <f t="shared" si="171"/>
        <v>-308.38080000000002</v>
      </c>
      <c r="CK227" s="387" t="str">
        <f t="shared" si="172"/>
        <v/>
      </c>
      <c r="CL227" s="387" t="str">
        <f t="shared" si="173"/>
        <v/>
      </c>
      <c r="CM227" s="387" t="str">
        <f t="shared" si="174"/>
        <v/>
      </c>
      <c r="CN227" s="387" t="str">
        <f t="shared" si="175"/>
        <v>0348-31</v>
      </c>
    </row>
    <row r="228" spans="1:92" ht="15.75" thickBot="1" x14ac:dyDescent="0.3">
      <c r="A228" s="376" t="s">
        <v>161</v>
      </c>
      <c r="B228" s="376" t="s">
        <v>162</v>
      </c>
      <c r="C228" s="376" t="s">
        <v>934</v>
      </c>
      <c r="D228" s="376" t="s">
        <v>862</v>
      </c>
      <c r="E228" s="376" t="s">
        <v>224</v>
      </c>
      <c r="F228" s="382" t="s">
        <v>225</v>
      </c>
      <c r="G228" s="376" t="s">
        <v>781</v>
      </c>
      <c r="H228" s="378"/>
      <c r="I228" s="378"/>
      <c r="J228" s="376" t="s">
        <v>168</v>
      </c>
      <c r="K228" s="376" t="s">
        <v>863</v>
      </c>
      <c r="L228" s="376" t="s">
        <v>252</v>
      </c>
      <c r="M228" s="376" t="s">
        <v>171</v>
      </c>
      <c r="N228" s="376" t="s">
        <v>172</v>
      </c>
      <c r="O228" s="379">
        <v>1</v>
      </c>
      <c r="P228" s="385">
        <v>0.65</v>
      </c>
      <c r="Q228" s="385">
        <v>0.65</v>
      </c>
      <c r="R228" s="380">
        <v>80</v>
      </c>
      <c r="S228" s="385">
        <v>0.65</v>
      </c>
      <c r="T228" s="380">
        <v>33389.69</v>
      </c>
      <c r="U228" s="380">
        <v>0</v>
      </c>
      <c r="V228" s="380">
        <v>16052.73</v>
      </c>
      <c r="W228" s="380">
        <v>31907.200000000001</v>
      </c>
      <c r="X228" s="380">
        <v>14472.4</v>
      </c>
      <c r="Y228" s="380">
        <v>31907.200000000001</v>
      </c>
      <c r="Z228" s="380">
        <v>14338.39</v>
      </c>
      <c r="AA228" s="376" t="s">
        <v>935</v>
      </c>
      <c r="AB228" s="376" t="s">
        <v>936</v>
      </c>
      <c r="AC228" s="376" t="s">
        <v>747</v>
      </c>
      <c r="AD228" s="376" t="s">
        <v>324</v>
      </c>
      <c r="AE228" s="376" t="s">
        <v>863</v>
      </c>
      <c r="AF228" s="376" t="s">
        <v>393</v>
      </c>
      <c r="AG228" s="376" t="s">
        <v>178</v>
      </c>
      <c r="AH228" s="381">
        <v>23.6</v>
      </c>
      <c r="AI228" s="381">
        <v>33730.199999999997</v>
      </c>
      <c r="AJ228" s="376" t="s">
        <v>179</v>
      </c>
      <c r="AK228" s="376" t="s">
        <v>180</v>
      </c>
      <c r="AL228" s="376" t="s">
        <v>181</v>
      </c>
      <c r="AM228" s="376" t="s">
        <v>182</v>
      </c>
      <c r="AN228" s="376" t="s">
        <v>68</v>
      </c>
      <c r="AO228" s="379">
        <v>80</v>
      </c>
      <c r="AP228" s="385">
        <v>1</v>
      </c>
      <c r="AQ228" s="385">
        <v>0.65</v>
      </c>
      <c r="AR228" s="383" t="s">
        <v>183</v>
      </c>
      <c r="AS228" s="387">
        <f t="shared" si="159"/>
        <v>0.65</v>
      </c>
      <c r="AT228">
        <f t="shared" si="160"/>
        <v>1</v>
      </c>
      <c r="AU228" s="387">
        <f>IF(AT228=0,"",IF(AND(AT228=1,M228="F",SUMIF(C2:C1334,C228,AS2:AS1334)&lt;=1),SUMIF(C2:C1334,C228,AS2:AS1334),IF(AND(AT228=1,M228="F",SUMIF(C2:C1334,C228,AS2:AS1334)&gt;1),1,"")))</f>
        <v>1</v>
      </c>
      <c r="AV228" s="387" t="str">
        <f>IF(AT228=0,"",IF(AND(AT228=3,M228="F",SUMIF(C2:C1334,C228,AS2:AS1334)&lt;=1),SUMIF(C2:C1334,C228,AS2:AS1334),IF(AND(AT228=3,M228="F",SUMIF(C2:C1334,C228,AS2:AS1334)&gt;1),1,"")))</f>
        <v/>
      </c>
      <c r="AW228" s="387">
        <f>SUMIF(C2:C1334,C228,O2:O1334)</f>
        <v>3</v>
      </c>
      <c r="AX228" s="387">
        <f>IF(AND(M228="F",AS228&lt;&gt;0),SUMIF(C2:C1334,C228,W2:W1334),0)</f>
        <v>49088</v>
      </c>
      <c r="AY228" s="387">
        <f t="shared" si="161"/>
        <v>31907.200000000001</v>
      </c>
      <c r="AZ228" s="387" t="str">
        <f t="shared" si="162"/>
        <v/>
      </c>
      <c r="BA228" s="387">
        <f t="shared" si="163"/>
        <v>0</v>
      </c>
      <c r="BB228" s="387">
        <f t="shared" si="132"/>
        <v>7572.5</v>
      </c>
      <c r="BC228" s="387">
        <f t="shared" si="133"/>
        <v>0</v>
      </c>
      <c r="BD228" s="387">
        <f t="shared" si="134"/>
        <v>1978.2464</v>
      </c>
      <c r="BE228" s="387">
        <f t="shared" si="135"/>
        <v>462.65440000000001</v>
      </c>
      <c r="BF228" s="387">
        <f t="shared" si="136"/>
        <v>3809.7196800000002</v>
      </c>
      <c r="BG228" s="387">
        <f t="shared" si="137"/>
        <v>230.05091200000001</v>
      </c>
      <c r="BH228" s="387">
        <f t="shared" si="138"/>
        <v>156.34528</v>
      </c>
      <c r="BI228" s="387">
        <f t="shared" si="139"/>
        <v>176.60635200000002</v>
      </c>
      <c r="BJ228" s="387">
        <f t="shared" si="140"/>
        <v>86.149440000000013</v>
      </c>
      <c r="BK228" s="387">
        <f t="shared" si="141"/>
        <v>0</v>
      </c>
      <c r="BL228" s="387">
        <f t="shared" si="164"/>
        <v>6899.7724639999997</v>
      </c>
      <c r="BM228" s="387">
        <f t="shared" si="165"/>
        <v>0</v>
      </c>
      <c r="BN228" s="387">
        <f t="shared" si="142"/>
        <v>7572.5</v>
      </c>
      <c r="BO228" s="387">
        <f t="shared" si="143"/>
        <v>0</v>
      </c>
      <c r="BP228" s="387">
        <f t="shared" si="144"/>
        <v>1978.2464</v>
      </c>
      <c r="BQ228" s="387">
        <f t="shared" si="145"/>
        <v>462.65440000000001</v>
      </c>
      <c r="BR228" s="387">
        <f t="shared" si="146"/>
        <v>3809.7196800000002</v>
      </c>
      <c r="BS228" s="387">
        <f t="shared" si="147"/>
        <v>230.05091200000001</v>
      </c>
      <c r="BT228" s="387">
        <f t="shared" si="148"/>
        <v>0</v>
      </c>
      <c r="BU228" s="387">
        <f t="shared" si="149"/>
        <v>176.60635200000002</v>
      </c>
      <c r="BV228" s="387">
        <f t="shared" si="150"/>
        <v>108.48447999999999</v>
      </c>
      <c r="BW228" s="387">
        <f t="shared" si="151"/>
        <v>0</v>
      </c>
      <c r="BX228" s="387">
        <f t="shared" si="166"/>
        <v>6765.7622239999992</v>
      </c>
      <c r="BY228" s="387">
        <f t="shared" si="167"/>
        <v>0</v>
      </c>
      <c r="BZ228" s="387">
        <f t="shared" si="168"/>
        <v>0</v>
      </c>
      <c r="CA228" s="387">
        <f t="shared" si="169"/>
        <v>0</v>
      </c>
      <c r="CB228" s="387">
        <f t="shared" si="170"/>
        <v>0</v>
      </c>
      <c r="CC228" s="387">
        <f t="shared" si="152"/>
        <v>0</v>
      </c>
      <c r="CD228" s="387">
        <f t="shared" si="153"/>
        <v>0</v>
      </c>
      <c r="CE228" s="387">
        <f t="shared" si="154"/>
        <v>0</v>
      </c>
      <c r="CF228" s="387">
        <f t="shared" si="155"/>
        <v>-156.34528</v>
      </c>
      <c r="CG228" s="387">
        <f t="shared" si="156"/>
        <v>0</v>
      </c>
      <c r="CH228" s="387">
        <f t="shared" si="157"/>
        <v>22.335039999999989</v>
      </c>
      <c r="CI228" s="387">
        <f t="shared" si="158"/>
        <v>0</v>
      </c>
      <c r="CJ228" s="387">
        <f t="shared" si="171"/>
        <v>-134.01024000000001</v>
      </c>
      <c r="CK228" s="387" t="str">
        <f t="shared" si="172"/>
        <v/>
      </c>
      <c r="CL228" s="387" t="str">
        <f t="shared" si="173"/>
        <v/>
      </c>
      <c r="CM228" s="387" t="str">
        <f t="shared" si="174"/>
        <v/>
      </c>
      <c r="CN228" s="387" t="str">
        <f t="shared" si="175"/>
        <v>0348-31</v>
      </c>
    </row>
    <row r="229" spans="1:92" ht="15.75" thickBot="1" x14ac:dyDescent="0.3">
      <c r="A229" s="376" t="s">
        <v>161</v>
      </c>
      <c r="B229" s="376" t="s">
        <v>162</v>
      </c>
      <c r="C229" s="376" t="s">
        <v>937</v>
      </c>
      <c r="D229" s="376" t="s">
        <v>270</v>
      </c>
      <c r="E229" s="376" t="s">
        <v>224</v>
      </c>
      <c r="F229" s="382" t="s">
        <v>225</v>
      </c>
      <c r="G229" s="376" t="s">
        <v>781</v>
      </c>
      <c r="H229" s="378"/>
      <c r="I229" s="378"/>
      <c r="J229" s="376" t="s">
        <v>215</v>
      </c>
      <c r="K229" s="376" t="s">
        <v>271</v>
      </c>
      <c r="L229" s="376" t="s">
        <v>217</v>
      </c>
      <c r="M229" s="376" t="s">
        <v>171</v>
      </c>
      <c r="N229" s="376" t="s">
        <v>172</v>
      </c>
      <c r="O229" s="379">
        <v>1</v>
      </c>
      <c r="P229" s="385">
        <v>0</v>
      </c>
      <c r="Q229" s="385">
        <v>0</v>
      </c>
      <c r="R229" s="380">
        <v>80</v>
      </c>
      <c r="S229" s="385">
        <v>0</v>
      </c>
      <c r="T229" s="380">
        <v>34005.61</v>
      </c>
      <c r="U229" s="380">
        <v>0</v>
      </c>
      <c r="V229" s="380">
        <v>18762.86</v>
      </c>
      <c r="W229" s="380">
        <v>0</v>
      </c>
      <c r="X229" s="380">
        <v>0</v>
      </c>
      <c r="Y229" s="380">
        <v>0</v>
      </c>
      <c r="Z229" s="380">
        <v>0</v>
      </c>
      <c r="AA229" s="376" t="s">
        <v>938</v>
      </c>
      <c r="AB229" s="376" t="s">
        <v>939</v>
      </c>
      <c r="AC229" s="376" t="s">
        <v>940</v>
      </c>
      <c r="AD229" s="376" t="s">
        <v>941</v>
      </c>
      <c r="AE229" s="376" t="s">
        <v>271</v>
      </c>
      <c r="AF229" s="376" t="s">
        <v>221</v>
      </c>
      <c r="AG229" s="376" t="s">
        <v>178</v>
      </c>
      <c r="AH229" s="381">
        <v>17.03</v>
      </c>
      <c r="AI229" s="381">
        <v>10056.799999999999</v>
      </c>
      <c r="AJ229" s="376" t="s">
        <v>179</v>
      </c>
      <c r="AK229" s="376" t="s">
        <v>180</v>
      </c>
      <c r="AL229" s="376" t="s">
        <v>181</v>
      </c>
      <c r="AM229" s="376" t="s">
        <v>182</v>
      </c>
      <c r="AN229" s="376" t="s">
        <v>68</v>
      </c>
      <c r="AO229" s="379">
        <v>80</v>
      </c>
      <c r="AP229" s="385">
        <v>1</v>
      </c>
      <c r="AQ229" s="385">
        <v>0</v>
      </c>
      <c r="AR229" s="383" t="s">
        <v>183</v>
      </c>
      <c r="AS229" s="387">
        <f t="shared" si="159"/>
        <v>0</v>
      </c>
      <c r="AT229">
        <f t="shared" si="160"/>
        <v>0</v>
      </c>
      <c r="AU229" s="387" t="str">
        <f>IF(AT229=0,"",IF(AND(AT229=1,M229="F",SUMIF(C2:C1334,C229,AS2:AS1334)&lt;=1),SUMIF(C2:C1334,C229,AS2:AS1334),IF(AND(AT229=1,M229="F",SUMIF(C2:C1334,C229,AS2:AS1334)&gt;1),1,"")))</f>
        <v/>
      </c>
      <c r="AV229" s="387" t="str">
        <f>IF(AT229=0,"",IF(AND(AT229=3,M229="F",SUMIF(C2:C1334,C229,AS2:AS1334)&lt;=1),SUMIF(C2:C1334,C229,AS2:AS1334),IF(AND(AT229=3,M229="F",SUMIF(C2:C1334,C229,AS2:AS1334)&gt;1),1,"")))</f>
        <v/>
      </c>
      <c r="AW229" s="387">
        <f>SUMIF(C2:C1334,C229,O2:O1334)</f>
        <v>2</v>
      </c>
      <c r="AX229" s="387">
        <f>IF(AND(M229="F",AS229&lt;&gt;0),SUMIF(C2:C1334,C229,W2:W1334),0)</f>
        <v>0</v>
      </c>
      <c r="AY229" s="387" t="str">
        <f t="shared" si="161"/>
        <v/>
      </c>
      <c r="AZ229" s="387" t="str">
        <f t="shared" si="162"/>
        <v/>
      </c>
      <c r="BA229" s="387">
        <f t="shared" si="163"/>
        <v>0</v>
      </c>
      <c r="BB229" s="387">
        <f t="shared" si="132"/>
        <v>0</v>
      </c>
      <c r="BC229" s="387">
        <f t="shared" si="133"/>
        <v>0</v>
      </c>
      <c r="BD229" s="387">
        <f t="shared" si="134"/>
        <v>0</v>
      </c>
      <c r="BE229" s="387">
        <f t="shared" si="135"/>
        <v>0</v>
      </c>
      <c r="BF229" s="387">
        <f t="shared" si="136"/>
        <v>0</v>
      </c>
      <c r="BG229" s="387">
        <f t="shared" si="137"/>
        <v>0</v>
      </c>
      <c r="BH229" s="387">
        <f t="shared" si="138"/>
        <v>0</v>
      </c>
      <c r="BI229" s="387">
        <f t="shared" si="139"/>
        <v>0</v>
      </c>
      <c r="BJ229" s="387">
        <f t="shared" si="140"/>
        <v>0</v>
      </c>
      <c r="BK229" s="387">
        <f t="shared" si="141"/>
        <v>0</v>
      </c>
      <c r="BL229" s="387">
        <f t="shared" si="164"/>
        <v>0</v>
      </c>
      <c r="BM229" s="387">
        <f t="shared" si="165"/>
        <v>0</v>
      </c>
      <c r="BN229" s="387">
        <f t="shared" si="142"/>
        <v>0</v>
      </c>
      <c r="BO229" s="387">
        <f t="shared" si="143"/>
        <v>0</v>
      </c>
      <c r="BP229" s="387">
        <f t="shared" si="144"/>
        <v>0</v>
      </c>
      <c r="BQ229" s="387">
        <f t="shared" si="145"/>
        <v>0</v>
      </c>
      <c r="BR229" s="387">
        <f t="shared" si="146"/>
        <v>0</v>
      </c>
      <c r="BS229" s="387">
        <f t="shared" si="147"/>
        <v>0</v>
      </c>
      <c r="BT229" s="387">
        <f t="shared" si="148"/>
        <v>0</v>
      </c>
      <c r="BU229" s="387">
        <f t="shared" si="149"/>
        <v>0</v>
      </c>
      <c r="BV229" s="387">
        <f t="shared" si="150"/>
        <v>0</v>
      </c>
      <c r="BW229" s="387">
        <f t="shared" si="151"/>
        <v>0</v>
      </c>
      <c r="BX229" s="387">
        <f t="shared" si="166"/>
        <v>0</v>
      </c>
      <c r="BY229" s="387">
        <f t="shared" si="167"/>
        <v>0</v>
      </c>
      <c r="BZ229" s="387">
        <f t="shared" si="168"/>
        <v>0</v>
      </c>
      <c r="CA229" s="387">
        <f t="shared" si="169"/>
        <v>0</v>
      </c>
      <c r="CB229" s="387">
        <f t="shared" si="170"/>
        <v>0</v>
      </c>
      <c r="CC229" s="387">
        <f t="shared" si="152"/>
        <v>0</v>
      </c>
      <c r="CD229" s="387">
        <f t="shared" si="153"/>
        <v>0</v>
      </c>
      <c r="CE229" s="387">
        <f t="shared" si="154"/>
        <v>0</v>
      </c>
      <c r="CF229" s="387">
        <f t="shared" si="155"/>
        <v>0</v>
      </c>
      <c r="CG229" s="387">
        <f t="shared" si="156"/>
        <v>0</v>
      </c>
      <c r="CH229" s="387">
        <f t="shared" si="157"/>
        <v>0</v>
      </c>
      <c r="CI229" s="387">
        <f t="shared" si="158"/>
        <v>0</v>
      </c>
      <c r="CJ229" s="387">
        <f t="shared" si="171"/>
        <v>0</v>
      </c>
      <c r="CK229" s="387" t="str">
        <f t="shared" si="172"/>
        <v/>
      </c>
      <c r="CL229" s="387" t="str">
        <f t="shared" si="173"/>
        <v/>
      </c>
      <c r="CM229" s="387" t="str">
        <f t="shared" si="174"/>
        <v/>
      </c>
      <c r="CN229" s="387" t="str">
        <f t="shared" si="175"/>
        <v>0348-31</v>
      </c>
    </row>
    <row r="230" spans="1:92" ht="15.75" thickBot="1" x14ac:dyDescent="0.3">
      <c r="A230" s="376" t="s">
        <v>161</v>
      </c>
      <c r="B230" s="376" t="s">
        <v>162</v>
      </c>
      <c r="C230" s="376" t="s">
        <v>284</v>
      </c>
      <c r="D230" s="376" t="s">
        <v>238</v>
      </c>
      <c r="E230" s="376" t="s">
        <v>224</v>
      </c>
      <c r="F230" s="382" t="s">
        <v>225</v>
      </c>
      <c r="G230" s="376" t="s">
        <v>781</v>
      </c>
      <c r="H230" s="378"/>
      <c r="I230" s="378"/>
      <c r="J230" s="376" t="s">
        <v>215</v>
      </c>
      <c r="K230" s="376" t="s">
        <v>285</v>
      </c>
      <c r="L230" s="376" t="s">
        <v>170</v>
      </c>
      <c r="M230" s="376" t="s">
        <v>272</v>
      </c>
      <c r="N230" s="376" t="s">
        <v>172</v>
      </c>
      <c r="O230" s="379">
        <v>0</v>
      </c>
      <c r="P230" s="385">
        <v>0</v>
      </c>
      <c r="Q230" s="385">
        <v>0</v>
      </c>
      <c r="R230" s="380">
        <v>80</v>
      </c>
      <c r="S230" s="385">
        <v>0</v>
      </c>
      <c r="T230" s="380">
        <v>55464.6</v>
      </c>
      <c r="U230" s="380">
        <v>0</v>
      </c>
      <c r="V230" s="380">
        <v>21429.68</v>
      </c>
      <c r="W230" s="380">
        <v>0</v>
      </c>
      <c r="X230" s="380">
        <v>0</v>
      </c>
      <c r="Y230" s="380">
        <v>0</v>
      </c>
      <c r="Z230" s="380">
        <v>0</v>
      </c>
      <c r="AA230" s="378"/>
      <c r="AB230" s="376" t="s">
        <v>45</v>
      </c>
      <c r="AC230" s="376" t="s">
        <v>45</v>
      </c>
      <c r="AD230" s="378"/>
      <c r="AE230" s="378"/>
      <c r="AF230" s="378"/>
      <c r="AG230" s="378"/>
      <c r="AH230" s="379">
        <v>0</v>
      </c>
      <c r="AI230" s="379">
        <v>0</v>
      </c>
      <c r="AJ230" s="378"/>
      <c r="AK230" s="378"/>
      <c r="AL230" s="376" t="s">
        <v>181</v>
      </c>
      <c r="AM230" s="378"/>
      <c r="AN230" s="378"/>
      <c r="AO230" s="379">
        <v>0</v>
      </c>
      <c r="AP230" s="385">
        <v>0</v>
      </c>
      <c r="AQ230" s="385">
        <v>0</v>
      </c>
      <c r="AR230" s="384"/>
      <c r="AS230" s="387">
        <f t="shared" si="159"/>
        <v>0</v>
      </c>
      <c r="AT230">
        <f t="shared" si="160"/>
        <v>0</v>
      </c>
      <c r="AU230" s="387" t="str">
        <f>IF(AT230=0,"",IF(AND(AT230=1,M230="F",SUMIF(C2:C1334,C230,AS2:AS1334)&lt;=1),SUMIF(C2:C1334,C230,AS2:AS1334),IF(AND(AT230=1,M230="F",SUMIF(C2:C1334,C230,AS2:AS1334)&gt;1),1,"")))</f>
        <v/>
      </c>
      <c r="AV230" s="387" t="str">
        <f>IF(AT230=0,"",IF(AND(AT230=3,M230="F",SUMIF(C2:C1334,C230,AS2:AS1334)&lt;=1),SUMIF(C2:C1334,C230,AS2:AS1334),IF(AND(AT230=3,M230="F",SUMIF(C2:C1334,C230,AS2:AS1334)&gt;1),1,"")))</f>
        <v/>
      </c>
      <c r="AW230" s="387">
        <f>SUMIF(C2:C1334,C230,O2:O1334)</f>
        <v>0</v>
      </c>
      <c r="AX230" s="387">
        <f>IF(AND(M230="F",AS230&lt;&gt;0),SUMIF(C2:C1334,C230,W2:W1334),0)</f>
        <v>0</v>
      </c>
      <c r="AY230" s="387" t="str">
        <f t="shared" si="161"/>
        <v/>
      </c>
      <c r="AZ230" s="387" t="str">
        <f t="shared" si="162"/>
        <v/>
      </c>
      <c r="BA230" s="387">
        <f t="shared" si="163"/>
        <v>0</v>
      </c>
      <c r="BB230" s="387">
        <f t="shared" si="132"/>
        <v>0</v>
      </c>
      <c r="BC230" s="387">
        <f t="shared" si="133"/>
        <v>0</v>
      </c>
      <c r="BD230" s="387">
        <f t="shared" si="134"/>
        <v>0</v>
      </c>
      <c r="BE230" s="387">
        <f t="shared" si="135"/>
        <v>0</v>
      </c>
      <c r="BF230" s="387">
        <f t="shared" si="136"/>
        <v>0</v>
      </c>
      <c r="BG230" s="387">
        <f t="shared" si="137"/>
        <v>0</v>
      </c>
      <c r="BH230" s="387">
        <f t="shared" si="138"/>
        <v>0</v>
      </c>
      <c r="BI230" s="387">
        <f t="shared" si="139"/>
        <v>0</v>
      </c>
      <c r="BJ230" s="387">
        <f t="shared" si="140"/>
        <v>0</v>
      </c>
      <c r="BK230" s="387">
        <f t="shared" si="141"/>
        <v>0</v>
      </c>
      <c r="BL230" s="387">
        <f t="shared" si="164"/>
        <v>0</v>
      </c>
      <c r="BM230" s="387">
        <f t="shared" si="165"/>
        <v>0</v>
      </c>
      <c r="BN230" s="387">
        <f t="shared" si="142"/>
        <v>0</v>
      </c>
      <c r="BO230" s="387">
        <f t="shared" si="143"/>
        <v>0</v>
      </c>
      <c r="BP230" s="387">
        <f t="shared" si="144"/>
        <v>0</v>
      </c>
      <c r="BQ230" s="387">
        <f t="shared" si="145"/>
        <v>0</v>
      </c>
      <c r="BR230" s="387">
        <f t="shared" si="146"/>
        <v>0</v>
      </c>
      <c r="BS230" s="387">
        <f t="shared" si="147"/>
        <v>0</v>
      </c>
      <c r="BT230" s="387">
        <f t="shared" si="148"/>
        <v>0</v>
      </c>
      <c r="BU230" s="387">
        <f t="shared" si="149"/>
        <v>0</v>
      </c>
      <c r="BV230" s="387">
        <f t="shared" si="150"/>
        <v>0</v>
      </c>
      <c r="BW230" s="387">
        <f t="shared" si="151"/>
        <v>0</v>
      </c>
      <c r="BX230" s="387">
        <f t="shared" si="166"/>
        <v>0</v>
      </c>
      <c r="BY230" s="387">
        <f t="shared" si="167"/>
        <v>0</v>
      </c>
      <c r="BZ230" s="387">
        <f t="shared" si="168"/>
        <v>0</v>
      </c>
      <c r="CA230" s="387">
        <f t="shared" si="169"/>
        <v>0</v>
      </c>
      <c r="CB230" s="387">
        <f t="shared" si="170"/>
        <v>0</v>
      </c>
      <c r="CC230" s="387">
        <f t="shared" si="152"/>
        <v>0</v>
      </c>
      <c r="CD230" s="387">
        <f t="shared" si="153"/>
        <v>0</v>
      </c>
      <c r="CE230" s="387">
        <f t="shared" si="154"/>
        <v>0</v>
      </c>
      <c r="CF230" s="387">
        <f t="shared" si="155"/>
        <v>0</v>
      </c>
      <c r="CG230" s="387">
        <f t="shared" si="156"/>
        <v>0</v>
      </c>
      <c r="CH230" s="387">
        <f t="shared" si="157"/>
        <v>0</v>
      </c>
      <c r="CI230" s="387">
        <f t="shared" si="158"/>
        <v>0</v>
      </c>
      <c r="CJ230" s="387">
        <f t="shared" si="171"/>
        <v>0</v>
      </c>
      <c r="CK230" s="387" t="str">
        <f t="shared" si="172"/>
        <v/>
      </c>
      <c r="CL230" s="387" t="str">
        <f t="shared" si="173"/>
        <v/>
      </c>
      <c r="CM230" s="387" t="str">
        <f t="shared" si="174"/>
        <v/>
      </c>
      <c r="CN230" s="387" t="str">
        <f t="shared" si="175"/>
        <v>0348-31</v>
      </c>
    </row>
    <row r="231" spans="1:92" ht="15.75" thickBot="1" x14ac:dyDescent="0.3">
      <c r="A231" s="376" t="s">
        <v>161</v>
      </c>
      <c r="B231" s="376" t="s">
        <v>162</v>
      </c>
      <c r="C231" s="376" t="s">
        <v>942</v>
      </c>
      <c r="D231" s="376" t="s">
        <v>247</v>
      </c>
      <c r="E231" s="376" t="s">
        <v>224</v>
      </c>
      <c r="F231" s="382" t="s">
        <v>225</v>
      </c>
      <c r="G231" s="376" t="s">
        <v>781</v>
      </c>
      <c r="H231" s="378"/>
      <c r="I231" s="378"/>
      <c r="J231" s="376" t="s">
        <v>215</v>
      </c>
      <c r="K231" s="376" t="s">
        <v>248</v>
      </c>
      <c r="L231" s="376" t="s">
        <v>178</v>
      </c>
      <c r="M231" s="376" t="s">
        <v>171</v>
      </c>
      <c r="N231" s="376" t="s">
        <v>877</v>
      </c>
      <c r="O231" s="379">
        <v>1</v>
      </c>
      <c r="P231" s="385">
        <v>0</v>
      </c>
      <c r="Q231" s="385">
        <v>0</v>
      </c>
      <c r="R231" s="380">
        <v>80</v>
      </c>
      <c r="S231" s="385">
        <v>0</v>
      </c>
      <c r="T231" s="380">
        <v>31200</v>
      </c>
      <c r="U231" s="380">
        <v>0</v>
      </c>
      <c r="V231" s="380">
        <v>17959.25</v>
      </c>
      <c r="W231" s="380">
        <v>0</v>
      </c>
      <c r="X231" s="380">
        <v>0</v>
      </c>
      <c r="Y231" s="380">
        <v>0</v>
      </c>
      <c r="Z231" s="380">
        <v>0</v>
      </c>
      <c r="AA231" s="376" t="s">
        <v>943</v>
      </c>
      <c r="AB231" s="376" t="s">
        <v>944</v>
      </c>
      <c r="AC231" s="376" t="s">
        <v>945</v>
      </c>
      <c r="AD231" s="376" t="s">
        <v>946</v>
      </c>
      <c r="AE231" s="376" t="s">
        <v>248</v>
      </c>
      <c r="AF231" s="376" t="s">
        <v>253</v>
      </c>
      <c r="AG231" s="376" t="s">
        <v>178</v>
      </c>
      <c r="AH231" s="379">
        <v>15</v>
      </c>
      <c r="AI231" s="381">
        <v>16276.6</v>
      </c>
      <c r="AJ231" s="376" t="s">
        <v>179</v>
      </c>
      <c r="AK231" s="376" t="s">
        <v>180</v>
      </c>
      <c r="AL231" s="376" t="s">
        <v>181</v>
      </c>
      <c r="AM231" s="376" t="s">
        <v>182</v>
      </c>
      <c r="AN231" s="376" t="s">
        <v>68</v>
      </c>
      <c r="AO231" s="379">
        <v>80</v>
      </c>
      <c r="AP231" s="385">
        <v>1</v>
      </c>
      <c r="AQ231" s="385">
        <v>0</v>
      </c>
      <c r="AR231" s="383" t="s">
        <v>183</v>
      </c>
      <c r="AS231" s="387">
        <f t="shared" si="159"/>
        <v>0</v>
      </c>
      <c r="AT231">
        <f t="shared" si="160"/>
        <v>0</v>
      </c>
      <c r="AU231" s="387" t="str">
        <f>IF(AT231=0,"",IF(AND(AT231=1,M231="F",SUMIF(C2:C1334,C231,AS2:AS1334)&lt;=1),SUMIF(C2:C1334,C231,AS2:AS1334),IF(AND(AT231=1,M231="F",SUMIF(C2:C1334,C231,AS2:AS1334)&gt;1),1,"")))</f>
        <v/>
      </c>
      <c r="AV231" s="387" t="str">
        <f>IF(AT231=0,"",IF(AND(AT231=3,M231="F",SUMIF(C2:C1334,C231,AS2:AS1334)&lt;=1),SUMIF(C2:C1334,C231,AS2:AS1334),IF(AND(AT231=3,M231="F",SUMIF(C2:C1334,C231,AS2:AS1334)&gt;1),1,"")))</f>
        <v/>
      </c>
      <c r="AW231" s="387">
        <f>SUMIF(C2:C1334,C231,O2:O1334)</f>
        <v>2</v>
      </c>
      <c r="AX231" s="387">
        <f>IF(AND(M231="F",AS231&lt;&gt;0),SUMIF(C2:C1334,C231,W2:W1334),0)</f>
        <v>0</v>
      </c>
      <c r="AY231" s="387" t="str">
        <f t="shared" si="161"/>
        <v/>
      </c>
      <c r="AZ231" s="387" t="str">
        <f t="shared" si="162"/>
        <v/>
      </c>
      <c r="BA231" s="387">
        <f t="shared" si="163"/>
        <v>0</v>
      </c>
      <c r="BB231" s="387">
        <f t="shared" si="132"/>
        <v>0</v>
      </c>
      <c r="BC231" s="387">
        <f t="shared" si="133"/>
        <v>0</v>
      </c>
      <c r="BD231" s="387">
        <f t="shared" si="134"/>
        <v>0</v>
      </c>
      <c r="BE231" s="387">
        <f t="shared" si="135"/>
        <v>0</v>
      </c>
      <c r="BF231" s="387">
        <f t="shared" si="136"/>
        <v>0</v>
      </c>
      <c r="BG231" s="387">
        <f t="shared" si="137"/>
        <v>0</v>
      </c>
      <c r="BH231" s="387">
        <f t="shared" si="138"/>
        <v>0</v>
      </c>
      <c r="BI231" s="387">
        <f t="shared" si="139"/>
        <v>0</v>
      </c>
      <c r="BJ231" s="387">
        <f t="shared" si="140"/>
        <v>0</v>
      </c>
      <c r="BK231" s="387">
        <f t="shared" si="141"/>
        <v>0</v>
      </c>
      <c r="BL231" s="387">
        <f t="shared" si="164"/>
        <v>0</v>
      </c>
      <c r="BM231" s="387">
        <f t="shared" si="165"/>
        <v>0</v>
      </c>
      <c r="BN231" s="387">
        <f t="shared" si="142"/>
        <v>0</v>
      </c>
      <c r="BO231" s="387">
        <f t="shared" si="143"/>
        <v>0</v>
      </c>
      <c r="BP231" s="387">
        <f t="shared" si="144"/>
        <v>0</v>
      </c>
      <c r="BQ231" s="387">
        <f t="shared" si="145"/>
        <v>0</v>
      </c>
      <c r="BR231" s="387">
        <f t="shared" si="146"/>
        <v>0</v>
      </c>
      <c r="BS231" s="387">
        <f t="shared" si="147"/>
        <v>0</v>
      </c>
      <c r="BT231" s="387">
        <f t="shared" si="148"/>
        <v>0</v>
      </c>
      <c r="BU231" s="387">
        <f t="shared" si="149"/>
        <v>0</v>
      </c>
      <c r="BV231" s="387">
        <f t="shared" si="150"/>
        <v>0</v>
      </c>
      <c r="BW231" s="387">
        <f t="shared" si="151"/>
        <v>0</v>
      </c>
      <c r="BX231" s="387">
        <f t="shared" si="166"/>
        <v>0</v>
      </c>
      <c r="BY231" s="387">
        <f t="shared" si="167"/>
        <v>0</v>
      </c>
      <c r="BZ231" s="387">
        <f t="shared" si="168"/>
        <v>0</v>
      </c>
      <c r="CA231" s="387">
        <f t="shared" si="169"/>
        <v>0</v>
      </c>
      <c r="CB231" s="387">
        <f t="shared" si="170"/>
        <v>0</v>
      </c>
      <c r="CC231" s="387">
        <f t="shared" si="152"/>
        <v>0</v>
      </c>
      <c r="CD231" s="387">
        <f t="shared" si="153"/>
        <v>0</v>
      </c>
      <c r="CE231" s="387">
        <f t="shared" si="154"/>
        <v>0</v>
      </c>
      <c r="CF231" s="387">
        <f t="shared" si="155"/>
        <v>0</v>
      </c>
      <c r="CG231" s="387">
        <f t="shared" si="156"/>
        <v>0</v>
      </c>
      <c r="CH231" s="387">
        <f t="shared" si="157"/>
        <v>0</v>
      </c>
      <c r="CI231" s="387">
        <f t="shared" si="158"/>
        <v>0</v>
      </c>
      <c r="CJ231" s="387">
        <f t="shared" si="171"/>
        <v>0</v>
      </c>
      <c r="CK231" s="387" t="str">
        <f t="shared" si="172"/>
        <v/>
      </c>
      <c r="CL231" s="387" t="str">
        <f t="shared" si="173"/>
        <v/>
      </c>
      <c r="CM231" s="387" t="str">
        <f t="shared" si="174"/>
        <v/>
      </c>
      <c r="CN231" s="387" t="str">
        <f t="shared" si="175"/>
        <v>0348-31</v>
      </c>
    </row>
    <row r="232" spans="1:92" ht="15.75" thickBot="1" x14ac:dyDescent="0.3">
      <c r="A232" s="376" t="s">
        <v>161</v>
      </c>
      <c r="B232" s="376" t="s">
        <v>162</v>
      </c>
      <c r="C232" s="376" t="s">
        <v>813</v>
      </c>
      <c r="D232" s="376" t="s">
        <v>263</v>
      </c>
      <c r="E232" s="376" t="s">
        <v>224</v>
      </c>
      <c r="F232" s="382" t="s">
        <v>225</v>
      </c>
      <c r="G232" s="376" t="s">
        <v>781</v>
      </c>
      <c r="H232" s="378"/>
      <c r="I232" s="378"/>
      <c r="J232" s="376" t="s">
        <v>239</v>
      </c>
      <c r="K232" s="376" t="s">
        <v>264</v>
      </c>
      <c r="L232" s="376" t="s">
        <v>210</v>
      </c>
      <c r="M232" s="376" t="s">
        <v>171</v>
      </c>
      <c r="N232" s="376" t="s">
        <v>172</v>
      </c>
      <c r="O232" s="379">
        <v>1</v>
      </c>
      <c r="P232" s="385">
        <v>0.15</v>
      </c>
      <c r="Q232" s="385">
        <v>0.15</v>
      </c>
      <c r="R232" s="380">
        <v>80</v>
      </c>
      <c r="S232" s="385">
        <v>0.15</v>
      </c>
      <c r="T232" s="380">
        <v>11882.79</v>
      </c>
      <c r="U232" s="380">
        <v>0</v>
      </c>
      <c r="V232" s="380">
        <v>4525.88</v>
      </c>
      <c r="W232" s="380">
        <v>9634.56</v>
      </c>
      <c r="X232" s="380">
        <v>3830.96</v>
      </c>
      <c r="Y232" s="380">
        <v>9634.56</v>
      </c>
      <c r="Z232" s="380">
        <v>3790.5</v>
      </c>
      <c r="AA232" s="376" t="s">
        <v>814</v>
      </c>
      <c r="AB232" s="376" t="s">
        <v>815</v>
      </c>
      <c r="AC232" s="376" t="s">
        <v>816</v>
      </c>
      <c r="AD232" s="376" t="s">
        <v>170</v>
      </c>
      <c r="AE232" s="376" t="s">
        <v>264</v>
      </c>
      <c r="AF232" s="376" t="s">
        <v>245</v>
      </c>
      <c r="AG232" s="376" t="s">
        <v>178</v>
      </c>
      <c r="AH232" s="381">
        <v>30.88</v>
      </c>
      <c r="AI232" s="381">
        <v>52794.8</v>
      </c>
      <c r="AJ232" s="376" t="s">
        <v>179</v>
      </c>
      <c r="AK232" s="376" t="s">
        <v>180</v>
      </c>
      <c r="AL232" s="376" t="s">
        <v>181</v>
      </c>
      <c r="AM232" s="376" t="s">
        <v>182</v>
      </c>
      <c r="AN232" s="376" t="s">
        <v>68</v>
      </c>
      <c r="AO232" s="379">
        <v>80</v>
      </c>
      <c r="AP232" s="385">
        <v>1</v>
      </c>
      <c r="AQ232" s="385">
        <v>0.15</v>
      </c>
      <c r="AR232" s="383" t="s">
        <v>183</v>
      </c>
      <c r="AS232" s="387">
        <f t="shared" si="159"/>
        <v>0.15</v>
      </c>
      <c r="AT232">
        <f t="shared" si="160"/>
        <v>1</v>
      </c>
      <c r="AU232" s="387">
        <f>IF(AT232=0,"",IF(AND(AT232=1,M232="F",SUMIF(C2:C1334,C232,AS2:AS1334)&lt;=1),SUMIF(C2:C1334,C232,AS2:AS1334),IF(AND(AT232=1,M232="F",SUMIF(C2:C1334,C232,AS2:AS1334)&gt;1),1,"")))</f>
        <v>1</v>
      </c>
      <c r="AV232" s="387" t="str">
        <f>IF(AT232=0,"",IF(AND(AT232=3,M232="F",SUMIF(C2:C1334,C232,AS2:AS1334)&lt;=1),SUMIF(C2:C1334,C232,AS2:AS1334),IF(AND(AT232=3,M232="F",SUMIF(C2:C1334,C232,AS2:AS1334)&gt;1),1,"")))</f>
        <v/>
      </c>
      <c r="AW232" s="387">
        <f>SUMIF(C2:C1334,C232,O2:O1334)</f>
        <v>3</v>
      </c>
      <c r="AX232" s="387">
        <f>IF(AND(M232="F",AS232&lt;&gt;0),SUMIF(C2:C1334,C232,W2:W1334),0)</f>
        <v>64230.399999999994</v>
      </c>
      <c r="AY232" s="387">
        <f t="shared" si="161"/>
        <v>9634.56</v>
      </c>
      <c r="AZ232" s="387" t="str">
        <f t="shared" si="162"/>
        <v/>
      </c>
      <c r="BA232" s="387">
        <f t="shared" si="163"/>
        <v>0</v>
      </c>
      <c r="BB232" s="387">
        <f t="shared" si="132"/>
        <v>1747.5</v>
      </c>
      <c r="BC232" s="387">
        <f t="shared" si="133"/>
        <v>0</v>
      </c>
      <c r="BD232" s="387">
        <f t="shared" si="134"/>
        <v>597.34271999999999</v>
      </c>
      <c r="BE232" s="387">
        <f t="shared" si="135"/>
        <v>139.70112</v>
      </c>
      <c r="BF232" s="387">
        <f t="shared" si="136"/>
        <v>1150.366464</v>
      </c>
      <c r="BG232" s="387">
        <f t="shared" si="137"/>
        <v>69.465177600000004</v>
      </c>
      <c r="BH232" s="387">
        <f t="shared" si="138"/>
        <v>47.209343999999994</v>
      </c>
      <c r="BI232" s="387">
        <f t="shared" si="139"/>
        <v>53.3272896</v>
      </c>
      <c r="BJ232" s="387">
        <f t="shared" si="140"/>
        <v>26.013311999999999</v>
      </c>
      <c r="BK232" s="387">
        <f t="shared" si="141"/>
        <v>0</v>
      </c>
      <c r="BL232" s="387">
        <f t="shared" si="164"/>
        <v>2083.4254272000003</v>
      </c>
      <c r="BM232" s="387">
        <f t="shared" si="165"/>
        <v>0</v>
      </c>
      <c r="BN232" s="387">
        <f t="shared" si="142"/>
        <v>1747.5</v>
      </c>
      <c r="BO232" s="387">
        <f t="shared" si="143"/>
        <v>0</v>
      </c>
      <c r="BP232" s="387">
        <f t="shared" si="144"/>
        <v>597.34271999999999</v>
      </c>
      <c r="BQ232" s="387">
        <f t="shared" si="145"/>
        <v>139.70112</v>
      </c>
      <c r="BR232" s="387">
        <f t="shared" si="146"/>
        <v>1150.366464</v>
      </c>
      <c r="BS232" s="387">
        <f t="shared" si="147"/>
        <v>69.465177600000004</v>
      </c>
      <c r="BT232" s="387">
        <f t="shared" si="148"/>
        <v>0</v>
      </c>
      <c r="BU232" s="387">
        <f t="shared" si="149"/>
        <v>53.3272896</v>
      </c>
      <c r="BV232" s="387">
        <f t="shared" si="150"/>
        <v>32.757503999999997</v>
      </c>
      <c r="BW232" s="387">
        <f t="shared" si="151"/>
        <v>0</v>
      </c>
      <c r="BX232" s="387">
        <f t="shared" si="166"/>
        <v>2042.9602752000001</v>
      </c>
      <c r="BY232" s="387">
        <f t="shared" si="167"/>
        <v>0</v>
      </c>
      <c r="BZ232" s="387">
        <f t="shared" si="168"/>
        <v>0</v>
      </c>
      <c r="CA232" s="387">
        <f t="shared" si="169"/>
        <v>0</v>
      </c>
      <c r="CB232" s="387">
        <f t="shared" si="170"/>
        <v>0</v>
      </c>
      <c r="CC232" s="387">
        <f t="shared" si="152"/>
        <v>0</v>
      </c>
      <c r="CD232" s="387">
        <f t="shared" si="153"/>
        <v>0</v>
      </c>
      <c r="CE232" s="387">
        <f t="shared" si="154"/>
        <v>0</v>
      </c>
      <c r="CF232" s="387">
        <f t="shared" si="155"/>
        <v>-47.209343999999994</v>
      </c>
      <c r="CG232" s="387">
        <f t="shared" si="156"/>
        <v>0</v>
      </c>
      <c r="CH232" s="387">
        <f t="shared" si="157"/>
        <v>6.7441919999999964</v>
      </c>
      <c r="CI232" s="387">
        <f t="shared" si="158"/>
        <v>0</v>
      </c>
      <c r="CJ232" s="387">
        <f t="shared" si="171"/>
        <v>-40.465151999999996</v>
      </c>
      <c r="CK232" s="387" t="str">
        <f t="shared" si="172"/>
        <v/>
      </c>
      <c r="CL232" s="387" t="str">
        <f t="shared" si="173"/>
        <v/>
      </c>
      <c r="CM232" s="387" t="str">
        <f t="shared" si="174"/>
        <v/>
      </c>
      <c r="CN232" s="387" t="str">
        <f t="shared" si="175"/>
        <v>0348-31</v>
      </c>
    </row>
    <row r="233" spans="1:92" ht="15.75" thickBot="1" x14ac:dyDescent="0.3">
      <c r="A233" s="376" t="s">
        <v>161</v>
      </c>
      <c r="B233" s="376" t="s">
        <v>162</v>
      </c>
      <c r="C233" s="376" t="s">
        <v>947</v>
      </c>
      <c r="D233" s="376" t="s">
        <v>792</v>
      </c>
      <c r="E233" s="376" t="s">
        <v>224</v>
      </c>
      <c r="F233" s="382" t="s">
        <v>225</v>
      </c>
      <c r="G233" s="376" t="s">
        <v>781</v>
      </c>
      <c r="H233" s="378"/>
      <c r="I233" s="378"/>
      <c r="J233" s="376" t="s">
        <v>239</v>
      </c>
      <c r="K233" s="376" t="s">
        <v>793</v>
      </c>
      <c r="L233" s="376" t="s">
        <v>170</v>
      </c>
      <c r="M233" s="376" t="s">
        <v>171</v>
      </c>
      <c r="N233" s="376" t="s">
        <v>172</v>
      </c>
      <c r="O233" s="379">
        <v>1</v>
      </c>
      <c r="P233" s="385">
        <v>0.3</v>
      </c>
      <c r="Q233" s="385">
        <v>0.3</v>
      </c>
      <c r="R233" s="380">
        <v>80</v>
      </c>
      <c r="S233" s="385">
        <v>0.3</v>
      </c>
      <c r="T233" s="380">
        <v>17975.93</v>
      </c>
      <c r="U233" s="380">
        <v>0</v>
      </c>
      <c r="V233" s="380">
        <v>7041.35</v>
      </c>
      <c r="W233" s="380">
        <v>18470.400000000001</v>
      </c>
      <c r="X233" s="380">
        <v>7489.21</v>
      </c>
      <c r="Y233" s="380">
        <v>18470.400000000001</v>
      </c>
      <c r="Z233" s="380">
        <v>7411.63</v>
      </c>
      <c r="AA233" s="376" t="s">
        <v>948</v>
      </c>
      <c r="AB233" s="376" t="s">
        <v>949</v>
      </c>
      <c r="AC233" s="376" t="s">
        <v>950</v>
      </c>
      <c r="AD233" s="376" t="s">
        <v>180</v>
      </c>
      <c r="AE233" s="376" t="s">
        <v>793</v>
      </c>
      <c r="AF233" s="376" t="s">
        <v>177</v>
      </c>
      <c r="AG233" s="376" t="s">
        <v>178</v>
      </c>
      <c r="AH233" s="381">
        <v>29.6</v>
      </c>
      <c r="AI233" s="379">
        <v>44811</v>
      </c>
      <c r="AJ233" s="376" t="s">
        <v>179</v>
      </c>
      <c r="AK233" s="376" t="s">
        <v>180</v>
      </c>
      <c r="AL233" s="376" t="s">
        <v>181</v>
      </c>
      <c r="AM233" s="376" t="s">
        <v>182</v>
      </c>
      <c r="AN233" s="376" t="s">
        <v>68</v>
      </c>
      <c r="AO233" s="379">
        <v>80</v>
      </c>
      <c r="AP233" s="385">
        <v>1</v>
      </c>
      <c r="AQ233" s="385">
        <v>0.3</v>
      </c>
      <c r="AR233" s="383" t="s">
        <v>183</v>
      </c>
      <c r="AS233" s="387">
        <f t="shared" si="159"/>
        <v>0.3</v>
      </c>
      <c r="AT233">
        <f t="shared" si="160"/>
        <v>1</v>
      </c>
      <c r="AU233" s="387">
        <f>IF(AT233=0,"",IF(AND(AT233=1,M233="F",SUMIF(C2:C1334,C233,AS2:AS1334)&lt;=1),SUMIF(C2:C1334,C233,AS2:AS1334),IF(AND(AT233=1,M233="F",SUMIF(C2:C1334,C233,AS2:AS1334)&gt;1),1,"")))</f>
        <v>1</v>
      </c>
      <c r="AV233" s="387" t="str">
        <f>IF(AT233=0,"",IF(AND(AT233=3,M233="F",SUMIF(C2:C1334,C233,AS2:AS1334)&lt;=1),SUMIF(C2:C1334,C233,AS2:AS1334),IF(AND(AT233=3,M233="F",SUMIF(C2:C1334,C233,AS2:AS1334)&gt;1),1,"")))</f>
        <v/>
      </c>
      <c r="AW233" s="387">
        <f>SUMIF(C2:C1334,C233,O2:O1334)</f>
        <v>3</v>
      </c>
      <c r="AX233" s="387">
        <f>IF(AND(M233="F",AS233&lt;&gt;0),SUMIF(C2:C1334,C233,W2:W1334),0)</f>
        <v>61568</v>
      </c>
      <c r="AY233" s="387">
        <f t="shared" si="161"/>
        <v>18470.400000000001</v>
      </c>
      <c r="AZ233" s="387" t="str">
        <f t="shared" si="162"/>
        <v/>
      </c>
      <c r="BA233" s="387">
        <f t="shared" si="163"/>
        <v>0</v>
      </c>
      <c r="BB233" s="387">
        <f t="shared" si="132"/>
        <v>3495</v>
      </c>
      <c r="BC233" s="387">
        <f t="shared" si="133"/>
        <v>0</v>
      </c>
      <c r="BD233" s="387">
        <f t="shared" si="134"/>
        <v>1145.1648</v>
      </c>
      <c r="BE233" s="387">
        <f t="shared" si="135"/>
        <v>267.82080000000002</v>
      </c>
      <c r="BF233" s="387">
        <f t="shared" si="136"/>
        <v>2205.3657600000001</v>
      </c>
      <c r="BG233" s="387">
        <f t="shared" si="137"/>
        <v>133.17158400000002</v>
      </c>
      <c r="BH233" s="387">
        <f t="shared" si="138"/>
        <v>90.504960000000011</v>
      </c>
      <c r="BI233" s="387">
        <f t="shared" si="139"/>
        <v>102.233664</v>
      </c>
      <c r="BJ233" s="387">
        <f t="shared" si="140"/>
        <v>49.870080000000009</v>
      </c>
      <c r="BK233" s="387">
        <f t="shared" si="141"/>
        <v>0</v>
      </c>
      <c r="BL233" s="387">
        <f t="shared" si="164"/>
        <v>3994.1316480000005</v>
      </c>
      <c r="BM233" s="387">
        <f t="shared" si="165"/>
        <v>0</v>
      </c>
      <c r="BN233" s="387">
        <f t="shared" si="142"/>
        <v>3495</v>
      </c>
      <c r="BO233" s="387">
        <f t="shared" si="143"/>
        <v>0</v>
      </c>
      <c r="BP233" s="387">
        <f t="shared" si="144"/>
        <v>1145.1648</v>
      </c>
      <c r="BQ233" s="387">
        <f t="shared" si="145"/>
        <v>267.82080000000002</v>
      </c>
      <c r="BR233" s="387">
        <f t="shared" si="146"/>
        <v>2205.3657600000001</v>
      </c>
      <c r="BS233" s="387">
        <f t="shared" si="147"/>
        <v>133.17158400000002</v>
      </c>
      <c r="BT233" s="387">
        <f t="shared" si="148"/>
        <v>0</v>
      </c>
      <c r="BU233" s="387">
        <f t="shared" si="149"/>
        <v>102.233664</v>
      </c>
      <c r="BV233" s="387">
        <f t="shared" si="150"/>
        <v>62.79936</v>
      </c>
      <c r="BW233" s="387">
        <f t="shared" si="151"/>
        <v>0</v>
      </c>
      <c r="BX233" s="387">
        <f t="shared" si="166"/>
        <v>3916.5559680000001</v>
      </c>
      <c r="BY233" s="387">
        <f t="shared" si="167"/>
        <v>0</v>
      </c>
      <c r="BZ233" s="387">
        <f t="shared" si="168"/>
        <v>0</v>
      </c>
      <c r="CA233" s="387">
        <f t="shared" si="169"/>
        <v>0</v>
      </c>
      <c r="CB233" s="387">
        <f t="shared" si="170"/>
        <v>0</v>
      </c>
      <c r="CC233" s="387">
        <f t="shared" si="152"/>
        <v>0</v>
      </c>
      <c r="CD233" s="387">
        <f t="shared" si="153"/>
        <v>0</v>
      </c>
      <c r="CE233" s="387">
        <f t="shared" si="154"/>
        <v>0</v>
      </c>
      <c r="CF233" s="387">
        <f t="shared" si="155"/>
        <v>-90.504960000000011</v>
      </c>
      <c r="CG233" s="387">
        <f t="shared" si="156"/>
        <v>0</v>
      </c>
      <c r="CH233" s="387">
        <f t="shared" si="157"/>
        <v>12.929279999999995</v>
      </c>
      <c r="CI233" s="387">
        <f t="shared" si="158"/>
        <v>0</v>
      </c>
      <c r="CJ233" s="387">
        <f t="shared" si="171"/>
        <v>-77.57568000000002</v>
      </c>
      <c r="CK233" s="387" t="str">
        <f t="shared" si="172"/>
        <v/>
      </c>
      <c r="CL233" s="387" t="str">
        <f t="shared" si="173"/>
        <v/>
      </c>
      <c r="CM233" s="387" t="str">
        <f t="shared" si="174"/>
        <v/>
      </c>
      <c r="CN233" s="387" t="str">
        <f t="shared" si="175"/>
        <v>0348-31</v>
      </c>
    </row>
    <row r="234" spans="1:92" ht="15.75" thickBot="1" x14ac:dyDescent="0.3">
      <c r="A234" s="376" t="s">
        <v>161</v>
      </c>
      <c r="B234" s="376" t="s">
        <v>162</v>
      </c>
      <c r="C234" s="376" t="s">
        <v>951</v>
      </c>
      <c r="D234" s="376" t="s">
        <v>868</v>
      </c>
      <c r="E234" s="376" t="s">
        <v>224</v>
      </c>
      <c r="F234" s="382" t="s">
        <v>225</v>
      </c>
      <c r="G234" s="376" t="s">
        <v>781</v>
      </c>
      <c r="H234" s="378"/>
      <c r="I234" s="378"/>
      <c r="J234" s="376" t="s">
        <v>215</v>
      </c>
      <c r="K234" s="376" t="s">
        <v>894</v>
      </c>
      <c r="L234" s="376" t="s">
        <v>170</v>
      </c>
      <c r="M234" s="376" t="s">
        <v>272</v>
      </c>
      <c r="N234" s="376" t="s">
        <v>172</v>
      </c>
      <c r="O234" s="379">
        <v>0</v>
      </c>
      <c r="P234" s="385">
        <v>0</v>
      </c>
      <c r="Q234" s="385">
        <v>0</v>
      </c>
      <c r="R234" s="380">
        <v>80</v>
      </c>
      <c r="S234" s="385">
        <v>0</v>
      </c>
      <c r="T234" s="380">
        <v>23438.42</v>
      </c>
      <c r="U234" s="380">
        <v>1172.33</v>
      </c>
      <c r="V234" s="380">
        <v>9936.48</v>
      </c>
      <c r="W234" s="380">
        <v>0</v>
      </c>
      <c r="X234" s="380">
        <v>0</v>
      </c>
      <c r="Y234" s="380">
        <v>0</v>
      </c>
      <c r="Z234" s="380">
        <v>0</v>
      </c>
      <c r="AA234" s="378"/>
      <c r="AB234" s="376" t="s">
        <v>45</v>
      </c>
      <c r="AC234" s="376" t="s">
        <v>45</v>
      </c>
      <c r="AD234" s="378"/>
      <c r="AE234" s="378"/>
      <c r="AF234" s="378"/>
      <c r="AG234" s="378"/>
      <c r="AH234" s="379">
        <v>0</v>
      </c>
      <c r="AI234" s="379">
        <v>0</v>
      </c>
      <c r="AJ234" s="378"/>
      <c r="AK234" s="378"/>
      <c r="AL234" s="376" t="s">
        <v>181</v>
      </c>
      <c r="AM234" s="378"/>
      <c r="AN234" s="378"/>
      <c r="AO234" s="379">
        <v>0</v>
      </c>
      <c r="AP234" s="385">
        <v>0</v>
      </c>
      <c r="AQ234" s="385">
        <v>0</v>
      </c>
      <c r="AR234" s="384"/>
      <c r="AS234" s="387">
        <f t="shared" si="159"/>
        <v>0</v>
      </c>
      <c r="AT234">
        <f t="shared" si="160"/>
        <v>0</v>
      </c>
      <c r="AU234" s="387" t="str">
        <f>IF(AT234=0,"",IF(AND(AT234=1,M234="F",SUMIF(C2:C1334,C234,AS2:AS1334)&lt;=1),SUMIF(C2:C1334,C234,AS2:AS1334),IF(AND(AT234=1,M234="F",SUMIF(C2:C1334,C234,AS2:AS1334)&gt;1),1,"")))</f>
        <v/>
      </c>
      <c r="AV234" s="387" t="str">
        <f>IF(AT234=0,"",IF(AND(AT234=3,M234="F",SUMIF(C2:C1334,C234,AS2:AS1334)&lt;=1),SUMIF(C2:C1334,C234,AS2:AS1334),IF(AND(AT234=3,M234="F",SUMIF(C2:C1334,C234,AS2:AS1334)&gt;1),1,"")))</f>
        <v/>
      </c>
      <c r="AW234" s="387">
        <f>SUMIF(C2:C1334,C234,O2:O1334)</f>
        <v>0</v>
      </c>
      <c r="AX234" s="387">
        <f>IF(AND(M234="F",AS234&lt;&gt;0),SUMIF(C2:C1334,C234,W2:W1334),0)</f>
        <v>0</v>
      </c>
      <c r="AY234" s="387" t="str">
        <f t="shared" si="161"/>
        <v/>
      </c>
      <c r="AZ234" s="387" t="str">
        <f t="shared" si="162"/>
        <v/>
      </c>
      <c r="BA234" s="387">
        <f t="shared" si="163"/>
        <v>0</v>
      </c>
      <c r="BB234" s="387">
        <f t="shared" si="132"/>
        <v>0</v>
      </c>
      <c r="BC234" s="387">
        <f t="shared" si="133"/>
        <v>0</v>
      </c>
      <c r="BD234" s="387">
        <f t="shared" si="134"/>
        <v>0</v>
      </c>
      <c r="BE234" s="387">
        <f t="shared" si="135"/>
        <v>0</v>
      </c>
      <c r="BF234" s="387">
        <f t="shared" si="136"/>
        <v>0</v>
      </c>
      <c r="BG234" s="387">
        <f t="shared" si="137"/>
        <v>0</v>
      </c>
      <c r="BH234" s="387">
        <f t="shared" si="138"/>
        <v>0</v>
      </c>
      <c r="BI234" s="387">
        <f t="shared" si="139"/>
        <v>0</v>
      </c>
      <c r="BJ234" s="387">
        <f t="shared" si="140"/>
        <v>0</v>
      </c>
      <c r="BK234" s="387">
        <f t="shared" si="141"/>
        <v>0</v>
      </c>
      <c r="BL234" s="387">
        <f t="shared" si="164"/>
        <v>0</v>
      </c>
      <c r="BM234" s="387">
        <f t="shared" si="165"/>
        <v>0</v>
      </c>
      <c r="BN234" s="387">
        <f t="shared" si="142"/>
        <v>0</v>
      </c>
      <c r="BO234" s="387">
        <f t="shared" si="143"/>
        <v>0</v>
      </c>
      <c r="BP234" s="387">
        <f t="shared" si="144"/>
        <v>0</v>
      </c>
      <c r="BQ234" s="387">
        <f t="shared" si="145"/>
        <v>0</v>
      </c>
      <c r="BR234" s="387">
        <f t="shared" si="146"/>
        <v>0</v>
      </c>
      <c r="BS234" s="387">
        <f t="shared" si="147"/>
        <v>0</v>
      </c>
      <c r="BT234" s="387">
        <f t="shared" si="148"/>
        <v>0</v>
      </c>
      <c r="BU234" s="387">
        <f t="shared" si="149"/>
        <v>0</v>
      </c>
      <c r="BV234" s="387">
        <f t="shared" si="150"/>
        <v>0</v>
      </c>
      <c r="BW234" s="387">
        <f t="shared" si="151"/>
        <v>0</v>
      </c>
      <c r="BX234" s="387">
        <f t="shared" si="166"/>
        <v>0</v>
      </c>
      <c r="BY234" s="387">
        <f t="shared" si="167"/>
        <v>0</v>
      </c>
      <c r="BZ234" s="387">
        <f t="shared" si="168"/>
        <v>0</v>
      </c>
      <c r="CA234" s="387">
        <f t="shared" si="169"/>
        <v>0</v>
      </c>
      <c r="CB234" s="387">
        <f t="shared" si="170"/>
        <v>0</v>
      </c>
      <c r="CC234" s="387">
        <f t="shared" si="152"/>
        <v>0</v>
      </c>
      <c r="CD234" s="387">
        <f t="shared" si="153"/>
        <v>0</v>
      </c>
      <c r="CE234" s="387">
        <f t="shared" si="154"/>
        <v>0</v>
      </c>
      <c r="CF234" s="387">
        <f t="shared" si="155"/>
        <v>0</v>
      </c>
      <c r="CG234" s="387">
        <f t="shared" si="156"/>
        <v>0</v>
      </c>
      <c r="CH234" s="387">
        <f t="shared" si="157"/>
        <v>0</v>
      </c>
      <c r="CI234" s="387">
        <f t="shared" si="158"/>
        <v>0</v>
      </c>
      <c r="CJ234" s="387">
        <f t="shared" si="171"/>
        <v>0</v>
      </c>
      <c r="CK234" s="387" t="str">
        <f t="shared" si="172"/>
        <v/>
      </c>
      <c r="CL234" s="387" t="str">
        <f t="shared" si="173"/>
        <v/>
      </c>
      <c r="CM234" s="387" t="str">
        <f t="shared" si="174"/>
        <v/>
      </c>
      <c r="CN234" s="387" t="str">
        <f t="shared" si="175"/>
        <v>0348-31</v>
      </c>
    </row>
    <row r="235" spans="1:92" ht="15.75" thickBot="1" x14ac:dyDescent="0.3">
      <c r="A235" s="376" t="s">
        <v>161</v>
      </c>
      <c r="B235" s="376" t="s">
        <v>162</v>
      </c>
      <c r="C235" s="376" t="s">
        <v>311</v>
      </c>
      <c r="D235" s="376" t="s">
        <v>312</v>
      </c>
      <c r="E235" s="376" t="s">
        <v>224</v>
      </c>
      <c r="F235" s="382" t="s">
        <v>225</v>
      </c>
      <c r="G235" s="376" t="s">
        <v>781</v>
      </c>
      <c r="H235" s="378"/>
      <c r="I235" s="378"/>
      <c r="J235" s="376" t="s">
        <v>205</v>
      </c>
      <c r="K235" s="376" t="s">
        <v>313</v>
      </c>
      <c r="L235" s="376" t="s">
        <v>166</v>
      </c>
      <c r="M235" s="376" t="s">
        <v>171</v>
      </c>
      <c r="N235" s="376" t="s">
        <v>257</v>
      </c>
      <c r="O235" s="379">
        <v>1</v>
      </c>
      <c r="P235" s="385">
        <v>0</v>
      </c>
      <c r="Q235" s="385">
        <v>0</v>
      </c>
      <c r="R235" s="380">
        <v>80</v>
      </c>
      <c r="S235" s="385">
        <v>0</v>
      </c>
      <c r="T235" s="380">
        <v>91155</v>
      </c>
      <c r="U235" s="380">
        <v>0</v>
      </c>
      <c r="V235" s="380">
        <v>27741.15</v>
      </c>
      <c r="W235" s="380">
        <v>0</v>
      </c>
      <c r="X235" s="380">
        <v>0</v>
      </c>
      <c r="Y235" s="380">
        <v>0</v>
      </c>
      <c r="Z235" s="380">
        <v>0</v>
      </c>
      <c r="AA235" s="376" t="s">
        <v>314</v>
      </c>
      <c r="AB235" s="376" t="s">
        <v>315</v>
      </c>
      <c r="AC235" s="376" t="s">
        <v>316</v>
      </c>
      <c r="AD235" s="376" t="s">
        <v>317</v>
      </c>
      <c r="AE235" s="376" t="s">
        <v>313</v>
      </c>
      <c r="AF235" s="376" t="s">
        <v>261</v>
      </c>
      <c r="AG235" s="376" t="s">
        <v>178</v>
      </c>
      <c r="AH235" s="381">
        <v>57.67</v>
      </c>
      <c r="AI235" s="381">
        <v>73354.2</v>
      </c>
      <c r="AJ235" s="376" t="s">
        <v>179</v>
      </c>
      <c r="AK235" s="376" t="s">
        <v>180</v>
      </c>
      <c r="AL235" s="376" t="s">
        <v>181</v>
      </c>
      <c r="AM235" s="376" t="s">
        <v>182</v>
      </c>
      <c r="AN235" s="376" t="s">
        <v>68</v>
      </c>
      <c r="AO235" s="379">
        <v>80</v>
      </c>
      <c r="AP235" s="385">
        <v>1</v>
      </c>
      <c r="AQ235" s="385">
        <v>0</v>
      </c>
      <c r="AR235" s="383" t="s">
        <v>183</v>
      </c>
      <c r="AS235" s="387">
        <f t="shared" si="159"/>
        <v>0</v>
      </c>
      <c r="AT235">
        <f t="shared" si="160"/>
        <v>0</v>
      </c>
      <c r="AU235" s="387" t="str">
        <f>IF(AT235=0,"",IF(AND(AT235=1,M235="F",SUMIF(C2:C1334,C235,AS2:AS1334)&lt;=1),SUMIF(C2:C1334,C235,AS2:AS1334),IF(AND(AT235=1,M235="F",SUMIF(C2:C1334,C235,AS2:AS1334)&gt;1),1,"")))</f>
        <v/>
      </c>
      <c r="AV235" s="387" t="str">
        <f>IF(AT235=0,"",IF(AND(AT235=3,M235="F",SUMIF(C2:C1334,C235,AS2:AS1334)&lt;=1),SUMIF(C2:C1334,C235,AS2:AS1334),IF(AND(AT235=3,M235="F",SUMIF(C2:C1334,C235,AS2:AS1334)&gt;1),1,"")))</f>
        <v/>
      </c>
      <c r="AW235" s="387">
        <f>SUMIF(C2:C1334,C235,O2:O1334)</f>
        <v>9</v>
      </c>
      <c r="AX235" s="387">
        <f>IF(AND(M235="F",AS235&lt;&gt;0),SUMIF(C2:C1334,C235,W2:W1334),0)</f>
        <v>0</v>
      </c>
      <c r="AY235" s="387" t="str">
        <f t="shared" si="161"/>
        <v/>
      </c>
      <c r="AZ235" s="387" t="str">
        <f t="shared" si="162"/>
        <v/>
      </c>
      <c r="BA235" s="387">
        <f t="shared" si="163"/>
        <v>0</v>
      </c>
      <c r="BB235" s="387">
        <f t="shared" si="132"/>
        <v>0</v>
      </c>
      <c r="BC235" s="387">
        <f t="shared" si="133"/>
        <v>0</v>
      </c>
      <c r="BD235" s="387">
        <f t="shared" si="134"/>
        <v>0</v>
      </c>
      <c r="BE235" s="387">
        <f t="shared" si="135"/>
        <v>0</v>
      </c>
      <c r="BF235" s="387">
        <f t="shared" si="136"/>
        <v>0</v>
      </c>
      <c r="BG235" s="387">
        <f t="shared" si="137"/>
        <v>0</v>
      </c>
      <c r="BH235" s="387">
        <f t="shared" si="138"/>
        <v>0</v>
      </c>
      <c r="BI235" s="387">
        <f t="shared" si="139"/>
        <v>0</v>
      </c>
      <c r="BJ235" s="387">
        <f t="shared" si="140"/>
        <v>0</v>
      </c>
      <c r="BK235" s="387">
        <f t="shared" si="141"/>
        <v>0</v>
      </c>
      <c r="BL235" s="387">
        <f t="shared" si="164"/>
        <v>0</v>
      </c>
      <c r="BM235" s="387">
        <f t="shared" si="165"/>
        <v>0</v>
      </c>
      <c r="BN235" s="387">
        <f t="shared" si="142"/>
        <v>0</v>
      </c>
      <c r="BO235" s="387">
        <f t="shared" si="143"/>
        <v>0</v>
      </c>
      <c r="BP235" s="387">
        <f t="shared" si="144"/>
        <v>0</v>
      </c>
      <c r="BQ235" s="387">
        <f t="shared" si="145"/>
        <v>0</v>
      </c>
      <c r="BR235" s="387">
        <f t="shared" si="146"/>
        <v>0</v>
      </c>
      <c r="BS235" s="387">
        <f t="shared" si="147"/>
        <v>0</v>
      </c>
      <c r="BT235" s="387">
        <f t="shared" si="148"/>
        <v>0</v>
      </c>
      <c r="BU235" s="387">
        <f t="shared" si="149"/>
        <v>0</v>
      </c>
      <c r="BV235" s="387">
        <f t="shared" si="150"/>
        <v>0</v>
      </c>
      <c r="BW235" s="387">
        <f t="shared" si="151"/>
        <v>0</v>
      </c>
      <c r="BX235" s="387">
        <f t="shared" si="166"/>
        <v>0</v>
      </c>
      <c r="BY235" s="387">
        <f t="shared" si="167"/>
        <v>0</v>
      </c>
      <c r="BZ235" s="387">
        <f t="shared" si="168"/>
        <v>0</v>
      </c>
      <c r="CA235" s="387">
        <f t="shared" si="169"/>
        <v>0</v>
      </c>
      <c r="CB235" s="387">
        <f t="shared" si="170"/>
        <v>0</v>
      </c>
      <c r="CC235" s="387">
        <f t="shared" si="152"/>
        <v>0</v>
      </c>
      <c r="CD235" s="387">
        <f t="shared" si="153"/>
        <v>0</v>
      </c>
      <c r="CE235" s="387">
        <f t="shared" si="154"/>
        <v>0</v>
      </c>
      <c r="CF235" s="387">
        <f t="shared" si="155"/>
        <v>0</v>
      </c>
      <c r="CG235" s="387">
        <f t="shared" si="156"/>
        <v>0</v>
      </c>
      <c r="CH235" s="387">
        <f t="shared" si="157"/>
        <v>0</v>
      </c>
      <c r="CI235" s="387">
        <f t="shared" si="158"/>
        <v>0</v>
      </c>
      <c r="CJ235" s="387">
        <f t="shared" si="171"/>
        <v>0</v>
      </c>
      <c r="CK235" s="387" t="str">
        <f t="shared" si="172"/>
        <v/>
      </c>
      <c r="CL235" s="387" t="str">
        <f t="shared" si="173"/>
        <v/>
      </c>
      <c r="CM235" s="387" t="str">
        <f t="shared" si="174"/>
        <v/>
      </c>
      <c r="CN235" s="387" t="str">
        <f t="shared" si="175"/>
        <v>0348-31</v>
      </c>
    </row>
    <row r="236" spans="1:92" ht="15.75" thickBot="1" x14ac:dyDescent="0.3">
      <c r="A236" s="376" t="s">
        <v>161</v>
      </c>
      <c r="B236" s="376" t="s">
        <v>162</v>
      </c>
      <c r="C236" s="376" t="s">
        <v>801</v>
      </c>
      <c r="D236" s="376" t="s">
        <v>786</v>
      </c>
      <c r="E236" s="376" t="s">
        <v>224</v>
      </c>
      <c r="F236" s="382" t="s">
        <v>225</v>
      </c>
      <c r="G236" s="376" t="s">
        <v>781</v>
      </c>
      <c r="H236" s="378"/>
      <c r="I236" s="378"/>
      <c r="J236" s="376" t="s">
        <v>168</v>
      </c>
      <c r="K236" s="376" t="s">
        <v>787</v>
      </c>
      <c r="L236" s="376" t="s">
        <v>181</v>
      </c>
      <c r="M236" s="376" t="s">
        <v>171</v>
      </c>
      <c r="N236" s="376" t="s">
        <v>172</v>
      </c>
      <c r="O236" s="379">
        <v>1</v>
      </c>
      <c r="P236" s="385">
        <v>0.65</v>
      </c>
      <c r="Q236" s="385">
        <v>0.65</v>
      </c>
      <c r="R236" s="380">
        <v>80</v>
      </c>
      <c r="S236" s="385">
        <v>0.65</v>
      </c>
      <c r="T236" s="380">
        <v>47321.77</v>
      </c>
      <c r="U236" s="380">
        <v>0</v>
      </c>
      <c r="V236" s="380">
        <v>17874.89</v>
      </c>
      <c r="W236" s="380">
        <v>51538.239999999998</v>
      </c>
      <c r="X236" s="380">
        <v>18717.61</v>
      </c>
      <c r="Y236" s="380">
        <v>51538.239999999998</v>
      </c>
      <c r="Z236" s="380">
        <v>18501.150000000001</v>
      </c>
      <c r="AA236" s="376" t="s">
        <v>802</v>
      </c>
      <c r="AB236" s="376" t="s">
        <v>709</v>
      </c>
      <c r="AC236" s="376" t="s">
        <v>418</v>
      </c>
      <c r="AD236" s="376" t="s">
        <v>252</v>
      </c>
      <c r="AE236" s="376" t="s">
        <v>787</v>
      </c>
      <c r="AF236" s="376" t="s">
        <v>211</v>
      </c>
      <c r="AG236" s="376" t="s">
        <v>178</v>
      </c>
      <c r="AH236" s="381">
        <v>38.119999999999997</v>
      </c>
      <c r="AI236" s="381">
        <v>33771.5</v>
      </c>
      <c r="AJ236" s="376" t="s">
        <v>179</v>
      </c>
      <c r="AK236" s="376" t="s">
        <v>180</v>
      </c>
      <c r="AL236" s="376" t="s">
        <v>181</v>
      </c>
      <c r="AM236" s="376" t="s">
        <v>182</v>
      </c>
      <c r="AN236" s="376" t="s">
        <v>68</v>
      </c>
      <c r="AO236" s="379">
        <v>80</v>
      </c>
      <c r="AP236" s="385">
        <v>1</v>
      </c>
      <c r="AQ236" s="385">
        <v>0.65</v>
      </c>
      <c r="AR236" s="383" t="s">
        <v>183</v>
      </c>
      <c r="AS236" s="387">
        <f t="shared" si="159"/>
        <v>0.65</v>
      </c>
      <c r="AT236">
        <f t="shared" si="160"/>
        <v>1</v>
      </c>
      <c r="AU236" s="387">
        <f>IF(AT236=0,"",IF(AND(AT236=1,M236="F",SUMIF(C2:C1334,C236,AS2:AS1334)&lt;=1),SUMIF(C2:C1334,C236,AS2:AS1334),IF(AND(AT236=1,M236="F",SUMIF(C2:C1334,C236,AS2:AS1334)&gt;1),1,"")))</f>
        <v>1</v>
      </c>
      <c r="AV236" s="387" t="str">
        <f>IF(AT236=0,"",IF(AND(AT236=3,M236="F",SUMIF(C2:C1334,C236,AS2:AS1334)&lt;=1),SUMIF(C2:C1334,C236,AS2:AS1334),IF(AND(AT236=3,M236="F",SUMIF(C2:C1334,C236,AS2:AS1334)&gt;1),1,"")))</f>
        <v/>
      </c>
      <c r="AW236" s="387">
        <f>SUMIF(C2:C1334,C236,O2:O1334)</f>
        <v>4</v>
      </c>
      <c r="AX236" s="387">
        <f>IF(AND(M236="F",AS236&lt;&gt;0),SUMIF(C2:C1334,C236,W2:W1334),0)</f>
        <v>79289.600000000006</v>
      </c>
      <c r="AY236" s="387">
        <f t="shared" si="161"/>
        <v>51538.239999999998</v>
      </c>
      <c r="AZ236" s="387" t="str">
        <f t="shared" si="162"/>
        <v/>
      </c>
      <c r="BA236" s="387">
        <f t="shared" si="163"/>
        <v>0</v>
      </c>
      <c r="BB236" s="387">
        <f t="shared" si="132"/>
        <v>7572.5</v>
      </c>
      <c r="BC236" s="387">
        <f t="shared" si="133"/>
        <v>0</v>
      </c>
      <c r="BD236" s="387">
        <f t="shared" si="134"/>
        <v>3195.3708799999999</v>
      </c>
      <c r="BE236" s="387">
        <f t="shared" si="135"/>
        <v>747.30448000000001</v>
      </c>
      <c r="BF236" s="387">
        <f t="shared" si="136"/>
        <v>6153.6658559999996</v>
      </c>
      <c r="BG236" s="387">
        <f t="shared" si="137"/>
        <v>371.59071039999998</v>
      </c>
      <c r="BH236" s="387">
        <f t="shared" si="138"/>
        <v>252.53737599999999</v>
      </c>
      <c r="BI236" s="387">
        <f t="shared" si="139"/>
        <v>285.26415839999999</v>
      </c>
      <c r="BJ236" s="387">
        <f t="shared" si="140"/>
        <v>139.15324799999999</v>
      </c>
      <c r="BK236" s="387">
        <f t="shared" si="141"/>
        <v>0</v>
      </c>
      <c r="BL236" s="387">
        <f t="shared" si="164"/>
        <v>11144.886708800001</v>
      </c>
      <c r="BM236" s="387">
        <f t="shared" si="165"/>
        <v>0</v>
      </c>
      <c r="BN236" s="387">
        <f t="shared" si="142"/>
        <v>7572.5</v>
      </c>
      <c r="BO236" s="387">
        <f t="shared" si="143"/>
        <v>0</v>
      </c>
      <c r="BP236" s="387">
        <f t="shared" si="144"/>
        <v>3195.3708799999999</v>
      </c>
      <c r="BQ236" s="387">
        <f t="shared" si="145"/>
        <v>747.30448000000001</v>
      </c>
      <c r="BR236" s="387">
        <f t="shared" si="146"/>
        <v>6153.6658559999996</v>
      </c>
      <c r="BS236" s="387">
        <f t="shared" si="147"/>
        <v>371.59071039999998</v>
      </c>
      <c r="BT236" s="387">
        <f t="shared" si="148"/>
        <v>0</v>
      </c>
      <c r="BU236" s="387">
        <f t="shared" si="149"/>
        <v>285.26415839999999</v>
      </c>
      <c r="BV236" s="387">
        <f t="shared" si="150"/>
        <v>175.23001599999998</v>
      </c>
      <c r="BW236" s="387">
        <f t="shared" si="151"/>
        <v>0</v>
      </c>
      <c r="BX236" s="387">
        <f t="shared" si="166"/>
        <v>10928.426100799999</v>
      </c>
      <c r="BY236" s="387">
        <f t="shared" si="167"/>
        <v>0</v>
      </c>
      <c r="BZ236" s="387">
        <f t="shared" si="168"/>
        <v>0</v>
      </c>
      <c r="CA236" s="387">
        <f t="shared" si="169"/>
        <v>0</v>
      </c>
      <c r="CB236" s="387">
        <f t="shared" si="170"/>
        <v>0</v>
      </c>
      <c r="CC236" s="387">
        <f t="shared" si="152"/>
        <v>0</v>
      </c>
      <c r="CD236" s="387">
        <f t="shared" si="153"/>
        <v>0</v>
      </c>
      <c r="CE236" s="387">
        <f t="shared" si="154"/>
        <v>0</v>
      </c>
      <c r="CF236" s="387">
        <f t="shared" si="155"/>
        <v>-252.53737599999999</v>
      </c>
      <c r="CG236" s="387">
        <f t="shared" si="156"/>
        <v>0</v>
      </c>
      <c r="CH236" s="387">
        <f t="shared" si="157"/>
        <v>36.07676799999998</v>
      </c>
      <c r="CI236" s="387">
        <f t="shared" si="158"/>
        <v>0</v>
      </c>
      <c r="CJ236" s="387">
        <f t="shared" si="171"/>
        <v>-216.46060800000001</v>
      </c>
      <c r="CK236" s="387" t="str">
        <f t="shared" si="172"/>
        <v/>
      </c>
      <c r="CL236" s="387" t="str">
        <f t="shared" si="173"/>
        <v/>
      </c>
      <c r="CM236" s="387" t="str">
        <f t="shared" si="174"/>
        <v/>
      </c>
      <c r="CN236" s="387" t="str">
        <f t="shared" si="175"/>
        <v>0348-31</v>
      </c>
    </row>
    <row r="237" spans="1:92" ht="15.75" thickBot="1" x14ac:dyDescent="0.3">
      <c r="A237" s="376" t="s">
        <v>161</v>
      </c>
      <c r="B237" s="376" t="s">
        <v>162</v>
      </c>
      <c r="C237" s="376" t="s">
        <v>952</v>
      </c>
      <c r="D237" s="376" t="s">
        <v>326</v>
      </c>
      <c r="E237" s="376" t="s">
        <v>224</v>
      </c>
      <c r="F237" s="382" t="s">
        <v>225</v>
      </c>
      <c r="G237" s="376" t="s">
        <v>781</v>
      </c>
      <c r="H237" s="378"/>
      <c r="I237" s="378"/>
      <c r="J237" s="376" t="s">
        <v>215</v>
      </c>
      <c r="K237" s="376" t="s">
        <v>953</v>
      </c>
      <c r="L237" s="376" t="s">
        <v>181</v>
      </c>
      <c r="M237" s="376" t="s">
        <v>171</v>
      </c>
      <c r="N237" s="376" t="s">
        <v>172</v>
      </c>
      <c r="O237" s="379">
        <v>1</v>
      </c>
      <c r="P237" s="385">
        <v>0</v>
      </c>
      <c r="Q237" s="385">
        <v>0</v>
      </c>
      <c r="R237" s="380">
        <v>80</v>
      </c>
      <c r="S237" s="385">
        <v>0</v>
      </c>
      <c r="T237" s="380">
        <v>101149.46</v>
      </c>
      <c r="U237" s="380">
        <v>472.16</v>
      </c>
      <c r="V237" s="380">
        <v>32992.92</v>
      </c>
      <c r="W237" s="380">
        <v>0</v>
      </c>
      <c r="X237" s="380">
        <v>0</v>
      </c>
      <c r="Y237" s="380">
        <v>0</v>
      </c>
      <c r="Z237" s="380">
        <v>0</v>
      </c>
      <c r="AA237" s="376" t="s">
        <v>954</v>
      </c>
      <c r="AB237" s="376" t="s">
        <v>955</v>
      </c>
      <c r="AC237" s="376" t="s">
        <v>956</v>
      </c>
      <c r="AD237" s="376" t="s">
        <v>583</v>
      </c>
      <c r="AE237" s="376" t="s">
        <v>953</v>
      </c>
      <c r="AF237" s="376" t="s">
        <v>211</v>
      </c>
      <c r="AG237" s="376" t="s">
        <v>178</v>
      </c>
      <c r="AH237" s="381">
        <v>49.87</v>
      </c>
      <c r="AI237" s="381">
        <v>28914.3</v>
      </c>
      <c r="AJ237" s="376" t="s">
        <v>179</v>
      </c>
      <c r="AK237" s="376" t="s">
        <v>180</v>
      </c>
      <c r="AL237" s="376" t="s">
        <v>181</v>
      </c>
      <c r="AM237" s="376" t="s">
        <v>182</v>
      </c>
      <c r="AN237" s="376" t="s">
        <v>68</v>
      </c>
      <c r="AO237" s="379">
        <v>80</v>
      </c>
      <c r="AP237" s="385">
        <v>1</v>
      </c>
      <c r="AQ237" s="385">
        <v>0</v>
      </c>
      <c r="AR237" s="383" t="s">
        <v>183</v>
      </c>
      <c r="AS237" s="387">
        <f t="shared" si="159"/>
        <v>0</v>
      </c>
      <c r="AT237">
        <f t="shared" si="160"/>
        <v>0</v>
      </c>
      <c r="AU237" s="387" t="str">
        <f>IF(AT237=0,"",IF(AND(AT237=1,M237="F",SUMIF(C2:C1334,C237,AS2:AS1334)&lt;=1),SUMIF(C2:C1334,C237,AS2:AS1334),IF(AND(AT237=1,M237="F",SUMIF(C2:C1334,C237,AS2:AS1334)&gt;1),1,"")))</f>
        <v/>
      </c>
      <c r="AV237" s="387" t="str">
        <f>IF(AT237=0,"",IF(AND(AT237=3,M237="F",SUMIF(C2:C1334,C237,AS2:AS1334)&lt;=1),SUMIF(C2:C1334,C237,AS2:AS1334),IF(AND(AT237=3,M237="F",SUMIF(C2:C1334,C237,AS2:AS1334)&gt;1),1,"")))</f>
        <v/>
      </c>
      <c r="AW237" s="387">
        <f>SUMIF(C2:C1334,C237,O2:O1334)</f>
        <v>2</v>
      </c>
      <c r="AX237" s="387">
        <f>IF(AND(M237="F",AS237&lt;&gt;0),SUMIF(C2:C1334,C237,W2:W1334),0)</f>
        <v>0</v>
      </c>
      <c r="AY237" s="387" t="str">
        <f t="shared" si="161"/>
        <v/>
      </c>
      <c r="AZ237" s="387" t="str">
        <f t="shared" si="162"/>
        <v/>
      </c>
      <c r="BA237" s="387">
        <f t="shared" si="163"/>
        <v>0</v>
      </c>
      <c r="BB237" s="387">
        <f t="shared" si="132"/>
        <v>0</v>
      </c>
      <c r="BC237" s="387">
        <f t="shared" si="133"/>
        <v>0</v>
      </c>
      <c r="BD237" s="387">
        <f t="shared" si="134"/>
        <v>0</v>
      </c>
      <c r="BE237" s="387">
        <f t="shared" si="135"/>
        <v>0</v>
      </c>
      <c r="BF237" s="387">
        <f t="shared" si="136"/>
        <v>0</v>
      </c>
      <c r="BG237" s="387">
        <f t="shared" si="137"/>
        <v>0</v>
      </c>
      <c r="BH237" s="387">
        <f t="shared" si="138"/>
        <v>0</v>
      </c>
      <c r="BI237" s="387">
        <f t="shared" si="139"/>
        <v>0</v>
      </c>
      <c r="BJ237" s="387">
        <f t="shared" si="140"/>
        <v>0</v>
      </c>
      <c r="BK237" s="387">
        <f t="shared" si="141"/>
        <v>0</v>
      </c>
      <c r="BL237" s="387">
        <f t="shared" si="164"/>
        <v>0</v>
      </c>
      <c r="BM237" s="387">
        <f t="shared" si="165"/>
        <v>0</v>
      </c>
      <c r="BN237" s="387">
        <f t="shared" si="142"/>
        <v>0</v>
      </c>
      <c r="BO237" s="387">
        <f t="shared" si="143"/>
        <v>0</v>
      </c>
      <c r="BP237" s="387">
        <f t="shared" si="144"/>
        <v>0</v>
      </c>
      <c r="BQ237" s="387">
        <f t="shared" si="145"/>
        <v>0</v>
      </c>
      <c r="BR237" s="387">
        <f t="shared" si="146"/>
        <v>0</v>
      </c>
      <c r="BS237" s="387">
        <f t="shared" si="147"/>
        <v>0</v>
      </c>
      <c r="BT237" s="387">
        <f t="shared" si="148"/>
        <v>0</v>
      </c>
      <c r="BU237" s="387">
        <f t="shared" si="149"/>
        <v>0</v>
      </c>
      <c r="BV237" s="387">
        <f t="shared" si="150"/>
        <v>0</v>
      </c>
      <c r="BW237" s="387">
        <f t="shared" si="151"/>
        <v>0</v>
      </c>
      <c r="BX237" s="387">
        <f t="shared" si="166"/>
        <v>0</v>
      </c>
      <c r="BY237" s="387">
        <f t="shared" si="167"/>
        <v>0</v>
      </c>
      <c r="BZ237" s="387">
        <f t="shared" si="168"/>
        <v>0</v>
      </c>
      <c r="CA237" s="387">
        <f t="shared" si="169"/>
        <v>0</v>
      </c>
      <c r="CB237" s="387">
        <f t="shared" si="170"/>
        <v>0</v>
      </c>
      <c r="CC237" s="387">
        <f t="shared" si="152"/>
        <v>0</v>
      </c>
      <c r="CD237" s="387">
        <f t="shared" si="153"/>
        <v>0</v>
      </c>
      <c r="CE237" s="387">
        <f t="shared" si="154"/>
        <v>0</v>
      </c>
      <c r="CF237" s="387">
        <f t="shared" si="155"/>
        <v>0</v>
      </c>
      <c r="CG237" s="387">
        <f t="shared" si="156"/>
        <v>0</v>
      </c>
      <c r="CH237" s="387">
        <f t="shared" si="157"/>
        <v>0</v>
      </c>
      <c r="CI237" s="387">
        <f t="shared" si="158"/>
        <v>0</v>
      </c>
      <c r="CJ237" s="387">
        <f t="shared" si="171"/>
        <v>0</v>
      </c>
      <c r="CK237" s="387" t="str">
        <f t="shared" si="172"/>
        <v/>
      </c>
      <c r="CL237" s="387" t="str">
        <f t="shared" si="173"/>
        <v/>
      </c>
      <c r="CM237" s="387" t="str">
        <f t="shared" si="174"/>
        <v/>
      </c>
      <c r="CN237" s="387" t="str">
        <f t="shared" si="175"/>
        <v>0348-31</v>
      </c>
    </row>
    <row r="238" spans="1:92" ht="15.75" thickBot="1" x14ac:dyDescent="0.3">
      <c r="A238" s="376" t="s">
        <v>161</v>
      </c>
      <c r="B238" s="376" t="s">
        <v>162</v>
      </c>
      <c r="C238" s="376" t="s">
        <v>163</v>
      </c>
      <c r="D238" s="376" t="s">
        <v>164</v>
      </c>
      <c r="E238" s="376" t="s">
        <v>224</v>
      </c>
      <c r="F238" s="382" t="s">
        <v>225</v>
      </c>
      <c r="G238" s="376" t="s">
        <v>781</v>
      </c>
      <c r="H238" s="378"/>
      <c r="I238" s="378"/>
      <c r="J238" s="376" t="s">
        <v>168</v>
      </c>
      <c r="K238" s="376" t="s">
        <v>169</v>
      </c>
      <c r="L238" s="376" t="s">
        <v>170</v>
      </c>
      <c r="M238" s="376" t="s">
        <v>171</v>
      </c>
      <c r="N238" s="376" t="s">
        <v>172</v>
      </c>
      <c r="O238" s="379">
        <v>1</v>
      </c>
      <c r="P238" s="385">
        <v>0.25</v>
      </c>
      <c r="Q238" s="385">
        <v>0.25</v>
      </c>
      <c r="R238" s="380">
        <v>80</v>
      </c>
      <c r="S238" s="385">
        <v>0.25</v>
      </c>
      <c r="T238" s="380">
        <v>34567.03</v>
      </c>
      <c r="U238" s="380">
        <v>0</v>
      </c>
      <c r="V238" s="380">
        <v>14088.91</v>
      </c>
      <c r="W238" s="380">
        <v>15132</v>
      </c>
      <c r="X238" s="380">
        <v>6184.78</v>
      </c>
      <c r="Y238" s="380">
        <v>15132</v>
      </c>
      <c r="Z238" s="380">
        <v>6121.23</v>
      </c>
      <c r="AA238" s="376" t="s">
        <v>173</v>
      </c>
      <c r="AB238" s="376" t="s">
        <v>174</v>
      </c>
      <c r="AC238" s="376" t="s">
        <v>175</v>
      </c>
      <c r="AD238" s="376" t="s">
        <v>176</v>
      </c>
      <c r="AE238" s="376" t="s">
        <v>169</v>
      </c>
      <c r="AF238" s="376" t="s">
        <v>177</v>
      </c>
      <c r="AG238" s="376" t="s">
        <v>178</v>
      </c>
      <c r="AH238" s="381">
        <v>29.1</v>
      </c>
      <c r="AI238" s="381">
        <v>12580.9</v>
      </c>
      <c r="AJ238" s="376" t="s">
        <v>179</v>
      </c>
      <c r="AK238" s="376" t="s">
        <v>180</v>
      </c>
      <c r="AL238" s="376" t="s">
        <v>181</v>
      </c>
      <c r="AM238" s="376" t="s">
        <v>182</v>
      </c>
      <c r="AN238" s="376" t="s">
        <v>68</v>
      </c>
      <c r="AO238" s="379">
        <v>80</v>
      </c>
      <c r="AP238" s="385">
        <v>1</v>
      </c>
      <c r="AQ238" s="385">
        <v>0.25</v>
      </c>
      <c r="AR238" s="383" t="s">
        <v>183</v>
      </c>
      <c r="AS238" s="387">
        <f t="shared" si="159"/>
        <v>0.25</v>
      </c>
      <c r="AT238">
        <f t="shared" si="160"/>
        <v>1</v>
      </c>
      <c r="AU238" s="387">
        <f>IF(AT238=0,"",IF(AND(AT238=1,M238="F",SUMIF(C2:C1334,C238,AS2:AS1334)&lt;=1),SUMIF(C2:C1334,C238,AS2:AS1334),IF(AND(AT238=1,M238="F",SUMIF(C2:C1334,C238,AS2:AS1334)&gt;1),1,"")))</f>
        <v>1</v>
      </c>
      <c r="AV238" s="387" t="str">
        <f>IF(AT238=0,"",IF(AND(AT238=3,M238="F",SUMIF(C2:C1334,C238,AS2:AS1334)&lt;=1),SUMIF(C2:C1334,C238,AS2:AS1334),IF(AND(AT238=3,M238="F",SUMIF(C2:C1334,C238,AS2:AS1334)&gt;1),1,"")))</f>
        <v/>
      </c>
      <c r="AW238" s="387">
        <f>SUMIF(C2:C1334,C238,O2:O1334)</f>
        <v>4</v>
      </c>
      <c r="AX238" s="387">
        <f>IF(AND(M238="F",AS238&lt;&gt;0),SUMIF(C2:C1334,C238,W2:W1334),0)</f>
        <v>60528</v>
      </c>
      <c r="AY238" s="387">
        <f t="shared" si="161"/>
        <v>15132</v>
      </c>
      <c r="AZ238" s="387" t="str">
        <f t="shared" si="162"/>
        <v/>
      </c>
      <c r="BA238" s="387">
        <f t="shared" si="163"/>
        <v>0</v>
      </c>
      <c r="BB238" s="387">
        <f t="shared" si="132"/>
        <v>2912.5</v>
      </c>
      <c r="BC238" s="387">
        <f t="shared" si="133"/>
        <v>0</v>
      </c>
      <c r="BD238" s="387">
        <f t="shared" si="134"/>
        <v>938.18399999999997</v>
      </c>
      <c r="BE238" s="387">
        <f t="shared" si="135"/>
        <v>219.41400000000002</v>
      </c>
      <c r="BF238" s="387">
        <f t="shared" si="136"/>
        <v>1806.7608</v>
      </c>
      <c r="BG238" s="387">
        <f t="shared" si="137"/>
        <v>109.10172</v>
      </c>
      <c r="BH238" s="387">
        <f t="shared" si="138"/>
        <v>74.146799999999999</v>
      </c>
      <c r="BI238" s="387">
        <f t="shared" si="139"/>
        <v>83.755619999999993</v>
      </c>
      <c r="BJ238" s="387">
        <f t="shared" si="140"/>
        <v>40.856400000000001</v>
      </c>
      <c r="BK238" s="387">
        <f t="shared" si="141"/>
        <v>0</v>
      </c>
      <c r="BL238" s="387">
        <f t="shared" si="164"/>
        <v>3272.2193400000001</v>
      </c>
      <c r="BM238" s="387">
        <f t="shared" si="165"/>
        <v>0</v>
      </c>
      <c r="BN238" s="387">
        <f t="shared" si="142"/>
        <v>2912.5</v>
      </c>
      <c r="BO238" s="387">
        <f t="shared" si="143"/>
        <v>0</v>
      </c>
      <c r="BP238" s="387">
        <f t="shared" si="144"/>
        <v>938.18399999999997</v>
      </c>
      <c r="BQ238" s="387">
        <f t="shared" si="145"/>
        <v>219.41400000000002</v>
      </c>
      <c r="BR238" s="387">
        <f t="shared" si="146"/>
        <v>1806.7608</v>
      </c>
      <c r="BS238" s="387">
        <f t="shared" si="147"/>
        <v>109.10172</v>
      </c>
      <c r="BT238" s="387">
        <f t="shared" si="148"/>
        <v>0</v>
      </c>
      <c r="BU238" s="387">
        <f t="shared" si="149"/>
        <v>83.755619999999993</v>
      </c>
      <c r="BV238" s="387">
        <f t="shared" si="150"/>
        <v>51.448799999999999</v>
      </c>
      <c r="BW238" s="387">
        <f t="shared" si="151"/>
        <v>0</v>
      </c>
      <c r="BX238" s="387">
        <f t="shared" si="166"/>
        <v>3208.6649400000001</v>
      </c>
      <c r="BY238" s="387">
        <f t="shared" si="167"/>
        <v>0</v>
      </c>
      <c r="BZ238" s="387">
        <f t="shared" si="168"/>
        <v>0</v>
      </c>
      <c r="CA238" s="387">
        <f t="shared" si="169"/>
        <v>0</v>
      </c>
      <c r="CB238" s="387">
        <f t="shared" si="170"/>
        <v>0</v>
      </c>
      <c r="CC238" s="387">
        <f t="shared" si="152"/>
        <v>0</v>
      </c>
      <c r="CD238" s="387">
        <f t="shared" si="153"/>
        <v>0</v>
      </c>
      <c r="CE238" s="387">
        <f t="shared" si="154"/>
        <v>0</v>
      </c>
      <c r="CF238" s="387">
        <f t="shared" si="155"/>
        <v>-74.146799999999999</v>
      </c>
      <c r="CG238" s="387">
        <f t="shared" si="156"/>
        <v>0</v>
      </c>
      <c r="CH238" s="387">
        <f t="shared" si="157"/>
        <v>10.592399999999994</v>
      </c>
      <c r="CI238" s="387">
        <f t="shared" si="158"/>
        <v>0</v>
      </c>
      <c r="CJ238" s="387">
        <f t="shared" si="171"/>
        <v>-63.554400000000001</v>
      </c>
      <c r="CK238" s="387" t="str">
        <f t="shared" si="172"/>
        <v/>
      </c>
      <c r="CL238" s="387" t="str">
        <f t="shared" si="173"/>
        <v/>
      </c>
      <c r="CM238" s="387" t="str">
        <f t="shared" si="174"/>
        <v/>
      </c>
      <c r="CN238" s="387" t="str">
        <f t="shared" si="175"/>
        <v>0348-31</v>
      </c>
    </row>
    <row r="239" spans="1:92" ht="15.75" thickBot="1" x14ac:dyDescent="0.3">
      <c r="A239" s="376" t="s">
        <v>161</v>
      </c>
      <c r="B239" s="376" t="s">
        <v>162</v>
      </c>
      <c r="C239" s="376" t="s">
        <v>957</v>
      </c>
      <c r="D239" s="376" t="s">
        <v>862</v>
      </c>
      <c r="E239" s="376" t="s">
        <v>224</v>
      </c>
      <c r="F239" s="382" t="s">
        <v>225</v>
      </c>
      <c r="G239" s="376" t="s">
        <v>781</v>
      </c>
      <c r="H239" s="378"/>
      <c r="I239" s="378"/>
      <c r="J239" s="376" t="s">
        <v>215</v>
      </c>
      <c r="K239" s="376" t="s">
        <v>863</v>
      </c>
      <c r="L239" s="376" t="s">
        <v>252</v>
      </c>
      <c r="M239" s="376" t="s">
        <v>171</v>
      </c>
      <c r="N239" s="376" t="s">
        <v>172</v>
      </c>
      <c r="O239" s="379">
        <v>1</v>
      </c>
      <c r="P239" s="385">
        <v>0</v>
      </c>
      <c r="Q239" s="385">
        <v>0</v>
      </c>
      <c r="R239" s="380">
        <v>80</v>
      </c>
      <c r="S239" s="385">
        <v>0</v>
      </c>
      <c r="T239" s="380">
        <v>694</v>
      </c>
      <c r="U239" s="380">
        <v>0</v>
      </c>
      <c r="V239" s="380">
        <v>373.36</v>
      </c>
      <c r="W239" s="380">
        <v>0</v>
      </c>
      <c r="X239" s="380">
        <v>0</v>
      </c>
      <c r="Y239" s="380">
        <v>0</v>
      </c>
      <c r="Z239" s="380">
        <v>0</v>
      </c>
      <c r="AA239" s="376" t="s">
        <v>958</v>
      </c>
      <c r="AB239" s="376" t="s">
        <v>959</v>
      </c>
      <c r="AC239" s="376" t="s">
        <v>960</v>
      </c>
      <c r="AD239" s="376" t="s">
        <v>180</v>
      </c>
      <c r="AE239" s="376" t="s">
        <v>863</v>
      </c>
      <c r="AF239" s="376" t="s">
        <v>393</v>
      </c>
      <c r="AG239" s="376" t="s">
        <v>178</v>
      </c>
      <c r="AH239" s="381">
        <v>18.86</v>
      </c>
      <c r="AI239" s="379">
        <v>2009</v>
      </c>
      <c r="AJ239" s="376" t="s">
        <v>179</v>
      </c>
      <c r="AK239" s="376" t="s">
        <v>180</v>
      </c>
      <c r="AL239" s="376" t="s">
        <v>181</v>
      </c>
      <c r="AM239" s="376" t="s">
        <v>182</v>
      </c>
      <c r="AN239" s="376" t="s">
        <v>68</v>
      </c>
      <c r="AO239" s="379">
        <v>80</v>
      </c>
      <c r="AP239" s="385">
        <v>1</v>
      </c>
      <c r="AQ239" s="385">
        <v>0</v>
      </c>
      <c r="AR239" s="383" t="s">
        <v>183</v>
      </c>
      <c r="AS239" s="387">
        <f t="shared" si="159"/>
        <v>0</v>
      </c>
      <c r="AT239">
        <f t="shared" si="160"/>
        <v>0</v>
      </c>
      <c r="AU239" s="387" t="str">
        <f>IF(AT239=0,"",IF(AND(AT239=1,M239="F",SUMIF(C2:C1334,C239,AS2:AS1334)&lt;=1),SUMIF(C2:C1334,C239,AS2:AS1334),IF(AND(AT239=1,M239="F",SUMIF(C2:C1334,C239,AS2:AS1334)&gt;1),1,"")))</f>
        <v/>
      </c>
      <c r="AV239" s="387" t="str">
        <f>IF(AT239=0,"",IF(AND(AT239=3,M239="F",SUMIF(C2:C1334,C239,AS2:AS1334)&lt;=1),SUMIF(C2:C1334,C239,AS2:AS1334),IF(AND(AT239=3,M239="F",SUMIF(C2:C1334,C239,AS2:AS1334)&gt;1),1,"")))</f>
        <v/>
      </c>
      <c r="AW239" s="387">
        <f>SUMIF(C2:C1334,C239,O2:O1334)</f>
        <v>2</v>
      </c>
      <c r="AX239" s="387">
        <f>IF(AND(M239="F",AS239&lt;&gt;0),SUMIF(C2:C1334,C239,W2:W1334),0)</f>
        <v>0</v>
      </c>
      <c r="AY239" s="387" t="str">
        <f t="shared" si="161"/>
        <v/>
      </c>
      <c r="AZ239" s="387" t="str">
        <f t="shared" si="162"/>
        <v/>
      </c>
      <c r="BA239" s="387">
        <f t="shared" si="163"/>
        <v>0</v>
      </c>
      <c r="BB239" s="387">
        <f t="shared" si="132"/>
        <v>0</v>
      </c>
      <c r="BC239" s="387">
        <f t="shared" si="133"/>
        <v>0</v>
      </c>
      <c r="BD239" s="387">
        <f t="shared" si="134"/>
        <v>0</v>
      </c>
      <c r="BE239" s="387">
        <f t="shared" si="135"/>
        <v>0</v>
      </c>
      <c r="BF239" s="387">
        <f t="shared" si="136"/>
        <v>0</v>
      </c>
      <c r="BG239" s="387">
        <f t="shared" si="137"/>
        <v>0</v>
      </c>
      <c r="BH239" s="387">
        <f t="shared" si="138"/>
        <v>0</v>
      </c>
      <c r="BI239" s="387">
        <f t="shared" si="139"/>
        <v>0</v>
      </c>
      <c r="BJ239" s="387">
        <f t="shared" si="140"/>
        <v>0</v>
      </c>
      <c r="BK239" s="387">
        <f t="shared" si="141"/>
        <v>0</v>
      </c>
      <c r="BL239" s="387">
        <f t="shared" si="164"/>
        <v>0</v>
      </c>
      <c r="BM239" s="387">
        <f t="shared" si="165"/>
        <v>0</v>
      </c>
      <c r="BN239" s="387">
        <f t="shared" si="142"/>
        <v>0</v>
      </c>
      <c r="BO239" s="387">
        <f t="shared" si="143"/>
        <v>0</v>
      </c>
      <c r="BP239" s="387">
        <f t="shared" si="144"/>
        <v>0</v>
      </c>
      <c r="BQ239" s="387">
        <f t="shared" si="145"/>
        <v>0</v>
      </c>
      <c r="BR239" s="387">
        <f t="shared" si="146"/>
        <v>0</v>
      </c>
      <c r="BS239" s="387">
        <f t="shared" si="147"/>
        <v>0</v>
      </c>
      <c r="BT239" s="387">
        <f t="shared" si="148"/>
        <v>0</v>
      </c>
      <c r="BU239" s="387">
        <f t="shared" si="149"/>
        <v>0</v>
      </c>
      <c r="BV239" s="387">
        <f t="shared" si="150"/>
        <v>0</v>
      </c>
      <c r="BW239" s="387">
        <f t="shared" si="151"/>
        <v>0</v>
      </c>
      <c r="BX239" s="387">
        <f t="shared" si="166"/>
        <v>0</v>
      </c>
      <c r="BY239" s="387">
        <f t="shared" si="167"/>
        <v>0</v>
      </c>
      <c r="BZ239" s="387">
        <f t="shared" si="168"/>
        <v>0</v>
      </c>
      <c r="CA239" s="387">
        <f t="shared" si="169"/>
        <v>0</v>
      </c>
      <c r="CB239" s="387">
        <f t="shared" si="170"/>
        <v>0</v>
      </c>
      <c r="CC239" s="387">
        <f t="shared" si="152"/>
        <v>0</v>
      </c>
      <c r="CD239" s="387">
        <f t="shared" si="153"/>
        <v>0</v>
      </c>
      <c r="CE239" s="387">
        <f t="shared" si="154"/>
        <v>0</v>
      </c>
      <c r="CF239" s="387">
        <f t="shared" si="155"/>
        <v>0</v>
      </c>
      <c r="CG239" s="387">
        <f t="shared" si="156"/>
        <v>0</v>
      </c>
      <c r="CH239" s="387">
        <f t="shared" si="157"/>
        <v>0</v>
      </c>
      <c r="CI239" s="387">
        <f t="shared" si="158"/>
        <v>0</v>
      </c>
      <c r="CJ239" s="387">
        <f t="shared" si="171"/>
        <v>0</v>
      </c>
      <c r="CK239" s="387" t="str">
        <f t="shared" si="172"/>
        <v/>
      </c>
      <c r="CL239" s="387" t="str">
        <f t="shared" si="173"/>
        <v/>
      </c>
      <c r="CM239" s="387" t="str">
        <f t="shared" si="174"/>
        <v/>
      </c>
      <c r="CN239" s="387" t="str">
        <f t="shared" si="175"/>
        <v>0348-31</v>
      </c>
    </row>
    <row r="240" spans="1:92" ht="15.75" thickBot="1" x14ac:dyDescent="0.3">
      <c r="A240" s="376" t="s">
        <v>161</v>
      </c>
      <c r="B240" s="376" t="s">
        <v>162</v>
      </c>
      <c r="C240" s="376" t="s">
        <v>961</v>
      </c>
      <c r="D240" s="376" t="s">
        <v>868</v>
      </c>
      <c r="E240" s="376" t="s">
        <v>224</v>
      </c>
      <c r="F240" s="382" t="s">
        <v>225</v>
      </c>
      <c r="G240" s="376" t="s">
        <v>781</v>
      </c>
      <c r="H240" s="378"/>
      <c r="I240" s="378"/>
      <c r="J240" s="376" t="s">
        <v>215</v>
      </c>
      <c r="K240" s="376" t="s">
        <v>869</v>
      </c>
      <c r="L240" s="376" t="s">
        <v>296</v>
      </c>
      <c r="M240" s="376" t="s">
        <v>171</v>
      </c>
      <c r="N240" s="376" t="s">
        <v>172</v>
      </c>
      <c r="O240" s="379">
        <v>1</v>
      </c>
      <c r="P240" s="385">
        <v>0</v>
      </c>
      <c r="Q240" s="385">
        <v>0</v>
      </c>
      <c r="R240" s="380">
        <v>80</v>
      </c>
      <c r="S240" s="385">
        <v>0</v>
      </c>
      <c r="T240" s="380">
        <v>30704</v>
      </c>
      <c r="U240" s="380">
        <v>0</v>
      </c>
      <c r="V240" s="380">
        <v>15981.3</v>
      </c>
      <c r="W240" s="380">
        <v>0</v>
      </c>
      <c r="X240" s="380">
        <v>0</v>
      </c>
      <c r="Y240" s="380">
        <v>0</v>
      </c>
      <c r="Z240" s="380">
        <v>0</v>
      </c>
      <c r="AA240" s="376" t="s">
        <v>962</v>
      </c>
      <c r="AB240" s="376" t="s">
        <v>310</v>
      </c>
      <c r="AC240" s="376" t="s">
        <v>963</v>
      </c>
      <c r="AD240" s="376" t="s">
        <v>964</v>
      </c>
      <c r="AE240" s="376" t="s">
        <v>873</v>
      </c>
      <c r="AF240" s="376" t="s">
        <v>393</v>
      </c>
      <c r="AG240" s="376" t="s">
        <v>178</v>
      </c>
      <c r="AH240" s="381">
        <v>20.2</v>
      </c>
      <c r="AI240" s="379">
        <v>1600</v>
      </c>
      <c r="AJ240" s="376" t="s">
        <v>179</v>
      </c>
      <c r="AK240" s="376" t="s">
        <v>180</v>
      </c>
      <c r="AL240" s="376" t="s">
        <v>181</v>
      </c>
      <c r="AM240" s="376" t="s">
        <v>182</v>
      </c>
      <c r="AN240" s="376" t="s">
        <v>68</v>
      </c>
      <c r="AO240" s="379">
        <v>80</v>
      </c>
      <c r="AP240" s="385">
        <v>1</v>
      </c>
      <c r="AQ240" s="385">
        <v>0</v>
      </c>
      <c r="AR240" s="383">
        <v>3</v>
      </c>
      <c r="AS240" s="387">
        <f t="shared" si="159"/>
        <v>0</v>
      </c>
      <c r="AT240">
        <f t="shared" si="160"/>
        <v>0</v>
      </c>
      <c r="AU240" s="387" t="str">
        <f>IF(AT240=0,"",IF(AND(AT240=1,M240="F",SUMIF(C2:C1334,C240,AS2:AS1334)&lt;=1),SUMIF(C2:C1334,C240,AS2:AS1334),IF(AND(AT240=1,M240="F",SUMIF(C2:C1334,C240,AS2:AS1334)&gt;1),1,"")))</f>
        <v/>
      </c>
      <c r="AV240" s="387" t="str">
        <f>IF(AT240=0,"",IF(AND(AT240=3,M240="F",SUMIF(C2:C1334,C240,AS2:AS1334)&lt;=1),SUMIF(C2:C1334,C240,AS2:AS1334),IF(AND(AT240=3,M240="F",SUMIF(C2:C1334,C240,AS2:AS1334)&gt;1),1,"")))</f>
        <v/>
      </c>
      <c r="AW240" s="387">
        <f>SUMIF(C2:C1334,C240,O2:O1334)</f>
        <v>2</v>
      </c>
      <c r="AX240" s="387">
        <f>IF(AND(M240="F",AS240&lt;&gt;0),SUMIF(C2:C1334,C240,W2:W1334),0)</f>
        <v>0</v>
      </c>
      <c r="AY240" s="387" t="str">
        <f t="shared" si="161"/>
        <v/>
      </c>
      <c r="AZ240" s="387" t="str">
        <f t="shared" si="162"/>
        <v/>
      </c>
      <c r="BA240" s="387">
        <f t="shared" si="163"/>
        <v>0</v>
      </c>
      <c r="BB240" s="387">
        <f t="shared" si="132"/>
        <v>0</v>
      </c>
      <c r="BC240" s="387">
        <f t="shared" si="133"/>
        <v>0</v>
      </c>
      <c r="BD240" s="387">
        <f t="shared" si="134"/>
        <v>0</v>
      </c>
      <c r="BE240" s="387">
        <f t="shared" si="135"/>
        <v>0</v>
      </c>
      <c r="BF240" s="387">
        <f t="shared" si="136"/>
        <v>0</v>
      </c>
      <c r="BG240" s="387">
        <f t="shared" si="137"/>
        <v>0</v>
      </c>
      <c r="BH240" s="387">
        <f t="shared" si="138"/>
        <v>0</v>
      </c>
      <c r="BI240" s="387">
        <f t="shared" si="139"/>
        <v>0</v>
      </c>
      <c r="BJ240" s="387">
        <f t="shared" si="140"/>
        <v>0</v>
      </c>
      <c r="BK240" s="387">
        <f t="shared" si="141"/>
        <v>0</v>
      </c>
      <c r="BL240" s="387">
        <f t="shared" si="164"/>
        <v>0</v>
      </c>
      <c r="BM240" s="387">
        <f t="shared" si="165"/>
        <v>0</v>
      </c>
      <c r="BN240" s="387">
        <f t="shared" si="142"/>
        <v>0</v>
      </c>
      <c r="BO240" s="387">
        <f t="shared" si="143"/>
        <v>0</v>
      </c>
      <c r="BP240" s="387">
        <f t="shared" si="144"/>
        <v>0</v>
      </c>
      <c r="BQ240" s="387">
        <f t="shared" si="145"/>
        <v>0</v>
      </c>
      <c r="BR240" s="387">
        <f t="shared" si="146"/>
        <v>0</v>
      </c>
      <c r="BS240" s="387">
        <f t="shared" si="147"/>
        <v>0</v>
      </c>
      <c r="BT240" s="387">
        <f t="shared" si="148"/>
        <v>0</v>
      </c>
      <c r="BU240" s="387">
        <f t="shared" si="149"/>
        <v>0</v>
      </c>
      <c r="BV240" s="387">
        <f t="shared" si="150"/>
        <v>0</v>
      </c>
      <c r="BW240" s="387">
        <f t="shared" si="151"/>
        <v>0</v>
      </c>
      <c r="BX240" s="387">
        <f t="shared" si="166"/>
        <v>0</v>
      </c>
      <c r="BY240" s="387">
        <f t="shared" si="167"/>
        <v>0</v>
      </c>
      <c r="BZ240" s="387">
        <f t="shared" si="168"/>
        <v>0</v>
      </c>
      <c r="CA240" s="387">
        <f t="shared" si="169"/>
        <v>0</v>
      </c>
      <c r="CB240" s="387">
        <f t="shared" si="170"/>
        <v>0</v>
      </c>
      <c r="CC240" s="387">
        <f t="shared" si="152"/>
        <v>0</v>
      </c>
      <c r="CD240" s="387">
        <f t="shared" si="153"/>
        <v>0</v>
      </c>
      <c r="CE240" s="387">
        <f t="shared" si="154"/>
        <v>0</v>
      </c>
      <c r="CF240" s="387">
        <f t="shared" si="155"/>
        <v>0</v>
      </c>
      <c r="CG240" s="387">
        <f t="shared" si="156"/>
        <v>0</v>
      </c>
      <c r="CH240" s="387">
        <f t="shared" si="157"/>
        <v>0</v>
      </c>
      <c r="CI240" s="387">
        <f t="shared" si="158"/>
        <v>0</v>
      </c>
      <c r="CJ240" s="387">
        <f t="shared" si="171"/>
        <v>0</v>
      </c>
      <c r="CK240" s="387" t="str">
        <f t="shared" si="172"/>
        <v/>
      </c>
      <c r="CL240" s="387" t="str">
        <f t="shared" si="173"/>
        <v/>
      </c>
      <c r="CM240" s="387" t="str">
        <f t="shared" si="174"/>
        <v/>
      </c>
      <c r="CN240" s="387" t="str">
        <f t="shared" si="175"/>
        <v>0348-31</v>
      </c>
    </row>
    <row r="241" spans="1:92" ht="15.75" thickBot="1" x14ac:dyDescent="0.3">
      <c r="A241" s="376" t="s">
        <v>161</v>
      </c>
      <c r="B241" s="376" t="s">
        <v>162</v>
      </c>
      <c r="C241" s="376" t="s">
        <v>833</v>
      </c>
      <c r="D241" s="376" t="s">
        <v>786</v>
      </c>
      <c r="E241" s="376" t="s">
        <v>224</v>
      </c>
      <c r="F241" s="382" t="s">
        <v>225</v>
      </c>
      <c r="G241" s="376" t="s">
        <v>781</v>
      </c>
      <c r="H241" s="378"/>
      <c r="I241" s="378"/>
      <c r="J241" s="376" t="s">
        <v>239</v>
      </c>
      <c r="K241" s="376" t="s">
        <v>787</v>
      </c>
      <c r="L241" s="376" t="s">
        <v>181</v>
      </c>
      <c r="M241" s="376" t="s">
        <v>171</v>
      </c>
      <c r="N241" s="376" t="s">
        <v>172</v>
      </c>
      <c r="O241" s="379">
        <v>1</v>
      </c>
      <c r="P241" s="385">
        <v>0.95</v>
      </c>
      <c r="Q241" s="385">
        <v>0.95</v>
      </c>
      <c r="R241" s="380">
        <v>80</v>
      </c>
      <c r="S241" s="385">
        <v>0.95</v>
      </c>
      <c r="T241" s="380">
        <v>71830.42</v>
      </c>
      <c r="U241" s="380">
        <v>0</v>
      </c>
      <c r="V241" s="380">
        <v>25619.98</v>
      </c>
      <c r="W241" s="380">
        <v>75048.479999999996</v>
      </c>
      <c r="X241" s="380">
        <v>27296.7</v>
      </c>
      <c r="Y241" s="380">
        <v>75048.479999999996</v>
      </c>
      <c r="Z241" s="380">
        <v>26981.5</v>
      </c>
      <c r="AA241" s="376" t="s">
        <v>834</v>
      </c>
      <c r="AB241" s="376" t="s">
        <v>835</v>
      </c>
      <c r="AC241" s="376" t="s">
        <v>428</v>
      </c>
      <c r="AD241" s="376" t="s">
        <v>836</v>
      </c>
      <c r="AE241" s="376" t="s">
        <v>787</v>
      </c>
      <c r="AF241" s="376" t="s">
        <v>211</v>
      </c>
      <c r="AG241" s="376" t="s">
        <v>178</v>
      </c>
      <c r="AH241" s="381">
        <v>37.979999999999997</v>
      </c>
      <c r="AI241" s="381">
        <v>27965.8</v>
      </c>
      <c r="AJ241" s="376" t="s">
        <v>179</v>
      </c>
      <c r="AK241" s="376" t="s">
        <v>180</v>
      </c>
      <c r="AL241" s="376" t="s">
        <v>181</v>
      </c>
      <c r="AM241" s="376" t="s">
        <v>182</v>
      </c>
      <c r="AN241" s="376" t="s">
        <v>68</v>
      </c>
      <c r="AO241" s="379">
        <v>80</v>
      </c>
      <c r="AP241" s="385">
        <v>1</v>
      </c>
      <c r="AQ241" s="385">
        <v>0.95</v>
      </c>
      <c r="AR241" s="383" t="s">
        <v>183</v>
      </c>
      <c r="AS241" s="387">
        <f t="shared" si="159"/>
        <v>0.95</v>
      </c>
      <c r="AT241">
        <f t="shared" si="160"/>
        <v>1</v>
      </c>
      <c r="AU241" s="387">
        <f>IF(AT241=0,"",IF(AND(AT241=1,M241="F",SUMIF(C2:C1334,C241,AS2:AS1334)&lt;=1),SUMIF(C2:C1334,C241,AS2:AS1334),IF(AND(AT241=1,M241="F",SUMIF(C2:C1334,C241,AS2:AS1334)&gt;1),1,"")))</f>
        <v>1</v>
      </c>
      <c r="AV241" s="387" t="str">
        <f>IF(AT241=0,"",IF(AND(AT241=3,M241="F",SUMIF(C2:C1334,C241,AS2:AS1334)&lt;=1),SUMIF(C2:C1334,C241,AS2:AS1334),IF(AND(AT241=3,M241="F",SUMIF(C2:C1334,C241,AS2:AS1334)&gt;1),1,"")))</f>
        <v/>
      </c>
      <c r="AW241" s="387">
        <f>SUMIF(C2:C1334,C241,O2:O1334)</f>
        <v>4</v>
      </c>
      <c r="AX241" s="387">
        <f>IF(AND(M241="F",AS241&lt;&gt;0),SUMIF(C2:C1334,C241,W2:W1334),0)</f>
        <v>78998.399999999994</v>
      </c>
      <c r="AY241" s="387">
        <f t="shared" si="161"/>
        <v>75048.479999999996</v>
      </c>
      <c r="AZ241" s="387" t="str">
        <f t="shared" si="162"/>
        <v/>
      </c>
      <c r="BA241" s="387">
        <f t="shared" si="163"/>
        <v>0</v>
      </c>
      <c r="BB241" s="387">
        <f t="shared" si="132"/>
        <v>11067.5</v>
      </c>
      <c r="BC241" s="387">
        <f t="shared" si="133"/>
        <v>0</v>
      </c>
      <c r="BD241" s="387">
        <f t="shared" si="134"/>
        <v>4653.00576</v>
      </c>
      <c r="BE241" s="387">
        <f t="shared" si="135"/>
        <v>1088.2029600000001</v>
      </c>
      <c r="BF241" s="387">
        <f t="shared" si="136"/>
        <v>8960.7885119999992</v>
      </c>
      <c r="BG241" s="387">
        <f t="shared" si="137"/>
        <v>541.0995408</v>
      </c>
      <c r="BH241" s="387">
        <f t="shared" si="138"/>
        <v>367.73755199999999</v>
      </c>
      <c r="BI241" s="387">
        <f t="shared" si="139"/>
        <v>415.39333679999999</v>
      </c>
      <c r="BJ241" s="387">
        <f t="shared" si="140"/>
        <v>202.63089600000001</v>
      </c>
      <c r="BK241" s="387">
        <f t="shared" si="141"/>
        <v>0</v>
      </c>
      <c r="BL241" s="387">
        <f t="shared" si="164"/>
        <v>16228.8585576</v>
      </c>
      <c r="BM241" s="387">
        <f t="shared" si="165"/>
        <v>0</v>
      </c>
      <c r="BN241" s="387">
        <f t="shared" si="142"/>
        <v>11067.5</v>
      </c>
      <c r="BO241" s="387">
        <f t="shared" si="143"/>
        <v>0</v>
      </c>
      <c r="BP241" s="387">
        <f t="shared" si="144"/>
        <v>4653.00576</v>
      </c>
      <c r="BQ241" s="387">
        <f t="shared" si="145"/>
        <v>1088.2029600000001</v>
      </c>
      <c r="BR241" s="387">
        <f t="shared" si="146"/>
        <v>8960.7885119999992</v>
      </c>
      <c r="BS241" s="387">
        <f t="shared" si="147"/>
        <v>541.0995408</v>
      </c>
      <c r="BT241" s="387">
        <f t="shared" si="148"/>
        <v>0</v>
      </c>
      <c r="BU241" s="387">
        <f t="shared" si="149"/>
        <v>415.39333679999999</v>
      </c>
      <c r="BV241" s="387">
        <f t="shared" si="150"/>
        <v>255.16483199999996</v>
      </c>
      <c r="BW241" s="387">
        <f t="shared" si="151"/>
        <v>0</v>
      </c>
      <c r="BX241" s="387">
        <f t="shared" si="166"/>
        <v>15913.6549416</v>
      </c>
      <c r="BY241" s="387">
        <f t="shared" si="167"/>
        <v>0</v>
      </c>
      <c r="BZ241" s="387">
        <f t="shared" si="168"/>
        <v>0</v>
      </c>
      <c r="CA241" s="387">
        <f t="shared" si="169"/>
        <v>0</v>
      </c>
      <c r="CB241" s="387">
        <f t="shared" si="170"/>
        <v>0</v>
      </c>
      <c r="CC241" s="387">
        <f t="shared" si="152"/>
        <v>0</v>
      </c>
      <c r="CD241" s="387">
        <f t="shared" si="153"/>
        <v>0</v>
      </c>
      <c r="CE241" s="387">
        <f t="shared" si="154"/>
        <v>0</v>
      </c>
      <c r="CF241" s="387">
        <f t="shared" si="155"/>
        <v>-367.73755199999999</v>
      </c>
      <c r="CG241" s="387">
        <f t="shared" si="156"/>
        <v>0</v>
      </c>
      <c r="CH241" s="387">
        <f t="shared" si="157"/>
        <v>52.533935999999969</v>
      </c>
      <c r="CI241" s="387">
        <f t="shared" si="158"/>
        <v>0</v>
      </c>
      <c r="CJ241" s="387">
        <f t="shared" si="171"/>
        <v>-315.20361600000001</v>
      </c>
      <c r="CK241" s="387" t="str">
        <f t="shared" si="172"/>
        <v/>
      </c>
      <c r="CL241" s="387" t="str">
        <f t="shared" si="173"/>
        <v/>
      </c>
      <c r="CM241" s="387" t="str">
        <f t="shared" si="174"/>
        <v/>
      </c>
      <c r="CN241" s="387" t="str">
        <f t="shared" si="175"/>
        <v>0348-31</v>
      </c>
    </row>
    <row r="242" spans="1:92" ht="15.75" thickBot="1" x14ac:dyDescent="0.3">
      <c r="A242" s="376" t="s">
        <v>161</v>
      </c>
      <c r="B242" s="376" t="s">
        <v>162</v>
      </c>
      <c r="C242" s="376" t="s">
        <v>484</v>
      </c>
      <c r="D242" s="376" t="s">
        <v>485</v>
      </c>
      <c r="E242" s="376" t="s">
        <v>224</v>
      </c>
      <c r="F242" s="382" t="s">
        <v>225</v>
      </c>
      <c r="G242" s="376" t="s">
        <v>781</v>
      </c>
      <c r="H242" s="378"/>
      <c r="I242" s="378"/>
      <c r="J242" s="376" t="s">
        <v>215</v>
      </c>
      <c r="K242" s="376" t="s">
        <v>486</v>
      </c>
      <c r="L242" s="376" t="s">
        <v>210</v>
      </c>
      <c r="M242" s="376" t="s">
        <v>171</v>
      </c>
      <c r="N242" s="376" t="s">
        <v>172</v>
      </c>
      <c r="O242" s="379">
        <v>1</v>
      </c>
      <c r="P242" s="385">
        <v>0</v>
      </c>
      <c r="Q242" s="385">
        <v>0</v>
      </c>
      <c r="R242" s="380">
        <v>80</v>
      </c>
      <c r="S242" s="385">
        <v>0</v>
      </c>
      <c r="T242" s="380">
        <v>72620.399999999994</v>
      </c>
      <c r="U242" s="380">
        <v>0</v>
      </c>
      <c r="V242" s="380">
        <v>25264.25</v>
      </c>
      <c r="W242" s="380">
        <v>0</v>
      </c>
      <c r="X242" s="380">
        <v>0</v>
      </c>
      <c r="Y242" s="380">
        <v>0</v>
      </c>
      <c r="Z242" s="380">
        <v>0</v>
      </c>
      <c r="AA242" s="376" t="s">
        <v>487</v>
      </c>
      <c r="AB242" s="376" t="s">
        <v>488</v>
      </c>
      <c r="AC242" s="376" t="s">
        <v>489</v>
      </c>
      <c r="AD242" s="376" t="s">
        <v>210</v>
      </c>
      <c r="AE242" s="376" t="s">
        <v>486</v>
      </c>
      <c r="AF242" s="376" t="s">
        <v>245</v>
      </c>
      <c r="AG242" s="376" t="s">
        <v>178</v>
      </c>
      <c r="AH242" s="381">
        <v>40.69</v>
      </c>
      <c r="AI242" s="381">
        <v>47688.5</v>
      </c>
      <c r="AJ242" s="376" t="s">
        <v>179</v>
      </c>
      <c r="AK242" s="376" t="s">
        <v>180</v>
      </c>
      <c r="AL242" s="376" t="s">
        <v>181</v>
      </c>
      <c r="AM242" s="376" t="s">
        <v>182</v>
      </c>
      <c r="AN242" s="376" t="s">
        <v>68</v>
      </c>
      <c r="AO242" s="379">
        <v>80</v>
      </c>
      <c r="AP242" s="385">
        <v>1</v>
      </c>
      <c r="AQ242" s="385">
        <v>0</v>
      </c>
      <c r="AR242" s="383" t="s">
        <v>183</v>
      </c>
      <c r="AS242" s="387">
        <f t="shared" si="159"/>
        <v>0</v>
      </c>
      <c r="AT242">
        <f t="shared" si="160"/>
        <v>0</v>
      </c>
      <c r="AU242" s="387" t="str">
        <f>IF(AT242=0,"",IF(AND(AT242=1,M242="F",SUMIF(C2:C1334,C242,AS2:AS1334)&lt;=1),SUMIF(C2:C1334,C242,AS2:AS1334),IF(AND(AT242=1,M242="F",SUMIF(C2:C1334,C242,AS2:AS1334)&gt;1),1,"")))</f>
        <v/>
      </c>
      <c r="AV242" s="387" t="str">
        <f>IF(AT242=0,"",IF(AND(AT242=3,M242="F",SUMIF(C2:C1334,C242,AS2:AS1334)&lt;=1),SUMIF(C2:C1334,C242,AS2:AS1334),IF(AND(AT242=3,M242="F",SUMIF(C2:C1334,C242,AS2:AS1334)&gt;1),1,"")))</f>
        <v/>
      </c>
      <c r="AW242" s="387">
        <f>SUMIF(C2:C1334,C242,O2:O1334)</f>
        <v>3</v>
      </c>
      <c r="AX242" s="387">
        <f>IF(AND(M242="F",AS242&lt;&gt;0),SUMIF(C2:C1334,C242,W2:W1334),0)</f>
        <v>0</v>
      </c>
      <c r="AY242" s="387" t="str">
        <f t="shared" si="161"/>
        <v/>
      </c>
      <c r="AZ242" s="387" t="str">
        <f t="shared" si="162"/>
        <v/>
      </c>
      <c r="BA242" s="387">
        <f t="shared" si="163"/>
        <v>0</v>
      </c>
      <c r="BB242" s="387">
        <f t="shared" si="132"/>
        <v>0</v>
      </c>
      <c r="BC242" s="387">
        <f t="shared" si="133"/>
        <v>0</v>
      </c>
      <c r="BD242" s="387">
        <f t="shared" si="134"/>
        <v>0</v>
      </c>
      <c r="BE242" s="387">
        <f t="shared" si="135"/>
        <v>0</v>
      </c>
      <c r="BF242" s="387">
        <f t="shared" si="136"/>
        <v>0</v>
      </c>
      <c r="BG242" s="387">
        <f t="shared" si="137"/>
        <v>0</v>
      </c>
      <c r="BH242" s="387">
        <f t="shared" si="138"/>
        <v>0</v>
      </c>
      <c r="BI242" s="387">
        <f t="shared" si="139"/>
        <v>0</v>
      </c>
      <c r="BJ242" s="387">
        <f t="shared" si="140"/>
        <v>0</v>
      </c>
      <c r="BK242" s="387">
        <f t="shared" si="141"/>
        <v>0</v>
      </c>
      <c r="BL242" s="387">
        <f t="shared" si="164"/>
        <v>0</v>
      </c>
      <c r="BM242" s="387">
        <f t="shared" si="165"/>
        <v>0</v>
      </c>
      <c r="BN242" s="387">
        <f t="shared" si="142"/>
        <v>0</v>
      </c>
      <c r="BO242" s="387">
        <f t="shared" si="143"/>
        <v>0</v>
      </c>
      <c r="BP242" s="387">
        <f t="shared" si="144"/>
        <v>0</v>
      </c>
      <c r="BQ242" s="387">
        <f t="shared" si="145"/>
        <v>0</v>
      </c>
      <c r="BR242" s="387">
        <f t="shared" si="146"/>
        <v>0</v>
      </c>
      <c r="BS242" s="387">
        <f t="shared" si="147"/>
        <v>0</v>
      </c>
      <c r="BT242" s="387">
        <f t="shared" si="148"/>
        <v>0</v>
      </c>
      <c r="BU242" s="387">
        <f t="shared" si="149"/>
        <v>0</v>
      </c>
      <c r="BV242" s="387">
        <f t="shared" si="150"/>
        <v>0</v>
      </c>
      <c r="BW242" s="387">
        <f t="shared" si="151"/>
        <v>0</v>
      </c>
      <c r="BX242" s="387">
        <f t="shared" si="166"/>
        <v>0</v>
      </c>
      <c r="BY242" s="387">
        <f t="shared" si="167"/>
        <v>0</v>
      </c>
      <c r="BZ242" s="387">
        <f t="shared" si="168"/>
        <v>0</v>
      </c>
      <c r="CA242" s="387">
        <f t="shared" si="169"/>
        <v>0</v>
      </c>
      <c r="CB242" s="387">
        <f t="shared" si="170"/>
        <v>0</v>
      </c>
      <c r="CC242" s="387">
        <f t="shared" si="152"/>
        <v>0</v>
      </c>
      <c r="CD242" s="387">
        <f t="shared" si="153"/>
        <v>0</v>
      </c>
      <c r="CE242" s="387">
        <f t="shared" si="154"/>
        <v>0</v>
      </c>
      <c r="CF242" s="387">
        <f t="shared" si="155"/>
        <v>0</v>
      </c>
      <c r="CG242" s="387">
        <f t="shared" si="156"/>
        <v>0</v>
      </c>
      <c r="CH242" s="387">
        <f t="shared" si="157"/>
        <v>0</v>
      </c>
      <c r="CI242" s="387">
        <f t="shared" si="158"/>
        <v>0</v>
      </c>
      <c r="CJ242" s="387">
        <f t="shared" si="171"/>
        <v>0</v>
      </c>
      <c r="CK242" s="387" t="str">
        <f t="shared" si="172"/>
        <v/>
      </c>
      <c r="CL242" s="387" t="str">
        <f t="shared" si="173"/>
        <v/>
      </c>
      <c r="CM242" s="387" t="str">
        <f t="shared" si="174"/>
        <v/>
      </c>
      <c r="CN242" s="387" t="str">
        <f t="shared" si="175"/>
        <v>0348-31</v>
      </c>
    </row>
    <row r="243" spans="1:92" ht="15.75" thickBot="1" x14ac:dyDescent="0.3">
      <c r="A243" s="376" t="s">
        <v>161</v>
      </c>
      <c r="B243" s="376" t="s">
        <v>162</v>
      </c>
      <c r="C243" s="376" t="s">
        <v>965</v>
      </c>
      <c r="D243" s="376" t="s">
        <v>868</v>
      </c>
      <c r="E243" s="376" t="s">
        <v>224</v>
      </c>
      <c r="F243" s="382" t="s">
        <v>225</v>
      </c>
      <c r="G243" s="376" t="s">
        <v>781</v>
      </c>
      <c r="H243" s="378"/>
      <c r="I243" s="378"/>
      <c r="J243" s="376" t="s">
        <v>215</v>
      </c>
      <c r="K243" s="376" t="s">
        <v>869</v>
      </c>
      <c r="L243" s="376" t="s">
        <v>296</v>
      </c>
      <c r="M243" s="376" t="s">
        <v>171</v>
      </c>
      <c r="N243" s="376" t="s">
        <v>172</v>
      </c>
      <c r="O243" s="379">
        <v>1</v>
      </c>
      <c r="P243" s="385">
        <v>0</v>
      </c>
      <c r="Q243" s="385">
        <v>0</v>
      </c>
      <c r="R243" s="380">
        <v>80</v>
      </c>
      <c r="S243" s="385">
        <v>0</v>
      </c>
      <c r="T243" s="380">
        <v>4944</v>
      </c>
      <c r="U243" s="380">
        <v>0</v>
      </c>
      <c r="V243" s="380">
        <v>2490.7399999999998</v>
      </c>
      <c r="W243" s="380">
        <v>0</v>
      </c>
      <c r="X243" s="380">
        <v>0</v>
      </c>
      <c r="Y243" s="380">
        <v>0</v>
      </c>
      <c r="Z243" s="380">
        <v>0</v>
      </c>
      <c r="AA243" s="376" t="s">
        <v>966</v>
      </c>
      <c r="AB243" s="376" t="s">
        <v>967</v>
      </c>
      <c r="AC243" s="376" t="s">
        <v>730</v>
      </c>
      <c r="AD243" s="376" t="s">
        <v>198</v>
      </c>
      <c r="AE243" s="376" t="s">
        <v>873</v>
      </c>
      <c r="AF243" s="376" t="s">
        <v>393</v>
      </c>
      <c r="AG243" s="376" t="s">
        <v>178</v>
      </c>
      <c r="AH243" s="381">
        <v>20.6</v>
      </c>
      <c r="AI243" s="381">
        <v>36964.800000000003</v>
      </c>
      <c r="AJ243" s="376" t="s">
        <v>179</v>
      </c>
      <c r="AK243" s="376" t="s">
        <v>180</v>
      </c>
      <c r="AL243" s="376" t="s">
        <v>181</v>
      </c>
      <c r="AM243" s="376" t="s">
        <v>182</v>
      </c>
      <c r="AN243" s="376" t="s">
        <v>68</v>
      </c>
      <c r="AO243" s="379">
        <v>80</v>
      </c>
      <c r="AP243" s="385">
        <v>1</v>
      </c>
      <c r="AQ243" s="385">
        <v>0</v>
      </c>
      <c r="AR243" s="383">
        <v>3</v>
      </c>
      <c r="AS243" s="387">
        <f t="shared" si="159"/>
        <v>0</v>
      </c>
      <c r="AT243">
        <f t="shared" si="160"/>
        <v>0</v>
      </c>
      <c r="AU243" s="387" t="str">
        <f>IF(AT243=0,"",IF(AND(AT243=1,M243="F",SUMIF(C2:C1334,C243,AS2:AS1334)&lt;=1),SUMIF(C2:C1334,C243,AS2:AS1334),IF(AND(AT243=1,M243="F",SUMIF(C2:C1334,C243,AS2:AS1334)&gt;1),1,"")))</f>
        <v/>
      </c>
      <c r="AV243" s="387" t="str">
        <f>IF(AT243=0,"",IF(AND(AT243=3,M243="F",SUMIF(C2:C1334,C243,AS2:AS1334)&lt;=1),SUMIF(C2:C1334,C243,AS2:AS1334),IF(AND(AT243=3,M243="F",SUMIF(C2:C1334,C243,AS2:AS1334)&gt;1),1,"")))</f>
        <v/>
      </c>
      <c r="AW243" s="387">
        <f>SUMIF(C2:C1334,C243,O2:O1334)</f>
        <v>2</v>
      </c>
      <c r="AX243" s="387">
        <f>IF(AND(M243="F",AS243&lt;&gt;0),SUMIF(C2:C1334,C243,W2:W1334),0)</f>
        <v>0</v>
      </c>
      <c r="AY243" s="387" t="str">
        <f t="shared" si="161"/>
        <v/>
      </c>
      <c r="AZ243" s="387" t="str">
        <f t="shared" si="162"/>
        <v/>
      </c>
      <c r="BA243" s="387">
        <f t="shared" si="163"/>
        <v>0</v>
      </c>
      <c r="BB243" s="387">
        <f t="shared" si="132"/>
        <v>0</v>
      </c>
      <c r="BC243" s="387">
        <f t="shared" si="133"/>
        <v>0</v>
      </c>
      <c r="BD243" s="387">
        <f t="shared" si="134"/>
        <v>0</v>
      </c>
      <c r="BE243" s="387">
        <f t="shared" si="135"/>
        <v>0</v>
      </c>
      <c r="BF243" s="387">
        <f t="shared" si="136"/>
        <v>0</v>
      </c>
      <c r="BG243" s="387">
        <f t="shared" si="137"/>
        <v>0</v>
      </c>
      <c r="BH243" s="387">
        <f t="shared" si="138"/>
        <v>0</v>
      </c>
      <c r="BI243" s="387">
        <f t="shared" si="139"/>
        <v>0</v>
      </c>
      <c r="BJ243" s="387">
        <f t="shared" si="140"/>
        <v>0</v>
      </c>
      <c r="BK243" s="387">
        <f t="shared" si="141"/>
        <v>0</v>
      </c>
      <c r="BL243" s="387">
        <f t="shared" si="164"/>
        <v>0</v>
      </c>
      <c r="BM243" s="387">
        <f t="shared" si="165"/>
        <v>0</v>
      </c>
      <c r="BN243" s="387">
        <f t="shared" si="142"/>
        <v>0</v>
      </c>
      <c r="BO243" s="387">
        <f t="shared" si="143"/>
        <v>0</v>
      </c>
      <c r="BP243" s="387">
        <f t="shared" si="144"/>
        <v>0</v>
      </c>
      <c r="BQ243" s="387">
        <f t="shared" si="145"/>
        <v>0</v>
      </c>
      <c r="BR243" s="387">
        <f t="shared" si="146"/>
        <v>0</v>
      </c>
      <c r="BS243" s="387">
        <f t="shared" si="147"/>
        <v>0</v>
      </c>
      <c r="BT243" s="387">
        <f t="shared" si="148"/>
        <v>0</v>
      </c>
      <c r="BU243" s="387">
        <f t="shared" si="149"/>
        <v>0</v>
      </c>
      <c r="BV243" s="387">
        <f t="shared" si="150"/>
        <v>0</v>
      </c>
      <c r="BW243" s="387">
        <f t="shared" si="151"/>
        <v>0</v>
      </c>
      <c r="BX243" s="387">
        <f t="shared" si="166"/>
        <v>0</v>
      </c>
      <c r="BY243" s="387">
        <f t="shared" si="167"/>
        <v>0</v>
      </c>
      <c r="BZ243" s="387">
        <f t="shared" si="168"/>
        <v>0</v>
      </c>
      <c r="CA243" s="387">
        <f t="shared" si="169"/>
        <v>0</v>
      </c>
      <c r="CB243" s="387">
        <f t="shared" si="170"/>
        <v>0</v>
      </c>
      <c r="CC243" s="387">
        <f t="shared" si="152"/>
        <v>0</v>
      </c>
      <c r="CD243" s="387">
        <f t="shared" si="153"/>
        <v>0</v>
      </c>
      <c r="CE243" s="387">
        <f t="shared" si="154"/>
        <v>0</v>
      </c>
      <c r="CF243" s="387">
        <f t="shared" si="155"/>
        <v>0</v>
      </c>
      <c r="CG243" s="387">
        <f t="shared" si="156"/>
        <v>0</v>
      </c>
      <c r="CH243" s="387">
        <f t="shared" si="157"/>
        <v>0</v>
      </c>
      <c r="CI243" s="387">
        <f t="shared" si="158"/>
        <v>0</v>
      </c>
      <c r="CJ243" s="387">
        <f t="shared" si="171"/>
        <v>0</v>
      </c>
      <c r="CK243" s="387" t="str">
        <f t="shared" si="172"/>
        <v/>
      </c>
      <c r="CL243" s="387" t="str">
        <f t="shared" si="173"/>
        <v/>
      </c>
      <c r="CM243" s="387" t="str">
        <f t="shared" si="174"/>
        <v/>
      </c>
      <c r="CN243" s="387" t="str">
        <f t="shared" si="175"/>
        <v>0348-31</v>
      </c>
    </row>
    <row r="244" spans="1:92" ht="15.75" thickBot="1" x14ac:dyDescent="0.3">
      <c r="A244" s="376" t="s">
        <v>161</v>
      </c>
      <c r="B244" s="376" t="s">
        <v>162</v>
      </c>
      <c r="C244" s="376" t="s">
        <v>739</v>
      </c>
      <c r="D244" s="376" t="s">
        <v>270</v>
      </c>
      <c r="E244" s="376" t="s">
        <v>224</v>
      </c>
      <c r="F244" s="382" t="s">
        <v>225</v>
      </c>
      <c r="G244" s="376" t="s">
        <v>781</v>
      </c>
      <c r="H244" s="378"/>
      <c r="I244" s="378"/>
      <c r="J244" s="376" t="s">
        <v>239</v>
      </c>
      <c r="K244" s="376" t="s">
        <v>271</v>
      </c>
      <c r="L244" s="376" t="s">
        <v>217</v>
      </c>
      <c r="M244" s="376" t="s">
        <v>171</v>
      </c>
      <c r="N244" s="376" t="s">
        <v>172</v>
      </c>
      <c r="O244" s="379">
        <v>1</v>
      </c>
      <c r="P244" s="385">
        <v>0.25</v>
      </c>
      <c r="Q244" s="385">
        <v>0.25</v>
      </c>
      <c r="R244" s="380">
        <v>80</v>
      </c>
      <c r="S244" s="385">
        <v>0.25</v>
      </c>
      <c r="T244" s="380">
        <v>0</v>
      </c>
      <c r="U244" s="380">
        <v>0</v>
      </c>
      <c r="V244" s="380">
        <v>0</v>
      </c>
      <c r="W244" s="380">
        <v>8715.2000000000007</v>
      </c>
      <c r="X244" s="380">
        <v>4797.1499999999996</v>
      </c>
      <c r="Y244" s="380">
        <v>8715.2000000000007</v>
      </c>
      <c r="Z244" s="380">
        <v>4760.54</v>
      </c>
      <c r="AA244" s="376" t="s">
        <v>740</v>
      </c>
      <c r="AB244" s="376" t="s">
        <v>703</v>
      </c>
      <c r="AC244" s="376" t="s">
        <v>561</v>
      </c>
      <c r="AD244" s="376" t="s">
        <v>741</v>
      </c>
      <c r="AE244" s="376" t="s">
        <v>271</v>
      </c>
      <c r="AF244" s="376" t="s">
        <v>221</v>
      </c>
      <c r="AG244" s="376" t="s">
        <v>178</v>
      </c>
      <c r="AH244" s="381">
        <v>16.760000000000002</v>
      </c>
      <c r="AI244" s="379">
        <v>3752</v>
      </c>
      <c r="AJ244" s="376" t="s">
        <v>179</v>
      </c>
      <c r="AK244" s="376" t="s">
        <v>180</v>
      </c>
      <c r="AL244" s="376" t="s">
        <v>181</v>
      </c>
      <c r="AM244" s="376" t="s">
        <v>182</v>
      </c>
      <c r="AN244" s="376" t="s">
        <v>68</v>
      </c>
      <c r="AO244" s="379">
        <v>80</v>
      </c>
      <c r="AP244" s="385">
        <v>1</v>
      </c>
      <c r="AQ244" s="385">
        <v>0.25</v>
      </c>
      <c r="AR244" s="383" t="s">
        <v>183</v>
      </c>
      <c r="AS244" s="387">
        <f t="shared" si="159"/>
        <v>0.25</v>
      </c>
      <c r="AT244">
        <f t="shared" si="160"/>
        <v>1</v>
      </c>
      <c r="AU244" s="387">
        <f>IF(AT244=0,"",IF(AND(AT244=1,M244="F",SUMIF(C2:C1334,C244,AS2:AS1334)&lt;=1),SUMIF(C2:C1334,C244,AS2:AS1334),IF(AND(AT244=1,M244="F",SUMIF(C2:C1334,C244,AS2:AS1334)&gt;1),1,"")))</f>
        <v>1</v>
      </c>
      <c r="AV244" s="387" t="str">
        <f>IF(AT244=0,"",IF(AND(AT244=3,M244="F",SUMIF(C2:C1334,C244,AS2:AS1334)&lt;=1),SUMIF(C2:C1334,C244,AS2:AS1334),IF(AND(AT244=3,M244="F",SUMIF(C2:C1334,C244,AS2:AS1334)&gt;1),1,"")))</f>
        <v/>
      </c>
      <c r="AW244" s="387">
        <f>SUMIF(C2:C1334,C244,O2:O1334)</f>
        <v>4</v>
      </c>
      <c r="AX244" s="387">
        <f>IF(AND(M244="F",AS244&lt;&gt;0),SUMIF(C2:C1334,C244,W2:W1334),0)</f>
        <v>34860.800000000003</v>
      </c>
      <c r="AY244" s="387">
        <f t="shared" si="161"/>
        <v>8715.2000000000007</v>
      </c>
      <c r="AZ244" s="387" t="str">
        <f t="shared" si="162"/>
        <v/>
      </c>
      <c r="BA244" s="387">
        <f t="shared" si="163"/>
        <v>0</v>
      </c>
      <c r="BB244" s="387">
        <f t="shared" si="132"/>
        <v>2912.5</v>
      </c>
      <c r="BC244" s="387">
        <f t="shared" si="133"/>
        <v>0</v>
      </c>
      <c r="BD244" s="387">
        <f t="shared" si="134"/>
        <v>540.3424</v>
      </c>
      <c r="BE244" s="387">
        <f t="shared" si="135"/>
        <v>126.37040000000002</v>
      </c>
      <c r="BF244" s="387">
        <f t="shared" si="136"/>
        <v>1040.5948800000001</v>
      </c>
      <c r="BG244" s="387">
        <f t="shared" si="137"/>
        <v>62.83659200000001</v>
      </c>
      <c r="BH244" s="387">
        <f t="shared" si="138"/>
        <v>42.704480000000004</v>
      </c>
      <c r="BI244" s="387">
        <f t="shared" si="139"/>
        <v>48.238632000000003</v>
      </c>
      <c r="BJ244" s="387">
        <f t="shared" si="140"/>
        <v>23.531040000000004</v>
      </c>
      <c r="BK244" s="387">
        <f t="shared" si="141"/>
        <v>0</v>
      </c>
      <c r="BL244" s="387">
        <f t="shared" si="164"/>
        <v>1884.6184240000005</v>
      </c>
      <c r="BM244" s="387">
        <f t="shared" si="165"/>
        <v>0</v>
      </c>
      <c r="BN244" s="387">
        <f t="shared" si="142"/>
        <v>2912.5</v>
      </c>
      <c r="BO244" s="387">
        <f t="shared" si="143"/>
        <v>0</v>
      </c>
      <c r="BP244" s="387">
        <f t="shared" si="144"/>
        <v>540.3424</v>
      </c>
      <c r="BQ244" s="387">
        <f t="shared" si="145"/>
        <v>126.37040000000002</v>
      </c>
      <c r="BR244" s="387">
        <f t="shared" si="146"/>
        <v>1040.5948800000001</v>
      </c>
      <c r="BS244" s="387">
        <f t="shared" si="147"/>
        <v>62.83659200000001</v>
      </c>
      <c r="BT244" s="387">
        <f t="shared" si="148"/>
        <v>0</v>
      </c>
      <c r="BU244" s="387">
        <f t="shared" si="149"/>
        <v>48.238632000000003</v>
      </c>
      <c r="BV244" s="387">
        <f t="shared" si="150"/>
        <v>29.631679999999999</v>
      </c>
      <c r="BW244" s="387">
        <f t="shared" si="151"/>
        <v>0</v>
      </c>
      <c r="BX244" s="387">
        <f t="shared" si="166"/>
        <v>1848.0145840000002</v>
      </c>
      <c r="BY244" s="387">
        <f t="shared" si="167"/>
        <v>0</v>
      </c>
      <c r="BZ244" s="387">
        <f t="shared" si="168"/>
        <v>0</v>
      </c>
      <c r="CA244" s="387">
        <f t="shared" si="169"/>
        <v>0</v>
      </c>
      <c r="CB244" s="387">
        <f t="shared" si="170"/>
        <v>0</v>
      </c>
      <c r="CC244" s="387">
        <f t="shared" si="152"/>
        <v>0</v>
      </c>
      <c r="CD244" s="387">
        <f t="shared" si="153"/>
        <v>0</v>
      </c>
      <c r="CE244" s="387">
        <f t="shared" si="154"/>
        <v>0</v>
      </c>
      <c r="CF244" s="387">
        <f t="shared" si="155"/>
        <v>-42.704480000000004</v>
      </c>
      <c r="CG244" s="387">
        <f t="shared" si="156"/>
        <v>0</v>
      </c>
      <c r="CH244" s="387">
        <f t="shared" si="157"/>
        <v>6.1006399999999976</v>
      </c>
      <c r="CI244" s="387">
        <f t="shared" si="158"/>
        <v>0</v>
      </c>
      <c r="CJ244" s="387">
        <f t="shared" si="171"/>
        <v>-36.603840000000005</v>
      </c>
      <c r="CK244" s="387" t="str">
        <f t="shared" si="172"/>
        <v/>
      </c>
      <c r="CL244" s="387" t="str">
        <f t="shared" si="173"/>
        <v/>
      </c>
      <c r="CM244" s="387" t="str">
        <f t="shared" si="174"/>
        <v/>
      </c>
      <c r="CN244" s="387" t="str">
        <f t="shared" si="175"/>
        <v>0348-31</v>
      </c>
    </row>
    <row r="245" spans="1:92" ht="15.75" thickBot="1" x14ac:dyDescent="0.3">
      <c r="A245" s="376" t="s">
        <v>161</v>
      </c>
      <c r="B245" s="376" t="s">
        <v>162</v>
      </c>
      <c r="C245" s="376" t="s">
        <v>597</v>
      </c>
      <c r="D245" s="376" t="s">
        <v>329</v>
      </c>
      <c r="E245" s="376" t="s">
        <v>224</v>
      </c>
      <c r="F245" s="382" t="s">
        <v>225</v>
      </c>
      <c r="G245" s="376" t="s">
        <v>781</v>
      </c>
      <c r="H245" s="378"/>
      <c r="I245" s="378"/>
      <c r="J245" s="376" t="s">
        <v>215</v>
      </c>
      <c r="K245" s="376" t="s">
        <v>330</v>
      </c>
      <c r="L245" s="376" t="s">
        <v>210</v>
      </c>
      <c r="M245" s="376" t="s">
        <v>171</v>
      </c>
      <c r="N245" s="376" t="s">
        <v>172</v>
      </c>
      <c r="O245" s="379">
        <v>1</v>
      </c>
      <c r="P245" s="385">
        <v>0</v>
      </c>
      <c r="Q245" s="385">
        <v>0</v>
      </c>
      <c r="R245" s="380">
        <v>80</v>
      </c>
      <c r="S245" s="385">
        <v>0</v>
      </c>
      <c r="T245" s="380">
        <v>60109.69</v>
      </c>
      <c r="U245" s="380">
        <v>0</v>
      </c>
      <c r="V245" s="380">
        <v>24273.99</v>
      </c>
      <c r="W245" s="380">
        <v>0</v>
      </c>
      <c r="X245" s="380">
        <v>0</v>
      </c>
      <c r="Y245" s="380">
        <v>0</v>
      </c>
      <c r="Z245" s="380">
        <v>0</v>
      </c>
      <c r="AA245" s="376" t="s">
        <v>598</v>
      </c>
      <c r="AB245" s="376" t="s">
        <v>599</v>
      </c>
      <c r="AC245" s="376" t="s">
        <v>600</v>
      </c>
      <c r="AD245" s="376" t="s">
        <v>601</v>
      </c>
      <c r="AE245" s="376" t="s">
        <v>330</v>
      </c>
      <c r="AF245" s="376" t="s">
        <v>245</v>
      </c>
      <c r="AG245" s="376" t="s">
        <v>178</v>
      </c>
      <c r="AH245" s="381">
        <v>30.04</v>
      </c>
      <c r="AI245" s="381">
        <v>6680.7</v>
      </c>
      <c r="AJ245" s="376" t="s">
        <v>179</v>
      </c>
      <c r="AK245" s="376" t="s">
        <v>180</v>
      </c>
      <c r="AL245" s="376" t="s">
        <v>181</v>
      </c>
      <c r="AM245" s="376" t="s">
        <v>182</v>
      </c>
      <c r="AN245" s="376" t="s">
        <v>68</v>
      </c>
      <c r="AO245" s="379">
        <v>80</v>
      </c>
      <c r="AP245" s="385">
        <v>1</v>
      </c>
      <c r="AQ245" s="385">
        <v>0</v>
      </c>
      <c r="AR245" s="383" t="s">
        <v>183</v>
      </c>
      <c r="AS245" s="387">
        <f t="shared" si="159"/>
        <v>0</v>
      </c>
      <c r="AT245">
        <f t="shared" si="160"/>
        <v>0</v>
      </c>
      <c r="AU245" s="387" t="str">
        <f>IF(AT245=0,"",IF(AND(AT245=1,M245="F",SUMIF(C2:C1334,C245,AS2:AS1334)&lt;=1),SUMIF(C2:C1334,C245,AS2:AS1334),IF(AND(AT245=1,M245="F",SUMIF(C2:C1334,C245,AS2:AS1334)&gt;1),1,"")))</f>
        <v/>
      </c>
      <c r="AV245" s="387" t="str">
        <f>IF(AT245=0,"",IF(AND(AT245=3,M245="F",SUMIF(C2:C1334,C245,AS2:AS1334)&lt;=1),SUMIF(C2:C1334,C245,AS2:AS1334),IF(AND(AT245=3,M245="F",SUMIF(C2:C1334,C245,AS2:AS1334)&gt;1),1,"")))</f>
        <v/>
      </c>
      <c r="AW245" s="387">
        <f>SUMIF(C2:C1334,C245,O2:O1334)</f>
        <v>2</v>
      </c>
      <c r="AX245" s="387">
        <f>IF(AND(M245="F",AS245&lt;&gt;0),SUMIF(C2:C1334,C245,W2:W1334),0)</f>
        <v>0</v>
      </c>
      <c r="AY245" s="387" t="str">
        <f t="shared" si="161"/>
        <v/>
      </c>
      <c r="AZ245" s="387" t="str">
        <f t="shared" si="162"/>
        <v/>
      </c>
      <c r="BA245" s="387">
        <f t="shared" si="163"/>
        <v>0</v>
      </c>
      <c r="BB245" s="387">
        <f t="shared" si="132"/>
        <v>0</v>
      </c>
      <c r="BC245" s="387">
        <f t="shared" si="133"/>
        <v>0</v>
      </c>
      <c r="BD245" s="387">
        <f t="shared" si="134"/>
        <v>0</v>
      </c>
      <c r="BE245" s="387">
        <f t="shared" si="135"/>
        <v>0</v>
      </c>
      <c r="BF245" s="387">
        <f t="shared" si="136"/>
        <v>0</v>
      </c>
      <c r="BG245" s="387">
        <f t="shared" si="137"/>
        <v>0</v>
      </c>
      <c r="BH245" s="387">
        <f t="shared" si="138"/>
        <v>0</v>
      </c>
      <c r="BI245" s="387">
        <f t="shared" si="139"/>
        <v>0</v>
      </c>
      <c r="BJ245" s="387">
        <f t="shared" si="140"/>
        <v>0</v>
      </c>
      <c r="BK245" s="387">
        <f t="shared" si="141"/>
        <v>0</v>
      </c>
      <c r="BL245" s="387">
        <f t="shared" si="164"/>
        <v>0</v>
      </c>
      <c r="BM245" s="387">
        <f t="shared" si="165"/>
        <v>0</v>
      </c>
      <c r="BN245" s="387">
        <f t="shared" si="142"/>
        <v>0</v>
      </c>
      <c r="BO245" s="387">
        <f t="shared" si="143"/>
        <v>0</v>
      </c>
      <c r="BP245" s="387">
        <f t="shared" si="144"/>
        <v>0</v>
      </c>
      <c r="BQ245" s="387">
        <f t="shared" si="145"/>
        <v>0</v>
      </c>
      <c r="BR245" s="387">
        <f t="shared" si="146"/>
        <v>0</v>
      </c>
      <c r="BS245" s="387">
        <f t="shared" si="147"/>
        <v>0</v>
      </c>
      <c r="BT245" s="387">
        <f t="shared" si="148"/>
        <v>0</v>
      </c>
      <c r="BU245" s="387">
        <f t="shared" si="149"/>
        <v>0</v>
      </c>
      <c r="BV245" s="387">
        <f t="shared" si="150"/>
        <v>0</v>
      </c>
      <c r="BW245" s="387">
        <f t="shared" si="151"/>
        <v>0</v>
      </c>
      <c r="BX245" s="387">
        <f t="shared" si="166"/>
        <v>0</v>
      </c>
      <c r="BY245" s="387">
        <f t="shared" si="167"/>
        <v>0</v>
      </c>
      <c r="BZ245" s="387">
        <f t="shared" si="168"/>
        <v>0</v>
      </c>
      <c r="CA245" s="387">
        <f t="shared" si="169"/>
        <v>0</v>
      </c>
      <c r="CB245" s="387">
        <f t="shared" si="170"/>
        <v>0</v>
      </c>
      <c r="CC245" s="387">
        <f t="shared" si="152"/>
        <v>0</v>
      </c>
      <c r="CD245" s="387">
        <f t="shared" si="153"/>
        <v>0</v>
      </c>
      <c r="CE245" s="387">
        <f t="shared" si="154"/>
        <v>0</v>
      </c>
      <c r="CF245" s="387">
        <f t="shared" si="155"/>
        <v>0</v>
      </c>
      <c r="CG245" s="387">
        <f t="shared" si="156"/>
        <v>0</v>
      </c>
      <c r="CH245" s="387">
        <f t="shared" si="157"/>
        <v>0</v>
      </c>
      <c r="CI245" s="387">
        <f t="shared" si="158"/>
        <v>0</v>
      </c>
      <c r="CJ245" s="387">
        <f t="shared" si="171"/>
        <v>0</v>
      </c>
      <c r="CK245" s="387" t="str">
        <f t="shared" si="172"/>
        <v/>
      </c>
      <c r="CL245" s="387" t="str">
        <f t="shared" si="173"/>
        <v/>
      </c>
      <c r="CM245" s="387" t="str">
        <f t="shared" si="174"/>
        <v/>
      </c>
      <c r="CN245" s="387" t="str">
        <f t="shared" si="175"/>
        <v>0348-31</v>
      </c>
    </row>
    <row r="246" spans="1:92" ht="15.75" thickBot="1" x14ac:dyDescent="0.3">
      <c r="A246" s="376" t="s">
        <v>161</v>
      </c>
      <c r="B246" s="376" t="s">
        <v>162</v>
      </c>
      <c r="C246" s="376" t="s">
        <v>968</v>
      </c>
      <c r="D246" s="376" t="s">
        <v>792</v>
      </c>
      <c r="E246" s="376" t="s">
        <v>224</v>
      </c>
      <c r="F246" s="382" t="s">
        <v>225</v>
      </c>
      <c r="G246" s="376" t="s">
        <v>781</v>
      </c>
      <c r="H246" s="378"/>
      <c r="I246" s="378"/>
      <c r="J246" s="376" t="s">
        <v>239</v>
      </c>
      <c r="K246" s="376" t="s">
        <v>793</v>
      </c>
      <c r="L246" s="376" t="s">
        <v>170</v>
      </c>
      <c r="M246" s="376" t="s">
        <v>171</v>
      </c>
      <c r="N246" s="376" t="s">
        <v>172</v>
      </c>
      <c r="O246" s="379">
        <v>1</v>
      </c>
      <c r="P246" s="385">
        <v>0.3</v>
      </c>
      <c r="Q246" s="385">
        <v>0.3</v>
      </c>
      <c r="R246" s="380">
        <v>80</v>
      </c>
      <c r="S246" s="385">
        <v>0.3</v>
      </c>
      <c r="T246" s="380">
        <v>14498.46</v>
      </c>
      <c r="U246" s="380">
        <v>0</v>
      </c>
      <c r="V246" s="380">
        <v>6473.81</v>
      </c>
      <c r="W246" s="380">
        <v>14607.84</v>
      </c>
      <c r="X246" s="380">
        <v>6653.93</v>
      </c>
      <c r="Y246" s="380">
        <v>14607.84</v>
      </c>
      <c r="Z246" s="380">
        <v>6592.58</v>
      </c>
      <c r="AA246" s="376" t="s">
        <v>969</v>
      </c>
      <c r="AB246" s="376" t="s">
        <v>970</v>
      </c>
      <c r="AC246" s="376" t="s">
        <v>971</v>
      </c>
      <c r="AD246" s="376" t="s">
        <v>972</v>
      </c>
      <c r="AE246" s="376" t="s">
        <v>793</v>
      </c>
      <c r="AF246" s="376" t="s">
        <v>177</v>
      </c>
      <c r="AG246" s="376" t="s">
        <v>178</v>
      </c>
      <c r="AH246" s="381">
        <v>23.41</v>
      </c>
      <c r="AI246" s="381">
        <v>29722.5</v>
      </c>
      <c r="AJ246" s="376" t="s">
        <v>179</v>
      </c>
      <c r="AK246" s="376" t="s">
        <v>180</v>
      </c>
      <c r="AL246" s="376" t="s">
        <v>181</v>
      </c>
      <c r="AM246" s="376" t="s">
        <v>182</v>
      </c>
      <c r="AN246" s="376" t="s">
        <v>68</v>
      </c>
      <c r="AO246" s="379">
        <v>80</v>
      </c>
      <c r="AP246" s="385">
        <v>1</v>
      </c>
      <c r="AQ246" s="385">
        <v>0.3</v>
      </c>
      <c r="AR246" s="383" t="s">
        <v>183</v>
      </c>
      <c r="AS246" s="387">
        <f t="shared" si="159"/>
        <v>0.3</v>
      </c>
      <c r="AT246">
        <f t="shared" si="160"/>
        <v>1</v>
      </c>
      <c r="AU246" s="387">
        <f>IF(AT246=0,"",IF(AND(AT246=1,M246="F",SUMIF(C2:C1334,C246,AS2:AS1334)&lt;=1),SUMIF(C2:C1334,C246,AS2:AS1334),IF(AND(AT246=1,M246="F",SUMIF(C2:C1334,C246,AS2:AS1334)&gt;1),1,"")))</f>
        <v>1</v>
      </c>
      <c r="AV246" s="387" t="str">
        <f>IF(AT246=0,"",IF(AND(AT246=3,M246="F",SUMIF(C2:C1334,C246,AS2:AS1334)&lt;=1),SUMIF(C2:C1334,C246,AS2:AS1334),IF(AND(AT246=3,M246="F",SUMIF(C2:C1334,C246,AS2:AS1334)&gt;1),1,"")))</f>
        <v/>
      </c>
      <c r="AW246" s="387">
        <f>SUMIF(C2:C1334,C246,O2:O1334)</f>
        <v>3</v>
      </c>
      <c r="AX246" s="387">
        <f>IF(AND(M246="F",AS246&lt;&gt;0),SUMIF(C2:C1334,C246,W2:W1334),0)</f>
        <v>48692.800000000003</v>
      </c>
      <c r="AY246" s="387">
        <f t="shared" si="161"/>
        <v>14607.84</v>
      </c>
      <c r="AZ246" s="387" t="str">
        <f t="shared" si="162"/>
        <v/>
      </c>
      <c r="BA246" s="387">
        <f t="shared" si="163"/>
        <v>0</v>
      </c>
      <c r="BB246" s="387">
        <f t="shared" si="132"/>
        <v>3495</v>
      </c>
      <c r="BC246" s="387">
        <f t="shared" si="133"/>
        <v>0</v>
      </c>
      <c r="BD246" s="387">
        <f t="shared" si="134"/>
        <v>905.68607999999995</v>
      </c>
      <c r="BE246" s="387">
        <f t="shared" si="135"/>
        <v>211.81368000000001</v>
      </c>
      <c r="BF246" s="387">
        <f t="shared" si="136"/>
        <v>1744.1760960000001</v>
      </c>
      <c r="BG246" s="387">
        <f t="shared" si="137"/>
        <v>105.3225264</v>
      </c>
      <c r="BH246" s="387">
        <f t="shared" si="138"/>
        <v>71.578416000000004</v>
      </c>
      <c r="BI246" s="387">
        <f t="shared" si="139"/>
        <v>80.854394400000004</v>
      </c>
      <c r="BJ246" s="387">
        <f t="shared" si="140"/>
        <v>39.441168000000005</v>
      </c>
      <c r="BK246" s="387">
        <f t="shared" si="141"/>
        <v>0</v>
      </c>
      <c r="BL246" s="387">
        <f t="shared" si="164"/>
        <v>3158.8723607999991</v>
      </c>
      <c r="BM246" s="387">
        <f t="shared" si="165"/>
        <v>0</v>
      </c>
      <c r="BN246" s="387">
        <f t="shared" si="142"/>
        <v>3495</v>
      </c>
      <c r="BO246" s="387">
        <f t="shared" si="143"/>
        <v>0</v>
      </c>
      <c r="BP246" s="387">
        <f t="shared" si="144"/>
        <v>905.68607999999995</v>
      </c>
      <c r="BQ246" s="387">
        <f t="shared" si="145"/>
        <v>211.81368000000001</v>
      </c>
      <c r="BR246" s="387">
        <f t="shared" si="146"/>
        <v>1744.1760960000001</v>
      </c>
      <c r="BS246" s="387">
        <f t="shared" si="147"/>
        <v>105.3225264</v>
      </c>
      <c r="BT246" s="387">
        <f t="shared" si="148"/>
        <v>0</v>
      </c>
      <c r="BU246" s="387">
        <f t="shared" si="149"/>
        <v>80.854394400000004</v>
      </c>
      <c r="BV246" s="387">
        <f t="shared" si="150"/>
        <v>49.666655999999996</v>
      </c>
      <c r="BW246" s="387">
        <f t="shared" si="151"/>
        <v>0</v>
      </c>
      <c r="BX246" s="387">
        <f t="shared" si="166"/>
        <v>3097.5194327999993</v>
      </c>
      <c r="BY246" s="387">
        <f t="shared" si="167"/>
        <v>0</v>
      </c>
      <c r="BZ246" s="387">
        <f t="shared" si="168"/>
        <v>0</v>
      </c>
      <c r="CA246" s="387">
        <f t="shared" si="169"/>
        <v>0</v>
      </c>
      <c r="CB246" s="387">
        <f t="shared" si="170"/>
        <v>0</v>
      </c>
      <c r="CC246" s="387">
        <f t="shared" si="152"/>
        <v>0</v>
      </c>
      <c r="CD246" s="387">
        <f t="shared" si="153"/>
        <v>0</v>
      </c>
      <c r="CE246" s="387">
        <f t="shared" si="154"/>
        <v>0</v>
      </c>
      <c r="CF246" s="387">
        <f t="shared" si="155"/>
        <v>-71.578416000000004</v>
      </c>
      <c r="CG246" s="387">
        <f t="shared" si="156"/>
        <v>0</v>
      </c>
      <c r="CH246" s="387">
        <f t="shared" si="157"/>
        <v>10.225487999999995</v>
      </c>
      <c r="CI246" s="387">
        <f t="shared" si="158"/>
        <v>0</v>
      </c>
      <c r="CJ246" s="387">
        <f t="shared" si="171"/>
        <v>-61.352928000000006</v>
      </c>
      <c r="CK246" s="387" t="str">
        <f t="shared" si="172"/>
        <v/>
      </c>
      <c r="CL246" s="387" t="str">
        <f t="shared" si="173"/>
        <v/>
      </c>
      <c r="CM246" s="387" t="str">
        <f t="shared" si="174"/>
        <v/>
      </c>
      <c r="CN246" s="387" t="str">
        <f t="shared" si="175"/>
        <v>0348-31</v>
      </c>
    </row>
    <row r="247" spans="1:92" ht="15.75" thickBot="1" x14ac:dyDescent="0.3">
      <c r="A247" s="376" t="s">
        <v>161</v>
      </c>
      <c r="B247" s="376" t="s">
        <v>162</v>
      </c>
      <c r="C247" s="376" t="s">
        <v>733</v>
      </c>
      <c r="D247" s="376" t="s">
        <v>734</v>
      </c>
      <c r="E247" s="376" t="s">
        <v>224</v>
      </c>
      <c r="F247" s="382" t="s">
        <v>225</v>
      </c>
      <c r="G247" s="376" t="s">
        <v>781</v>
      </c>
      <c r="H247" s="378"/>
      <c r="I247" s="378"/>
      <c r="J247" s="376" t="s">
        <v>239</v>
      </c>
      <c r="K247" s="376" t="s">
        <v>735</v>
      </c>
      <c r="L247" s="376" t="s">
        <v>166</v>
      </c>
      <c r="M247" s="376" t="s">
        <v>171</v>
      </c>
      <c r="N247" s="376" t="s">
        <v>257</v>
      </c>
      <c r="O247" s="379">
        <v>1</v>
      </c>
      <c r="P247" s="385">
        <v>0.25</v>
      </c>
      <c r="Q247" s="385">
        <v>0.25</v>
      </c>
      <c r="R247" s="380">
        <v>80</v>
      </c>
      <c r="S247" s="385">
        <v>0.25</v>
      </c>
      <c r="T247" s="380">
        <v>0</v>
      </c>
      <c r="U247" s="380">
        <v>0</v>
      </c>
      <c r="V247" s="380">
        <v>0</v>
      </c>
      <c r="W247" s="380">
        <v>22963.200000000001</v>
      </c>
      <c r="X247" s="380">
        <v>7751.06</v>
      </c>
      <c r="Y247" s="380">
        <v>22963.200000000001</v>
      </c>
      <c r="Z247" s="380">
        <v>7654.62</v>
      </c>
      <c r="AA247" s="376" t="s">
        <v>736</v>
      </c>
      <c r="AB247" s="376" t="s">
        <v>737</v>
      </c>
      <c r="AC247" s="376" t="s">
        <v>738</v>
      </c>
      <c r="AD247" s="376" t="s">
        <v>252</v>
      </c>
      <c r="AE247" s="376" t="s">
        <v>735</v>
      </c>
      <c r="AF247" s="376" t="s">
        <v>261</v>
      </c>
      <c r="AG247" s="376" t="s">
        <v>178</v>
      </c>
      <c r="AH247" s="381">
        <v>44.16</v>
      </c>
      <c r="AI247" s="381">
        <v>15464.9</v>
      </c>
      <c r="AJ247" s="376" t="s">
        <v>179</v>
      </c>
      <c r="AK247" s="376" t="s">
        <v>180</v>
      </c>
      <c r="AL247" s="376" t="s">
        <v>181</v>
      </c>
      <c r="AM247" s="376" t="s">
        <v>182</v>
      </c>
      <c r="AN247" s="376" t="s">
        <v>68</v>
      </c>
      <c r="AO247" s="379">
        <v>80</v>
      </c>
      <c r="AP247" s="385">
        <v>1</v>
      </c>
      <c r="AQ247" s="385">
        <v>0.25</v>
      </c>
      <c r="AR247" s="383" t="s">
        <v>183</v>
      </c>
      <c r="AS247" s="387">
        <f t="shared" si="159"/>
        <v>0.25</v>
      </c>
      <c r="AT247">
        <f t="shared" si="160"/>
        <v>1</v>
      </c>
      <c r="AU247" s="387">
        <f>IF(AT247=0,"",IF(AND(AT247=1,M247="F",SUMIF(C2:C1334,C247,AS2:AS1334)&lt;=1),SUMIF(C2:C1334,C247,AS2:AS1334),IF(AND(AT247=1,M247="F",SUMIF(C2:C1334,C247,AS2:AS1334)&gt;1),1,"")))</f>
        <v>1</v>
      </c>
      <c r="AV247" s="387" t="str">
        <f>IF(AT247=0,"",IF(AND(AT247=3,M247="F",SUMIF(C2:C1334,C247,AS2:AS1334)&lt;=1),SUMIF(C2:C1334,C247,AS2:AS1334),IF(AND(AT247=3,M247="F",SUMIF(C2:C1334,C247,AS2:AS1334)&gt;1),1,"")))</f>
        <v/>
      </c>
      <c r="AW247" s="387">
        <f>SUMIF(C2:C1334,C247,O2:O1334)</f>
        <v>4</v>
      </c>
      <c r="AX247" s="387">
        <f>IF(AND(M247="F",AS247&lt;&gt;0),SUMIF(C2:C1334,C247,W2:W1334),0)</f>
        <v>91852.800000000003</v>
      </c>
      <c r="AY247" s="387">
        <f t="shared" si="161"/>
        <v>22963.200000000001</v>
      </c>
      <c r="AZ247" s="387" t="str">
        <f t="shared" si="162"/>
        <v/>
      </c>
      <c r="BA247" s="387">
        <f t="shared" si="163"/>
        <v>0</v>
      </c>
      <c r="BB247" s="387">
        <f t="shared" si="132"/>
        <v>2912.5</v>
      </c>
      <c r="BC247" s="387">
        <f t="shared" si="133"/>
        <v>0</v>
      </c>
      <c r="BD247" s="387">
        <f t="shared" si="134"/>
        <v>1423.7184</v>
      </c>
      <c r="BE247" s="387">
        <f t="shared" si="135"/>
        <v>332.96640000000002</v>
      </c>
      <c r="BF247" s="387">
        <f t="shared" si="136"/>
        <v>2741.8060800000003</v>
      </c>
      <c r="BG247" s="387">
        <f t="shared" si="137"/>
        <v>165.564672</v>
      </c>
      <c r="BH247" s="387">
        <f t="shared" si="138"/>
        <v>112.51967999999999</v>
      </c>
      <c r="BI247" s="387">
        <f t="shared" si="139"/>
        <v>0</v>
      </c>
      <c r="BJ247" s="387">
        <f t="shared" si="140"/>
        <v>62.000640000000004</v>
      </c>
      <c r="BK247" s="387">
        <f t="shared" si="141"/>
        <v>0</v>
      </c>
      <c r="BL247" s="387">
        <f t="shared" si="164"/>
        <v>4838.5758720000013</v>
      </c>
      <c r="BM247" s="387">
        <f t="shared" si="165"/>
        <v>0</v>
      </c>
      <c r="BN247" s="387">
        <f t="shared" si="142"/>
        <v>2912.5</v>
      </c>
      <c r="BO247" s="387">
        <f t="shared" si="143"/>
        <v>0</v>
      </c>
      <c r="BP247" s="387">
        <f t="shared" si="144"/>
        <v>1423.7184</v>
      </c>
      <c r="BQ247" s="387">
        <f t="shared" si="145"/>
        <v>332.96640000000002</v>
      </c>
      <c r="BR247" s="387">
        <f t="shared" si="146"/>
        <v>2741.8060800000003</v>
      </c>
      <c r="BS247" s="387">
        <f t="shared" si="147"/>
        <v>165.564672</v>
      </c>
      <c r="BT247" s="387">
        <f t="shared" si="148"/>
        <v>0</v>
      </c>
      <c r="BU247" s="387">
        <f t="shared" si="149"/>
        <v>0</v>
      </c>
      <c r="BV247" s="387">
        <f t="shared" si="150"/>
        <v>78.074879999999993</v>
      </c>
      <c r="BW247" s="387">
        <f t="shared" si="151"/>
        <v>0</v>
      </c>
      <c r="BX247" s="387">
        <f t="shared" si="166"/>
        <v>4742.1304320000008</v>
      </c>
      <c r="BY247" s="387">
        <f t="shared" si="167"/>
        <v>0</v>
      </c>
      <c r="BZ247" s="387">
        <f t="shared" si="168"/>
        <v>0</v>
      </c>
      <c r="CA247" s="387">
        <f t="shared" si="169"/>
        <v>0</v>
      </c>
      <c r="CB247" s="387">
        <f t="shared" si="170"/>
        <v>0</v>
      </c>
      <c r="CC247" s="387">
        <f t="shared" si="152"/>
        <v>0</v>
      </c>
      <c r="CD247" s="387">
        <f t="shared" si="153"/>
        <v>0</v>
      </c>
      <c r="CE247" s="387">
        <f t="shared" si="154"/>
        <v>0</v>
      </c>
      <c r="CF247" s="387">
        <f t="shared" si="155"/>
        <v>-112.51967999999999</v>
      </c>
      <c r="CG247" s="387">
        <f t="shared" si="156"/>
        <v>0</v>
      </c>
      <c r="CH247" s="387">
        <f t="shared" si="157"/>
        <v>16.074239999999993</v>
      </c>
      <c r="CI247" s="387">
        <f t="shared" si="158"/>
        <v>0</v>
      </c>
      <c r="CJ247" s="387">
        <f t="shared" si="171"/>
        <v>-96.445440000000005</v>
      </c>
      <c r="CK247" s="387" t="str">
        <f t="shared" si="172"/>
        <v/>
      </c>
      <c r="CL247" s="387" t="str">
        <f t="shared" si="173"/>
        <v/>
      </c>
      <c r="CM247" s="387" t="str">
        <f t="shared" si="174"/>
        <v/>
      </c>
      <c r="CN247" s="387" t="str">
        <f t="shared" si="175"/>
        <v>0348-31</v>
      </c>
    </row>
    <row r="248" spans="1:92" ht="15.75" thickBot="1" x14ac:dyDescent="0.3">
      <c r="A248" s="376" t="s">
        <v>161</v>
      </c>
      <c r="B248" s="376" t="s">
        <v>162</v>
      </c>
      <c r="C248" s="376" t="s">
        <v>803</v>
      </c>
      <c r="D248" s="376" t="s">
        <v>804</v>
      </c>
      <c r="E248" s="376" t="s">
        <v>224</v>
      </c>
      <c r="F248" s="382" t="s">
        <v>225</v>
      </c>
      <c r="G248" s="376" t="s">
        <v>781</v>
      </c>
      <c r="H248" s="378"/>
      <c r="I248" s="378"/>
      <c r="J248" s="376" t="s">
        <v>239</v>
      </c>
      <c r="K248" s="376" t="s">
        <v>805</v>
      </c>
      <c r="L248" s="376" t="s">
        <v>351</v>
      </c>
      <c r="M248" s="376" t="s">
        <v>171</v>
      </c>
      <c r="N248" s="376" t="s">
        <v>172</v>
      </c>
      <c r="O248" s="379">
        <v>1</v>
      </c>
      <c r="P248" s="385">
        <v>0.5</v>
      </c>
      <c r="Q248" s="385">
        <v>0.5</v>
      </c>
      <c r="R248" s="380">
        <v>80</v>
      </c>
      <c r="S248" s="385">
        <v>0.5</v>
      </c>
      <c r="T248" s="380">
        <v>50165.47</v>
      </c>
      <c r="U248" s="380">
        <v>0</v>
      </c>
      <c r="V248" s="380">
        <v>16844.310000000001</v>
      </c>
      <c r="W248" s="380">
        <v>47767.199999999997</v>
      </c>
      <c r="X248" s="380">
        <v>16154.64</v>
      </c>
      <c r="Y248" s="380">
        <v>47767.199999999997</v>
      </c>
      <c r="Z248" s="380">
        <v>15954.02</v>
      </c>
      <c r="AA248" s="376" t="s">
        <v>806</v>
      </c>
      <c r="AB248" s="376" t="s">
        <v>807</v>
      </c>
      <c r="AC248" s="376" t="s">
        <v>808</v>
      </c>
      <c r="AD248" s="376" t="s">
        <v>170</v>
      </c>
      <c r="AE248" s="376" t="s">
        <v>805</v>
      </c>
      <c r="AF248" s="376" t="s">
        <v>355</v>
      </c>
      <c r="AG248" s="376" t="s">
        <v>178</v>
      </c>
      <c r="AH248" s="381">
        <v>45.93</v>
      </c>
      <c r="AI248" s="379">
        <v>49965</v>
      </c>
      <c r="AJ248" s="376" t="s">
        <v>179</v>
      </c>
      <c r="AK248" s="376" t="s">
        <v>180</v>
      </c>
      <c r="AL248" s="376" t="s">
        <v>181</v>
      </c>
      <c r="AM248" s="376" t="s">
        <v>182</v>
      </c>
      <c r="AN248" s="376" t="s">
        <v>68</v>
      </c>
      <c r="AO248" s="379">
        <v>80</v>
      </c>
      <c r="AP248" s="385">
        <v>1</v>
      </c>
      <c r="AQ248" s="385">
        <v>0.5</v>
      </c>
      <c r="AR248" s="383" t="s">
        <v>183</v>
      </c>
      <c r="AS248" s="387">
        <f t="shared" si="159"/>
        <v>0.5</v>
      </c>
      <c r="AT248">
        <f t="shared" si="160"/>
        <v>1</v>
      </c>
      <c r="AU248" s="387">
        <f>IF(AT248=0,"",IF(AND(AT248=1,M248="F",SUMIF(C2:C1334,C248,AS2:AS1334)&lt;=1),SUMIF(C2:C1334,C248,AS2:AS1334),IF(AND(AT248=1,M248="F",SUMIF(C2:C1334,C248,AS2:AS1334)&gt;1),1,"")))</f>
        <v>1</v>
      </c>
      <c r="AV248" s="387" t="str">
        <f>IF(AT248=0,"",IF(AND(AT248=3,M248="F",SUMIF(C2:C1334,C248,AS2:AS1334)&lt;=1),SUMIF(C2:C1334,C248,AS2:AS1334),IF(AND(AT248=3,M248="F",SUMIF(C2:C1334,C248,AS2:AS1334)&gt;1),1,"")))</f>
        <v/>
      </c>
      <c r="AW248" s="387">
        <f>SUMIF(C2:C1334,C248,O2:O1334)</f>
        <v>4</v>
      </c>
      <c r="AX248" s="387">
        <f>IF(AND(M248="F",AS248&lt;&gt;0),SUMIF(C2:C1334,C248,W2:W1334),0)</f>
        <v>95534.399999999994</v>
      </c>
      <c r="AY248" s="387">
        <f t="shared" si="161"/>
        <v>47767.199999999997</v>
      </c>
      <c r="AZ248" s="387" t="str">
        <f t="shared" si="162"/>
        <v/>
      </c>
      <c r="BA248" s="387">
        <f t="shared" si="163"/>
        <v>0</v>
      </c>
      <c r="BB248" s="387">
        <f t="shared" si="132"/>
        <v>5825</v>
      </c>
      <c r="BC248" s="387">
        <f t="shared" si="133"/>
        <v>0</v>
      </c>
      <c r="BD248" s="387">
        <f t="shared" si="134"/>
        <v>2961.5663999999997</v>
      </c>
      <c r="BE248" s="387">
        <f t="shared" si="135"/>
        <v>692.62440000000004</v>
      </c>
      <c r="BF248" s="387">
        <f t="shared" si="136"/>
        <v>5703.4036800000003</v>
      </c>
      <c r="BG248" s="387">
        <f t="shared" si="137"/>
        <v>344.40151199999997</v>
      </c>
      <c r="BH248" s="387">
        <f t="shared" si="138"/>
        <v>234.05927999999997</v>
      </c>
      <c r="BI248" s="387">
        <f t="shared" si="139"/>
        <v>264.39145199999996</v>
      </c>
      <c r="BJ248" s="387">
        <f t="shared" si="140"/>
        <v>128.97144</v>
      </c>
      <c r="BK248" s="387">
        <f t="shared" si="141"/>
        <v>0</v>
      </c>
      <c r="BL248" s="387">
        <f t="shared" si="164"/>
        <v>10329.418163999999</v>
      </c>
      <c r="BM248" s="387">
        <f t="shared" si="165"/>
        <v>0</v>
      </c>
      <c r="BN248" s="387">
        <f t="shared" si="142"/>
        <v>5825</v>
      </c>
      <c r="BO248" s="387">
        <f t="shared" si="143"/>
        <v>0</v>
      </c>
      <c r="BP248" s="387">
        <f t="shared" si="144"/>
        <v>2961.5663999999997</v>
      </c>
      <c r="BQ248" s="387">
        <f t="shared" si="145"/>
        <v>692.62440000000004</v>
      </c>
      <c r="BR248" s="387">
        <f t="shared" si="146"/>
        <v>5703.4036800000003</v>
      </c>
      <c r="BS248" s="387">
        <f t="shared" si="147"/>
        <v>344.40151199999997</v>
      </c>
      <c r="BT248" s="387">
        <f t="shared" si="148"/>
        <v>0</v>
      </c>
      <c r="BU248" s="387">
        <f t="shared" si="149"/>
        <v>264.39145199999996</v>
      </c>
      <c r="BV248" s="387">
        <f t="shared" si="150"/>
        <v>162.40847999999997</v>
      </c>
      <c r="BW248" s="387">
        <f t="shared" si="151"/>
        <v>0</v>
      </c>
      <c r="BX248" s="387">
        <f t="shared" si="166"/>
        <v>10128.795924</v>
      </c>
      <c r="BY248" s="387">
        <f t="shared" si="167"/>
        <v>0</v>
      </c>
      <c r="BZ248" s="387">
        <f t="shared" si="168"/>
        <v>0</v>
      </c>
      <c r="CA248" s="387">
        <f t="shared" si="169"/>
        <v>0</v>
      </c>
      <c r="CB248" s="387">
        <f t="shared" si="170"/>
        <v>0</v>
      </c>
      <c r="CC248" s="387">
        <f t="shared" si="152"/>
        <v>0</v>
      </c>
      <c r="CD248" s="387">
        <f t="shared" si="153"/>
        <v>0</v>
      </c>
      <c r="CE248" s="387">
        <f t="shared" si="154"/>
        <v>0</v>
      </c>
      <c r="CF248" s="387">
        <f t="shared" si="155"/>
        <v>-234.05927999999997</v>
      </c>
      <c r="CG248" s="387">
        <f t="shared" si="156"/>
        <v>0</v>
      </c>
      <c r="CH248" s="387">
        <f t="shared" si="157"/>
        <v>33.437039999999982</v>
      </c>
      <c r="CI248" s="387">
        <f t="shared" si="158"/>
        <v>0</v>
      </c>
      <c r="CJ248" s="387">
        <f t="shared" si="171"/>
        <v>-200.62223999999998</v>
      </c>
      <c r="CK248" s="387" t="str">
        <f t="shared" si="172"/>
        <v/>
      </c>
      <c r="CL248" s="387" t="str">
        <f t="shared" si="173"/>
        <v/>
      </c>
      <c r="CM248" s="387" t="str">
        <f t="shared" si="174"/>
        <v/>
      </c>
      <c r="CN248" s="387" t="str">
        <f t="shared" si="175"/>
        <v>0348-31</v>
      </c>
    </row>
    <row r="249" spans="1:92" ht="15.75" thickBot="1" x14ac:dyDescent="0.3">
      <c r="A249" s="376" t="s">
        <v>161</v>
      </c>
      <c r="B249" s="376" t="s">
        <v>162</v>
      </c>
      <c r="C249" s="376" t="s">
        <v>973</v>
      </c>
      <c r="D249" s="376" t="s">
        <v>974</v>
      </c>
      <c r="E249" s="376" t="s">
        <v>224</v>
      </c>
      <c r="F249" s="382" t="s">
        <v>225</v>
      </c>
      <c r="G249" s="376" t="s">
        <v>781</v>
      </c>
      <c r="H249" s="378"/>
      <c r="I249" s="378"/>
      <c r="J249" s="376" t="s">
        <v>215</v>
      </c>
      <c r="K249" s="376" t="s">
        <v>975</v>
      </c>
      <c r="L249" s="376" t="s">
        <v>296</v>
      </c>
      <c r="M249" s="376" t="s">
        <v>171</v>
      </c>
      <c r="N249" s="376" t="s">
        <v>172</v>
      </c>
      <c r="O249" s="379">
        <v>1</v>
      </c>
      <c r="P249" s="385">
        <v>0</v>
      </c>
      <c r="Q249" s="385">
        <v>0</v>
      </c>
      <c r="R249" s="380">
        <v>80</v>
      </c>
      <c r="S249" s="385">
        <v>0</v>
      </c>
      <c r="T249" s="380">
        <v>972.64</v>
      </c>
      <c r="U249" s="380">
        <v>0</v>
      </c>
      <c r="V249" s="380">
        <v>492.07</v>
      </c>
      <c r="W249" s="380">
        <v>0</v>
      </c>
      <c r="X249" s="380">
        <v>0</v>
      </c>
      <c r="Y249" s="380">
        <v>0</v>
      </c>
      <c r="Z249" s="380">
        <v>0</v>
      </c>
      <c r="AA249" s="376" t="s">
        <v>976</v>
      </c>
      <c r="AB249" s="376" t="s">
        <v>977</v>
      </c>
      <c r="AC249" s="376" t="s">
        <v>889</v>
      </c>
      <c r="AD249" s="376" t="s">
        <v>978</v>
      </c>
      <c r="AE249" s="376" t="s">
        <v>975</v>
      </c>
      <c r="AF249" s="376" t="s">
        <v>301</v>
      </c>
      <c r="AG249" s="376" t="s">
        <v>178</v>
      </c>
      <c r="AH249" s="381">
        <v>22.11</v>
      </c>
      <c r="AI249" s="381">
        <v>2866.7</v>
      </c>
      <c r="AJ249" s="376" t="s">
        <v>179</v>
      </c>
      <c r="AK249" s="376" t="s">
        <v>180</v>
      </c>
      <c r="AL249" s="376" t="s">
        <v>181</v>
      </c>
      <c r="AM249" s="376" t="s">
        <v>182</v>
      </c>
      <c r="AN249" s="376" t="s">
        <v>68</v>
      </c>
      <c r="AO249" s="379">
        <v>80</v>
      </c>
      <c r="AP249" s="385">
        <v>1</v>
      </c>
      <c r="AQ249" s="385">
        <v>0</v>
      </c>
      <c r="AR249" s="383" t="s">
        <v>183</v>
      </c>
      <c r="AS249" s="387">
        <f t="shared" si="159"/>
        <v>0</v>
      </c>
      <c r="AT249">
        <f t="shared" si="160"/>
        <v>0</v>
      </c>
      <c r="AU249" s="387" t="str">
        <f>IF(AT249=0,"",IF(AND(AT249=1,M249="F",SUMIF(C2:C1334,C249,AS2:AS1334)&lt;=1),SUMIF(C2:C1334,C249,AS2:AS1334),IF(AND(AT249=1,M249="F",SUMIF(C2:C1334,C249,AS2:AS1334)&gt;1),1,"")))</f>
        <v/>
      </c>
      <c r="AV249" s="387" t="str">
        <f>IF(AT249=0,"",IF(AND(AT249=3,M249="F",SUMIF(C2:C1334,C249,AS2:AS1334)&lt;=1),SUMIF(C2:C1334,C249,AS2:AS1334),IF(AND(AT249=3,M249="F",SUMIF(C2:C1334,C249,AS2:AS1334)&gt;1),1,"")))</f>
        <v/>
      </c>
      <c r="AW249" s="387">
        <f>SUMIF(C2:C1334,C249,O2:O1334)</f>
        <v>2</v>
      </c>
      <c r="AX249" s="387">
        <f>IF(AND(M249="F",AS249&lt;&gt;0),SUMIF(C2:C1334,C249,W2:W1334),0)</f>
        <v>0</v>
      </c>
      <c r="AY249" s="387" t="str">
        <f t="shared" si="161"/>
        <v/>
      </c>
      <c r="AZ249" s="387" t="str">
        <f t="shared" si="162"/>
        <v/>
      </c>
      <c r="BA249" s="387">
        <f t="shared" si="163"/>
        <v>0</v>
      </c>
      <c r="BB249" s="387">
        <f t="shared" si="132"/>
        <v>0</v>
      </c>
      <c r="BC249" s="387">
        <f t="shared" si="133"/>
        <v>0</v>
      </c>
      <c r="BD249" s="387">
        <f t="shared" si="134"/>
        <v>0</v>
      </c>
      <c r="BE249" s="387">
        <f t="shared" si="135"/>
        <v>0</v>
      </c>
      <c r="BF249" s="387">
        <f t="shared" si="136"/>
        <v>0</v>
      </c>
      <c r="BG249" s="387">
        <f t="shared" si="137"/>
        <v>0</v>
      </c>
      <c r="BH249" s="387">
        <f t="shared" si="138"/>
        <v>0</v>
      </c>
      <c r="BI249" s="387">
        <f t="shared" si="139"/>
        <v>0</v>
      </c>
      <c r="BJ249" s="387">
        <f t="shared" si="140"/>
        <v>0</v>
      </c>
      <c r="BK249" s="387">
        <f t="shared" si="141"/>
        <v>0</v>
      </c>
      <c r="BL249" s="387">
        <f t="shared" si="164"/>
        <v>0</v>
      </c>
      <c r="BM249" s="387">
        <f t="shared" si="165"/>
        <v>0</v>
      </c>
      <c r="BN249" s="387">
        <f t="shared" si="142"/>
        <v>0</v>
      </c>
      <c r="BO249" s="387">
        <f t="shared" si="143"/>
        <v>0</v>
      </c>
      <c r="BP249" s="387">
        <f t="shared" si="144"/>
        <v>0</v>
      </c>
      <c r="BQ249" s="387">
        <f t="shared" si="145"/>
        <v>0</v>
      </c>
      <c r="BR249" s="387">
        <f t="shared" si="146"/>
        <v>0</v>
      </c>
      <c r="BS249" s="387">
        <f t="shared" si="147"/>
        <v>0</v>
      </c>
      <c r="BT249" s="387">
        <f t="shared" si="148"/>
        <v>0</v>
      </c>
      <c r="BU249" s="387">
        <f t="shared" si="149"/>
        <v>0</v>
      </c>
      <c r="BV249" s="387">
        <f t="shared" si="150"/>
        <v>0</v>
      </c>
      <c r="BW249" s="387">
        <f t="shared" si="151"/>
        <v>0</v>
      </c>
      <c r="BX249" s="387">
        <f t="shared" si="166"/>
        <v>0</v>
      </c>
      <c r="BY249" s="387">
        <f t="shared" si="167"/>
        <v>0</v>
      </c>
      <c r="BZ249" s="387">
        <f t="shared" si="168"/>
        <v>0</v>
      </c>
      <c r="CA249" s="387">
        <f t="shared" si="169"/>
        <v>0</v>
      </c>
      <c r="CB249" s="387">
        <f t="shared" si="170"/>
        <v>0</v>
      </c>
      <c r="CC249" s="387">
        <f t="shared" si="152"/>
        <v>0</v>
      </c>
      <c r="CD249" s="387">
        <f t="shared" si="153"/>
        <v>0</v>
      </c>
      <c r="CE249" s="387">
        <f t="shared" si="154"/>
        <v>0</v>
      </c>
      <c r="CF249" s="387">
        <f t="shared" si="155"/>
        <v>0</v>
      </c>
      <c r="CG249" s="387">
        <f t="shared" si="156"/>
        <v>0</v>
      </c>
      <c r="CH249" s="387">
        <f t="shared" si="157"/>
        <v>0</v>
      </c>
      <c r="CI249" s="387">
        <f t="shared" si="158"/>
        <v>0</v>
      </c>
      <c r="CJ249" s="387">
        <f t="shared" si="171"/>
        <v>0</v>
      </c>
      <c r="CK249" s="387" t="str">
        <f t="shared" si="172"/>
        <v/>
      </c>
      <c r="CL249" s="387" t="str">
        <f t="shared" si="173"/>
        <v/>
      </c>
      <c r="CM249" s="387" t="str">
        <f t="shared" si="174"/>
        <v/>
      </c>
      <c r="CN249" s="387" t="str">
        <f t="shared" si="175"/>
        <v>0348-31</v>
      </c>
    </row>
    <row r="250" spans="1:92" ht="15.75" thickBot="1" x14ac:dyDescent="0.3">
      <c r="A250" s="376" t="s">
        <v>161</v>
      </c>
      <c r="B250" s="376" t="s">
        <v>162</v>
      </c>
      <c r="C250" s="376" t="s">
        <v>979</v>
      </c>
      <c r="D250" s="376" t="s">
        <v>862</v>
      </c>
      <c r="E250" s="376" t="s">
        <v>224</v>
      </c>
      <c r="F250" s="382" t="s">
        <v>225</v>
      </c>
      <c r="G250" s="376" t="s">
        <v>781</v>
      </c>
      <c r="H250" s="378"/>
      <c r="I250" s="378"/>
      <c r="J250" s="376" t="s">
        <v>215</v>
      </c>
      <c r="K250" s="376" t="s">
        <v>863</v>
      </c>
      <c r="L250" s="376" t="s">
        <v>252</v>
      </c>
      <c r="M250" s="376" t="s">
        <v>171</v>
      </c>
      <c r="N250" s="376" t="s">
        <v>172</v>
      </c>
      <c r="O250" s="379">
        <v>1</v>
      </c>
      <c r="P250" s="385">
        <v>0</v>
      </c>
      <c r="Q250" s="385">
        <v>0</v>
      </c>
      <c r="R250" s="380">
        <v>80</v>
      </c>
      <c r="S250" s="385">
        <v>0</v>
      </c>
      <c r="T250" s="380">
        <v>728.8</v>
      </c>
      <c r="U250" s="380">
        <v>0</v>
      </c>
      <c r="V250" s="380">
        <v>-97.36</v>
      </c>
      <c r="W250" s="380">
        <v>0</v>
      </c>
      <c r="X250" s="380">
        <v>0</v>
      </c>
      <c r="Y250" s="380">
        <v>0</v>
      </c>
      <c r="Z250" s="380">
        <v>0</v>
      </c>
      <c r="AA250" s="376" t="s">
        <v>980</v>
      </c>
      <c r="AB250" s="376" t="s">
        <v>981</v>
      </c>
      <c r="AC250" s="376" t="s">
        <v>673</v>
      </c>
      <c r="AD250" s="376" t="s">
        <v>170</v>
      </c>
      <c r="AE250" s="376" t="s">
        <v>863</v>
      </c>
      <c r="AF250" s="376" t="s">
        <v>393</v>
      </c>
      <c r="AG250" s="376" t="s">
        <v>178</v>
      </c>
      <c r="AH250" s="381">
        <v>18.78</v>
      </c>
      <c r="AI250" s="379">
        <v>2471</v>
      </c>
      <c r="AJ250" s="376" t="s">
        <v>179</v>
      </c>
      <c r="AK250" s="376" t="s">
        <v>180</v>
      </c>
      <c r="AL250" s="376" t="s">
        <v>181</v>
      </c>
      <c r="AM250" s="376" t="s">
        <v>182</v>
      </c>
      <c r="AN250" s="376" t="s">
        <v>68</v>
      </c>
      <c r="AO250" s="379">
        <v>80</v>
      </c>
      <c r="AP250" s="385">
        <v>1</v>
      </c>
      <c r="AQ250" s="385">
        <v>0</v>
      </c>
      <c r="AR250" s="383" t="s">
        <v>183</v>
      </c>
      <c r="AS250" s="387">
        <f t="shared" si="159"/>
        <v>0</v>
      </c>
      <c r="AT250">
        <f t="shared" si="160"/>
        <v>0</v>
      </c>
      <c r="AU250" s="387" t="str">
        <f>IF(AT250=0,"",IF(AND(AT250=1,M250="F",SUMIF(C2:C1334,C250,AS2:AS1334)&lt;=1),SUMIF(C2:C1334,C250,AS2:AS1334),IF(AND(AT250=1,M250="F",SUMIF(C2:C1334,C250,AS2:AS1334)&gt;1),1,"")))</f>
        <v/>
      </c>
      <c r="AV250" s="387" t="str">
        <f>IF(AT250=0,"",IF(AND(AT250=3,M250="F",SUMIF(C2:C1334,C250,AS2:AS1334)&lt;=1),SUMIF(C2:C1334,C250,AS2:AS1334),IF(AND(AT250=3,M250="F",SUMIF(C2:C1334,C250,AS2:AS1334)&gt;1),1,"")))</f>
        <v/>
      </c>
      <c r="AW250" s="387">
        <f>SUMIF(C2:C1334,C250,O2:O1334)</f>
        <v>2</v>
      </c>
      <c r="AX250" s="387">
        <f>IF(AND(M250="F",AS250&lt;&gt;0),SUMIF(C2:C1334,C250,W2:W1334),0)</f>
        <v>0</v>
      </c>
      <c r="AY250" s="387" t="str">
        <f t="shared" si="161"/>
        <v/>
      </c>
      <c r="AZ250" s="387" t="str">
        <f t="shared" si="162"/>
        <v/>
      </c>
      <c r="BA250" s="387">
        <f t="shared" si="163"/>
        <v>0</v>
      </c>
      <c r="BB250" s="387">
        <f t="shared" si="132"/>
        <v>0</v>
      </c>
      <c r="BC250" s="387">
        <f t="shared" si="133"/>
        <v>0</v>
      </c>
      <c r="BD250" s="387">
        <f t="shared" si="134"/>
        <v>0</v>
      </c>
      <c r="BE250" s="387">
        <f t="shared" si="135"/>
        <v>0</v>
      </c>
      <c r="BF250" s="387">
        <f t="shared" si="136"/>
        <v>0</v>
      </c>
      <c r="BG250" s="387">
        <f t="shared" si="137"/>
        <v>0</v>
      </c>
      <c r="BH250" s="387">
        <f t="shared" si="138"/>
        <v>0</v>
      </c>
      <c r="BI250" s="387">
        <f t="shared" si="139"/>
        <v>0</v>
      </c>
      <c r="BJ250" s="387">
        <f t="shared" si="140"/>
        <v>0</v>
      </c>
      <c r="BK250" s="387">
        <f t="shared" si="141"/>
        <v>0</v>
      </c>
      <c r="BL250" s="387">
        <f t="shared" si="164"/>
        <v>0</v>
      </c>
      <c r="BM250" s="387">
        <f t="shared" si="165"/>
        <v>0</v>
      </c>
      <c r="BN250" s="387">
        <f t="shared" si="142"/>
        <v>0</v>
      </c>
      <c r="BO250" s="387">
        <f t="shared" si="143"/>
        <v>0</v>
      </c>
      <c r="BP250" s="387">
        <f t="shared" si="144"/>
        <v>0</v>
      </c>
      <c r="BQ250" s="387">
        <f t="shared" si="145"/>
        <v>0</v>
      </c>
      <c r="BR250" s="387">
        <f t="shared" si="146"/>
        <v>0</v>
      </c>
      <c r="BS250" s="387">
        <f t="shared" si="147"/>
        <v>0</v>
      </c>
      <c r="BT250" s="387">
        <f t="shared" si="148"/>
        <v>0</v>
      </c>
      <c r="BU250" s="387">
        <f t="shared" si="149"/>
        <v>0</v>
      </c>
      <c r="BV250" s="387">
        <f t="shared" si="150"/>
        <v>0</v>
      </c>
      <c r="BW250" s="387">
        <f t="shared" si="151"/>
        <v>0</v>
      </c>
      <c r="BX250" s="387">
        <f t="shared" si="166"/>
        <v>0</v>
      </c>
      <c r="BY250" s="387">
        <f t="shared" si="167"/>
        <v>0</v>
      </c>
      <c r="BZ250" s="387">
        <f t="shared" si="168"/>
        <v>0</v>
      </c>
      <c r="CA250" s="387">
        <f t="shared" si="169"/>
        <v>0</v>
      </c>
      <c r="CB250" s="387">
        <f t="shared" si="170"/>
        <v>0</v>
      </c>
      <c r="CC250" s="387">
        <f t="shared" si="152"/>
        <v>0</v>
      </c>
      <c r="CD250" s="387">
        <f t="shared" si="153"/>
        <v>0</v>
      </c>
      <c r="CE250" s="387">
        <f t="shared" si="154"/>
        <v>0</v>
      </c>
      <c r="CF250" s="387">
        <f t="shared" si="155"/>
        <v>0</v>
      </c>
      <c r="CG250" s="387">
        <f t="shared" si="156"/>
        <v>0</v>
      </c>
      <c r="CH250" s="387">
        <f t="shared" si="157"/>
        <v>0</v>
      </c>
      <c r="CI250" s="387">
        <f t="shared" si="158"/>
        <v>0</v>
      </c>
      <c r="CJ250" s="387">
        <f t="shared" si="171"/>
        <v>0</v>
      </c>
      <c r="CK250" s="387" t="str">
        <f t="shared" si="172"/>
        <v/>
      </c>
      <c r="CL250" s="387" t="str">
        <f t="shared" si="173"/>
        <v/>
      </c>
      <c r="CM250" s="387" t="str">
        <f t="shared" si="174"/>
        <v/>
      </c>
      <c r="CN250" s="387" t="str">
        <f t="shared" si="175"/>
        <v>0348-31</v>
      </c>
    </row>
    <row r="251" spans="1:92" ht="15.75" thickBot="1" x14ac:dyDescent="0.3">
      <c r="A251" s="376" t="s">
        <v>161</v>
      </c>
      <c r="B251" s="376" t="s">
        <v>162</v>
      </c>
      <c r="C251" s="376" t="s">
        <v>579</v>
      </c>
      <c r="D251" s="376" t="s">
        <v>326</v>
      </c>
      <c r="E251" s="376" t="s">
        <v>224</v>
      </c>
      <c r="F251" s="382" t="s">
        <v>225</v>
      </c>
      <c r="G251" s="376" t="s">
        <v>781</v>
      </c>
      <c r="H251" s="378"/>
      <c r="I251" s="378"/>
      <c r="J251" s="376" t="s">
        <v>215</v>
      </c>
      <c r="K251" s="376" t="s">
        <v>520</v>
      </c>
      <c r="L251" s="376" t="s">
        <v>210</v>
      </c>
      <c r="M251" s="376" t="s">
        <v>171</v>
      </c>
      <c r="N251" s="376" t="s">
        <v>172</v>
      </c>
      <c r="O251" s="379">
        <v>1</v>
      </c>
      <c r="P251" s="385">
        <v>0</v>
      </c>
      <c r="Q251" s="385">
        <v>0</v>
      </c>
      <c r="R251" s="380">
        <v>80</v>
      </c>
      <c r="S251" s="385">
        <v>0</v>
      </c>
      <c r="T251" s="380">
        <v>70456.98</v>
      </c>
      <c r="U251" s="380">
        <v>0</v>
      </c>
      <c r="V251" s="380">
        <v>26860.51</v>
      </c>
      <c r="W251" s="380">
        <v>0</v>
      </c>
      <c r="X251" s="380">
        <v>0</v>
      </c>
      <c r="Y251" s="380">
        <v>0</v>
      </c>
      <c r="Z251" s="380">
        <v>0</v>
      </c>
      <c r="AA251" s="376" t="s">
        <v>580</v>
      </c>
      <c r="AB251" s="376" t="s">
        <v>581</v>
      </c>
      <c r="AC251" s="376" t="s">
        <v>582</v>
      </c>
      <c r="AD251" s="376" t="s">
        <v>583</v>
      </c>
      <c r="AE251" s="376" t="s">
        <v>520</v>
      </c>
      <c r="AF251" s="376" t="s">
        <v>245</v>
      </c>
      <c r="AG251" s="376" t="s">
        <v>178</v>
      </c>
      <c r="AH251" s="381">
        <v>35.090000000000003</v>
      </c>
      <c r="AI251" s="381">
        <v>41093.199999999997</v>
      </c>
      <c r="AJ251" s="376" t="s">
        <v>179</v>
      </c>
      <c r="AK251" s="376" t="s">
        <v>180</v>
      </c>
      <c r="AL251" s="376" t="s">
        <v>181</v>
      </c>
      <c r="AM251" s="376" t="s">
        <v>182</v>
      </c>
      <c r="AN251" s="376" t="s">
        <v>68</v>
      </c>
      <c r="AO251" s="379">
        <v>80</v>
      </c>
      <c r="AP251" s="385">
        <v>1</v>
      </c>
      <c r="AQ251" s="385">
        <v>0</v>
      </c>
      <c r="AR251" s="383" t="s">
        <v>183</v>
      </c>
      <c r="AS251" s="387">
        <f t="shared" si="159"/>
        <v>0</v>
      </c>
      <c r="AT251">
        <f t="shared" si="160"/>
        <v>0</v>
      </c>
      <c r="AU251" s="387" t="str">
        <f>IF(AT251=0,"",IF(AND(AT251=1,M251="F",SUMIF(C2:C1334,C251,AS2:AS1334)&lt;=1),SUMIF(C2:C1334,C251,AS2:AS1334),IF(AND(AT251=1,M251="F",SUMIF(C2:C1334,C251,AS2:AS1334)&gt;1),1,"")))</f>
        <v/>
      </c>
      <c r="AV251" s="387" t="str">
        <f>IF(AT251=0,"",IF(AND(AT251=3,M251="F",SUMIF(C2:C1334,C251,AS2:AS1334)&lt;=1),SUMIF(C2:C1334,C251,AS2:AS1334),IF(AND(AT251=3,M251="F",SUMIF(C2:C1334,C251,AS2:AS1334)&gt;1),1,"")))</f>
        <v/>
      </c>
      <c r="AW251" s="387">
        <f>SUMIF(C2:C1334,C251,O2:O1334)</f>
        <v>2</v>
      </c>
      <c r="AX251" s="387">
        <f>IF(AND(M251="F",AS251&lt;&gt;0),SUMIF(C2:C1334,C251,W2:W1334),0)</f>
        <v>0</v>
      </c>
      <c r="AY251" s="387" t="str">
        <f t="shared" si="161"/>
        <v/>
      </c>
      <c r="AZ251" s="387" t="str">
        <f t="shared" si="162"/>
        <v/>
      </c>
      <c r="BA251" s="387">
        <f t="shared" si="163"/>
        <v>0</v>
      </c>
      <c r="BB251" s="387">
        <f t="shared" si="132"/>
        <v>0</v>
      </c>
      <c r="BC251" s="387">
        <f t="shared" si="133"/>
        <v>0</v>
      </c>
      <c r="BD251" s="387">
        <f t="shared" si="134"/>
        <v>0</v>
      </c>
      <c r="BE251" s="387">
        <f t="shared" si="135"/>
        <v>0</v>
      </c>
      <c r="BF251" s="387">
        <f t="shared" si="136"/>
        <v>0</v>
      </c>
      <c r="BG251" s="387">
        <f t="shared" si="137"/>
        <v>0</v>
      </c>
      <c r="BH251" s="387">
        <f t="shared" si="138"/>
        <v>0</v>
      </c>
      <c r="BI251" s="387">
        <f t="shared" si="139"/>
        <v>0</v>
      </c>
      <c r="BJ251" s="387">
        <f t="shared" si="140"/>
        <v>0</v>
      </c>
      <c r="BK251" s="387">
        <f t="shared" si="141"/>
        <v>0</v>
      </c>
      <c r="BL251" s="387">
        <f t="shared" si="164"/>
        <v>0</v>
      </c>
      <c r="BM251" s="387">
        <f t="shared" si="165"/>
        <v>0</v>
      </c>
      <c r="BN251" s="387">
        <f t="shared" si="142"/>
        <v>0</v>
      </c>
      <c r="BO251" s="387">
        <f t="shared" si="143"/>
        <v>0</v>
      </c>
      <c r="BP251" s="387">
        <f t="shared" si="144"/>
        <v>0</v>
      </c>
      <c r="BQ251" s="387">
        <f t="shared" si="145"/>
        <v>0</v>
      </c>
      <c r="BR251" s="387">
        <f t="shared" si="146"/>
        <v>0</v>
      </c>
      <c r="BS251" s="387">
        <f t="shared" si="147"/>
        <v>0</v>
      </c>
      <c r="BT251" s="387">
        <f t="shared" si="148"/>
        <v>0</v>
      </c>
      <c r="BU251" s="387">
        <f t="shared" si="149"/>
        <v>0</v>
      </c>
      <c r="BV251" s="387">
        <f t="shared" si="150"/>
        <v>0</v>
      </c>
      <c r="BW251" s="387">
        <f t="shared" si="151"/>
        <v>0</v>
      </c>
      <c r="BX251" s="387">
        <f t="shared" si="166"/>
        <v>0</v>
      </c>
      <c r="BY251" s="387">
        <f t="shared" si="167"/>
        <v>0</v>
      </c>
      <c r="BZ251" s="387">
        <f t="shared" si="168"/>
        <v>0</v>
      </c>
      <c r="CA251" s="387">
        <f t="shared" si="169"/>
        <v>0</v>
      </c>
      <c r="CB251" s="387">
        <f t="shared" si="170"/>
        <v>0</v>
      </c>
      <c r="CC251" s="387">
        <f t="shared" si="152"/>
        <v>0</v>
      </c>
      <c r="CD251" s="387">
        <f t="shared" si="153"/>
        <v>0</v>
      </c>
      <c r="CE251" s="387">
        <f t="shared" si="154"/>
        <v>0</v>
      </c>
      <c r="CF251" s="387">
        <f t="shared" si="155"/>
        <v>0</v>
      </c>
      <c r="CG251" s="387">
        <f t="shared" si="156"/>
        <v>0</v>
      </c>
      <c r="CH251" s="387">
        <f t="shared" si="157"/>
        <v>0</v>
      </c>
      <c r="CI251" s="387">
        <f t="shared" si="158"/>
        <v>0</v>
      </c>
      <c r="CJ251" s="387">
        <f t="shared" si="171"/>
        <v>0</v>
      </c>
      <c r="CK251" s="387" t="str">
        <f t="shared" si="172"/>
        <v/>
      </c>
      <c r="CL251" s="387" t="str">
        <f t="shared" si="173"/>
        <v/>
      </c>
      <c r="CM251" s="387" t="str">
        <f t="shared" si="174"/>
        <v/>
      </c>
      <c r="CN251" s="387" t="str">
        <f t="shared" si="175"/>
        <v>0348-31</v>
      </c>
    </row>
    <row r="252" spans="1:92" ht="15.75" thickBot="1" x14ac:dyDescent="0.3">
      <c r="A252" s="376" t="s">
        <v>161</v>
      </c>
      <c r="B252" s="376" t="s">
        <v>162</v>
      </c>
      <c r="C252" s="376" t="s">
        <v>982</v>
      </c>
      <c r="D252" s="376" t="s">
        <v>868</v>
      </c>
      <c r="E252" s="376" t="s">
        <v>224</v>
      </c>
      <c r="F252" s="382" t="s">
        <v>225</v>
      </c>
      <c r="G252" s="376" t="s">
        <v>781</v>
      </c>
      <c r="H252" s="378"/>
      <c r="I252" s="378"/>
      <c r="J252" s="376" t="s">
        <v>215</v>
      </c>
      <c r="K252" s="376" t="s">
        <v>869</v>
      </c>
      <c r="L252" s="376" t="s">
        <v>296</v>
      </c>
      <c r="M252" s="376" t="s">
        <v>171</v>
      </c>
      <c r="N252" s="376" t="s">
        <v>172</v>
      </c>
      <c r="O252" s="379">
        <v>1</v>
      </c>
      <c r="P252" s="385">
        <v>0</v>
      </c>
      <c r="Q252" s="385">
        <v>0</v>
      </c>
      <c r="R252" s="380">
        <v>80</v>
      </c>
      <c r="S252" s="385">
        <v>0</v>
      </c>
      <c r="T252" s="380">
        <v>47259.59</v>
      </c>
      <c r="U252" s="380">
        <v>0</v>
      </c>
      <c r="V252" s="380">
        <v>21457.37</v>
      </c>
      <c r="W252" s="380">
        <v>0</v>
      </c>
      <c r="X252" s="380">
        <v>0</v>
      </c>
      <c r="Y252" s="380">
        <v>0</v>
      </c>
      <c r="Z252" s="380">
        <v>0</v>
      </c>
      <c r="AA252" s="376" t="s">
        <v>983</v>
      </c>
      <c r="AB252" s="376" t="s">
        <v>984</v>
      </c>
      <c r="AC252" s="376" t="s">
        <v>985</v>
      </c>
      <c r="AD252" s="376" t="s">
        <v>210</v>
      </c>
      <c r="AE252" s="376" t="s">
        <v>869</v>
      </c>
      <c r="AF252" s="376" t="s">
        <v>301</v>
      </c>
      <c r="AG252" s="376" t="s">
        <v>178</v>
      </c>
      <c r="AH252" s="381">
        <v>26.75</v>
      </c>
      <c r="AI252" s="379">
        <v>14739</v>
      </c>
      <c r="AJ252" s="376" t="s">
        <v>179</v>
      </c>
      <c r="AK252" s="376" t="s">
        <v>180</v>
      </c>
      <c r="AL252" s="376" t="s">
        <v>181</v>
      </c>
      <c r="AM252" s="376" t="s">
        <v>182</v>
      </c>
      <c r="AN252" s="376" t="s">
        <v>68</v>
      </c>
      <c r="AO252" s="379">
        <v>80</v>
      </c>
      <c r="AP252" s="385">
        <v>1</v>
      </c>
      <c r="AQ252" s="385">
        <v>0</v>
      </c>
      <c r="AR252" s="383" t="s">
        <v>183</v>
      </c>
      <c r="AS252" s="387">
        <f t="shared" si="159"/>
        <v>0</v>
      </c>
      <c r="AT252">
        <f t="shared" si="160"/>
        <v>0</v>
      </c>
      <c r="AU252" s="387" t="str">
        <f>IF(AT252=0,"",IF(AND(AT252=1,M252="F",SUMIF(C2:C1334,C252,AS2:AS1334)&lt;=1),SUMIF(C2:C1334,C252,AS2:AS1334),IF(AND(AT252=1,M252="F",SUMIF(C2:C1334,C252,AS2:AS1334)&gt;1),1,"")))</f>
        <v/>
      </c>
      <c r="AV252" s="387" t="str">
        <f>IF(AT252=0,"",IF(AND(AT252=3,M252="F",SUMIF(C2:C1334,C252,AS2:AS1334)&lt;=1),SUMIF(C2:C1334,C252,AS2:AS1334),IF(AND(AT252=3,M252="F",SUMIF(C2:C1334,C252,AS2:AS1334)&gt;1),1,"")))</f>
        <v/>
      </c>
      <c r="AW252" s="387">
        <f>SUMIF(C2:C1334,C252,O2:O1334)</f>
        <v>2</v>
      </c>
      <c r="AX252" s="387">
        <f>IF(AND(M252="F",AS252&lt;&gt;0),SUMIF(C2:C1334,C252,W2:W1334),0)</f>
        <v>0</v>
      </c>
      <c r="AY252" s="387" t="str">
        <f t="shared" si="161"/>
        <v/>
      </c>
      <c r="AZ252" s="387" t="str">
        <f t="shared" si="162"/>
        <v/>
      </c>
      <c r="BA252" s="387">
        <f t="shared" si="163"/>
        <v>0</v>
      </c>
      <c r="BB252" s="387">
        <f t="shared" si="132"/>
        <v>0</v>
      </c>
      <c r="BC252" s="387">
        <f t="shared" si="133"/>
        <v>0</v>
      </c>
      <c r="BD252" s="387">
        <f t="shared" si="134"/>
        <v>0</v>
      </c>
      <c r="BE252" s="387">
        <f t="shared" si="135"/>
        <v>0</v>
      </c>
      <c r="BF252" s="387">
        <f t="shared" si="136"/>
        <v>0</v>
      </c>
      <c r="BG252" s="387">
        <f t="shared" si="137"/>
        <v>0</v>
      </c>
      <c r="BH252" s="387">
        <f t="shared" si="138"/>
        <v>0</v>
      </c>
      <c r="BI252" s="387">
        <f t="shared" si="139"/>
        <v>0</v>
      </c>
      <c r="BJ252" s="387">
        <f t="shared" si="140"/>
        <v>0</v>
      </c>
      <c r="BK252" s="387">
        <f t="shared" si="141"/>
        <v>0</v>
      </c>
      <c r="BL252" s="387">
        <f t="shared" si="164"/>
        <v>0</v>
      </c>
      <c r="BM252" s="387">
        <f t="shared" si="165"/>
        <v>0</v>
      </c>
      <c r="BN252" s="387">
        <f t="shared" si="142"/>
        <v>0</v>
      </c>
      <c r="BO252" s="387">
        <f t="shared" si="143"/>
        <v>0</v>
      </c>
      <c r="BP252" s="387">
        <f t="shared" si="144"/>
        <v>0</v>
      </c>
      <c r="BQ252" s="387">
        <f t="shared" si="145"/>
        <v>0</v>
      </c>
      <c r="BR252" s="387">
        <f t="shared" si="146"/>
        <v>0</v>
      </c>
      <c r="BS252" s="387">
        <f t="shared" si="147"/>
        <v>0</v>
      </c>
      <c r="BT252" s="387">
        <f t="shared" si="148"/>
        <v>0</v>
      </c>
      <c r="BU252" s="387">
        <f t="shared" si="149"/>
        <v>0</v>
      </c>
      <c r="BV252" s="387">
        <f t="shared" si="150"/>
        <v>0</v>
      </c>
      <c r="BW252" s="387">
        <f t="shared" si="151"/>
        <v>0</v>
      </c>
      <c r="BX252" s="387">
        <f t="shared" si="166"/>
        <v>0</v>
      </c>
      <c r="BY252" s="387">
        <f t="shared" si="167"/>
        <v>0</v>
      </c>
      <c r="BZ252" s="387">
        <f t="shared" si="168"/>
        <v>0</v>
      </c>
      <c r="CA252" s="387">
        <f t="shared" si="169"/>
        <v>0</v>
      </c>
      <c r="CB252" s="387">
        <f t="shared" si="170"/>
        <v>0</v>
      </c>
      <c r="CC252" s="387">
        <f t="shared" si="152"/>
        <v>0</v>
      </c>
      <c r="CD252" s="387">
        <f t="shared" si="153"/>
        <v>0</v>
      </c>
      <c r="CE252" s="387">
        <f t="shared" si="154"/>
        <v>0</v>
      </c>
      <c r="CF252" s="387">
        <f t="shared" si="155"/>
        <v>0</v>
      </c>
      <c r="CG252" s="387">
        <f t="shared" si="156"/>
        <v>0</v>
      </c>
      <c r="CH252" s="387">
        <f t="shared" si="157"/>
        <v>0</v>
      </c>
      <c r="CI252" s="387">
        <f t="shared" si="158"/>
        <v>0</v>
      </c>
      <c r="CJ252" s="387">
        <f t="shared" si="171"/>
        <v>0</v>
      </c>
      <c r="CK252" s="387" t="str">
        <f t="shared" si="172"/>
        <v/>
      </c>
      <c r="CL252" s="387" t="str">
        <f t="shared" si="173"/>
        <v/>
      </c>
      <c r="CM252" s="387" t="str">
        <f t="shared" si="174"/>
        <v/>
      </c>
      <c r="CN252" s="387" t="str">
        <f t="shared" si="175"/>
        <v>0348-31</v>
      </c>
    </row>
    <row r="253" spans="1:92" ht="15.75" thickBot="1" x14ac:dyDescent="0.3">
      <c r="A253" s="376" t="s">
        <v>161</v>
      </c>
      <c r="B253" s="376" t="s">
        <v>162</v>
      </c>
      <c r="C253" s="376" t="s">
        <v>986</v>
      </c>
      <c r="D253" s="376" t="s">
        <v>862</v>
      </c>
      <c r="E253" s="376" t="s">
        <v>224</v>
      </c>
      <c r="F253" s="382" t="s">
        <v>225</v>
      </c>
      <c r="G253" s="376" t="s">
        <v>781</v>
      </c>
      <c r="H253" s="378"/>
      <c r="I253" s="378"/>
      <c r="J253" s="376" t="s">
        <v>215</v>
      </c>
      <c r="K253" s="376" t="s">
        <v>863</v>
      </c>
      <c r="L253" s="376" t="s">
        <v>252</v>
      </c>
      <c r="M253" s="376" t="s">
        <v>272</v>
      </c>
      <c r="N253" s="376" t="s">
        <v>172</v>
      </c>
      <c r="O253" s="379">
        <v>0</v>
      </c>
      <c r="P253" s="385">
        <v>0</v>
      </c>
      <c r="Q253" s="385">
        <v>0</v>
      </c>
      <c r="R253" s="380">
        <v>80</v>
      </c>
      <c r="S253" s="385">
        <v>0</v>
      </c>
      <c r="T253" s="380">
        <v>3102.18</v>
      </c>
      <c r="U253" s="380">
        <v>0</v>
      </c>
      <c r="V253" s="380">
        <v>1026.25</v>
      </c>
      <c r="W253" s="380">
        <v>0</v>
      </c>
      <c r="X253" s="380">
        <v>0</v>
      </c>
      <c r="Y253" s="380">
        <v>0</v>
      </c>
      <c r="Z253" s="380">
        <v>0</v>
      </c>
      <c r="AA253" s="378"/>
      <c r="AB253" s="376" t="s">
        <v>45</v>
      </c>
      <c r="AC253" s="376" t="s">
        <v>45</v>
      </c>
      <c r="AD253" s="378"/>
      <c r="AE253" s="378"/>
      <c r="AF253" s="378"/>
      <c r="AG253" s="378"/>
      <c r="AH253" s="379">
        <v>0</v>
      </c>
      <c r="AI253" s="379">
        <v>0</v>
      </c>
      <c r="AJ253" s="378"/>
      <c r="AK253" s="378"/>
      <c r="AL253" s="376" t="s">
        <v>181</v>
      </c>
      <c r="AM253" s="378"/>
      <c r="AN253" s="378"/>
      <c r="AO253" s="379">
        <v>0</v>
      </c>
      <c r="AP253" s="385">
        <v>0</v>
      </c>
      <c r="AQ253" s="385">
        <v>0</v>
      </c>
      <c r="AR253" s="384"/>
      <c r="AS253" s="387">
        <f t="shared" si="159"/>
        <v>0</v>
      </c>
      <c r="AT253">
        <f t="shared" si="160"/>
        <v>0</v>
      </c>
      <c r="AU253" s="387" t="str">
        <f>IF(AT253=0,"",IF(AND(AT253=1,M253="F",SUMIF(C2:C1334,C253,AS2:AS1334)&lt;=1),SUMIF(C2:C1334,C253,AS2:AS1334),IF(AND(AT253=1,M253="F",SUMIF(C2:C1334,C253,AS2:AS1334)&gt;1),1,"")))</f>
        <v/>
      </c>
      <c r="AV253" s="387" t="str">
        <f>IF(AT253=0,"",IF(AND(AT253=3,M253="F",SUMIF(C2:C1334,C253,AS2:AS1334)&lt;=1),SUMIF(C2:C1334,C253,AS2:AS1334),IF(AND(AT253=3,M253="F",SUMIF(C2:C1334,C253,AS2:AS1334)&gt;1),1,"")))</f>
        <v/>
      </c>
      <c r="AW253" s="387">
        <f>SUMIF(C2:C1334,C253,O2:O1334)</f>
        <v>0</v>
      </c>
      <c r="AX253" s="387">
        <f>IF(AND(M253="F",AS253&lt;&gt;0),SUMIF(C2:C1334,C253,W2:W1334),0)</f>
        <v>0</v>
      </c>
      <c r="AY253" s="387" t="str">
        <f t="shared" si="161"/>
        <v/>
      </c>
      <c r="AZ253" s="387" t="str">
        <f t="shared" si="162"/>
        <v/>
      </c>
      <c r="BA253" s="387">
        <f t="shared" si="163"/>
        <v>0</v>
      </c>
      <c r="BB253" s="387">
        <f t="shared" si="132"/>
        <v>0</v>
      </c>
      <c r="BC253" s="387">
        <f t="shared" si="133"/>
        <v>0</v>
      </c>
      <c r="BD253" s="387">
        <f t="shared" si="134"/>
        <v>0</v>
      </c>
      <c r="BE253" s="387">
        <f t="shared" si="135"/>
        <v>0</v>
      </c>
      <c r="BF253" s="387">
        <f t="shared" si="136"/>
        <v>0</v>
      </c>
      <c r="BG253" s="387">
        <f t="shared" si="137"/>
        <v>0</v>
      </c>
      <c r="BH253" s="387">
        <f t="shared" si="138"/>
        <v>0</v>
      </c>
      <c r="BI253" s="387">
        <f t="shared" si="139"/>
        <v>0</v>
      </c>
      <c r="BJ253" s="387">
        <f t="shared" si="140"/>
        <v>0</v>
      </c>
      <c r="BK253" s="387">
        <f t="shared" si="141"/>
        <v>0</v>
      </c>
      <c r="BL253" s="387">
        <f t="shared" si="164"/>
        <v>0</v>
      </c>
      <c r="BM253" s="387">
        <f t="shared" si="165"/>
        <v>0</v>
      </c>
      <c r="BN253" s="387">
        <f t="shared" si="142"/>
        <v>0</v>
      </c>
      <c r="BO253" s="387">
        <f t="shared" si="143"/>
        <v>0</v>
      </c>
      <c r="BP253" s="387">
        <f t="shared" si="144"/>
        <v>0</v>
      </c>
      <c r="BQ253" s="387">
        <f t="shared" si="145"/>
        <v>0</v>
      </c>
      <c r="BR253" s="387">
        <f t="shared" si="146"/>
        <v>0</v>
      </c>
      <c r="BS253" s="387">
        <f t="shared" si="147"/>
        <v>0</v>
      </c>
      <c r="BT253" s="387">
        <f t="shared" si="148"/>
        <v>0</v>
      </c>
      <c r="BU253" s="387">
        <f t="shared" si="149"/>
        <v>0</v>
      </c>
      <c r="BV253" s="387">
        <f t="shared" si="150"/>
        <v>0</v>
      </c>
      <c r="BW253" s="387">
        <f t="shared" si="151"/>
        <v>0</v>
      </c>
      <c r="BX253" s="387">
        <f t="shared" si="166"/>
        <v>0</v>
      </c>
      <c r="BY253" s="387">
        <f t="shared" si="167"/>
        <v>0</v>
      </c>
      <c r="BZ253" s="387">
        <f t="shared" si="168"/>
        <v>0</v>
      </c>
      <c r="CA253" s="387">
        <f t="shared" si="169"/>
        <v>0</v>
      </c>
      <c r="CB253" s="387">
        <f t="shared" si="170"/>
        <v>0</v>
      </c>
      <c r="CC253" s="387">
        <f t="shared" si="152"/>
        <v>0</v>
      </c>
      <c r="CD253" s="387">
        <f t="shared" si="153"/>
        <v>0</v>
      </c>
      <c r="CE253" s="387">
        <f t="shared" si="154"/>
        <v>0</v>
      </c>
      <c r="CF253" s="387">
        <f t="shared" si="155"/>
        <v>0</v>
      </c>
      <c r="CG253" s="387">
        <f t="shared" si="156"/>
        <v>0</v>
      </c>
      <c r="CH253" s="387">
        <f t="shared" si="157"/>
        <v>0</v>
      </c>
      <c r="CI253" s="387">
        <f t="shared" si="158"/>
        <v>0</v>
      </c>
      <c r="CJ253" s="387">
        <f t="shared" si="171"/>
        <v>0</v>
      </c>
      <c r="CK253" s="387" t="str">
        <f t="shared" si="172"/>
        <v/>
      </c>
      <c r="CL253" s="387" t="str">
        <f t="shared" si="173"/>
        <v/>
      </c>
      <c r="CM253" s="387" t="str">
        <f t="shared" si="174"/>
        <v/>
      </c>
      <c r="CN253" s="387" t="str">
        <f t="shared" si="175"/>
        <v>0348-31</v>
      </c>
    </row>
    <row r="254" spans="1:92" ht="15.75" thickBot="1" x14ac:dyDescent="0.3">
      <c r="A254" s="376" t="s">
        <v>161</v>
      </c>
      <c r="B254" s="376" t="s">
        <v>162</v>
      </c>
      <c r="C254" s="376" t="s">
        <v>987</v>
      </c>
      <c r="D254" s="376" t="s">
        <v>862</v>
      </c>
      <c r="E254" s="376" t="s">
        <v>224</v>
      </c>
      <c r="F254" s="382" t="s">
        <v>225</v>
      </c>
      <c r="G254" s="376" t="s">
        <v>781</v>
      </c>
      <c r="H254" s="378"/>
      <c r="I254" s="378"/>
      <c r="J254" s="376" t="s">
        <v>215</v>
      </c>
      <c r="K254" s="376" t="s">
        <v>863</v>
      </c>
      <c r="L254" s="376" t="s">
        <v>252</v>
      </c>
      <c r="M254" s="376" t="s">
        <v>171</v>
      </c>
      <c r="N254" s="376" t="s">
        <v>172</v>
      </c>
      <c r="O254" s="379">
        <v>1</v>
      </c>
      <c r="P254" s="385">
        <v>1</v>
      </c>
      <c r="Q254" s="385">
        <v>1</v>
      </c>
      <c r="R254" s="380">
        <v>80</v>
      </c>
      <c r="S254" s="385">
        <v>1</v>
      </c>
      <c r="T254" s="380">
        <v>37785.300000000003</v>
      </c>
      <c r="U254" s="380">
        <v>0</v>
      </c>
      <c r="V254" s="380">
        <v>19514.63</v>
      </c>
      <c r="W254" s="380">
        <v>43222.400000000001</v>
      </c>
      <c r="X254" s="380">
        <v>20996.81</v>
      </c>
      <c r="Y254" s="380">
        <v>43222.400000000001</v>
      </c>
      <c r="Z254" s="380">
        <v>20815.28</v>
      </c>
      <c r="AA254" s="376" t="s">
        <v>988</v>
      </c>
      <c r="AB254" s="376" t="s">
        <v>989</v>
      </c>
      <c r="AC254" s="376" t="s">
        <v>990</v>
      </c>
      <c r="AD254" s="376" t="s">
        <v>236</v>
      </c>
      <c r="AE254" s="376" t="s">
        <v>863</v>
      </c>
      <c r="AF254" s="376" t="s">
        <v>393</v>
      </c>
      <c r="AG254" s="376" t="s">
        <v>178</v>
      </c>
      <c r="AH254" s="381">
        <v>20.78</v>
      </c>
      <c r="AI254" s="381">
        <v>10159.700000000001</v>
      </c>
      <c r="AJ254" s="376" t="s">
        <v>179</v>
      </c>
      <c r="AK254" s="376" t="s">
        <v>180</v>
      </c>
      <c r="AL254" s="376" t="s">
        <v>181</v>
      </c>
      <c r="AM254" s="376" t="s">
        <v>182</v>
      </c>
      <c r="AN254" s="376" t="s">
        <v>68</v>
      </c>
      <c r="AO254" s="379">
        <v>80</v>
      </c>
      <c r="AP254" s="385">
        <v>1</v>
      </c>
      <c r="AQ254" s="385">
        <v>1</v>
      </c>
      <c r="AR254" s="383" t="s">
        <v>183</v>
      </c>
      <c r="AS254" s="387">
        <f t="shared" si="159"/>
        <v>1</v>
      </c>
      <c r="AT254">
        <f t="shared" si="160"/>
        <v>1</v>
      </c>
      <c r="AU254" s="387">
        <f>IF(AT254=0,"",IF(AND(AT254=1,M254="F",SUMIF(C2:C1334,C254,AS2:AS1334)&lt;=1),SUMIF(C2:C1334,C254,AS2:AS1334),IF(AND(AT254=1,M254="F",SUMIF(C2:C1334,C254,AS2:AS1334)&gt;1),1,"")))</f>
        <v>1</v>
      </c>
      <c r="AV254" s="387" t="str">
        <f>IF(AT254=0,"",IF(AND(AT254=3,M254="F",SUMIF(C2:C1334,C254,AS2:AS1334)&lt;=1),SUMIF(C2:C1334,C254,AS2:AS1334),IF(AND(AT254=3,M254="F",SUMIF(C2:C1334,C254,AS2:AS1334)&gt;1),1,"")))</f>
        <v/>
      </c>
      <c r="AW254" s="387">
        <f>SUMIF(C2:C1334,C254,O2:O1334)</f>
        <v>2</v>
      </c>
      <c r="AX254" s="387">
        <f>IF(AND(M254="F",AS254&lt;&gt;0),SUMIF(C2:C1334,C254,W2:W1334),0)</f>
        <v>43222.400000000001</v>
      </c>
      <c r="AY254" s="387">
        <f t="shared" si="161"/>
        <v>43222.400000000001</v>
      </c>
      <c r="AZ254" s="387" t="str">
        <f t="shared" si="162"/>
        <v/>
      </c>
      <c r="BA254" s="387">
        <f t="shared" si="163"/>
        <v>0</v>
      </c>
      <c r="BB254" s="387">
        <f t="shared" si="132"/>
        <v>11650</v>
      </c>
      <c r="BC254" s="387">
        <f t="shared" si="133"/>
        <v>0</v>
      </c>
      <c r="BD254" s="387">
        <f t="shared" si="134"/>
        <v>2679.7888000000003</v>
      </c>
      <c r="BE254" s="387">
        <f t="shared" si="135"/>
        <v>626.72480000000007</v>
      </c>
      <c r="BF254" s="387">
        <f t="shared" si="136"/>
        <v>5160.7545600000003</v>
      </c>
      <c r="BG254" s="387">
        <f t="shared" si="137"/>
        <v>311.63350400000002</v>
      </c>
      <c r="BH254" s="387">
        <f t="shared" si="138"/>
        <v>211.78976</v>
      </c>
      <c r="BI254" s="387">
        <f t="shared" si="139"/>
        <v>239.235984</v>
      </c>
      <c r="BJ254" s="387">
        <f t="shared" si="140"/>
        <v>116.70048000000001</v>
      </c>
      <c r="BK254" s="387">
        <f t="shared" si="141"/>
        <v>0</v>
      </c>
      <c r="BL254" s="387">
        <f t="shared" si="164"/>
        <v>9346.6278879999991</v>
      </c>
      <c r="BM254" s="387">
        <f t="shared" si="165"/>
        <v>0</v>
      </c>
      <c r="BN254" s="387">
        <f t="shared" si="142"/>
        <v>11650</v>
      </c>
      <c r="BO254" s="387">
        <f t="shared" si="143"/>
        <v>0</v>
      </c>
      <c r="BP254" s="387">
        <f t="shared" si="144"/>
        <v>2679.7888000000003</v>
      </c>
      <c r="BQ254" s="387">
        <f t="shared" si="145"/>
        <v>626.72480000000007</v>
      </c>
      <c r="BR254" s="387">
        <f t="shared" si="146"/>
        <v>5160.7545600000003</v>
      </c>
      <c r="BS254" s="387">
        <f t="shared" si="147"/>
        <v>311.63350400000002</v>
      </c>
      <c r="BT254" s="387">
        <f t="shared" si="148"/>
        <v>0</v>
      </c>
      <c r="BU254" s="387">
        <f t="shared" si="149"/>
        <v>239.235984</v>
      </c>
      <c r="BV254" s="387">
        <f t="shared" si="150"/>
        <v>146.95615999999998</v>
      </c>
      <c r="BW254" s="387">
        <f t="shared" si="151"/>
        <v>0</v>
      </c>
      <c r="BX254" s="387">
        <f t="shared" si="166"/>
        <v>9165.0938079999996</v>
      </c>
      <c r="BY254" s="387">
        <f t="shared" si="167"/>
        <v>0</v>
      </c>
      <c r="BZ254" s="387">
        <f t="shared" si="168"/>
        <v>0</v>
      </c>
      <c r="CA254" s="387">
        <f t="shared" si="169"/>
        <v>0</v>
      </c>
      <c r="CB254" s="387">
        <f t="shared" si="170"/>
        <v>0</v>
      </c>
      <c r="CC254" s="387">
        <f t="shared" si="152"/>
        <v>0</v>
      </c>
      <c r="CD254" s="387">
        <f t="shared" si="153"/>
        <v>0</v>
      </c>
      <c r="CE254" s="387">
        <f t="shared" si="154"/>
        <v>0</v>
      </c>
      <c r="CF254" s="387">
        <f t="shared" si="155"/>
        <v>-211.78976</v>
      </c>
      <c r="CG254" s="387">
        <f t="shared" si="156"/>
        <v>0</v>
      </c>
      <c r="CH254" s="387">
        <f t="shared" si="157"/>
        <v>30.255679999999987</v>
      </c>
      <c r="CI254" s="387">
        <f t="shared" si="158"/>
        <v>0</v>
      </c>
      <c r="CJ254" s="387">
        <f t="shared" si="171"/>
        <v>-181.53408000000002</v>
      </c>
      <c r="CK254" s="387" t="str">
        <f t="shared" si="172"/>
        <v/>
      </c>
      <c r="CL254" s="387" t="str">
        <f t="shared" si="173"/>
        <v/>
      </c>
      <c r="CM254" s="387" t="str">
        <f t="shared" si="174"/>
        <v/>
      </c>
      <c r="CN254" s="387" t="str">
        <f t="shared" si="175"/>
        <v>0348-31</v>
      </c>
    </row>
    <row r="255" spans="1:92" ht="15.75" thickBot="1" x14ac:dyDescent="0.3">
      <c r="A255" s="376" t="s">
        <v>161</v>
      </c>
      <c r="B255" s="376" t="s">
        <v>162</v>
      </c>
      <c r="C255" s="376" t="s">
        <v>496</v>
      </c>
      <c r="D255" s="376" t="s">
        <v>497</v>
      </c>
      <c r="E255" s="376" t="s">
        <v>224</v>
      </c>
      <c r="F255" s="382" t="s">
        <v>225</v>
      </c>
      <c r="G255" s="376" t="s">
        <v>781</v>
      </c>
      <c r="H255" s="378"/>
      <c r="I255" s="378"/>
      <c r="J255" s="376" t="s">
        <v>215</v>
      </c>
      <c r="K255" s="376" t="s">
        <v>498</v>
      </c>
      <c r="L255" s="376" t="s">
        <v>170</v>
      </c>
      <c r="M255" s="376" t="s">
        <v>171</v>
      </c>
      <c r="N255" s="376" t="s">
        <v>172</v>
      </c>
      <c r="O255" s="379">
        <v>1</v>
      </c>
      <c r="P255" s="385">
        <v>0</v>
      </c>
      <c r="Q255" s="385">
        <v>0</v>
      </c>
      <c r="R255" s="380">
        <v>80</v>
      </c>
      <c r="S255" s="385">
        <v>0</v>
      </c>
      <c r="T255" s="380">
        <v>63853.16</v>
      </c>
      <c r="U255" s="380">
        <v>0</v>
      </c>
      <c r="V255" s="380">
        <v>25112.06</v>
      </c>
      <c r="W255" s="380">
        <v>0</v>
      </c>
      <c r="X255" s="380">
        <v>0</v>
      </c>
      <c r="Y255" s="380">
        <v>0</v>
      </c>
      <c r="Z255" s="380">
        <v>0</v>
      </c>
      <c r="AA255" s="376" t="s">
        <v>499</v>
      </c>
      <c r="AB255" s="376" t="s">
        <v>500</v>
      </c>
      <c r="AC255" s="376" t="s">
        <v>501</v>
      </c>
      <c r="AD255" s="376" t="s">
        <v>502</v>
      </c>
      <c r="AE255" s="376" t="s">
        <v>498</v>
      </c>
      <c r="AF255" s="376" t="s">
        <v>177</v>
      </c>
      <c r="AG255" s="376" t="s">
        <v>178</v>
      </c>
      <c r="AH255" s="381">
        <v>31.79</v>
      </c>
      <c r="AI255" s="381">
        <v>9658.5</v>
      </c>
      <c r="AJ255" s="376" t="s">
        <v>179</v>
      </c>
      <c r="AK255" s="376" t="s">
        <v>180</v>
      </c>
      <c r="AL255" s="376" t="s">
        <v>181</v>
      </c>
      <c r="AM255" s="376" t="s">
        <v>182</v>
      </c>
      <c r="AN255" s="376" t="s">
        <v>68</v>
      </c>
      <c r="AO255" s="379">
        <v>80</v>
      </c>
      <c r="AP255" s="385">
        <v>1</v>
      </c>
      <c r="AQ255" s="385">
        <v>0</v>
      </c>
      <c r="AR255" s="383" t="s">
        <v>183</v>
      </c>
      <c r="AS255" s="387">
        <f t="shared" si="159"/>
        <v>0</v>
      </c>
      <c r="AT255">
        <f t="shared" si="160"/>
        <v>0</v>
      </c>
      <c r="AU255" s="387" t="str">
        <f>IF(AT255=0,"",IF(AND(AT255=1,M255="F",SUMIF(C2:C1334,C255,AS2:AS1334)&lt;=1),SUMIF(C2:C1334,C255,AS2:AS1334),IF(AND(AT255=1,M255="F",SUMIF(C2:C1334,C255,AS2:AS1334)&gt;1),1,"")))</f>
        <v/>
      </c>
      <c r="AV255" s="387" t="str">
        <f>IF(AT255=0,"",IF(AND(AT255=3,M255="F",SUMIF(C2:C1334,C255,AS2:AS1334)&lt;=1),SUMIF(C2:C1334,C255,AS2:AS1334),IF(AND(AT255=3,M255="F",SUMIF(C2:C1334,C255,AS2:AS1334)&gt;1),1,"")))</f>
        <v/>
      </c>
      <c r="AW255" s="387">
        <f>SUMIF(C2:C1334,C255,O2:O1334)</f>
        <v>2</v>
      </c>
      <c r="AX255" s="387">
        <f>IF(AND(M255="F",AS255&lt;&gt;0),SUMIF(C2:C1334,C255,W2:W1334),0)</f>
        <v>0</v>
      </c>
      <c r="AY255" s="387" t="str">
        <f t="shared" si="161"/>
        <v/>
      </c>
      <c r="AZ255" s="387" t="str">
        <f t="shared" si="162"/>
        <v/>
      </c>
      <c r="BA255" s="387">
        <f t="shared" si="163"/>
        <v>0</v>
      </c>
      <c r="BB255" s="387">
        <f t="shared" si="132"/>
        <v>0</v>
      </c>
      <c r="BC255" s="387">
        <f t="shared" si="133"/>
        <v>0</v>
      </c>
      <c r="BD255" s="387">
        <f t="shared" si="134"/>
        <v>0</v>
      </c>
      <c r="BE255" s="387">
        <f t="shared" si="135"/>
        <v>0</v>
      </c>
      <c r="BF255" s="387">
        <f t="shared" si="136"/>
        <v>0</v>
      </c>
      <c r="BG255" s="387">
        <f t="shared" si="137"/>
        <v>0</v>
      </c>
      <c r="BH255" s="387">
        <f t="shared" si="138"/>
        <v>0</v>
      </c>
      <c r="BI255" s="387">
        <f t="shared" si="139"/>
        <v>0</v>
      </c>
      <c r="BJ255" s="387">
        <f t="shared" si="140"/>
        <v>0</v>
      </c>
      <c r="BK255" s="387">
        <f t="shared" si="141"/>
        <v>0</v>
      </c>
      <c r="BL255" s="387">
        <f t="shared" si="164"/>
        <v>0</v>
      </c>
      <c r="BM255" s="387">
        <f t="shared" si="165"/>
        <v>0</v>
      </c>
      <c r="BN255" s="387">
        <f t="shared" si="142"/>
        <v>0</v>
      </c>
      <c r="BO255" s="387">
        <f t="shared" si="143"/>
        <v>0</v>
      </c>
      <c r="BP255" s="387">
        <f t="shared" si="144"/>
        <v>0</v>
      </c>
      <c r="BQ255" s="387">
        <f t="shared" si="145"/>
        <v>0</v>
      </c>
      <c r="BR255" s="387">
        <f t="shared" si="146"/>
        <v>0</v>
      </c>
      <c r="BS255" s="387">
        <f t="shared" si="147"/>
        <v>0</v>
      </c>
      <c r="BT255" s="387">
        <f t="shared" si="148"/>
        <v>0</v>
      </c>
      <c r="BU255" s="387">
        <f t="shared" si="149"/>
        <v>0</v>
      </c>
      <c r="BV255" s="387">
        <f t="shared" si="150"/>
        <v>0</v>
      </c>
      <c r="BW255" s="387">
        <f t="shared" si="151"/>
        <v>0</v>
      </c>
      <c r="BX255" s="387">
        <f t="shared" si="166"/>
        <v>0</v>
      </c>
      <c r="BY255" s="387">
        <f t="shared" si="167"/>
        <v>0</v>
      </c>
      <c r="BZ255" s="387">
        <f t="shared" si="168"/>
        <v>0</v>
      </c>
      <c r="CA255" s="387">
        <f t="shared" si="169"/>
        <v>0</v>
      </c>
      <c r="CB255" s="387">
        <f t="shared" si="170"/>
        <v>0</v>
      </c>
      <c r="CC255" s="387">
        <f t="shared" si="152"/>
        <v>0</v>
      </c>
      <c r="CD255" s="387">
        <f t="shared" si="153"/>
        <v>0</v>
      </c>
      <c r="CE255" s="387">
        <f t="shared" si="154"/>
        <v>0</v>
      </c>
      <c r="CF255" s="387">
        <f t="shared" si="155"/>
        <v>0</v>
      </c>
      <c r="CG255" s="387">
        <f t="shared" si="156"/>
        <v>0</v>
      </c>
      <c r="CH255" s="387">
        <f t="shared" si="157"/>
        <v>0</v>
      </c>
      <c r="CI255" s="387">
        <f t="shared" si="158"/>
        <v>0</v>
      </c>
      <c r="CJ255" s="387">
        <f t="shared" si="171"/>
        <v>0</v>
      </c>
      <c r="CK255" s="387" t="str">
        <f t="shared" si="172"/>
        <v/>
      </c>
      <c r="CL255" s="387" t="str">
        <f t="shared" si="173"/>
        <v/>
      </c>
      <c r="CM255" s="387" t="str">
        <f t="shared" si="174"/>
        <v/>
      </c>
      <c r="CN255" s="387" t="str">
        <f t="shared" si="175"/>
        <v>0348-31</v>
      </c>
    </row>
    <row r="256" spans="1:92" ht="15.75" thickBot="1" x14ac:dyDescent="0.3">
      <c r="A256" s="376" t="s">
        <v>161</v>
      </c>
      <c r="B256" s="376" t="s">
        <v>162</v>
      </c>
      <c r="C256" s="376" t="s">
        <v>991</v>
      </c>
      <c r="D256" s="376" t="s">
        <v>992</v>
      </c>
      <c r="E256" s="376" t="s">
        <v>224</v>
      </c>
      <c r="F256" s="382" t="s">
        <v>225</v>
      </c>
      <c r="G256" s="376" t="s">
        <v>781</v>
      </c>
      <c r="H256" s="378"/>
      <c r="I256" s="378"/>
      <c r="J256" s="376" t="s">
        <v>215</v>
      </c>
      <c r="K256" s="376" t="s">
        <v>993</v>
      </c>
      <c r="L256" s="376" t="s">
        <v>210</v>
      </c>
      <c r="M256" s="376" t="s">
        <v>171</v>
      </c>
      <c r="N256" s="376" t="s">
        <v>172</v>
      </c>
      <c r="O256" s="379">
        <v>1</v>
      </c>
      <c r="P256" s="385">
        <v>0</v>
      </c>
      <c r="Q256" s="385">
        <v>0</v>
      </c>
      <c r="R256" s="380">
        <v>80</v>
      </c>
      <c r="S256" s="385">
        <v>0</v>
      </c>
      <c r="T256" s="380">
        <v>35416.89</v>
      </c>
      <c r="U256" s="380">
        <v>0</v>
      </c>
      <c r="V256" s="380">
        <v>14206.25</v>
      </c>
      <c r="W256" s="380">
        <v>0</v>
      </c>
      <c r="X256" s="380">
        <v>0</v>
      </c>
      <c r="Y256" s="380">
        <v>0</v>
      </c>
      <c r="Z256" s="380">
        <v>0</v>
      </c>
      <c r="AA256" s="376" t="s">
        <v>994</v>
      </c>
      <c r="AB256" s="376" t="s">
        <v>995</v>
      </c>
      <c r="AC256" s="376" t="s">
        <v>996</v>
      </c>
      <c r="AD256" s="376" t="s">
        <v>716</v>
      </c>
      <c r="AE256" s="376" t="s">
        <v>993</v>
      </c>
      <c r="AF256" s="376" t="s">
        <v>245</v>
      </c>
      <c r="AG256" s="376" t="s">
        <v>178</v>
      </c>
      <c r="AH256" s="381">
        <v>30.57</v>
      </c>
      <c r="AI256" s="379">
        <v>14465</v>
      </c>
      <c r="AJ256" s="376" t="s">
        <v>179</v>
      </c>
      <c r="AK256" s="376" t="s">
        <v>180</v>
      </c>
      <c r="AL256" s="376" t="s">
        <v>181</v>
      </c>
      <c r="AM256" s="376" t="s">
        <v>182</v>
      </c>
      <c r="AN256" s="376" t="s">
        <v>68</v>
      </c>
      <c r="AO256" s="379">
        <v>80</v>
      </c>
      <c r="AP256" s="385">
        <v>1</v>
      </c>
      <c r="AQ256" s="385">
        <v>0</v>
      </c>
      <c r="AR256" s="383" t="s">
        <v>183</v>
      </c>
      <c r="AS256" s="387">
        <f t="shared" si="159"/>
        <v>0</v>
      </c>
      <c r="AT256">
        <f t="shared" si="160"/>
        <v>0</v>
      </c>
      <c r="AU256" s="387" t="str">
        <f>IF(AT256=0,"",IF(AND(AT256=1,M256="F",SUMIF(C2:C1334,C256,AS2:AS1334)&lt;=1),SUMIF(C2:C1334,C256,AS2:AS1334),IF(AND(AT256=1,M256="F",SUMIF(C2:C1334,C256,AS2:AS1334)&gt;1),1,"")))</f>
        <v/>
      </c>
      <c r="AV256" s="387" t="str">
        <f>IF(AT256=0,"",IF(AND(AT256=3,M256="F",SUMIF(C2:C1334,C256,AS2:AS1334)&lt;=1),SUMIF(C2:C1334,C256,AS2:AS1334),IF(AND(AT256=3,M256="F",SUMIF(C2:C1334,C256,AS2:AS1334)&gt;1),1,"")))</f>
        <v/>
      </c>
      <c r="AW256" s="387">
        <f>SUMIF(C2:C1334,C256,O2:O1334)</f>
        <v>2</v>
      </c>
      <c r="AX256" s="387">
        <f>IF(AND(M256="F",AS256&lt;&gt;0),SUMIF(C2:C1334,C256,W2:W1334),0)</f>
        <v>0</v>
      </c>
      <c r="AY256" s="387" t="str">
        <f t="shared" si="161"/>
        <v/>
      </c>
      <c r="AZ256" s="387" t="str">
        <f t="shared" si="162"/>
        <v/>
      </c>
      <c r="BA256" s="387">
        <f t="shared" si="163"/>
        <v>0</v>
      </c>
      <c r="BB256" s="387">
        <f t="shared" si="132"/>
        <v>0</v>
      </c>
      <c r="BC256" s="387">
        <f t="shared" si="133"/>
        <v>0</v>
      </c>
      <c r="BD256" s="387">
        <f t="shared" si="134"/>
        <v>0</v>
      </c>
      <c r="BE256" s="387">
        <f t="shared" si="135"/>
        <v>0</v>
      </c>
      <c r="BF256" s="387">
        <f t="shared" si="136"/>
        <v>0</v>
      </c>
      <c r="BG256" s="387">
        <f t="shared" si="137"/>
        <v>0</v>
      </c>
      <c r="BH256" s="387">
        <f t="shared" si="138"/>
        <v>0</v>
      </c>
      <c r="BI256" s="387">
        <f t="shared" si="139"/>
        <v>0</v>
      </c>
      <c r="BJ256" s="387">
        <f t="shared" si="140"/>
        <v>0</v>
      </c>
      <c r="BK256" s="387">
        <f t="shared" si="141"/>
        <v>0</v>
      </c>
      <c r="BL256" s="387">
        <f t="shared" si="164"/>
        <v>0</v>
      </c>
      <c r="BM256" s="387">
        <f t="shared" si="165"/>
        <v>0</v>
      </c>
      <c r="BN256" s="387">
        <f t="shared" si="142"/>
        <v>0</v>
      </c>
      <c r="BO256" s="387">
        <f t="shared" si="143"/>
        <v>0</v>
      </c>
      <c r="BP256" s="387">
        <f t="shared" si="144"/>
        <v>0</v>
      </c>
      <c r="BQ256" s="387">
        <f t="shared" si="145"/>
        <v>0</v>
      </c>
      <c r="BR256" s="387">
        <f t="shared" si="146"/>
        <v>0</v>
      </c>
      <c r="BS256" s="387">
        <f t="shared" si="147"/>
        <v>0</v>
      </c>
      <c r="BT256" s="387">
        <f t="shared" si="148"/>
        <v>0</v>
      </c>
      <c r="BU256" s="387">
        <f t="shared" si="149"/>
        <v>0</v>
      </c>
      <c r="BV256" s="387">
        <f t="shared" si="150"/>
        <v>0</v>
      </c>
      <c r="BW256" s="387">
        <f t="shared" si="151"/>
        <v>0</v>
      </c>
      <c r="BX256" s="387">
        <f t="shared" si="166"/>
        <v>0</v>
      </c>
      <c r="BY256" s="387">
        <f t="shared" si="167"/>
        <v>0</v>
      </c>
      <c r="BZ256" s="387">
        <f t="shared" si="168"/>
        <v>0</v>
      </c>
      <c r="CA256" s="387">
        <f t="shared" si="169"/>
        <v>0</v>
      </c>
      <c r="CB256" s="387">
        <f t="shared" si="170"/>
        <v>0</v>
      </c>
      <c r="CC256" s="387">
        <f t="shared" si="152"/>
        <v>0</v>
      </c>
      <c r="CD256" s="387">
        <f t="shared" si="153"/>
        <v>0</v>
      </c>
      <c r="CE256" s="387">
        <f t="shared" si="154"/>
        <v>0</v>
      </c>
      <c r="CF256" s="387">
        <f t="shared" si="155"/>
        <v>0</v>
      </c>
      <c r="CG256" s="387">
        <f t="shared" si="156"/>
        <v>0</v>
      </c>
      <c r="CH256" s="387">
        <f t="shared" si="157"/>
        <v>0</v>
      </c>
      <c r="CI256" s="387">
        <f t="shared" si="158"/>
        <v>0</v>
      </c>
      <c r="CJ256" s="387">
        <f t="shared" si="171"/>
        <v>0</v>
      </c>
      <c r="CK256" s="387" t="str">
        <f t="shared" si="172"/>
        <v/>
      </c>
      <c r="CL256" s="387" t="str">
        <f t="shared" si="173"/>
        <v/>
      </c>
      <c r="CM256" s="387" t="str">
        <f t="shared" si="174"/>
        <v/>
      </c>
      <c r="CN256" s="387" t="str">
        <f t="shared" si="175"/>
        <v>0348-31</v>
      </c>
    </row>
    <row r="257" spans="1:92" ht="15.75" thickBot="1" x14ac:dyDescent="0.3">
      <c r="A257" s="376" t="s">
        <v>161</v>
      </c>
      <c r="B257" s="376" t="s">
        <v>162</v>
      </c>
      <c r="C257" s="376" t="s">
        <v>997</v>
      </c>
      <c r="D257" s="376" t="s">
        <v>998</v>
      </c>
      <c r="E257" s="376" t="s">
        <v>224</v>
      </c>
      <c r="F257" s="382" t="s">
        <v>225</v>
      </c>
      <c r="G257" s="376" t="s">
        <v>781</v>
      </c>
      <c r="H257" s="378"/>
      <c r="I257" s="378"/>
      <c r="J257" s="376" t="s">
        <v>215</v>
      </c>
      <c r="K257" s="376" t="s">
        <v>999</v>
      </c>
      <c r="L257" s="376" t="s">
        <v>170</v>
      </c>
      <c r="M257" s="376" t="s">
        <v>272</v>
      </c>
      <c r="N257" s="376" t="s">
        <v>172</v>
      </c>
      <c r="O257" s="379">
        <v>0</v>
      </c>
      <c r="P257" s="385">
        <v>1</v>
      </c>
      <c r="Q257" s="385">
        <v>1</v>
      </c>
      <c r="R257" s="380">
        <v>80</v>
      </c>
      <c r="S257" s="385">
        <v>1</v>
      </c>
      <c r="T257" s="380">
        <v>33264</v>
      </c>
      <c r="U257" s="380">
        <v>0</v>
      </c>
      <c r="V257" s="380">
        <v>13182.74</v>
      </c>
      <c r="W257" s="380">
        <v>53476.800000000003</v>
      </c>
      <c r="X257" s="380">
        <v>23422.83</v>
      </c>
      <c r="Y257" s="380">
        <v>53476.800000000003</v>
      </c>
      <c r="Z257" s="380">
        <v>23155.45</v>
      </c>
      <c r="AA257" s="378"/>
      <c r="AB257" s="376" t="s">
        <v>45</v>
      </c>
      <c r="AC257" s="376" t="s">
        <v>45</v>
      </c>
      <c r="AD257" s="378"/>
      <c r="AE257" s="378"/>
      <c r="AF257" s="378"/>
      <c r="AG257" s="378"/>
      <c r="AH257" s="379">
        <v>0</v>
      </c>
      <c r="AI257" s="379">
        <v>0</v>
      </c>
      <c r="AJ257" s="378"/>
      <c r="AK257" s="378"/>
      <c r="AL257" s="376" t="s">
        <v>181</v>
      </c>
      <c r="AM257" s="378"/>
      <c r="AN257" s="378"/>
      <c r="AO257" s="379">
        <v>0</v>
      </c>
      <c r="AP257" s="385">
        <v>0</v>
      </c>
      <c r="AQ257" s="385">
        <v>0</v>
      </c>
      <c r="AR257" s="384"/>
      <c r="AS257" s="387">
        <f t="shared" si="159"/>
        <v>0</v>
      </c>
      <c r="AT257">
        <f t="shared" si="160"/>
        <v>0</v>
      </c>
      <c r="AU257" s="387" t="str">
        <f>IF(AT257=0,"",IF(AND(AT257=1,M257="F",SUMIF(C2:C1334,C257,AS2:AS1334)&lt;=1),SUMIF(C2:C1334,C257,AS2:AS1334),IF(AND(AT257=1,M257="F",SUMIF(C2:C1334,C257,AS2:AS1334)&gt;1),1,"")))</f>
        <v/>
      </c>
      <c r="AV257" s="387" t="str">
        <f>IF(AT257=0,"",IF(AND(AT257=3,M257="F",SUMIF(C2:C1334,C257,AS2:AS1334)&lt;=1),SUMIF(C2:C1334,C257,AS2:AS1334),IF(AND(AT257=3,M257="F",SUMIF(C2:C1334,C257,AS2:AS1334)&gt;1),1,"")))</f>
        <v/>
      </c>
      <c r="AW257" s="387">
        <f>SUMIF(C2:C1334,C257,O2:O1334)</f>
        <v>0</v>
      </c>
      <c r="AX257" s="387">
        <f>IF(AND(M257="F",AS257&lt;&gt;0),SUMIF(C2:C1334,C257,W2:W1334),0)</f>
        <v>0</v>
      </c>
      <c r="AY257" s="387" t="str">
        <f t="shared" si="161"/>
        <v/>
      </c>
      <c r="AZ257" s="387" t="str">
        <f t="shared" si="162"/>
        <v/>
      </c>
      <c r="BA257" s="387">
        <f t="shared" si="163"/>
        <v>0</v>
      </c>
      <c r="BB257" s="387">
        <f t="shared" si="132"/>
        <v>0</v>
      </c>
      <c r="BC257" s="387">
        <f t="shared" si="133"/>
        <v>0</v>
      </c>
      <c r="BD257" s="387">
        <f t="shared" si="134"/>
        <v>0</v>
      </c>
      <c r="BE257" s="387">
        <f t="shared" si="135"/>
        <v>0</v>
      </c>
      <c r="BF257" s="387">
        <f t="shared" si="136"/>
        <v>0</v>
      </c>
      <c r="BG257" s="387">
        <f t="shared" si="137"/>
        <v>0</v>
      </c>
      <c r="BH257" s="387">
        <f t="shared" si="138"/>
        <v>0</v>
      </c>
      <c r="BI257" s="387">
        <f t="shared" si="139"/>
        <v>0</v>
      </c>
      <c r="BJ257" s="387">
        <f t="shared" si="140"/>
        <v>0</v>
      </c>
      <c r="BK257" s="387">
        <f t="shared" si="141"/>
        <v>0</v>
      </c>
      <c r="BL257" s="387">
        <f t="shared" si="164"/>
        <v>0</v>
      </c>
      <c r="BM257" s="387">
        <f t="shared" si="165"/>
        <v>0</v>
      </c>
      <c r="BN257" s="387">
        <f t="shared" si="142"/>
        <v>0</v>
      </c>
      <c r="BO257" s="387">
        <f t="shared" si="143"/>
        <v>0</v>
      </c>
      <c r="BP257" s="387">
        <f t="shared" si="144"/>
        <v>0</v>
      </c>
      <c r="BQ257" s="387">
        <f t="shared" si="145"/>
        <v>0</v>
      </c>
      <c r="BR257" s="387">
        <f t="shared" si="146"/>
        <v>0</v>
      </c>
      <c r="BS257" s="387">
        <f t="shared" si="147"/>
        <v>0</v>
      </c>
      <c r="BT257" s="387">
        <f t="shared" si="148"/>
        <v>0</v>
      </c>
      <c r="BU257" s="387">
        <f t="shared" si="149"/>
        <v>0</v>
      </c>
      <c r="BV257" s="387">
        <f t="shared" si="150"/>
        <v>0</v>
      </c>
      <c r="BW257" s="387">
        <f t="shared" si="151"/>
        <v>0</v>
      </c>
      <c r="BX257" s="387">
        <f t="shared" si="166"/>
        <v>0</v>
      </c>
      <c r="BY257" s="387">
        <f t="shared" si="167"/>
        <v>0</v>
      </c>
      <c r="BZ257" s="387">
        <f t="shared" si="168"/>
        <v>0</v>
      </c>
      <c r="CA257" s="387">
        <f t="shared" si="169"/>
        <v>0</v>
      </c>
      <c r="CB257" s="387">
        <f t="shared" si="170"/>
        <v>0</v>
      </c>
      <c r="CC257" s="387">
        <f t="shared" si="152"/>
        <v>0</v>
      </c>
      <c r="CD257" s="387">
        <f t="shared" si="153"/>
        <v>0</v>
      </c>
      <c r="CE257" s="387">
        <f t="shared" si="154"/>
        <v>0</v>
      </c>
      <c r="CF257" s="387">
        <f t="shared" si="155"/>
        <v>0</v>
      </c>
      <c r="CG257" s="387">
        <f t="shared" si="156"/>
        <v>0</v>
      </c>
      <c r="CH257" s="387">
        <f t="shared" si="157"/>
        <v>0</v>
      </c>
      <c r="CI257" s="387">
        <f t="shared" si="158"/>
        <v>0</v>
      </c>
      <c r="CJ257" s="387">
        <f t="shared" si="171"/>
        <v>0</v>
      </c>
      <c r="CK257" s="387" t="str">
        <f t="shared" si="172"/>
        <v/>
      </c>
      <c r="CL257" s="387" t="str">
        <f t="shared" si="173"/>
        <v/>
      </c>
      <c r="CM257" s="387" t="str">
        <f t="shared" si="174"/>
        <v/>
      </c>
      <c r="CN257" s="387" t="str">
        <f t="shared" si="175"/>
        <v>0348-31</v>
      </c>
    </row>
    <row r="258" spans="1:92" ht="15.75" thickBot="1" x14ac:dyDescent="0.3">
      <c r="A258" s="376" t="s">
        <v>161</v>
      </c>
      <c r="B258" s="376" t="s">
        <v>162</v>
      </c>
      <c r="C258" s="376" t="s">
        <v>742</v>
      </c>
      <c r="D258" s="376" t="s">
        <v>743</v>
      </c>
      <c r="E258" s="376" t="s">
        <v>224</v>
      </c>
      <c r="F258" s="382" t="s">
        <v>225</v>
      </c>
      <c r="G258" s="376" t="s">
        <v>781</v>
      </c>
      <c r="H258" s="378"/>
      <c r="I258" s="378"/>
      <c r="J258" s="376" t="s">
        <v>239</v>
      </c>
      <c r="K258" s="376" t="s">
        <v>744</v>
      </c>
      <c r="L258" s="376" t="s">
        <v>296</v>
      </c>
      <c r="M258" s="376" t="s">
        <v>171</v>
      </c>
      <c r="N258" s="376" t="s">
        <v>172</v>
      </c>
      <c r="O258" s="379">
        <v>1</v>
      </c>
      <c r="P258" s="385">
        <v>0.25</v>
      </c>
      <c r="Q258" s="385">
        <v>0.25</v>
      </c>
      <c r="R258" s="380">
        <v>80</v>
      </c>
      <c r="S258" s="385">
        <v>0.25</v>
      </c>
      <c r="T258" s="380">
        <v>0</v>
      </c>
      <c r="U258" s="380">
        <v>0</v>
      </c>
      <c r="V258" s="380">
        <v>0</v>
      </c>
      <c r="W258" s="380">
        <v>14586</v>
      </c>
      <c r="X258" s="380">
        <v>6066.71</v>
      </c>
      <c r="Y258" s="380">
        <v>14586</v>
      </c>
      <c r="Z258" s="380">
        <v>6005.45</v>
      </c>
      <c r="AA258" s="376" t="s">
        <v>745</v>
      </c>
      <c r="AB258" s="376" t="s">
        <v>746</v>
      </c>
      <c r="AC258" s="376" t="s">
        <v>747</v>
      </c>
      <c r="AD258" s="376" t="s">
        <v>748</v>
      </c>
      <c r="AE258" s="376" t="s">
        <v>744</v>
      </c>
      <c r="AF258" s="376" t="s">
        <v>301</v>
      </c>
      <c r="AG258" s="376" t="s">
        <v>178</v>
      </c>
      <c r="AH258" s="381">
        <v>28.05</v>
      </c>
      <c r="AI258" s="381">
        <v>7809.2</v>
      </c>
      <c r="AJ258" s="376" t="s">
        <v>179</v>
      </c>
      <c r="AK258" s="376" t="s">
        <v>180</v>
      </c>
      <c r="AL258" s="376" t="s">
        <v>181</v>
      </c>
      <c r="AM258" s="376" t="s">
        <v>182</v>
      </c>
      <c r="AN258" s="376" t="s">
        <v>68</v>
      </c>
      <c r="AO258" s="379">
        <v>80</v>
      </c>
      <c r="AP258" s="385">
        <v>1</v>
      </c>
      <c r="AQ258" s="385">
        <v>0.25</v>
      </c>
      <c r="AR258" s="383" t="s">
        <v>183</v>
      </c>
      <c r="AS258" s="387">
        <f t="shared" si="159"/>
        <v>0.25</v>
      </c>
      <c r="AT258">
        <f t="shared" si="160"/>
        <v>1</v>
      </c>
      <c r="AU258" s="387">
        <f>IF(AT258=0,"",IF(AND(AT258=1,M258="F",SUMIF(C2:C1334,C258,AS2:AS1334)&lt;=1),SUMIF(C2:C1334,C258,AS2:AS1334),IF(AND(AT258=1,M258="F",SUMIF(C2:C1334,C258,AS2:AS1334)&gt;1),1,"")))</f>
        <v>1</v>
      </c>
      <c r="AV258" s="387" t="str">
        <f>IF(AT258=0,"",IF(AND(AT258=3,M258="F",SUMIF(C2:C1334,C258,AS2:AS1334)&lt;=1),SUMIF(C2:C1334,C258,AS2:AS1334),IF(AND(AT258=3,M258="F",SUMIF(C2:C1334,C258,AS2:AS1334)&gt;1),1,"")))</f>
        <v/>
      </c>
      <c r="AW258" s="387">
        <f>SUMIF(C2:C1334,C258,O2:O1334)</f>
        <v>4</v>
      </c>
      <c r="AX258" s="387">
        <f>IF(AND(M258="F",AS258&lt;&gt;0),SUMIF(C2:C1334,C258,W2:W1334),0)</f>
        <v>58344</v>
      </c>
      <c r="AY258" s="387">
        <f t="shared" si="161"/>
        <v>14586</v>
      </c>
      <c r="AZ258" s="387" t="str">
        <f t="shared" si="162"/>
        <v/>
      </c>
      <c r="BA258" s="387">
        <f t="shared" si="163"/>
        <v>0</v>
      </c>
      <c r="BB258" s="387">
        <f t="shared" ref="BB258:BB321" si="176">IF(AND(AT258=1,AK258="E",AU258&gt;=0.75,AW258=1),Health,IF(AND(AT258=1,AK258="E",AU258&gt;=0.75),Health*P258,IF(AND(AT258=1,AK258="E",AU258&gt;=0.5,AW258=1),PTHealth,IF(AND(AT258=1,AK258="E",AU258&gt;=0.5),PTHealth*P258,0))))</f>
        <v>2912.5</v>
      </c>
      <c r="BC258" s="387">
        <f t="shared" ref="BC258:BC321" si="177">IF(AND(AT258=3,AK258="E",AV258&gt;=0.75,AW258=1),Health,IF(AND(AT258=3,AK258="E",AV258&gt;=0.75),Health*P258,IF(AND(AT258=3,AK258="E",AV258&gt;=0.5,AW258=1),PTHealth,IF(AND(AT258=3,AK258="E",AV258&gt;=0.5),PTHealth*P258,0))))</f>
        <v>0</v>
      </c>
      <c r="BD258" s="387">
        <f t="shared" ref="BD258:BD321" si="178">IF(AND(AT258&lt;&gt;0,AX258&gt;=MAXSSDI),SSDI*MAXSSDI*P258,IF(AT258&lt;&gt;0,SSDI*W258,0))</f>
        <v>904.33199999999999</v>
      </c>
      <c r="BE258" s="387">
        <f t="shared" ref="BE258:BE321" si="179">IF(AT258&lt;&gt;0,SSHI*W258,0)</f>
        <v>211.49700000000001</v>
      </c>
      <c r="BF258" s="387">
        <f t="shared" ref="BF258:BF321" si="180">IF(AND(AT258&lt;&gt;0,AN258&lt;&gt;"NE"),VLOOKUP(AN258,Retirement_Rates,3,FALSE)*W258,0)</f>
        <v>1741.5684000000001</v>
      </c>
      <c r="BG258" s="387">
        <f t="shared" ref="BG258:BG321" si="181">IF(AND(AT258&lt;&gt;0,AJ258&lt;&gt;"PF"),Life*W258,0)</f>
        <v>105.16506</v>
      </c>
      <c r="BH258" s="387">
        <f t="shared" ref="BH258:BH321" si="182">IF(AND(AT258&lt;&gt;0,AM258="Y"),UI*W258,0)</f>
        <v>71.471400000000003</v>
      </c>
      <c r="BI258" s="387">
        <f t="shared" ref="BI258:BI321" si="183">IF(AND(AT258&lt;&gt;0,N258&lt;&gt;"NR"),DHR*W258,0)</f>
        <v>80.733509999999995</v>
      </c>
      <c r="BJ258" s="387">
        <f t="shared" ref="BJ258:BJ321" si="184">IF(AT258&lt;&gt;0,WC*W258,0)</f>
        <v>39.382200000000005</v>
      </c>
      <c r="BK258" s="387">
        <f t="shared" ref="BK258:BK321" si="185">IF(OR(AND(AT258&lt;&gt;0,AJ258&lt;&gt;"PF",AN258&lt;&gt;"NE",AG258&lt;&gt;"A"),AND(AL258="E",OR(AT258=1,AT258=3))),Sick*W258,0)</f>
        <v>0</v>
      </c>
      <c r="BL258" s="387">
        <f t="shared" si="164"/>
        <v>3154.1495699999996</v>
      </c>
      <c r="BM258" s="387">
        <f t="shared" si="165"/>
        <v>0</v>
      </c>
      <c r="BN258" s="387">
        <f t="shared" ref="BN258:BN321" si="186">IF(AND(AT258=1,AK258="E",AU258&gt;=0.75,AW258=1),HealthBY,IF(AND(AT258=1,AK258="E",AU258&gt;=0.75),HealthBY*P258,IF(AND(AT258=1,AK258="E",AU258&gt;=0.5,AW258=1),PTHealthBY,IF(AND(AT258=1,AK258="E",AU258&gt;=0.5),PTHealthBY*P258,0))))</f>
        <v>2912.5</v>
      </c>
      <c r="BO258" s="387">
        <f t="shared" ref="BO258:BO321" si="187">IF(AND(AT258=3,AK258="E",AV258&gt;=0.75,AW258=1),HealthBY,IF(AND(AT258=3,AK258="E",AV258&gt;=0.75),HealthBY*P258,IF(AND(AT258=3,AK258="E",AV258&gt;=0.5,AW258=1),PTHealthBY,IF(AND(AT258=3,AK258="E",AV258&gt;=0.5),PTHealthBY*P258,0))))</f>
        <v>0</v>
      </c>
      <c r="BP258" s="387">
        <f t="shared" ref="BP258:BP321" si="188">IF(AND(AT258&lt;&gt;0,(AX258+BA258)&gt;=MAXSSDIBY),SSDIBY*MAXSSDIBY*P258,IF(AT258&lt;&gt;0,SSDIBY*W258,0))</f>
        <v>904.33199999999999</v>
      </c>
      <c r="BQ258" s="387">
        <f t="shared" ref="BQ258:BQ321" si="189">IF(AT258&lt;&gt;0,SSHIBY*W258,0)</f>
        <v>211.49700000000001</v>
      </c>
      <c r="BR258" s="387">
        <f t="shared" ref="BR258:BR321" si="190">IF(AND(AT258&lt;&gt;0,AN258&lt;&gt;"NE"),VLOOKUP(AN258,Retirement_Rates,4,FALSE)*W258,0)</f>
        <v>1741.5684000000001</v>
      </c>
      <c r="BS258" s="387">
        <f t="shared" ref="BS258:BS321" si="191">IF(AND(AT258&lt;&gt;0,AJ258&lt;&gt;"PF"),LifeBY*W258,0)</f>
        <v>105.16506</v>
      </c>
      <c r="BT258" s="387">
        <f t="shared" ref="BT258:BT321" si="192">IF(AND(AT258&lt;&gt;0,AM258="Y"),UIBY*W258,0)</f>
        <v>0</v>
      </c>
      <c r="BU258" s="387">
        <f t="shared" ref="BU258:BU321" si="193">IF(AND(AT258&lt;&gt;0,N258&lt;&gt;"NR"),DHRBY*W258,0)</f>
        <v>80.733509999999995</v>
      </c>
      <c r="BV258" s="387">
        <f t="shared" ref="BV258:BV321" si="194">IF(AT258&lt;&gt;0,WCBY*W258,0)</f>
        <v>49.592399999999998</v>
      </c>
      <c r="BW258" s="387">
        <f t="shared" ref="BW258:BW321" si="195">IF(OR(AND(AT258&lt;&gt;0,AJ258&lt;&gt;"PF",AN258&lt;&gt;"NE",AG258&lt;&gt;"A"),AND(AL258="E",OR(AT258=1,AT258=3))),SickBY*W258,0)</f>
        <v>0</v>
      </c>
      <c r="BX258" s="387">
        <f t="shared" si="166"/>
        <v>3092.8883699999997</v>
      </c>
      <c r="BY258" s="387">
        <f t="shared" si="167"/>
        <v>0</v>
      </c>
      <c r="BZ258" s="387">
        <f t="shared" si="168"/>
        <v>0</v>
      </c>
      <c r="CA258" s="387">
        <f t="shared" si="169"/>
        <v>0</v>
      </c>
      <c r="CB258" s="387">
        <f t="shared" si="170"/>
        <v>0</v>
      </c>
      <c r="CC258" s="387">
        <f t="shared" ref="CC258:CC321" si="196">IF(AT258&lt;&gt;0,SSHICHG*Y258,0)</f>
        <v>0</v>
      </c>
      <c r="CD258" s="387">
        <f t="shared" ref="CD258:CD321" si="197">IF(AND(AT258&lt;&gt;0,AN258&lt;&gt;"NE"),VLOOKUP(AN258,Retirement_Rates,5,FALSE)*Y258,0)</f>
        <v>0</v>
      </c>
      <c r="CE258" s="387">
        <f t="shared" ref="CE258:CE321" si="198">IF(AND(AT258&lt;&gt;0,AJ258&lt;&gt;"PF"),LifeCHG*Y258,0)</f>
        <v>0</v>
      </c>
      <c r="CF258" s="387">
        <f t="shared" ref="CF258:CF321" si="199">IF(AND(AT258&lt;&gt;0,AM258="Y"),UICHG*Y258,0)</f>
        <v>-71.471400000000003</v>
      </c>
      <c r="CG258" s="387">
        <f t="shared" ref="CG258:CG321" si="200">IF(AND(AT258&lt;&gt;0,N258&lt;&gt;"NR"),DHRCHG*Y258,0)</f>
        <v>0</v>
      </c>
      <c r="CH258" s="387">
        <f t="shared" ref="CH258:CH321" si="201">IF(AT258&lt;&gt;0,WCCHG*Y258,0)</f>
        <v>10.210199999999995</v>
      </c>
      <c r="CI258" s="387">
        <f t="shared" ref="CI258:CI321" si="202">IF(OR(AND(AT258&lt;&gt;0,AJ258&lt;&gt;"PF",AN258&lt;&gt;"NE",AG258&lt;&gt;"A"),AND(AL258="E",OR(AT258=1,AT258=3))),SickCHG*Y258,0)</f>
        <v>0</v>
      </c>
      <c r="CJ258" s="387">
        <f t="shared" si="171"/>
        <v>-61.261200000000009</v>
      </c>
      <c r="CK258" s="387" t="str">
        <f t="shared" si="172"/>
        <v/>
      </c>
      <c r="CL258" s="387" t="str">
        <f t="shared" si="173"/>
        <v/>
      </c>
      <c r="CM258" s="387" t="str">
        <f t="shared" si="174"/>
        <v/>
      </c>
      <c r="CN258" s="387" t="str">
        <f t="shared" si="175"/>
        <v>0348-31</v>
      </c>
    </row>
    <row r="259" spans="1:92" ht="15.75" thickBot="1" x14ac:dyDescent="0.3">
      <c r="A259" s="376" t="s">
        <v>161</v>
      </c>
      <c r="B259" s="376" t="s">
        <v>162</v>
      </c>
      <c r="C259" s="376" t="s">
        <v>1000</v>
      </c>
      <c r="D259" s="376" t="s">
        <v>792</v>
      </c>
      <c r="E259" s="376" t="s">
        <v>224</v>
      </c>
      <c r="F259" s="382" t="s">
        <v>225</v>
      </c>
      <c r="G259" s="376" t="s">
        <v>781</v>
      </c>
      <c r="H259" s="378"/>
      <c r="I259" s="378"/>
      <c r="J259" s="376" t="s">
        <v>239</v>
      </c>
      <c r="K259" s="376" t="s">
        <v>793</v>
      </c>
      <c r="L259" s="376" t="s">
        <v>170</v>
      </c>
      <c r="M259" s="376" t="s">
        <v>171</v>
      </c>
      <c r="N259" s="376" t="s">
        <v>172</v>
      </c>
      <c r="O259" s="379">
        <v>1</v>
      </c>
      <c r="P259" s="385">
        <v>0.3</v>
      </c>
      <c r="Q259" s="385">
        <v>0.3</v>
      </c>
      <c r="R259" s="380">
        <v>80</v>
      </c>
      <c r="S259" s="385">
        <v>0.3</v>
      </c>
      <c r="T259" s="380">
        <v>22349.35</v>
      </c>
      <c r="U259" s="380">
        <v>0</v>
      </c>
      <c r="V259" s="380">
        <v>7882.22</v>
      </c>
      <c r="W259" s="380">
        <v>23818.080000000002</v>
      </c>
      <c r="X259" s="380">
        <v>8645.64</v>
      </c>
      <c r="Y259" s="380">
        <v>23818.080000000002</v>
      </c>
      <c r="Z259" s="380">
        <v>8545.61</v>
      </c>
      <c r="AA259" s="376" t="s">
        <v>1001</v>
      </c>
      <c r="AB259" s="376" t="s">
        <v>1002</v>
      </c>
      <c r="AC259" s="376" t="s">
        <v>1003</v>
      </c>
      <c r="AD259" s="376" t="s">
        <v>178</v>
      </c>
      <c r="AE259" s="376" t="s">
        <v>793</v>
      </c>
      <c r="AF259" s="376" t="s">
        <v>177</v>
      </c>
      <c r="AG259" s="376" t="s">
        <v>178</v>
      </c>
      <c r="AH259" s="381">
        <v>38.17</v>
      </c>
      <c r="AI259" s="381">
        <v>46021.4</v>
      </c>
      <c r="AJ259" s="376" t="s">
        <v>179</v>
      </c>
      <c r="AK259" s="376" t="s">
        <v>180</v>
      </c>
      <c r="AL259" s="376" t="s">
        <v>181</v>
      </c>
      <c r="AM259" s="376" t="s">
        <v>182</v>
      </c>
      <c r="AN259" s="376" t="s">
        <v>68</v>
      </c>
      <c r="AO259" s="379">
        <v>80</v>
      </c>
      <c r="AP259" s="385">
        <v>1</v>
      </c>
      <c r="AQ259" s="385">
        <v>0.3</v>
      </c>
      <c r="AR259" s="383" t="s">
        <v>183</v>
      </c>
      <c r="AS259" s="387">
        <f t="shared" ref="AS259:AS322" si="203">IF(((AO259/80)*AP259*P259)&gt;1,AQ259,((AO259/80)*AP259*P259))</f>
        <v>0.3</v>
      </c>
      <c r="AT259">
        <f t="shared" ref="AT259:AT322" si="204">IF(AND(M259="F",N259&lt;&gt;"NG",AS259&lt;&gt;0,AND(AR259&lt;&gt;6,AR259&lt;&gt;36,AR259&lt;&gt;56),AG259&lt;&gt;"A",OR(AG259="H",AJ259="FS")),1,IF(AND(M259="F",N259&lt;&gt;"NG",AS259&lt;&gt;0,AG259="A"),3,0))</f>
        <v>1</v>
      </c>
      <c r="AU259" s="387">
        <f>IF(AT259=0,"",IF(AND(AT259=1,M259="F",SUMIF(C2:C1334,C259,AS2:AS1334)&lt;=1),SUMIF(C2:C1334,C259,AS2:AS1334),IF(AND(AT259=1,M259="F",SUMIF(C2:C1334,C259,AS2:AS1334)&gt;1),1,"")))</f>
        <v>1</v>
      </c>
      <c r="AV259" s="387" t="str">
        <f>IF(AT259=0,"",IF(AND(AT259=3,M259="F",SUMIF(C2:C1334,C259,AS2:AS1334)&lt;=1),SUMIF(C2:C1334,C259,AS2:AS1334),IF(AND(AT259=3,M259="F",SUMIF(C2:C1334,C259,AS2:AS1334)&gt;1),1,"")))</f>
        <v/>
      </c>
      <c r="AW259" s="387">
        <f>SUMIF(C2:C1334,C259,O2:O1334)</f>
        <v>2</v>
      </c>
      <c r="AX259" s="387">
        <f>IF(AND(M259="F",AS259&lt;&gt;0),SUMIF(C2:C1334,C259,W2:W1334),0)</f>
        <v>79393.600000000006</v>
      </c>
      <c r="AY259" s="387">
        <f t="shared" ref="AY259:AY322" si="205">IF(AT259=1,W259,"")</f>
        <v>23818.080000000002</v>
      </c>
      <c r="AZ259" s="387" t="str">
        <f t="shared" ref="AZ259:AZ322" si="206">IF(AT259=3,W259,"")</f>
        <v/>
      </c>
      <c r="BA259" s="387">
        <f t="shared" ref="BA259:BA322" si="207">IF(AT259=1,Y259-W259,0)</f>
        <v>0</v>
      </c>
      <c r="BB259" s="387">
        <f t="shared" si="176"/>
        <v>3495</v>
      </c>
      <c r="BC259" s="387">
        <f t="shared" si="177"/>
        <v>0</v>
      </c>
      <c r="BD259" s="387">
        <f t="shared" si="178"/>
        <v>1476.7209600000001</v>
      </c>
      <c r="BE259" s="387">
        <f t="shared" si="179"/>
        <v>345.36216000000002</v>
      </c>
      <c r="BF259" s="387">
        <f t="shared" si="180"/>
        <v>2843.8787520000005</v>
      </c>
      <c r="BG259" s="387">
        <f t="shared" si="181"/>
        <v>171.72835680000003</v>
      </c>
      <c r="BH259" s="387">
        <f t="shared" si="182"/>
        <v>116.70859200000001</v>
      </c>
      <c r="BI259" s="387">
        <f t="shared" si="183"/>
        <v>131.8330728</v>
      </c>
      <c r="BJ259" s="387">
        <f t="shared" si="184"/>
        <v>64.308816000000007</v>
      </c>
      <c r="BK259" s="387">
        <f t="shared" si="185"/>
        <v>0</v>
      </c>
      <c r="BL259" s="387">
        <f t="shared" ref="BL259:BL322" si="208">IF(AT259=1,SUM(BD259:BK259),0)</f>
        <v>5150.5407096000008</v>
      </c>
      <c r="BM259" s="387">
        <f t="shared" ref="BM259:BM322" si="209">IF(AT259=3,SUM(BD259:BK259),0)</f>
        <v>0</v>
      </c>
      <c r="BN259" s="387">
        <f t="shared" si="186"/>
        <v>3495</v>
      </c>
      <c r="BO259" s="387">
        <f t="shared" si="187"/>
        <v>0</v>
      </c>
      <c r="BP259" s="387">
        <f t="shared" si="188"/>
        <v>1476.7209600000001</v>
      </c>
      <c r="BQ259" s="387">
        <f t="shared" si="189"/>
        <v>345.36216000000002</v>
      </c>
      <c r="BR259" s="387">
        <f t="shared" si="190"/>
        <v>2843.8787520000005</v>
      </c>
      <c r="BS259" s="387">
        <f t="shared" si="191"/>
        <v>171.72835680000003</v>
      </c>
      <c r="BT259" s="387">
        <f t="shared" si="192"/>
        <v>0</v>
      </c>
      <c r="BU259" s="387">
        <f t="shared" si="193"/>
        <v>131.8330728</v>
      </c>
      <c r="BV259" s="387">
        <f t="shared" si="194"/>
        <v>80.981471999999997</v>
      </c>
      <c r="BW259" s="387">
        <f t="shared" si="195"/>
        <v>0</v>
      </c>
      <c r="BX259" s="387">
        <f t="shared" ref="BX259:BX322" si="210">IF(AT259=1,SUM(BP259:BW259),0)</f>
        <v>5050.5047736000015</v>
      </c>
      <c r="BY259" s="387">
        <f t="shared" ref="BY259:BY322" si="211">IF(AT259=3,SUM(BP259:BW259),0)</f>
        <v>0</v>
      </c>
      <c r="BZ259" s="387">
        <f t="shared" ref="BZ259:BZ322" si="212">IF(AT259=1,BN259-BB259,0)</f>
        <v>0</v>
      </c>
      <c r="CA259" s="387">
        <f t="shared" ref="CA259:CA322" si="213">IF(AT259=3,BO259-BC259,0)</f>
        <v>0</v>
      </c>
      <c r="CB259" s="387">
        <f t="shared" ref="CB259:CB322" si="214">BP259-BD259</f>
        <v>0</v>
      </c>
      <c r="CC259" s="387">
        <f t="shared" si="196"/>
        <v>0</v>
      </c>
      <c r="CD259" s="387">
        <f t="shared" si="197"/>
        <v>0</v>
      </c>
      <c r="CE259" s="387">
        <f t="shared" si="198"/>
        <v>0</v>
      </c>
      <c r="CF259" s="387">
        <f t="shared" si="199"/>
        <v>-116.70859200000001</v>
      </c>
      <c r="CG259" s="387">
        <f t="shared" si="200"/>
        <v>0</v>
      </c>
      <c r="CH259" s="387">
        <f t="shared" si="201"/>
        <v>16.672655999999993</v>
      </c>
      <c r="CI259" s="387">
        <f t="shared" si="202"/>
        <v>0</v>
      </c>
      <c r="CJ259" s="387">
        <f t="shared" ref="CJ259:CJ322" si="215">IF(AT259=1,SUM(CB259:CI259),0)</f>
        <v>-100.03593600000002</v>
      </c>
      <c r="CK259" s="387" t="str">
        <f t="shared" ref="CK259:CK322" si="216">IF(AT259=3,SUM(CB259:CI259),"")</f>
        <v/>
      </c>
      <c r="CL259" s="387" t="str">
        <f t="shared" ref="CL259:CL322" si="217">IF(OR(N259="NG",AG259="D"),(T259+U259),"")</f>
        <v/>
      </c>
      <c r="CM259" s="387" t="str">
        <f t="shared" ref="CM259:CM322" si="218">IF(OR(N259="NG",AG259="D"),V259,"")</f>
        <v/>
      </c>
      <c r="CN259" s="387" t="str">
        <f t="shared" ref="CN259:CN322" si="219">E259 &amp; "-" &amp; F259</f>
        <v>0348-31</v>
      </c>
    </row>
    <row r="260" spans="1:92" ht="15.75" thickBot="1" x14ac:dyDescent="0.3">
      <c r="A260" s="376" t="s">
        <v>161</v>
      </c>
      <c r="B260" s="376" t="s">
        <v>162</v>
      </c>
      <c r="C260" s="376" t="s">
        <v>1004</v>
      </c>
      <c r="D260" s="376" t="s">
        <v>614</v>
      </c>
      <c r="E260" s="376" t="s">
        <v>224</v>
      </c>
      <c r="F260" s="382" t="s">
        <v>225</v>
      </c>
      <c r="G260" s="376" t="s">
        <v>781</v>
      </c>
      <c r="H260" s="378"/>
      <c r="I260" s="378"/>
      <c r="J260" s="376" t="s">
        <v>215</v>
      </c>
      <c r="K260" s="376" t="s">
        <v>615</v>
      </c>
      <c r="L260" s="376" t="s">
        <v>181</v>
      </c>
      <c r="M260" s="376" t="s">
        <v>171</v>
      </c>
      <c r="N260" s="376" t="s">
        <v>172</v>
      </c>
      <c r="O260" s="379">
        <v>1</v>
      </c>
      <c r="P260" s="385">
        <v>1</v>
      </c>
      <c r="Q260" s="385">
        <v>1</v>
      </c>
      <c r="R260" s="380">
        <v>80</v>
      </c>
      <c r="S260" s="385">
        <v>1</v>
      </c>
      <c r="T260" s="380">
        <v>61158.51</v>
      </c>
      <c r="U260" s="380">
        <v>0</v>
      </c>
      <c r="V260" s="380">
        <v>23505.21</v>
      </c>
      <c r="W260" s="380">
        <v>65374.400000000001</v>
      </c>
      <c r="X260" s="380">
        <v>25787.18</v>
      </c>
      <c r="Y260" s="380">
        <v>65374.400000000001</v>
      </c>
      <c r="Z260" s="380">
        <v>25512.61</v>
      </c>
      <c r="AA260" s="376" t="s">
        <v>1005</v>
      </c>
      <c r="AB260" s="376" t="s">
        <v>1006</v>
      </c>
      <c r="AC260" s="376" t="s">
        <v>1007</v>
      </c>
      <c r="AD260" s="376" t="s">
        <v>653</v>
      </c>
      <c r="AE260" s="376" t="s">
        <v>615</v>
      </c>
      <c r="AF260" s="376" t="s">
        <v>211</v>
      </c>
      <c r="AG260" s="376" t="s">
        <v>178</v>
      </c>
      <c r="AH260" s="381">
        <v>31.43</v>
      </c>
      <c r="AI260" s="381">
        <v>2609.5</v>
      </c>
      <c r="AJ260" s="376" t="s">
        <v>179</v>
      </c>
      <c r="AK260" s="376" t="s">
        <v>180</v>
      </c>
      <c r="AL260" s="376" t="s">
        <v>181</v>
      </c>
      <c r="AM260" s="376" t="s">
        <v>182</v>
      </c>
      <c r="AN260" s="376" t="s">
        <v>68</v>
      </c>
      <c r="AO260" s="379">
        <v>80</v>
      </c>
      <c r="AP260" s="385">
        <v>1</v>
      </c>
      <c r="AQ260" s="385">
        <v>1</v>
      </c>
      <c r="AR260" s="383" t="s">
        <v>183</v>
      </c>
      <c r="AS260" s="387">
        <f t="shared" si="203"/>
        <v>1</v>
      </c>
      <c r="AT260">
        <f t="shared" si="204"/>
        <v>1</v>
      </c>
      <c r="AU260" s="387">
        <f>IF(AT260=0,"",IF(AND(AT260=1,M260="F",SUMIF(C2:C1334,C260,AS2:AS1334)&lt;=1),SUMIF(C2:C1334,C260,AS2:AS1334),IF(AND(AT260=1,M260="F",SUMIF(C2:C1334,C260,AS2:AS1334)&gt;1),1,"")))</f>
        <v>1</v>
      </c>
      <c r="AV260" s="387" t="str">
        <f>IF(AT260=0,"",IF(AND(AT260=3,M260="F",SUMIF(C2:C1334,C260,AS2:AS1334)&lt;=1),SUMIF(C2:C1334,C260,AS2:AS1334),IF(AND(AT260=3,M260="F",SUMIF(C2:C1334,C260,AS2:AS1334)&gt;1),1,"")))</f>
        <v/>
      </c>
      <c r="AW260" s="387">
        <f>SUMIF(C2:C1334,C260,O2:O1334)</f>
        <v>1</v>
      </c>
      <c r="AX260" s="387">
        <f>IF(AND(M260="F",AS260&lt;&gt;0),SUMIF(C2:C1334,C260,W2:W1334),0)</f>
        <v>65374.400000000001</v>
      </c>
      <c r="AY260" s="387">
        <f t="shared" si="205"/>
        <v>65374.400000000001</v>
      </c>
      <c r="AZ260" s="387" t="str">
        <f t="shared" si="206"/>
        <v/>
      </c>
      <c r="BA260" s="387">
        <f t="shared" si="207"/>
        <v>0</v>
      </c>
      <c r="BB260" s="387">
        <f t="shared" si="176"/>
        <v>11650</v>
      </c>
      <c r="BC260" s="387">
        <f t="shared" si="177"/>
        <v>0</v>
      </c>
      <c r="BD260" s="387">
        <f t="shared" si="178"/>
        <v>4053.2128000000002</v>
      </c>
      <c r="BE260" s="387">
        <f t="shared" si="179"/>
        <v>947.92880000000002</v>
      </c>
      <c r="BF260" s="387">
        <f t="shared" si="180"/>
        <v>7805.7033600000004</v>
      </c>
      <c r="BG260" s="387">
        <f t="shared" si="181"/>
        <v>471.34942400000006</v>
      </c>
      <c r="BH260" s="387">
        <f t="shared" si="182"/>
        <v>320.33456000000001</v>
      </c>
      <c r="BI260" s="387">
        <f t="shared" si="183"/>
        <v>361.84730400000001</v>
      </c>
      <c r="BJ260" s="387">
        <f t="shared" si="184"/>
        <v>176.51088000000001</v>
      </c>
      <c r="BK260" s="387">
        <f t="shared" si="185"/>
        <v>0</v>
      </c>
      <c r="BL260" s="387">
        <f t="shared" si="208"/>
        <v>14136.887128</v>
      </c>
      <c r="BM260" s="387">
        <f t="shared" si="209"/>
        <v>0</v>
      </c>
      <c r="BN260" s="387">
        <f t="shared" si="186"/>
        <v>11650</v>
      </c>
      <c r="BO260" s="387">
        <f t="shared" si="187"/>
        <v>0</v>
      </c>
      <c r="BP260" s="387">
        <f t="shared" si="188"/>
        <v>4053.2128000000002</v>
      </c>
      <c r="BQ260" s="387">
        <f t="shared" si="189"/>
        <v>947.92880000000002</v>
      </c>
      <c r="BR260" s="387">
        <f t="shared" si="190"/>
        <v>7805.7033600000004</v>
      </c>
      <c r="BS260" s="387">
        <f t="shared" si="191"/>
        <v>471.34942400000006</v>
      </c>
      <c r="BT260" s="387">
        <f t="shared" si="192"/>
        <v>0</v>
      </c>
      <c r="BU260" s="387">
        <f t="shared" si="193"/>
        <v>361.84730400000001</v>
      </c>
      <c r="BV260" s="387">
        <f t="shared" si="194"/>
        <v>222.27295999999998</v>
      </c>
      <c r="BW260" s="387">
        <f t="shared" si="195"/>
        <v>0</v>
      </c>
      <c r="BX260" s="387">
        <f t="shared" si="210"/>
        <v>13862.314648000001</v>
      </c>
      <c r="BY260" s="387">
        <f t="shared" si="211"/>
        <v>0</v>
      </c>
      <c r="BZ260" s="387">
        <f t="shared" si="212"/>
        <v>0</v>
      </c>
      <c r="CA260" s="387">
        <f t="shared" si="213"/>
        <v>0</v>
      </c>
      <c r="CB260" s="387">
        <f t="shared" si="214"/>
        <v>0</v>
      </c>
      <c r="CC260" s="387">
        <f t="shared" si="196"/>
        <v>0</v>
      </c>
      <c r="CD260" s="387">
        <f t="shared" si="197"/>
        <v>0</v>
      </c>
      <c r="CE260" s="387">
        <f t="shared" si="198"/>
        <v>0</v>
      </c>
      <c r="CF260" s="387">
        <f t="shared" si="199"/>
        <v>-320.33456000000001</v>
      </c>
      <c r="CG260" s="387">
        <f t="shared" si="200"/>
        <v>0</v>
      </c>
      <c r="CH260" s="387">
        <f t="shared" si="201"/>
        <v>45.762079999999976</v>
      </c>
      <c r="CI260" s="387">
        <f t="shared" si="202"/>
        <v>0</v>
      </c>
      <c r="CJ260" s="387">
        <f t="shared" si="215"/>
        <v>-274.57248000000004</v>
      </c>
      <c r="CK260" s="387" t="str">
        <f t="shared" si="216"/>
        <v/>
      </c>
      <c r="CL260" s="387" t="str">
        <f t="shared" si="217"/>
        <v/>
      </c>
      <c r="CM260" s="387" t="str">
        <f t="shared" si="218"/>
        <v/>
      </c>
      <c r="CN260" s="387" t="str">
        <f t="shared" si="219"/>
        <v>0348-31</v>
      </c>
    </row>
    <row r="261" spans="1:92" ht="15.75" thickBot="1" x14ac:dyDescent="0.3">
      <c r="A261" s="376" t="s">
        <v>161</v>
      </c>
      <c r="B261" s="376" t="s">
        <v>162</v>
      </c>
      <c r="C261" s="376" t="s">
        <v>1008</v>
      </c>
      <c r="D261" s="376" t="s">
        <v>862</v>
      </c>
      <c r="E261" s="376" t="s">
        <v>224</v>
      </c>
      <c r="F261" s="382" t="s">
        <v>225</v>
      </c>
      <c r="G261" s="376" t="s">
        <v>781</v>
      </c>
      <c r="H261" s="378"/>
      <c r="I261" s="378"/>
      <c r="J261" s="376" t="s">
        <v>215</v>
      </c>
      <c r="K261" s="376" t="s">
        <v>863</v>
      </c>
      <c r="L261" s="376" t="s">
        <v>252</v>
      </c>
      <c r="M261" s="376" t="s">
        <v>272</v>
      </c>
      <c r="N261" s="376" t="s">
        <v>172</v>
      </c>
      <c r="O261" s="379">
        <v>0</v>
      </c>
      <c r="P261" s="385">
        <v>1</v>
      </c>
      <c r="Q261" s="385">
        <v>1</v>
      </c>
      <c r="R261" s="380">
        <v>80</v>
      </c>
      <c r="S261" s="385">
        <v>1</v>
      </c>
      <c r="T261" s="380">
        <v>1335.45</v>
      </c>
      <c r="U261" s="380">
        <v>0</v>
      </c>
      <c r="V261" s="380">
        <v>818.98</v>
      </c>
      <c r="W261" s="380">
        <v>42328</v>
      </c>
      <c r="X261" s="380">
        <v>18539.66</v>
      </c>
      <c r="Y261" s="380">
        <v>42328</v>
      </c>
      <c r="Z261" s="380">
        <v>18328.02</v>
      </c>
      <c r="AA261" s="378"/>
      <c r="AB261" s="376" t="s">
        <v>45</v>
      </c>
      <c r="AC261" s="376" t="s">
        <v>45</v>
      </c>
      <c r="AD261" s="378"/>
      <c r="AE261" s="378"/>
      <c r="AF261" s="378"/>
      <c r="AG261" s="378"/>
      <c r="AH261" s="379">
        <v>0</v>
      </c>
      <c r="AI261" s="379">
        <v>0</v>
      </c>
      <c r="AJ261" s="378"/>
      <c r="AK261" s="378"/>
      <c r="AL261" s="376" t="s">
        <v>181</v>
      </c>
      <c r="AM261" s="378"/>
      <c r="AN261" s="378"/>
      <c r="AO261" s="379">
        <v>0</v>
      </c>
      <c r="AP261" s="385">
        <v>0</v>
      </c>
      <c r="AQ261" s="385">
        <v>0</v>
      </c>
      <c r="AR261" s="384"/>
      <c r="AS261" s="387">
        <f t="shared" si="203"/>
        <v>0</v>
      </c>
      <c r="AT261">
        <f t="shared" si="204"/>
        <v>0</v>
      </c>
      <c r="AU261" s="387" t="str">
        <f>IF(AT261=0,"",IF(AND(AT261=1,M261="F",SUMIF(C2:C1334,C261,AS2:AS1334)&lt;=1),SUMIF(C2:C1334,C261,AS2:AS1334),IF(AND(AT261=1,M261="F",SUMIF(C2:C1334,C261,AS2:AS1334)&gt;1),1,"")))</f>
        <v/>
      </c>
      <c r="AV261" s="387" t="str">
        <f>IF(AT261=0,"",IF(AND(AT261=3,M261="F",SUMIF(C2:C1334,C261,AS2:AS1334)&lt;=1),SUMIF(C2:C1334,C261,AS2:AS1334),IF(AND(AT261=3,M261="F",SUMIF(C2:C1334,C261,AS2:AS1334)&gt;1),1,"")))</f>
        <v/>
      </c>
      <c r="AW261" s="387">
        <f>SUMIF(C2:C1334,C261,O2:O1334)</f>
        <v>0</v>
      </c>
      <c r="AX261" s="387">
        <f>IF(AND(M261="F",AS261&lt;&gt;0),SUMIF(C2:C1334,C261,W2:W1334),0)</f>
        <v>0</v>
      </c>
      <c r="AY261" s="387" t="str">
        <f t="shared" si="205"/>
        <v/>
      </c>
      <c r="AZ261" s="387" t="str">
        <f t="shared" si="206"/>
        <v/>
      </c>
      <c r="BA261" s="387">
        <f t="shared" si="207"/>
        <v>0</v>
      </c>
      <c r="BB261" s="387">
        <f t="shared" si="176"/>
        <v>0</v>
      </c>
      <c r="BC261" s="387">
        <f t="shared" si="177"/>
        <v>0</v>
      </c>
      <c r="BD261" s="387">
        <f t="shared" si="178"/>
        <v>0</v>
      </c>
      <c r="BE261" s="387">
        <f t="shared" si="179"/>
        <v>0</v>
      </c>
      <c r="BF261" s="387">
        <f t="shared" si="180"/>
        <v>0</v>
      </c>
      <c r="BG261" s="387">
        <f t="shared" si="181"/>
        <v>0</v>
      </c>
      <c r="BH261" s="387">
        <f t="shared" si="182"/>
        <v>0</v>
      </c>
      <c r="BI261" s="387">
        <f t="shared" si="183"/>
        <v>0</v>
      </c>
      <c r="BJ261" s="387">
        <f t="shared" si="184"/>
        <v>0</v>
      </c>
      <c r="BK261" s="387">
        <f t="shared" si="185"/>
        <v>0</v>
      </c>
      <c r="BL261" s="387">
        <f t="shared" si="208"/>
        <v>0</v>
      </c>
      <c r="BM261" s="387">
        <f t="shared" si="209"/>
        <v>0</v>
      </c>
      <c r="BN261" s="387">
        <f t="shared" si="186"/>
        <v>0</v>
      </c>
      <c r="BO261" s="387">
        <f t="shared" si="187"/>
        <v>0</v>
      </c>
      <c r="BP261" s="387">
        <f t="shared" si="188"/>
        <v>0</v>
      </c>
      <c r="BQ261" s="387">
        <f t="shared" si="189"/>
        <v>0</v>
      </c>
      <c r="BR261" s="387">
        <f t="shared" si="190"/>
        <v>0</v>
      </c>
      <c r="BS261" s="387">
        <f t="shared" si="191"/>
        <v>0</v>
      </c>
      <c r="BT261" s="387">
        <f t="shared" si="192"/>
        <v>0</v>
      </c>
      <c r="BU261" s="387">
        <f t="shared" si="193"/>
        <v>0</v>
      </c>
      <c r="BV261" s="387">
        <f t="shared" si="194"/>
        <v>0</v>
      </c>
      <c r="BW261" s="387">
        <f t="shared" si="195"/>
        <v>0</v>
      </c>
      <c r="BX261" s="387">
        <f t="shared" si="210"/>
        <v>0</v>
      </c>
      <c r="BY261" s="387">
        <f t="shared" si="211"/>
        <v>0</v>
      </c>
      <c r="BZ261" s="387">
        <f t="shared" si="212"/>
        <v>0</v>
      </c>
      <c r="CA261" s="387">
        <f t="shared" si="213"/>
        <v>0</v>
      </c>
      <c r="CB261" s="387">
        <f t="shared" si="214"/>
        <v>0</v>
      </c>
      <c r="CC261" s="387">
        <f t="shared" si="196"/>
        <v>0</v>
      </c>
      <c r="CD261" s="387">
        <f t="shared" si="197"/>
        <v>0</v>
      </c>
      <c r="CE261" s="387">
        <f t="shared" si="198"/>
        <v>0</v>
      </c>
      <c r="CF261" s="387">
        <f t="shared" si="199"/>
        <v>0</v>
      </c>
      <c r="CG261" s="387">
        <f t="shared" si="200"/>
        <v>0</v>
      </c>
      <c r="CH261" s="387">
        <f t="shared" si="201"/>
        <v>0</v>
      </c>
      <c r="CI261" s="387">
        <f t="shared" si="202"/>
        <v>0</v>
      </c>
      <c r="CJ261" s="387">
        <f t="shared" si="215"/>
        <v>0</v>
      </c>
      <c r="CK261" s="387" t="str">
        <f t="shared" si="216"/>
        <v/>
      </c>
      <c r="CL261" s="387" t="str">
        <f t="shared" si="217"/>
        <v/>
      </c>
      <c r="CM261" s="387" t="str">
        <f t="shared" si="218"/>
        <v/>
      </c>
      <c r="CN261" s="387" t="str">
        <f t="shared" si="219"/>
        <v>0348-31</v>
      </c>
    </row>
    <row r="262" spans="1:92" ht="15.75" thickBot="1" x14ac:dyDescent="0.3">
      <c r="A262" s="376" t="s">
        <v>161</v>
      </c>
      <c r="B262" s="376" t="s">
        <v>162</v>
      </c>
      <c r="C262" s="376" t="s">
        <v>1009</v>
      </c>
      <c r="D262" s="376" t="s">
        <v>868</v>
      </c>
      <c r="E262" s="376" t="s">
        <v>224</v>
      </c>
      <c r="F262" s="382" t="s">
        <v>225</v>
      </c>
      <c r="G262" s="376" t="s">
        <v>781</v>
      </c>
      <c r="H262" s="378"/>
      <c r="I262" s="378"/>
      <c r="J262" s="376" t="s">
        <v>215</v>
      </c>
      <c r="K262" s="376" t="s">
        <v>869</v>
      </c>
      <c r="L262" s="376" t="s">
        <v>296</v>
      </c>
      <c r="M262" s="376" t="s">
        <v>272</v>
      </c>
      <c r="N262" s="376" t="s">
        <v>172</v>
      </c>
      <c r="O262" s="379">
        <v>0</v>
      </c>
      <c r="P262" s="385">
        <v>0</v>
      </c>
      <c r="Q262" s="385">
        <v>0</v>
      </c>
      <c r="R262" s="380">
        <v>80</v>
      </c>
      <c r="S262" s="385">
        <v>0</v>
      </c>
      <c r="T262" s="380">
        <v>15335.84</v>
      </c>
      <c r="U262" s="380">
        <v>0</v>
      </c>
      <c r="V262" s="380">
        <v>7583.5</v>
      </c>
      <c r="W262" s="380">
        <v>0</v>
      </c>
      <c r="X262" s="380">
        <v>0</v>
      </c>
      <c r="Y262" s="380">
        <v>0</v>
      </c>
      <c r="Z262" s="380">
        <v>0</v>
      </c>
      <c r="AA262" s="378"/>
      <c r="AB262" s="376" t="s">
        <v>45</v>
      </c>
      <c r="AC262" s="376" t="s">
        <v>45</v>
      </c>
      <c r="AD262" s="378"/>
      <c r="AE262" s="378"/>
      <c r="AF262" s="378"/>
      <c r="AG262" s="378"/>
      <c r="AH262" s="379">
        <v>0</v>
      </c>
      <c r="AI262" s="379">
        <v>0</v>
      </c>
      <c r="AJ262" s="378"/>
      <c r="AK262" s="378"/>
      <c r="AL262" s="376" t="s">
        <v>181</v>
      </c>
      <c r="AM262" s="378"/>
      <c r="AN262" s="378"/>
      <c r="AO262" s="379">
        <v>0</v>
      </c>
      <c r="AP262" s="385">
        <v>0</v>
      </c>
      <c r="AQ262" s="385">
        <v>0</v>
      </c>
      <c r="AR262" s="384"/>
      <c r="AS262" s="387">
        <f t="shared" si="203"/>
        <v>0</v>
      </c>
      <c r="AT262">
        <f t="shared" si="204"/>
        <v>0</v>
      </c>
      <c r="AU262" s="387" t="str">
        <f>IF(AT262=0,"",IF(AND(AT262=1,M262="F",SUMIF(C2:C1334,C262,AS2:AS1334)&lt;=1),SUMIF(C2:C1334,C262,AS2:AS1334),IF(AND(AT262=1,M262="F",SUMIF(C2:C1334,C262,AS2:AS1334)&gt;1),1,"")))</f>
        <v/>
      </c>
      <c r="AV262" s="387" t="str">
        <f>IF(AT262=0,"",IF(AND(AT262=3,M262="F",SUMIF(C2:C1334,C262,AS2:AS1334)&lt;=1),SUMIF(C2:C1334,C262,AS2:AS1334),IF(AND(AT262=3,M262="F",SUMIF(C2:C1334,C262,AS2:AS1334)&gt;1),1,"")))</f>
        <v/>
      </c>
      <c r="AW262" s="387">
        <f>SUMIF(C2:C1334,C262,O2:O1334)</f>
        <v>0</v>
      </c>
      <c r="AX262" s="387">
        <f>IF(AND(M262="F",AS262&lt;&gt;0),SUMIF(C2:C1334,C262,W2:W1334),0)</f>
        <v>0</v>
      </c>
      <c r="AY262" s="387" t="str">
        <f t="shared" si="205"/>
        <v/>
      </c>
      <c r="AZ262" s="387" t="str">
        <f t="shared" si="206"/>
        <v/>
      </c>
      <c r="BA262" s="387">
        <f t="shared" si="207"/>
        <v>0</v>
      </c>
      <c r="BB262" s="387">
        <f t="shared" si="176"/>
        <v>0</v>
      </c>
      <c r="BC262" s="387">
        <f t="shared" si="177"/>
        <v>0</v>
      </c>
      <c r="BD262" s="387">
        <f t="shared" si="178"/>
        <v>0</v>
      </c>
      <c r="BE262" s="387">
        <f t="shared" si="179"/>
        <v>0</v>
      </c>
      <c r="BF262" s="387">
        <f t="shared" si="180"/>
        <v>0</v>
      </c>
      <c r="BG262" s="387">
        <f t="shared" si="181"/>
        <v>0</v>
      </c>
      <c r="BH262" s="387">
        <f t="shared" si="182"/>
        <v>0</v>
      </c>
      <c r="BI262" s="387">
        <f t="shared" si="183"/>
        <v>0</v>
      </c>
      <c r="BJ262" s="387">
        <f t="shared" si="184"/>
        <v>0</v>
      </c>
      <c r="BK262" s="387">
        <f t="shared" si="185"/>
        <v>0</v>
      </c>
      <c r="BL262" s="387">
        <f t="shared" si="208"/>
        <v>0</v>
      </c>
      <c r="BM262" s="387">
        <f t="shared" si="209"/>
        <v>0</v>
      </c>
      <c r="BN262" s="387">
        <f t="shared" si="186"/>
        <v>0</v>
      </c>
      <c r="BO262" s="387">
        <f t="shared" si="187"/>
        <v>0</v>
      </c>
      <c r="BP262" s="387">
        <f t="shared" si="188"/>
        <v>0</v>
      </c>
      <c r="BQ262" s="387">
        <f t="shared" si="189"/>
        <v>0</v>
      </c>
      <c r="BR262" s="387">
        <f t="shared" si="190"/>
        <v>0</v>
      </c>
      <c r="BS262" s="387">
        <f t="shared" si="191"/>
        <v>0</v>
      </c>
      <c r="BT262" s="387">
        <f t="shared" si="192"/>
        <v>0</v>
      </c>
      <c r="BU262" s="387">
        <f t="shared" si="193"/>
        <v>0</v>
      </c>
      <c r="BV262" s="387">
        <f t="shared" si="194"/>
        <v>0</v>
      </c>
      <c r="BW262" s="387">
        <f t="shared" si="195"/>
        <v>0</v>
      </c>
      <c r="BX262" s="387">
        <f t="shared" si="210"/>
        <v>0</v>
      </c>
      <c r="BY262" s="387">
        <f t="shared" si="211"/>
        <v>0</v>
      </c>
      <c r="BZ262" s="387">
        <f t="shared" si="212"/>
        <v>0</v>
      </c>
      <c r="CA262" s="387">
        <f t="shared" si="213"/>
        <v>0</v>
      </c>
      <c r="CB262" s="387">
        <f t="shared" si="214"/>
        <v>0</v>
      </c>
      <c r="CC262" s="387">
        <f t="shared" si="196"/>
        <v>0</v>
      </c>
      <c r="CD262" s="387">
        <f t="shared" si="197"/>
        <v>0</v>
      </c>
      <c r="CE262" s="387">
        <f t="shared" si="198"/>
        <v>0</v>
      </c>
      <c r="CF262" s="387">
        <f t="shared" si="199"/>
        <v>0</v>
      </c>
      <c r="CG262" s="387">
        <f t="shared" si="200"/>
        <v>0</v>
      </c>
      <c r="CH262" s="387">
        <f t="shared" si="201"/>
        <v>0</v>
      </c>
      <c r="CI262" s="387">
        <f t="shared" si="202"/>
        <v>0</v>
      </c>
      <c r="CJ262" s="387">
        <f t="shared" si="215"/>
        <v>0</v>
      </c>
      <c r="CK262" s="387" t="str">
        <f t="shared" si="216"/>
        <v/>
      </c>
      <c r="CL262" s="387" t="str">
        <f t="shared" si="217"/>
        <v/>
      </c>
      <c r="CM262" s="387" t="str">
        <f t="shared" si="218"/>
        <v/>
      </c>
      <c r="CN262" s="387" t="str">
        <f t="shared" si="219"/>
        <v>0348-31</v>
      </c>
    </row>
    <row r="263" spans="1:92" ht="15.75" thickBot="1" x14ac:dyDescent="0.3">
      <c r="A263" s="376" t="s">
        <v>161</v>
      </c>
      <c r="B263" s="376" t="s">
        <v>162</v>
      </c>
      <c r="C263" s="376" t="s">
        <v>336</v>
      </c>
      <c r="D263" s="376" t="s">
        <v>337</v>
      </c>
      <c r="E263" s="376" t="s">
        <v>224</v>
      </c>
      <c r="F263" s="382" t="s">
        <v>225</v>
      </c>
      <c r="G263" s="376" t="s">
        <v>781</v>
      </c>
      <c r="H263" s="378"/>
      <c r="I263" s="378"/>
      <c r="J263" s="376" t="s">
        <v>215</v>
      </c>
      <c r="K263" s="376" t="s">
        <v>338</v>
      </c>
      <c r="L263" s="376" t="s">
        <v>166</v>
      </c>
      <c r="M263" s="376" t="s">
        <v>171</v>
      </c>
      <c r="N263" s="376" t="s">
        <v>257</v>
      </c>
      <c r="O263" s="379">
        <v>1</v>
      </c>
      <c r="P263" s="385">
        <v>0</v>
      </c>
      <c r="Q263" s="385">
        <v>0</v>
      </c>
      <c r="R263" s="380">
        <v>80</v>
      </c>
      <c r="S263" s="385">
        <v>0</v>
      </c>
      <c r="T263" s="380">
        <v>12847.08</v>
      </c>
      <c r="U263" s="380">
        <v>0</v>
      </c>
      <c r="V263" s="380">
        <v>4288.63</v>
      </c>
      <c r="W263" s="380">
        <v>0</v>
      </c>
      <c r="X263" s="380">
        <v>0</v>
      </c>
      <c r="Y263" s="380">
        <v>0</v>
      </c>
      <c r="Z263" s="380">
        <v>0</v>
      </c>
      <c r="AA263" s="376" t="s">
        <v>339</v>
      </c>
      <c r="AB263" s="376" t="s">
        <v>340</v>
      </c>
      <c r="AC263" s="376" t="s">
        <v>341</v>
      </c>
      <c r="AD263" s="376" t="s">
        <v>279</v>
      </c>
      <c r="AE263" s="376" t="s">
        <v>338</v>
      </c>
      <c r="AF263" s="376" t="s">
        <v>261</v>
      </c>
      <c r="AG263" s="376" t="s">
        <v>178</v>
      </c>
      <c r="AH263" s="381">
        <v>38.76</v>
      </c>
      <c r="AI263" s="379">
        <v>17897</v>
      </c>
      <c r="AJ263" s="376" t="s">
        <v>179</v>
      </c>
      <c r="AK263" s="376" t="s">
        <v>180</v>
      </c>
      <c r="AL263" s="376" t="s">
        <v>181</v>
      </c>
      <c r="AM263" s="376" t="s">
        <v>182</v>
      </c>
      <c r="AN263" s="376" t="s">
        <v>68</v>
      </c>
      <c r="AO263" s="379">
        <v>80</v>
      </c>
      <c r="AP263" s="385">
        <v>1</v>
      </c>
      <c r="AQ263" s="385">
        <v>0</v>
      </c>
      <c r="AR263" s="383" t="s">
        <v>183</v>
      </c>
      <c r="AS263" s="387">
        <f t="shared" si="203"/>
        <v>0</v>
      </c>
      <c r="AT263">
        <f t="shared" si="204"/>
        <v>0</v>
      </c>
      <c r="AU263" s="387" t="str">
        <f>IF(AT263=0,"",IF(AND(AT263=1,M263="F",SUMIF(C2:C1334,C263,AS2:AS1334)&lt;=1),SUMIF(C2:C1334,C263,AS2:AS1334),IF(AND(AT263=1,M263="F",SUMIF(C2:C1334,C263,AS2:AS1334)&gt;1),1,"")))</f>
        <v/>
      </c>
      <c r="AV263" s="387" t="str">
        <f>IF(AT263=0,"",IF(AND(AT263=3,M263="F",SUMIF(C2:C1334,C263,AS2:AS1334)&lt;=1),SUMIF(C2:C1334,C263,AS2:AS1334),IF(AND(AT263=3,M263="F",SUMIF(C2:C1334,C263,AS2:AS1334)&gt;1),1,"")))</f>
        <v/>
      </c>
      <c r="AW263" s="387">
        <f>SUMIF(C2:C1334,C263,O2:O1334)</f>
        <v>4</v>
      </c>
      <c r="AX263" s="387">
        <f>IF(AND(M263="F",AS263&lt;&gt;0),SUMIF(C2:C1334,C263,W2:W1334),0)</f>
        <v>0</v>
      </c>
      <c r="AY263" s="387" t="str">
        <f t="shared" si="205"/>
        <v/>
      </c>
      <c r="AZ263" s="387" t="str">
        <f t="shared" si="206"/>
        <v/>
      </c>
      <c r="BA263" s="387">
        <f t="shared" si="207"/>
        <v>0</v>
      </c>
      <c r="BB263" s="387">
        <f t="shared" si="176"/>
        <v>0</v>
      </c>
      <c r="BC263" s="387">
        <f t="shared" si="177"/>
        <v>0</v>
      </c>
      <c r="BD263" s="387">
        <f t="shared" si="178"/>
        <v>0</v>
      </c>
      <c r="BE263" s="387">
        <f t="shared" si="179"/>
        <v>0</v>
      </c>
      <c r="BF263" s="387">
        <f t="shared" si="180"/>
        <v>0</v>
      </c>
      <c r="BG263" s="387">
        <f t="shared" si="181"/>
        <v>0</v>
      </c>
      <c r="BH263" s="387">
        <f t="shared" si="182"/>
        <v>0</v>
      </c>
      <c r="BI263" s="387">
        <f t="shared" si="183"/>
        <v>0</v>
      </c>
      <c r="BJ263" s="387">
        <f t="shared" si="184"/>
        <v>0</v>
      </c>
      <c r="BK263" s="387">
        <f t="shared" si="185"/>
        <v>0</v>
      </c>
      <c r="BL263" s="387">
        <f t="shared" si="208"/>
        <v>0</v>
      </c>
      <c r="BM263" s="387">
        <f t="shared" si="209"/>
        <v>0</v>
      </c>
      <c r="BN263" s="387">
        <f t="shared" si="186"/>
        <v>0</v>
      </c>
      <c r="BO263" s="387">
        <f t="shared" si="187"/>
        <v>0</v>
      </c>
      <c r="BP263" s="387">
        <f t="shared" si="188"/>
        <v>0</v>
      </c>
      <c r="BQ263" s="387">
        <f t="shared" si="189"/>
        <v>0</v>
      </c>
      <c r="BR263" s="387">
        <f t="shared" si="190"/>
        <v>0</v>
      </c>
      <c r="BS263" s="387">
        <f t="shared" si="191"/>
        <v>0</v>
      </c>
      <c r="BT263" s="387">
        <f t="shared" si="192"/>
        <v>0</v>
      </c>
      <c r="BU263" s="387">
        <f t="shared" si="193"/>
        <v>0</v>
      </c>
      <c r="BV263" s="387">
        <f t="shared" si="194"/>
        <v>0</v>
      </c>
      <c r="BW263" s="387">
        <f t="shared" si="195"/>
        <v>0</v>
      </c>
      <c r="BX263" s="387">
        <f t="shared" si="210"/>
        <v>0</v>
      </c>
      <c r="BY263" s="387">
        <f t="shared" si="211"/>
        <v>0</v>
      </c>
      <c r="BZ263" s="387">
        <f t="shared" si="212"/>
        <v>0</v>
      </c>
      <c r="CA263" s="387">
        <f t="shared" si="213"/>
        <v>0</v>
      </c>
      <c r="CB263" s="387">
        <f t="shared" si="214"/>
        <v>0</v>
      </c>
      <c r="CC263" s="387">
        <f t="shared" si="196"/>
        <v>0</v>
      </c>
      <c r="CD263" s="387">
        <f t="shared" si="197"/>
        <v>0</v>
      </c>
      <c r="CE263" s="387">
        <f t="shared" si="198"/>
        <v>0</v>
      </c>
      <c r="CF263" s="387">
        <f t="shared" si="199"/>
        <v>0</v>
      </c>
      <c r="CG263" s="387">
        <f t="shared" si="200"/>
        <v>0</v>
      </c>
      <c r="CH263" s="387">
        <f t="shared" si="201"/>
        <v>0</v>
      </c>
      <c r="CI263" s="387">
        <f t="shared" si="202"/>
        <v>0</v>
      </c>
      <c r="CJ263" s="387">
        <f t="shared" si="215"/>
        <v>0</v>
      </c>
      <c r="CK263" s="387" t="str">
        <f t="shared" si="216"/>
        <v/>
      </c>
      <c r="CL263" s="387" t="str">
        <f t="shared" si="217"/>
        <v/>
      </c>
      <c r="CM263" s="387" t="str">
        <f t="shared" si="218"/>
        <v/>
      </c>
      <c r="CN263" s="387" t="str">
        <f t="shared" si="219"/>
        <v>0348-31</v>
      </c>
    </row>
    <row r="264" spans="1:92" ht="15.75" thickBot="1" x14ac:dyDescent="0.3">
      <c r="A264" s="376" t="s">
        <v>161</v>
      </c>
      <c r="B264" s="376" t="s">
        <v>162</v>
      </c>
      <c r="C264" s="376" t="s">
        <v>1010</v>
      </c>
      <c r="D264" s="376" t="s">
        <v>862</v>
      </c>
      <c r="E264" s="376" t="s">
        <v>224</v>
      </c>
      <c r="F264" s="382" t="s">
        <v>225</v>
      </c>
      <c r="G264" s="376" t="s">
        <v>781</v>
      </c>
      <c r="H264" s="378"/>
      <c r="I264" s="378"/>
      <c r="J264" s="376" t="s">
        <v>168</v>
      </c>
      <c r="K264" s="376" t="s">
        <v>863</v>
      </c>
      <c r="L264" s="376" t="s">
        <v>252</v>
      </c>
      <c r="M264" s="376" t="s">
        <v>171</v>
      </c>
      <c r="N264" s="376" t="s">
        <v>172</v>
      </c>
      <c r="O264" s="379">
        <v>1</v>
      </c>
      <c r="P264" s="385">
        <v>0.6</v>
      </c>
      <c r="Q264" s="385">
        <v>0.6</v>
      </c>
      <c r="R264" s="380">
        <v>80</v>
      </c>
      <c r="S264" s="385">
        <v>0.6</v>
      </c>
      <c r="T264" s="380">
        <v>24490.09</v>
      </c>
      <c r="U264" s="380">
        <v>0</v>
      </c>
      <c r="V264" s="380">
        <v>12734.84</v>
      </c>
      <c r="W264" s="380">
        <v>26270.400000000001</v>
      </c>
      <c r="X264" s="380">
        <v>12670.95</v>
      </c>
      <c r="Y264" s="380">
        <v>26270.400000000001</v>
      </c>
      <c r="Z264" s="380">
        <v>12560.61</v>
      </c>
      <c r="AA264" s="376" t="s">
        <v>1011</v>
      </c>
      <c r="AB264" s="376" t="s">
        <v>1012</v>
      </c>
      <c r="AC264" s="376" t="s">
        <v>1013</v>
      </c>
      <c r="AD264" s="376" t="s">
        <v>324</v>
      </c>
      <c r="AE264" s="376" t="s">
        <v>863</v>
      </c>
      <c r="AF264" s="376" t="s">
        <v>393</v>
      </c>
      <c r="AG264" s="376" t="s">
        <v>178</v>
      </c>
      <c r="AH264" s="381">
        <v>21.05</v>
      </c>
      <c r="AI264" s="381">
        <v>16174.1</v>
      </c>
      <c r="AJ264" s="376" t="s">
        <v>179</v>
      </c>
      <c r="AK264" s="376" t="s">
        <v>180</v>
      </c>
      <c r="AL264" s="376" t="s">
        <v>181</v>
      </c>
      <c r="AM264" s="376" t="s">
        <v>182</v>
      </c>
      <c r="AN264" s="376" t="s">
        <v>68</v>
      </c>
      <c r="AO264" s="379">
        <v>80</v>
      </c>
      <c r="AP264" s="385">
        <v>1</v>
      </c>
      <c r="AQ264" s="385">
        <v>0.6</v>
      </c>
      <c r="AR264" s="383" t="s">
        <v>183</v>
      </c>
      <c r="AS264" s="387">
        <f t="shared" si="203"/>
        <v>0.6</v>
      </c>
      <c r="AT264">
        <f t="shared" si="204"/>
        <v>1</v>
      </c>
      <c r="AU264" s="387">
        <f>IF(AT264=0,"",IF(AND(AT264=1,M264="F",SUMIF(C2:C1334,C264,AS2:AS1334)&lt;=1),SUMIF(C2:C1334,C264,AS2:AS1334),IF(AND(AT264=1,M264="F",SUMIF(C2:C1334,C264,AS2:AS1334)&gt;1),1,"")))</f>
        <v>1</v>
      </c>
      <c r="AV264" s="387" t="str">
        <f>IF(AT264=0,"",IF(AND(AT264=3,M264="F",SUMIF(C2:C1334,C264,AS2:AS1334)&lt;=1),SUMIF(C2:C1334,C264,AS2:AS1334),IF(AND(AT264=3,M264="F",SUMIF(C2:C1334,C264,AS2:AS1334)&gt;1),1,"")))</f>
        <v/>
      </c>
      <c r="AW264" s="387">
        <f>SUMIF(C2:C1334,C264,O2:O1334)</f>
        <v>3</v>
      </c>
      <c r="AX264" s="387">
        <f>IF(AND(M264="F",AS264&lt;&gt;0),SUMIF(C2:C1334,C264,W2:W1334),0)</f>
        <v>43784</v>
      </c>
      <c r="AY264" s="387">
        <f t="shared" si="205"/>
        <v>26270.400000000001</v>
      </c>
      <c r="AZ264" s="387" t="str">
        <f t="shared" si="206"/>
        <v/>
      </c>
      <c r="BA264" s="387">
        <f t="shared" si="207"/>
        <v>0</v>
      </c>
      <c r="BB264" s="387">
        <f t="shared" si="176"/>
        <v>6990</v>
      </c>
      <c r="BC264" s="387">
        <f t="shared" si="177"/>
        <v>0</v>
      </c>
      <c r="BD264" s="387">
        <f t="shared" si="178"/>
        <v>1628.7648000000002</v>
      </c>
      <c r="BE264" s="387">
        <f t="shared" si="179"/>
        <v>380.92080000000004</v>
      </c>
      <c r="BF264" s="387">
        <f t="shared" si="180"/>
        <v>3136.6857600000003</v>
      </c>
      <c r="BG264" s="387">
        <f t="shared" si="181"/>
        <v>189.40958400000002</v>
      </c>
      <c r="BH264" s="387">
        <f t="shared" si="182"/>
        <v>128.72496000000001</v>
      </c>
      <c r="BI264" s="387">
        <f t="shared" si="183"/>
        <v>145.40666400000001</v>
      </c>
      <c r="BJ264" s="387">
        <f t="shared" si="184"/>
        <v>70.930080000000004</v>
      </c>
      <c r="BK264" s="387">
        <f t="shared" si="185"/>
        <v>0</v>
      </c>
      <c r="BL264" s="387">
        <f t="shared" si="208"/>
        <v>5680.8426480000016</v>
      </c>
      <c r="BM264" s="387">
        <f t="shared" si="209"/>
        <v>0</v>
      </c>
      <c r="BN264" s="387">
        <f t="shared" si="186"/>
        <v>6990</v>
      </c>
      <c r="BO264" s="387">
        <f t="shared" si="187"/>
        <v>0</v>
      </c>
      <c r="BP264" s="387">
        <f t="shared" si="188"/>
        <v>1628.7648000000002</v>
      </c>
      <c r="BQ264" s="387">
        <f t="shared" si="189"/>
        <v>380.92080000000004</v>
      </c>
      <c r="BR264" s="387">
        <f t="shared" si="190"/>
        <v>3136.6857600000003</v>
      </c>
      <c r="BS264" s="387">
        <f t="shared" si="191"/>
        <v>189.40958400000002</v>
      </c>
      <c r="BT264" s="387">
        <f t="shared" si="192"/>
        <v>0</v>
      </c>
      <c r="BU264" s="387">
        <f t="shared" si="193"/>
        <v>145.40666400000001</v>
      </c>
      <c r="BV264" s="387">
        <f t="shared" si="194"/>
        <v>89.319360000000003</v>
      </c>
      <c r="BW264" s="387">
        <f t="shared" si="195"/>
        <v>0</v>
      </c>
      <c r="BX264" s="387">
        <f t="shared" si="210"/>
        <v>5570.5069680000015</v>
      </c>
      <c r="BY264" s="387">
        <f t="shared" si="211"/>
        <v>0</v>
      </c>
      <c r="BZ264" s="387">
        <f t="shared" si="212"/>
        <v>0</v>
      </c>
      <c r="CA264" s="387">
        <f t="shared" si="213"/>
        <v>0</v>
      </c>
      <c r="CB264" s="387">
        <f t="shared" si="214"/>
        <v>0</v>
      </c>
      <c r="CC264" s="387">
        <f t="shared" si="196"/>
        <v>0</v>
      </c>
      <c r="CD264" s="387">
        <f t="shared" si="197"/>
        <v>0</v>
      </c>
      <c r="CE264" s="387">
        <f t="shared" si="198"/>
        <v>0</v>
      </c>
      <c r="CF264" s="387">
        <f t="shared" si="199"/>
        <v>-128.72496000000001</v>
      </c>
      <c r="CG264" s="387">
        <f t="shared" si="200"/>
        <v>0</v>
      </c>
      <c r="CH264" s="387">
        <f t="shared" si="201"/>
        <v>18.389279999999992</v>
      </c>
      <c r="CI264" s="387">
        <f t="shared" si="202"/>
        <v>0</v>
      </c>
      <c r="CJ264" s="387">
        <f t="shared" si="215"/>
        <v>-110.33568000000002</v>
      </c>
      <c r="CK264" s="387" t="str">
        <f t="shared" si="216"/>
        <v/>
      </c>
      <c r="CL264" s="387" t="str">
        <f t="shared" si="217"/>
        <v/>
      </c>
      <c r="CM264" s="387" t="str">
        <f t="shared" si="218"/>
        <v/>
      </c>
      <c r="CN264" s="387" t="str">
        <f t="shared" si="219"/>
        <v>0348-31</v>
      </c>
    </row>
    <row r="265" spans="1:92" ht="15.75" thickBot="1" x14ac:dyDescent="0.3">
      <c r="A265" s="376" t="s">
        <v>161</v>
      </c>
      <c r="B265" s="376" t="s">
        <v>162</v>
      </c>
      <c r="C265" s="376" t="s">
        <v>237</v>
      </c>
      <c r="D265" s="376" t="s">
        <v>238</v>
      </c>
      <c r="E265" s="376" t="s">
        <v>224</v>
      </c>
      <c r="F265" s="382" t="s">
        <v>225</v>
      </c>
      <c r="G265" s="376" t="s">
        <v>781</v>
      </c>
      <c r="H265" s="378"/>
      <c r="I265" s="378"/>
      <c r="J265" s="376" t="s">
        <v>239</v>
      </c>
      <c r="K265" s="376" t="s">
        <v>240</v>
      </c>
      <c r="L265" s="376" t="s">
        <v>210</v>
      </c>
      <c r="M265" s="376" t="s">
        <v>171</v>
      </c>
      <c r="N265" s="376" t="s">
        <v>172</v>
      </c>
      <c r="O265" s="379">
        <v>1</v>
      </c>
      <c r="P265" s="385">
        <v>0</v>
      </c>
      <c r="Q265" s="385">
        <v>0</v>
      </c>
      <c r="R265" s="380">
        <v>80</v>
      </c>
      <c r="S265" s="385">
        <v>0</v>
      </c>
      <c r="T265" s="380">
        <v>52627.87</v>
      </c>
      <c r="U265" s="380">
        <v>0</v>
      </c>
      <c r="V265" s="380">
        <v>20376.47</v>
      </c>
      <c r="W265" s="380">
        <v>0</v>
      </c>
      <c r="X265" s="380">
        <v>0</v>
      </c>
      <c r="Y265" s="380">
        <v>0</v>
      </c>
      <c r="Z265" s="380">
        <v>0</v>
      </c>
      <c r="AA265" s="376" t="s">
        <v>241</v>
      </c>
      <c r="AB265" s="376" t="s">
        <v>242</v>
      </c>
      <c r="AC265" s="376" t="s">
        <v>243</v>
      </c>
      <c r="AD265" s="376" t="s">
        <v>244</v>
      </c>
      <c r="AE265" s="376" t="s">
        <v>240</v>
      </c>
      <c r="AF265" s="376" t="s">
        <v>245</v>
      </c>
      <c r="AG265" s="376" t="s">
        <v>178</v>
      </c>
      <c r="AH265" s="381">
        <v>33.61</v>
      </c>
      <c r="AI265" s="381">
        <v>17909.099999999999</v>
      </c>
      <c r="AJ265" s="376" t="s">
        <v>179</v>
      </c>
      <c r="AK265" s="376" t="s">
        <v>180</v>
      </c>
      <c r="AL265" s="376" t="s">
        <v>181</v>
      </c>
      <c r="AM265" s="376" t="s">
        <v>182</v>
      </c>
      <c r="AN265" s="376" t="s">
        <v>68</v>
      </c>
      <c r="AO265" s="379">
        <v>80</v>
      </c>
      <c r="AP265" s="385">
        <v>1</v>
      </c>
      <c r="AQ265" s="385">
        <v>0</v>
      </c>
      <c r="AR265" s="383" t="s">
        <v>183</v>
      </c>
      <c r="AS265" s="387">
        <f t="shared" si="203"/>
        <v>0</v>
      </c>
      <c r="AT265">
        <f t="shared" si="204"/>
        <v>0</v>
      </c>
      <c r="AU265" s="387" t="str">
        <f>IF(AT265=0,"",IF(AND(AT265=1,M265="F",SUMIF(C2:C1334,C265,AS2:AS1334)&lt;=1),SUMIF(C2:C1334,C265,AS2:AS1334),IF(AND(AT265=1,M265="F",SUMIF(C2:C1334,C265,AS2:AS1334)&gt;1),1,"")))</f>
        <v/>
      </c>
      <c r="AV265" s="387" t="str">
        <f>IF(AT265=0,"",IF(AND(AT265=3,M265="F",SUMIF(C2:C1334,C265,AS2:AS1334)&lt;=1),SUMIF(C2:C1334,C265,AS2:AS1334),IF(AND(AT265=3,M265="F",SUMIF(C2:C1334,C265,AS2:AS1334)&gt;1),1,"")))</f>
        <v/>
      </c>
      <c r="AW265" s="387">
        <f>SUMIF(C2:C1334,C265,O2:O1334)</f>
        <v>6</v>
      </c>
      <c r="AX265" s="387">
        <f>IF(AND(M265="F",AS265&lt;&gt;0),SUMIF(C2:C1334,C265,W2:W1334),0)</f>
        <v>0</v>
      </c>
      <c r="AY265" s="387" t="str">
        <f t="shared" si="205"/>
        <v/>
      </c>
      <c r="AZ265" s="387" t="str">
        <f t="shared" si="206"/>
        <v/>
      </c>
      <c r="BA265" s="387">
        <f t="shared" si="207"/>
        <v>0</v>
      </c>
      <c r="BB265" s="387">
        <f t="shared" si="176"/>
        <v>0</v>
      </c>
      <c r="BC265" s="387">
        <f t="shared" si="177"/>
        <v>0</v>
      </c>
      <c r="BD265" s="387">
        <f t="shared" si="178"/>
        <v>0</v>
      </c>
      <c r="BE265" s="387">
        <f t="shared" si="179"/>
        <v>0</v>
      </c>
      <c r="BF265" s="387">
        <f t="shared" si="180"/>
        <v>0</v>
      </c>
      <c r="BG265" s="387">
        <f t="shared" si="181"/>
        <v>0</v>
      </c>
      <c r="BH265" s="387">
        <f t="shared" si="182"/>
        <v>0</v>
      </c>
      <c r="BI265" s="387">
        <f t="shared" si="183"/>
        <v>0</v>
      </c>
      <c r="BJ265" s="387">
        <f t="shared" si="184"/>
        <v>0</v>
      </c>
      <c r="BK265" s="387">
        <f t="shared" si="185"/>
        <v>0</v>
      </c>
      <c r="BL265" s="387">
        <f t="shared" si="208"/>
        <v>0</v>
      </c>
      <c r="BM265" s="387">
        <f t="shared" si="209"/>
        <v>0</v>
      </c>
      <c r="BN265" s="387">
        <f t="shared" si="186"/>
        <v>0</v>
      </c>
      <c r="BO265" s="387">
        <f t="shared" si="187"/>
        <v>0</v>
      </c>
      <c r="BP265" s="387">
        <f t="shared" si="188"/>
        <v>0</v>
      </c>
      <c r="BQ265" s="387">
        <f t="shared" si="189"/>
        <v>0</v>
      </c>
      <c r="BR265" s="387">
        <f t="shared" si="190"/>
        <v>0</v>
      </c>
      <c r="BS265" s="387">
        <f t="shared" si="191"/>
        <v>0</v>
      </c>
      <c r="BT265" s="387">
        <f t="shared" si="192"/>
        <v>0</v>
      </c>
      <c r="BU265" s="387">
        <f t="shared" si="193"/>
        <v>0</v>
      </c>
      <c r="BV265" s="387">
        <f t="shared" si="194"/>
        <v>0</v>
      </c>
      <c r="BW265" s="387">
        <f t="shared" si="195"/>
        <v>0</v>
      </c>
      <c r="BX265" s="387">
        <f t="shared" si="210"/>
        <v>0</v>
      </c>
      <c r="BY265" s="387">
        <f t="shared" si="211"/>
        <v>0</v>
      </c>
      <c r="BZ265" s="387">
        <f t="shared" si="212"/>
        <v>0</v>
      </c>
      <c r="CA265" s="387">
        <f t="shared" si="213"/>
        <v>0</v>
      </c>
      <c r="CB265" s="387">
        <f t="shared" si="214"/>
        <v>0</v>
      </c>
      <c r="CC265" s="387">
        <f t="shared" si="196"/>
        <v>0</v>
      </c>
      <c r="CD265" s="387">
        <f t="shared" si="197"/>
        <v>0</v>
      </c>
      <c r="CE265" s="387">
        <f t="shared" si="198"/>
        <v>0</v>
      </c>
      <c r="CF265" s="387">
        <f t="shared" si="199"/>
        <v>0</v>
      </c>
      <c r="CG265" s="387">
        <f t="shared" si="200"/>
        <v>0</v>
      </c>
      <c r="CH265" s="387">
        <f t="shared" si="201"/>
        <v>0</v>
      </c>
      <c r="CI265" s="387">
        <f t="shared" si="202"/>
        <v>0</v>
      </c>
      <c r="CJ265" s="387">
        <f t="shared" si="215"/>
        <v>0</v>
      </c>
      <c r="CK265" s="387" t="str">
        <f t="shared" si="216"/>
        <v/>
      </c>
      <c r="CL265" s="387" t="str">
        <f t="shared" si="217"/>
        <v/>
      </c>
      <c r="CM265" s="387" t="str">
        <f t="shared" si="218"/>
        <v/>
      </c>
      <c r="CN265" s="387" t="str">
        <f t="shared" si="219"/>
        <v>0348-31</v>
      </c>
    </row>
    <row r="266" spans="1:92" ht="15.75" thickBot="1" x14ac:dyDescent="0.3">
      <c r="A266" s="376" t="s">
        <v>161</v>
      </c>
      <c r="B266" s="376" t="s">
        <v>162</v>
      </c>
      <c r="C266" s="376" t="s">
        <v>325</v>
      </c>
      <c r="D266" s="376" t="s">
        <v>326</v>
      </c>
      <c r="E266" s="376" t="s">
        <v>224</v>
      </c>
      <c r="F266" s="382" t="s">
        <v>225</v>
      </c>
      <c r="G266" s="376" t="s">
        <v>781</v>
      </c>
      <c r="H266" s="378"/>
      <c r="I266" s="378"/>
      <c r="J266" s="376" t="s">
        <v>215</v>
      </c>
      <c r="K266" s="376" t="s">
        <v>327</v>
      </c>
      <c r="L266" s="376" t="s">
        <v>170</v>
      </c>
      <c r="M266" s="376" t="s">
        <v>272</v>
      </c>
      <c r="N266" s="376" t="s">
        <v>172</v>
      </c>
      <c r="O266" s="379">
        <v>0</v>
      </c>
      <c r="P266" s="385">
        <v>0</v>
      </c>
      <c r="Q266" s="385">
        <v>0</v>
      </c>
      <c r="R266" s="380">
        <v>80</v>
      </c>
      <c r="S266" s="385">
        <v>0</v>
      </c>
      <c r="T266" s="380">
        <v>50405</v>
      </c>
      <c r="U266" s="380">
        <v>0</v>
      </c>
      <c r="V266" s="380">
        <v>17319.810000000001</v>
      </c>
      <c r="W266" s="380">
        <v>0</v>
      </c>
      <c r="X266" s="380">
        <v>0</v>
      </c>
      <c r="Y266" s="380">
        <v>0</v>
      </c>
      <c r="Z266" s="380">
        <v>0</v>
      </c>
      <c r="AA266" s="378"/>
      <c r="AB266" s="376" t="s">
        <v>45</v>
      </c>
      <c r="AC266" s="376" t="s">
        <v>45</v>
      </c>
      <c r="AD266" s="378"/>
      <c r="AE266" s="378"/>
      <c r="AF266" s="378"/>
      <c r="AG266" s="378"/>
      <c r="AH266" s="379">
        <v>0</v>
      </c>
      <c r="AI266" s="379">
        <v>0</v>
      </c>
      <c r="AJ266" s="378"/>
      <c r="AK266" s="378"/>
      <c r="AL266" s="376" t="s">
        <v>181</v>
      </c>
      <c r="AM266" s="378"/>
      <c r="AN266" s="378"/>
      <c r="AO266" s="379">
        <v>0</v>
      </c>
      <c r="AP266" s="385">
        <v>0</v>
      </c>
      <c r="AQ266" s="385">
        <v>0</v>
      </c>
      <c r="AR266" s="384"/>
      <c r="AS266" s="387">
        <f t="shared" si="203"/>
        <v>0</v>
      </c>
      <c r="AT266">
        <f t="shared" si="204"/>
        <v>0</v>
      </c>
      <c r="AU266" s="387" t="str">
        <f>IF(AT266=0,"",IF(AND(AT266=1,M266="F",SUMIF(C2:C1334,C266,AS2:AS1334)&lt;=1),SUMIF(C2:C1334,C266,AS2:AS1334),IF(AND(AT266=1,M266="F",SUMIF(C2:C1334,C266,AS2:AS1334)&gt;1),1,"")))</f>
        <v/>
      </c>
      <c r="AV266" s="387" t="str">
        <f>IF(AT266=0,"",IF(AND(AT266=3,M266="F",SUMIF(C2:C1334,C266,AS2:AS1334)&lt;=1),SUMIF(C2:C1334,C266,AS2:AS1334),IF(AND(AT266=3,M266="F",SUMIF(C2:C1334,C266,AS2:AS1334)&gt;1),1,"")))</f>
        <v/>
      </c>
      <c r="AW266" s="387">
        <f>SUMIF(C2:C1334,C266,O2:O1334)</f>
        <v>0</v>
      </c>
      <c r="AX266" s="387">
        <f>IF(AND(M266="F",AS266&lt;&gt;0),SUMIF(C2:C1334,C266,W2:W1334),0)</f>
        <v>0</v>
      </c>
      <c r="AY266" s="387" t="str">
        <f t="shared" si="205"/>
        <v/>
      </c>
      <c r="AZ266" s="387" t="str">
        <f t="shared" si="206"/>
        <v/>
      </c>
      <c r="BA266" s="387">
        <f t="shared" si="207"/>
        <v>0</v>
      </c>
      <c r="BB266" s="387">
        <f t="shared" si="176"/>
        <v>0</v>
      </c>
      <c r="BC266" s="387">
        <f t="shared" si="177"/>
        <v>0</v>
      </c>
      <c r="BD266" s="387">
        <f t="shared" si="178"/>
        <v>0</v>
      </c>
      <c r="BE266" s="387">
        <f t="shared" si="179"/>
        <v>0</v>
      </c>
      <c r="BF266" s="387">
        <f t="shared" si="180"/>
        <v>0</v>
      </c>
      <c r="BG266" s="387">
        <f t="shared" si="181"/>
        <v>0</v>
      </c>
      <c r="BH266" s="387">
        <f t="shared" si="182"/>
        <v>0</v>
      </c>
      <c r="BI266" s="387">
        <f t="shared" si="183"/>
        <v>0</v>
      </c>
      <c r="BJ266" s="387">
        <f t="shared" si="184"/>
        <v>0</v>
      </c>
      <c r="BK266" s="387">
        <f t="shared" si="185"/>
        <v>0</v>
      </c>
      <c r="BL266" s="387">
        <f t="shared" si="208"/>
        <v>0</v>
      </c>
      <c r="BM266" s="387">
        <f t="shared" si="209"/>
        <v>0</v>
      </c>
      <c r="BN266" s="387">
        <f t="shared" si="186"/>
        <v>0</v>
      </c>
      <c r="BO266" s="387">
        <f t="shared" si="187"/>
        <v>0</v>
      </c>
      <c r="BP266" s="387">
        <f t="shared" si="188"/>
        <v>0</v>
      </c>
      <c r="BQ266" s="387">
        <f t="shared" si="189"/>
        <v>0</v>
      </c>
      <c r="BR266" s="387">
        <f t="shared" si="190"/>
        <v>0</v>
      </c>
      <c r="BS266" s="387">
        <f t="shared" si="191"/>
        <v>0</v>
      </c>
      <c r="BT266" s="387">
        <f t="shared" si="192"/>
        <v>0</v>
      </c>
      <c r="BU266" s="387">
        <f t="shared" si="193"/>
        <v>0</v>
      </c>
      <c r="BV266" s="387">
        <f t="shared" si="194"/>
        <v>0</v>
      </c>
      <c r="BW266" s="387">
        <f t="shared" si="195"/>
        <v>0</v>
      </c>
      <c r="BX266" s="387">
        <f t="shared" si="210"/>
        <v>0</v>
      </c>
      <c r="BY266" s="387">
        <f t="shared" si="211"/>
        <v>0</v>
      </c>
      <c r="BZ266" s="387">
        <f t="shared" si="212"/>
        <v>0</v>
      </c>
      <c r="CA266" s="387">
        <f t="shared" si="213"/>
        <v>0</v>
      </c>
      <c r="CB266" s="387">
        <f t="shared" si="214"/>
        <v>0</v>
      </c>
      <c r="CC266" s="387">
        <f t="shared" si="196"/>
        <v>0</v>
      </c>
      <c r="CD266" s="387">
        <f t="shared" si="197"/>
        <v>0</v>
      </c>
      <c r="CE266" s="387">
        <f t="shared" si="198"/>
        <v>0</v>
      </c>
      <c r="CF266" s="387">
        <f t="shared" si="199"/>
        <v>0</v>
      </c>
      <c r="CG266" s="387">
        <f t="shared" si="200"/>
        <v>0</v>
      </c>
      <c r="CH266" s="387">
        <f t="shared" si="201"/>
        <v>0</v>
      </c>
      <c r="CI266" s="387">
        <f t="shared" si="202"/>
        <v>0</v>
      </c>
      <c r="CJ266" s="387">
        <f t="shared" si="215"/>
        <v>0</v>
      </c>
      <c r="CK266" s="387" t="str">
        <f t="shared" si="216"/>
        <v/>
      </c>
      <c r="CL266" s="387" t="str">
        <f t="shared" si="217"/>
        <v/>
      </c>
      <c r="CM266" s="387" t="str">
        <f t="shared" si="218"/>
        <v/>
      </c>
      <c r="CN266" s="387" t="str">
        <f t="shared" si="219"/>
        <v>0348-31</v>
      </c>
    </row>
    <row r="267" spans="1:92" ht="15.75" thickBot="1" x14ac:dyDescent="0.3">
      <c r="A267" s="376" t="s">
        <v>161</v>
      </c>
      <c r="B267" s="376" t="s">
        <v>162</v>
      </c>
      <c r="C267" s="376" t="s">
        <v>1014</v>
      </c>
      <c r="D267" s="376" t="s">
        <v>862</v>
      </c>
      <c r="E267" s="376" t="s">
        <v>224</v>
      </c>
      <c r="F267" s="382" t="s">
        <v>225</v>
      </c>
      <c r="G267" s="376" t="s">
        <v>781</v>
      </c>
      <c r="H267" s="378"/>
      <c r="I267" s="378"/>
      <c r="J267" s="376" t="s">
        <v>239</v>
      </c>
      <c r="K267" s="376" t="s">
        <v>863</v>
      </c>
      <c r="L267" s="376" t="s">
        <v>252</v>
      </c>
      <c r="M267" s="376" t="s">
        <v>171</v>
      </c>
      <c r="N267" s="376" t="s">
        <v>172</v>
      </c>
      <c r="O267" s="379">
        <v>1</v>
      </c>
      <c r="P267" s="385">
        <v>0.55000000000000004</v>
      </c>
      <c r="Q267" s="385">
        <v>0.55000000000000004</v>
      </c>
      <c r="R267" s="380">
        <v>80</v>
      </c>
      <c r="S267" s="385">
        <v>0.55000000000000004</v>
      </c>
      <c r="T267" s="380">
        <v>21406.05</v>
      </c>
      <c r="U267" s="380">
        <v>0</v>
      </c>
      <c r="V267" s="380">
        <v>11366.55</v>
      </c>
      <c r="W267" s="380">
        <v>21472.880000000001</v>
      </c>
      <c r="X267" s="380">
        <v>11050.99</v>
      </c>
      <c r="Y267" s="380">
        <v>21472.880000000001</v>
      </c>
      <c r="Z267" s="380">
        <v>10960.8</v>
      </c>
      <c r="AA267" s="376" t="s">
        <v>1015</v>
      </c>
      <c r="AB267" s="376" t="s">
        <v>1016</v>
      </c>
      <c r="AC267" s="376" t="s">
        <v>1017</v>
      </c>
      <c r="AD267" s="376" t="s">
        <v>1018</v>
      </c>
      <c r="AE267" s="376" t="s">
        <v>863</v>
      </c>
      <c r="AF267" s="376" t="s">
        <v>393</v>
      </c>
      <c r="AG267" s="376" t="s">
        <v>178</v>
      </c>
      <c r="AH267" s="381">
        <v>18.77</v>
      </c>
      <c r="AI267" s="379">
        <v>3280</v>
      </c>
      <c r="AJ267" s="376" t="s">
        <v>179</v>
      </c>
      <c r="AK267" s="376" t="s">
        <v>180</v>
      </c>
      <c r="AL267" s="376" t="s">
        <v>181</v>
      </c>
      <c r="AM267" s="376" t="s">
        <v>182</v>
      </c>
      <c r="AN267" s="376" t="s">
        <v>68</v>
      </c>
      <c r="AO267" s="379">
        <v>80</v>
      </c>
      <c r="AP267" s="385">
        <v>1</v>
      </c>
      <c r="AQ267" s="385">
        <v>0.55000000000000004</v>
      </c>
      <c r="AR267" s="383" t="s">
        <v>183</v>
      </c>
      <c r="AS267" s="387">
        <f t="shared" si="203"/>
        <v>0.55000000000000004</v>
      </c>
      <c r="AT267">
        <f t="shared" si="204"/>
        <v>1</v>
      </c>
      <c r="AU267" s="387">
        <f>IF(AT267=0,"",IF(AND(AT267=1,M267="F",SUMIF(C2:C1334,C267,AS2:AS1334)&lt;=1),SUMIF(C2:C1334,C267,AS2:AS1334),IF(AND(AT267=1,M267="F",SUMIF(C2:C1334,C267,AS2:AS1334)&gt;1),1,"")))</f>
        <v>1</v>
      </c>
      <c r="AV267" s="387" t="str">
        <f>IF(AT267=0,"",IF(AND(AT267=3,M267="F",SUMIF(C2:C1334,C267,AS2:AS1334)&lt;=1),SUMIF(C2:C1334,C267,AS2:AS1334),IF(AND(AT267=3,M267="F",SUMIF(C2:C1334,C267,AS2:AS1334)&gt;1),1,"")))</f>
        <v/>
      </c>
      <c r="AW267" s="387">
        <f>SUMIF(C2:C1334,C267,O2:O1334)</f>
        <v>3</v>
      </c>
      <c r="AX267" s="387">
        <f>IF(AND(M267="F",AS267&lt;&gt;0),SUMIF(C2:C1334,C267,W2:W1334),0)</f>
        <v>39041.600000000006</v>
      </c>
      <c r="AY267" s="387">
        <f t="shared" si="205"/>
        <v>21472.880000000001</v>
      </c>
      <c r="AZ267" s="387" t="str">
        <f t="shared" si="206"/>
        <v/>
      </c>
      <c r="BA267" s="387">
        <f t="shared" si="207"/>
        <v>0</v>
      </c>
      <c r="BB267" s="387">
        <f t="shared" si="176"/>
        <v>6407.5000000000009</v>
      </c>
      <c r="BC267" s="387">
        <f t="shared" si="177"/>
        <v>0</v>
      </c>
      <c r="BD267" s="387">
        <f t="shared" si="178"/>
        <v>1331.3185600000002</v>
      </c>
      <c r="BE267" s="387">
        <f t="shared" si="179"/>
        <v>311.35676000000001</v>
      </c>
      <c r="BF267" s="387">
        <f t="shared" si="180"/>
        <v>2563.8618720000004</v>
      </c>
      <c r="BG267" s="387">
        <f t="shared" si="181"/>
        <v>154.81946480000002</v>
      </c>
      <c r="BH267" s="387">
        <f t="shared" si="182"/>
        <v>105.217112</v>
      </c>
      <c r="BI267" s="387">
        <f t="shared" si="183"/>
        <v>118.85239080000001</v>
      </c>
      <c r="BJ267" s="387">
        <f t="shared" si="184"/>
        <v>57.976776000000008</v>
      </c>
      <c r="BK267" s="387">
        <f t="shared" si="185"/>
        <v>0</v>
      </c>
      <c r="BL267" s="387">
        <f t="shared" si="208"/>
        <v>4643.402935600001</v>
      </c>
      <c r="BM267" s="387">
        <f t="shared" si="209"/>
        <v>0</v>
      </c>
      <c r="BN267" s="387">
        <f t="shared" si="186"/>
        <v>6407.5000000000009</v>
      </c>
      <c r="BO267" s="387">
        <f t="shared" si="187"/>
        <v>0</v>
      </c>
      <c r="BP267" s="387">
        <f t="shared" si="188"/>
        <v>1331.3185600000002</v>
      </c>
      <c r="BQ267" s="387">
        <f t="shared" si="189"/>
        <v>311.35676000000001</v>
      </c>
      <c r="BR267" s="387">
        <f t="shared" si="190"/>
        <v>2563.8618720000004</v>
      </c>
      <c r="BS267" s="387">
        <f t="shared" si="191"/>
        <v>154.81946480000002</v>
      </c>
      <c r="BT267" s="387">
        <f t="shared" si="192"/>
        <v>0</v>
      </c>
      <c r="BU267" s="387">
        <f t="shared" si="193"/>
        <v>118.85239080000001</v>
      </c>
      <c r="BV267" s="387">
        <f t="shared" si="194"/>
        <v>73.007791999999995</v>
      </c>
      <c r="BW267" s="387">
        <f t="shared" si="195"/>
        <v>0</v>
      </c>
      <c r="BX267" s="387">
        <f t="shared" si="210"/>
        <v>4553.2168396000006</v>
      </c>
      <c r="BY267" s="387">
        <f t="shared" si="211"/>
        <v>0</v>
      </c>
      <c r="BZ267" s="387">
        <f t="shared" si="212"/>
        <v>0</v>
      </c>
      <c r="CA267" s="387">
        <f t="shared" si="213"/>
        <v>0</v>
      </c>
      <c r="CB267" s="387">
        <f t="shared" si="214"/>
        <v>0</v>
      </c>
      <c r="CC267" s="387">
        <f t="shared" si="196"/>
        <v>0</v>
      </c>
      <c r="CD267" s="387">
        <f t="shared" si="197"/>
        <v>0</v>
      </c>
      <c r="CE267" s="387">
        <f t="shared" si="198"/>
        <v>0</v>
      </c>
      <c r="CF267" s="387">
        <f t="shared" si="199"/>
        <v>-105.217112</v>
      </c>
      <c r="CG267" s="387">
        <f t="shared" si="200"/>
        <v>0</v>
      </c>
      <c r="CH267" s="387">
        <f t="shared" si="201"/>
        <v>15.031015999999994</v>
      </c>
      <c r="CI267" s="387">
        <f t="shared" si="202"/>
        <v>0</v>
      </c>
      <c r="CJ267" s="387">
        <f t="shared" si="215"/>
        <v>-90.186096000000006</v>
      </c>
      <c r="CK267" s="387" t="str">
        <f t="shared" si="216"/>
        <v/>
      </c>
      <c r="CL267" s="387" t="str">
        <f t="shared" si="217"/>
        <v/>
      </c>
      <c r="CM267" s="387" t="str">
        <f t="shared" si="218"/>
        <v/>
      </c>
      <c r="CN267" s="387" t="str">
        <f t="shared" si="219"/>
        <v>0348-31</v>
      </c>
    </row>
    <row r="268" spans="1:92" ht="15.75" thickBot="1" x14ac:dyDescent="0.3">
      <c r="A268" s="376" t="s">
        <v>161</v>
      </c>
      <c r="B268" s="376" t="s">
        <v>162</v>
      </c>
      <c r="C268" s="376" t="s">
        <v>1019</v>
      </c>
      <c r="D268" s="376" t="s">
        <v>238</v>
      </c>
      <c r="E268" s="376" t="s">
        <v>224</v>
      </c>
      <c r="F268" s="382" t="s">
        <v>225</v>
      </c>
      <c r="G268" s="376" t="s">
        <v>781</v>
      </c>
      <c r="H268" s="378"/>
      <c r="I268" s="378"/>
      <c r="J268" s="376" t="s">
        <v>215</v>
      </c>
      <c r="K268" s="376" t="s">
        <v>285</v>
      </c>
      <c r="L268" s="376" t="s">
        <v>170</v>
      </c>
      <c r="M268" s="376" t="s">
        <v>171</v>
      </c>
      <c r="N268" s="376" t="s">
        <v>172</v>
      </c>
      <c r="O268" s="379">
        <v>1</v>
      </c>
      <c r="P268" s="385">
        <v>0</v>
      </c>
      <c r="Q268" s="385">
        <v>0</v>
      </c>
      <c r="R268" s="380">
        <v>80</v>
      </c>
      <c r="S268" s="385">
        <v>0</v>
      </c>
      <c r="T268" s="380">
        <v>1344.26</v>
      </c>
      <c r="U268" s="380">
        <v>0</v>
      </c>
      <c r="V268" s="380">
        <v>538.4</v>
      </c>
      <c r="W268" s="380">
        <v>0</v>
      </c>
      <c r="X268" s="380">
        <v>0</v>
      </c>
      <c r="Y268" s="380">
        <v>0</v>
      </c>
      <c r="Z268" s="380">
        <v>0</v>
      </c>
      <c r="AA268" s="376" t="s">
        <v>1020</v>
      </c>
      <c r="AB268" s="376" t="s">
        <v>981</v>
      </c>
      <c r="AC268" s="376" t="s">
        <v>427</v>
      </c>
      <c r="AD268" s="376" t="s">
        <v>252</v>
      </c>
      <c r="AE268" s="376" t="s">
        <v>285</v>
      </c>
      <c r="AF268" s="376" t="s">
        <v>177</v>
      </c>
      <c r="AG268" s="376" t="s">
        <v>178</v>
      </c>
      <c r="AH268" s="381">
        <v>28.83</v>
      </c>
      <c r="AI268" s="381">
        <v>11512.1</v>
      </c>
      <c r="AJ268" s="376" t="s">
        <v>179</v>
      </c>
      <c r="AK268" s="376" t="s">
        <v>180</v>
      </c>
      <c r="AL268" s="376" t="s">
        <v>181</v>
      </c>
      <c r="AM268" s="376" t="s">
        <v>182</v>
      </c>
      <c r="AN268" s="376" t="s">
        <v>68</v>
      </c>
      <c r="AO268" s="379">
        <v>80</v>
      </c>
      <c r="AP268" s="385">
        <v>1</v>
      </c>
      <c r="AQ268" s="385">
        <v>0</v>
      </c>
      <c r="AR268" s="383" t="s">
        <v>183</v>
      </c>
      <c r="AS268" s="387">
        <f t="shared" si="203"/>
        <v>0</v>
      </c>
      <c r="AT268">
        <f t="shared" si="204"/>
        <v>0</v>
      </c>
      <c r="AU268" s="387" t="str">
        <f>IF(AT268=0,"",IF(AND(AT268=1,M268="F",SUMIF(C2:C1334,C268,AS2:AS1334)&lt;=1),SUMIF(C2:C1334,C268,AS2:AS1334),IF(AND(AT268=1,M268="F",SUMIF(C2:C1334,C268,AS2:AS1334)&gt;1),1,"")))</f>
        <v/>
      </c>
      <c r="AV268" s="387" t="str">
        <f>IF(AT268=0,"",IF(AND(AT268=3,M268="F",SUMIF(C2:C1334,C268,AS2:AS1334)&lt;=1),SUMIF(C2:C1334,C268,AS2:AS1334),IF(AND(AT268=3,M268="F",SUMIF(C2:C1334,C268,AS2:AS1334)&gt;1),1,"")))</f>
        <v/>
      </c>
      <c r="AW268" s="387">
        <f>SUMIF(C2:C1334,C268,O2:O1334)</f>
        <v>2</v>
      </c>
      <c r="AX268" s="387">
        <f>IF(AND(M268="F",AS268&lt;&gt;0),SUMIF(C2:C1334,C268,W2:W1334),0)</f>
        <v>0</v>
      </c>
      <c r="AY268" s="387" t="str">
        <f t="shared" si="205"/>
        <v/>
      </c>
      <c r="AZ268" s="387" t="str">
        <f t="shared" si="206"/>
        <v/>
      </c>
      <c r="BA268" s="387">
        <f t="shared" si="207"/>
        <v>0</v>
      </c>
      <c r="BB268" s="387">
        <f t="shared" si="176"/>
        <v>0</v>
      </c>
      <c r="BC268" s="387">
        <f t="shared" si="177"/>
        <v>0</v>
      </c>
      <c r="BD268" s="387">
        <f t="shared" si="178"/>
        <v>0</v>
      </c>
      <c r="BE268" s="387">
        <f t="shared" si="179"/>
        <v>0</v>
      </c>
      <c r="BF268" s="387">
        <f t="shared" si="180"/>
        <v>0</v>
      </c>
      <c r="BG268" s="387">
        <f t="shared" si="181"/>
        <v>0</v>
      </c>
      <c r="BH268" s="387">
        <f t="shared" si="182"/>
        <v>0</v>
      </c>
      <c r="BI268" s="387">
        <f t="shared" si="183"/>
        <v>0</v>
      </c>
      <c r="BJ268" s="387">
        <f t="shared" si="184"/>
        <v>0</v>
      </c>
      <c r="BK268" s="387">
        <f t="shared" si="185"/>
        <v>0</v>
      </c>
      <c r="BL268" s="387">
        <f t="shared" si="208"/>
        <v>0</v>
      </c>
      <c r="BM268" s="387">
        <f t="shared" si="209"/>
        <v>0</v>
      </c>
      <c r="BN268" s="387">
        <f t="shared" si="186"/>
        <v>0</v>
      </c>
      <c r="BO268" s="387">
        <f t="shared" si="187"/>
        <v>0</v>
      </c>
      <c r="BP268" s="387">
        <f t="shared" si="188"/>
        <v>0</v>
      </c>
      <c r="BQ268" s="387">
        <f t="shared" si="189"/>
        <v>0</v>
      </c>
      <c r="BR268" s="387">
        <f t="shared" si="190"/>
        <v>0</v>
      </c>
      <c r="BS268" s="387">
        <f t="shared" si="191"/>
        <v>0</v>
      </c>
      <c r="BT268" s="387">
        <f t="shared" si="192"/>
        <v>0</v>
      </c>
      <c r="BU268" s="387">
        <f t="shared" si="193"/>
        <v>0</v>
      </c>
      <c r="BV268" s="387">
        <f t="shared" si="194"/>
        <v>0</v>
      </c>
      <c r="BW268" s="387">
        <f t="shared" si="195"/>
        <v>0</v>
      </c>
      <c r="BX268" s="387">
        <f t="shared" si="210"/>
        <v>0</v>
      </c>
      <c r="BY268" s="387">
        <f t="shared" si="211"/>
        <v>0</v>
      </c>
      <c r="BZ268" s="387">
        <f t="shared" si="212"/>
        <v>0</v>
      </c>
      <c r="CA268" s="387">
        <f t="shared" si="213"/>
        <v>0</v>
      </c>
      <c r="CB268" s="387">
        <f t="shared" si="214"/>
        <v>0</v>
      </c>
      <c r="CC268" s="387">
        <f t="shared" si="196"/>
        <v>0</v>
      </c>
      <c r="CD268" s="387">
        <f t="shared" si="197"/>
        <v>0</v>
      </c>
      <c r="CE268" s="387">
        <f t="shared" si="198"/>
        <v>0</v>
      </c>
      <c r="CF268" s="387">
        <f t="shared" si="199"/>
        <v>0</v>
      </c>
      <c r="CG268" s="387">
        <f t="shared" si="200"/>
        <v>0</v>
      </c>
      <c r="CH268" s="387">
        <f t="shared" si="201"/>
        <v>0</v>
      </c>
      <c r="CI268" s="387">
        <f t="shared" si="202"/>
        <v>0</v>
      </c>
      <c r="CJ268" s="387">
        <f t="shared" si="215"/>
        <v>0</v>
      </c>
      <c r="CK268" s="387" t="str">
        <f t="shared" si="216"/>
        <v/>
      </c>
      <c r="CL268" s="387" t="str">
        <f t="shared" si="217"/>
        <v/>
      </c>
      <c r="CM268" s="387" t="str">
        <f t="shared" si="218"/>
        <v/>
      </c>
      <c r="CN268" s="387" t="str">
        <f t="shared" si="219"/>
        <v>0348-31</v>
      </c>
    </row>
    <row r="269" spans="1:92" ht="15.75" thickBot="1" x14ac:dyDescent="0.3">
      <c r="A269" s="376" t="s">
        <v>161</v>
      </c>
      <c r="B269" s="376" t="s">
        <v>162</v>
      </c>
      <c r="C269" s="376" t="s">
        <v>1021</v>
      </c>
      <c r="D269" s="376" t="s">
        <v>992</v>
      </c>
      <c r="E269" s="376" t="s">
        <v>224</v>
      </c>
      <c r="F269" s="382" t="s">
        <v>225</v>
      </c>
      <c r="G269" s="376" t="s">
        <v>781</v>
      </c>
      <c r="H269" s="378"/>
      <c r="I269" s="378"/>
      <c r="J269" s="376" t="s">
        <v>215</v>
      </c>
      <c r="K269" s="376" t="s">
        <v>993</v>
      </c>
      <c r="L269" s="376" t="s">
        <v>210</v>
      </c>
      <c r="M269" s="376" t="s">
        <v>171</v>
      </c>
      <c r="N269" s="376" t="s">
        <v>172</v>
      </c>
      <c r="O269" s="379">
        <v>1</v>
      </c>
      <c r="P269" s="385">
        <v>0</v>
      </c>
      <c r="Q269" s="385">
        <v>0</v>
      </c>
      <c r="R269" s="380">
        <v>80</v>
      </c>
      <c r="S269" s="385">
        <v>0</v>
      </c>
      <c r="T269" s="380">
        <v>71804.81</v>
      </c>
      <c r="U269" s="380">
        <v>0</v>
      </c>
      <c r="V269" s="380">
        <v>26353.64</v>
      </c>
      <c r="W269" s="380">
        <v>0</v>
      </c>
      <c r="X269" s="380">
        <v>0</v>
      </c>
      <c r="Y269" s="380">
        <v>0</v>
      </c>
      <c r="Z269" s="380">
        <v>0</v>
      </c>
      <c r="AA269" s="376" t="s">
        <v>1022</v>
      </c>
      <c r="AB269" s="376" t="s">
        <v>1023</v>
      </c>
      <c r="AC269" s="376" t="s">
        <v>1024</v>
      </c>
      <c r="AD269" s="376" t="s">
        <v>210</v>
      </c>
      <c r="AE269" s="376" t="s">
        <v>993</v>
      </c>
      <c r="AF269" s="376" t="s">
        <v>245</v>
      </c>
      <c r="AG269" s="376" t="s">
        <v>178</v>
      </c>
      <c r="AH269" s="381">
        <v>35.869999999999997</v>
      </c>
      <c r="AI269" s="381">
        <v>27208.7</v>
      </c>
      <c r="AJ269" s="376" t="s">
        <v>179</v>
      </c>
      <c r="AK269" s="376" t="s">
        <v>180</v>
      </c>
      <c r="AL269" s="376" t="s">
        <v>181</v>
      </c>
      <c r="AM269" s="376" t="s">
        <v>182</v>
      </c>
      <c r="AN269" s="376" t="s">
        <v>68</v>
      </c>
      <c r="AO269" s="379">
        <v>80</v>
      </c>
      <c r="AP269" s="385">
        <v>1</v>
      </c>
      <c r="AQ269" s="385">
        <v>0</v>
      </c>
      <c r="AR269" s="383" t="s">
        <v>183</v>
      </c>
      <c r="AS269" s="387">
        <f t="shared" si="203"/>
        <v>0</v>
      </c>
      <c r="AT269">
        <f t="shared" si="204"/>
        <v>0</v>
      </c>
      <c r="AU269" s="387" t="str">
        <f>IF(AT269=0,"",IF(AND(AT269=1,M269="F",SUMIF(C2:C1334,C269,AS2:AS1334)&lt;=1),SUMIF(C2:C1334,C269,AS2:AS1334),IF(AND(AT269=1,M269="F",SUMIF(C2:C1334,C269,AS2:AS1334)&gt;1),1,"")))</f>
        <v/>
      </c>
      <c r="AV269" s="387" t="str">
        <f>IF(AT269=0,"",IF(AND(AT269=3,M269="F",SUMIF(C2:C1334,C269,AS2:AS1334)&lt;=1),SUMIF(C2:C1334,C269,AS2:AS1334),IF(AND(AT269=3,M269="F",SUMIF(C2:C1334,C269,AS2:AS1334)&gt;1),1,"")))</f>
        <v/>
      </c>
      <c r="AW269" s="387">
        <f>SUMIF(C2:C1334,C269,O2:O1334)</f>
        <v>2</v>
      </c>
      <c r="AX269" s="387">
        <f>IF(AND(M269="F",AS269&lt;&gt;0),SUMIF(C2:C1334,C269,W2:W1334),0)</f>
        <v>0</v>
      </c>
      <c r="AY269" s="387" t="str">
        <f t="shared" si="205"/>
        <v/>
      </c>
      <c r="AZ269" s="387" t="str">
        <f t="shared" si="206"/>
        <v/>
      </c>
      <c r="BA269" s="387">
        <f t="shared" si="207"/>
        <v>0</v>
      </c>
      <c r="BB269" s="387">
        <f t="shared" si="176"/>
        <v>0</v>
      </c>
      <c r="BC269" s="387">
        <f t="shared" si="177"/>
        <v>0</v>
      </c>
      <c r="BD269" s="387">
        <f t="shared" si="178"/>
        <v>0</v>
      </c>
      <c r="BE269" s="387">
        <f t="shared" si="179"/>
        <v>0</v>
      </c>
      <c r="BF269" s="387">
        <f t="shared" si="180"/>
        <v>0</v>
      </c>
      <c r="BG269" s="387">
        <f t="shared" si="181"/>
        <v>0</v>
      </c>
      <c r="BH269" s="387">
        <f t="shared" si="182"/>
        <v>0</v>
      </c>
      <c r="BI269" s="387">
        <f t="shared" si="183"/>
        <v>0</v>
      </c>
      <c r="BJ269" s="387">
        <f t="shared" si="184"/>
        <v>0</v>
      </c>
      <c r="BK269" s="387">
        <f t="shared" si="185"/>
        <v>0</v>
      </c>
      <c r="BL269" s="387">
        <f t="shared" si="208"/>
        <v>0</v>
      </c>
      <c r="BM269" s="387">
        <f t="shared" si="209"/>
        <v>0</v>
      </c>
      <c r="BN269" s="387">
        <f t="shared" si="186"/>
        <v>0</v>
      </c>
      <c r="BO269" s="387">
        <f t="shared" si="187"/>
        <v>0</v>
      </c>
      <c r="BP269" s="387">
        <f t="shared" si="188"/>
        <v>0</v>
      </c>
      <c r="BQ269" s="387">
        <f t="shared" si="189"/>
        <v>0</v>
      </c>
      <c r="BR269" s="387">
        <f t="shared" si="190"/>
        <v>0</v>
      </c>
      <c r="BS269" s="387">
        <f t="shared" si="191"/>
        <v>0</v>
      </c>
      <c r="BT269" s="387">
        <f t="shared" si="192"/>
        <v>0</v>
      </c>
      <c r="BU269" s="387">
        <f t="shared" si="193"/>
        <v>0</v>
      </c>
      <c r="BV269" s="387">
        <f t="shared" si="194"/>
        <v>0</v>
      </c>
      <c r="BW269" s="387">
        <f t="shared" si="195"/>
        <v>0</v>
      </c>
      <c r="BX269" s="387">
        <f t="shared" si="210"/>
        <v>0</v>
      </c>
      <c r="BY269" s="387">
        <f t="shared" si="211"/>
        <v>0</v>
      </c>
      <c r="BZ269" s="387">
        <f t="shared" si="212"/>
        <v>0</v>
      </c>
      <c r="CA269" s="387">
        <f t="shared" si="213"/>
        <v>0</v>
      </c>
      <c r="CB269" s="387">
        <f t="shared" si="214"/>
        <v>0</v>
      </c>
      <c r="CC269" s="387">
        <f t="shared" si="196"/>
        <v>0</v>
      </c>
      <c r="CD269" s="387">
        <f t="shared" si="197"/>
        <v>0</v>
      </c>
      <c r="CE269" s="387">
        <f t="shared" si="198"/>
        <v>0</v>
      </c>
      <c r="CF269" s="387">
        <f t="shared" si="199"/>
        <v>0</v>
      </c>
      <c r="CG269" s="387">
        <f t="shared" si="200"/>
        <v>0</v>
      </c>
      <c r="CH269" s="387">
        <f t="shared" si="201"/>
        <v>0</v>
      </c>
      <c r="CI269" s="387">
        <f t="shared" si="202"/>
        <v>0</v>
      </c>
      <c r="CJ269" s="387">
        <f t="shared" si="215"/>
        <v>0</v>
      </c>
      <c r="CK269" s="387" t="str">
        <f t="shared" si="216"/>
        <v/>
      </c>
      <c r="CL269" s="387" t="str">
        <f t="shared" si="217"/>
        <v/>
      </c>
      <c r="CM269" s="387" t="str">
        <f t="shared" si="218"/>
        <v/>
      </c>
      <c r="CN269" s="387" t="str">
        <f t="shared" si="219"/>
        <v>0348-31</v>
      </c>
    </row>
    <row r="270" spans="1:92" ht="15.75" thickBot="1" x14ac:dyDescent="0.3">
      <c r="A270" s="376" t="s">
        <v>161</v>
      </c>
      <c r="B270" s="376" t="s">
        <v>162</v>
      </c>
      <c r="C270" s="376" t="s">
        <v>1025</v>
      </c>
      <c r="D270" s="376" t="s">
        <v>862</v>
      </c>
      <c r="E270" s="376" t="s">
        <v>224</v>
      </c>
      <c r="F270" s="382" t="s">
        <v>225</v>
      </c>
      <c r="G270" s="376" t="s">
        <v>781</v>
      </c>
      <c r="H270" s="378"/>
      <c r="I270" s="378"/>
      <c r="J270" s="376" t="s">
        <v>215</v>
      </c>
      <c r="K270" s="376" t="s">
        <v>863</v>
      </c>
      <c r="L270" s="376" t="s">
        <v>252</v>
      </c>
      <c r="M270" s="376" t="s">
        <v>171</v>
      </c>
      <c r="N270" s="376" t="s">
        <v>172</v>
      </c>
      <c r="O270" s="379">
        <v>1</v>
      </c>
      <c r="P270" s="385">
        <v>1</v>
      </c>
      <c r="Q270" s="385">
        <v>1</v>
      </c>
      <c r="R270" s="380">
        <v>80</v>
      </c>
      <c r="S270" s="385">
        <v>1</v>
      </c>
      <c r="T270" s="380">
        <v>36426.400000000001</v>
      </c>
      <c r="U270" s="380">
        <v>0</v>
      </c>
      <c r="V270" s="380">
        <v>19370.47</v>
      </c>
      <c r="W270" s="380">
        <v>39020.800000000003</v>
      </c>
      <c r="X270" s="380">
        <v>20088.21</v>
      </c>
      <c r="Y270" s="380">
        <v>39020.800000000003</v>
      </c>
      <c r="Z270" s="380">
        <v>19924.330000000002</v>
      </c>
      <c r="AA270" s="376" t="s">
        <v>1026</v>
      </c>
      <c r="AB270" s="376" t="s">
        <v>1027</v>
      </c>
      <c r="AC270" s="376" t="s">
        <v>1028</v>
      </c>
      <c r="AD270" s="376" t="s">
        <v>252</v>
      </c>
      <c r="AE270" s="376" t="s">
        <v>863</v>
      </c>
      <c r="AF270" s="376" t="s">
        <v>393</v>
      </c>
      <c r="AG270" s="376" t="s">
        <v>178</v>
      </c>
      <c r="AH270" s="381">
        <v>18.760000000000002</v>
      </c>
      <c r="AI270" s="381">
        <v>3287.5</v>
      </c>
      <c r="AJ270" s="376" t="s">
        <v>179</v>
      </c>
      <c r="AK270" s="376" t="s">
        <v>180</v>
      </c>
      <c r="AL270" s="376" t="s">
        <v>181</v>
      </c>
      <c r="AM270" s="376" t="s">
        <v>182</v>
      </c>
      <c r="AN270" s="376" t="s">
        <v>68</v>
      </c>
      <c r="AO270" s="379">
        <v>80</v>
      </c>
      <c r="AP270" s="385">
        <v>1</v>
      </c>
      <c r="AQ270" s="385">
        <v>1</v>
      </c>
      <c r="AR270" s="383" t="s">
        <v>183</v>
      </c>
      <c r="AS270" s="387">
        <f t="shared" si="203"/>
        <v>1</v>
      </c>
      <c r="AT270">
        <f t="shared" si="204"/>
        <v>1</v>
      </c>
      <c r="AU270" s="387">
        <f>IF(AT270=0,"",IF(AND(AT270=1,M270="F",SUMIF(C2:C1334,C270,AS2:AS1334)&lt;=1),SUMIF(C2:C1334,C270,AS2:AS1334),IF(AND(AT270=1,M270="F",SUMIF(C2:C1334,C270,AS2:AS1334)&gt;1),1,"")))</f>
        <v>1</v>
      </c>
      <c r="AV270" s="387" t="str">
        <f>IF(AT270=0,"",IF(AND(AT270=3,M270="F",SUMIF(C2:C1334,C270,AS2:AS1334)&lt;=1),SUMIF(C2:C1334,C270,AS2:AS1334),IF(AND(AT270=3,M270="F",SUMIF(C2:C1334,C270,AS2:AS1334)&gt;1),1,"")))</f>
        <v/>
      </c>
      <c r="AW270" s="387">
        <f>SUMIF(C2:C1334,C270,O2:O1334)</f>
        <v>1</v>
      </c>
      <c r="AX270" s="387">
        <f>IF(AND(M270="F",AS270&lt;&gt;0),SUMIF(C2:C1334,C270,W2:W1334),0)</f>
        <v>39020.800000000003</v>
      </c>
      <c r="AY270" s="387">
        <f t="shared" si="205"/>
        <v>39020.800000000003</v>
      </c>
      <c r="AZ270" s="387" t="str">
        <f t="shared" si="206"/>
        <v/>
      </c>
      <c r="BA270" s="387">
        <f t="shared" si="207"/>
        <v>0</v>
      </c>
      <c r="BB270" s="387">
        <f t="shared" si="176"/>
        <v>11650</v>
      </c>
      <c r="BC270" s="387">
        <f t="shared" si="177"/>
        <v>0</v>
      </c>
      <c r="BD270" s="387">
        <f t="shared" si="178"/>
        <v>2419.2896000000001</v>
      </c>
      <c r="BE270" s="387">
        <f t="shared" si="179"/>
        <v>565.80160000000012</v>
      </c>
      <c r="BF270" s="387">
        <f t="shared" si="180"/>
        <v>4659.0835200000001</v>
      </c>
      <c r="BG270" s="387">
        <f t="shared" si="181"/>
        <v>281.33996800000006</v>
      </c>
      <c r="BH270" s="387">
        <f t="shared" si="182"/>
        <v>191.20192</v>
      </c>
      <c r="BI270" s="387">
        <f t="shared" si="183"/>
        <v>215.98012800000001</v>
      </c>
      <c r="BJ270" s="387">
        <f t="shared" si="184"/>
        <v>105.35616000000002</v>
      </c>
      <c r="BK270" s="387">
        <f t="shared" si="185"/>
        <v>0</v>
      </c>
      <c r="BL270" s="387">
        <f t="shared" si="208"/>
        <v>8438.0528960000011</v>
      </c>
      <c r="BM270" s="387">
        <f t="shared" si="209"/>
        <v>0</v>
      </c>
      <c r="BN270" s="387">
        <f t="shared" si="186"/>
        <v>11650</v>
      </c>
      <c r="BO270" s="387">
        <f t="shared" si="187"/>
        <v>0</v>
      </c>
      <c r="BP270" s="387">
        <f t="shared" si="188"/>
        <v>2419.2896000000001</v>
      </c>
      <c r="BQ270" s="387">
        <f t="shared" si="189"/>
        <v>565.80160000000012</v>
      </c>
      <c r="BR270" s="387">
        <f t="shared" si="190"/>
        <v>4659.0835200000001</v>
      </c>
      <c r="BS270" s="387">
        <f t="shared" si="191"/>
        <v>281.33996800000006</v>
      </c>
      <c r="BT270" s="387">
        <f t="shared" si="192"/>
        <v>0</v>
      </c>
      <c r="BU270" s="387">
        <f t="shared" si="193"/>
        <v>215.98012800000001</v>
      </c>
      <c r="BV270" s="387">
        <f t="shared" si="194"/>
        <v>132.67071999999999</v>
      </c>
      <c r="BW270" s="387">
        <f t="shared" si="195"/>
        <v>0</v>
      </c>
      <c r="BX270" s="387">
        <f t="shared" si="210"/>
        <v>8274.1655360000004</v>
      </c>
      <c r="BY270" s="387">
        <f t="shared" si="211"/>
        <v>0</v>
      </c>
      <c r="BZ270" s="387">
        <f t="shared" si="212"/>
        <v>0</v>
      </c>
      <c r="CA270" s="387">
        <f t="shared" si="213"/>
        <v>0</v>
      </c>
      <c r="CB270" s="387">
        <f t="shared" si="214"/>
        <v>0</v>
      </c>
      <c r="CC270" s="387">
        <f t="shared" si="196"/>
        <v>0</v>
      </c>
      <c r="CD270" s="387">
        <f t="shared" si="197"/>
        <v>0</v>
      </c>
      <c r="CE270" s="387">
        <f t="shared" si="198"/>
        <v>0</v>
      </c>
      <c r="CF270" s="387">
        <f t="shared" si="199"/>
        <v>-191.20192</v>
      </c>
      <c r="CG270" s="387">
        <f t="shared" si="200"/>
        <v>0</v>
      </c>
      <c r="CH270" s="387">
        <f t="shared" si="201"/>
        <v>27.31455999999999</v>
      </c>
      <c r="CI270" s="387">
        <f t="shared" si="202"/>
        <v>0</v>
      </c>
      <c r="CJ270" s="387">
        <f t="shared" si="215"/>
        <v>-163.88736</v>
      </c>
      <c r="CK270" s="387" t="str">
        <f t="shared" si="216"/>
        <v/>
      </c>
      <c r="CL270" s="387" t="str">
        <f t="shared" si="217"/>
        <v/>
      </c>
      <c r="CM270" s="387" t="str">
        <f t="shared" si="218"/>
        <v/>
      </c>
      <c r="CN270" s="387" t="str">
        <f t="shared" si="219"/>
        <v>0348-31</v>
      </c>
    </row>
    <row r="271" spans="1:92" ht="15.75" thickBot="1" x14ac:dyDescent="0.3">
      <c r="A271" s="376" t="s">
        <v>161</v>
      </c>
      <c r="B271" s="376" t="s">
        <v>162</v>
      </c>
      <c r="C271" s="376" t="s">
        <v>514</v>
      </c>
      <c r="D271" s="376" t="s">
        <v>497</v>
      </c>
      <c r="E271" s="376" t="s">
        <v>224</v>
      </c>
      <c r="F271" s="382" t="s">
        <v>225</v>
      </c>
      <c r="G271" s="376" t="s">
        <v>781</v>
      </c>
      <c r="H271" s="378"/>
      <c r="I271" s="378"/>
      <c r="J271" s="376" t="s">
        <v>215</v>
      </c>
      <c r="K271" s="376" t="s">
        <v>515</v>
      </c>
      <c r="L271" s="376" t="s">
        <v>181</v>
      </c>
      <c r="M271" s="376" t="s">
        <v>171</v>
      </c>
      <c r="N271" s="376" t="s">
        <v>172</v>
      </c>
      <c r="O271" s="379">
        <v>1</v>
      </c>
      <c r="P271" s="385">
        <v>0</v>
      </c>
      <c r="Q271" s="385">
        <v>0</v>
      </c>
      <c r="R271" s="380">
        <v>80</v>
      </c>
      <c r="S271" s="385">
        <v>0</v>
      </c>
      <c r="T271" s="380">
        <v>54002.41</v>
      </c>
      <c r="U271" s="380">
        <v>0</v>
      </c>
      <c r="V271" s="380">
        <v>19991.53</v>
      </c>
      <c r="W271" s="380">
        <v>0</v>
      </c>
      <c r="X271" s="380">
        <v>0</v>
      </c>
      <c r="Y271" s="380">
        <v>0</v>
      </c>
      <c r="Z271" s="380">
        <v>0</v>
      </c>
      <c r="AA271" s="376" t="s">
        <v>516</v>
      </c>
      <c r="AB271" s="376" t="s">
        <v>517</v>
      </c>
      <c r="AC271" s="376" t="s">
        <v>518</v>
      </c>
      <c r="AD271" s="376" t="s">
        <v>324</v>
      </c>
      <c r="AE271" s="376" t="s">
        <v>515</v>
      </c>
      <c r="AF271" s="376" t="s">
        <v>211</v>
      </c>
      <c r="AG271" s="376" t="s">
        <v>178</v>
      </c>
      <c r="AH271" s="381">
        <v>37.53</v>
      </c>
      <c r="AI271" s="381">
        <v>15471.1</v>
      </c>
      <c r="AJ271" s="376" t="s">
        <v>179</v>
      </c>
      <c r="AK271" s="376" t="s">
        <v>180</v>
      </c>
      <c r="AL271" s="376" t="s">
        <v>181</v>
      </c>
      <c r="AM271" s="376" t="s">
        <v>182</v>
      </c>
      <c r="AN271" s="376" t="s">
        <v>68</v>
      </c>
      <c r="AO271" s="379">
        <v>80</v>
      </c>
      <c r="AP271" s="385">
        <v>1</v>
      </c>
      <c r="AQ271" s="385">
        <v>0</v>
      </c>
      <c r="AR271" s="383" t="s">
        <v>183</v>
      </c>
      <c r="AS271" s="387">
        <f t="shared" si="203"/>
        <v>0</v>
      </c>
      <c r="AT271">
        <f t="shared" si="204"/>
        <v>0</v>
      </c>
      <c r="AU271" s="387" t="str">
        <f>IF(AT271=0,"",IF(AND(AT271=1,M271="F",SUMIF(C2:C1334,C271,AS2:AS1334)&lt;=1),SUMIF(C2:C1334,C271,AS2:AS1334),IF(AND(AT271=1,M271="F",SUMIF(C2:C1334,C271,AS2:AS1334)&gt;1),1,"")))</f>
        <v/>
      </c>
      <c r="AV271" s="387" t="str">
        <f>IF(AT271=0,"",IF(AND(AT271=3,M271="F",SUMIF(C2:C1334,C271,AS2:AS1334)&lt;=1),SUMIF(C2:C1334,C271,AS2:AS1334),IF(AND(AT271=3,M271="F",SUMIF(C2:C1334,C271,AS2:AS1334)&gt;1),1,"")))</f>
        <v/>
      </c>
      <c r="AW271" s="387">
        <f>SUMIF(C2:C1334,C271,O2:O1334)</f>
        <v>2</v>
      </c>
      <c r="AX271" s="387">
        <f>IF(AND(M271="F",AS271&lt;&gt;0),SUMIF(C2:C1334,C271,W2:W1334),0)</f>
        <v>0</v>
      </c>
      <c r="AY271" s="387" t="str">
        <f t="shared" si="205"/>
        <v/>
      </c>
      <c r="AZ271" s="387" t="str">
        <f t="shared" si="206"/>
        <v/>
      </c>
      <c r="BA271" s="387">
        <f t="shared" si="207"/>
        <v>0</v>
      </c>
      <c r="BB271" s="387">
        <f t="shared" si="176"/>
        <v>0</v>
      </c>
      <c r="BC271" s="387">
        <f t="shared" si="177"/>
        <v>0</v>
      </c>
      <c r="BD271" s="387">
        <f t="shared" si="178"/>
        <v>0</v>
      </c>
      <c r="BE271" s="387">
        <f t="shared" si="179"/>
        <v>0</v>
      </c>
      <c r="BF271" s="387">
        <f t="shared" si="180"/>
        <v>0</v>
      </c>
      <c r="BG271" s="387">
        <f t="shared" si="181"/>
        <v>0</v>
      </c>
      <c r="BH271" s="387">
        <f t="shared" si="182"/>
        <v>0</v>
      </c>
      <c r="BI271" s="387">
        <f t="shared" si="183"/>
        <v>0</v>
      </c>
      <c r="BJ271" s="387">
        <f t="shared" si="184"/>
        <v>0</v>
      </c>
      <c r="BK271" s="387">
        <f t="shared" si="185"/>
        <v>0</v>
      </c>
      <c r="BL271" s="387">
        <f t="shared" si="208"/>
        <v>0</v>
      </c>
      <c r="BM271" s="387">
        <f t="shared" si="209"/>
        <v>0</v>
      </c>
      <c r="BN271" s="387">
        <f t="shared" si="186"/>
        <v>0</v>
      </c>
      <c r="BO271" s="387">
        <f t="shared" si="187"/>
        <v>0</v>
      </c>
      <c r="BP271" s="387">
        <f t="shared" si="188"/>
        <v>0</v>
      </c>
      <c r="BQ271" s="387">
        <f t="shared" si="189"/>
        <v>0</v>
      </c>
      <c r="BR271" s="387">
        <f t="shared" si="190"/>
        <v>0</v>
      </c>
      <c r="BS271" s="387">
        <f t="shared" si="191"/>
        <v>0</v>
      </c>
      <c r="BT271" s="387">
        <f t="shared" si="192"/>
        <v>0</v>
      </c>
      <c r="BU271" s="387">
        <f t="shared" si="193"/>
        <v>0</v>
      </c>
      <c r="BV271" s="387">
        <f t="shared" si="194"/>
        <v>0</v>
      </c>
      <c r="BW271" s="387">
        <f t="shared" si="195"/>
        <v>0</v>
      </c>
      <c r="BX271" s="387">
        <f t="shared" si="210"/>
        <v>0</v>
      </c>
      <c r="BY271" s="387">
        <f t="shared" si="211"/>
        <v>0</v>
      </c>
      <c r="BZ271" s="387">
        <f t="shared" si="212"/>
        <v>0</v>
      </c>
      <c r="CA271" s="387">
        <f t="shared" si="213"/>
        <v>0</v>
      </c>
      <c r="CB271" s="387">
        <f t="shared" si="214"/>
        <v>0</v>
      </c>
      <c r="CC271" s="387">
        <f t="shared" si="196"/>
        <v>0</v>
      </c>
      <c r="CD271" s="387">
        <f t="shared" si="197"/>
        <v>0</v>
      </c>
      <c r="CE271" s="387">
        <f t="shared" si="198"/>
        <v>0</v>
      </c>
      <c r="CF271" s="387">
        <f t="shared" si="199"/>
        <v>0</v>
      </c>
      <c r="CG271" s="387">
        <f t="shared" si="200"/>
        <v>0</v>
      </c>
      <c r="CH271" s="387">
        <f t="shared" si="201"/>
        <v>0</v>
      </c>
      <c r="CI271" s="387">
        <f t="shared" si="202"/>
        <v>0</v>
      </c>
      <c r="CJ271" s="387">
        <f t="shared" si="215"/>
        <v>0</v>
      </c>
      <c r="CK271" s="387" t="str">
        <f t="shared" si="216"/>
        <v/>
      </c>
      <c r="CL271" s="387" t="str">
        <f t="shared" si="217"/>
        <v/>
      </c>
      <c r="CM271" s="387" t="str">
        <f t="shared" si="218"/>
        <v/>
      </c>
      <c r="CN271" s="387" t="str">
        <f t="shared" si="219"/>
        <v>0348-31</v>
      </c>
    </row>
    <row r="272" spans="1:92" ht="15.75" thickBot="1" x14ac:dyDescent="0.3">
      <c r="A272" s="376" t="s">
        <v>161</v>
      </c>
      <c r="B272" s="376" t="s">
        <v>162</v>
      </c>
      <c r="C272" s="376" t="s">
        <v>1029</v>
      </c>
      <c r="D272" s="376" t="s">
        <v>868</v>
      </c>
      <c r="E272" s="376" t="s">
        <v>224</v>
      </c>
      <c r="F272" s="382" t="s">
        <v>225</v>
      </c>
      <c r="G272" s="376" t="s">
        <v>781</v>
      </c>
      <c r="H272" s="378"/>
      <c r="I272" s="378"/>
      <c r="J272" s="376" t="s">
        <v>215</v>
      </c>
      <c r="K272" s="376" t="s">
        <v>869</v>
      </c>
      <c r="L272" s="376" t="s">
        <v>296</v>
      </c>
      <c r="M272" s="376" t="s">
        <v>171</v>
      </c>
      <c r="N272" s="376" t="s">
        <v>172</v>
      </c>
      <c r="O272" s="379">
        <v>1</v>
      </c>
      <c r="P272" s="385">
        <v>0</v>
      </c>
      <c r="Q272" s="385">
        <v>0</v>
      </c>
      <c r="R272" s="380">
        <v>80</v>
      </c>
      <c r="S272" s="385">
        <v>0</v>
      </c>
      <c r="T272" s="380">
        <v>49468.800000000003</v>
      </c>
      <c r="U272" s="380">
        <v>0</v>
      </c>
      <c r="V272" s="380">
        <v>21989.56</v>
      </c>
      <c r="W272" s="380">
        <v>0</v>
      </c>
      <c r="X272" s="380">
        <v>0</v>
      </c>
      <c r="Y272" s="380">
        <v>0</v>
      </c>
      <c r="Z272" s="380">
        <v>0</v>
      </c>
      <c r="AA272" s="376" t="s">
        <v>1030</v>
      </c>
      <c r="AB272" s="376" t="s">
        <v>1031</v>
      </c>
      <c r="AC272" s="376" t="s">
        <v>1032</v>
      </c>
      <c r="AD272" s="376" t="s">
        <v>820</v>
      </c>
      <c r="AE272" s="376" t="s">
        <v>869</v>
      </c>
      <c r="AF272" s="376" t="s">
        <v>301</v>
      </c>
      <c r="AG272" s="376" t="s">
        <v>178</v>
      </c>
      <c r="AH272" s="381">
        <v>24.88</v>
      </c>
      <c r="AI272" s="381">
        <v>11711.5</v>
      </c>
      <c r="AJ272" s="376" t="s">
        <v>179</v>
      </c>
      <c r="AK272" s="376" t="s">
        <v>180</v>
      </c>
      <c r="AL272" s="376" t="s">
        <v>181</v>
      </c>
      <c r="AM272" s="376" t="s">
        <v>182</v>
      </c>
      <c r="AN272" s="376" t="s">
        <v>68</v>
      </c>
      <c r="AO272" s="379">
        <v>80</v>
      </c>
      <c r="AP272" s="385">
        <v>1</v>
      </c>
      <c r="AQ272" s="385">
        <v>0</v>
      </c>
      <c r="AR272" s="383" t="s">
        <v>183</v>
      </c>
      <c r="AS272" s="387">
        <f t="shared" si="203"/>
        <v>0</v>
      </c>
      <c r="AT272">
        <f t="shared" si="204"/>
        <v>0</v>
      </c>
      <c r="AU272" s="387" t="str">
        <f>IF(AT272=0,"",IF(AND(AT272=1,M272="F",SUMIF(C2:C1334,C272,AS2:AS1334)&lt;=1),SUMIF(C2:C1334,C272,AS2:AS1334),IF(AND(AT272=1,M272="F",SUMIF(C2:C1334,C272,AS2:AS1334)&gt;1),1,"")))</f>
        <v/>
      </c>
      <c r="AV272" s="387" t="str">
        <f>IF(AT272=0,"",IF(AND(AT272=3,M272="F",SUMIF(C2:C1334,C272,AS2:AS1334)&lt;=1),SUMIF(C2:C1334,C272,AS2:AS1334),IF(AND(AT272=3,M272="F",SUMIF(C2:C1334,C272,AS2:AS1334)&gt;1),1,"")))</f>
        <v/>
      </c>
      <c r="AW272" s="387">
        <f>SUMIF(C2:C1334,C272,O2:O1334)</f>
        <v>2</v>
      </c>
      <c r="AX272" s="387">
        <f>IF(AND(M272="F",AS272&lt;&gt;0),SUMIF(C2:C1334,C272,W2:W1334),0)</f>
        <v>0</v>
      </c>
      <c r="AY272" s="387" t="str">
        <f t="shared" si="205"/>
        <v/>
      </c>
      <c r="AZ272" s="387" t="str">
        <f t="shared" si="206"/>
        <v/>
      </c>
      <c r="BA272" s="387">
        <f t="shared" si="207"/>
        <v>0</v>
      </c>
      <c r="BB272" s="387">
        <f t="shared" si="176"/>
        <v>0</v>
      </c>
      <c r="BC272" s="387">
        <f t="shared" si="177"/>
        <v>0</v>
      </c>
      <c r="BD272" s="387">
        <f t="shared" si="178"/>
        <v>0</v>
      </c>
      <c r="BE272" s="387">
        <f t="shared" si="179"/>
        <v>0</v>
      </c>
      <c r="BF272" s="387">
        <f t="shared" si="180"/>
        <v>0</v>
      </c>
      <c r="BG272" s="387">
        <f t="shared" si="181"/>
        <v>0</v>
      </c>
      <c r="BH272" s="387">
        <f t="shared" si="182"/>
        <v>0</v>
      </c>
      <c r="BI272" s="387">
        <f t="shared" si="183"/>
        <v>0</v>
      </c>
      <c r="BJ272" s="387">
        <f t="shared" si="184"/>
        <v>0</v>
      </c>
      <c r="BK272" s="387">
        <f t="shared" si="185"/>
        <v>0</v>
      </c>
      <c r="BL272" s="387">
        <f t="shared" si="208"/>
        <v>0</v>
      </c>
      <c r="BM272" s="387">
        <f t="shared" si="209"/>
        <v>0</v>
      </c>
      <c r="BN272" s="387">
        <f t="shared" si="186"/>
        <v>0</v>
      </c>
      <c r="BO272" s="387">
        <f t="shared" si="187"/>
        <v>0</v>
      </c>
      <c r="BP272" s="387">
        <f t="shared" si="188"/>
        <v>0</v>
      </c>
      <c r="BQ272" s="387">
        <f t="shared" si="189"/>
        <v>0</v>
      </c>
      <c r="BR272" s="387">
        <f t="shared" si="190"/>
        <v>0</v>
      </c>
      <c r="BS272" s="387">
        <f t="shared" si="191"/>
        <v>0</v>
      </c>
      <c r="BT272" s="387">
        <f t="shared" si="192"/>
        <v>0</v>
      </c>
      <c r="BU272" s="387">
        <f t="shared" si="193"/>
        <v>0</v>
      </c>
      <c r="BV272" s="387">
        <f t="shared" si="194"/>
        <v>0</v>
      </c>
      <c r="BW272" s="387">
        <f t="shared" si="195"/>
        <v>0</v>
      </c>
      <c r="BX272" s="387">
        <f t="shared" si="210"/>
        <v>0</v>
      </c>
      <c r="BY272" s="387">
        <f t="shared" si="211"/>
        <v>0</v>
      </c>
      <c r="BZ272" s="387">
        <f t="shared" si="212"/>
        <v>0</v>
      </c>
      <c r="CA272" s="387">
        <f t="shared" si="213"/>
        <v>0</v>
      </c>
      <c r="CB272" s="387">
        <f t="shared" si="214"/>
        <v>0</v>
      </c>
      <c r="CC272" s="387">
        <f t="shared" si="196"/>
        <v>0</v>
      </c>
      <c r="CD272" s="387">
        <f t="shared" si="197"/>
        <v>0</v>
      </c>
      <c r="CE272" s="387">
        <f t="shared" si="198"/>
        <v>0</v>
      </c>
      <c r="CF272" s="387">
        <f t="shared" si="199"/>
        <v>0</v>
      </c>
      <c r="CG272" s="387">
        <f t="shared" si="200"/>
        <v>0</v>
      </c>
      <c r="CH272" s="387">
        <f t="shared" si="201"/>
        <v>0</v>
      </c>
      <c r="CI272" s="387">
        <f t="shared" si="202"/>
        <v>0</v>
      </c>
      <c r="CJ272" s="387">
        <f t="shared" si="215"/>
        <v>0</v>
      </c>
      <c r="CK272" s="387" t="str">
        <f t="shared" si="216"/>
        <v/>
      </c>
      <c r="CL272" s="387" t="str">
        <f t="shared" si="217"/>
        <v/>
      </c>
      <c r="CM272" s="387" t="str">
        <f t="shared" si="218"/>
        <v/>
      </c>
      <c r="CN272" s="387" t="str">
        <f t="shared" si="219"/>
        <v>0348-31</v>
      </c>
    </row>
    <row r="273" spans="1:92" ht="15.75" thickBot="1" x14ac:dyDescent="0.3">
      <c r="A273" s="376" t="s">
        <v>161</v>
      </c>
      <c r="B273" s="376" t="s">
        <v>162</v>
      </c>
      <c r="C273" s="376" t="s">
        <v>749</v>
      </c>
      <c r="D273" s="376" t="s">
        <v>743</v>
      </c>
      <c r="E273" s="376" t="s">
        <v>224</v>
      </c>
      <c r="F273" s="382" t="s">
        <v>225</v>
      </c>
      <c r="G273" s="376" t="s">
        <v>781</v>
      </c>
      <c r="H273" s="378"/>
      <c r="I273" s="378"/>
      <c r="J273" s="376" t="s">
        <v>239</v>
      </c>
      <c r="K273" s="376" t="s">
        <v>744</v>
      </c>
      <c r="L273" s="376" t="s">
        <v>296</v>
      </c>
      <c r="M273" s="376" t="s">
        <v>171</v>
      </c>
      <c r="N273" s="376" t="s">
        <v>172</v>
      </c>
      <c r="O273" s="379">
        <v>1</v>
      </c>
      <c r="P273" s="385">
        <v>0.25</v>
      </c>
      <c r="Q273" s="385">
        <v>0.25</v>
      </c>
      <c r="R273" s="380">
        <v>80</v>
      </c>
      <c r="S273" s="385">
        <v>0.25</v>
      </c>
      <c r="T273" s="380">
        <v>0</v>
      </c>
      <c r="U273" s="380">
        <v>0</v>
      </c>
      <c r="V273" s="380">
        <v>0</v>
      </c>
      <c r="W273" s="380">
        <v>13650</v>
      </c>
      <c r="X273" s="380">
        <v>5864.31</v>
      </c>
      <c r="Y273" s="380">
        <v>13650</v>
      </c>
      <c r="Z273" s="380">
        <v>5806.98</v>
      </c>
      <c r="AA273" s="376" t="s">
        <v>750</v>
      </c>
      <c r="AB273" s="376" t="s">
        <v>751</v>
      </c>
      <c r="AC273" s="376" t="s">
        <v>752</v>
      </c>
      <c r="AD273" s="376" t="s">
        <v>587</v>
      </c>
      <c r="AE273" s="376" t="s">
        <v>744</v>
      </c>
      <c r="AF273" s="376" t="s">
        <v>301</v>
      </c>
      <c r="AG273" s="376" t="s">
        <v>178</v>
      </c>
      <c r="AH273" s="381">
        <v>26.25</v>
      </c>
      <c r="AI273" s="379">
        <v>1800</v>
      </c>
      <c r="AJ273" s="376" t="s">
        <v>179</v>
      </c>
      <c r="AK273" s="376" t="s">
        <v>180</v>
      </c>
      <c r="AL273" s="376" t="s">
        <v>181</v>
      </c>
      <c r="AM273" s="376" t="s">
        <v>182</v>
      </c>
      <c r="AN273" s="376" t="s">
        <v>68</v>
      </c>
      <c r="AO273" s="379">
        <v>80</v>
      </c>
      <c r="AP273" s="385">
        <v>1</v>
      </c>
      <c r="AQ273" s="385">
        <v>0.25</v>
      </c>
      <c r="AR273" s="383" t="s">
        <v>183</v>
      </c>
      <c r="AS273" s="387">
        <f t="shared" si="203"/>
        <v>0.25</v>
      </c>
      <c r="AT273">
        <f t="shared" si="204"/>
        <v>1</v>
      </c>
      <c r="AU273" s="387">
        <f>IF(AT273=0,"",IF(AND(AT273=1,M273="F",SUMIF(C2:C1334,C273,AS2:AS1334)&lt;=1),SUMIF(C2:C1334,C273,AS2:AS1334),IF(AND(AT273=1,M273="F",SUMIF(C2:C1334,C273,AS2:AS1334)&gt;1),1,"")))</f>
        <v>1</v>
      </c>
      <c r="AV273" s="387" t="str">
        <f>IF(AT273=0,"",IF(AND(AT273=3,M273="F",SUMIF(C2:C1334,C273,AS2:AS1334)&lt;=1),SUMIF(C2:C1334,C273,AS2:AS1334),IF(AND(AT273=3,M273="F",SUMIF(C2:C1334,C273,AS2:AS1334)&gt;1),1,"")))</f>
        <v/>
      </c>
      <c r="AW273" s="387">
        <f>SUMIF(C2:C1334,C273,O2:O1334)</f>
        <v>4</v>
      </c>
      <c r="AX273" s="387">
        <f>IF(AND(M273="F",AS273&lt;&gt;0),SUMIF(C2:C1334,C273,W2:W1334),0)</f>
        <v>54600</v>
      </c>
      <c r="AY273" s="387">
        <f t="shared" si="205"/>
        <v>13650</v>
      </c>
      <c r="AZ273" s="387" t="str">
        <f t="shared" si="206"/>
        <v/>
      </c>
      <c r="BA273" s="387">
        <f t="shared" si="207"/>
        <v>0</v>
      </c>
      <c r="BB273" s="387">
        <f t="shared" si="176"/>
        <v>2912.5</v>
      </c>
      <c r="BC273" s="387">
        <f t="shared" si="177"/>
        <v>0</v>
      </c>
      <c r="BD273" s="387">
        <f t="shared" si="178"/>
        <v>846.3</v>
      </c>
      <c r="BE273" s="387">
        <f t="shared" si="179"/>
        <v>197.92500000000001</v>
      </c>
      <c r="BF273" s="387">
        <f t="shared" si="180"/>
        <v>1629.8100000000002</v>
      </c>
      <c r="BG273" s="387">
        <f t="shared" si="181"/>
        <v>98.416499999999999</v>
      </c>
      <c r="BH273" s="387">
        <f t="shared" si="182"/>
        <v>66.884999999999991</v>
      </c>
      <c r="BI273" s="387">
        <f t="shared" si="183"/>
        <v>75.552750000000003</v>
      </c>
      <c r="BJ273" s="387">
        <f t="shared" si="184"/>
        <v>36.855000000000004</v>
      </c>
      <c r="BK273" s="387">
        <f t="shared" si="185"/>
        <v>0</v>
      </c>
      <c r="BL273" s="387">
        <f t="shared" si="208"/>
        <v>2951.7442499999993</v>
      </c>
      <c r="BM273" s="387">
        <f t="shared" si="209"/>
        <v>0</v>
      </c>
      <c r="BN273" s="387">
        <f t="shared" si="186"/>
        <v>2912.5</v>
      </c>
      <c r="BO273" s="387">
        <f t="shared" si="187"/>
        <v>0</v>
      </c>
      <c r="BP273" s="387">
        <f t="shared" si="188"/>
        <v>846.3</v>
      </c>
      <c r="BQ273" s="387">
        <f t="shared" si="189"/>
        <v>197.92500000000001</v>
      </c>
      <c r="BR273" s="387">
        <f t="shared" si="190"/>
        <v>1629.8100000000002</v>
      </c>
      <c r="BS273" s="387">
        <f t="shared" si="191"/>
        <v>98.416499999999999</v>
      </c>
      <c r="BT273" s="387">
        <f t="shared" si="192"/>
        <v>0</v>
      </c>
      <c r="BU273" s="387">
        <f t="shared" si="193"/>
        <v>75.552750000000003</v>
      </c>
      <c r="BV273" s="387">
        <f t="shared" si="194"/>
        <v>46.41</v>
      </c>
      <c r="BW273" s="387">
        <f t="shared" si="195"/>
        <v>0</v>
      </c>
      <c r="BX273" s="387">
        <f t="shared" si="210"/>
        <v>2894.4142499999994</v>
      </c>
      <c r="BY273" s="387">
        <f t="shared" si="211"/>
        <v>0</v>
      </c>
      <c r="BZ273" s="387">
        <f t="shared" si="212"/>
        <v>0</v>
      </c>
      <c r="CA273" s="387">
        <f t="shared" si="213"/>
        <v>0</v>
      </c>
      <c r="CB273" s="387">
        <f t="shared" si="214"/>
        <v>0</v>
      </c>
      <c r="CC273" s="387">
        <f t="shared" si="196"/>
        <v>0</v>
      </c>
      <c r="CD273" s="387">
        <f t="shared" si="197"/>
        <v>0</v>
      </c>
      <c r="CE273" s="387">
        <f t="shared" si="198"/>
        <v>0</v>
      </c>
      <c r="CF273" s="387">
        <f t="shared" si="199"/>
        <v>-66.884999999999991</v>
      </c>
      <c r="CG273" s="387">
        <f t="shared" si="200"/>
        <v>0</v>
      </c>
      <c r="CH273" s="387">
        <f t="shared" si="201"/>
        <v>9.5549999999999962</v>
      </c>
      <c r="CI273" s="387">
        <f t="shared" si="202"/>
        <v>0</v>
      </c>
      <c r="CJ273" s="387">
        <f t="shared" si="215"/>
        <v>-57.33</v>
      </c>
      <c r="CK273" s="387" t="str">
        <f t="shared" si="216"/>
        <v/>
      </c>
      <c r="CL273" s="387" t="str">
        <f t="shared" si="217"/>
        <v/>
      </c>
      <c r="CM273" s="387" t="str">
        <f t="shared" si="218"/>
        <v/>
      </c>
      <c r="CN273" s="387" t="str">
        <f t="shared" si="219"/>
        <v>0348-31</v>
      </c>
    </row>
    <row r="274" spans="1:92" ht="15.75" thickBot="1" x14ac:dyDescent="0.3">
      <c r="A274" s="376" t="s">
        <v>161</v>
      </c>
      <c r="B274" s="376" t="s">
        <v>162</v>
      </c>
      <c r="C274" s="376" t="s">
        <v>607</v>
      </c>
      <c r="D274" s="376" t="s">
        <v>608</v>
      </c>
      <c r="E274" s="376" t="s">
        <v>224</v>
      </c>
      <c r="F274" s="382" t="s">
        <v>225</v>
      </c>
      <c r="G274" s="376" t="s">
        <v>781</v>
      </c>
      <c r="H274" s="378"/>
      <c r="I274" s="378"/>
      <c r="J274" s="376" t="s">
        <v>215</v>
      </c>
      <c r="K274" s="376" t="s">
        <v>609</v>
      </c>
      <c r="L274" s="376" t="s">
        <v>181</v>
      </c>
      <c r="M274" s="376" t="s">
        <v>171</v>
      </c>
      <c r="N274" s="376" t="s">
        <v>172</v>
      </c>
      <c r="O274" s="379">
        <v>1</v>
      </c>
      <c r="P274" s="385">
        <v>0</v>
      </c>
      <c r="Q274" s="385">
        <v>0</v>
      </c>
      <c r="R274" s="380">
        <v>80</v>
      </c>
      <c r="S274" s="385">
        <v>0</v>
      </c>
      <c r="T274" s="380">
        <v>67005.919999999998</v>
      </c>
      <c r="U274" s="380">
        <v>0</v>
      </c>
      <c r="V274" s="380">
        <v>25626.67</v>
      </c>
      <c r="W274" s="380">
        <v>0</v>
      </c>
      <c r="X274" s="380">
        <v>0</v>
      </c>
      <c r="Y274" s="380">
        <v>0</v>
      </c>
      <c r="Z274" s="380">
        <v>0</v>
      </c>
      <c r="AA274" s="376" t="s">
        <v>610</v>
      </c>
      <c r="AB274" s="376" t="s">
        <v>611</v>
      </c>
      <c r="AC274" s="376" t="s">
        <v>612</v>
      </c>
      <c r="AD274" s="376" t="s">
        <v>252</v>
      </c>
      <c r="AE274" s="376" t="s">
        <v>609</v>
      </c>
      <c r="AF274" s="376" t="s">
        <v>211</v>
      </c>
      <c r="AG274" s="376" t="s">
        <v>178</v>
      </c>
      <c r="AH274" s="381">
        <v>33.44</v>
      </c>
      <c r="AI274" s="381">
        <v>2379.6999999999998</v>
      </c>
      <c r="AJ274" s="376" t="s">
        <v>179</v>
      </c>
      <c r="AK274" s="376" t="s">
        <v>180</v>
      </c>
      <c r="AL274" s="376" t="s">
        <v>181</v>
      </c>
      <c r="AM274" s="376" t="s">
        <v>182</v>
      </c>
      <c r="AN274" s="376" t="s">
        <v>68</v>
      </c>
      <c r="AO274" s="379">
        <v>80</v>
      </c>
      <c r="AP274" s="385">
        <v>1</v>
      </c>
      <c r="AQ274" s="385">
        <v>0</v>
      </c>
      <c r="AR274" s="383" t="s">
        <v>183</v>
      </c>
      <c r="AS274" s="387">
        <f t="shared" si="203"/>
        <v>0</v>
      </c>
      <c r="AT274">
        <f t="shared" si="204"/>
        <v>0</v>
      </c>
      <c r="AU274" s="387" t="str">
        <f>IF(AT274=0,"",IF(AND(AT274=1,M274="F",SUMIF(C2:C1334,C274,AS2:AS1334)&lt;=1),SUMIF(C2:C1334,C274,AS2:AS1334),IF(AND(AT274=1,M274="F",SUMIF(C2:C1334,C274,AS2:AS1334)&gt;1),1,"")))</f>
        <v/>
      </c>
      <c r="AV274" s="387" t="str">
        <f>IF(AT274=0,"",IF(AND(AT274=3,M274="F",SUMIF(C2:C1334,C274,AS2:AS1334)&lt;=1),SUMIF(C2:C1334,C274,AS2:AS1334),IF(AND(AT274=3,M274="F",SUMIF(C2:C1334,C274,AS2:AS1334)&gt;1),1,"")))</f>
        <v/>
      </c>
      <c r="AW274" s="387">
        <f>SUMIF(C2:C1334,C274,O2:O1334)</f>
        <v>2</v>
      </c>
      <c r="AX274" s="387">
        <f>IF(AND(M274="F",AS274&lt;&gt;0),SUMIF(C2:C1334,C274,W2:W1334),0)</f>
        <v>0</v>
      </c>
      <c r="AY274" s="387" t="str">
        <f t="shared" si="205"/>
        <v/>
      </c>
      <c r="AZ274" s="387" t="str">
        <f t="shared" si="206"/>
        <v/>
      </c>
      <c r="BA274" s="387">
        <f t="shared" si="207"/>
        <v>0</v>
      </c>
      <c r="BB274" s="387">
        <f t="shared" si="176"/>
        <v>0</v>
      </c>
      <c r="BC274" s="387">
        <f t="shared" si="177"/>
        <v>0</v>
      </c>
      <c r="BD274" s="387">
        <f t="shared" si="178"/>
        <v>0</v>
      </c>
      <c r="BE274" s="387">
        <f t="shared" si="179"/>
        <v>0</v>
      </c>
      <c r="BF274" s="387">
        <f t="shared" si="180"/>
        <v>0</v>
      </c>
      <c r="BG274" s="387">
        <f t="shared" si="181"/>
        <v>0</v>
      </c>
      <c r="BH274" s="387">
        <f t="shared" si="182"/>
        <v>0</v>
      </c>
      <c r="BI274" s="387">
        <f t="shared" si="183"/>
        <v>0</v>
      </c>
      <c r="BJ274" s="387">
        <f t="shared" si="184"/>
        <v>0</v>
      </c>
      <c r="BK274" s="387">
        <f t="shared" si="185"/>
        <v>0</v>
      </c>
      <c r="BL274" s="387">
        <f t="shared" si="208"/>
        <v>0</v>
      </c>
      <c r="BM274" s="387">
        <f t="shared" si="209"/>
        <v>0</v>
      </c>
      <c r="BN274" s="387">
        <f t="shared" si="186"/>
        <v>0</v>
      </c>
      <c r="BO274" s="387">
        <f t="shared" si="187"/>
        <v>0</v>
      </c>
      <c r="BP274" s="387">
        <f t="shared" si="188"/>
        <v>0</v>
      </c>
      <c r="BQ274" s="387">
        <f t="shared" si="189"/>
        <v>0</v>
      </c>
      <c r="BR274" s="387">
        <f t="shared" si="190"/>
        <v>0</v>
      </c>
      <c r="BS274" s="387">
        <f t="shared" si="191"/>
        <v>0</v>
      </c>
      <c r="BT274" s="387">
        <f t="shared" si="192"/>
        <v>0</v>
      </c>
      <c r="BU274" s="387">
        <f t="shared" si="193"/>
        <v>0</v>
      </c>
      <c r="BV274" s="387">
        <f t="shared" si="194"/>
        <v>0</v>
      </c>
      <c r="BW274" s="387">
        <f t="shared" si="195"/>
        <v>0</v>
      </c>
      <c r="BX274" s="387">
        <f t="shared" si="210"/>
        <v>0</v>
      </c>
      <c r="BY274" s="387">
        <f t="shared" si="211"/>
        <v>0</v>
      </c>
      <c r="BZ274" s="387">
        <f t="shared" si="212"/>
        <v>0</v>
      </c>
      <c r="CA274" s="387">
        <f t="shared" si="213"/>
        <v>0</v>
      </c>
      <c r="CB274" s="387">
        <f t="shared" si="214"/>
        <v>0</v>
      </c>
      <c r="CC274" s="387">
        <f t="shared" si="196"/>
        <v>0</v>
      </c>
      <c r="CD274" s="387">
        <f t="shared" si="197"/>
        <v>0</v>
      </c>
      <c r="CE274" s="387">
        <f t="shared" si="198"/>
        <v>0</v>
      </c>
      <c r="CF274" s="387">
        <f t="shared" si="199"/>
        <v>0</v>
      </c>
      <c r="CG274" s="387">
        <f t="shared" si="200"/>
        <v>0</v>
      </c>
      <c r="CH274" s="387">
        <f t="shared" si="201"/>
        <v>0</v>
      </c>
      <c r="CI274" s="387">
        <f t="shared" si="202"/>
        <v>0</v>
      </c>
      <c r="CJ274" s="387">
        <f t="shared" si="215"/>
        <v>0</v>
      </c>
      <c r="CK274" s="387" t="str">
        <f t="shared" si="216"/>
        <v/>
      </c>
      <c r="CL274" s="387" t="str">
        <f t="shared" si="217"/>
        <v/>
      </c>
      <c r="CM274" s="387" t="str">
        <f t="shared" si="218"/>
        <v/>
      </c>
      <c r="CN274" s="387" t="str">
        <f t="shared" si="219"/>
        <v>0348-31</v>
      </c>
    </row>
    <row r="275" spans="1:92" ht="15.75" thickBot="1" x14ac:dyDescent="0.3">
      <c r="A275" s="376" t="s">
        <v>161</v>
      </c>
      <c r="B275" s="376" t="s">
        <v>162</v>
      </c>
      <c r="C275" s="376" t="s">
        <v>551</v>
      </c>
      <c r="D275" s="376" t="s">
        <v>294</v>
      </c>
      <c r="E275" s="376" t="s">
        <v>224</v>
      </c>
      <c r="F275" s="382" t="s">
        <v>225</v>
      </c>
      <c r="G275" s="376" t="s">
        <v>781</v>
      </c>
      <c r="H275" s="378"/>
      <c r="I275" s="378"/>
      <c r="J275" s="376" t="s">
        <v>215</v>
      </c>
      <c r="K275" s="376" t="s">
        <v>295</v>
      </c>
      <c r="L275" s="376" t="s">
        <v>296</v>
      </c>
      <c r="M275" s="376" t="s">
        <v>171</v>
      </c>
      <c r="N275" s="376" t="s">
        <v>172</v>
      </c>
      <c r="O275" s="379">
        <v>1</v>
      </c>
      <c r="P275" s="385">
        <v>0</v>
      </c>
      <c r="Q275" s="385">
        <v>0</v>
      </c>
      <c r="R275" s="380">
        <v>80</v>
      </c>
      <c r="S275" s="385">
        <v>0</v>
      </c>
      <c r="T275" s="380">
        <v>51578.55</v>
      </c>
      <c r="U275" s="380">
        <v>0</v>
      </c>
      <c r="V275" s="380">
        <v>22493.83</v>
      </c>
      <c r="W275" s="380">
        <v>0</v>
      </c>
      <c r="X275" s="380">
        <v>0</v>
      </c>
      <c r="Y275" s="380">
        <v>0</v>
      </c>
      <c r="Z275" s="380">
        <v>0</v>
      </c>
      <c r="AA275" s="376" t="s">
        <v>552</v>
      </c>
      <c r="AB275" s="376" t="s">
        <v>553</v>
      </c>
      <c r="AC275" s="376" t="s">
        <v>554</v>
      </c>
      <c r="AD275" s="376" t="s">
        <v>324</v>
      </c>
      <c r="AE275" s="376" t="s">
        <v>295</v>
      </c>
      <c r="AF275" s="376" t="s">
        <v>301</v>
      </c>
      <c r="AG275" s="376" t="s">
        <v>178</v>
      </c>
      <c r="AH275" s="381">
        <v>25.62</v>
      </c>
      <c r="AI275" s="381">
        <v>46147.4</v>
      </c>
      <c r="AJ275" s="376" t="s">
        <v>179</v>
      </c>
      <c r="AK275" s="376" t="s">
        <v>180</v>
      </c>
      <c r="AL275" s="376" t="s">
        <v>181</v>
      </c>
      <c r="AM275" s="376" t="s">
        <v>182</v>
      </c>
      <c r="AN275" s="376" t="s">
        <v>68</v>
      </c>
      <c r="AO275" s="379">
        <v>80</v>
      </c>
      <c r="AP275" s="385">
        <v>1</v>
      </c>
      <c r="AQ275" s="385">
        <v>0</v>
      </c>
      <c r="AR275" s="383" t="s">
        <v>183</v>
      </c>
      <c r="AS275" s="387">
        <f t="shared" si="203"/>
        <v>0</v>
      </c>
      <c r="AT275">
        <f t="shared" si="204"/>
        <v>0</v>
      </c>
      <c r="AU275" s="387" t="str">
        <f>IF(AT275=0,"",IF(AND(AT275=1,M275="F",SUMIF(C2:C1334,C275,AS2:AS1334)&lt;=1),SUMIF(C2:C1334,C275,AS2:AS1334),IF(AND(AT275=1,M275="F",SUMIF(C2:C1334,C275,AS2:AS1334)&gt;1),1,"")))</f>
        <v/>
      </c>
      <c r="AV275" s="387" t="str">
        <f>IF(AT275=0,"",IF(AND(AT275=3,M275="F",SUMIF(C2:C1334,C275,AS2:AS1334)&lt;=1),SUMIF(C2:C1334,C275,AS2:AS1334),IF(AND(AT275=3,M275="F",SUMIF(C2:C1334,C275,AS2:AS1334)&gt;1),1,"")))</f>
        <v/>
      </c>
      <c r="AW275" s="387">
        <f>SUMIF(C2:C1334,C275,O2:O1334)</f>
        <v>2</v>
      </c>
      <c r="AX275" s="387">
        <f>IF(AND(M275="F",AS275&lt;&gt;0),SUMIF(C2:C1334,C275,W2:W1334),0)</f>
        <v>0</v>
      </c>
      <c r="AY275" s="387" t="str">
        <f t="shared" si="205"/>
        <v/>
      </c>
      <c r="AZ275" s="387" t="str">
        <f t="shared" si="206"/>
        <v/>
      </c>
      <c r="BA275" s="387">
        <f t="shared" si="207"/>
        <v>0</v>
      </c>
      <c r="BB275" s="387">
        <f t="shared" si="176"/>
        <v>0</v>
      </c>
      <c r="BC275" s="387">
        <f t="shared" si="177"/>
        <v>0</v>
      </c>
      <c r="BD275" s="387">
        <f t="shared" si="178"/>
        <v>0</v>
      </c>
      <c r="BE275" s="387">
        <f t="shared" si="179"/>
        <v>0</v>
      </c>
      <c r="BF275" s="387">
        <f t="shared" si="180"/>
        <v>0</v>
      </c>
      <c r="BG275" s="387">
        <f t="shared" si="181"/>
        <v>0</v>
      </c>
      <c r="BH275" s="387">
        <f t="shared" si="182"/>
        <v>0</v>
      </c>
      <c r="BI275" s="387">
        <f t="shared" si="183"/>
        <v>0</v>
      </c>
      <c r="BJ275" s="387">
        <f t="shared" si="184"/>
        <v>0</v>
      </c>
      <c r="BK275" s="387">
        <f t="shared" si="185"/>
        <v>0</v>
      </c>
      <c r="BL275" s="387">
        <f t="shared" si="208"/>
        <v>0</v>
      </c>
      <c r="BM275" s="387">
        <f t="shared" si="209"/>
        <v>0</v>
      </c>
      <c r="BN275" s="387">
        <f t="shared" si="186"/>
        <v>0</v>
      </c>
      <c r="BO275" s="387">
        <f t="shared" si="187"/>
        <v>0</v>
      </c>
      <c r="BP275" s="387">
        <f t="shared" si="188"/>
        <v>0</v>
      </c>
      <c r="BQ275" s="387">
        <f t="shared" si="189"/>
        <v>0</v>
      </c>
      <c r="BR275" s="387">
        <f t="shared" si="190"/>
        <v>0</v>
      </c>
      <c r="BS275" s="387">
        <f t="shared" si="191"/>
        <v>0</v>
      </c>
      <c r="BT275" s="387">
        <f t="shared" si="192"/>
        <v>0</v>
      </c>
      <c r="BU275" s="387">
        <f t="shared" si="193"/>
        <v>0</v>
      </c>
      <c r="BV275" s="387">
        <f t="shared" si="194"/>
        <v>0</v>
      </c>
      <c r="BW275" s="387">
        <f t="shared" si="195"/>
        <v>0</v>
      </c>
      <c r="BX275" s="387">
        <f t="shared" si="210"/>
        <v>0</v>
      </c>
      <c r="BY275" s="387">
        <f t="shared" si="211"/>
        <v>0</v>
      </c>
      <c r="BZ275" s="387">
        <f t="shared" si="212"/>
        <v>0</v>
      </c>
      <c r="CA275" s="387">
        <f t="shared" si="213"/>
        <v>0</v>
      </c>
      <c r="CB275" s="387">
        <f t="shared" si="214"/>
        <v>0</v>
      </c>
      <c r="CC275" s="387">
        <f t="shared" si="196"/>
        <v>0</v>
      </c>
      <c r="CD275" s="387">
        <f t="shared" si="197"/>
        <v>0</v>
      </c>
      <c r="CE275" s="387">
        <f t="shared" si="198"/>
        <v>0</v>
      </c>
      <c r="CF275" s="387">
        <f t="shared" si="199"/>
        <v>0</v>
      </c>
      <c r="CG275" s="387">
        <f t="shared" si="200"/>
        <v>0</v>
      </c>
      <c r="CH275" s="387">
        <f t="shared" si="201"/>
        <v>0</v>
      </c>
      <c r="CI275" s="387">
        <f t="shared" si="202"/>
        <v>0</v>
      </c>
      <c r="CJ275" s="387">
        <f t="shared" si="215"/>
        <v>0</v>
      </c>
      <c r="CK275" s="387" t="str">
        <f t="shared" si="216"/>
        <v/>
      </c>
      <c r="CL275" s="387" t="str">
        <f t="shared" si="217"/>
        <v/>
      </c>
      <c r="CM275" s="387" t="str">
        <f t="shared" si="218"/>
        <v/>
      </c>
      <c r="CN275" s="387" t="str">
        <f t="shared" si="219"/>
        <v>0348-31</v>
      </c>
    </row>
    <row r="276" spans="1:92" ht="15.75" thickBot="1" x14ac:dyDescent="0.3">
      <c r="A276" s="376" t="s">
        <v>161</v>
      </c>
      <c r="B276" s="376" t="s">
        <v>162</v>
      </c>
      <c r="C276" s="376" t="s">
        <v>356</v>
      </c>
      <c r="D276" s="376" t="s">
        <v>357</v>
      </c>
      <c r="E276" s="376" t="s">
        <v>224</v>
      </c>
      <c r="F276" s="382" t="s">
        <v>225</v>
      </c>
      <c r="G276" s="376" t="s">
        <v>781</v>
      </c>
      <c r="H276" s="378"/>
      <c r="I276" s="378"/>
      <c r="J276" s="376" t="s">
        <v>215</v>
      </c>
      <c r="K276" s="376" t="s">
        <v>358</v>
      </c>
      <c r="L276" s="376" t="s">
        <v>166</v>
      </c>
      <c r="M276" s="376" t="s">
        <v>171</v>
      </c>
      <c r="N276" s="376" t="s">
        <v>257</v>
      </c>
      <c r="O276" s="379">
        <v>1</v>
      </c>
      <c r="P276" s="385">
        <v>0</v>
      </c>
      <c r="Q276" s="385">
        <v>0</v>
      </c>
      <c r="R276" s="380">
        <v>80</v>
      </c>
      <c r="S276" s="385">
        <v>0</v>
      </c>
      <c r="T276" s="380">
        <v>145691.07</v>
      </c>
      <c r="U276" s="380">
        <v>0</v>
      </c>
      <c r="V276" s="380">
        <v>40596.120000000003</v>
      </c>
      <c r="W276" s="380">
        <v>0</v>
      </c>
      <c r="X276" s="380">
        <v>0</v>
      </c>
      <c r="Y276" s="380">
        <v>0</v>
      </c>
      <c r="Z276" s="380">
        <v>0</v>
      </c>
      <c r="AA276" s="376" t="s">
        <v>359</v>
      </c>
      <c r="AB276" s="376" t="s">
        <v>360</v>
      </c>
      <c r="AC276" s="376" t="s">
        <v>361</v>
      </c>
      <c r="AD276" s="376" t="s">
        <v>170</v>
      </c>
      <c r="AE276" s="376" t="s">
        <v>358</v>
      </c>
      <c r="AF276" s="376" t="s">
        <v>261</v>
      </c>
      <c r="AG276" s="376" t="s">
        <v>178</v>
      </c>
      <c r="AH276" s="381">
        <v>76.25</v>
      </c>
      <c r="AI276" s="379">
        <v>17696</v>
      </c>
      <c r="AJ276" s="376" t="s">
        <v>179</v>
      </c>
      <c r="AK276" s="376" t="s">
        <v>180</v>
      </c>
      <c r="AL276" s="376" t="s">
        <v>181</v>
      </c>
      <c r="AM276" s="376" t="s">
        <v>181</v>
      </c>
      <c r="AN276" s="376" t="s">
        <v>68</v>
      </c>
      <c r="AO276" s="379">
        <v>80</v>
      </c>
      <c r="AP276" s="385">
        <v>1</v>
      </c>
      <c r="AQ276" s="385">
        <v>0</v>
      </c>
      <c r="AR276" s="383" t="s">
        <v>183</v>
      </c>
      <c r="AS276" s="387">
        <f t="shared" si="203"/>
        <v>0</v>
      </c>
      <c r="AT276">
        <f t="shared" si="204"/>
        <v>0</v>
      </c>
      <c r="AU276" s="387" t="str">
        <f>IF(AT276=0,"",IF(AND(AT276=1,M276="F",SUMIF(C2:C1334,C276,AS2:AS1334)&lt;=1),SUMIF(C2:C1334,C276,AS2:AS1334),IF(AND(AT276=1,M276="F",SUMIF(C2:C1334,C276,AS2:AS1334)&gt;1),1,"")))</f>
        <v/>
      </c>
      <c r="AV276" s="387" t="str">
        <f>IF(AT276=0,"",IF(AND(AT276=3,M276="F",SUMIF(C2:C1334,C276,AS2:AS1334)&lt;=1),SUMIF(C2:C1334,C276,AS2:AS1334),IF(AND(AT276=3,M276="F",SUMIF(C2:C1334,C276,AS2:AS1334)&gt;1),1,"")))</f>
        <v/>
      </c>
      <c r="AW276" s="387">
        <f>SUMIF(C2:C1334,C276,O2:O1334)</f>
        <v>3</v>
      </c>
      <c r="AX276" s="387">
        <f>IF(AND(M276="F",AS276&lt;&gt;0),SUMIF(C2:C1334,C276,W2:W1334),0)</f>
        <v>0</v>
      </c>
      <c r="AY276" s="387" t="str">
        <f t="shared" si="205"/>
        <v/>
      </c>
      <c r="AZ276" s="387" t="str">
        <f t="shared" si="206"/>
        <v/>
      </c>
      <c r="BA276" s="387">
        <f t="shared" si="207"/>
        <v>0</v>
      </c>
      <c r="BB276" s="387">
        <f t="shared" si="176"/>
        <v>0</v>
      </c>
      <c r="BC276" s="387">
        <f t="shared" si="177"/>
        <v>0</v>
      </c>
      <c r="BD276" s="387">
        <f t="shared" si="178"/>
        <v>0</v>
      </c>
      <c r="BE276" s="387">
        <f t="shared" si="179"/>
        <v>0</v>
      </c>
      <c r="BF276" s="387">
        <f t="shared" si="180"/>
        <v>0</v>
      </c>
      <c r="BG276" s="387">
        <f t="shared" si="181"/>
        <v>0</v>
      </c>
      <c r="BH276" s="387">
        <f t="shared" si="182"/>
        <v>0</v>
      </c>
      <c r="BI276" s="387">
        <f t="shared" si="183"/>
        <v>0</v>
      </c>
      <c r="BJ276" s="387">
        <f t="shared" si="184"/>
        <v>0</v>
      </c>
      <c r="BK276" s="387">
        <f t="shared" si="185"/>
        <v>0</v>
      </c>
      <c r="BL276" s="387">
        <f t="shared" si="208"/>
        <v>0</v>
      </c>
      <c r="BM276" s="387">
        <f t="shared" si="209"/>
        <v>0</v>
      </c>
      <c r="BN276" s="387">
        <f t="shared" si="186"/>
        <v>0</v>
      </c>
      <c r="BO276" s="387">
        <f t="shared" si="187"/>
        <v>0</v>
      </c>
      <c r="BP276" s="387">
        <f t="shared" si="188"/>
        <v>0</v>
      </c>
      <c r="BQ276" s="387">
        <f t="shared" si="189"/>
        <v>0</v>
      </c>
      <c r="BR276" s="387">
        <f t="shared" si="190"/>
        <v>0</v>
      </c>
      <c r="BS276" s="387">
        <f t="shared" si="191"/>
        <v>0</v>
      </c>
      <c r="BT276" s="387">
        <f t="shared" si="192"/>
        <v>0</v>
      </c>
      <c r="BU276" s="387">
        <f t="shared" si="193"/>
        <v>0</v>
      </c>
      <c r="BV276" s="387">
        <f t="shared" si="194"/>
        <v>0</v>
      </c>
      <c r="BW276" s="387">
        <f t="shared" si="195"/>
        <v>0</v>
      </c>
      <c r="BX276" s="387">
        <f t="shared" si="210"/>
        <v>0</v>
      </c>
      <c r="BY276" s="387">
        <f t="shared" si="211"/>
        <v>0</v>
      </c>
      <c r="BZ276" s="387">
        <f t="shared" si="212"/>
        <v>0</v>
      </c>
      <c r="CA276" s="387">
        <f t="shared" si="213"/>
        <v>0</v>
      </c>
      <c r="CB276" s="387">
        <f t="shared" si="214"/>
        <v>0</v>
      </c>
      <c r="CC276" s="387">
        <f t="shared" si="196"/>
        <v>0</v>
      </c>
      <c r="CD276" s="387">
        <f t="shared" si="197"/>
        <v>0</v>
      </c>
      <c r="CE276" s="387">
        <f t="shared" si="198"/>
        <v>0</v>
      </c>
      <c r="CF276" s="387">
        <f t="shared" si="199"/>
        <v>0</v>
      </c>
      <c r="CG276" s="387">
        <f t="shared" si="200"/>
        <v>0</v>
      </c>
      <c r="CH276" s="387">
        <f t="shared" si="201"/>
        <v>0</v>
      </c>
      <c r="CI276" s="387">
        <f t="shared" si="202"/>
        <v>0</v>
      </c>
      <c r="CJ276" s="387">
        <f t="shared" si="215"/>
        <v>0</v>
      </c>
      <c r="CK276" s="387" t="str">
        <f t="shared" si="216"/>
        <v/>
      </c>
      <c r="CL276" s="387" t="str">
        <f t="shared" si="217"/>
        <v/>
      </c>
      <c r="CM276" s="387" t="str">
        <f t="shared" si="218"/>
        <v/>
      </c>
      <c r="CN276" s="387" t="str">
        <f t="shared" si="219"/>
        <v>0348-31</v>
      </c>
    </row>
    <row r="277" spans="1:92" ht="15.75" thickBot="1" x14ac:dyDescent="0.3">
      <c r="A277" s="376" t="s">
        <v>161</v>
      </c>
      <c r="B277" s="376" t="s">
        <v>162</v>
      </c>
      <c r="C277" s="376" t="s">
        <v>1033</v>
      </c>
      <c r="D277" s="376" t="s">
        <v>862</v>
      </c>
      <c r="E277" s="376" t="s">
        <v>224</v>
      </c>
      <c r="F277" s="382" t="s">
        <v>225</v>
      </c>
      <c r="G277" s="376" t="s">
        <v>781</v>
      </c>
      <c r="H277" s="378"/>
      <c r="I277" s="378"/>
      <c r="J277" s="376" t="s">
        <v>168</v>
      </c>
      <c r="K277" s="376" t="s">
        <v>863</v>
      </c>
      <c r="L277" s="376" t="s">
        <v>252</v>
      </c>
      <c r="M277" s="376" t="s">
        <v>171</v>
      </c>
      <c r="N277" s="376" t="s">
        <v>172</v>
      </c>
      <c r="O277" s="379">
        <v>1</v>
      </c>
      <c r="P277" s="385">
        <v>0.8</v>
      </c>
      <c r="Q277" s="385">
        <v>0.8</v>
      </c>
      <c r="R277" s="380">
        <v>80</v>
      </c>
      <c r="S277" s="385">
        <v>0.8</v>
      </c>
      <c r="T277" s="380">
        <v>31487.599999999999</v>
      </c>
      <c r="U277" s="380">
        <v>0</v>
      </c>
      <c r="V277" s="380">
        <v>16683.169999999998</v>
      </c>
      <c r="W277" s="380">
        <v>31582.720000000001</v>
      </c>
      <c r="X277" s="380">
        <v>16149.73</v>
      </c>
      <c r="Y277" s="380">
        <v>31582.720000000001</v>
      </c>
      <c r="Z277" s="380">
        <v>16017.09</v>
      </c>
      <c r="AA277" s="376" t="s">
        <v>1034</v>
      </c>
      <c r="AB277" s="376" t="s">
        <v>1035</v>
      </c>
      <c r="AC277" s="376" t="s">
        <v>1036</v>
      </c>
      <c r="AD277" s="376" t="s">
        <v>1037</v>
      </c>
      <c r="AE277" s="376" t="s">
        <v>863</v>
      </c>
      <c r="AF277" s="376" t="s">
        <v>393</v>
      </c>
      <c r="AG277" s="376" t="s">
        <v>178</v>
      </c>
      <c r="AH277" s="381">
        <v>18.98</v>
      </c>
      <c r="AI277" s="381">
        <v>3887.1</v>
      </c>
      <c r="AJ277" s="376" t="s">
        <v>179</v>
      </c>
      <c r="AK277" s="376" t="s">
        <v>180</v>
      </c>
      <c r="AL277" s="376" t="s">
        <v>181</v>
      </c>
      <c r="AM277" s="376" t="s">
        <v>182</v>
      </c>
      <c r="AN277" s="376" t="s">
        <v>68</v>
      </c>
      <c r="AO277" s="379">
        <v>80</v>
      </c>
      <c r="AP277" s="385">
        <v>1</v>
      </c>
      <c r="AQ277" s="385">
        <v>0.8</v>
      </c>
      <c r="AR277" s="383" t="s">
        <v>183</v>
      </c>
      <c r="AS277" s="387">
        <f t="shared" si="203"/>
        <v>0.8</v>
      </c>
      <c r="AT277">
        <f t="shared" si="204"/>
        <v>1</v>
      </c>
      <c r="AU277" s="387">
        <f>IF(AT277=0,"",IF(AND(AT277=1,M277="F",SUMIF(C2:C1334,C277,AS2:AS1334)&lt;=1),SUMIF(C2:C1334,C277,AS2:AS1334),IF(AND(AT277=1,M277="F",SUMIF(C2:C1334,C277,AS2:AS1334)&gt;1),1,"")))</f>
        <v>1</v>
      </c>
      <c r="AV277" s="387" t="str">
        <f>IF(AT277=0,"",IF(AND(AT277=3,M277="F",SUMIF(C2:C1334,C277,AS2:AS1334)&lt;=1),SUMIF(C2:C1334,C277,AS2:AS1334),IF(AND(AT277=3,M277="F",SUMIF(C2:C1334,C277,AS2:AS1334)&gt;1),1,"")))</f>
        <v/>
      </c>
      <c r="AW277" s="387">
        <f>SUMIF(C2:C1334,C277,O2:O1334)</f>
        <v>3</v>
      </c>
      <c r="AX277" s="387">
        <f>IF(AND(M277="F",AS277&lt;&gt;0),SUMIF(C2:C1334,C277,W2:W1334),0)</f>
        <v>39478.400000000001</v>
      </c>
      <c r="AY277" s="387">
        <f t="shared" si="205"/>
        <v>31582.720000000001</v>
      </c>
      <c r="AZ277" s="387" t="str">
        <f t="shared" si="206"/>
        <v/>
      </c>
      <c r="BA277" s="387">
        <f t="shared" si="207"/>
        <v>0</v>
      </c>
      <c r="BB277" s="387">
        <f t="shared" si="176"/>
        <v>9320</v>
      </c>
      <c r="BC277" s="387">
        <f t="shared" si="177"/>
        <v>0</v>
      </c>
      <c r="BD277" s="387">
        <f t="shared" si="178"/>
        <v>1958.1286400000001</v>
      </c>
      <c r="BE277" s="387">
        <f t="shared" si="179"/>
        <v>457.94944000000004</v>
      </c>
      <c r="BF277" s="387">
        <f t="shared" si="180"/>
        <v>3770.9767680000004</v>
      </c>
      <c r="BG277" s="387">
        <f t="shared" si="181"/>
        <v>227.71141120000001</v>
      </c>
      <c r="BH277" s="387">
        <f t="shared" si="182"/>
        <v>154.75532799999999</v>
      </c>
      <c r="BI277" s="387">
        <f t="shared" si="183"/>
        <v>174.8103552</v>
      </c>
      <c r="BJ277" s="387">
        <f t="shared" si="184"/>
        <v>85.273344000000009</v>
      </c>
      <c r="BK277" s="387">
        <f t="shared" si="185"/>
        <v>0</v>
      </c>
      <c r="BL277" s="387">
        <f t="shared" si="208"/>
        <v>6829.6052864000012</v>
      </c>
      <c r="BM277" s="387">
        <f t="shared" si="209"/>
        <v>0</v>
      </c>
      <c r="BN277" s="387">
        <f t="shared" si="186"/>
        <v>9320</v>
      </c>
      <c r="BO277" s="387">
        <f t="shared" si="187"/>
        <v>0</v>
      </c>
      <c r="BP277" s="387">
        <f t="shared" si="188"/>
        <v>1958.1286400000001</v>
      </c>
      <c r="BQ277" s="387">
        <f t="shared" si="189"/>
        <v>457.94944000000004</v>
      </c>
      <c r="BR277" s="387">
        <f t="shared" si="190"/>
        <v>3770.9767680000004</v>
      </c>
      <c r="BS277" s="387">
        <f t="shared" si="191"/>
        <v>227.71141120000001</v>
      </c>
      <c r="BT277" s="387">
        <f t="shared" si="192"/>
        <v>0</v>
      </c>
      <c r="BU277" s="387">
        <f t="shared" si="193"/>
        <v>174.8103552</v>
      </c>
      <c r="BV277" s="387">
        <f t="shared" si="194"/>
        <v>107.381248</v>
      </c>
      <c r="BW277" s="387">
        <f t="shared" si="195"/>
        <v>0</v>
      </c>
      <c r="BX277" s="387">
        <f t="shared" si="210"/>
        <v>6696.9578624000005</v>
      </c>
      <c r="BY277" s="387">
        <f t="shared" si="211"/>
        <v>0</v>
      </c>
      <c r="BZ277" s="387">
        <f t="shared" si="212"/>
        <v>0</v>
      </c>
      <c r="CA277" s="387">
        <f t="shared" si="213"/>
        <v>0</v>
      </c>
      <c r="CB277" s="387">
        <f t="shared" si="214"/>
        <v>0</v>
      </c>
      <c r="CC277" s="387">
        <f t="shared" si="196"/>
        <v>0</v>
      </c>
      <c r="CD277" s="387">
        <f t="shared" si="197"/>
        <v>0</v>
      </c>
      <c r="CE277" s="387">
        <f t="shared" si="198"/>
        <v>0</v>
      </c>
      <c r="CF277" s="387">
        <f t="shared" si="199"/>
        <v>-154.75532799999999</v>
      </c>
      <c r="CG277" s="387">
        <f t="shared" si="200"/>
        <v>0</v>
      </c>
      <c r="CH277" s="387">
        <f t="shared" si="201"/>
        <v>22.107903999999991</v>
      </c>
      <c r="CI277" s="387">
        <f t="shared" si="202"/>
        <v>0</v>
      </c>
      <c r="CJ277" s="387">
        <f t="shared" si="215"/>
        <v>-132.647424</v>
      </c>
      <c r="CK277" s="387" t="str">
        <f t="shared" si="216"/>
        <v/>
      </c>
      <c r="CL277" s="387" t="str">
        <f t="shared" si="217"/>
        <v/>
      </c>
      <c r="CM277" s="387" t="str">
        <f t="shared" si="218"/>
        <v/>
      </c>
      <c r="CN277" s="387" t="str">
        <f t="shared" si="219"/>
        <v>0348-31</v>
      </c>
    </row>
    <row r="278" spans="1:92" ht="15.75" thickBot="1" x14ac:dyDescent="0.3">
      <c r="A278" s="376" t="s">
        <v>161</v>
      </c>
      <c r="B278" s="376" t="s">
        <v>162</v>
      </c>
      <c r="C278" s="376" t="s">
        <v>670</v>
      </c>
      <c r="D278" s="376" t="s">
        <v>263</v>
      </c>
      <c r="E278" s="376" t="s">
        <v>224</v>
      </c>
      <c r="F278" s="382" t="s">
        <v>225</v>
      </c>
      <c r="G278" s="376" t="s">
        <v>781</v>
      </c>
      <c r="H278" s="378"/>
      <c r="I278" s="378"/>
      <c r="J278" s="376" t="s">
        <v>239</v>
      </c>
      <c r="K278" s="376" t="s">
        <v>264</v>
      </c>
      <c r="L278" s="376" t="s">
        <v>210</v>
      </c>
      <c r="M278" s="376" t="s">
        <v>171</v>
      </c>
      <c r="N278" s="376" t="s">
        <v>172</v>
      </c>
      <c r="O278" s="379">
        <v>1</v>
      </c>
      <c r="P278" s="385">
        <v>0</v>
      </c>
      <c r="Q278" s="385">
        <v>0</v>
      </c>
      <c r="R278" s="380">
        <v>80</v>
      </c>
      <c r="S278" s="385">
        <v>0</v>
      </c>
      <c r="T278" s="380">
        <v>11905.79</v>
      </c>
      <c r="U278" s="380">
        <v>0</v>
      </c>
      <c r="V278" s="380">
        <v>3497.33</v>
      </c>
      <c r="W278" s="380">
        <v>0</v>
      </c>
      <c r="X278" s="380">
        <v>0</v>
      </c>
      <c r="Y278" s="380">
        <v>0</v>
      </c>
      <c r="Z278" s="380">
        <v>0</v>
      </c>
      <c r="AA278" s="376" t="s">
        <v>671</v>
      </c>
      <c r="AB278" s="376" t="s">
        <v>672</v>
      </c>
      <c r="AC278" s="376" t="s">
        <v>673</v>
      </c>
      <c r="AD278" s="376" t="s">
        <v>176</v>
      </c>
      <c r="AE278" s="376" t="s">
        <v>264</v>
      </c>
      <c r="AF278" s="376" t="s">
        <v>245</v>
      </c>
      <c r="AG278" s="376" t="s">
        <v>178</v>
      </c>
      <c r="AH278" s="381">
        <v>27.39</v>
      </c>
      <c r="AI278" s="381">
        <v>5961.5</v>
      </c>
      <c r="AJ278" s="376" t="s">
        <v>179</v>
      </c>
      <c r="AK278" s="376" t="s">
        <v>180</v>
      </c>
      <c r="AL278" s="376" t="s">
        <v>181</v>
      </c>
      <c r="AM278" s="376" t="s">
        <v>182</v>
      </c>
      <c r="AN278" s="376" t="s">
        <v>68</v>
      </c>
      <c r="AO278" s="379">
        <v>80</v>
      </c>
      <c r="AP278" s="385">
        <v>1</v>
      </c>
      <c r="AQ278" s="385">
        <v>0</v>
      </c>
      <c r="AR278" s="383" t="s">
        <v>183</v>
      </c>
      <c r="AS278" s="387">
        <f t="shared" si="203"/>
        <v>0</v>
      </c>
      <c r="AT278">
        <f t="shared" si="204"/>
        <v>0</v>
      </c>
      <c r="AU278" s="387" t="str">
        <f>IF(AT278=0,"",IF(AND(AT278=1,M278="F",SUMIF(C2:C1334,C278,AS2:AS1334)&lt;=1),SUMIF(C2:C1334,C278,AS2:AS1334),IF(AND(AT278=1,M278="F",SUMIF(C2:C1334,C278,AS2:AS1334)&gt;1),1,"")))</f>
        <v/>
      </c>
      <c r="AV278" s="387" t="str">
        <f>IF(AT278=0,"",IF(AND(AT278=3,M278="F",SUMIF(C2:C1334,C278,AS2:AS1334)&lt;=1),SUMIF(C2:C1334,C278,AS2:AS1334),IF(AND(AT278=3,M278="F",SUMIF(C2:C1334,C278,AS2:AS1334)&gt;1),1,"")))</f>
        <v/>
      </c>
      <c r="AW278" s="387">
        <f>SUMIF(C2:C1334,C278,O2:O1334)</f>
        <v>6</v>
      </c>
      <c r="AX278" s="387">
        <f>IF(AND(M278="F",AS278&lt;&gt;0),SUMIF(C2:C1334,C278,W2:W1334),0)</f>
        <v>0</v>
      </c>
      <c r="AY278" s="387" t="str">
        <f t="shared" si="205"/>
        <v/>
      </c>
      <c r="AZ278" s="387" t="str">
        <f t="shared" si="206"/>
        <v/>
      </c>
      <c r="BA278" s="387">
        <f t="shared" si="207"/>
        <v>0</v>
      </c>
      <c r="BB278" s="387">
        <f t="shared" si="176"/>
        <v>0</v>
      </c>
      <c r="BC278" s="387">
        <f t="shared" si="177"/>
        <v>0</v>
      </c>
      <c r="BD278" s="387">
        <f t="shared" si="178"/>
        <v>0</v>
      </c>
      <c r="BE278" s="387">
        <f t="shared" si="179"/>
        <v>0</v>
      </c>
      <c r="BF278" s="387">
        <f t="shared" si="180"/>
        <v>0</v>
      </c>
      <c r="BG278" s="387">
        <f t="shared" si="181"/>
        <v>0</v>
      </c>
      <c r="BH278" s="387">
        <f t="shared" si="182"/>
        <v>0</v>
      </c>
      <c r="BI278" s="387">
        <f t="shared" si="183"/>
        <v>0</v>
      </c>
      <c r="BJ278" s="387">
        <f t="shared" si="184"/>
        <v>0</v>
      </c>
      <c r="BK278" s="387">
        <f t="shared" si="185"/>
        <v>0</v>
      </c>
      <c r="BL278" s="387">
        <f t="shared" si="208"/>
        <v>0</v>
      </c>
      <c r="BM278" s="387">
        <f t="shared" si="209"/>
        <v>0</v>
      </c>
      <c r="BN278" s="387">
        <f t="shared" si="186"/>
        <v>0</v>
      </c>
      <c r="BO278" s="387">
        <f t="shared" si="187"/>
        <v>0</v>
      </c>
      <c r="BP278" s="387">
        <f t="shared" si="188"/>
        <v>0</v>
      </c>
      <c r="BQ278" s="387">
        <f t="shared" si="189"/>
        <v>0</v>
      </c>
      <c r="BR278" s="387">
        <f t="shared" si="190"/>
        <v>0</v>
      </c>
      <c r="BS278" s="387">
        <f t="shared" si="191"/>
        <v>0</v>
      </c>
      <c r="BT278" s="387">
        <f t="shared" si="192"/>
        <v>0</v>
      </c>
      <c r="BU278" s="387">
        <f t="shared" si="193"/>
        <v>0</v>
      </c>
      <c r="BV278" s="387">
        <f t="shared" si="194"/>
        <v>0</v>
      </c>
      <c r="BW278" s="387">
        <f t="shared" si="195"/>
        <v>0</v>
      </c>
      <c r="BX278" s="387">
        <f t="shared" si="210"/>
        <v>0</v>
      </c>
      <c r="BY278" s="387">
        <f t="shared" si="211"/>
        <v>0</v>
      </c>
      <c r="BZ278" s="387">
        <f t="shared" si="212"/>
        <v>0</v>
      </c>
      <c r="CA278" s="387">
        <f t="shared" si="213"/>
        <v>0</v>
      </c>
      <c r="CB278" s="387">
        <f t="shared" si="214"/>
        <v>0</v>
      </c>
      <c r="CC278" s="387">
        <f t="shared" si="196"/>
        <v>0</v>
      </c>
      <c r="CD278" s="387">
        <f t="shared" si="197"/>
        <v>0</v>
      </c>
      <c r="CE278" s="387">
        <f t="shared" si="198"/>
        <v>0</v>
      </c>
      <c r="CF278" s="387">
        <f t="shared" si="199"/>
        <v>0</v>
      </c>
      <c r="CG278" s="387">
        <f t="shared" si="200"/>
        <v>0</v>
      </c>
      <c r="CH278" s="387">
        <f t="shared" si="201"/>
        <v>0</v>
      </c>
      <c r="CI278" s="387">
        <f t="shared" si="202"/>
        <v>0</v>
      </c>
      <c r="CJ278" s="387">
        <f t="shared" si="215"/>
        <v>0</v>
      </c>
      <c r="CK278" s="387" t="str">
        <f t="shared" si="216"/>
        <v/>
      </c>
      <c r="CL278" s="387" t="str">
        <f t="shared" si="217"/>
        <v/>
      </c>
      <c r="CM278" s="387" t="str">
        <f t="shared" si="218"/>
        <v/>
      </c>
      <c r="CN278" s="387" t="str">
        <f t="shared" si="219"/>
        <v>0348-31</v>
      </c>
    </row>
    <row r="279" spans="1:92" ht="15.75" thickBot="1" x14ac:dyDescent="0.3">
      <c r="A279" s="376" t="s">
        <v>161</v>
      </c>
      <c r="B279" s="376" t="s">
        <v>162</v>
      </c>
      <c r="C279" s="376" t="s">
        <v>1038</v>
      </c>
      <c r="D279" s="376" t="s">
        <v>862</v>
      </c>
      <c r="E279" s="376" t="s">
        <v>224</v>
      </c>
      <c r="F279" s="382" t="s">
        <v>225</v>
      </c>
      <c r="G279" s="376" t="s">
        <v>781</v>
      </c>
      <c r="H279" s="378"/>
      <c r="I279" s="378"/>
      <c r="J279" s="376" t="s">
        <v>215</v>
      </c>
      <c r="K279" s="376" t="s">
        <v>863</v>
      </c>
      <c r="L279" s="376" t="s">
        <v>252</v>
      </c>
      <c r="M279" s="376" t="s">
        <v>272</v>
      </c>
      <c r="N279" s="376" t="s">
        <v>172</v>
      </c>
      <c r="O279" s="379">
        <v>0</v>
      </c>
      <c r="P279" s="385">
        <v>0</v>
      </c>
      <c r="Q279" s="385">
        <v>0</v>
      </c>
      <c r="R279" s="380">
        <v>80</v>
      </c>
      <c r="S279" s="385">
        <v>0</v>
      </c>
      <c r="T279" s="380">
        <v>26910.84</v>
      </c>
      <c r="U279" s="380">
        <v>0</v>
      </c>
      <c r="V279" s="380">
        <v>14032.48</v>
      </c>
      <c r="W279" s="380">
        <v>0</v>
      </c>
      <c r="X279" s="380">
        <v>0</v>
      </c>
      <c r="Y279" s="380">
        <v>0</v>
      </c>
      <c r="Z279" s="380">
        <v>0</v>
      </c>
      <c r="AA279" s="378"/>
      <c r="AB279" s="376" t="s">
        <v>45</v>
      </c>
      <c r="AC279" s="376" t="s">
        <v>45</v>
      </c>
      <c r="AD279" s="378"/>
      <c r="AE279" s="378"/>
      <c r="AF279" s="378"/>
      <c r="AG279" s="378"/>
      <c r="AH279" s="379">
        <v>0</v>
      </c>
      <c r="AI279" s="379">
        <v>0</v>
      </c>
      <c r="AJ279" s="378"/>
      <c r="AK279" s="378"/>
      <c r="AL279" s="376" t="s">
        <v>181</v>
      </c>
      <c r="AM279" s="378"/>
      <c r="AN279" s="378"/>
      <c r="AO279" s="379">
        <v>0</v>
      </c>
      <c r="AP279" s="385">
        <v>0</v>
      </c>
      <c r="AQ279" s="385">
        <v>0</v>
      </c>
      <c r="AR279" s="384"/>
      <c r="AS279" s="387">
        <f t="shared" si="203"/>
        <v>0</v>
      </c>
      <c r="AT279">
        <f t="shared" si="204"/>
        <v>0</v>
      </c>
      <c r="AU279" s="387" t="str">
        <f>IF(AT279=0,"",IF(AND(AT279=1,M279="F",SUMIF(C2:C1334,C279,AS2:AS1334)&lt;=1),SUMIF(C2:C1334,C279,AS2:AS1334),IF(AND(AT279=1,M279="F",SUMIF(C2:C1334,C279,AS2:AS1334)&gt;1),1,"")))</f>
        <v/>
      </c>
      <c r="AV279" s="387" t="str">
        <f>IF(AT279=0,"",IF(AND(AT279=3,M279="F",SUMIF(C2:C1334,C279,AS2:AS1334)&lt;=1),SUMIF(C2:C1334,C279,AS2:AS1334),IF(AND(AT279=3,M279="F",SUMIF(C2:C1334,C279,AS2:AS1334)&gt;1),1,"")))</f>
        <v/>
      </c>
      <c r="AW279" s="387">
        <f>SUMIF(C2:C1334,C279,O2:O1334)</f>
        <v>0</v>
      </c>
      <c r="AX279" s="387">
        <f>IF(AND(M279="F",AS279&lt;&gt;0),SUMIF(C2:C1334,C279,W2:W1334),0)</f>
        <v>0</v>
      </c>
      <c r="AY279" s="387" t="str">
        <f t="shared" si="205"/>
        <v/>
      </c>
      <c r="AZ279" s="387" t="str">
        <f t="shared" si="206"/>
        <v/>
      </c>
      <c r="BA279" s="387">
        <f t="shared" si="207"/>
        <v>0</v>
      </c>
      <c r="BB279" s="387">
        <f t="shared" si="176"/>
        <v>0</v>
      </c>
      <c r="BC279" s="387">
        <f t="shared" si="177"/>
        <v>0</v>
      </c>
      <c r="BD279" s="387">
        <f t="shared" si="178"/>
        <v>0</v>
      </c>
      <c r="BE279" s="387">
        <f t="shared" si="179"/>
        <v>0</v>
      </c>
      <c r="BF279" s="387">
        <f t="shared" si="180"/>
        <v>0</v>
      </c>
      <c r="BG279" s="387">
        <f t="shared" si="181"/>
        <v>0</v>
      </c>
      <c r="BH279" s="387">
        <f t="shared" si="182"/>
        <v>0</v>
      </c>
      <c r="BI279" s="387">
        <f t="shared" si="183"/>
        <v>0</v>
      </c>
      <c r="BJ279" s="387">
        <f t="shared" si="184"/>
        <v>0</v>
      </c>
      <c r="BK279" s="387">
        <f t="shared" si="185"/>
        <v>0</v>
      </c>
      <c r="BL279" s="387">
        <f t="shared" si="208"/>
        <v>0</v>
      </c>
      <c r="BM279" s="387">
        <f t="shared" si="209"/>
        <v>0</v>
      </c>
      <c r="BN279" s="387">
        <f t="shared" si="186"/>
        <v>0</v>
      </c>
      <c r="BO279" s="387">
        <f t="shared" si="187"/>
        <v>0</v>
      </c>
      <c r="BP279" s="387">
        <f t="shared" si="188"/>
        <v>0</v>
      </c>
      <c r="BQ279" s="387">
        <f t="shared" si="189"/>
        <v>0</v>
      </c>
      <c r="BR279" s="387">
        <f t="shared" si="190"/>
        <v>0</v>
      </c>
      <c r="BS279" s="387">
        <f t="shared" si="191"/>
        <v>0</v>
      </c>
      <c r="BT279" s="387">
        <f t="shared" si="192"/>
        <v>0</v>
      </c>
      <c r="BU279" s="387">
        <f t="shared" si="193"/>
        <v>0</v>
      </c>
      <c r="BV279" s="387">
        <f t="shared" si="194"/>
        <v>0</v>
      </c>
      <c r="BW279" s="387">
        <f t="shared" si="195"/>
        <v>0</v>
      </c>
      <c r="BX279" s="387">
        <f t="shared" si="210"/>
        <v>0</v>
      </c>
      <c r="BY279" s="387">
        <f t="shared" si="211"/>
        <v>0</v>
      </c>
      <c r="BZ279" s="387">
        <f t="shared" si="212"/>
        <v>0</v>
      </c>
      <c r="CA279" s="387">
        <f t="shared" si="213"/>
        <v>0</v>
      </c>
      <c r="CB279" s="387">
        <f t="shared" si="214"/>
        <v>0</v>
      </c>
      <c r="CC279" s="387">
        <f t="shared" si="196"/>
        <v>0</v>
      </c>
      <c r="CD279" s="387">
        <f t="shared" si="197"/>
        <v>0</v>
      </c>
      <c r="CE279" s="387">
        <f t="shared" si="198"/>
        <v>0</v>
      </c>
      <c r="CF279" s="387">
        <f t="shared" si="199"/>
        <v>0</v>
      </c>
      <c r="CG279" s="387">
        <f t="shared" si="200"/>
        <v>0</v>
      </c>
      <c r="CH279" s="387">
        <f t="shared" si="201"/>
        <v>0</v>
      </c>
      <c r="CI279" s="387">
        <f t="shared" si="202"/>
        <v>0</v>
      </c>
      <c r="CJ279" s="387">
        <f t="shared" si="215"/>
        <v>0</v>
      </c>
      <c r="CK279" s="387" t="str">
        <f t="shared" si="216"/>
        <v/>
      </c>
      <c r="CL279" s="387" t="str">
        <f t="shared" si="217"/>
        <v/>
      </c>
      <c r="CM279" s="387" t="str">
        <f t="shared" si="218"/>
        <v/>
      </c>
      <c r="CN279" s="387" t="str">
        <f t="shared" si="219"/>
        <v>0348-31</v>
      </c>
    </row>
    <row r="280" spans="1:92" ht="15.75" thickBot="1" x14ac:dyDescent="0.3">
      <c r="A280" s="376" t="s">
        <v>161</v>
      </c>
      <c r="B280" s="376" t="s">
        <v>162</v>
      </c>
      <c r="C280" s="376" t="s">
        <v>1039</v>
      </c>
      <c r="D280" s="376" t="s">
        <v>862</v>
      </c>
      <c r="E280" s="376" t="s">
        <v>224</v>
      </c>
      <c r="F280" s="382" t="s">
        <v>225</v>
      </c>
      <c r="G280" s="376" t="s">
        <v>781</v>
      </c>
      <c r="H280" s="378"/>
      <c r="I280" s="378"/>
      <c r="J280" s="376" t="s">
        <v>239</v>
      </c>
      <c r="K280" s="376" t="s">
        <v>863</v>
      </c>
      <c r="L280" s="376" t="s">
        <v>252</v>
      </c>
      <c r="M280" s="376" t="s">
        <v>171</v>
      </c>
      <c r="N280" s="376" t="s">
        <v>172</v>
      </c>
      <c r="O280" s="379">
        <v>1</v>
      </c>
      <c r="P280" s="385">
        <v>0.3</v>
      </c>
      <c r="Q280" s="385">
        <v>0.3</v>
      </c>
      <c r="R280" s="380">
        <v>80</v>
      </c>
      <c r="S280" s="385">
        <v>0.3</v>
      </c>
      <c r="T280" s="380">
        <v>10601.38</v>
      </c>
      <c r="U280" s="380">
        <v>0</v>
      </c>
      <c r="V280" s="380">
        <v>5156.3999999999996</v>
      </c>
      <c r="W280" s="380">
        <v>11787.36</v>
      </c>
      <c r="X280" s="380">
        <v>6044</v>
      </c>
      <c r="Y280" s="380">
        <v>11787.36</v>
      </c>
      <c r="Z280" s="380">
        <v>5994.5</v>
      </c>
      <c r="AA280" s="376" t="s">
        <v>1040</v>
      </c>
      <c r="AB280" s="376" t="s">
        <v>1041</v>
      </c>
      <c r="AC280" s="376" t="s">
        <v>1042</v>
      </c>
      <c r="AD280" s="376" t="s">
        <v>260</v>
      </c>
      <c r="AE280" s="376" t="s">
        <v>863</v>
      </c>
      <c r="AF280" s="376" t="s">
        <v>393</v>
      </c>
      <c r="AG280" s="376" t="s">
        <v>178</v>
      </c>
      <c r="AH280" s="381">
        <v>18.89</v>
      </c>
      <c r="AI280" s="379">
        <v>3200</v>
      </c>
      <c r="AJ280" s="376" t="s">
        <v>179</v>
      </c>
      <c r="AK280" s="376" t="s">
        <v>180</v>
      </c>
      <c r="AL280" s="376" t="s">
        <v>181</v>
      </c>
      <c r="AM280" s="376" t="s">
        <v>182</v>
      </c>
      <c r="AN280" s="376" t="s">
        <v>68</v>
      </c>
      <c r="AO280" s="379">
        <v>80</v>
      </c>
      <c r="AP280" s="385">
        <v>1</v>
      </c>
      <c r="AQ280" s="385">
        <v>0.3</v>
      </c>
      <c r="AR280" s="383" t="s">
        <v>183</v>
      </c>
      <c r="AS280" s="387">
        <f t="shared" si="203"/>
        <v>0.3</v>
      </c>
      <c r="AT280">
        <f t="shared" si="204"/>
        <v>1</v>
      </c>
      <c r="AU280" s="387">
        <f>IF(AT280=0,"",IF(AND(AT280=1,M280="F",SUMIF(C2:C1334,C280,AS2:AS1334)&lt;=1),SUMIF(C2:C1334,C280,AS2:AS1334),IF(AND(AT280=1,M280="F",SUMIF(C2:C1334,C280,AS2:AS1334)&gt;1),1,"")))</f>
        <v>1</v>
      </c>
      <c r="AV280" s="387" t="str">
        <f>IF(AT280=0,"",IF(AND(AT280=3,M280="F",SUMIF(C2:C1334,C280,AS2:AS1334)&lt;=1),SUMIF(C2:C1334,C280,AS2:AS1334),IF(AND(AT280=3,M280="F",SUMIF(C2:C1334,C280,AS2:AS1334)&gt;1),1,"")))</f>
        <v/>
      </c>
      <c r="AW280" s="387">
        <f>SUMIF(C2:C1334,C280,O2:O1334)</f>
        <v>3</v>
      </c>
      <c r="AX280" s="387">
        <f>IF(AND(M280="F",AS280&lt;&gt;0),SUMIF(C2:C1334,C280,W2:W1334),0)</f>
        <v>39291.199999999997</v>
      </c>
      <c r="AY280" s="387">
        <f t="shared" si="205"/>
        <v>11787.36</v>
      </c>
      <c r="AZ280" s="387" t="str">
        <f t="shared" si="206"/>
        <v/>
      </c>
      <c r="BA280" s="387">
        <f t="shared" si="207"/>
        <v>0</v>
      </c>
      <c r="BB280" s="387">
        <f t="shared" si="176"/>
        <v>3495</v>
      </c>
      <c r="BC280" s="387">
        <f t="shared" si="177"/>
        <v>0</v>
      </c>
      <c r="BD280" s="387">
        <f t="shared" si="178"/>
        <v>730.81632000000002</v>
      </c>
      <c r="BE280" s="387">
        <f t="shared" si="179"/>
        <v>170.91672000000003</v>
      </c>
      <c r="BF280" s="387">
        <f t="shared" si="180"/>
        <v>1407.4107840000001</v>
      </c>
      <c r="BG280" s="387">
        <f t="shared" si="181"/>
        <v>84.986865600000002</v>
      </c>
      <c r="BH280" s="387">
        <f t="shared" si="182"/>
        <v>57.758064000000005</v>
      </c>
      <c r="BI280" s="387">
        <f t="shared" si="183"/>
        <v>65.243037600000008</v>
      </c>
      <c r="BJ280" s="387">
        <f t="shared" si="184"/>
        <v>31.825872000000004</v>
      </c>
      <c r="BK280" s="387">
        <f t="shared" si="185"/>
        <v>0</v>
      </c>
      <c r="BL280" s="387">
        <f t="shared" si="208"/>
        <v>2548.9576632000003</v>
      </c>
      <c r="BM280" s="387">
        <f t="shared" si="209"/>
        <v>0</v>
      </c>
      <c r="BN280" s="387">
        <f t="shared" si="186"/>
        <v>3495</v>
      </c>
      <c r="BO280" s="387">
        <f t="shared" si="187"/>
        <v>0</v>
      </c>
      <c r="BP280" s="387">
        <f t="shared" si="188"/>
        <v>730.81632000000002</v>
      </c>
      <c r="BQ280" s="387">
        <f t="shared" si="189"/>
        <v>170.91672000000003</v>
      </c>
      <c r="BR280" s="387">
        <f t="shared" si="190"/>
        <v>1407.4107840000001</v>
      </c>
      <c r="BS280" s="387">
        <f t="shared" si="191"/>
        <v>84.986865600000002</v>
      </c>
      <c r="BT280" s="387">
        <f t="shared" si="192"/>
        <v>0</v>
      </c>
      <c r="BU280" s="387">
        <f t="shared" si="193"/>
        <v>65.243037600000008</v>
      </c>
      <c r="BV280" s="387">
        <f t="shared" si="194"/>
        <v>40.077024000000002</v>
      </c>
      <c r="BW280" s="387">
        <f t="shared" si="195"/>
        <v>0</v>
      </c>
      <c r="BX280" s="387">
        <f t="shared" si="210"/>
        <v>2499.4507512000005</v>
      </c>
      <c r="BY280" s="387">
        <f t="shared" si="211"/>
        <v>0</v>
      </c>
      <c r="BZ280" s="387">
        <f t="shared" si="212"/>
        <v>0</v>
      </c>
      <c r="CA280" s="387">
        <f t="shared" si="213"/>
        <v>0</v>
      </c>
      <c r="CB280" s="387">
        <f t="shared" si="214"/>
        <v>0</v>
      </c>
      <c r="CC280" s="387">
        <f t="shared" si="196"/>
        <v>0</v>
      </c>
      <c r="CD280" s="387">
        <f t="shared" si="197"/>
        <v>0</v>
      </c>
      <c r="CE280" s="387">
        <f t="shared" si="198"/>
        <v>0</v>
      </c>
      <c r="CF280" s="387">
        <f t="shared" si="199"/>
        <v>-57.758064000000005</v>
      </c>
      <c r="CG280" s="387">
        <f t="shared" si="200"/>
        <v>0</v>
      </c>
      <c r="CH280" s="387">
        <f t="shared" si="201"/>
        <v>8.2511519999999958</v>
      </c>
      <c r="CI280" s="387">
        <f t="shared" si="202"/>
        <v>0</v>
      </c>
      <c r="CJ280" s="387">
        <f t="shared" si="215"/>
        <v>-49.506912000000007</v>
      </c>
      <c r="CK280" s="387" t="str">
        <f t="shared" si="216"/>
        <v/>
      </c>
      <c r="CL280" s="387" t="str">
        <f t="shared" si="217"/>
        <v/>
      </c>
      <c r="CM280" s="387" t="str">
        <f t="shared" si="218"/>
        <v/>
      </c>
      <c r="CN280" s="387" t="str">
        <f t="shared" si="219"/>
        <v>0348-31</v>
      </c>
    </row>
    <row r="281" spans="1:92" ht="15.75" thickBot="1" x14ac:dyDescent="0.3">
      <c r="A281" s="376" t="s">
        <v>161</v>
      </c>
      <c r="B281" s="376" t="s">
        <v>162</v>
      </c>
      <c r="C281" s="376" t="s">
        <v>1043</v>
      </c>
      <c r="D281" s="376" t="s">
        <v>998</v>
      </c>
      <c r="E281" s="376" t="s">
        <v>224</v>
      </c>
      <c r="F281" s="382" t="s">
        <v>225</v>
      </c>
      <c r="G281" s="376" t="s">
        <v>781</v>
      </c>
      <c r="H281" s="378"/>
      <c r="I281" s="378"/>
      <c r="J281" s="376" t="s">
        <v>215</v>
      </c>
      <c r="K281" s="376" t="s">
        <v>999</v>
      </c>
      <c r="L281" s="376" t="s">
        <v>170</v>
      </c>
      <c r="M281" s="376" t="s">
        <v>171</v>
      </c>
      <c r="N281" s="376" t="s">
        <v>172</v>
      </c>
      <c r="O281" s="379">
        <v>1</v>
      </c>
      <c r="P281" s="385">
        <v>1</v>
      </c>
      <c r="Q281" s="385">
        <v>1</v>
      </c>
      <c r="R281" s="380">
        <v>80</v>
      </c>
      <c r="S281" s="385">
        <v>1</v>
      </c>
      <c r="T281" s="380">
        <v>48938.41</v>
      </c>
      <c r="U281" s="380">
        <v>0</v>
      </c>
      <c r="V281" s="380">
        <v>21720.82</v>
      </c>
      <c r="W281" s="380">
        <v>50980.800000000003</v>
      </c>
      <c r="X281" s="380">
        <v>22674.560000000001</v>
      </c>
      <c r="Y281" s="380">
        <v>50980.800000000003</v>
      </c>
      <c r="Z281" s="380">
        <v>22460.45</v>
      </c>
      <c r="AA281" s="376" t="s">
        <v>1044</v>
      </c>
      <c r="AB281" s="376" t="s">
        <v>1045</v>
      </c>
      <c r="AC281" s="376" t="s">
        <v>623</v>
      </c>
      <c r="AD281" s="376" t="s">
        <v>577</v>
      </c>
      <c r="AE281" s="376" t="s">
        <v>999</v>
      </c>
      <c r="AF281" s="376" t="s">
        <v>177</v>
      </c>
      <c r="AG281" s="376" t="s">
        <v>178</v>
      </c>
      <c r="AH281" s="381">
        <v>24.51</v>
      </c>
      <c r="AI281" s="381">
        <v>8384.5</v>
      </c>
      <c r="AJ281" s="376" t="s">
        <v>179</v>
      </c>
      <c r="AK281" s="376" t="s">
        <v>180</v>
      </c>
      <c r="AL281" s="376" t="s">
        <v>181</v>
      </c>
      <c r="AM281" s="376" t="s">
        <v>182</v>
      </c>
      <c r="AN281" s="376" t="s">
        <v>68</v>
      </c>
      <c r="AO281" s="379">
        <v>80</v>
      </c>
      <c r="AP281" s="385">
        <v>1</v>
      </c>
      <c r="AQ281" s="385">
        <v>1</v>
      </c>
      <c r="AR281" s="383" t="s">
        <v>183</v>
      </c>
      <c r="AS281" s="387">
        <f t="shared" si="203"/>
        <v>1</v>
      </c>
      <c r="AT281">
        <f t="shared" si="204"/>
        <v>1</v>
      </c>
      <c r="AU281" s="387">
        <f>IF(AT281=0,"",IF(AND(AT281=1,M281="F",SUMIF(C2:C1334,C281,AS2:AS1334)&lt;=1),SUMIF(C2:C1334,C281,AS2:AS1334),IF(AND(AT281=1,M281="F",SUMIF(C2:C1334,C281,AS2:AS1334)&gt;1),1,"")))</f>
        <v>1</v>
      </c>
      <c r="AV281" s="387" t="str">
        <f>IF(AT281=0,"",IF(AND(AT281=3,M281="F",SUMIF(C2:C1334,C281,AS2:AS1334)&lt;=1),SUMIF(C2:C1334,C281,AS2:AS1334),IF(AND(AT281=3,M281="F",SUMIF(C2:C1334,C281,AS2:AS1334)&gt;1),1,"")))</f>
        <v/>
      </c>
      <c r="AW281" s="387">
        <f>SUMIF(C2:C1334,C281,O2:O1334)</f>
        <v>1</v>
      </c>
      <c r="AX281" s="387">
        <f>IF(AND(M281="F",AS281&lt;&gt;0),SUMIF(C2:C1334,C281,W2:W1334),0)</f>
        <v>50980.800000000003</v>
      </c>
      <c r="AY281" s="387">
        <f t="shared" si="205"/>
        <v>50980.800000000003</v>
      </c>
      <c r="AZ281" s="387" t="str">
        <f t="shared" si="206"/>
        <v/>
      </c>
      <c r="BA281" s="387">
        <f t="shared" si="207"/>
        <v>0</v>
      </c>
      <c r="BB281" s="387">
        <f t="shared" si="176"/>
        <v>11650</v>
      </c>
      <c r="BC281" s="387">
        <f t="shared" si="177"/>
        <v>0</v>
      </c>
      <c r="BD281" s="387">
        <f t="shared" si="178"/>
        <v>3160.8096</v>
      </c>
      <c r="BE281" s="387">
        <f t="shared" si="179"/>
        <v>739.22160000000008</v>
      </c>
      <c r="BF281" s="387">
        <f t="shared" si="180"/>
        <v>6087.1075200000005</v>
      </c>
      <c r="BG281" s="387">
        <f t="shared" si="181"/>
        <v>367.57156800000001</v>
      </c>
      <c r="BH281" s="387">
        <f t="shared" si="182"/>
        <v>249.80592000000001</v>
      </c>
      <c r="BI281" s="387">
        <f t="shared" si="183"/>
        <v>282.17872800000004</v>
      </c>
      <c r="BJ281" s="387">
        <f t="shared" si="184"/>
        <v>137.64816000000002</v>
      </c>
      <c r="BK281" s="387">
        <f t="shared" si="185"/>
        <v>0</v>
      </c>
      <c r="BL281" s="387">
        <f t="shared" si="208"/>
        <v>11024.343096000002</v>
      </c>
      <c r="BM281" s="387">
        <f t="shared" si="209"/>
        <v>0</v>
      </c>
      <c r="BN281" s="387">
        <f t="shared" si="186"/>
        <v>11650</v>
      </c>
      <c r="BO281" s="387">
        <f t="shared" si="187"/>
        <v>0</v>
      </c>
      <c r="BP281" s="387">
        <f t="shared" si="188"/>
        <v>3160.8096</v>
      </c>
      <c r="BQ281" s="387">
        <f t="shared" si="189"/>
        <v>739.22160000000008</v>
      </c>
      <c r="BR281" s="387">
        <f t="shared" si="190"/>
        <v>6087.1075200000005</v>
      </c>
      <c r="BS281" s="387">
        <f t="shared" si="191"/>
        <v>367.57156800000001</v>
      </c>
      <c r="BT281" s="387">
        <f t="shared" si="192"/>
        <v>0</v>
      </c>
      <c r="BU281" s="387">
        <f t="shared" si="193"/>
        <v>282.17872800000004</v>
      </c>
      <c r="BV281" s="387">
        <f t="shared" si="194"/>
        <v>173.33472</v>
      </c>
      <c r="BW281" s="387">
        <f t="shared" si="195"/>
        <v>0</v>
      </c>
      <c r="BX281" s="387">
        <f t="shared" si="210"/>
        <v>10810.223736000002</v>
      </c>
      <c r="BY281" s="387">
        <f t="shared" si="211"/>
        <v>0</v>
      </c>
      <c r="BZ281" s="387">
        <f t="shared" si="212"/>
        <v>0</v>
      </c>
      <c r="CA281" s="387">
        <f t="shared" si="213"/>
        <v>0</v>
      </c>
      <c r="CB281" s="387">
        <f t="shared" si="214"/>
        <v>0</v>
      </c>
      <c r="CC281" s="387">
        <f t="shared" si="196"/>
        <v>0</v>
      </c>
      <c r="CD281" s="387">
        <f t="shared" si="197"/>
        <v>0</v>
      </c>
      <c r="CE281" s="387">
        <f t="shared" si="198"/>
        <v>0</v>
      </c>
      <c r="CF281" s="387">
        <f t="shared" si="199"/>
        <v>-249.80592000000001</v>
      </c>
      <c r="CG281" s="387">
        <f t="shared" si="200"/>
        <v>0</v>
      </c>
      <c r="CH281" s="387">
        <f t="shared" si="201"/>
        <v>35.686559999999986</v>
      </c>
      <c r="CI281" s="387">
        <f t="shared" si="202"/>
        <v>0</v>
      </c>
      <c r="CJ281" s="387">
        <f t="shared" si="215"/>
        <v>-214.11936000000003</v>
      </c>
      <c r="CK281" s="387" t="str">
        <f t="shared" si="216"/>
        <v/>
      </c>
      <c r="CL281" s="387" t="str">
        <f t="shared" si="217"/>
        <v/>
      </c>
      <c r="CM281" s="387" t="str">
        <f t="shared" si="218"/>
        <v/>
      </c>
      <c r="CN281" s="387" t="str">
        <f t="shared" si="219"/>
        <v>0348-31</v>
      </c>
    </row>
    <row r="282" spans="1:92" ht="15.75" thickBot="1" x14ac:dyDescent="0.3">
      <c r="A282" s="376" t="s">
        <v>161</v>
      </c>
      <c r="B282" s="376" t="s">
        <v>162</v>
      </c>
      <c r="C282" s="376" t="s">
        <v>1046</v>
      </c>
      <c r="D282" s="376" t="s">
        <v>868</v>
      </c>
      <c r="E282" s="376" t="s">
        <v>224</v>
      </c>
      <c r="F282" s="382" t="s">
        <v>225</v>
      </c>
      <c r="G282" s="376" t="s">
        <v>781</v>
      </c>
      <c r="H282" s="378"/>
      <c r="I282" s="378"/>
      <c r="J282" s="376" t="s">
        <v>215</v>
      </c>
      <c r="K282" s="376" t="s">
        <v>869</v>
      </c>
      <c r="L282" s="376" t="s">
        <v>296</v>
      </c>
      <c r="M282" s="376" t="s">
        <v>171</v>
      </c>
      <c r="N282" s="376" t="s">
        <v>172</v>
      </c>
      <c r="O282" s="379">
        <v>1</v>
      </c>
      <c r="P282" s="385">
        <v>0</v>
      </c>
      <c r="Q282" s="385">
        <v>0</v>
      </c>
      <c r="R282" s="380">
        <v>80</v>
      </c>
      <c r="S282" s="385">
        <v>0</v>
      </c>
      <c r="T282" s="380">
        <v>35243.07</v>
      </c>
      <c r="U282" s="380">
        <v>0</v>
      </c>
      <c r="V282" s="380">
        <v>16700.48</v>
      </c>
      <c r="W282" s="380">
        <v>0</v>
      </c>
      <c r="X282" s="380">
        <v>0</v>
      </c>
      <c r="Y282" s="380">
        <v>0</v>
      </c>
      <c r="Z282" s="380">
        <v>0</v>
      </c>
      <c r="AA282" s="376" t="s">
        <v>1047</v>
      </c>
      <c r="AB282" s="376" t="s">
        <v>577</v>
      </c>
      <c r="AC282" s="376" t="s">
        <v>1048</v>
      </c>
      <c r="AD282" s="376" t="s">
        <v>1049</v>
      </c>
      <c r="AE282" s="376" t="s">
        <v>873</v>
      </c>
      <c r="AF282" s="376" t="s">
        <v>393</v>
      </c>
      <c r="AG282" s="376" t="s">
        <v>178</v>
      </c>
      <c r="AH282" s="381">
        <v>20.2</v>
      </c>
      <c r="AI282" s="381">
        <v>1598.2</v>
      </c>
      <c r="AJ282" s="376" t="s">
        <v>179</v>
      </c>
      <c r="AK282" s="376" t="s">
        <v>180</v>
      </c>
      <c r="AL282" s="376" t="s">
        <v>181</v>
      </c>
      <c r="AM282" s="376" t="s">
        <v>182</v>
      </c>
      <c r="AN282" s="376" t="s">
        <v>68</v>
      </c>
      <c r="AO282" s="379">
        <v>80</v>
      </c>
      <c r="AP282" s="385">
        <v>1</v>
      </c>
      <c r="AQ282" s="385">
        <v>0</v>
      </c>
      <c r="AR282" s="383">
        <v>3</v>
      </c>
      <c r="AS282" s="387">
        <f t="shared" si="203"/>
        <v>0</v>
      </c>
      <c r="AT282">
        <f t="shared" si="204"/>
        <v>0</v>
      </c>
      <c r="AU282" s="387" t="str">
        <f>IF(AT282=0,"",IF(AND(AT282=1,M282="F",SUMIF(C2:C1334,C282,AS2:AS1334)&lt;=1),SUMIF(C2:C1334,C282,AS2:AS1334),IF(AND(AT282=1,M282="F",SUMIF(C2:C1334,C282,AS2:AS1334)&gt;1),1,"")))</f>
        <v/>
      </c>
      <c r="AV282" s="387" t="str">
        <f>IF(AT282=0,"",IF(AND(AT282=3,M282="F",SUMIF(C2:C1334,C282,AS2:AS1334)&lt;=1),SUMIF(C2:C1334,C282,AS2:AS1334),IF(AND(AT282=3,M282="F",SUMIF(C2:C1334,C282,AS2:AS1334)&gt;1),1,"")))</f>
        <v/>
      </c>
      <c r="AW282" s="387">
        <f>SUMIF(C2:C1334,C282,O2:O1334)</f>
        <v>2</v>
      </c>
      <c r="AX282" s="387">
        <f>IF(AND(M282="F",AS282&lt;&gt;0),SUMIF(C2:C1334,C282,W2:W1334),0)</f>
        <v>0</v>
      </c>
      <c r="AY282" s="387" t="str">
        <f t="shared" si="205"/>
        <v/>
      </c>
      <c r="AZ282" s="387" t="str">
        <f t="shared" si="206"/>
        <v/>
      </c>
      <c r="BA282" s="387">
        <f t="shared" si="207"/>
        <v>0</v>
      </c>
      <c r="BB282" s="387">
        <f t="shared" si="176"/>
        <v>0</v>
      </c>
      <c r="BC282" s="387">
        <f t="shared" si="177"/>
        <v>0</v>
      </c>
      <c r="BD282" s="387">
        <f t="shared" si="178"/>
        <v>0</v>
      </c>
      <c r="BE282" s="387">
        <f t="shared" si="179"/>
        <v>0</v>
      </c>
      <c r="BF282" s="387">
        <f t="shared" si="180"/>
        <v>0</v>
      </c>
      <c r="BG282" s="387">
        <f t="shared" si="181"/>
        <v>0</v>
      </c>
      <c r="BH282" s="387">
        <f t="shared" si="182"/>
        <v>0</v>
      </c>
      <c r="BI282" s="387">
        <f t="shared" si="183"/>
        <v>0</v>
      </c>
      <c r="BJ282" s="387">
        <f t="shared" si="184"/>
        <v>0</v>
      </c>
      <c r="BK282" s="387">
        <f t="shared" si="185"/>
        <v>0</v>
      </c>
      <c r="BL282" s="387">
        <f t="shared" si="208"/>
        <v>0</v>
      </c>
      <c r="BM282" s="387">
        <f t="shared" si="209"/>
        <v>0</v>
      </c>
      <c r="BN282" s="387">
        <f t="shared" si="186"/>
        <v>0</v>
      </c>
      <c r="BO282" s="387">
        <f t="shared" si="187"/>
        <v>0</v>
      </c>
      <c r="BP282" s="387">
        <f t="shared" si="188"/>
        <v>0</v>
      </c>
      <c r="BQ282" s="387">
        <f t="shared" si="189"/>
        <v>0</v>
      </c>
      <c r="BR282" s="387">
        <f t="shared" si="190"/>
        <v>0</v>
      </c>
      <c r="BS282" s="387">
        <f t="shared" si="191"/>
        <v>0</v>
      </c>
      <c r="BT282" s="387">
        <f t="shared" si="192"/>
        <v>0</v>
      </c>
      <c r="BU282" s="387">
        <f t="shared" si="193"/>
        <v>0</v>
      </c>
      <c r="BV282" s="387">
        <f t="shared" si="194"/>
        <v>0</v>
      </c>
      <c r="BW282" s="387">
        <f t="shared" si="195"/>
        <v>0</v>
      </c>
      <c r="BX282" s="387">
        <f t="shared" si="210"/>
        <v>0</v>
      </c>
      <c r="BY282" s="387">
        <f t="shared" si="211"/>
        <v>0</v>
      </c>
      <c r="BZ282" s="387">
        <f t="shared" si="212"/>
        <v>0</v>
      </c>
      <c r="CA282" s="387">
        <f t="shared" si="213"/>
        <v>0</v>
      </c>
      <c r="CB282" s="387">
        <f t="shared" si="214"/>
        <v>0</v>
      </c>
      <c r="CC282" s="387">
        <f t="shared" si="196"/>
        <v>0</v>
      </c>
      <c r="CD282" s="387">
        <f t="shared" si="197"/>
        <v>0</v>
      </c>
      <c r="CE282" s="387">
        <f t="shared" si="198"/>
        <v>0</v>
      </c>
      <c r="CF282" s="387">
        <f t="shared" si="199"/>
        <v>0</v>
      </c>
      <c r="CG282" s="387">
        <f t="shared" si="200"/>
        <v>0</v>
      </c>
      <c r="CH282" s="387">
        <f t="shared" si="201"/>
        <v>0</v>
      </c>
      <c r="CI282" s="387">
        <f t="shared" si="202"/>
        <v>0</v>
      </c>
      <c r="CJ282" s="387">
        <f t="shared" si="215"/>
        <v>0</v>
      </c>
      <c r="CK282" s="387" t="str">
        <f t="shared" si="216"/>
        <v/>
      </c>
      <c r="CL282" s="387" t="str">
        <f t="shared" si="217"/>
        <v/>
      </c>
      <c r="CM282" s="387" t="str">
        <f t="shared" si="218"/>
        <v/>
      </c>
      <c r="CN282" s="387" t="str">
        <f t="shared" si="219"/>
        <v>0348-31</v>
      </c>
    </row>
    <row r="283" spans="1:92" ht="15.75" thickBot="1" x14ac:dyDescent="0.3">
      <c r="A283" s="376" t="s">
        <v>161</v>
      </c>
      <c r="B283" s="376" t="s">
        <v>162</v>
      </c>
      <c r="C283" s="376" t="s">
        <v>1050</v>
      </c>
      <c r="D283" s="376" t="s">
        <v>862</v>
      </c>
      <c r="E283" s="376" t="s">
        <v>224</v>
      </c>
      <c r="F283" s="382" t="s">
        <v>225</v>
      </c>
      <c r="G283" s="376" t="s">
        <v>781</v>
      </c>
      <c r="H283" s="378"/>
      <c r="I283" s="378"/>
      <c r="J283" s="376" t="s">
        <v>215</v>
      </c>
      <c r="K283" s="376" t="s">
        <v>863</v>
      </c>
      <c r="L283" s="376" t="s">
        <v>252</v>
      </c>
      <c r="M283" s="376" t="s">
        <v>272</v>
      </c>
      <c r="N283" s="376" t="s">
        <v>172</v>
      </c>
      <c r="O283" s="379">
        <v>0</v>
      </c>
      <c r="P283" s="385">
        <v>0</v>
      </c>
      <c r="Q283" s="385">
        <v>0</v>
      </c>
      <c r="R283" s="380">
        <v>80</v>
      </c>
      <c r="S283" s="385">
        <v>0</v>
      </c>
      <c r="T283" s="380">
        <v>222.08</v>
      </c>
      <c r="U283" s="380">
        <v>0</v>
      </c>
      <c r="V283" s="380">
        <v>41.74</v>
      </c>
      <c r="W283" s="380">
        <v>0</v>
      </c>
      <c r="X283" s="380">
        <v>0</v>
      </c>
      <c r="Y283" s="380">
        <v>0</v>
      </c>
      <c r="Z283" s="380">
        <v>0</v>
      </c>
      <c r="AA283" s="378"/>
      <c r="AB283" s="376" t="s">
        <v>45</v>
      </c>
      <c r="AC283" s="376" t="s">
        <v>45</v>
      </c>
      <c r="AD283" s="378"/>
      <c r="AE283" s="378"/>
      <c r="AF283" s="378"/>
      <c r="AG283" s="378"/>
      <c r="AH283" s="379">
        <v>0</v>
      </c>
      <c r="AI283" s="379">
        <v>0</v>
      </c>
      <c r="AJ283" s="378"/>
      <c r="AK283" s="378"/>
      <c r="AL283" s="376" t="s">
        <v>181</v>
      </c>
      <c r="AM283" s="378"/>
      <c r="AN283" s="378"/>
      <c r="AO283" s="379">
        <v>0</v>
      </c>
      <c r="AP283" s="385">
        <v>0</v>
      </c>
      <c r="AQ283" s="385">
        <v>0</v>
      </c>
      <c r="AR283" s="384"/>
      <c r="AS283" s="387">
        <f t="shared" si="203"/>
        <v>0</v>
      </c>
      <c r="AT283">
        <f t="shared" si="204"/>
        <v>0</v>
      </c>
      <c r="AU283" s="387" t="str">
        <f>IF(AT283=0,"",IF(AND(AT283=1,M283="F",SUMIF(C2:C1334,C283,AS2:AS1334)&lt;=1),SUMIF(C2:C1334,C283,AS2:AS1334),IF(AND(AT283=1,M283="F",SUMIF(C2:C1334,C283,AS2:AS1334)&gt;1),1,"")))</f>
        <v/>
      </c>
      <c r="AV283" s="387" t="str">
        <f>IF(AT283=0,"",IF(AND(AT283=3,M283="F",SUMIF(C2:C1334,C283,AS2:AS1334)&lt;=1),SUMIF(C2:C1334,C283,AS2:AS1334),IF(AND(AT283=3,M283="F",SUMIF(C2:C1334,C283,AS2:AS1334)&gt;1),1,"")))</f>
        <v/>
      </c>
      <c r="AW283" s="387">
        <f>SUMIF(C2:C1334,C283,O2:O1334)</f>
        <v>0</v>
      </c>
      <c r="AX283" s="387">
        <f>IF(AND(M283="F",AS283&lt;&gt;0),SUMIF(C2:C1334,C283,W2:W1334),0)</f>
        <v>0</v>
      </c>
      <c r="AY283" s="387" t="str">
        <f t="shared" si="205"/>
        <v/>
      </c>
      <c r="AZ283" s="387" t="str">
        <f t="shared" si="206"/>
        <v/>
      </c>
      <c r="BA283" s="387">
        <f t="shared" si="207"/>
        <v>0</v>
      </c>
      <c r="BB283" s="387">
        <f t="shared" si="176"/>
        <v>0</v>
      </c>
      <c r="BC283" s="387">
        <f t="shared" si="177"/>
        <v>0</v>
      </c>
      <c r="BD283" s="387">
        <f t="shared" si="178"/>
        <v>0</v>
      </c>
      <c r="BE283" s="387">
        <f t="shared" si="179"/>
        <v>0</v>
      </c>
      <c r="BF283" s="387">
        <f t="shared" si="180"/>
        <v>0</v>
      </c>
      <c r="BG283" s="387">
        <f t="shared" si="181"/>
        <v>0</v>
      </c>
      <c r="BH283" s="387">
        <f t="shared" si="182"/>
        <v>0</v>
      </c>
      <c r="BI283" s="387">
        <f t="shared" si="183"/>
        <v>0</v>
      </c>
      <c r="BJ283" s="387">
        <f t="shared" si="184"/>
        <v>0</v>
      </c>
      <c r="BK283" s="387">
        <f t="shared" si="185"/>
        <v>0</v>
      </c>
      <c r="BL283" s="387">
        <f t="shared" si="208"/>
        <v>0</v>
      </c>
      <c r="BM283" s="387">
        <f t="shared" si="209"/>
        <v>0</v>
      </c>
      <c r="BN283" s="387">
        <f t="shared" si="186"/>
        <v>0</v>
      </c>
      <c r="BO283" s="387">
        <f t="shared" si="187"/>
        <v>0</v>
      </c>
      <c r="BP283" s="387">
        <f t="shared" si="188"/>
        <v>0</v>
      </c>
      <c r="BQ283" s="387">
        <f t="shared" si="189"/>
        <v>0</v>
      </c>
      <c r="BR283" s="387">
        <f t="shared" si="190"/>
        <v>0</v>
      </c>
      <c r="BS283" s="387">
        <f t="shared" si="191"/>
        <v>0</v>
      </c>
      <c r="BT283" s="387">
        <f t="shared" si="192"/>
        <v>0</v>
      </c>
      <c r="BU283" s="387">
        <f t="shared" si="193"/>
        <v>0</v>
      </c>
      <c r="BV283" s="387">
        <f t="shared" si="194"/>
        <v>0</v>
      </c>
      <c r="BW283" s="387">
        <f t="shared" si="195"/>
        <v>0</v>
      </c>
      <c r="BX283" s="387">
        <f t="shared" si="210"/>
        <v>0</v>
      </c>
      <c r="BY283" s="387">
        <f t="shared" si="211"/>
        <v>0</v>
      </c>
      <c r="BZ283" s="387">
        <f t="shared" si="212"/>
        <v>0</v>
      </c>
      <c r="CA283" s="387">
        <f t="shared" si="213"/>
        <v>0</v>
      </c>
      <c r="CB283" s="387">
        <f t="shared" si="214"/>
        <v>0</v>
      </c>
      <c r="CC283" s="387">
        <f t="shared" si="196"/>
        <v>0</v>
      </c>
      <c r="CD283" s="387">
        <f t="shared" si="197"/>
        <v>0</v>
      </c>
      <c r="CE283" s="387">
        <f t="shared" si="198"/>
        <v>0</v>
      </c>
      <c r="CF283" s="387">
        <f t="shared" si="199"/>
        <v>0</v>
      </c>
      <c r="CG283" s="387">
        <f t="shared" si="200"/>
        <v>0</v>
      </c>
      <c r="CH283" s="387">
        <f t="shared" si="201"/>
        <v>0</v>
      </c>
      <c r="CI283" s="387">
        <f t="shared" si="202"/>
        <v>0</v>
      </c>
      <c r="CJ283" s="387">
        <f t="shared" si="215"/>
        <v>0</v>
      </c>
      <c r="CK283" s="387" t="str">
        <f t="shared" si="216"/>
        <v/>
      </c>
      <c r="CL283" s="387" t="str">
        <f t="shared" si="217"/>
        <v/>
      </c>
      <c r="CM283" s="387" t="str">
        <f t="shared" si="218"/>
        <v/>
      </c>
      <c r="CN283" s="387" t="str">
        <f t="shared" si="219"/>
        <v>0348-31</v>
      </c>
    </row>
    <row r="284" spans="1:92" ht="15.75" thickBot="1" x14ac:dyDescent="0.3">
      <c r="A284" s="376" t="s">
        <v>161</v>
      </c>
      <c r="B284" s="376" t="s">
        <v>162</v>
      </c>
      <c r="C284" s="376" t="s">
        <v>1051</v>
      </c>
      <c r="D284" s="376" t="s">
        <v>862</v>
      </c>
      <c r="E284" s="376" t="s">
        <v>224</v>
      </c>
      <c r="F284" s="382" t="s">
        <v>225</v>
      </c>
      <c r="G284" s="376" t="s">
        <v>781</v>
      </c>
      <c r="H284" s="378"/>
      <c r="I284" s="378"/>
      <c r="J284" s="376" t="s">
        <v>215</v>
      </c>
      <c r="K284" s="376" t="s">
        <v>863</v>
      </c>
      <c r="L284" s="376" t="s">
        <v>252</v>
      </c>
      <c r="M284" s="376" t="s">
        <v>171</v>
      </c>
      <c r="N284" s="376" t="s">
        <v>172</v>
      </c>
      <c r="O284" s="379">
        <v>1</v>
      </c>
      <c r="P284" s="385">
        <v>1</v>
      </c>
      <c r="Q284" s="385">
        <v>1</v>
      </c>
      <c r="R284" s="380">
        <v>80</v>
      </c>
      <c r="S284" s="385">
        <v>1</v>
      </c>
      <c r="T284" s="380">
        <v>28501.919999999998</v>
      </c>
      <c r="U284" s="380">
        <v>0</v>
      </c>
      <c r="V284" s="380">
        <v>16455.84</v>
      </c>
      <c r="W284" s="380">
        <v>42036.800000000003</v>
      </c>
      <c r="X284" s="380">
        <v>20740.43</v>
      </c>
      <c r="Y284" s="380">
        <v>42036.800000000003</v>
      </c>
      <c r="Z284" s="380">
        <v>20563.88</v>
      </c>
      <c r="AA284" s="376" t="s">
        <v>1052</v>
      </c>
      <c r="AB284" s="376" t="s">
        <v>1053</v>
      </c>
      <c r="AC284" s="376" t="s">
        <v>1054</v>
      </c>
      <c r="AD284" s="376" t="s">
        <v>1055</v>
      </c>
      <c r="AE284" s="376" t="s">
        <v>863</v>
      </c>
      <c r="AF284" s="376" t="s">
        <v>393</v>
      </c>
      <c r="AG284" s="376" t="s">
        <v>178</v>
      </c>
      <c r="AH284" s="381">
        <v>20.21</v>
      </c>
      <c r="AI284" s="381">
        <v>9047.5</v>
      </c>
      <c r="AJ284" s="376" t="s">
        <v>179</v>
      </c>
      <c r="AK284" s="376" t="s">
        <v>180</v>
      </c>
      <c r="AL284" s="376" t="s">
        <v>181</v>
      </c>
      <c r="AM284" s="376" t="s">
        <v>182</v>
      </c>
      <c r="AN284" s="376" t="s">
        <v>68</v>
      </c>
      <c r="AO284" s="379">
        <v>80</v>
      </c>
      <c r="AP284" s="385">
        <v>1</v>
      </c>
      <c r="AQ284" s="385">
        <v>1</v>
      </c>
      <c r="AR284" s="383" t="s">
        <v>183</v>
      </c>
      <c r="AS284" s="387">
        <f t="shared" si="203"/>
        <v>1</v>
      </c>
      <c r="AT284">
        <f t="shared" si="204"/>
        <v>1</v>
      </c>
      <c r="AU284" s="387">
        <f>IF(AT284=0,"",IF(AND(AT284=1,M284="F",SUMIF(C2:C1334,C284,AS2:AS1334)&lt;=1),SUMIF(C2:C1334,C284,AS2:AS1334),IF(AND(AT284=1,M284="F",SUMIF(C2:C1334,C284,AS2:AS1334)&gt;1),1,"")))</f>
        <v>1</v>
      </c>
      <c r="AV284" s="387" t="str">
        <f>IF(AT284=0,"",IF(AND(AT284=3,M284="F",SUMIF(C2:C1334,C284,AS2:AS1334)&lt;=1),SUMIF(C2:C1334,C284,AS2:AS1334),IF(AND(AT284=3,M284="F",SUMIF(C2:C1334,C284,AS2:AS1334)&gt;1),1,"")))</f>
        <v/>
      </c>
      <c r="AW284" s="387">
        <f>SUMIF(C2:C1334,C284,O2:O1334)</f>
        <v>3</v>
      </c>
      <c r="AX284" s="387">
        <f>IF(AND(M284="F",AS284&lt;&gt;0),SUMIF(C2:C1334,C284,W2:W1334),0)</f>
        <v>42036.800000000003</v>
      </c>
      <c r="AY284" s="387">
        <f t="shared" si="205"/>
        <v>42036.800000000003</v>
      </c>
      <c r="AZ284" s="387" t="str">
        <f t="shared" si="206"/>
        <v/>
      </c>
      <c r="BA284" s="387">
        <f t="shared" si="207"/>
        <v>0</v>
      </c>
      <c r="BB284" s="387">
        <f t="shared" si="176"/>
        <v>11650</v>
      </c>
      <c r="BC284" s="387">
        <f t="shared" si="177"/>
        <v>0</v>
      </c>
      <c r="BD284" s="387">
        <f t="shared" si="178"/>
        <v>2606.2816000000003</v>
      </c>
      <c r="BE284" s="387">
        <f t="shared" si="179"/>
        <v>609.53360000000009</v>
      </c>
      <c r="BF284" s="387">
        <f t="shared" si="180"/>
        <v>5019.1939200000006</v>
      </c>
      <c r="BG284" s="387">
        <f t="shared" si="181"/>
        <v>303.085328</v>
      </c>
      <c r="BH284" s="387">
        <f t="shared" si="182"/>
        <v>205.98032000000001</v>
      </c>
      <c r="BI284" s="387">
        <f t="shared" si="183"/>
        <v>232.67368800000003</v>
      </c>
      <c r="BJ284" s="387">
        <f t="shared" si="184"/>
        <v>113.49936000000001</v>
      </c>
      <c r="BK284" s="387">
        <f t="shared" si="185"/>
        <v>0</v>
      </c>
      <c r="BL284" s="387">
        <f t="shared" si="208"/>
        <v>9090.247816000001</v>
      </c>
      <c r="BM284" s="387">
        <f t="shared" si="209"/>
        <v>0</v>
      </c>
      <c r="BN284" s="387">
        <f t="shared" si="186"/>
        <v>11650</v>
      </c>
      <c r="BO284" s="387">
        <f t="shared" si="187"/>
        <v>0</v>
      </c>
      <c r="BP284" s="387">
        <f t="shared" si="188"/>
        <v>2606.2816000000003</v>
      </c>
      <c r="BQ284" s="387">
        <f t="shared" si="189"/>
        <v>609.53360000000009</v>
      </c>
      <c r="BR284" s="387">
        <f t="shared" si="190"/>
        <v>5019.1939200000006</v>
      </c>
      <c r="BS284" s="387">
        <f t="shared" si="191"/>
        <v>303.085328</v>
      </c>
      <c r="BT284" s="387">
        <f t="shared" si="192"/>
        <v>0</v>
      </c>
      <c r="BU284" s="387">
        <f t="shared" si="193"/>
        <v>232.67368800000003</v>
      </c>
      <c r="BV284" s="387">
        <f t="shared" si="194"/>
        <v>142.92511999999999</v>
      </c>
      <c r="BW284" s="387">
        <f t="shared" si="195"/>
        <v>0</v>
      </c>
      <c r="BX284" s="387">
        <f t="shared" si="210"/>
        <v>8913.6932560000005</v>
      </c>
      <c r="BY284" s="387">
        <f t="shared" si="211"/>
        <v>0</v>
      </c>
      <c r="BZ284" s="387">
        <f t="shared" si="212"/>
        <v>0</v>
      </c>
      <c r="CA284" s="387">
        <f t="shared" si="213"/>
        <v>0</v>
      </c>
      <c r="CB284" s="387">
        <f t="shared" si="214"/>
        <v>0</v>
      </c>
      <c r="CC284" s="387">
        <f t="shared" si="196"/>
        <v>0</v>
      </c>
      <c r="CD284" s="387">
        <f t="shared" si="197"/>
        <v>0</v>
      </c>
      <c r="CE284" s="387">
        <f t="shared" si="198"/>
        <v>0</v>
      </c>
      <c r="CF284" s="387">
        <f t="shared" si="199"/>
        <v>-205.98032000000001</v>
      </c>
      <c r="CG284" s="387">
        <f t="shared" si="200"/>
        <v>0</v>
      </c>
      <c r="CH284" s="387">
        <f t="shared" si="201"/>
        <v>29.42575999999999</v>
      </c>
      <c r="CI284" s="387">
        <f t="shared" si="202"/>
        <v>0</v>
      </c>
      <c r="CJ284" s="387">
        <f t="shared" si="215"/>
        <v>-176.55456000000001</v>
      </c>
      <c r="CK284" s="387" t="str">
        <f t="shared" si="216"/>
        <v/>
      </c>
      <c r="CL284" s="387" t="str">
        <f t="shared" si="217"/>
        <v/>
      </c>
      <c r="CM284" s="387" t="str">
        <f t="shared" si="218"/>
        <v/>
      </c>
      <c r="CN284" s="387" t="str">
        <f t="shared" si="219"/>
        <v>0348-31</v>
      </c>
    </row>
    <row r="285" spans="1:92" ht="15.75" thickBot="1" x14ac:dyDescent="0.3">
      <c r="A285" s="376" t="s">
        <v>161</v>
      </c>
      <c r="B285" s="376" t="s">
        <v>162</v>
      </c>
      <c r="C285" s="376" t="s">
        <v>523</v>
      </c>
      <c r="D285" s="376" t="s">
        <v>524</v>
      </c>
      <c r="E285" s="376" t="s">
        <v>224</v>
      </c>
      <c r="F285" s="382" t="s">
        <v>225</v>
      </c>
      <c r="G285" s="376" t="s">
        <v>781</v>
      </c>
      <c r="H285" s="378"/>
      <c r="I285" s="378"/>
      <c r="J285" s="376" t="s">
        <v>215</v>
      </c>
      <c r="K285" s="376" t="s">
        <v>525</v>
      </c>
      <c r="L285" s="376" t="s">
        <v>170</v>
      </c>
      <c r="M285" s="376" t="s">
        <v>171</v>
      </c>
      <c r="N285" s="376" t="s">
        <v>172</v>
      </c>
      <c r="O285" s="379">
        <v>1</v>
      </c>
      <c r="P285" s="385">
        <v>0</v>
      </c>
      <c r="Q285" s="385">
        <v>0</v>
      </c>
      <c r="R285" s="380">
        <v>80</v>
      </c>
      <c r="S285" s="385">
        <v>0</v>
      </c>
      <c r="T285" s="380">
        <v>4846.76</v>
      </c>
      <c r="U285" s="380">
        <v>0</v>
      </c>
      <c r="V285" s="380">
        <v>2231.8000000000002</v>
      </c>
      <c r="W285" s="380">
        <v>0</v>
      </c>
      <c r="X285" s="380">
        <v>0</v>
      </c>
      <c r="Y285" s="380">
        <v>0</v>
      </c>
      <c r="Z285" s="380">
        <v>0</v>
      </c>
      <c r="AA285" s="376" t="s">
        <v>526</v>
      </c>
      <c r="AB285" s="376" t="s">
        <v>527</v>
      </c>
      <c r="AC285" s="376" t="s">
        <v>528</v>
      </c>
      <c r="AD285" s="376" t="s">
        <v>324</v>
      </c>
      <c r="AE285" s="376" t="s">
        <v>525</v>
      </c>
      <c r="AF285" s="376" t="s">
        <v>177</v>
      </c>
      <c r="AG285" s="376" t="s">
        <v>178</v>
      </c>
      <c r="AH285" s="379">
        <v>23</v>
      </c>
      <c r="AI285" s="379">
        <v>80</v>
      </c>
      <c r="AJ285" s="376" t="s">
        <v>179</v>
      </c>
      <c r="AK285" s="376" t="s">
        <v>180</v>
      </c>
      <c r="AL285" s="376" t="s">
        <v>181</v>
      </c>
      <c r="AM285" s="376" t="s">
        <v>182</v>
      </c>
      <c r="AN285" s="376" t="s">
        <v>68</v>
      </c>
      <c r="AO285" s="379">
        <v>80</v>
      </c>
      <c r="AP285" s="385">
        <v>1</v>
      </c>
      <c r="AQ285" s="385">
        <v>0</v>
      </c>
      <c r="AR285" s="383" t="s">
        <v>183</v>
      </c>
      <c r="AS285" s="387">
        <f t="shared" si="203"/>
        <v>0</v>
      </c>
      <c r="AT285">
        <f t="shared" si="204"/>
        <v>0</v>
      </c>
      <c r="AU285" s="387" t="str">
        <f>IF(AT285=0,"",IF(AND(AT285=1,M285="F",SUMIF(C2:C1334,C285,AS2:AS1334)&lt;=1),SUMIF(C2:C1334,C285,AS2:AS1334),IF(AND(AT285=1,M285="F",SUMIF(C2:C1334,C285,AS2:AS1334)&gt;1),1,"")))</f>
        <v/>
      </c>
      <c r="AV285" s="387" t="str">
        <f>IF(AT285=0,"",IF(AND(AT285=3,M285="F",SUMIF(C2:C1334,C285,AS2:AS1334)&lt;=1),SUMIF(C2:C1334,C285,AS2:AS1334),IF(AND(AT285=3,M285="F",SUMIF(C2:C1334,C285,AS2:AS1334)&gt;1),1,"")))</f>
        <v/>
      </c>
      <c r="AW285" s="387">
        <f>SUMIF(C2:C1334,C285,O2:O1334)</f>
        <v>4</v>
      </c>
      <c r="AX285" s="387">
        <f>IF(AND(M285="F",AS285&lt;&gt;0),SUMIF(C2:C1334,C285,W2:W1334),0)</f>
        <v>0</v>
      </c>
      <c r="AY285" s="387" t="str">
        <f t="shared" si="205"/>
        <v/>
      </c>
      <c r="AZ285" s="387" t="str">
        <f t="shared" si="206"/>
        <v/>
      </c>
      <c r="BA285" s="387">
        <f t="shared" si="207"/>
        <v>0</v>
      </c>
      <c r="BB285" s="387">
        <f t="shared" si="176"/>
        <v>0</v>
      </c>
      <c r="BC285" s="387">
        <f t="shared" si="177"/>
        <v>0</v>
      </c>
      <c r="BD285" s="387">
        <f t="shared" si="178"/>
        <v>0</v>
      </c>
      <c r="BE285" s="387">
        <f t="shared" si="179"/>
        <v>0</v>
      </c>
      <c r="BF285" s="387">
        <f t="shared" si="180"/>
        <v>0</v>
      </c>
      <c r="BG285" s="387">
        <f t="shared" si="181"/>
        <v>0</v>
      </c>
      <c r="BH285" s="387">
        <f t="shared" si="182"/>
        <v>0</v>
      </c>
      <c r="BI285" s="387">
        <f t="shared" si="183"/>
        <v>0</v>
      </c>
      <c r="BJ285" s="387">
        <f t="shared" si="184"/>
        <v>0</v>
      </c>
      <c r="BK285" s="387">
        <f t="shared" si="185"/>
        <v>0</v>
      </c>
      <c r="BL285" s="387">
        <f t="shared" si="208"/>
        <v>0</v>
      </c>
      <c r="BM285" s="387">
        <f t="shared" si="209"/>
        <v>0</v>
      </c>
      <c r="BN285" s="387">
        <f t="shared" si="186"/>
        <v>0</v>
      </c>
      <c r="BO285" s="387">
        <f t="shared" si="187"/>
        <v>0</v>
      </c>
      <c r="BP285" s="387">
        <f t="shared" si="188"/>
        <v>0</v>
      </c>
      <c r="BQ285" s="387">
        <f t="shared" si="189"/>
        <v>0</v>
      </c>
      <c r="BR285" s="387">
        <f t="shared" si="190"/>
        <v>0</v>
      </c>
      <c r="BS285" s="387">
        <f t="shared" si="191"/>
        <v>0</v>
      </c>
      <c r="BT285" s="387">
        <f t="shared" si="192"/>
        <v>0</v>
      </c>
      <c r="BU285" s="387">
        <f t="shared" si="193"/>
        <v>0</v>
      </c>
      <c r="BV285" s="387">
        <f t="shared" si="194"/>
        <v>0</v>
      </c>
      <c r="BW285" s="387">
        <f t="shared" si="195"/>
        <v>0</v>
      </c>
      <c r="BX285" s="387">
        <f t="shared" si="210"/>
        <v>0</v>
      </c>
      <c r="BY285" s="387">
        <f t="shared" si="211"/>
        <v>0</v>
      </c>
      <c r="BZ285" s="387">
        <f t="shared" si="212"/>
        <v>0</v>
      </c>
      <c r="CA285" s="387">
        <f t="shared" si="213"/>
        <v>0</v>
      </c>
      <c r="CB285" s="387">
        <f t="shared" si="214"/>
        <v>0</v>
      </c>
      <c r="CC285" s="387">
        <f t="shared" si="196"/>
        <v>0</v>
      </c>
      <c r="CD285" s="387">
        <f t="shared" si="197"/>
        <v>0</v>
      </c>
      <c r="CE285" s="387">
        <f t="shared" si="198"/>
        <v>0</v>
      </c>
      <c r="CF285" s="387">
        <f t="shared" si="199"/>
        <v>0</v>
      </c>
      <c r="CG285" s="387">
        <f t="shared" si="200"/>
        <v>0</v>
      </c>
      <c r="CH285" s="387">
        <f t="shared" si="201"/>
        <v>0</v>
      </c>
      <c r="CI285" s="387">
        <f t="shared" si="202"/>
        <v>0</v>
      </c>
      <c r="CJ285" s="387">
        <f t="shared" si="215"/>
        <v>0</v>
      </c>
      <c r="CK285" s="387" t="str">
        <f t="shared" si="216"/>
        <v/>
      </c>
      <c r="CL285" s="387" t="str">
        <f t="shared" si="217"/>
        <v/>
      </c>
      <c r="CM285" s="387" t="str">
        <f t="shared" si="218"/>
        <v/>
      </c>
      <c r="CN285" s="387" t="str">
        <f t="shared" si="219"/>
        <v>0348-31</v>
      </c>
    </row>
    <row r="286" spans="1:92" ht="15.75" thickBot="1" x14ac:dyDescent="0.3">
      <c r="A286" s="376" t="s">
        <v>161</v>
      </c>
      <c r="B286" s="376" t="s">
        <v>162</v>
      </c>
      <c r="C286" s="376" t="s">
        <v>1056</v>
      </c>
      <c r="D286" s="376" t="s">
        <v>783</v>
      </c>
      <c r="E286" s="376" t="s">
        <v>224</v>
      </c>
      <c r="F286" s="382" t="s">
        <v>225</v>
      </c>
      <c r="G286" s="376" t="s">
        <v>781</v>
      </c>
      <c r="H286" s="378"/>
      <c r="I286" s="378"/>
      <c r="J286" s="376" t="s">
        <v>215</v>
      </c>
      <c r="K286" s="376" t="s">
        <v>784</v>
      </c>
      <c r="L286" s="376" t="s">
        <v>351</v>
      </c>
      <c r="M286" s="376" t="s">
        <v>171</v>
      </c>
      <c r="N286" s="376" t="s">
        <v>172</v>
      </c>
      <c r="O286" s="379">
        <v>1</v>
      </c>
      <c r="P286" s="385">
        <v>0</v>
      </c>
      <c r="Q286" s="385">
        <v>0</v>
      </c>
      <c r="R286" s="380">
        <v>80</v>
      </c>
      <c r="S286" s="385">
        <v>0</v>
      </c>
      <c r="T286" s="380">
        <v>112588.19</v>
      </c>
      <c r="U286" s="380">
        <v>0</v>
      </c>
      <c r="V286" s="380">
        <v>35107.279999999999</v>
      </c>
      <c r="W286" s="380">
        <v>0</v>
      </c>
      <c r="X286" s="380">
        <v>0</v>
      </c>
      <c r="Y286" s="380">
        <v>0</v>
      </c>
      <c r="Z286" s="380">
        <v>0</v>
      </c>
      <c r="AA286" s="376" t="s">
        <v>1057</v>
      </c>
      <c r="AB286" s="376" t="s">
        <v>1058</v>
      </c>
      <c r="AC286" s="376" t="s">
        <v>1059</v>
      </c>
      <c r="AD286" s="376" t="s">
        <v>252</v>
      </c>
      <c r="AE286" s="376" t="s">
        <v>784</v>
      </c>
      <c r="AF286" s="376" t="s">
        <v>355</v>
      </c>
      <c r="AG286" s="376" t="s">
        <v>178</v>
      </c>
      <c r="AH286" s="381">
        <v>56.09</v>
      </c>
      <c r="AI286" s="381">
        <v>51272.9</v>
      </c>
      <c r="AJ286" s="376" t="s">
        <v>179</v>
      </c>
      <c r="AK286" s="376" t="s">
        <v>180</v>
      </c>
      <c r="AL286" s="376" t="s">
        <v>181</v>
      </c>
      <c r="AM286" s="376" t="s">
        <v>182</v>
      </c>
      <c r="AN286" s="376" t="s">
        <v>68</v>
      </c>
      <c r="AO286" s="379">
        <v>80</v>
      </c>
      <c r="AP286" s="385">
        <v>1</v>
      </c>
      <c r="AQ286" s="385">
        <v>0</v>
      </c>
      <c r="AR286" s="383" t="s">
        <v>183</v>
      </c>
      <c r="AS286" s="387">
        <f t="shared" si="203"/>
        <v>0</v>
      </c>
      <c r="AT286">
        <f t="shared" si="204"/>
        <v>0</v>
      </c>
      <c r="AU286" s="387" t="str">
        <f>IF(AT286=0,"",IF(AND(AT286=1,M286="F",SUMIF(C2:C1334,C286,AS2:AS1334)&lt;=1),SUMIF(C2:C1334,C286,AS2:AS1334),IF(AND(AT286=1,M286="F",SUMIF(C2:C1334,C286,AS2:AS1334)&gt;1),1,"")))</f>
        <v/>
      </c>
      <c r="AV286" s="387" t="str">
        <f>IF(AT286=0,"",IF(AND(AT286=3,M286="F",SUMIF(C2:C1334,C286,AS2:AS1334)&lt;=1),SUMIF(C2:C1334,C286,AS2:AS1334),IF(AND(AT286=3,M286="F",SUMIF(C2:C1334,C286,AS2:AS1334)&gt;1),1,"")))</f>
        <v/>
      </c>
      <c r="AW286" s="387">
        <f>SUMIF(C2:C1334,C286,O2:O1334)</f>
        <v>2</v>
      </c>
      <c r="AX286" s="387">
        <f>IF(AND(M286="F",AS286&lt;&gt;0),SUMIF(C2:C1334,C286,W2:W1334),0)</f>
        <v>0</v>
      </c>
      <c r="AY286" s="387" t="str">
        <f t="shared" si="205"/>
        <v/>
      </c>
      <c r="AZ286" s="387" t="str">
        <f t="shared" si="206"/>
        <v/>
      </c>
      <c r="BA286" s="387">
        <f t="shared" si="207"/>
        <v>0</v>
      </c>
      <c r="BB286" s="387">
        <f t="shared" si="176"/>
        <v>0</v>
      </c>
      <c r="BC286" s="387">
        <f t="shared" si="177"/>
        <v>0</v>
      </c>
      <c r="BD286" s="387">
        <f t="shared" si="178"/>
        <v>0</v>
      </c>
      <c r="BE286" s="387">
        <f t="shared" si="179"/>
        <v>0</v>
      </c>
      <c r="BF286" s="387">
        <f t="shared" si="180"/>
        <v>0</v>
      </c>
      <c r="BG286" s="387">
        <f t="shared" si="181"/>
        <v>0</v>
      </c>
      <c r="BH286" s="387">
        <f t="shared" si="182"/>
        <v>0</v>
      </c>
      <c r="BI286" s="387">
        <f t="shared" si="183"/>
        <v>0</v>
      </c>
      <c r="BJ286" s="387">
        <f t="shared" si="184"/>
        <v>0</v>
      </c>
      <c r="BK286" s="387">
        <f t="shared" si="185"/>
        <v>0</v>
      </c>
      <c r="BL286" s="387">
        <f t="shared" si="208"/>
        <v>0</v>
      </c>
      <c r="BM286" s="387">
        <f t="shared" si="209"/>
        <v>0</v>
      </c>
      <c r="BN286" s="387">
        <f t="shared" si="186"/>
        <v>0</v>
      </c>
      <c r="BO286" s="387">
        <f t="shared" si="187"/>
        <v>0</v>
      </c>
      <c r="BP286" s="387">
        <f t="shared" si="188"/>
        <v>0</v>
      </c>
      <c r="BQ286" s="387">
        <f t="shared" si="189"/>
        <v>0</v>
      </c>
      <c r="BR286" s="387">
        <f t="shared" si="190"/>
        <v>0</v>
      </c>
      <c r="BS286" s="387">
        <f t="shared" si="191"/>
        <v>0</v>
      </c>
      <c r="BT286" s="387">
        <f t="shared" si="192"/>
        <v>0</v>
      </c>
      <c r="BU286" s="387">
        <f t="shared" si="193"/>
        <v>0</v>
      </c>
      <c r="BV286" s="387">
        <f t="shared" si="194"/>
        <v>0</v>
      </c>
      <c r="BW286" s="387">
        <f t="shared" si="195"/>
        <v>0</v>
      </c>
      <c r="BX286" s="387">
        <f t="shared" si="210"/>
        <v>0</v>
      </c>
      <c r="BY286" s="387">
        <f t="shared" si="211"/>
        <v>0</v>
      </c>
      <c r="BZ286" s="387">
        <f t="shared" si="212"/>
        <v>0</v>
      </c>
      <c r="CA286" s="387">
        <f t="shared" si="213"/>
        <v>0</v>
      </c>
      <c r="CB286" s="387">
        <f t="shared" si="214"/>
        <v>0</v>
      </c>
      <c r="CC286" s="387">
        <f t="shared" si="196"/>
        <v>0</v>
      </c>
      <c r="CD286" s="387">
        <f t="shared" si="197"/>
        <v>0</v>
      </c>
      <c r="CE286" s="387">
        <f t="shared" si="198"/>
        <v>0</v>
      </c>
      <c r="CF286" s="387">
        <f t="shared" si="199"/>
        <v>0</v>
      </c>
      <c r="CG286" s="387">
        <f t="shared" si="200"/>
        <v>0</v>
      </c>
      <c r="CH286" s="387">
        <f t="shared" si="201"/>
        <v>0</v>
      </c>
      <c r="CI286" s="387">
        <f t="shared" si="202"/>
        <v>0</v>
      </c>
      <c r="CJ286" s="387">
        <f t="shared" si="215"/>
        <v>0</v>
      </c>
      <c r="CK286" s="387" t="str">
        <f t="shared" si="216"/>
        <v/>
      </c>
      <c r="CL286" s="387" t="str">
        <f t="shared" si="217"/>
        <v/>
      </c>
      <c r="CM286" s="387" t="str">
        <f t="shared" si="218"/>
        <v/>
      </c>
      <c r="CN286" s="387" t="str">
        <f t="shared" si="219"/>
        <v>0348-31</v>
      </c>
    </row>
    <row r="287" spans="1:92" ht="15.75" thickBot="1" x14ac:dyDescent="0.3">
      <c r="A287" s="376" t="s">
        <v>161</v>
      </c>
      <c r="B287" s="376" t="s">
        <v>162</v>
      </c>
      <c r="C287" s="376" t="s">
        <v>753</v>
      </c>
      <c r="D287" s="376" t="s">
        <v>743</v>
      </c>
      <c r="E287" s="376" t="s">
        <v>224</v>
      </c>
      <c r="F287" s="382" t="s">
        <v>225</v>
      </c>
      <c r="G287" s="376" t="s">
        <v>781</v>
      </c>
      <c r="H287" s="378"/>
      <c r="I287" s="378"/>
      <c r="J287" s="376" t="s">
        <v>239</v>
      </c>
      <c r="K287" s="376" t="s">
        <v>744</v>
      </c>
      <c r="L287" s="376" t="s">
        <v>296</v>
      </c>
      <c r="M287" s="376" t="s">
        <v>171</v>
      </c>
      <c r="N287" s="376" t="s">
        <v>172</v>
      </c>
      <c r="O287" s="379">
        <v>1</v>
      </c>
      <c r="P287" s="385">
        <v>0.25</v>
      </c>
      <c r="Q287" s="385">
        <v>0.25</v>
      </c>
      <c r="R287" s="380">
        <v>80</v>
      </c>
      <c r="S287" s="385">
        <v>0.25</v>
      </c>
      <c r="T287" s="380">
        <v>0</v>
      </c>
      <c r="U287" s="380">
        <v>0</v>
      </c>
      <c r="V287" s="380">
        <v>0</v>
      </c>
      <c r="W287" s="380">
        <v>14040</v>
      </c>
      <c r="X287" s="380">
        <v>5948.64</v>
      </c>
      <c r="Y287" s="380">
        <v>14040</v>
      </c>
      <c r="Z287" s="380">
        <v>5889.67</v>
      </c>
      <c r="AA287" s="376" t="s">
        <v>754</v>
      </c>
      <c r="AB287" s="376" t="s">
        <v>755</v>
      </c>
      <c r="AC287" s="376" t="s">
        <v>756</v>
      </c>
      <c r="AD287" s="376" t="s">
        <v>757</v>
      </c>
      <c r="AE287" s="376" t="s">
        <v>744</v>
      </c>
      <c r="AF287" s="376" t="s">
        <v>301</v>
      </c>
      <c r="AG287" s="376" t="s">
        <v>178</v>
      </c>
      <c r="AH287" s="379">
        <v>27</v>
      </c>
      <c r="AI287" s="379">
        <v>8197</v>
      </c>
      <c r="AJ287" s="376" t="s">
        <v>179</v>
      </c>
      <c r="AK287" s="376" t="s">
        <v>180</v>
      </c>
      <c r="AL287" s="376" t="s">
        <v>181</v>
      </c>
      <c r="AM287" s="376" t="s">
        <v>182</v>
      </c>
      <c r="AN287" s="376" t="s">
        <v>68</v>
      </c>
      <c r="AO287" s="379">
        <v>80</v>
      </c>
      <c r="AP287" s="385">
        <v>1</v>
      </c>
      <c r="AQ287" s="385">
        <v>0.25</v>
      </c>
      <c r="AR287" s="383" t="s">
        <v>183</v>
      </c>
      <c r="AS287" s="387">
        <f t="shared" si="203"/>
        <v>0.25</v>
      </c>
      <c r="AT287">
        <f t="shared" si="204"/>
        <v>1</v>
      </c>
      <c r="AU287" s="387">
        <f>IF(AT287=0,"",IF(AND(AT287=1,M287="F",SUMIF(C2:C1334,C287,AS2:AS1334)&lt;=1),SUMIF(C2:C1334,C287,AS2:AS1334),IF(AND(AT287=1,M287="F",SUMIF(C2:C1334,C287,AS2:AS1334)&gt;1),1,"")))</f>
        <v>1</v>
      </c>
      <c r="AV287" s="387" t="str">
        <f>IF(AT287=0,"",IF(AND(AT287=3,M287="F",SUMIF(C2:C1334,C287,AS2:AS1334)&lt;=1),SUMIF(C2:C1334,C287,AS2:AS1334),IF(AND(AT287=3,M287="F",SUMIF(C2:C1334,C287,AS2:AS1334)&gt;1),1,"")))</f>
        <v/>
      </c>
      <c r="AW287" s="387">
        <f>SUMIF(C2:C1334,C287,O2:O1334)</f>
        <v>4</v>
      </c>
      <c r="AX287" s="387">
        <f>IF(AND(M287="F",AS287&lt;&gt;0),SUMIF(C2:C1334,C287,W2:W1334),0)</f>
        <v>56160</v>
      </c>
      <c r="AY287" s="387">
        <f t="shared" si="205"/>
        <v>14040</v>
      </c>
      <c r="AZ287" s="387" t="str">
        <f t="shared" si="206"/>
        <v/>
      </c>
      <c r="BA287" s="387">
        <f t="shared" si="207"/>
        <v>0</v>
      </c>
      <c r="BB287" s="387">
        <f t="shared" si="176"/>
        <v>2912.5</v>
      </c>
      <c r="BC287" s="387">
        <f t="shared" si="177"/>
        <v>0</v>
      </c>
      <c r="BD287" s="387">
        <f t="shared" si="178"/>
        <v>870.48</v>
      </c>
      <c r="BE287" s="387">
        <f t="shared" si="179"/>
        <v>203.58</v>
      </c>
      <c r="BF287" s="387">
        <f t="shared" si="180"/>
        <v>1676.376</v>
      </c>
      <c r="BG287" s="387">
        <f t="shared" si="181"/>
        <v>101.22840000000001</v>
      </c>
      <c r="BH287" s="387">
        <f t="shared" si="182"/>
        <v>68.795999999999992</v>
      </c>
      <c r="BI287" s="387">
        <f t="shared" si="183"/>
        <v>77.711399999999998</v>
      </c>
      <c r="BJ287" s="387">
        <f t="shared" si="184"/>
        <v>37.908000000000001</v>
      </c>
      <c r="BK287" s="387">
        <f t="shared" si="185"/>
        <v>0</v>
      </c>
      <c r="BL287" s="387">
        <f t="shared" si="208"/>
        <v>3036.0797999999995</v>
      </c>
      <c r="BM287" s="387">
        <f t="shared" si="209"/>
        <v>0</v>
      </c>
      <c r="BN287" s="387">
        <f t="shared" si="186"/>
        <v>2912.5</v>
      </c>
      <c r="BO287" s="387">
        <f t="shared" si="187"/>
        <v>0</v>
      </c>
      <c r="BP287" s="387">
        <f t="shared" si="188"/>
        <v>870.48</v>
      </c>
      <c r="BQ287" s="387">
        <f t="shared" si="189"/>
        <v>203.58</v>
      </c>
      <c r="BR287" s="387">
        <f t="shared" si="190"/>
        <v>1676.376</v>
      </c>
      <c r="BS287" s="387">
        <f t="shared" si="191"/>
        <v>101.22840000000001</v>
      </c>
      <c r="BT287" s="387">
        <f t="shared" si="192"/>
        <v>0</v>
      </c>
      <c r="BU287" s="387">
        <f t="shared" si="193"/>
        <v>77.711399999999998</v>
      </c>
      <c r="BV287" s="387">
        <f t="shared" si="194"/>
        <v>47.735999999999997</v>
      </c>
      <c r="BW287" s="387">
        <f t="shared" si="195"/>
        <v>0</v>
      </c>
      <c r="BX287" s="387">
        <f t="shared" si="210"/>
        <v>2977.1117999999997</v>
      </c>
      <c r="BY287" s="387">
        <f t="shared" si="211"/>
        <v>0</v>
      </c>
      <c r="BZ287" s="387">
        <f t="shared" si="212"/>
        <v>0</v>
      </c>
      <c r="CA287" s="387">
        <f t="shared" si="213"/>
        <v>0</v>
      </c>
      <c r="CB287" s="387">
        <f t="shared" si="214"/>
        <v>0</v>
      </c>
      <c r="CC287" s="387">
        <f t="shared" si="196"/>
        <v>0</v>
      </c>
      <c r="CD287" s="387">
        <f t="shared" si="197"/>
        <v>0</v>
      </c>
      <c r="CE287" s="387">
        <f t="shared" si="198"/>
        <v>0</v>
      </c>
      <c r="CF287" s="387">
        <f t="shared" si="199"/>
        <v>-68.795999999999992</v>
      </c>
      <c r="CG287" s="387">
        <f t="shared" si="200"/>
        <v>0</v>
      </c>
      <c r="CH287" s="387">
        <f t="shared" si="201"/>
        <v>9.8279999999999959</v>
      </c>
      <c r="CI287" s="387">
        <f t="shared" si="202"/>
        <v>0</v>
      </c>
      <c r="CJ287" s="387">
        <f t="shared" si="215"/>
        <v>-58.967999999999996</v>
      </c>
      <c r="CK287" s="387" t="str">
        <f t="shared" si="216"/>
        <v/>
      </c>
      <c r="CL287" s="387" t="str">
        <f t="shared" si="217"/>
        <v/>
      </c>
      <c r="CM287" s="387" t="str">
        <f t="shared" si="218"/>
        <v/>
      </c>
      <c r="CN287" s="387" t="str">
        <f t="shared" si="219"/>
        <v>0348-31</v>
      </c>
    </row>
    <row r="288" spans="1:92" ht="15.75" thickBot="1" x14ac:dyDescent="0.3">
      <c r="A288" s="376" t="s">
        <v>161</v>
      </c>
      <c r="B288" s="376" t="s">
        <v>162</v>
      </c>
      <c r="C288" s="376" t="s">
        <v>619</v>
      </c>
      <c r="D288" s="376" t="s">
        <v>263</v>
      </c>
      <c r="E288" s="376" t="s">
        <v>224</v>
      </c>
      <c r="F288" s="382" t="s">
        <v>225</v>
      </c>
      <c r="G288" s="376" t="s">
        <v>781</v>
      </c>
      <c r="H288" s="378"/>
      <c r="I288" s="378"/>
      <c r="J288" s="376" t="s">
        <v>215</v>
      </c>
      <c r="K288" s="376" t="s">
        <v>264</v>
      </c>
      <c r="L288" s="376" t="s">
        <v>210</v>
      </c>
      <c r="M288" s="376" t="s">
        <v>171</v>
      </c>
      <c r="N288" s="376" t="s">
        <v>172</v>
      </c>
      <c r="O288" s="379">
        <v>1</v>
      </c>
      <c r="P288" s="385">
        <v>0</v>
      </c>
      <c r="Q288" s="385">
        <v>0</v>
      </c>
      <c r="R288" s="380">
        <v>80</v>
      </c>
      <c r="S288" s="385">
        <v>0</v>
      </c>
      <c r="T288" s="380">
        <v>54446.48</v>
      </c>
      <c r="U288" s="380">
        <v>0</v>
      </c>
      <c r="V288" s="380">
        <v>22817.03</v>
      </c>
      <c r="W288" s="380">
        <v>0</v>
      </c>
      <c r="X288" s="380">
        <v>0</v>
      </c>
      <c r="Y288" s="380">
        <v>0</v>
      </c>
      <c r="Z288" s="380">
        <v>0</v>
      </c>
      <c r="AA288" s="376" t="s">
        <v>620</v>
      </c>
      <c r="AB288" s="376" t="s">
        <v>621</v>
      </c>
      <c r="AC288" s="376" t="s">
        <v>622</v>
      </c>
      <c r="AD288" s="376" t="s">
        <v>623</v>
      </c>
      <c r="AE288" s="376" t="s">
        <v>264</v>
      </c>
      <c r="AF288" s="376" t="s">
        <v>245</v>
      </c>
      <c r="AG288" s="376" t="s">
        <v>178</v>
      </c>
      <c r="AH288" s="381">
        <v>25.28</v>
      </c>
      <c r="AI288" s="381">
        <v>562.5</v>
      </c>
      <c r="AJ288" s="376" t="s">
        <v>179</v>
      </c>
      <c r="AK288" s="376" t="s">
        <v>180</v>
      </c>
      <c r="AL288" s="376" t="s">
        <v>181</v>
      </c>
      <c r="AM288" s="376" t="s">
        <v>182</v>
      </c>
      <c r="AN288" s="376" t="s">
        <v>68</v>
      </c>
      <c r="AO288" s="379">
        <v>80</v>
      </c>
      <c r="AP288" s="385">
        <v>1</v>
      </c>
      <c r="AQ288" s="385">
        <v>0</v>
      </c>
      <c r="AR288" s="383" t="s">
        <v>183</v>
      </c>
      <c r="AS288" s="387">
        <f t="shared" si="203"/>
        <v>0</v>
      </c>
      <c r="AT288">
        <f t="shared" si="204"/>
        <v>0</v>
      </c>
      <c r="AU288" s="387" t="str">
        <f>IF(AT288=0,"",IF(AND(AT288=1,M288="F",SUMIF(C2:C1334,C288,AS2:AS1334)&lt;=1),SUMIF(C2:C1334,C288,AS2:AS1334),IF(AND(AT288=1,M288="F",SUMIF(C2:C1334,C288,AS2:AS1334)&gt;1),1,"")))</f>
        <v/>
      </c>
      <c r="AV288" s="387" t="str">
        <f>IF(AT288=0,"",IF(AND(AT288=3,M288="F",SUMIF(C2:C1334,C288,AS2:AS1334)&lt;=1),SUMIF(C2:C1334,C288,AS2:AS1334),IF(AND(AT288=3,M288="F",SUMIF(C2:C1334,C288,AS2:AS1334)&gt;1),1,"")))</f>
        <v/>
      </c>
      <c r="AW288" s="387">
        <f>SUMIF(C2:C1334,C288,O2:O1334)</f>
        <v>2</v>
      </c>
      <c r="AX288" s="387">
        <f>IF(AND(M288="F",AS288&lt;&gt;0),SUMIF(C2:C1334,C288,W2:W1334),0)</f>
        <v>0</v>
      </c>
      <c r="AY288" s="387" t="str">
        <f t="shared" si="205"/>
        <v/>
      </c>
      <c r="AZ288" s="387" t="str">
        <f t="shared" si="206"/>
        <v/>
      </c>
      <c r="BA288" s="387">
        <f t="shared" si="207"/>
        <v>0</v>
      </c>
      <c r="BB288" s="387">
        <f t="shared" si="176"/>
        <v>0</v>
      </c>
      <c r="BC288" s="387">
        <f t="shared" si="177"/>
        <v>0</v>
      </c>
      <c r="BD288" s="387">
        <f t="shared" si="178"/>
        <v>0</v>
      </c>
      <c r="BE288" s="387">
        <f t="shared" si="179"/>
        <v>0</v>
      </c>
      <c r="BF288" s="387">
        <f t="shared" si="180"/>
        <v>0</v>
      </c>
      <c r="BG288" s="387">
        <f t="shared" si="181"/>
        <v>0</v>
      </c>
      <c r="BH288" s="387">
        <f t="shared" si="182"/>
        <v>0</v>
      </c>
      <c r="BI288" s="387">
        <f t="shared" si="183"/>
        <v>0</v>
      </c>
      <c r="BJ288" s="387">
        <f t="shared" si="184"/>
        <v>0</v>
      </c>
      <c r="BK288" s="387">
        <f t="shared" si="185"/>
        <v>0</v>
      </c>
      <c r="BL288" s="387">
        <f t="shared" si="208"/>
        <v>0</v>
      </c>
      <c r="BM288" s="387">
        <f t="shared" si="209"/>
        <v>0</v>
      </c>
      <c r="BN288" s="387">
        <f t="shared" si="186"/>
        <v>0</v>
      </c>
      <c r="BO288" s="387">
        <f t="shared" si="187"/>
        <v>0</v>
      </c>
      <c r="BP288" s="387">
        <f t="shared" si="188"/>
        <v>0</v>
      </c>
      <c r="BQ288" s="387">
        <f t="shared" si="189"/>
        <v>0</v>
      </c>
      <c r="BR288" s="387">
        <f t="shared" si="190"/>
        <v>0</v>
      </c>
      <c r="BS288" s="387">
        <f t="shared" si="191"/>
        <v>0</v>
      </c>
      <c r="BT288" s="387">
        <f t="shared" si="192"/>
        <v>0</v>
      </c>
      <c r="BU288" s="387">
        <f t="shared" si="193"/>
        <v>0</v>
      </c>
      <c r="BV288" s="387">
        <f t="shared" si="194"/>
        <v>0</v>
      </c>
      <c r="BW288" s="387">
        <f t="shared" si="195"/>
        <v>0</v>
      </c>
      <c r="BX288" s="387">
        <f t="shared" si="210"/>
        <v>0</v>
      </c>
      <c r="BY288" s="387">
        <f t="shared" si="211"/>
        <v>0</v>
      </c>
      <c r="BZ288" s="387">
        <f t="shared" si="212"/>
        <v>0</v>
      </c>
      <c r="CA288" s="387">
        <f t="shared" si="213"/>
        <v>0</v>
      </c>
      <c r="CB288" s="387">
        <f t="shared" si="214"/>
        <v>0</v>
      </c>
      <c r="CC288" s="387">
        <f t="shared" si="196"/>
        <v>0</v>
      </c>
      <c r="CD288" s="387">
        <f t="shared" si="197"/>
        <v>0</v>
      </c>
      <c r="CE288" s="387">
        <f t="shared" si="198"/>
        <v>0</v>
      </c>
      <c r="CF288" s="387">
        <f t="shared" si="199"/>
        <v>0</v>
      </c>
      <c r="CG288" s="387">
        <f t="shared" si="200"/>
        <v>0</v>
      </c>
      <c r="CH288" s="387">
        <f t="shared" si="201"/>
        <v>0</v>
      </c>
      <c r="CI288" s="387">
        <f t="shared" si="202"/>
        <v>0</v>
      </c>
      <c r="CJ288" s="387">
        <f t="shared" si="215"/>
        <v>0</v>
      </c>
      <c r="CK288" s="387" t="str">
        <f t="shared" si="216"/>
        <v/>
      </c>
      <c r="CL288" s="387" t="str">
        <f t="shared" si="217"/>
        <v/>
      </c>
      <c r="CM288" s="387" t="str">
        <f t="shared" si="218"/>
        <v/>
      </c>
      <c r="CN288" s="387" t="str">
        <f t="shared" si="219"/>
        <v>0348-31</v>
      </c>
    </row>
    <row r="289" spans="1:92" ht="15.75" thickBot="1" x14ac:dyDescent="0.3">
      <c r="A289" s="376" t="s">
        <v>161</v>
      </c>
      <c r="B289" s="376" t="s">
        <v>162</v>
      </c>
      <c r="C289" s="376" t="s">
        <v>563</v>
      </c>
      <c r="D289" s="376" t="s">
        <v>238</v>
      </c>
      <c r="E289" s="376" t="s">
        <v>224</v>
      </c>
      <c r="F289" s="382" t="s">
        <v>225</v>
      </c>
      <c r="G289" s="376" t="s">
        <v>781</v>
      </c>
      <c r="H289" s="378"/>
      <c r="I289" s="378"/>
      <c r="J289" s="376" t="s">
        <v>239</v>
      </c>
      <c r="K289" s="376" t="s">
        <v>343</v>
      </c>
      <c r="L289" s="376" t="s">
        <v>296</v>
      </c>
      <c r="M289" s="376" t="s">
        <v>171</v>
      </c>
      <c r="N289" s="376" t="s">
        <v>172</v>
      </c>
      <c r="O289" s="379">
        <v>1</v>
      </c>
      <c r="P289" s="385">
        <v>0</v>
      </c>
      <c r="Q289" s="385">
        <v>0</v>
      </c>
      <c r="R289" s="380">
        <v>80</v>
      </c>
      <c r="S289" s="385">
        <v>0</v>
      </c>
      <c r="T289" s="380">
        <v>51547.88</v>
      </c>
      <c r="U289" s="380">
        <v>0</v>
      </c>
      <c r="V289" s="380">
        <v>21471.21</v>
      </c>
      <c r="W289" s="380">
        <v>0</v>
      </c>
      <c r="X289" s="380">
        <v>0</v>
      </c>
      <c r="Y289" s="380">
        <v>0</v>
      </c>
      <c r="Z289" s="380">
        <v>0</v>
      </c>
      <c r="AA289" s="376" t="s">
        <v>564</v>
      </c>
      <c r="AB289" s="376" t="s">
        <v>565</v>
      </c>
      <c r="AC289" s="376" t="s">
        <v>260</v>
      </c>
      <c r="AD289" s="376" t="s">
        <v>566</v>
      </c>
      <c r="AE289" s="376" t="s">
        <v>343</v>
      </c>
      <c r="AF289" s="376" t="s">
        <v>301</v>
      </c>
      <c r="AG289" s="376" t="s">
        <v>178</v>
      </c>
      <c r="AH289" s="381">
        <v>27.22</v>
      </c>
      <c r="AI289" s="381">
        <v>46199.6</v>
      </c>
      <c r="AJ289" s="376" t="s">
        <v>179</v>
      </c>
      <c r="AK289" s="376" t="s">
        <v>180</v>
      </c>
      <c r="AL289" s="376" t="s">
        <v>181</v>
      </c>
      <c r="AM289" s="376" t="s">
        <v>182</v>
      </c>
      <c r="AN289" s="376" t="s">
        <v>68</v>
      </c>
      <c r="AO289" s="379">
        <v>80</v>
      </c>
      <c r="AP289" s="385">
        <v>1</v>
      </c>
      <c r="AQ289" s="385">
        <v>0</v>
      </c>
      <c r="AR289" s="383" t="s">
        <v>183</v>
      </c>
      <c r="AS289" s="387">
        <f t="shared" si="203"/>
        <v>0</v>
      </c>
      <c r="AT289">
        <f t="shared" si="204"/>
        <v>0</v>
      </c>
      <c r="AU289" s="387" t="str">
        <f>IF(AT289=0,"",IF(AND(AT289=1,M289="F",SUMIF(C2:C1334,C289,AS2:AS1334)&lt;=1),SUMIF(C2:C1334,C289,AS2:AS1334),IF(AND(AT289=1,M289="F",SUMIF(C2:C1334,C289,AS2:AS1334)&gt;1),1,"")))</f>
        <v/>
      </c>
      <c r="AV289" s="387" t="str">
        <f>IF(AT289=0,"",IF(AND(AT289=3,M289="F",SUMIF(C2:C1334,C289,AS2:AS1334)&lt;=1),SUMIF(C2:C1334,C289,AS2:AS1334),IF(AND(AT289=3,M289="F",SUMIF(C2:C1334,C289,AS2:AS1334)&gt;1),1,"")))</f>
        <v/>
      </c>
      <c r="AW289" s="387">
        <f>SUMIF(C2:C1334,C289,O2:O1334)</f>
        <v>3</v>
      </c>
      <c r="AX289" s="387">
        <f>IF(AND(M289="F",AS289&lt;&gt;0),SUMIF(C2:C1334,C289,W2:W1334),0)</f>
        <v>0</v>
      </c>
      <c r="AY289" s="387" t="str">
        <f t="shared" si="205"/>
        <v/>
      </c>
      <c r="AZ289" s="387" t="str">
        <f t="shared" si="206"/>
        <v/>
      </c>
      <c r="BA289" s="387">
        <f t="shared" si="207"/>
        <v>0</v>
      </c>
      <c r="BB289" s="387">
        <f t="shared" si="176"/>
        <v>0</v>
      </c>
      <c r="BC289" s="387">
        <f t="shared" si="177"/>
        <v>0</v>
      </c>
      <c r="BD289" s="387">
        <f t="shared" si="178"/>
        <v>0</v>
      </c>
      <c r="BE289" s="387">
        <f t="shared" si="179"/>
        <v>0</v>
      </c>
      <c r="BF289" s="387">
        <f t="shared" si="180"/>
        <v>0</v>
      </c>
      <c r="BG289" s="387">
        <f t="shared" si="181"/>
        <v>0</v>
      </c>
      <c r="BH289" s="387">
        <f t="shared" si="182"/>
        <v>0</v>
      </c>
      <c r="BI289" s="387">
        <f t="shared" si="183"/>
        <v>0</v>
      </c>
      <c r="BJ289" s="387">
        <f t="shared" si="184"/>
        <v>0</v>
      </c>
      <c r="BK289" s="387">
        <f t="shared" si="185"/>
        <v>0</v>
      </c>
      <c r="BL289" s="387">
        <f t="shared" si="208"/>
        <v>0</v>
      </c>
      <c r="BM289" s="387">
        <f t="shared" si="209"/>
        <v>0</v>
      </c>
      <c r="BN289" s="387">
        <f t="shared" si="186"/>
        <v>0</v>
      </c>
      <c r="BO289" s="387">
        <f t="shared" si="187"/>
        <v>0</v>
      </c>
      <c r="BP289" s="387">
        <f t="shared" si="188"/>
        <v>0</v>
      </c>
      <c r="BQ289" s="387">
        <f t="shared" si="189"/>
        <v>0</v>
      </c>
      <c r="BR289" s="387">
        <f t="shared" si="190"/>
        <v>0</v>
      </c>
      <c r="BS289" s="387">
        <f t="shared" si="191"/>
        <v>0</v>
      </c>
      <c r="BT289" s="387">
        <f t="shared" si="192"/>
        <v>0</v>
      </c>
      <c r="BU289" s="387">
        <f t="shared" si="193"/>
        <v>0</v>
      </c>
      <c r="BV289" s="387">
        <f t="shared" si="194"/>
        <v>0</v>
      </c>
      <c r="BW289" s="387">
        <f t="shared" si="195"/>
        <v>0</v>
      </c>
      <c r="BX289" s="387">
        <f t="shared" si="210"/>
        <v>0</v>
      </c>
      <c r="BY289" s="387">
        <f t="shared" si="211"/>
        <v>0</v>
      </c>
      <c r="BZ289" s="387">
        <f t="shared" si="212"/>
        <v>0</v>
      </c>
      <c r="CA289" s="387">
        <f t="shared" si="213"/>
        <v>0</v>
      </c>
      <c r="CB289" s="387">
        <f t="shared" si="214"/>
        <v>0</v>
      </c>
      <c r="CC289" s="387">
        <f t="shared" si="196"/>
        <v>0</v>
      </c>
      <c r="CD289" s="387">
        <f t="shared" si="197"/>
        <v>0</v>
      </c>
      <c r="CE289" s="387">
        <f t="shared" si="198"/>
        <v>0</v>
      </c>
      <c r="CF289" s="387">
        <f t="shared" si="199"/>
        <v>0</v>
      </c>
      <c r="CG289" s="387">
        <f t="shared" si="200"/>
        <v>0</v>
      </c>
      <c r="CH289" s="387">
        <f t="shared" si="201"/>
        <v>0</v>
      </c>
      <c r="CI289" s="387">
        <f t="shared" si="202"/>
        <v>0</v>
      </c>
      <c r="CJ289" s="387">
        <f t="shared" si="215"/>
        <v>0</v>
      </c>
      <c r="CK289" s="387" t="str">
        <f t="shared" si="216"/>
        <v/>
      </c>
      <c r="CL289" s="387" t="str">
        <f t="shared" si="217"/>
        <v/>
      </c>
      <c r="CM289" s="387" t="str">
        <f t="shared" si="218"/>
        <v/>
      </c>
      <c r="CN289" s="387" t="str">
        <f t="shared" si="219"/>
        <v>0348-31</v>
      </c>
    </row>
    <row r="290" spans="1:92" ht="15.75" thickBot="1" x14ac:dyDescent="0.3">
      <c r="A290" s="376" t="s">
        <v>161</v>
      </c>
      <c r="B290" s="376" t="s">
        <v>162</v>
      </c>
      <c r="C290" s="376" t="s">
        <v>1060</v>
      </c>
      <c r="D290" s="376" t="s">
        <v>1061</v>
      </c>
      <c r="E290" s="376" t="s">
        <v>224</v>
      </c>
      <c r="F290" s="382" t="s">
        <v>225</v>
      </c>
      <c r="G290" s="376" t="s">
        <v>781</v>
      </c>
      <c r="H290" s="378"/>
      <c r="I290" s="378"/>
      <c r="J290" s="376" t="s">
        <v>215</v>
      </c>
      <c r="K290" s="376" t="s">
        <v>1062</v>
      </c>
      <c r="L290" s="376" t="s">
        <v>217</v>
      </c>
      <c r="M290" s="376" t="s">
        <v>272</v>
      </c>
      <c r="N290" s="376" t="s">
        <v>172</v>
      </c>
      <c r="O290" s="379">
        <v>0</v>
      </c>
      <c r="P290" s="385">
        <v>0</v>
      </c>
      <c r="Q290" s="385">
        <v>0</v>
      </c>
      <c r="R290" s="380">
        <v>80</v>
      </c>
      <c r="S290" s="385">
        <v>0</v>
      </c>
      <c r="T290" s="380">
        <v>28682.34</v>
      </c>
      <c r="U290" s="380">
        <v>0</v>
      </c>
      <c r="V290" s="380">
        <v>10112.48</v>
      </c>
      <c r="W290" s="380">
        <v>0</v>
      </c>
      <c r="X290" s="380">
        <v>0</v>
      </c>
      <c r="Y290" s="380">
        <v>0</v>
      </c>
      <c r="Z290" s="380">
        <v>0</v>
      </c>
      <c r="AA290" s="378"/>
      <c r="AB290" s="376" t="s">
        <v>45</v>
      </c>
      <c r="AC290" s="376" t="s">
        <v>45</v>
      </c>
      <c r="AD290" s="378"/>
      <c r="AE290" s="378"/>
      <c r="AF290" s="378"/>
      <c r="AG290" s="378"/>
      <c r="AH290" s="379">
        <v>0</v>
      </c>
      <c r="AI290" s="379">
        <v>0</v>
      </c>
      <c r="AJ290" s="378"/>
      <c r="AK290" s="378"/>
      <c r="AL290" s="376" t="s">
        <v>181</v>
      </c>
      <c r="AM290" s="378"/>
      <c r="AN290" s="378"/>
      <c r="AO290" s="379">
        <v>0</v>
      </c>
      <c r="AP290" s="385">
        <v>0</v>
      </c>
      <c r="AQ290" s="385">
        <v>0</v>
      </c>
      <c r="AR290" s="384"/>
      <c r="AS290" s="387">
        <f t="shared" si="203"/>
        <v>0</v>
      </c>
      <c r="AT290">
        <f t="shared" si="204"/>
        <v>0</v>
      </c>
      <c r="AU290" s="387" t="str">
        <f>IF(AT290=0,"",IF(AND(AT290=1,M290="F",SUMIF(C2:C1334,C290,AS2:AS1334)&lt;=1),SUMIF(C2:C1334,C290,AS2:AS1334),IF(AND(AT290=1,M290="F",SUMIF(C2:C1334,C290,AS2:AS1334)&gt;1),1,"")))</f>
        <v/>
      </c>
      <c r="AV290" s="387" t="str">
        <f>IF(AT290=0,"",IF(AND(AT290=3,M290="F",SUMIF(C2:C1334,C290,AS2:AS1334)&lt;=1),SUMIF(C2:C1334,C290,AS2:AS1334),IF(AND(AT290=3,M290="F",SUMIF(C2:C1334,C290,AS2:AS1334)&gt;1),1,"")))</f>
        <v/>
      </c>
      <c r="AW290" s="387">
        <f>SUMIF(C2:C1334,C290,O2:O1334)</f>
        <v>0</v>
      </c>
      <c r="AX290" s="387">
        <f>IF(AND(M290="F",AS290&lt;&gt;0),SUMIF(C2:C1334,C290,W2:W1334),0)</f>
        <v>0</v>
      </c>
      <c r="AY290" s="387" t="str">
        <f t="shared" si="205"/>
        <v/>
      </c>
      <c r="AZ290" s="387" t="str">
        <f t="shared" si="206"/>
        <v/>
      </c>
      <c r="BA290" s="387">
        <f t="shared" si="207"/>
        <v>0</v>
      </c>
      <c r="BB290" s="387">
        <f t="shared" si="176"/>
        <v>0</v>
      </c>
      <c r="BC290" s="387">
        <f t="shared" si="177"/>
        <v>0</v>
      </c>
      <c r="BD290" s="387">
        <f t="shared" si="178"/>
        <v>0</v>
      </c>
      <c r="BE290" s="387">
        <f t="shared" si="179"/>
        <v>0</v>
      </c>
      <c r="BF290" s="387">
        <f t="shared" si="180"/>
        <v>0</v>
      </c>
      <c r="BG290" s="387">
        <f t="shared" si="181"/>
        <v>0</v>
      </c>
      <c r="BH290" s="387">
        <f t="shared" si="182"/>
        <v>0</v>
      </c>
      <c r="BI290" s="387">
        <f t="shared" si="183"/>
        <v>0</v>
      </c>
      <c r="BJ290" s="387">
        <f t="shared" si="184"/>
        <v>0</v>
      </c>
      <c r="BK290" s="387">
        <f t="shared" si="185"/>
        <v>0</v>
      </c>
      <c r="BL290" s="387">
        <f t="shared" si="208"/>
        <v>0</v>
      </c>
      <c r="BM290" s="387">
        <f t="shared" si="209"/>
        <v>0</v>
      </c>
      <c r="BN290" s="387">
        <f t="shared" si="186"/>
        <v>0</v>
      </c>
      <c r="BO290" s="387">
        <f t="shared" si="187"/>
        <v>0</v>
      </c>
      <c r="BP290" s="387">
        <f t="shared" si="188"/>
        <v>0</v>
      </c>
      <c r="BQ290" s="387">
        <f t="shared" si="189"/>
        <v>0</v>
      </c>
      <c r="BR290" s="387">
        <f t="shared" si="190"/>
        <v>0</v>
      </c>
      <c r="BS290" s="387">
        <f t="shared" si="191"/>
        <v>0</v>
      </c>
      <c r="BT290" s="387">
        <f t="shared" si="192"/>
        <v>0</v>
      </c>
      <c r="BU290" s="387">
        <f t="shared" si="193"/>
        <v>0</v>
      </c>
      <c r="BV290" s="387">
        <f t="shared" si="194"/>
        <v>0</v>
      </c>
      <c r="BW290" s="387">
        <f t="shared" si="195"/>
        <v>0</v>
      </c>
      <c r="BX290" s="387">
        <f t="shared" si="210"/>
        <v>0</v>
      </c>
      <c r="BY290" s="387">
        <f t="shared" si="211"/>
        <v>0</v>
      </c>
      <c r="BZ290" s="387">
        <f t="shared" si="212"/>
        <v>0</v>
      </c>
      <c r="CA290" s="387">
        <f t="shared" si="213"/>
        <v>0</v>
      </c>
      <c r="CB290" s="387">
        <f t="shared" si="214"/>
        <v>0</v>
      </c>
      <c r="CC290" s="387">
        <f t="shared" si="196"/>
        <v>0</v>
      </c>
      <c r="CD290" s="387">
        <f t="shared" si="197"/>
        <v>0</v>
      </c>
      <c r="CE290" s="387">
        <f t="shared" si="198"/>
        <v>0</v>
      </c>
      <c r="CF290" s="387">
        <f t="shared" si="199"/>
        <v>0</v>
      </c>
      <c r="CG290" s="387">
        <f t="shared" si="200"/>
        <v>0</v>
      </c>
      <c r="CH290" s="387">
        <f t="shared" si="201"/>
        <v>0</v>
      </c>
      <c r="CI290" s="387">
        <f t="shared" si="202"/>
        <v>0</v>
      </c>
      <c r="CJ290" s="387">
        <f t="shared" si="215"/>
        <v>0</v>
      </c>
      <c r="CK290" s="387" t="str">
        <f t="shared" si="216"/>
        <v/>
      </c>
      <c r="CL290" s="387" t="str">
        <f t="shared" si="217"/>
        <v/>
      </c>
      <c r="CM290" s="387" t="str">
        <f t="shared" si="218"/>
        <v/>
      </c>
      <c r="CN290" s="387" t="str">
        <f t="shared" si="219"/>
        <v>0348-31</v>
      </c>
    </row>
    <row r="291" spans="1:92" ht="15.75" thickBot="1" x14ac:dyDescent="0.3">
      <c r="A291" s="376" t="s">
        <v>161</v>
      </c>
      <c r="B291" s="376" t="s">
        <v>162</v>
      </c>
      <c r="C291" s="376" t="s">
        <v>721</v>
      </c>
      <c r="D291" s="376" t="s">
        <v>287</v>
      </c>
      <c r="E291" s="376" t="s">
        <v>224</v>
      </c>
      <c r="F291" s="382" t="s">
        <v>225</v>
      </c>
      <c r="G291" s="376" t="s">
        <v>781</v>
      </c>
      <c r="H291" s="378"/>
      <c r="I291" s="378"/>
      <c r="J291" s="376" t="s">
        <v>215</v>
      </c>
      <c r="K291" s="376" t="s">
        <v>289</v>
      </c>
      <c r="L291" s="376" t="s">
        <v>170</v>
      </c>
      <c r="M291" s="376" t="s">
        <v>171</v>
      </c>
      <c r="N291" s="376" t="s">
        <v>257</v>
      </c>
      <c r="O291" s="379">
        <v>1</v>
      </c>
      <c r="P291" s="385">
        <v>1</v>
      </c>
      <c r="Q291" s="385">
        <v>1</v>
      </c>
      <c r="R291" s="380">
        <v>80</v>
      </c>
      <c r="S291" s="385">
        <v>1</v>
      </c>
      <c r="T291" s="380">
        <v>0</v>
      </c>
      <c r="U291" s="380">
        <v>0</v>
      </c>
      <c r="V291" s="380">
        <v>0</v>
      </c>
      <c r="W291" s="380">
        <v>48339.199999999997</v>
      </c>
      <c r="X291" s="380">
        <v>21835.53</v>
      </c>
      <c r="Y291" s="380">
        <v>48339.199999999997</v>
      </c>
      <c r="Z291" s="380">
        <v>21632.51</v>
      </c>
      <c r="AA291" s="376" t="s">
        <v>722</v>
      </c>
      <c r="AB291" s="376" t="s">
        <v>723</v>
      </c>
      <c r="AC291" s="376" t="s">
        <v>724</v>
      </c>
      <c r="AD291" s="376" t="s">
        <v>198</v>
      </c>
      <c r="AE291" s="376" t="s">
        <v>289</v>
      </c>
      <c r="AF291" s="376" t="s">
        <v>261</v>
      </c>
      <c r="AG291" s="376" t="s">
        <v>178</v>
      </c>
      <c r="AH291" s="381">
        <v>23.24</v>
      </c>
      <c r="AI291" s="381">
        <v>753.1</v>
      </c>
      <c r="AJ291" s="376" t="s">
        <v>179</v>
      </c>
      <c r="AK291" s="376" t="s">
        <v>180</v>
      </c>
      <c r="AL291" s="376" t="s">
        <v>181</v>
      </c>
      <c r="AM291" s="376" t="s">
        <v>182</v>
      </c>
      <c r="AN291" s="376" t="s">
        <v>68</v>
      </c>
      <c r="AO291" s="379">
        <v>80</v>
      </c>
      <c r="AP291" s="385">
        <v>1</v>
      </c>
      <c r="AQ291" s="385">
        <v>1</v>
      </c>
      <c r="AR291" s="383" t="s">
        <v>183</v>
      </c>
      <c r="AS291" s="387">
        <f t="shared" si="203"/>
        <v>1</v>
      </c>
      <c r="AT291">
        <f t="shared" si="204"/>
        <v>1</v>
      </c>
      <c r="AU291" s="387">
        <f>IF(AT291=0,"",IF(AND(AT291=1,M291="F",SUMIF(C2:C1334,C291,AS2:AS1334)&lt;=1),SUMIF(C2:C1334,C291,AS2:AS1334),IF(AND(AT291=1,M291="F",SUMIF(C2:C1334,C291,AS2:AS1334)&gt;1),1,"")))</f>
        <v>1</v>
      </c>
      <c r="AV291" s="387" t="str">
        <f>IF(AT291=0,"",IF(AND(AT291=3,M291="F",SUMIF(C2:C1334,C291,AS2:AS1334)&lt;=1),SUMIF(C2:C1334,C291,AS2:AS1334),IF(AND(AT291=3,M291="F",SUMIF(C2:C1334,C291,AS2:AS1334)&gt;1),1,"")))</f>
        <v/>
      </c>
      <c r="AW291" s="387">
        <f>SUMIF(C2:C1334,C291,O2:O1334)</f>
        <v>2</v>
      </c>
      <c r="AX291" s="387">
        <f>IF(AND(M291="F",AS291&lt;&gt;0),SUMIF(C2:C1334,C291,W2:W1334),0)</f>
        <v>48339.199999999997</v>
      </c>
      <c r="AY291" s="387">
        <f t="shared" si="205"/>
        <v>48339.199999999997</v>
      </c>
      <c r="AZ291" s="387" t="str">
        <f t="shared" si="206"/>
        <v/>
      </c>
      <c r="BA291" s="387">
        <f t="shared" si="207"/>
        <v>0</v>
      </c>
      <c r="BB291" s="387">
        <f t="shared" si="176"/>
        <v>11650</v>
      </c>
      <c r="BC291" s="387">
        <f t="shared" si="177"/>
        <v>0</v>
      </c>
      <c r="BD291" s="387">
        <f t="shared" si="178"/>
        <v>2997.0303999999996</v>
      </c>
      <c r="BE291" s="387">
        <f t="shared" si="179"/>
        <v>700.91840000000002</v>
      </c>
      <c r="BF291" s="387">
        <f t="shared" si="180"/>
        <v>5771.7004799999995</v>
      </c>
      <c r="BG291" s="387">
        <f t="shared" si="181"/>
        <v>348.52563199999997</v>
      </c>
      <c r="BH291" s="387">
        <f t="shared" si="182"/>
        <v>236.86207999999999</v>
      </c>
      <c r="BI291" s="387">
        <f t="shared" si="183"/>
        <v>0</v>
      </c>
      <c r="BJ291" s="387">
        <f t="shared" si="184"/>
        <v>130.51584</v>
      </c>
      <c r="BK291" s="387">
        <f t="shared" si="185"/>
        <v>0</v>
      </c>
      <c r="BL291" s="387">
        <f t="shared" si="208"/>
        <v>10185.552832000001</v>
      </c>
      <c r="BM291" s="387">
        <f t="shared" si="209"/>
        <v>0</v>
      </c>
      <c r="BN291" s="387">
        <f t="shared" si="186"/>
        <v>11650</v>
      </c>
      <c r="BO291" s="387">
        <f t="shared" si="187"/>
        <v>0</v>
      </c>
      <c r="BP291" s="387">
        <f t="shared" si="188"/>
        <v>2997.0303999999996</v>
      </c>
      <c r="BQ291" s="387">
        <f t="shared" si="189"/>
        <v>700.91840000000002</v>
      </c>
      <c r="BR291" s="387">
        <f t="shared" si="190"/>
        <v>5771.7004799999995</v>
      </c>
      <c r="BS291" s="387">
        <f t="shared" si="191"/>
        <v>348.52563199999997</v>
      </c>
      <c r="BT291" s="387">
        <f t="shared" si="192"/>
        <v>0</v>
      </c>
      <c r="BU291" s="387">
        <f t="shared" si="193"/>
        <v>0</v>
      </c>
      <c r="BV291" s="387">
        <f t="shared" si="194"/>
        <v>164.35327999999998</v>
      </c>
      <c r="BW291" s="387">
        <f t="shared" si="195"/>
        <v>0</v>
      </c>
      <c r="BX291" s="387">
        <f t="shared" si="210"/>
        <v>9982.5281919999998</v>
      </c>
      <c r="BY291" s="387">
        <f t="shared" si="211"/>
        <v>0</v>
      </c>
      <c r="BZ291" s="387">
        <f t="shared" si="212"/>
        <v>0</v>
      </c>
      <c r="CA291" s="387">
        <f t="shared" si="213"/>
        <v>0</v>
      </c>
      <c r="CB291" s="387">
        <f t="shared" si="214"/>
        <v>0</v>
      </c>
      <c r="CC291" s="387">
        <f t="shared" si="196"/>
        <v>0</v>
      </c>
      <c r="CD291" s="387">
        <f t="shared" si="197"/>
        <v>0</v>
      </c>
      <c r="CE291" s="387">
        <f t="shared" si="198"/>
        <v>0</v>
      </c>
      <c r="CF291" s="387">
        <f t="shared" si="199"/>
        <v>-236.86207999999999</v>
      </c>
      <c r="CG291" s="387">
        <f t="shared" si="200"/>
        <v>0</v>
      </c>
      <c r="CH291" s="387">
        <f t="shared" si="201"/>
        <v>33.83743999999998</v>
      </c>
      <c r="CI291" s="387">
        <f t="shared" si="202"/>
        <v>0</v>
      </c>
      <c r="CJ291" s="387">
        <f t="shared" si="215"/>
        <v>-203.02464000000001</v>
      </c>
      <c r="CK291" s="387" t="str">
        <f t="shared" si="216"/>
        <v/>
      </c>
      <c r="CL291" s="387" t="str">
        <f t="shared" si="217"/>
        <v/>
      </c>
      <c r="CM291" s="387" t="str">
        <f t="shared" si="218"/>
        <v/>
      </c>
      <c r="CN291" s="387" t="str">
        <f t="shared" si="219"/>
        <v>0348-31</v>
      </c>
    </row>
    <row r="292" spans="1:92" ht="15.75" thickBot="1" x14ac:dyDescent="0.3">
      <c r="A292" s="376" t="s">
        <v>161</v>
      </c>
      <c r="B292" s="376" t="s">
        <v>162</v>
      </c>
      <c r="C292" s="376" t="s">
        <v>1063</v>
      </c>
      <c r="D292" s="376" t="s">
        <v>862</v>
      </c>
      <c r="E292" s="376" t="s">
        <v>224</v>
      </c>
      <c r="F292" s="382" t="s">
        <v>225</v>
      </c>
      <c r="G292" s="376" t="s">
        <v>781</v>
      </c>
      <c r="H292" s="378"/>
      <c r="I292" s="378"/>
      <c r="J292" s="376" t="s">
        <v>215</v>
      </c>
      <c r="K292" s="376" t="s">
        <v>863</v>
      </c>
      <c r="L292" s="376" t="s">
        <v>252</v>
      </c>
      <c r="M292" s="376" t="s">
        <v>171</v>
      </c>
      <c r="N292" s="376" t="s">
        <v>172</v>
      </c>
      <c r="O292" s="379">
        <v>1</v>
      </c>
      <c r="P292" s="385">
        <v>1</v>
      </c>
      <c r="Q292" s="385">
        <v>1</v>
      </c>
      <c r="R292" s="380">
        <v>80</v>
      </c>
      <c r="S292" s="385">
        <v>1</v>
      </c>
      <c r="T292" s="380">
        <v>34338.120000000003</v>
      </c>
      <c r="U292" s="380">
        <v>0</v>
      </c>
      <c r="V292" s="380">
        <v>17327.47</v>
      </c>
      <c r="W292" s="380">
        <v>44366.400000000001</v>
      </c>
      <c r="X292" s="380">
        <v>21244.19</v>
      </c>
      <c r="Y292" s="380">
        <v>44366.400000000001</v>
      </c>
      <c r="Z292" s="380">
        <v>21057.86</v>
      </c>
      <c r="AA292" s="376" t="s">
        <v>1064</v>
      </c>
      <c r="AB292" s="376" t="s">
        <v>1065</v>
      </c>
      <c r="AC292" s="376" t="s">
        <v>1066</v>
      </c>
      <c r="AD292" s="376" t="s">
        <v>1067</v>
      </c>
      <c r="AE292" s="376" t="s">
        <v>863</v>
      </c>
      <c r="AF292" s="376" t="s">
        <v>393</v>
      </c>
      <c r="AG292" s="376" t="s">
        <v>178</v>
      </c>
      <c r="AH292" s="381">
        <v>21.33</v>
      </c>
      <c r="AI292" s="379">
        <v>18240</v>
      </c>
      <c r="AJ292" s="376" t="s">
        <v>179</v>
      </c>
      <c r="AK292" s="376" t="s">
        <v>180</v>
      </c>
      <c r="AL292" s="376" t="s">
        <v>181</v>
      </c>
      <c r="AM292" s="376" t="s">
        <v>182</v>
      </c>
      <c r="AN292" s="376" t="s">
        <v>68</v>
      </c>
      <c r="AO292" s="379">
        <v>80</v>
      </c>
      <c r="AP292" s="385">
        <v>1</v>
      </c>
      <c r="AQ292" s="385">
        <v>1</v>
      </c>
      <c r="AR292" s="383" t="s">
        <v>183</v>
      </c>
      <c r="AS292" s="387">
        <f t="shared" si="203"/>
        <v>1</v>
      </c>
      <c r="AT292">
        <f t="shared" si="204"/>
        <v>1</v>
      </c>
      <c r="AU292" s="387">
        <f>IF(AT292=0,"",IF(AND(AT292=1,M292="F",SUMIF(C2:C1334,C292,AS2:AS1334)&lt;=1),SUMIF(C2:C1334,C292,AS2:AS1334),IF(AND(AT292=1,M292="F",SUMIF(C2:C1334,C292,AS2:AS1334)&gt;1),1,"")))</f>
        <v>1</v>
      </c>
      <c r="AV292" s="387" t="str">
        <f>IF(AT292=0,"",IF(AND(AT292=3,M292="F",SUMIF(C2:C1334,C292,AS2:AS1334)&lt;=1),SUMIF(C2:C1334,C292,AS2:AS1334),IF(AND(AT292=3,M292="F",SUMIF(C2:C1334,C292,AS2:AS1334)&gt;1),1,"")))</f>
        <v/>
      </c>
      <c r="AW292" s="387">
        <f>SUMIF(C2:C1334,C292,O2:O1334)</f>
        <v>3</v>
      </c>
      <c r="AX292" s="387">
        <f>IF(AND(M292="F",AS292&lt;&gt;0),SUMIF(C2:C1334,C292,W2:W1334),0)</f>
        <v>44366.400000000001</v>
      </c>
      <c r="AY292" s="387">
        <f t="shared" si="205"/>
        <v>44366.400000000001</v>
      </c>
      <c r="AZ292" s="387" t="str">
        <f t="shared" si="206"/>
        <v/>
      </c>
      <c r="BA292" s="387">
        <f t="shared" si="207"/>
        <v>0</v>
      </c>
      <c r="BB292" s="387">
        <f t="shared" si="176"/>
        <v>11650</v>
      </c>
      <c r="BC292" s="387">
        <f t="shared" si="177"/>
        <v>0</v>
      </c>
      <c r="BD292" s="387">
        <f t="shared" si="178"/>
        <v>2750.7168000000001</v>
      </c>
      <c r="BE292" s="387">
        <f t="shared" si="179"/>
        <v>643.31280000000004</v>
      </c>
      <c r="BF292" s="387">
        <f t="shared" si="180"/>
        <v>5297.3481600000005</v>
      </c>
      <c r="BG292" s="387">
        <f t="shared" si="181"/>
        <v>319.88174400000003</v>
      </c>
      <c r="BH292" s="387">
        <f t="shared" si="182"/>
        <v>217.39536000000001</v>
      </c>
      <c r="BI292" s="387">
        <f t="shared" si="183"/>
        <v>245.56802400000001</v>
      </c>
      <c r="BJ292" s="387">
        <f t="shared" si="184"/>
        <v>119.78928000000001</v>
      </c>
      <c r="BK292" s="387">
        <f t="shared" si="185"/>
        <v>0</v>
      </c>
      <c r="BL292" s="387">
        <f t="shared" si="208"/>
        <v>9594.0121680000029</v>
      </c>
      <c r="BM292" s="387">
        <f t="shared" si="209"/>
        <v>0</v>
      </c>
      <c r="BN292" s="387">
        <f t="shared" si="186"/>
        <v>11650</v>
      </c>
      <c r="BO292" s="387">
        <f t="shared" si="187"/>
        <v>0</v>
      </c>
      <c r="BP292" s="387">
        <f t="shared" si="188"/>
        <v>2750.7168000000001</v>
      </c>
      <c r="BQ292" s="387">
        <f t="shared" si="189"/>
        <v>643.31280000000004</v>
      </c>
      <c r="BR292" s="387">
        <f t="shared" si="190"/>
        <v>5297.3481600000005</v>
      </c>
      <c r="BS292" s="387">
        <f t="shared" si="191"/>
        <v>319.88174400000003</v>
      </c>
      <c r="BT292" s="387">
        <f t="shared" si="192"/>
        <v>0</v>
      </c>
      <c r="BU292" s="387">
        <f t="shared" si="193"/>
        <v>245.56802400000001</v>
      </c>
      <c r="BV292" s="387">
        <f t="shared" si="194"/>
        <v>150.84575999999998</v>
      </c>
      <c r="BW292" s="387">
        <f t="shared" si="195"/>
        <v>0</v>
      </c>
      <c r="BX292" s="387">
        <f t="shared" si="210"/>
        <v>9407.6732880000018</v>
      </c>
      <c r="BY292" s="387">
        <f t="shared" si="211"/>
        <v>0</v>
      </c>
      <c r="BZ292" s="387">
        <f t="shared" si="212"/>
        <v>0</v>
      </c>
      <c r="CA292" s="387">
        <f t="shared" si="213"/>
        <v>0</v>
      </c>
      <c r="CB292" s="387">
        <f t="shared" si="214"/>
        <v>0</v>
      </c>
      <c r="CC292" s="387">
        <f t="shared" si="196"/>
        <v>0</v>
      </c>
      <c r="CD292" s="387">
        <f t="shared" si="197"/>
        <v>0</v>
      </c>
      <c r="CE292" s="387">
        <f t="shared" si="198"/>
        <v>0</v>
      </c>
      <c r="CF292" s="387">
        <f t="shared" si="199"/>
        <v>-217.39536000000001</v>
      </c>
      <c r="CG292" s="387">
        <f t="shared" si="200"/>
        <v>0</v>
      </c>
      <c r="CH292" s="387">
        <f t="shared" si="201"/>
        <v>31.056479999999986</v>
      </c>
      <c r="CI292" s="387">
        <f t="shared" si="202"/>
        <v>0</v>
      </c>
      <c r="CJ292" s="387">
        <f t="shared" si="215"/>
        <v>-186.33888000000002</v>
      </c>
      <c r="CK292" s="387" t="str">
        <f t="shared" si="216"/>
        <v/>
      </c>
      <c r="CL292" s="387" t="str">
        <f t="shared" si="217"/>
        <v/>
      </c>
      <c r="CM292" s="387" t="str">
        <f t="shared" si="218"/>
        <v/>
      </c>
      <c r="CN292" s="387" t="str">
        <f t="shared" si="219"/>
        <v>0348-31</v>
      </c>
    </row>
    <row r="293" spans="1:92" ht="15.75" thickBot="1" x14ac:dyDescent="0.3">
      <c r="A293" s="376" t="s">
        <v>161</v>
      </c>
      <c r="B293" s="376" t="s">
        <v>162</v>
      </c>
      <c r="C293" s="376" t="s">
        <v>1068</v>
      </c>
      <c r="D293" s="376" t="s">
        <v>862</v>
      </c>
      <c r="E293" s="376" t="s">
        <v>224</v>
      </c>
      <c r="F293" s="382" t="s">
        <v>225</v>
      </c>
      <c r="G293" s="376" t="s">
        <v>781</v>
      </c>
      <c r="H293" s="378"/>
      <c r="I293" s="378"/>
      <c r="J293" s="376" t="s">
        <v>215</v>
      </c>
      <c r="K293" s="376" t="s">
        <v>863</v>
      </c>
      <c r="L293" s="376" t="s">
        <v>252</v>
      </c>
      <c r="M293" s="376" t="s">
        <v>171</v>
      </c>
      <c r="N293" s="376" t="s">
        <v>172</v>
      </c>
      <c r="O293" s="379">
        <v>1</v>
      </c>
      <c r="P293" s="385">
        <v>0</v>
      </c>
      <c r="Q293" s="385">
        <v>0</v>
      </c>
      <c r="R293" s="380">
        <v>80</v>
      </c>
      <c r="S293" s="385">
        <v>0</v>
      </c>
      <c r="T293" s="380">
        <v>734</v>
      </c>
      <c r="U293" s="380">
        <v>0</v>
      </c>
      <c r="V293" s="380">
        <v>387.78</v>
      </c>
      <c r="W293" s="380">
        <v>0</v>
      </c>
      <c r="X293" s="380">
        <v>0</v>
      </c>
      <c r="Y293" s="380">
        <v>0</v>
      </c>
      <c r="Z293" s="380">
        <v>0</v>
      </c>
      <c r="AA293" s="376" t="s">
        <v>1069</v>
      </c>
      <c r="AB293" s="376" t="s">
        <v>1070</v>
      </c>
      <c r="AC293" s="376" t="s">
        <v>1071</v>
      </c>
      <c r="AD293" s="376" t="s">
        <v>324</v>
      </c>
      <c r="AE293" s="376" t="s">
        <v>863</v>
      </c>
      <c r="AF293" s="376" t="s">
        <v>393</v>
      </c>
      <c r="AG293" s="376" t="s">
        <v>178</v>
      </c>
      <c r="AH293" s="381">
        <v>19.64</v>
      </c>
      <c r="AI293" s="381">
        <v>2056.1999999999998</v>
      </c>
      <c r="AJ293" s="376" t="s">
        <v>179</v>
      </c>
      <c r="AK293" s="376" t="s">
        <v>180</v>
      </c>
      <c r="AL293" s="376" t="s">
        <v>181</v>
      </c>
      <c r="AM293" s="376" t="s">
        <v>182</v>
      </c>
      <c r="AN293" s="376" t="s">
        <v>68</v>
      </c>
      <c r="AO293" s="379">
        <v>80</v>
      </c>
      <c r="AP293" s="385">
        <v>1</v>
      </c>
      <c r="AQ293" s="385">
        <v>0</v>
      </c>
      <c r="AR293" s="383" t="s">
        <v>183</v>
      </c>
      <c r="AS293" s="387">
        <f t="shared" si="203"/>
        <v>0</v>
      </c>
      <c r="AT293">
        <f t="shared" si="204"/>
        <v>0</v>
      </c>
      <c r="AU293" s="387" t="str">
        <f>IF(AT293=0,"",IF(AND(AT293=1,M293="F",SUMIF(C2:C1334,C293,AS2:AS1334)&lt;=1),SUMIF(C2:C1334,C293,AS2:AS1334),IF(AND(AT293=1,M293="F",SUMIF(C2:C1334,C293,AS2:AS1334)&gt;1),1,"")))</f>
        <v/>
      </c>
      <c r="AV293" s="387" t="str">
        <f>IF(AT293=0,"",IF(AND(AT293=3,M293="F",SUMIF(C2:C1334,C293,AS2:AS1334)&lt;=1),SUMIF(C2:C1334,C293,AS2:AS1334),IF(AND(AT293=3,M293="F",SUMIF(C2:C1334,C293,AS2:AS1334)&gt;1),1,"")))</f>
        <v/>
      </c>
      <c r="AW293" s="387">
        <f>SUMIF(C2:C1334,C293,O2:O1334)</f>
        <v>2</v>
      </c>
      <c r="AX293" s="387">
        <f>IF(AND(M293="F",AS293&lt;&gt;0),SUMIF(C2:C1334,C293,W2:W1334),0)</f>
        <v>0</v>
      </c>
      <c r="AY293" s="387" t="str">
        <f t="shared" si="205"/>
        <v/>
      </c>
      <c r="AZ293" s="387" t="str">
        <f t="shared" si="206"/>
        <v/>
      </c>
      <c r="BA293" s="387">
        <f t="shared" si="207"/>
        <v>0</v>
      </c>
      <c r="BB293" s="387">
        <f t="shared" si="176"/>
        <v>0</v>
      </c>
      <c r="BC293" s="387">
        <f t="shared" si="177"/>
        <v>0</v>
      </c>
      <c r="BD293" s="387">
        <f t="shared" si="178"/>
        <v>0</v>
      </c>
      <c r="BE293" s="387">
        <f t="shared" si="179"/>
        <v>0</v>
      </c>
      <c r="BF293" s="387">
        <f t="shared" si="180"/>
        <v>0</v>
      </c>
      <c r="BG293" s="387">
        <f t="shared" si="181"/>
        <v>0</v>
      </c>
      <c r="BH293" s="387">
        <f t="shared" si="182"/>
        <v>0</v>
      </c>
      <c r="BI293" s="387">
        <f t="shared" si="183"/>
        <v>0</v>
      </c>
      <c r="BJ293" s="387">
        <f t="shared" si="184"/>
        <v>0</v>
      </c>
      <c r="BK293" s="387">
        <f t="shared" si="185"/>
        <v>0</v>
      </c>
      <c r="BL293" s="387">
        <f t="shared" si="208"/>
        <v>0</v>
      </c>
      <c r="BM293" s="387">
        <f t="shared" si="209"/>
        <v>0</v>
      </c>
      <c r="BN293" s="387">
        <f t="shared" si="186"/>
        <v>0</v>
      </c>
      <c r="BO293" s="387">
        <f t="shared" si="187"/>
        <v>0</v>
      </c>
      <c r="BP293" s="387">
        <f t="shared" si="188"/>
        <v>0</v>
      </c>
      <c r="BQ293" s="387">
        <f t="shared" si="189"/>
        <v>0</v>
      </c>
      <c r="BR293" s="387">
        <f t="shared" si="190"/>
        <v>0</v>
      </c>
      <c r="BS293" s="387">
        <f t="shared" si="191"/>
        <v>0</v>
      </c>
      <c r="BT293" s="387">
        <f t="shared" si="192"/>
        <v>0</v>
      </c>
      <c r="BU293" s="387">
        <f t="shared" si="193"/>
        <v>0</v>
      </c>
      <c r="BV293" s="387">
        <f t="shared" si="194"/>
        <v>0</v>
      </c>
      <c r="BW293" s="387">
        <f t="shared" si="195"/>
        <v>0</v>
      </c>
      <c r="BX293" s="387">
        <f t="shared" si="210"/>
        <v>0</v>
      </c>
      <c r="BY293" s="387">
        <f t="shared" si="211"/>
        <v>0</v>
      </c>
      <c r="BZ293" s="387">
        <f t="shared" si="212"/>
        <v>0</v>
      </c>
      <c r="CA293" s="387">
        <f t="shared" si="213"/>
        <v>0</v>
      </c>
      <c r="CB293" s="387">
        <f t="shared" si="214"/>
        <v>0</v>
      </c>
      <c r="CC293" s="387">
        <f t="shared" si="196"/>
        <v>0</v>
      </c>
      <c r="CD293" s="387">
        <f t="shared" si="197"/>
        <v>0</v>
      </c>
      <c r="CE293" s="387">
        <f t="shared" si="198"/>
        <v>0</v>
      </c>
      <c r="CF293" s="387">
        <f t="shared" si="199"/>
        <v>0</v>
      </c>
      <c r="CG293" s="387">
        <f t="shared" si="200"/>
        <v>0</v>
      </c>
      <c r="CH293" s="387">
        <f t="shared" si="201"/>
        <v>0</v>
      </c>
      <c r="CI293" s="387">
        <f t="shared" si="202"/>
        <v>0</v>
      </c>
      <c r="CJ293" s="387">
        <f t="shared" si="215"/>
        <v>0</v>
      </c>
      <c r="CK293" s="387" t="str">
        <f t="shared" si="216"/>
        <v/>
      </c>
      <c r="CL293" s="387" t="str">
        <f t="shared" si="217"/>
        <v/>
      </c>
      <c r="CM293" s="387" t="str">
        <f t="shared" si="218"/>
        <v/>
      </c>
      <c r="CN293" s="387" t="str">
        <f t="shared" si="219"/>
        <v>0348-31</v>
      </c>
    </row>
    <row r="294" spans="1:92" ht="15.75" thickBot="1" x14ac:dyDescent="0.3">
      <c r="A294" s="376" t="s">
        <v>161</v>
      </c>
      <c r="B294" s="376" t="s">
        <v>162</v>
      </c>
      <c r="C294" s="376" t="s">
        <v>1072</v>
      </c>
      <c r="D294" s="376" t="s">
        <v>862</v>
      </c>
      <c r="E294" s="376" t="s">
        <v>224</v>
      </c>
      <c r="F294" s="382" t="s">
        <v>225</v>
      </c>
      <c r="G294" s="376" t="s">
        <v>781</v>
      </c>
      <c r="H294" s="378"/>
      <c r="I294" s="378"/>
      <c r="J294" s="376" t="s">
        <v>168</v>
      </c>
      <c r="K294" s="376" t="s">
        <v>863</v>
      </c>
      <c r="L294" s="376" t="s">
        <v>252</v>
      </c>
      <c r="M294" s="376" t="s">
        <v>171</v>
      </c>
      <c r="N294" s="376" t="s">
        <v>172</v>
      </c>
      <c r="O294" s="379">
        <v>1</v>
      </c>
      <c r="P294" s="385">
        <v>0.6</v>
      </c>
      <c r="Q294" s="385">
        <v>0.6</v>
      </c>
      <c r="R294" s="380">
        <v>80</v>
      </c>
      <c r="S294" s="385">
        <v>0.6</v>
      </c>
      <c r="T294" s="380">
        <v>25592.94</v>
      </c>
      <c r="U294" s="380">
        <v>0</v>
      </c>
      <c r="V294" s="380">
        <v>13133.6</v>
      </c>
      <c r="W294" s="380">
        <v>27780.48</v>
      </c>
      <c r="X294" s="380">
        <v>12997.49</v>
      </c>
      <c r="Y294" s="380">
        <v>27780.48</v>
      </c>
      <c r="Z294" s="380">
        <v>12880.82</v>
      </c>
      <c r="AA294" s="376" t="s">
        <v>1073</v>
      </c>
      <c r="AB294" s="376" t="s">
        <v>1074</v>
      </c>
      <c r="AC294" s="376" t="s">
        <v>1075</v>
      </c>
      <c r="AD294" s="376" t="s">
        <v>210</v>
      </c>
      <c r="AE294" s="376" t="s">
        <v>863</v>
      </c>
      <c r="AF294" s="376" t="s">
        <v>393</v>
      </c>
      <c r="AG294" s="376" t="s">
        <v>178</v>
      </c>
      <c r="AH294" s="381">
        <v>22.26</v>
      </c>
      <c r="AI294" s="381">
        <v>25384.400000000001</v>
      </c>
      <c r="AJ294" s="376" t="s">
        <v>179</v>
      </c>
      <c r="AK294" s="376" t="s">
        <v>180</v>
      </c>
      <c r="AL294" s="376" t="s">
        <v>181</v>
      </c>
      <c r="AM294" s="376" t="s">
        <v>182</v>
      </c>
      <c r="AN294" s="376" t="s">
        <v>68</v>
      </c>
      <c r="AO294" s="379">
        <v>80</v>
      </c>
      <c r="AP294" s="385">
        <v>1</v>
      </c>
      <c r="AQ294" s="385">
        <v>0.6</v>
      </c>
      <c r="AR294" s="383" t="s">
        <v>183</v>
      </c>
      <c r="AS294" s="387">
        <f t="shared" si="203"/>
        <v>0.6</v>
      </c>
      <c r="AT294">
        <f t="shared" si="204"/>
        <v>1</v>
      </c>
      <c r="AU294" s="387">
        <f>IF(AT294=0,"",IF(AND(AT294=1,M294="F",SUMIF(C2:C1334,C294,AS2:AS1334)&lt;=1),SUMIF(C2:C1334,C294,AS2:AS1334),IF(AND(AT294=1,M294="F",SUMIF(C2:C1334,C294,AS2:AS1334)&gt;1),1,"")))</f>
        <v>1</v>
      </c>
      <c r="AV294" s="387" t="str">
        <f>IF(AT294=0,"",IF(AND(AT294=3,M294="F",SUMIF(C2:C1334,C294,AS2:AS1334)&lt;=1),SUMIF(C2:C1334,C294,AS2:AS1334),IF(AND(AT294=3,M294="F",SUMIF(C2:C1334,C294,AS2:AS1334)&gt;1),1,"")))</f>
        <v/>
      </c>
      <c r="AW294" s="387">
        <f>SUMIF(C2:C1334,C294,O2:O1334)</f>
        <v>3</v>
      </c>
      <c r="AX294" s="387">
        <f>IF(AND(M294="F",AS294&lt;&gt;0),SUMIF(C2:C1334,C294,W2:W1334),0)</f>
        <v>46300.800000000003</v>
      </c>
      <c r="AY294" s="387">
        <f t="shared" si="205"/>
        <v>27780.48</v>
      </c>
      <c r="AZ294" s="387" t="str">
        <f t="shared" si="206"/>
        <v/>
      </c>
      <c r="BA294" s="387">
        <f t="shared" si="207"/>
        <v>0</v>
      </c>
      <c r="BB294" s="387">
        <f t="shared" si="176"/>
        <v>6990</v>
      </c>
      <c r="BC294" s="387">
        <f t="shared" si="177"/>
        <v>0</v>
      </c>
      <c r="BD294" s="387">
        <f t="shared" si="178"/>
        <v>1722.38976</v>
      </c>
      <c r="BE294" s="387">
        <f t="shared" si="179"/>
        <v>402.81695999999999</v>
      </c>
      <c r="BF294" s="387">
        <f t="shared" si="180"/>
        <v>3316.9893120000002</v>
      </c>
      <c r="BG294" s="387">
        <f t="shared" si="181"/>
        <v>200.2972608</v>
      </c>
      <c r="BH294" s="387">
        <f t="shared" si="182"/>
        <v>136.12435199999999</v>
      </c>
      <c r="BI294" s="387">
        <f t="shared" si="183"/>
        <v>153.76495679999999</v>
      </c>
      <c r="BJ294" s="387">
        <f t="shared" si="184"/>
        <v>75.007295999999997</v>
      </c>
      <c r="BK294" s="387">
        <f t="shared" si="185"/>
        <v>0</v>
      </c>
      <c r="BL294" s="387">
        <f t="shared" si="208"/>
        <v>6007.3898975999991</v>
      </c>
      <c r="BM294" s="387">
        <f t="shared" si="209"/>
        <v>0</v>
      </c>
      <c r="BN294" s="387">
        <f t="shared" si="186"/>
        <v>6990</v>
      </c>
      <c r="BO294" s="387">
        <f t="shared" si="187"/>
        <v>0</v>
      </c>
      <c r="BP294" s="387">
        <f t="shared" si="188"/>
        <v>1722.38976</v>
      </c>
      <c r="BQ294" s="387">
        <f t="shared" si="189"/>
        <v>402.81695999999999</v>
      </c>
      <c r="BR294" s="387">
        <f t="shared" si="190"/>
        <v>3316.9893120000002</v>
      </c>
      <c r="BS294" s="387">
        <f t="shared" si="191"/>
        <v>200.2972608</v>
      </c>
      <c r="BT294" s="387">
        <f t="shared" si="192"/>
        <v>0</v>
      </c>
      <c r="BU294" s="387">
        <f t="shared" si="193"/>
        <v>153.76495679999999</v>
      </c>
      <c r="BV294" s="387">
        <f t="shared" si="194"/>
        <v>94.453631999999999</v>
      </c>
      <c r="BW294" s="387">
        <f t="shared" si="195"/>
        <v>0</v>
      </c>
      <c r="BX294" s="387">
        <f t="shared" si="210"/>
        <v>5890.7118815999993</v>
      </c>
      <c r="BY294" s="387">
        <f t="shared" si="211"/>
        <v>0</v>
      </c>
      <c r="BZ294" s="387">
        <f t="shared" si="212"/>
        <v>0</v>
      </c>
      <c r="CA294" s="387">
        <f t="shared" si="213"/>
        <v>0</v>
      </c>
      <c r="CB294" s="387">
        <f t="shared" si="214"/>
        <v>0</v>
      </c>
      <c r="CC294" s="387">
        <f t="shared" si="196"/>
        <v>0</v>
      </c>
      <c r="CD294" s="387">
        <f t="shared" si="197"/>
        <v>0</v>
      </c>
      <c r="CE294" s="387">
        <f t="shared" si="198"/>
        <v>0</v>
      </c>
      <c r="CF294" s="387">
        <f t="shared" si="199"/>
        <v>-136.12435199999999</v>
      </c>
      <c r="CG294" s="387">
        <f t="shared" si="200"/>
        <v>0</v>
      </c>
      <c r="CH294" s="387">
        <f t="shared" si="201"/>
        <v>19.446335999999992</v>
      </c>
      <c r="CI294" s="387">
        <f t="shared" si="202"/>
        <v>0</v>
      </c>
      <c r="CJ294" s="387">
        <f t="shared" si="215"/>
        <v>-116.678016</v>
      </c>
      <c r="CK294" s="387" t="str">
        <f t="shared" si="216"/>
        <v/>
      </c>
      <c r="CL294" s="387" t="str">
        <f t="shared" si="217"/>
        <v/>
      </c>
      <c r="CM294" s="387" t="str">
        <f t="shared" si="218"/>
        <v/>
      </c>
      <c r="CN294" s="387" t="str">
        <f t="shared" si="219"/>
        <v>0348-31</v>
      </c>
    </row>
    <row r="295" spans="1:92" ht="15.75" thickBot="1" x14ac:dyDescent="0.3">
      <c r="A295" s="376" t="s">
        <v>161</v>
      </c>
      <c r="B295" s="376" t="s">
        <v>162</v>
      </c>
      <c r="C295" s="376" t="s">
        <v>1076</v>
      </c>
      <c r="D295" s="376" t="s">
        <v>862</v>
      </c>
      <c r="E295" s="376" t="s">
        <v>224</v>
      </c>
      <c r="F295" s="382" t="s">
        <v>225</v>
      </c>
      <c r="G295" s="376" t="s">
        <v>781</v>
      </c>
      <c r="H295" s="378"/>
      <c r="I295" s="378"/>
      <c r="J295" s="376" t="s">
        <v>239</v>
      </c>
      <c r="K295" s="376" t="s">
        <v>863</v>
      </c>
      <c r="L295" s="376" t="s">
        <v>252</v>
      </c>
      <c r="M295" s="376" t="s">
        <v>171</v>
      </c>
      <c r="N295" s="376" t="s">
        <v>172</v>
      </c>
      <c r="O295" s="379">
        <v>1</v>
      </c>
      <c r="P295" s="385">
        <v>0.15</v>
      </c>
      <c r="Q295" s="385">
        <v>0.15</v>
      </c>
      <c r="R295" s="380">
        <v>80</v>
      </c>
      <c r="S295" s="385">
        <v>0.15</v>
      </c>
      <c r="T295" s="380">
        <v>9945.66</v>
      </c>
      <c r="U295" s="380">
        <v>0</v>
      </c>
      <c r="V295" s="380">
        <v>4450.22</v>
      </c>
      <c r="W295" s="380">
        <v>7238.4</v>
      </c>
      <c r="X295" s="380">
        <v>3312.79</v>
      </c>
      <c r="Y295" s="380">
        <v>7238.4</v>
      </c>
      <c r="Z295" s="380">
        <v>3282.39</v>
      </c>
      <c r="AA295" s="376" t="s">
        <v>1077</v>
      </c>
      <c r="AB295" s="376" t="s">
        <v>1078</v>
      </c>
      <c r="AC295" s="376" t="s">
        <v>963</v>
      </c>
      <c r="AD295" s="376" t="s">
        <v>296</v>
      </c>
      <c r="AE295" s="376" t="s">
        <v>863</v>
      </c>
      <c r="AF295" s="376" t="s">
        <v>393</v>
      </c>
      <c r="AG295" s="376" t="s">
        <v>178</v>
      </c>
      <c r="AH295" s="381">
        <v>23.2</v>
      </c>
      <c r="AI295" s="381">
        <v>31339.8</v>
      </c>
      <c r="AJ295" s="376" t="s">
        <v>179</v>
      </c>
      <c r="AK295" s="376" t="s">
        <v>180</v>
      </c>
      <c r="AL295" s="376" t="s">
        <v>181</v>
      </c>
      <c r="AM295" s="376" t="s">
        <v>182</v>
      </c>
      <c r="AN295" s="376" t="s">
        <v>68</v>
      </c>
      <c r="AO295" s="379">
        <v>80</v>
      </c>
      <c r="AP295" s="385">
        <v>1</v>
      </c>
      <c r="AQ295" s="385">
        <v>0.15</v>
      </c>
      <c r="AR295" s="383" t="s">
        <v>183</v>
      </c>
      <c r="AS295" s="387">
        <f t="shared" si="203"/>
        <v>0.15</v>
      </c>
      <c r="AT295">
        <f t="shared" si="204"/>
        <v>1</v>
      </c>
      <c r="AU295" s="387">
        <f>IF(AT295=0,"",IF(AND(AT295=1,M295="F",SUMIF(C2:C1334,C295,AS2:AS1334)&lt;=1),SUMIF(C2:C1334,C295,AS2:AS1334),IF(AND(AT295=1,M295="F",SUMIF(C2:C1334,C295,AS2:AS1334)&gt;1),1,"")))</f>
        <v>1</v>
      </c>
      <c r="AV295" s="387" t="str">
        <f>IF(AT295=0,"",IF(AND(AT295=3,M295="F",SUMIF(C2:C1334,C295,AS2:AS1334)&lt;=1),SUMIF(C2:C1334,C295,AS2:AS1334),IF(AND(AT295=3,M295="F",SUMIF(C2:C1334,C295,AS2:AS1334)&gt;1),1,"")))</f>
        <v/>
      </c>
      <c r="AW295" s="387">
        <f>SUMIF(C2:C1334,C295,O2:O1334)</f>
        <v>3</v>
      </c>
      <c r="AX295" s="387">
        <f>IF(AND(M295="F",AS295&lt;&gt;0),SUMIF(C2:C1334,C295,W2:W1334),0)</f>
        <v>48256</v>
      </c>
      <c r="AY295" s="387">
        <f t="shared" si="205"/>
        <v>7238.4</v>
      </c>
      <c r="AZ295" s="387" t="str">
        <f t="shared" si="206"/>
        <v/>
      </c>
      <c r="BA295" s="387">
        <f t="shared" si="207"/>
        <v>0</v>
      </c>
      <c r="BB295" s="387">
        <f t="shared" si="176"/>
        <v>1747.5</v>
      </c>
      <c r="BC295" s="387">
        <f t="shared" si="177"/>
        <v>0</v>
      </c>
      <c r="BD295" s="387">
        <f t="shared" si="178"/>
        <v>448.7808</v>
      </c>
      <c r="BE295" s="387">
        <f t="shared" si="179"/>
        <v>104.9568</v>
      </c>
      <c r="BF295" s="387">
        <f t="shared" si="180"/>
        <v>864.26495999999997</v>
      </c>
      <c r="BG295" s="387">
        <f t="shared" si="181"/>
        <v>52.188864000000002</v>
      </c>
      <c r="BH295" s="387">
        <f t="shared" si="182"/>
        <v>35.468159999999997</v>
      </c>
      <c r="BI295" s="387">
        <f t="shared" si="183"/>
        <v>40.064543999999998</v>
      </c>
      <c r="BJ295" s="387">
        <f t="shared" si="184"/>
        <v>19.543679999999998</v>
      </c>
      <c r="BK295" s="387">
        <f t="shared" si="185"/>
        <v>0</v>
      </c>
      <c r="BL295" s="387">
        <f t="shared" si="208"/>
        <v>1565.2678079999998</v>
      </c>
      <c r="BM295" s="387">
        <f t="shared" si="209"/>
        <v>0</v>
      </c>
      <c r="BN295" s="387">
        <f t="shared" si="186"/>
        <v>1747.5</v>
      </c>
      <c r="BO295" s="387">
        <f t="shared" si="187"/>
        <v>0</v>
      </c>
      <c r="BP295" s="387">
        <f t="shared" si="188"/>
        <v>448.7808</v>
      </c>
      <c r="BQ295" s="387">
        <f t="shared" si="189"/>
        <v>104.9568</v>
      </c>
      <c r="BR295" s="387">
        <f t="shared" si="190"/>
        <v>864.26495999999997</v>
      </c>
      <c r="BS295" s="387">
        <f t="shared" si="191"/>
        <v>52.188864000000002</v>
      </c>
      <c r="BT295" s="387">
        <f t="shared" si="192"/>
        <v>0</v>
      </c>
      <c r="BU295" s="387">
        <f t="shared" si="193"/>
        <v>40.064543999999998</v>
      </c>
      <c r="BV295" s="387">
        <f t="shared" si="194"/>
        <v>24.610559999999996</v>
      </c>
      <c r="BW295" s="387">
        <f t="shared" si="195"/>
        <v>0</v>
      </c>
      <c r="BX295" s="387">
        <f t="shared" si="210"/>
        <v>1534.866528</v>
      </c>
      <c r="BY295" s="387">
        <f t="shared" si="211"/>
        <v>0</v>
      </c>
      <c r="BZ295" s="387">
        <f t="shared" si="212"/>
        <v>0</v>
      </c>
      <c r="CA295" s="387">
        <f t="shared" si="213"/>
        <v>0</v>
      </c>
      <c r="CB295" s="387">
        <f t="shared" si="214"/>
        <v>0</v>
      </c>
      <c r="CC295" s="387">
        <f t="shared" si="196"/>
        <v>0</v>
      </c>
      <c r="CD295" s="387">
        <f t="shared" si="197"/>
        <v>0</v>
      </c>
      <c r="CE295" s="387">
        <f t="shared" si="198"/>
        <v>0</v>
      </c>
      <c r="CF295" s="387">
        <f t="shared" si="199"/>
        <v>-35.468159999999997</v>
      </c>
      <c r="CG295" s="387">
        <f t="shared" si="200"/>
        <v>0</v>
      </c>
      <c r="CH295" s="387">
        <f t="shared" si="201"/>
        <v>5.0668799999999976</v>
      </c>
      <c r="CI295" s="387">
        <f t="shared" si="202"/>
        <v>0</v>
      </c>
      <c r="CJ295" s="387">
        <f t="shared" si="215"/>
        <v>-30.40128</v>
      </c>
      <c r="CK295" s="387" t="str">
        <f t="shared" si="216"/>
        <v/>
      </c>
      <c r="CL295" s="387" t="str">
        <f t="shared" si="217"/>
        <v/>
      </c>
      <c r="CM295" s="387" t="str">
        <f t="shared" si="218"/>
        <v/>
      </c>
      <c r="CN295" s="387" t="str">
        <f t="shared" si="219"/>
        <v>0348-31</v>
      </c>
    </row>
    <row r="296" spans="1:92" ht="15.75" thickBot="1" x14ac:dyDescent="0.3">
      <c r="A296" s="376" t="s">
        <v>161</v>
      </c>
      <c r="B296" s="376" t="s">
        <v>162</v>
      </c>
      <c r="C296" s="376" t="s">
        <v>1079</v>
      </c>
      <c r="D296" s="376" t="s">
        <v>992</v>
      </c>
      <c r="E296" s="376" t="s">
        <v>224</v>
      </c>
      <c r="F296" s="382" t="s">
        <v>225</v>
      </c>
      <c r="G296" s="376" t="s">
        <v>781</v>
      </c>
      <c r="H296" s="378"/>
      <c r="I296" s="378"/>
      <c r="J296" s="376" t="s">
        <v>215</v>
      </c>
      <c r="K296" s="376" t="s">
        <v>993</v>
      </c>
      <c r="L296" s="376" t="s">
        <v>210</v>
      </c>
      <c r="M296" s="376" t="s">
        <v>171</v>
      </c>
      <c r="N296" s="376" t="s">
        <v>172</v>
      </c>
      <c r="O296" s="379">
        <v>1</v>
      </c>
      <c r="P296" s="385">
        <v>0</v>
      </c>
      <c r="Q296" s="385">
        <v>0</v>
      </c>
      <c r="R296" s="380">
        <v>80</v>
      </c>
      <c r="S296" s="385">
        <v>0</v>
      </c>
      <c r="T296" s="380">
        <v>62557.25</v>
      </c>
      <c r="U296" s="380">
        <v>0</v>
      </c>
      <c r="V296" s="380">
        <v>24500.12</v>
      </c>
      <c r="W296" s="380">
        <v>0</v>
      </c>
      <c r="X296" s="380">
        <v>0</v>
      </c>
      <c r="Y296" s="380">
        <v>0</v>
      </c>
      <c r="Z296" s="380">
        <v>0</v>
      </c>
      <c r="AA296" s="376" t="s">
        <v>1080</v>
      </c>
      <c r="AB296" s="376" t="s">
        <v>1081</v>
      </c>
      <c r="AC296" s="376" t="s">
        <v>1082</v>
      </c>
      <c r="AD296" s="376" t="s">
        <v>268</v>
      </c>
      <c r="AE296" s="376" t="s">
        <v>993</v>
      </c>
      <c r="AF296" s="376" t="s">
        <v>245</v>
      </c>
      <c r="AG296" s="376" t="s">
        <v>178</v>
      </c>
      <c r="AH296" s="381">
        <v>31.07</v>
      </c>
      <c r="AI296" s="379">
        <v>28022</v>
      </c>
      <c r="AJ296" s="376" t="s">
        <v>179</v>
      </c>
      <c r="AK296" s="376" t="s">
        <v>180</v>
      </c>
      <c r="AL296" s="376" t="s">
        <v>181</v>
      </c>
      <c r="AM296" s="376" t="s">
        <v>182</v>
      </c>
      <c r="AN296" s="376" t="s">
        <v>68</v>
      </c>
      <c r="AO296" s="379">
        <v>80</v>
      </c>
      <c r="AP296" s="385">
        <v>1</v>
      </c>
      <c r="AQ296" s="385">
        <v>0</v>
      </c>
      <c r="AR296" s="383" t="s">
        <v>183</v>
      </c>
      <c r="AS296" s="387">
        <f t="shared" si="203"/>
        <v>0</v>
      </c>
      <c r="AT296">
        <f t="shared" si="204"/>
        <v>0</v>
      </c>
      <c r="AU296" s="387" t="str">
        <f>IF(AT296=0,"",IF(AND(AT296=1,M296="F",SUMIF(C2:C1334,C296,AS2:AS1334)&lt;=1),SUMIF(C2:C1334,C296,AS2:AS1334),IF(AND(AT296=1,M296="F",SUMIF(C2:C1334,C296,AS2:AS1334)&gt;1),1,"")))</f>
        <v/>
      </c>
      <c r="AV296" s="387" t="str">
        <f>IF(AT296=0,"",IF(AND(AT296=3,M296="F",SUMIF(C2:C1334,C296,AS2:AS1334)&lt;=1),SUMIF(C2:C1334,C296,AS2:AS1334),IF(AND(AT296=3,M296="F",SUMIF(C2:C1334,C296,AS2:AS1334)&gt;1),1,"")))</f>
        <v/>
      </c>
      <c r="AW296" s="387">
        <f>SUMIF(C2:C1334,C296,O2:O1334)</f>
        <v>2</v>
      </c>
      <c r="AX296" s="387">
        <f>IF(AND(M296="F",AS296&lt;&gt;0),SUMIF(C2:C1334,C296,W2:W1334),0)</f>
        <v>0</v>
      </c>
      <c r="AY296" s="387" t="str">
        <f t="shared" si="205"/>
        <v/>
      </c>
      <c r="AZ296" s="387" t="str">
        <f t="shared" si="206"/>
        <v/>
      </c>
      <c r="BA296" s="387">
        <f t="shared" si="207"/>
        <v>0</v>
      </c>
      <c r="BB296" s="387">
        <f t="shared" si="176"/>
        <v>0</v>
      </c>
      <c r="BC296" s="387">
        <f t="shared" si="177"/>
        <v>0</v>
      </c>
      <c r="BD296" s="387">
        <f t="shared" si="178"/>
        <v>0</v>
      </c>
      <c r="BE296" s="387">
        <f t="shared" si="179"/>
        <v>0</v>
      </c>
      <c r="BF296" s="387">
        <f t="shared" si="180"/>
        <v>0</v>
      </c>
      <c r="BG296" s="387">
        <f t="shared" si="181"/>
        <v>0</v>
      </c>
      <c r="BH296" s="387">
        <f t="shared" si="182"/>
        <v>0</v>
      </c>
      <c r="BI296" s="387">
        <f t="shared" si="183"/>
        <v>0</v>
      </c>
      <c r="BJ296" s="387">
        <f t="shared" si="184"/>
        <v>0</v>
      </c>
      <c r="BK296" s="387">
        <f t="shared" si="185"/>
        <v>0</v>
      </c>
      <c r="BL296" s="387">
        <f t="shared" si="208"/>
        <v>0</v>
      </c>
      <c r="BM296" s="387">
        <f t="shared" si="209"/>
        <v>0</v>
      </c>
      <c r="BN296" s="387">
        <f t="shared" si="186"/>
        <v>0</v>
      </c>
      <c r="BO296" s="387">
        <f t="shared" si="187"/>
        <v>0</v>
      </c>
      <c r="BP296" s="387">
        <f t="shared" si="188"/>
        <v>0</v>
      </c>
      <c r="BQ296" s="387">
        <f t="shared" si="189"/>
        <v>0</v>
      </c>
      <c r="BR296" s="387">
        <f t="shared" si="190"/>
        <v>0</v>
      </c>
      <c r="BS296" s="387">
        <f t="shared" si="191"/>
        <v>0</v>
      </c>
      <c r="BT296" s="387">
        <f t="shared" si="192"/>
        <v>0</v>
      </c>
      <c r="BU296" s="387">
        <f t="shared" si="193"/>
        <v>0</v>
      </c>
      <c r="BV296" s="387">
        <f t="shared" si="194"/>
        <v>0</v>
      </c>
      <c r="BW296" s="387">
        <f t="shared" si="195"/>
        <v>0</v>
      </c>
      <c r="BX296" s="387">
        <f t="shared" si="210"/>
        <v>0</v>
      </c>
      <c r="BY296" s="387">
        <f t="shared" si="211"/>
        <v>0</v>
      </c>
      <c r="BZ296" s="387">
        <f t="shared" si="212"/>
        <v>0</v>
      </c>
      <c r="CA296" s="387">
        <f t="shared" si="213"/>
        <v>0</v>
      </c>
      <c r="CB296" s="387">
        <f t="shared" si="214"/>
        <v>0</v>
      </c>
      <c r="CC296" s="387">
        <f t="shared" si="196"/>
        <v>0</v>
      </c>
      <c r="CD296" s="387">
        <f t="shared" si="197"/>
        <v>0</v>
      </c>
      <c r="CE296" s="387">
        <f t="shared" si="198"/>
        <v>0</v>
      </c>
      <c r="CF296" s="387">
        <f t="shared" si="199"/>
        <v>0</v>
      </c>
      <c r="CG296" s="387">
        <f t="shared" si="200"/>
        <v>0</v>
      </c>
      <c r="CH296" s="387">
        <f t="shared" si="201"/>
        <v>0</v>
      </c>
      <c r="CI296" s="387">
        <f t="shared" si="202"/>
        <v>0</v>
      </c>
      <c r="CJ296" s="387">
        <f t="shared" si="215"/>
        <v>0</v>
      </c>
      <c r="CK296" s="387" t="str">
        <f t="shared" si="216"/>
        <v/>
      </c>
      <c r="CL296" s="387" t="str">
        <f t="shared" si="217"/>
        <v/>
      </c>
      <c r="CM296" s="387" t="str">
        <f t="shared" si="218"/>
        <v/>
      </c>
      <c r="CN296" s="387" t="str">
        <f t="shared" si="219"/>
        <v>0348-31</v>
      </c>
    </row>
    <row r="297" spans="1:92" ht="15.75" thickBot="1" x14ac:dyDescent="0.3">
      <c r="A297" s="376" t="s">
        <v>161</v>
      </c>
      <c r="B297" s="376" t="s">
        <v>162</v>
      </c>
      <c r="C297" s="376" t="s">
        <v>1083</v>
      </c>
      <c r="D297" s="376" t="s">
        <v>862</v>
      </c>
      <c r="E297" s="376" t="s">
        <v>224</v>
      </c>
      <c r="F297" s="382" t="s">
        <v>225</v>
      </c>
      <c r="G297" s="376" t="s">
        <v>781</v>
      </c>
      <c r="H297" s="378"/>
      <c r="I297" s="378"/>
      <c r="J297" s="376" t="s">
        <v>239</v>
      </c>
      <c r="K297" s="376" t="s">
        <v>863</v>
      </c>
      <c r="L297" s="376" t="s">
        <v>252</v>
      </c>
      <c r="M297" s="376" t="s">
        <v>171</v>
      </c>
      <c r="N297" s="376" t="s">
        <v>172</v>
      </c>
      <c r="O297" s="379">
        <v>1</v>
      </c>
      <c r="P297" s="385">
        <v>0.9</v>
      </c>
      <c r="Q297" s="385">
        <v>0.9</v>
      </c>
      <c r="R297" s="380">
        <v>80</v>
      </c>
      <c r="S297" s="385">
        <v>0.9</v>
      </c>
      <c r="T297" s="380">
        <v>21164.35</v>
      </c>
      <c r="U297" s="380">
        <v>0</v>
      </c>
      <c r="V297" s="380">
        <v>11181.51</v>
      </c>
      <c r="W297" s="380">
        <v>34950.239999999998</v>
      </c>
      <c r="X297" s="380">
        <v>18042.96</v>
      </c>
      <c r="Y297" s="380">
        <v>34950.239999999998</v>
      </c>
      <c r="Z297" s="380">
        <v>17896.169999999998</v>
      </c>
      <c r="AA297" s="376" t="s">
        <v>1084</v>
      </c>
      <c r="AB297" s="376" t="s">
        <v>1085</v>
      </c>
      <c r="AC297" s="376" t="s">
        <v>176</v>
      </c>
      <c r="AD297" s="376" t="s">
        <v>1086</v>
      </c>
      <c r="AE297" s="376" t="s">
        <v>863</v>
      </c>
      <c r="AF297" s="376" t="s">
        <v>393</v>
      </c>
      <c r="AG297" s="376" t="s">
        <v>178</v>
      </c>
      <c r="AH297" s="381">
        <v>18.670000000000002</v>
      </c>
      <c r="AI297" s="379">
        <v>1520</v>
      </c>
      <c r="AJ297" s="376" t="s">
        <v>179</v>
      </c>
      <c r="AK297" s="376" t="s">
        <v>180</v>
      </c>
      <c r="AL297" s="376" t="s">
        <v>181</v>
      </c>
      <c r="AM297" s="376" t="s">
        <v>182</v>
      </c>
      <c r="AN297" s="376" t="s">
        <v>68</v>
      </c>
      <c r="AO297" s="379">
        <v>80</v>
      </c>
      <c r="AP297" s="385">
        <v>1</v>
      </c>
      <c r="AQ297" s="385">
        <v>0.9</v>
      </c>
      <c r="AR297" s="383" t="s">
        <v>183</v>
      </c>
      <c r="AS297" s="387">
        <f t="shared" si="203"/>
        <v>0.9</v>
      </c>
      <c r="AT297">
        <f t="shared" si="204"/>
        <v>1</v>
      </c>
      <c r="AU297" s="387">
        <f>IF(AT297=0,"",IF(AND(AT297=1,M297="F",SUMIF(C2:C1334,C297,AS2:AS1334)&lt;=1),SUMIF(C2:C1334,C297,AS2:AS1334),IF(AND(AT297=1,M297="F",SUMIF(C2:C1334,C297,AS2:AS1334)&gt;1),1,"")))</f>
        <v>1</v>
      </c>
      <c r="AV297" s="387" t="str">
        <f>IF(AT297=0,"",IF(AND(AT297=3,M297="F",SUMIF(C2:C1334,C297,AS2:AS1334)&lt;=1),SUMIF(C2:C1334,C297,AS2:AS1334),IF(AND(AT297=3,M297="F",SUMIF(C2:C1334,C297,AS2:AS1334)&gt;1),1,"")))</f>
        <v/>
      </c>
      <c r="AW297" s="387">
        <f>SUMIF(C2:C1334,C297,O2:O1334)</f>
        <v>3</v>
      </c>
      <c r="AX297" s="387">
        <f>IF(AND(M297="F",AS297&lt;&gt;0),SUMIF(C2:C1334,C297,W2:W1334),0)</f>
        <v>38833.599999999999</v>
      </c>
      <c r="AY297" s="387">
        <f t="shared" si="205"/>
        <v>34950.239999999998</v>
      </c>
      <c r="AZ297" s="387" t="str">
        <f t="shared" si="206"/>
        <v/>
      </c>
      <c r="BA297" s="387">
        <f t="shared" si="207"/>
        <v>0</v>
      </c>
      <c r="BB297" s="387">
        <f t="shared" si="176"/>
        <v>10485</v>
      </c>
      <c r="BC297" s="387">
        <f t="shared" si="177"/>
        <v>0</v>
      </c>
      <c r="BD297" s="387">
        <f t="shared" si="178"/>
        <v>2166.9148799999998</v>
      </c>
      <c r="BE297" s="387">
        <f t="shared" si="179"/>
        <v>506.77848</v>
      </c>
      <c r="BF297" s="387">
        <f t="shared" si="180"/>
        <v>4173.0586560000002</v>
      </c>
      <c r="BG297" s="387">
        <f t="shared" si="181"/>
        <v>251.99123040000001</v>
      </c>
      <c r="BH297" s="387">
        <f t="shared" si="182"/>
        <v>171.25617599999998</v>
      </c>
      <c r="BI297" s="387">
        <f t="shared" si="183"/>
        <v>193.44957839999998</v>
      </c>
      <c r="BJ297" s="387">
        <f t="shared" si="184"/>
        <v>94.365647999999993</v>
      </c>
      <c r="BK297" s="387">
        <f t="shared" si="185"/>
        <v>0</v>
      </c>
      <c r="BL297" s="387">
        <f t="shared" si="208"/>
        <v>7557.8146488000002</v>
      </c>
      <c r="BM297" s="387">
        <f t="shared" si="209"/>
        <v>0</v>
      </c>
      <c r="BN297" s="387">
        <f t="shared" si="186"/>
        <v>10485</v>
      </c>
      <c r="BO297" s="387">
        <f t="shared" si="187"/>
        <v>0</v>
      </c>
      <c r="BP297" s="387">
        <f t="shared" si="188"/>
        <v>2166.9148799999998</v>
      </c>
      <c r="BQ297" s="387">
        <f t="shared" si="189"/>
        <v>506.77848</v>
      </c>
      <c r="BR297" s="387">
        <f t="shared" si="190"/>
        <v>4173.0586560000002</v>
      </c>
      <c r="BS297" s="387">
        <f t="shared" si="191"/>
        <v>251.99123040000001</v>
      </c>
      <c r="BT297" s="387">
        <f t="shared" si="192"/>
        <v>0</v>
      </c>
      <c r="BU297" s="387">
        <f t="shared" si="193"/>
        <v>193.44957839999998</v>
      </c>
      <c r="BV297" s="387">
        <f t="shared" si="194"/>
        <v>118.83081599999998</v>
      </c>
      <c r="BW297" s="387">
        <f t="shared" si="195"/>
        <v>0</v>
      </c>
      <c r="BX297" s="387">
        <f t="shared" si="210"/>
        <v>7411.0236408000001</v>
      </c>
      <c r="BY297" s="387">
        <f t="shared" si="211"/>
        <v>0</v>
      </c>
      <c r="BZ297" s="387">
        <f t="shared" si="212"/>
        <v>0</v>
      </c>
      <c r="CA297" s="387">
        <f t="shared" si="213"/>
        <v>0</v>
      </c>
      <c r="CB297" s="387">
        <f t="shared" si="214"/>
        <v>0</v>
      </c>
      <c r="CC297" s="387">
        <f t="shared" si="196"/>
        <v>0</v>
      </c>
      <c r="CD297" s="387">
        <f t="shared" si="197"/>
        <v>0</v>
      </c>
      <c r="CE297" s="387">
        <f t="shared" si="198"/>
        <v>0</v>
      </c>
      <c r="CF297" s="387">
        <f t="shared" si="199"/>
        <v>-171.25617599999998</v>
      </c>
      <c r="CG297" s="387">
        <f t="shared" si="200"/>
        <v>0</v>
      </c>
      <c r="CH297" s="387">
        <f t="shared" si="201"/>
        <v>24.465167999999988</v>
      </c>
      <c r="CI297" s="387">
        <f t="shared" si="202"/>
        <v>0</v>
      </c>
      <c r="CJ297" s="387">
        <f t="shared" si="215"/>
        <v>-146.79100800000001</v>
      </c>
      <c r="CK297" s="387" t="str">
        <f t="shared" si="216"/>
        <v/>
      </c>
      <c r="CL297" s="387" t="str">
        <f t="shared" si="217"/>
        <v/>
      </c>
      <c r="CM297" s="387" t="str">
        <f t="shared" si="218"/>
        <v/>
      </c>
      <c r="CN297" s="387" t="str">
        <f t="shared" si="219"/>
        <v>0348-31</v>
      </c>
    </row>
    <row r="298" spans="1:92" ht="15.75" thickBot="1" x14ac:dyDescent="0.3">
      <c r="A298" s="376" t="s">
        <v>161</v>
      </c>
      <c r="B298" s="376" t="s">
        <v>162</v>
      </c>
      <c r="C298" s="376" t="s">
        <v>539</v>
      </c>
      <c r="D298" s="376" t="s">
        <v>504</v>
      </c>
      <c r="E298" s="376" t="s">
        <v>224</v>
      </c>
      <c r="F298" s="382" t="s">
        <v>225</v>
      </c>
      <c r="G298" s="376" t="s">
        <v>781</v>
      </c>
      <c r="H298" s="378"/>
      <c r="I298" s="378"/>
      <c r="J298" s="376" t="s">
        <v>215</v>
      </c>
      <c r="K298" s="376" t="s">
        <v>505</v>
      </c>
      <c r="L298" s="376" t="s">
        <v>432</v>
      </c>
      <c r="M298" s="376" t="s">
        <v>171</v>
      </c>
      <c r="N298" s="376" t="s">
        <v>172</v>
      </c>
      <c r="O298" s="379">
        <v>1</v>
      </c>
      <c r="P298" s="385">
        <v>0</v>
      </c>
      <c r="Q298" s="385">
        <v>0</v>
      </c>
      <c r="R298" s="380">
        <v>80</v>
      </c>
      <c r="S298" s="385">
        <v>0</v>
      </c>
      <c r="T298" s="380">
        <v>56562.1</v>
      </c>
      <c r="U298" s="380">
        <v>0</v>
      </c>
      <c r="V298" s="380">
        <v>20534.64</v>
      </c>
      <c r="W298" s="380">
        <v>0</v>
      </c>
      <c r="X298" s="380">
        <v>0</v>
      </c>
      <c r="Y298" s="380">
        <v>0</v>
      </c>
      <c r="Z298" s="380">
        <v>0</v>
      </c>
      <c r="AA298" s="376" t="s">
        <v>540</v>
      </c>
      <c r="AB298" s="376" t="s">
        <v>541</v>
      </c>
      <c r="AC298" s="376" t="s">
        <v>542</v>
      </c>
      <c r="AD298" s="376" t="s">
        <v>252</v>
      </c>
      <c r="AE298" s="376" t="s">
        <v>505</v>
      </c>
      <c r="AF298" s="376" t="s">
        <v>436</v>
      </c>
      <c r="AG298" s="376" t="s">
        <v>178</v>
      </c>
      <c r="AH298" s="381">
        <v>44.09</v>
      </c>
      <c r="AI298" s="381">
        <v>1410.5</v>
      </c>
      <c r="AJ298" s="376" t="s">
        <v>179</v>
      </c>
      <c r="AK298" s="376" t="s">
        <v>180</v>
      </c>
      <c r="AL298" s="376" t="s">
        <v>181</v>
      </c>
      <c r="AM298" s="376" t="s">
        <v>182</v>
      </c>
      <c r="AN298" s="376" t="s">
        <v>68</v>
      </c>
      <c r="AO298" s="379">
        <v>80</v>
      </c>
      <c r="AP298" s="385">
        <v>1</v>
      </c>
      <c r="AQ298" s="385">
        <v>0</v>
      </c>
      <c r="AR298" s="383" t="s">
        <v>183</v>
      </c>
      <c r="AS298" s="387">
        <f t="shared" si="203"/>
        <v>0</v>
      </c>
      <c r="AT298">
        <f t="shared" si="204"/>
        <v>0</v>
      </c>
      <c r="AU298" s="387" t="str">
        <f>IF(AT298=0,"",IF(AND(AT298=1,M298="F",SUMIF(C2:C1334,C298,AS2:AS1334)&lt;=1),SUMIF(C2:C1334,C298,AS2:AS1334),IF(AND(AT298=1,M298="F",SUMIF(C2:C1334,C298,AS2:AS1334)&gt;1),1,"")))</f>
        <v/>
      </c>
      <c r="AV298" s="387" t="str">
        <f>IF(AT298=0,"",IF(AND(AT298=3,M298="F",SUMIF(C2:C1334,C298,AS2:AS1334)&lt;=1),SUMIF(C2:C1334,C298,AS2:AS1334),IF(AND(AT298=3,M298="F",SUMIF(C2:C1334,C298,AS2:AS1334)&gt;1),1,"")))</f>
        <v/>
      </c>
      <c r="AW298" s="387">
        <f>SUMIF(C2:C1334,C298,O2:O1334)</f>
        <v>2</v>
      </c>
      <c r="AX298" s="387">
        <f>IF(AND(M298="F",AS298&lt;&gt;0),SUMIF(C2:C1334,C298,W2:W1334),0)</f>
        <v>0</v>
      </c>
      <c r="AY298" s="387" t="str">
        <f t="shared" si="205"/>
        <v/>
      </c>
      <c r="AZ298" s="387" t="str">
        <f t="shared" si="206"/>
        <v/>
      </c>
      <c r="BA298" s="387">
        <f t="shared" si="207"/>
        <v>0</v>
      </c>
      <c r="BB298" s="387">
        <f t="shared" si="176"/>
        <v>0</v>
      </c>
      <c r="BC298" s="387">
        <f t="shared" si="177"/>
        <v>0</v>
      </c>
      <c r="BD298" s="387">
        <f t="shared" si="178"/>
        <v>0</v>
      </c>
      <c r="BE298" s="387">
        <f t="shared" si="179"/>
        <v>0</v>
      </c>
      <c r="BF298" s="387">
        <f t="shared" si="180"/>
        <v>0</v>
      </c>
      <c r="BG298" s="387">
        <f t="shared" si="181"/>
        <v>0</v>
      </c>
      <c r="BH298" s="387">
        <f t="shared" si="182"/>
        <v>0</v>
      </c>
      <c r="BI298" s="387">
        <f t="shared" si="183"/>
        <v>0</v>
      </c>
      <c r="BJ298" s="387">
        <f t="shared" si="184"/>
        <v>0</v>
      </c>
      <c r="BK298" s="387">
        <f t="shared" si="185"/>
        <v>0</v>
      </c>
      <c r="BL298" s="387">
        <f t="shared" si="208"/>
        <v>0</v>
      </c>
      <c r="BM298" s="387">
        <f t="shared" si="209"/>
        <v>0</v>
      </c>
      <c r="BN298" s="387">
        <f t="shared" si="186"/>
        <v>0</v>
      </c>
      <c r="BO298" s="387">
        <f t="shared" si="187"/>
        <v>0</v>
      </c>
      <c r="BP298" s="387">
        <f t="shared" si="188"/>
        <v>0</v>
      </c>
      <c r="BQ298" s="387">
        <f t="shared" si="189"/>
        <v>0</v>
      </c>
      <c r="BR298" s="387">
        <f t="shared" si="190"/>
        <v>0</v>
      </c>
      <c r="BS298" s="387">
        <f t="shared" si="191"/>
        <v>0</v>
      </c>
      <c r="BT298" s="387">
        <f t="shared" si="192"/>
        <v>0</v>
      </c>
      <c r="BU298" s="387">
        <f t="shared" si="193"/>
        <v>0</v>
      </c>
      <c r="BV298" s="387">
        <f t="shared" si="194"/>
        <v>0</v>
      </c>
      <c r="BW298" s="387">
        <f t="shared" si="195"/>
        <v>0</v>
      </c>
      <c r="BX298" s="387">
        <f t="shared" si="210"/>
        <v>0</v>
      </c>
      <c r="BY298" s="387">
        <f t="shared" si="211"/>
        <v>0</v>
      </c>
      <c r="BZ298" s="387">
        <f t="shared" si="212"/>
        <v>0</v>
      </c>
      <c r="CA298" s="387">
        <f t="shared" si="213"/>
        <v>0</v>
      </c>
      <c r="CB298" s="387">
        <f t="shared" si="214"/>
        <v>0</v>
      </c>
      <c r="CC298" s="387">
        <f t="shared" si="196"/>
        <v>0</v>
      </c>
      <c r="CD298" s="387">
        <f t="shared" si="197"/>
        <v>0</v>
      </c>
      <c r="CE298" s="387">
        <f t="shared" si="198"/>
        <v>0</v>
      </c>
      <c r="CF298" s="387">
        <f t="shared" si="199"/>
        <v>0</v>
      </c>
      <c r="CG298" s="387">
        <f t="shared" si="200"/>
        <v>0</v>
      </c>
      <c r="CH298" s="387">
        <f t="shared" si="201"/>
        <v>0</v>
      </c>
      <c r="CI298" s="387">
        <f t="shared" si="202"/>
        <v>0</v>
      </c>
      <c r="CJ298" s="387">
        <f t="shared" si="215"/>
        <v>0</v>
      </c>
      <c r="CK298" s="387" t="str">
        <f t="shared" si="216"/>
        <v/>
      </c>
      <c r="CL298" s="387" t="str">
        <f t="shared" si="217"/>
        <v/>
      </c>
      <c r="CM298" s="387" t="str">
        <f t="shared" si="218"/>
        <v/>
      </c>
      <c r="CN298" s="387" t="str">
        <f t="shared" si="219"/>
        <v>0348-31</v>
      </c>
    </row>
    <row r="299" spans="1:92" ht="15.75" thickBot="1" x14ac:dyDescent="0.3">
      <c r="A299" s="376" t="s">
        <v>161</v>
      </c>
      <c r="B299" s="376" t="s">
        <v>162</v>
      </c>
      <c r="C299" s="376" t="s">
        <v>1087</v>
      </c>
      <c r="D299" s="376" t="s">
        <v>1088</v>
      </c>
      <c r="E299" s="376" t="s">
        <v>224</v>
      </c>
      <c r="F299" s="382" t="s">
        <v>225</v>
      </c>
      <c r="G299" s="376" t="s">
        <v>781</v>
      </c>
      <c r="H299" s="378"/>
      <c r="I299" s="378"/>
      <c r="J299" s="376" t="s">
        <v>215</v>
      </c>
      <c r="K299" s="376" t="s">
        <v>1089</v>
      </c>
      <c r="L299" s="376" t="s">
        <v>181</v>
      </c>
      <c r="M299" s="376" t="s">
        <v>171</v>
      </c>
      <c r="N299" s="376" t="s">
        <v>172</v>
      </c>
      <c r="O299" s="379">
        <v>1</v>
      </c>
      <c r="P299" s="385">
        <v>0</v>
      </c>
      <c r="Q299" s="385">
        <v>0</v>
      </c>
      <c r="R299" s="380">
        <v>80</v>
      </c>
      <c r="S299" s="385">
        <v>0</v>
      </c>
      <c r="T299" s="380">
        <v>99215.22</v>
      </c>
      <c r="U299" s="380">
        <v>0</v>
      </c>
      <c r="V299" s="380">
        <v>32293.34</v>
      </c>
      <c r="W299" s="380">
        <v>0</v>
      </c>
      <c r="X299" s="380">
        <v>0</v>
      </c>
      <c r="Y299" s="380">
        <v>0</v>
      </c>
      <c r="Z299" s="380">
        <v>0</v>
      </c>
      <c r="AA299" s="376" t="s">
        <v>1090</v>
      </c>
      <c r="AB299" s="376" t="s">
        <v>1091</v>
      </c>
      <c r="AC299" s="376" t="s">
        <v>724</v>
      </c>
      <c r="AD299" s="376" t="s">
        <v>170</v>
      </c>
      <c r="AE299" s="376" t="s">
        <v>1089</v>
      </c>
      <c r="AF299" s="376" t="s">
        <v>211</v>
      </c>
      <c r="AG299" s="376" t="s">
        <v>178</v>
      </c>
      <c r="AH299" s="381">
        <v>49.69</v>
      </c>
      <c r="AI299" s="381">
        <v>57771.5</v>
      </c>
      <c r="AJ299" s="376" t="s">
        <v>179</v>
      </c>
      <c r="AK299" s="376" t="s">
        <v>180</v>
      </c>
      <c r="AL299" s="376" t="s">
        <v>181</v>
      </c>
      <c r="AM299" s="376" t="s">
        <v>182</v>
      </c>
      <c r="AN299" s="376" t="s">
        <v>68</v>
      </c>
      <c r="AO299" s="379">
        <v>80</v>
      </c>
      <c r="AP299" s="385">
        <v>1</v>
      </c>
      <c r="AQ299" s="385">
        <v>0</v>
      </c>
      <c r="AR299" s="383" t="s">
        <v>183</v>
      </c>
      <c r="AS299" s="387">
        <f t="shared" si="203"/>
        <v>0</v>
      </c>
      <c r="AT299">
        <f t="shared" si="204"/>
        <v>0</v>
      </c>
      <c r="AU299" s="387" t="str">
        <f>IF(AT299=0,"",IF(AND(AT299=1,M299="F",SUMIF(C2:C1334,C299,AS2:AS1334)&lt;=1),SUMIF(C2:C1334,C299,AS2:AS1334),IF(AND(AT299=1,M299="F",SUMIF(C2:C1334,C299,AS2:AS1334)&gt;1),1,"")))</f>
        <v/>
      </c>
      <c r="AV299" s="387" t="str">
        <f>IF(AT299=0,"",IF(AND(AT299=3,M299="F",SUMIF(C2:C1334,C299,AS2:AS1334)&lt;=1),SUMIF(C2:C1334,C299,AS2:AS1334),IF(AND(AT299=3,M299="F",SUMIF(C2:C1334,C299,AS2:AS1334)&gt;1),1,"")))</f>
        <v/>
      </c>
      <c r="AW299" s="387">
        <f>SUMIF(C2:C1334,C299,O2:O1334)</f>
        <v>2</v>
      </c>
      <c r="AX299" s="387">
        <f>IF(AND(M299="F",AS299&lt;&gt;0),SUMIF(C2:C1334,C299,W2:W1334),0)</f>
        <v>0</v>
      </c>
      <c r="AY299" s="387" t="str">
        <f t="shared" si="205"/>
        <v/>
      </c>
      <c r="AZ299" s="387" t="str">
        <f t="shared" si="206"/>
        <v/>
      </c>
      <c r="BA299" s="387">
        <f t="shared" si="207"/>
        <v>0</v>
      </c>
      <c r="BB299" s="387">
        <f t="shared" si="176"/>
        <v>0</v>
      </c>
      <c r="BC299" s="387">
        <f t="shared" si="177"/>
        <v>0</v>
      </c>
      <c r="BD299" s="387">
        <f t="shared" si="178"/>
        <v>0</v>
      </c>
      <c r="BE299" s="387">
        <f t="shared" si="179"/>
        <v>0</v>
      </c>
      <c r="BF299" s="387">
        <f t="shared" si="180"/>
        <v>0</v>
      </c>
      <c r="BG299" s="387">
        <f t="shared" si="181"/>
        <v>0</v>
      </c>
      <c r="BH299" s="387">
        <f t="shared" si="182"/>
        <v>0</v>
      </c>
      <c r="BI299" s="387">
        <f t="shared" si="183"/>
        <v>0</v>
      </c>
      <c r="BJ299" s="387">
        <f t="shared" si="184"/>
        <v>0</v>
      </c>
      <c r="BK299" s="387">
        <f t="shared" si="185"/>
        <v>0</v>
      </c>
      <c r="BL299" s="387">
        <f t="shared" si="208"/>
        <v>0</v>
      </c>
      <c r="BM299" s="387">
        <f t="shared" si="209"/>
        <v>0</v>
      </c>
      <c r="BN299" s="387">
        <f t="shared" si="186"/>
        <v>0</v>
      </c>
      <c r="BO299" s="387">
        <f t="shared" si="187"/>
        <v>0</v>
      </c>
      <c r="BP299" s="387">
        <f t="shared" si="188"/>
        <v>0</v>
      </c>
      <c r="BQ299" s="387">
        <f t="shared" si="189"/>
        <v>0</v>
      </c>
      <c r="BR299" s="387">
        <f t="shared" si="190"/>
        <v>0</v>
      </c>
      <c r="BS299" s="387">
        <f t="shared" si="191"/>
        <v>0</v>
      </c>
      <c r="BT299" s="387">
        <f t="shared" si="192"/>
        <v>0</v>
      </c>
      <c r="BU299" s="387">
        <f t="shared" si="193"/>
        <v>0</v>
      </c>
      <c r="BV299" s="387">
        <f t="shared" si="194"/>
        <v>0</v>
      </c>
      <c r="BW299" s="387">
        <f t="shared" si="195"/>
        <v>0</v>
      </c>
      <c r="BX299" s="387">
        <f t="shared" si="210"/>
        <v>0</v>
      </c>
      <c r="BY299" s="387">
        <f t="shared" si="211"/>
        <v>0</v>
      </c>
      <c r="BZ299" s="387">
        <f t="shared" si="212"/>
        <v>0</v>
      </c>
      <c r="CA299" s="387">
        <f t="shared" si="213"/>
        <v>0</v>
      </c>
      <c r="CB299" s="387">
        <f t="shared" si="214"/>
        <v>0</v>
      </c>
      <c r="CC299" s="387">
        <f t="shared" si="196"/>
        <v>0</v>
      </c>
      <c r="CD299" s="387">
        <f t="shared" si="197"/>
        <v>0</v>
      </c>
      <c r="CE299" s="387">
        <f t="shared" si="198"/>
        <v>0</v>
      </c>
      <c r="CF299" s="387">
        <f t="shared" si="199"/>
        <v>0</v>
      </c>
      <c r="CG299" s="387">
        <f t="shared" si="200"/>
        <v>0</v>
      </c>
      <c r="CH299" s="387">
        <f t="shared" si="201"/>
        <v>0</v>
      </c>
      <c r="CI299" s="387">
        <f t="shared" si="202"/>
        <v>0</v>
      </c>
      <c r="CJ299" s="387">
        <f t="shared" si="215"/>
        <v>0</v>
      </c>
      <c r="CK299" s="387" t="str">
        <f t="shared" si="216"/>
        <v/>
      </c>
      <c r="CL299" s="387" t="str">
        <f t="shared" si="217"/>
        <v/>
      </c>
      <c r="CM299" s="387" t="str">
        <f t="shared" si="218"/>
        <v/>
      </c>
      <c r="CN299" s="387" t="str">
        <f t="shared" si="219"/>
        <v>0348-31</v>
      </c>
    </row>
    <row r="300" spans="1:92" ht="15.75" thickBot="1" x14ac:dyDescent="0.3">
      <c r="A300" s="376" t="s">
        <v>161</v>
      </c>
      <c r="B300" s="376" t="s">
        <v>162</v>
      </c>
      <c r="C300" s="376" t="s">
        <v>380</v>
      </c>
      <c r="D300" s="376" t="s">
        <v>270</v>
      </c>
      <c r="E300" s="376" t="s">
        <v>224</v>
      </c>
      <c r="F300" s="382" t="s">
        <v>225</v>
      </c>
      <c r="G300" s="376" t="s">
        <v>781</v>
      </c>
      <c r="H300" s="378"/>
      <c r="I300" s="378"/>
      <c r="J300" s="376" t="s">
        <v>215</v>
      </c>
      <c r="K300" s="376" t="s">
        <v>271</v>
      </c>
      <c r="L300" s="376" t="s">
        <v>217</v>
      </c>
      <c r="M300" s="376" t="s">
        <v>272</v>
      </c>
      <c r="N300" s="376" t="s">
        <v>172</v>
      </c>
      <c r="O300" s="379">
        <v>0</v>
      </c>
      <c r="P300" s="385">
        <v>0</v>
      </c>
      <c r="Q300" s="385">
        <v>0</v>
      </c>
      <c r="R300" s="380">
        <v>80</v>
      </c>
      <c r="S300" s="385">
        <v>0</v>
      </c>
      <c r="T300" s="380">
        <v>39599.21</v>
      </c>
      <c r="U300" s="380">
        <v>0</v>
      </c>
      <c r="V300" s="380">
        <v>19808.310000000001</v>
      </c>
      <c r="W300" s="380">
        <v>0</v>
      </c>
      <c r="X300" s="380">
        <v>0</v>
      </c>
      <c r="Y300" s="380">
        <v>0</v>
      </c>
      <c r="Z300" s="380">
        <v>0</v>
      </c>
      <c r="AA300" s="378"/>
      <c r="AB300" s="376" t="s">
        <v>45</v>
      </c>
      <c r="AC300" s="376" t="s">
        <v>45</v>
      </c>
      <c r="AD300" s="378"/>
      <c r="AE300" s="378"/>
      <c r="AF300" s="378"/>
      <c r="AG300" s="378"/>
      <c r="AH300" s="379">
        <v>0</v>
      </c>
      <c r="AI300" s="379">
        <v>0</v>
      </c>
      <c r="AJ300" s="378"/>
      <c r="AK300" s="378"/>
      <c r="AL300" s="376" t="s">
        <v>181</v>
      </c>
      <c r="AM300" s="378"/>
      <c r="AN300" s="378"/>
      <c r="AO300" s="379">
        <v>0</v>
      </c>
      <c r="AP300" s="385">
        <v>0</v>
      </c>
      <c r="AQ300" s="385">
        <v>0</v>
      </c>
      <c r="AR300" s="384"/>
      <c r="AS300" s="387">
        <f t="shared" si="203"/>
        <v>0</v>
      </c>
      <c r="AT300">
        <f t="shared" si="204"/>
        <v>0</v>
      </c>
      <c r="AU300" s="387" t="str">
        <f>IF(AT300=0,"",IF(AND(AT300=1,M300="F",SUMIF(C2:C1334,C300,AS2:AS1334)&lt;=1),SUMIF(C2:C1334,C300,AS2:AS1334),IF(AND(AT300=1,M300="F",SUMIF(C2:C1334,C300,AS2:AS1334)&gt;1),1,"")))</f>
        <v/>
      </c>
      <c r="AV300" s="387" t="str">
        <f>IF(AT300=0,"",IF(AND(AT300=3,M300="F",SUMIF(C2:C1334,C300,AS2:AS1334)&lt;=1),SUMIF(C2:C1334,C300,AS2:AS1334),IF(AND(AT300=3,M300="F",SUMIF(C2:C1334,C300,AS2:AS1334)&gt;1),1,"")))</f>
        <v/>
      </c>
      <c r="AW300" s="387">
        <f>SUMIF(C2:C1334,C300,O2:O1334)</f>
        <v>0</v>
      </c>
      <c r="AX300" s="387">
        <f>IF(AND(M300="F",AS300&lt;&gt;0),SUMIF(C2:C1334,C300,W2:W1334),0)</f>
        <v>0</v>
      </c>
      <c r="AY300" s="387" t="str">
        <f t="shared" si="205"/>
        <v/>
      </c>
      <c r="AZ300" s="387" t="str">
        <f t="shared" si="206"/>
        <v/>
      </c>
      <c r="BA300" s="387">
        <f t="shared" si="207"/>
        <v>0</v>
      </c>
      <c r="BB300" s="387">
        <f t="shared" si="176"/>
        <v>0</v>
      </c>
      <c r="BC300" s="387">
        <f t="shared" si="177"/>
        <v>0</v>
      </c>
      <c r="BD300" s="387">
        <f t="shared" si="178"/>
        <v>0</v>
      </c>
      <c r="BE300" s="387">
        <f t="shared" si="179"/>
        <v>0</v>
      </c>
      <c r="BF300" s="387">
        <f t="shared" si="180"/>
        <v>0</v>
      </c>
      <c r="BG300" s="387">
        <f t="shared" si="181"/>
        <v>0</v>
      </c>
      <c r="BH300" s="387">
        <f t="shared" si="182"/>
        <v>0</v>
      </c>
      <c r="BI300" s="387">
        <f t="shared" si="183"/>
        <v>0</v>
      </c>
      <c r="BJ300" s="387">
        <f t="shared" si="184"/>
        <v>0</v>
      </c>
      <c r="BK300" s="387">
        <f t="shared" si="185"/>
        <v>0</v>
      </c>
      <c r="BL300" s="387">
        <f t="shared" si="208"/>
        <v>0</v>
      </c>
      <c r="BM300" s="387">
        <f t="shared" si="209"/>
        <v>0</v>
      </c>
      <c r="BN300" s="387">
        <f t="shared" si="186"/>
        <v>0</v>
      </c>
      <c r="BO300" s="387">
        <f t="shared" si="187"/>
        <v>0</v>
      </c>
      <c r="BP300" s="387">
        <f t="shared" si="188"/>
        <v>0</v>
      </c>
      <c r="BQ300" s="387">
        <f t="shared" si="189"/>
        <v>0</v>
      </c>
      <c r="BR300" s="387">
        <f t="shared" si="190"/>
        <v>0</v>
      </c>
      <c r="BS300" s="387">
        <f t="shared" si="191"/>
        <v>0</v>
      </c>
      <c r="BT300" s="387">
        <f t="shared" si="192"/>
        <v>0</v>
      </c>
      <c r="BU300" s="387">
        <f t="shared" si="193"/>
        <v>0</v>
      </c>
      <c r="BV300" s="387">
        <f t="shared" si="194"/>
        <v>0</v>
      </c>
      <c r="BW300" s="387">
        <f t="shared" si="195"/>
        <v>0</v>
      </c>
      <c r="BX300" s="387">
        <f t="shared" si="210"/>
        <v>0</v>
      </c>
      <c r="BY300" s="387">
        <f t="shared" si="211"/>
        <v>0</v>
      </c>
      <c r="BZ300" s="387">
        <f t="shared" si="212"/>
        <v>0</v>
      </c>
      <c r="CA300" s="387">
        <f t="shared" si="213"/>
        <v>0</v>
      </c>
      <c r="CB300" s="387">
        <f t="shared" si="214"/>
        <v>0</v>
      </c>
      <c r="CC300" s="387">
        <f t="shared" si="196"/>
        <v>0</v>
      </c>
      <c r="CD300" s="387">
        <f t="shared" si="197"/>
        <v>0</v>
      </c>
      <c r="CE300" s="387">
        <f t="shared" si="198"/>
        <v>0</v>
      </c>
      <c r="CF300" s="387">
        <f t="shared" si="199"/>
        <v>0</v>
      </c>
      <c r="CG300" s="387">
        <f t="shared" si="200"/>
        <v>0</v>
      </c>
      <c r="CH300" s="387">
        <f t="shared" si="201"/>
        <v>0</v>
      </c>
      <c r="CI300" s="387">
        <f t="shared" si="202"/>
        <v>0</v>
      </c>
      <c r="CJ300" s="387">
        <f t="shared" si="215"/>
        <v>0</v>
      </c>
      <c r="CK300" s="387" t="str">
        <f t="shared" si="216"/>
        <v/>
      </c>
      <c r="CL300" s="387" t="str">
        <f t="shared" si="217"/>
        <v/>
      </c>
      <c r="CM300" s="387" t="str">
        <f t="shared" si="218"/>
        <v/>
      </c>
      <c r="CN300" s="387" t="str">
        <f t="shared" si="219"/>
        <v>0348-31</v>
      </c>
    </row>
    <row r="301" spans="1:92" ht="15.75" thickBot="1" x14ac:dyDescent="0.3">
      <c r="A301" s="376" t="s">
        <v>161</v>
      </c>
      <c r="B301" s="376" t="s">
        <v>162</v>
      </c>
      <c r="C301" s="376" t="s">
        <v>758</v>
      </c>
      <c r="D301" s="376" t="s">
        <v>743</v>
      </c>
      <c r="E301" s="376" t="s">
        <v>224</v>
      </c>
      <c r="F301" s="382" t="s">
        <v>225</v>
      </c>
      <c r="G301" s="376" t="s">
        <v>781</v>
      </c>
      <c r="H301" s="378"/>
      <c r="I301" s="378"/>
      <c r="J301" s="376" t="s">
        <v>239</v>
      </c>
      <c r="K301" s="376" t="s">
        <v>744</v>
      </c>
      <c r="L301" s="376" t="s">
        <v>296</v>
      </c>
      <c r="M301" s="376" t="s">
        <v>171</v>
      </c>
      <c r="N301" s="376" t="s">
        <v>172</v>
      </c>
      <c r="O301" s="379">
        <v>1</v>
      </c>
      <c r="P301" s="385">
        <v>0.25</v>
      </c>
      <c r="Q301" s="385">
        <v>0.25</v>
      </c>
      <c r="R301" s="380">
        <v>80</v>
      </c>
      <c r="S301" s="385">
        <v>0.25</v>
      </c>
      <c r="T301" s="380">
        <v>0</v>
      </c>
      <c r="U301" s="380">
        <v>0</v>
      </c>
      <c r="V301" s="380">
        <v>0</v>
      </c>
      <c r="W301" s="380">
        <v>13093.6</v>
      </c>
      <c r="X301" s="380">
        <v>5743.98</v>
      </c>
      <c r="Y301" s="380">
        <v>13093.6</v>
      </c>
      <c r="Z301" s="380">
        <v>5688.99</v>
      </c>
      <c r="AA301" s="376" t="s">
        <v>759</v>
      </c>
      <c r="AB301" s="376" t="s">
        <v>760</v>
      </c>
      <c r="AC301" s="376" t="s">
        <v>577</v>
      </c>
      <c r="AD301" s="376" t="s">
        <v>761</v>
      </c>
      <c r="AE301" s="376" t="s">
        <v>744</v>
      </c>
      <c r="AF301" s="376" t="s">
        <v>301</v>
      </c>
      <c r="AG301" s="376" t="s">
        <v>178</v>
      </c>
      <c r="AH301" s="381">
        <v>25.18</v>
      </c>
      <c r="AI301" s="381">
        <v>8001.6</v>
      </c>
      <c r="AJ301" s="376" t="s">
        <v>179</v>
      </c>
      <c r="AK301" s="376" t="s">
        <v>180</v>
      </c>
      <c r="AL301" s="376" t="s">
        <v>181</v>
      </c>
      <c r="AM301" s="376" t="s">
        <v>182</v>
      </c>
      <c r="AN301" s="376" t="s">
        <v>68</v>
      </c>
      <c r="AO301" s="379">
        <v>80</v>
      </c>
      <c r="AP301" s="385">
        <v>1</v>
      </c>
      <c r="AQ301" s="385">
        <v>0.25</v>
      </c>
      <c r="AR301" s="383" t="s">
        <v>183</v>
      </c>
      <c r="AS301" s="387">
        <f t="shared" si="203"/>
        <v>0.25</v>
      </c>
      <c r="AT301">
        <f t="shared" si="204"/>
        <v>1</v>
      </c>
      <c r="AU301" s="387">
        <f>IF(AT301=0,"",IF(AND(AT301=1,M301="F",SUMIF(C2:C1334,C301,AS2:AS1334)&lt;=1),SUMIF(C2:C1334,C301,AS2:AS1334),IF(AND(AT301=1,M301="F",SUMIF(C2:C1334,C301,AS2:AS1334)&gt;1),1,"")))</f>
        <v>1</v>
      </c>
      <c r="AV301" s="387" t="str">
        <f>IF(AT301=0,"",IF(AND(AT301=3,M301="F",SUMIF(C2:C1334,C301,AS2:AS1334)&lt;=1),SUMIF(C2:C1334,C301,AS2:AS1334),IF(AND(AT301=3,M301="F",SUMIF(C2:C1334,C301,AS2:AS1334)&gt;1),1,"")))</f>
        <v/>
      </c>
      <c r="AW301" s="387">
        <f>SUMIF(C2:C1334,C301,O2:O1334)</f>
        <v>4</v>
      </c>
      <c r="AX301" s="387">
        <f>IF(AND(M301="F",AS301&lt;&gt;0),SUMIF(C2:C1334,C301,W2:W1334),0)</f>
        <v>52374.400000000001</v>
      </c>
      <c r="AY301" s="387">
        <f t="shared" si="205"/>
        <v>13093.6</v>
      </c>
      <c r="AZ301" s="387" t="str">
        <f t="shared" si="206"/>
        <v/>
      </c>
      <c r="BA301" s="387">
        <f t="shared" si="207"/>
        <v>0</v>
      </c>
      <c r="BB301" s="387">
        <f t="shared" si="176"/>
        <v>2912.5</v>
      </c>
      <c r="BC301" s="387">
        <f t="shared" si="177"/>
        <v>0</v>
      </c>
      <c r="BD301" s="387">
        <f t="shared" si="178"/>
        <v>811.80320000000006</v>
      </c>
      <c r="BE301" s="387">
        <f t="shared" si="179"/>
        <v>189.85720000000001</v>
      </c>
      <c r="BF301" s="387">
        <f t="shared" si="180"/>
        <v>1563.3758400000002</v>
      </c>
      <c r="BG301" s="387">
        <f t="shared" si="181"/>
        <v>94.404856000000009</v>
      </c>
      <c r="BH301" s="387">
        <f t="shared" si="182"/>
        <v>64.158640000000005</v>
      </c>
      <c r="BI301" s="387">
        <f t="shared" si="183"/>
        <v>72.473076000000006</v>
      </c>
      <c r="BJ301" s="387">
        <f t="shared" si="184"/>
        <v>35.352720000000005</v>
      </c>
      <c r="BK301" s="387">
        <f t="shared" si="185"/>
        <v>0</v>
      </c>
      <c r="BL301" s="387">
        <f t="shared" si="208"/>
        <v>2831.4255320000007</v>
      </c>
      <c r="BM301" s="387">
        <f t="shared" si="209"/>
        <v>0</v>
      </c>
      <c r="BN301" s="387">
        <f t="shared" si="186"/>
        <v>2912.5</v>
      </c>
      <c r="BO301" s="387">
        <f t="shared" si="187"/>
        <v>0</v>
      </c>
      <c r="BP301" s="387">
        <f t="shared" si="188"/>
        <v>811.80320000000006</v>
      </c>
      <c r="BQ301" s="387">
        <f t="shared" si="189"/>
        <v>189.85720000000001</v>
      </c>
      <c r="BR301" s="387">
        <f t="shared" si="190"/>
        <v>1563.3758400000002</v>
      </c>
      <c r="BS301" s="387">
        <f t="shared" si="191"/>
        <v>94.404856000000009</v>
      </c>
      <c r="BT301" s="387">
        <f t="shared" si="192"/>
        <v>0</v>
      </c>
      <c r="BU301" s="387">
        <f t="shared" si="193"/>
        <v>72.473076000000006</v>
      </c>
      <c r="BV301" s="387">
        <f t="shared" si="194"/>
        <v>44.518239999999999</v>
      </c>
      <c r="BW301" s="387">
        <f t="shared" si="195"/>
        <v>0</v>
      </c>
      <c r="BX301" s="387">
        <f t="shared" si="210"/>
        <v>2776.4324120000006</v>
      </c>
      <c r="BY301" s="387">
        <f t="shared" si="211"/>
        <v>0</v>
      </c>
      <c r="BZ301" s="387">
        <f t="shared" si="212"/>
        <v>0</v>
      </c>
      <c r="CA301" s="387">
        <f t="shared" si="213"/>
        <v>0</v>
      </c>
      <c r="CB301" s="387">
        <f t="shared" si="214"/>
        <v>0</v>
      </c>
      <c r="CC301" s="387">
        <f t="shared" si="196"/>
        <v>0</v>
      </c>
      <c r="CD301" s="387">
        <f t="shared" si="197"/>
        <v>0</v>
      </c>
      <c r="CE301" s="387">
        <f t="shared" si="198"/>
        <v>0</v>
      </c>
      <c r="CF301" s="387">
        <f t="shared" si="199"/>
        <v>-64.158640000000005</v>
      </c>
      <c r="CG301" s="387">
        <f t="shared" si="200"/>
        <v>0</v>
      </c>
      <c r="CH301" s="387">
        <f t="shared" si="201"/>
        <v>9.1655199999999954</v>
      </c>
      <c r="CI301" s="387">
        <f t="shared" si="202"/>
        <v>0</v>
      </c>
      <c r="CJ301" s="387">
        <f t="shared" si="215"/>
        <v>-54.993120000000012</v>
      </c>
      <c r="CK301" s="387" t="str">
        <f t="shared" si="216"/>
        <v/>
      </c>
      <c r="CL301" s="387" t="str">
        <f t="shared" si="217"/>
        <v/>
      </c>
      <c r="CM301" s="387" t="str">
        <f t="shared" si="218"/>
        <v/>
      </c>
      <c r="CN301" s="387" t="str">
        <f t="shared" si="219"/>
        <v>0348-31</v>
      </c>
    </row>
    <row r="302" spans="1:92" ht="15.75" thickBot="1" x14ac:dyDescent="0.3">
      <c r="A302" s="376" t="s">
        <v>161</v>
      </c>
      <c r="B302" s="376" t="s">
        <v>162</v>
      </c>
      <c r="C302" s="376" t="s">
        <v>1092</v>
      </c>
      <c r="D302" s="376" t="s">
        <v>862</v>
      </c>
      <c r="E302" s="376" t="s">
        <v>224</v>
      </c>
      <c r="F302" s="382" t="s">
        <v>225</v>
      </c>
      <c r="G302" s="376" t="s">
        <v>781</v>
      </c>
      <c r="H302" s="378"/>
      <c r="I302" s="378"/>
      <c r="J302" s="376" t="s">
        <v>239</v>
      </c>
      <c r="K302" s="376" t="s">
        <v>863</v>
      </c>
      <c r="L302" s="376" t="s">
        <v>252</v>
      </c>
      <c r="M302" s="376" t="s">
        <v>171</v>
      </c>
      <c r="N302" s="376" t="s">
        <v>172</v>
      </c>
      <c r="O302" s="379">
        <v>1</v>
      </c>
      <c r="P302" s="385">
        <v>0.75</v>
      </c>
      <c r="Q302" s="385">
        <v>0.75</v>
      </c>
      <c r="R302" s="380">
        <v>80</v>
      </c>
      <c r="S302" s="385">
        <v>0.75</v>
      </c>
      <c r="T302" s="380">
        <v>27181.97</v>
      </c>
      <c r="U302" s="380">
        <v>0</v>
      </c>
      <c r="V302" s="380">
        <v>14305.17</v>
      </c>
      <c r="W302" s="380">
        <v>29468.400000000001</v>
      </c>
      <c r="X302" s="380">
        <v>15110.01</v>
      </c>
      <c r="Y302" s="380">
        <v>29468.400000000001</v>
      </c>
      <c r="Z302" s="380">
        <v>14986.25</v>
      </c>
      <c r="AA302" s="376" t="s">
        <v>1093</v>
      </c>
      <c r="AB302" s="376" t="s">
        <v>1094</v>
      </c>
      <c r="AC302" s="376" t="s">
        <v>1095</v>
      </c>
      <c r="AD302" s="376" t="s">
        <v>170</v>
      </c>
      <c r="AE302" s="376" t="s">
        <v>863</v>
      </c>
      <c r="AF302" s="376" t="s">
        <v>393</v>
      </c>
      <c r="AG302" s="376" t="s">
        <v>178</v>
      </c>
      <c r="AH302" s="381">
        <v>18.89</v>
      </c>
      <c r="AI302" s="381">
        <v>3928.5</v>
      </c>
      <c r="AJ302" s="376" t="s">
        <v>179</v>
      </c>
      <c r="AK302" s="376" t="s">
        <v>180</v>
      </c>
      <c r="AL302" s="376" t="s">
        <v>181</v>
      </c>
      <c r="AM302" s="376" t="s">
        <v>182</v>
      </c>
      <c r="AN302" s="376" t="s">
        <v>68</v>
      </c>
      <c r="AO302" s="379">
        <v>80</v>
      </c>
      <c r="AP302" s="385">
        <v>1</v>
      </c>
      <c r="AQ302" s="385">
        <v>0.75</v>
      </c>
      <c r="AR302" s="383" t="s">
        <v>183</v>
      </c>
      <c r="AS302" s="387">
        <f t="shared" si="203"/>
        <v>0.75</v>
      </c>
      <c r="AT302">
        <f t="shared" si="204"/>
        <v>1</v>
      </c>
      <c r="AU302" s="387">
        <f>IF(AT302=0,"",IF(AND(AT302=1,M302="F",SUMIF(C2:C1334,C302,AS2:AS1334)&lt;=1),SUMIF(C2:C1334,C302,AS2:AS1334),IF(AND(AT302=1,M302="F",SUMIF(C2:C1334,C302,AS2:AS1334)&gt;1),1,"")))</f>
        <v>1</v>
      </c>
      <c r="AV302" s="387" t="str">
        <f>IF(AT302=0,"",IF(AND(AT302=3,M302="F",SUMIF(C2:C1334,C302,AS2:AS1334)&lt;=1),SUMIF(C2:C1334,C302,AS2:AS1334),IF(AND(AT302=3,M302="F",SUMIF(C2:C1334,C302,AS2:AS1334)&gt;1),1,"")))</f>
        <v/>
      </c>
      <c r="AW302" s="387">
        <f>SUMIF(C2:C1334,C302,O2:O1334)</f>
        <v>3</v>
      </c>
      <c r="AX302" s="387">
        <f>IF(AND(M302="F",AS302&lt;&gt;0),SUMIF(C2:C1334,C302,W2:W1334),0)</f>
        <v>39291.199999999997</v>
      </c>
      <c r="AY302" s="387">
        <f t="shared" si="205"/>
        <v>29468.400000000001</v>
      </c>
      <c r="AZ302" s="387" t="str">
        <f t="shared" si="206"/>
        <v/>
      </c>
      <c r="BA302" s="387">
        <f t="shared" si="207"/>
        <v>0</v>
      </c>
      <c r="BB302" s="387">
        <f t="shared" si="176"/>
        <v>8737.5</v>
      </c>
      <c r="BC302" s="387">
        <f t="shared" si="177"/>
        <v>0</v>
      </c>
      <c r="BD302" s="387">
        <f t="shared" si="178"/>
        <v>1827.0408</v>
      </c>
      <c r="BE302" s="387">
        <f t="shared" si="179"/>
        <v>427.29180000000002</v>
      </c>
      <c r="BF302" s="387">
        <f t="shared" si="180"/>
        <v>3518.5269600000001</v>
      </c>
      <c r="BG302" s="387">
        <f t="shared" si="181"/>
        <v>212.46716400000003</v>
      </c>
      <c r="BH302" s="387">
        <f t="shared" si="182"/>
        <v>144.39516</v>
      </c>
      <c r="BI302" s="387">
        <f t="shared" si="183"/>
        <v>163.10759400000001</v>
      </c>
      <c r="BJ302" s="387">
        <f t="shared" si="184"/>
        <v>79.56468000000001</v>
      </c>
      <c r="BK302" s="387">
        <f t="shared" si="185"/>
        <v>0</v>
      </c>
      <c r="BL302" s="387">
        <f t="shared" si="208"/>
        <v>6372.394158000001</v>
      </c>
      <c r="BM302" s="387">
        <f t="shared" si="209"/>
        <v>0</v>
      </c>
      <c r="BN302" s="387">
        <f t="shared" si="186"/>
        <v>8737.5</v>
      </c>
      <c r="BO302" s="387">
        <f t="shared" si="187"/>
        <v>0</v>
      </c>
      <c r="BP302" s="387">
        <f t="shared" si="188"/>
        <v>1827.0408</v>
      </c>
      <c r="BQ302" s="387">
        <f t="shared" si="189"/>
        <v>427.29180000000002</v>
      </c>
      <c r="BR302" s="387">
        <f t="shared" si="190"/>
        <v>3518.5269600000001</v>
      </c>
      <c r="BS302" s="387">
        <f t="shared" si="191"/>
        <v>212.46716400000003</v>
      </c>
      <c r="BT302" s="387">
        <f t="shared" si="192"/>
        <v>0</v>
      </c>
      <c r="BU302" s="387">
        <f t="shared" si="193"/>
        <v>163.10759400000001</v>
      </c>
      <c r="BV302" s="387">
        <f t="shared" si="194"/>
        <v>100.19256</v>
      </c>
      <c r="BW302" s="387">
        <f t="shared" si="195"/>
        <v>0</v>
      </c>
      <c r="BX302" s="387">
        <f t="shared" si="210"/>
        <v>6248.6268780000009</v>
      </c>
      <c r="BY302" s="387">
        <f t="shared" si="211"/>
        <v>0</v>
      </c>
      <c r="BZ302" s="387">
        <f t="shared" si="212"/>
        <v>0</v>
      </c>
      <c r="CA302" s="387">
        <f t="shared" si="213"/>
        <v>0</v>
      </c>
      <c r="CB302" s="387">
        <f t="shared" si="214"/>
        <v>0</v>
      </c>
      <c r="CC302" s="387">
        <f t="shared" si="196"/>
        <v>0</v>
      </c>
      <c r="CD302" s="387">
        <f t="shared" si="197"/>
        <v>0</v>
      </c>
      <c r="CE302" s="387">
        <f t="shared" si="198"/>
        <v>0</v>
      </c>
      <c r="CF302" s="387">
        <f t="shared" si="199"/>
        <v>-144.39516</v>
      </c>
      <c r="CG302" s="387">
        <f t="shared" si="200"/>
        <v>0</v>
      </c>
      <c r="CH302" s="387">
        <f t="shared" si="201"/>
        <v>20.62787999999999</v>
      </c>
      <c r="CI302" s="387">
        <f t="shared" si="202"/>
        <v>0</v>
      </c>
      <c r="CJ302" s="387">
        <f t="shared" si="215"/>
        <v>-123.76728000000001</v>
      </c>
      <c r="CK302" s="387" t="str">
        <f t="shared" si="216"/>
        <v/>
      </c>
      <c r="CL302" s="387" t="str">
        <f t="shared" si="217"/>
        <v/>
      </c>
      <c r="CM302" s="387" t="str">
        <f t="shared" si="218"/>
        <v/>
      </c>
      <c r="CN302" s="387" t="str">
        <f t="shared" si="219"/>
        <v>0348-31</v>
      </c>
    </row>
    <row r="303" spans="1:92" ht="15.75" thickBot="1" x14ac:dyDescent="0.3">
      <c r="A303" s="376" t="s">
        <v>161</v>
      </c>
      <c r="B303" s="376" t="s">
        <v>162</v>
      </c>
      <c r="C303" s="376" t="s">
        <v>1096</v>
      </c>
      <c r="D303" s="376" t="s">
        <v>238</v>
      </c>
      <c r="E303" s="376" t="s">
        <v>224</v>
      </c>
      <c r="F303" s="382" t="s">
        <v>225</v>
      </c>
      <c r="G303" s="376" t="s">
        <v>781</v>
      </c>
      <c r="H303" s="378"/>
      <c r="I303" s="378"/>
      <c r="J303" s="376" t="s">
        <v>215</v>
      </c>
      <c r="K303" s="376" t="s">
        <v>343</v>
      </c>
      <c r="L303" s="376" t="s">
        <v>296</v>
      </c>
      <c r="M303" s="376" t="s">
        <v>171</v>
      </c>
      <c r="N303" s="376" t="s">
        <v>172</v>
      </c>
      <c r="O303" s="379">
        <v>1</v>
      </c>
      <c r="P303" s="385">
        <v>0</v>
      </c>
      <c r="Q303" s="385">
        <v>0</v>
      </c>
      <c r="R303" s="380">
        <v>80</v>
      </c>
      <c r="S303" s="385">
        <v>0</v>
      </c>
      <c r="T303" s="380">
        <v>1154.8</v>
      </c>
      <c r="U303" s="380">
        <v>0</v>
      </c>
      <c r="V303" s="380">
        <v>591.22</v>
      </c>
      <c r="W303" s="380">
        <v>0</v>
      </c>
      <c r="X303" s="380">
        <v>0</v>
      </c>
      <c r="Y303" s="380">
        <v>0</v>
      </c>
      <c r="Z303" s="380">
        <v>0</v>
      </c>
      <c r="AA303" s="376" t="s">
        <v>1097</v>
      </c>
      <c r="AB303" s="376" t="s">
        <v>915</v>
      </c>
      <c r="AC303" s="376" t="s">
        <v>1098</v>
      </c>
      <c r="AD303" s="376" t="s">
        <v>170</v>
      </c>
      <c r="AE303" s="376" t="s">
        <v>343</v>
      </c>
      <c r="AF303" s="376" t="s">
        <v>301</v>
      </c>
      <c r="AG303" s="376" t="s">
        <v>178</v>
      </c>
      <c r="AH303" s="381">
        <v>20.02</v>
      </c>
      <c r="AI303" s="381">
        <v>4155.6000000000004</v>
      </c>
      <c r="AJ303" s="376" t="s">
        <v>179</v>
      </c>
      <c r="AK303" s="376" t="s">
        <v>180</v>
      </c>
      <c r="AL303" s="376" t="s">
        <v>181</v>
      </c>
      <c r="AM303" s="376" t="s">
        <v>182</v>
      </c>
      <c r="AN303" s="376" t="s">
        <v>68</v>
      </c>
      <c r="AO303" s="379">
        <v>80</v>
      </c>
      <c r="AP303" s="385">
        <v>1</v>
      </c>
      <c r="AQ303" s="385">
        <v>0</v>
      </c>
      <c r="AR303" s="383" t="s">
        <v>183</v>
      </c>
      <c r="AS303" s="387">
        <f t="shared" si="203"/>
        <v>0</v>
      </c>
      <c r="AT303">
        <f t="shared" si="204"/>
        <v>0</v>
      </c>
      <c r="AU303" s="387" t="str">
        <f>IF(AT303=0,"",IF(AND(AT303=1,M303="F",SUMIF(C2:C1334,C303,AS2:AS1334)&lt;=1),SUMIF(C2:C1334,C303,AS2:AS1334),IF(AND(AT303=1,M303="F",SUMIF(C2:C1334,C303,AS2:AS1334)&gt;1),1,"")))</f>
        <v/>
      </c>
      <c r="AV303" s="387" t="str">
        <f>IF(AT303=0,"",IF(AND(AT303=3,M303="F",SUMIF(C2:C1334,C303,AS2:AS1334)&lt;=1),SUMIF(C2:C1334,C303,AS2:AS1334),IF(AND(AT303=3,M303="F",SUMIF(C2:C1334,C303,AS2:AS1334)&gt;1),1,"")))</f>
        <v/>
      </c>
      <c r="AW303" s="387">
        <f>SUMIF(C2:C1334,C303,O2:O1334)</f>
        <v>2</v>
      </c>
      <c r="AX303" s="387">
        <f>IF(AND(M303="F",AS303&lt;&gt;0),SUMIF(C2:C1334,C303,W2:W1334),0)</f>
        <v>0</v>
      </c>
      <c r="AY303" s="387" t="str">
        <f t="shared" si="205"/>
        <v/>
      </c>
      <c r="AZ303" s="387" t="str">
        <f t="shared" si="206"/>
        <v/>
      </c>
      <c r="BA303" s="387">
        <f t="shared" si="207"/>
        <v>0</v>
      </c>
      <c r="BB303" s="387">
        <f t="shared" si="176"/>
        <v>0</v>
      </c>
      <c r="BC303" s="387">
        <f t="shared" si="177"/>
        <v>0</v>
      </c>
      <c r="BD303" s="387">
        <f t="shared" si="178"/>
        <v>0</v>
      </c>
      <c r="BE303" s="387">
        <f t="shared" si="179"/>
        <v>0</v>
      </c>
      <c r="BF303" s="387">
        <f t="shared" si="180"/>
        <v>0</v>
      </c>
      <c r="BG303" s="387">
        <f t="shared" si="181"/>
        <v>0</v>
      </c>
      <c r="BH303" s="387">
        <f t="shared" si="182"/>
        <v>0</v>
      </c>
      <c r="BI303" s="387">
        <f t="shared" si="183"/>
        <v>0</v>
      </c>
      <c r="BJ303" s="387">
        <f t="shared" si="184"/>
        <v>0</v>
      </c>
      <c r="BK303" s="387">
        <f t="shared" si="185"/>
        <v>0</v>
      </c>
      <c r="BL303" s="387">
        <f t="shared" si="208"/>
        <v>0</v>
      </c>
      <c r="BM303" s="387">
        <f t="shared" si="209"/>
        <v>0</v>
      </c>
      <c r="BN303" s="387">
        <f t="shared" si="186"/>
        <v>0</v>
      </c>
      <c r="BO303" s="387">
        <f t="shared" si="187"/>
        <v>0</v>
      </c>
      <c r="BP303" s="387">
        <f t="shared" si="188"/>
        <v>0</v>
      </c>
      <c r="BQ303" s="387">
        <f t="shared" si="189"/>
        <v>0</v>
      </c>
      <c r="BR303" s="387">
        <f t="shared" si="190"/>
        <v>0</v>
      </c>
      <c r="BS303" s="387">
        <f t="shared" si="191"/>
        <v>0</v>
      </c>
      <c r="BT303" s="387">
        <f t="shared" si="192"/>
        <v>0</v>
      </c>
      <c r="BU303" s="387">
        <f t="shared" si="193"/>
        <v>0</v>
      </c>
      <c r="BV303" s="387">
        <f t="shared" si="194"/>
        <v>0</v>
      </c>
      <c r="BW303" s="387">
        <f t="shared" si="195"/>
        <v>0</v>
      </c>
      <c r="BX303" s="387">
        <f t="shared" si="210"/>
        <v>0</v>
      </c>
      <c r="BY303" s="387">
        <f t="shared" si="211"/>
        <v>0</v>
      </c>
      <c r="BZ303" s="387">
        <f t="shared" si="212"/>
        <v>0</v>
      </c>
      <c r="CA303" s="387">
        <f t="shared" si="213"/>
        <v>0</v>
      </c>
      <c r="CB303" s="387">
        <f t="shared" si="214"/>
        <v>0</v>
      </c>
      <c r="CC303" s="387">
        <f t="shared" si="196"/>
        <v>0</v>
      </c>
      <c r="CD303" s="387">
        <f t="shared" si="197"/>
        <v>0</v>
      </c>
      <c r="CE303" s="387">
        <f t="shared" si="198"/>
        <v>0</v>
      </c>
      <c r="CF303" s="387">
        <f t="shared" si="199"/>
        <v>0</v>
      </c>
      <c r="CG303" s="387">
        <f t="shared" si="200"/>
        <v>0</v>
      </c>
      <c r="CH303" s="387">
        <f t="shared" si="201"/>
        <v>0</v>
      </c>
      <c r="CI303" s="387">
        <f t="shared" si="202"/>
        <v>0</v>
      </c>
      <c r="CJ303" s="387">
        <f t="shared" si="215"/>
        <v>0</v>
      </c>
      <c r="CK303" s="387" t="str">
        <f t="shared" si="216"/>
        <v/>
      </c>
      <c r="CL303" s="387" t="str">
        <f t="shared" si="217"/>
        <v/>
      </c>
      <c r="CM303" s="387" t="str">
        <f t="shared" si="218"/>
        <v/>
      </c>
      <c r="CN303" s="387" t="str">
        <f t="shared" si="219"/>
        <v>0348-31</v>
      </c>
    </row>
    <row r="304" spans="1:92" ht="15.75" thickBot="1" x14ac:dyDescent="0.3">
      <c r="A304" s="376" t="s">
        <v>161</v>
      </c>
      <c r="B304" s="376" t="s">
        <v>162</v>
      </c>
      <c r="C304" s="376" t="s">
        <v>725</v>
      </c>
      <c r="D304" s="376" t="s">
        <v>726</v>
      </c>
      <c r="E304" s="376" t="s">
        <v>224</v>
      </c>
      <c r="F304" s="382" t="s">
        <v>225</v>
      </c>
      <c r="G304" s="376" t="s">
        <v>781</v>
      </c>
      <c r="H304" s="378"/>
      <c r="I304" s="378"/>
      <c r="J304" s="376" t="s">
        <v>215</v>
      </c>
      <c r="K304" s="376" t="s">
        <v>727</v>
      </c>
      <c r="L304" s="376" t="s">
        <v>170</v>
      </c>
      <c r="M304" s="376" t="s">
        <v>171</v>
      </c>
      <c r="N304" s="376" t="s">
        <v>257</v>
      </c>
      <c r="O304" s="379">
        <v>1</v>
      </c>
      <c r="P304" s="385">
        <v>1</v>
      </c>
      <c r="Q304" s="385">
        <v>1</v>
      </c>
      <c r="R304" s="380">
        <v>80</v>
      </c>
      <c r="S304" s="385">
        <v>1</v>
      </c>
      <c r="T304" s="380">
        <v>0</v>
      </c>
      <c r="U304" s="380">
        <v>0</v>
      </c>
      <c r="V304" s="380">
        <v>0</v>
      </c>
      <c r="W304" s="380">
        <v>48339.199999999997</v>
      </c>
      <c r="X304" s="380">
        <v>21835.53</v>
      </c>
      <c r="Y304" s="380">
        <v>48339.199999999997</v>
      </c>
      <c r="Z304" s="380">
        <v>21632.51</v>
      </c>
      <c r="AA304" s="376" t="s">
        <v>728</v>
      </c>
      <c r="AB304" s="376" t="s">
        <v>729</v>
      </c>
      <c r="AC304" s="376" t="s">
        <v>730</v>
      </c>
      <c r="AD304" s="376" t="s">
        <v>731</v>
      </c>
      <c r="AE304" s="376" t="s">
        <v>727</v>
      </c>
      <c r="AF304" s="376" t="s">
        <v>177</v>
      </c>
      <c r="AG304" s="376" t="s">
        <v>178</v>
      </c>
      <c r="AH304" s="381">
        <v>23.24</v>
      </c>
      <c r="AI304" s="381">
        <v>3187.5</v>
      </c>
      <c r="AJ304" s="376" t="s">
        <v>179</v>
      </c>
      <c r="AK304" s="376" t="s">
        <v>180</v>
      </c>
      <c r="AL304" s="376" t="s">
        <v>181</v>
      </c>
      <c r="AM304" s="376" t="s">
        <v>182</v>
      </c>
      <c r="AN304" s="376" t="s">
        <v>68</v>
      </c>
      <c r="AO304" s="379">
        <v>80</v>
      </c>
      <c r="AP304" s="385">
        <v>1</v>
      </c>
      <c r="AQ304" s="385">
        <v>1</v>
      </c>
      <c r="AR304" s="383" t="s">
        <v>183</v>
      </c>
      <c r="AS304" s="387">
        <f t="shared" si="203"/>
        <v>1</v>
      </c>
      <c r="AT304">
        <f t="shared" si="204"/>
        <v>1</v>
      </c>
      <c r="AU304" s="387">
        <f>IF(AT304=0,"",IF(AND(AT304=1,M304="F",SUMIF(C2:C1334,C304,AS2:AS1334)&lt;=1),SUMIF(C2:C1334,C304,AS2:AS1334),IF(AND(AT304=1,M304="F",SUMIF(C2:C1334,C304,AS2:AS1334)&gt;1),1,"")))</f>
        <v>1</v>
      </c>
      <c r="AV304" s="387" t="str">
        <f>IF(AT304=0,"",IF(AND(AT304=3,M304="F",SUMIF(C2:C1334,C304,AS2:AS1334)&lt;=1),SUMIF(C2:C1334,C304,AS2:AS1334),IF(AND(AT304=3,M304="F",SUMIF(C2:C1334,C304,AS2:AS1334)&gt;1),1,"")))</f>
        <v/>
      </c>
      <c r="AW304" s="387">
        <f>SUMIF(C2:C1334,C304,O2:O1334)</f>
        <v>2</v>
      </c>
      <c r="AX304" s="387">
        <f>IF(AND(M304="F",AS304&lt;&gt;0),SUMIF(C2:C1334,C304,W2:W1334),0)</f>
        <v>48339.199999999997</v>
      </c>
      <c r="AY304" s="387">
        <f t="shared" si="205"/>
        <v>48339.199999999997</v>
      </c>
      <c r="AZ304" s="387" t="str">
        <f t="shared" si="206"/>
        <v/>
      </c>
      <c r="BA304" s="387">
        <f t="shared" si="207"/>
        <v>0</v>
      </c>
      <c r="BB304" s="387">
        <f t="shared" si="176"/>
        <v>11650</v>
      </c>
      <c r="BC304" s="387">
        <f t="shared" si="177"/>
        <v>0</v>
      </c>
      <c r="BD304" s="387">
        <f t="shared" si="178"/>
        <v>2997.0303999999996</v>
      </c>
      <c r="BE304" s="387">
        <f t="shared" si="179"/>
        <v>700.91840000000002</v>
      </c>
      <c r="BF304" s="387">
        <f t="shared" si="180"/>
        <v>5771.7004799999995</v>
      </c>
      <c r="BG304" s="387">
        <f t="shared" si="181"/>
        <v>348.52563199999997</v>
      </c>
      <c r="BH304" s="387">
        <f t="shared" si="182"/>
        <v>236.86207999999999</v>
      </c>
      <c r="BI304" s="387">
        <f t="shared" si="183"/>
        <v>0</v>
      </c>
      <c r="BJ304" s="387">
        <f t="shared" si="184"/>
        <v>130.51584</v>
      </c>
      <c r="BK304" s="387">
        <f t="shared" si="185"/>
        <v>0</v>
      </c>
      <c r="BL304" s="387">
        <f t="shared" si="208"/>
        <v>10185.552832000001</v>
      </c>
      <c r="BM304" s="387">
        <f t="shared" si="209"/>
        <v>0</v>
      </c>
      <c r="BN304" s="387">
        <f t="shared" si="186"/>
        <v>11650</v>
      </c>
      <c r="BO304" s="387">
        <f t="shared" si="187"/>
        <v>0</v>
      </c>
      <c r="BP304" s="387">
        <f t="shared" si="188"/>
        <v>2997.0303999999996</v>
      </c>
      <c r="BQ304" s="387">
        <f t="shared" si="189"/>
        <v>700.91840000000002</v>
      </c>
      <c r="BR304" s="387">
        <f t="shared" si="190"/>
        <v>5771.7004799999995</v>
      </c>
      <c r="BS304" s="387">
        <f t="shared" si="191"/>
        <v>348.52563199999997</v>
      </c>
      <c r="BT304" s="387">
        <f t="shared" si="192"/>
        <v>0</v>
      </c>
      <c r="BU304" s="387">
        <f t="shared" si="193"/>
        <v>0</v>
      </c>
      <c r="BV304" s="387">
        <f t="shared" si="194"/>
        <v>164.35327999999998</v>
      </c>
      <c r="BW304" s="387">
        <f t="shared" si="195"/>
        <v>0</v>
      </c>
      <c r="BX304" s="387">
        <f t="shared" si="210"/>
        <v>9982.5281919999998</v>
      </c>
      <c r="BY304" s="387">
        <f t="shared" si="211"/>
        <v>0</v>
      </c>
      <c r="BZ304" s="387">
        <f t="shared" si="212"/>
        <v>0</v>
      </c>
      <c r="CA304" s="387">
        <f t="shared" si="213"/>
        <v>0</v>
      </c>
      <c r="CB304" s="387">
        <f t="shared" si="214"/>
        <v>0</v>
      </c>
      <c r="CC304" s="387">
        <f t="shared" si="196"/>
        <v>0</v>
      </c>
      <c r="CD304" s="387">
        <f t="shared" si="197"/>
        <v>0</v>
      </c>
      <c r="CE304" s="387">
        <f t="shared" si="198"/>
        <v>0</v>
      </c>
      <c r="CF304" s="387">
        <f t="shared" si="199"/>
        <v>-236.86207999999999</v>
      </c>
      <c r="CG304" s="387">
        <f t="shared" si="200"/>
        <v>0</v>
      </c>
      <c r="CH304" s="387">
        <f t="shared" si="201"/>
        <v>33.83743999999998</v>
      </c>
      <c r="CI304" s="387">
        <f t="shared" si="202"/>
        <v>0</v>
      </c>
      <c r="CJ304" s="387">
        <f t="shared" si="215"/>
        <v>-203.02464000000001</v>
      </c>
      <c r="CK304" s="387" t="str">
        <f t="shared" si="216"/>
        <v/>
      </c>
      <c r="CL304" s="387" t="str">
        <f t="shared" si="217"/>
        <v/>
      </c>
      <c r="CM304" s="387" t="str">
        <f t="shared" si="218"/>
        <v/>
      </c>
      <c r="CN304" s="387" t="str">
        <f t="shared" si="219"/>
        <v>0348-31</v>
      </c>
    </row>
    <row r="305" spans="1:92" ht="15.75" thickBot="1" x14ac:dyDescent="0.3">
      <c r="A305" s="376" t="s">
        <v>161</v>
      </c>
      <c r="B305" s="376" t="s">
        <v>162</v>
      </c>
      <c r="C305" s="376" t="s">
        <v>1099</v>
      </c>
      <c r="D305" s="376" t="s">
        <v>862</v>
      </c>
      <c r="E305" s="376" t="s">
        <v>224</v>
      </c>
      <c r="F305" s="382" t="s">
        <v>225</v>
      </c>
      <c r="G305" s="376" t="s">
        <v>781</v>
      </c>
      <c r="H305" s="378"/>
      <c r="I305" s="378"/>
      <c r="J305" s="376" t="s">
        <v>168</v>
      </c>
      <c r="K305" s="376" t="s">
        <v>863</v>
      </c>
      <c r="L305" s="376" t="s">
        <v>252</v>
      </c>
      <c r="M305" s="376" t="s">
        <v>171</v>
      </c>
      <c r="N305" s="376" t="s">
        <v>172</v>
      </c>
      <c r="O305" s="379">
        <v>1</v>
      </c>
      <c r="P305" s="385">
        <v>0.9</v>
      </c>
      <c r="Q305" s="385">
        <v>0.9</v>
      </c>
      <c r="R305" s="380">
        <v>80</v>
      </c>
      <c r="S305" s="385">
        <v>0.9</v>
      </c>
      <c r="T305" s="380">
        <v>54447.7</v>
      </c>
      <c r="U305" s="380">
        <v>0</v>
      </c>
      <c r="V305" s="380">
        <v>22018.37</v>
      </c>
      <c r="W305" s="380">
        <v>54624.959999999999</v>
      </c>
      <c r="X305" s="380">
        <v>22297.599999999999</v>
      </c>
      <c r="Y305" s="380">
        <v>54624.959999999999</v>
      </c>
      <c r="Z305" s="380">
        <v>22068.19</v>
      </c>
      <c r="AA305" s="376" t="s">
        <v>1100</v>
      </c>
      <c r="AB305" s="376" t="s">
        <v>1101</v>
      </c>
      <c r="AC305" s="376" t="s">
        <v>1102</v>
      </c>
      <c r="AD305" s="376" t="s">
        <v>406</v>
      </c>
      <c r="AE305" s="376" t="s">
        <v>863</v>
      </c>
      <c r="AF305" s="376" t="s">
        <v>393</v>
      </c>
      <c r="AG305" s="376" t="s">
        <v>178</v>
      </c>
      <c r="AH305" s="381">
        <v>29.18</v>
      </c>
      <c r="AI305" s="381">
        <v>68274.7</v>
      </c>
      <c r="AJ305" s="376" t="s">
        <v>179</v>
      </c>
      <c r="AK305" s="376" t="s">
        <v>180</v>
      </c>
      <c r="AL305" s="376" t="s">
        <v>181</v>
      </c>
      <c r="AM305" s="376" t="s">
        <v>182</v>
      </c>
      <c r="AN305" s="376" t="s">
        <v>68</v>
      </c>
      <c r="AO305" s="379">
        <v>80</v>
      </c>
      <c r="AP305" s="385">
        <v>1</v>
      </c>
      <c r="AQ305" s="385">
        <v>0.9</v>
      </c>
      <c r="AR305" s="383" t="s">
        <v>183</v>
      </c>
      <c r="AS305" s="387">
        <f t="shared" si="203"/>
        <v>0.9</v>
      </c>
      <c r="AT305">
        <f t="shared" si="204"/>
        <v>1</v>
      </c>
      <c r="AU305" s="387">
        <f>IF(AT305=0,"",IF(AND(AT305=1,M305="F",SUMIF(C2:C1334,C305,AS2:AS1334)&lt;=1),SUMIF(C2:C1334,C305,AS2:AS1334),IF(AND(AT305=1,M305="F",SUMIF(C2:C1334,C305,AS2:AS1334)&gt;1),1,"")))</f>
        <v>1</v>
      </c>
      <c r="AV305" s="387" t="str">
        <f>IF(AT305=0,"",IF(AND(AT305=3,M305="F",SUMIF(C2:C1334,C305,AS2:AS1334)&lt;=1),SUMIF(C2:C1334,C305,AS2:AS1334),IF(AND(AT305=3,M305="F",SUMIF(C2:C1334,C305,AS2:AS1334)&gt;1),1,"")))</f>
        <v/>
      </c>
      <c r="AW305" s="387">
        <f>SUMIF(C2:C1334,C305,O2:O1334)</f>
        <v>3</v>
      </c>
      <c r="AX305" s="387">
        <f>IF(AND(M305="F",AS305&lt;&gt;0),SUMIF(C2:C1334,C305,W2:W1334),0)</f>
        <v>60694.400000000001</v>
      </c>
      <c r="AY305" s="387">
        <f t="shared" si="205"/>
        <v>54624.959999999999</v>
      </c>
      <c r="AZ305" s="387" t="str">
        <f t="shared" si="206"/>
        <v/>
      </c>
      <c r="BA305" s="387">
        <f t="shared" si="207"/>
        <v>0</v>
      </c>
      <c r="BB305" s="387">
        <f t="shared" si="176"/>
        <v>10485</v>
      </c>
      <c r="BC305" s="387">
        <f t="shared" si="177"/>
        <v>0</v>
      </c>
      <c r="BD305" s="387">
        <f t="shared" si="178"/>
        <v>3386.7475199999999</v>
      </c>
      <c r="BE305" s="387">
        <f t="shared" si="179"/>
        <v>792.06191999999999</v>
      </c>
      <c r="BF305" s="387">
        <f t="shared" si="180"/>
        <v>6522.2202240000006</v>
      </c>
      <c r="BG305" s="387">
        <f t="shared" si="181"/>
        <v>393.84596160000001</v>
      </c>
      <c r="BH305" s="387">
        <f t="shared" si="182"/>
        <v>267.66230400000001</v>
      </c>
      <c r="BI305" s="387">
        <f t="shared" si="183"/>
        <v>302.34915360000002</v>
      </c>
      <c r="BJ305" s="387">
        <f t="shared" si="184"/>
        <v>147.487392</v>
      </c>
      <c r="BK305" s="387">
        <f t="shared" si="185"/>
        <v>0</v>
      </c>
      <c r="BL305" s="387">
        <f t="shared" si="208"/>
        <v>11812.374475200002</v>
      </c>
      <c r="BM305" s="387">
        <f t="shared" si="209"/>
        <v>0</v>
      </c>
      <c r="BN305" s="387">
        <f t="shared" si="186"/>
        <v>10485</v>
      </c>
      <c r="BO305" s="387">
        <f t="shared" si="187"/>
        <v>0</v>
      </c>
      <c r="BP305" s="387">
        <f t="shared" si="188"/>
        <v>3386.7475199999999</v>
      </c>
      <c r="BQ305" s="387">
        <f t="shared" si="189"/>
        <v>792.06191999999999</v>
      </c>
      <c r="BR305" s="387">
        <f t="shared" si="190"/>
        <v>6522.2202240000006</v>
      </c>
      <c r="BS305" s="387">
        <f t="shared" si="191"/>
        <v>393.84596160000001</v>
      </c>
      <c r="BT305" s="387">
        <f t="shared" si="192"/>
        <v>0</v>
      </c>
      <c r="BU305" s="387">
        <f t="shared" si="193"/>
        <v>302.34915360000002</v>
      </c>
      <c r="BV305" s="387">
        <f t="shared" si="194"/>
        <v>185.724864</v>
      </c>
      <c r="BW305" s="387">
        <f t="shared" si="195"/>
        <v>0</v>
      </c>
      <c r="BX305" s="387">
        <f t="shared" si="210"/>
        <v>11582.949643200001</v>
      </c>
      <c r="BY305" s="387">
        <f t="shared" si="211"/>
        <v>0</v>
      </c>
      <c r="BZ305" s="387">
        <f t="shared" si="212"/>
        <v>0</v>
      </c>
      <c r="CA305" s="387">
        <f t="shared" si="213"/>
        <v>0</v>
      </c>
      <c r="CB305" s="387">
        <f t="shared" si="214"/>
        <v>0</v>
      </c>
      <c r="CC305" s="387">
        <f t="shared" si="196"/>
        <v>0</v>
      </c>
      <c r="CD305" s="387">
        <f t="shared" si="197"/>
        <v>0</v>
      </c>
      <c r="CE305" s="387">
        <f t="shared" si="198"/>
        <v>0</v>
      </c>
      <c r="CF305" s="387">
        <f t="shared" si="199"/>
        <v>-267.66230400000001</v>
      </c>
      <c r="CG305" s="387">
        <f t="shared" si="200"/>
        <v>0</v>
      </c>
      <c r="CH305" s="387">
        <f t="shared" si="201"/>
        <v>38.237471999999983</v>
      </c>
      <c r="CI305" s="387">
        <f t="shared" si="202"/>
        <v>0</v>
      </c>
      <c r="CJ305" s="387">
        <f t="shared" si="215"/>
        <v>-229.42483200000004</v>
      </c>
      <c r="CK305" s="387" t="str">
        <f t="shared" si="216"/>
        <v/>
      </c>
      <c r="CL305" s="387" t="str">
        <f t="shared" si="217"/>
        <v/>
      </c>
      <c r="CM305" s="387" t="str">
        <f t="shared" si="218"/>
        <v/>
      </c>
      <c r="CN305" s="387" t="str">
        <f t="shared" si="219"/>
        <v>0348-31</v>
      </c>
    </row>
    <row r="306" spans="1:92" ht="15.75" thickBot="1" x14ac:dyDescent="0.3">
      <c r="A306" s="376" t="s">
        <v>161</v>
      </c>
      <c r="B306" s="376" t="s">
        <v>162</v>
      </c>
      <c r="C306" s="376" t="s">
        <v>262</v>
      </c>
      <c r="D306" s="376" t="s">
        <v>263</v>
      </c>
      <c r="E306" s="376" t="s">
        <v>224</v>
      </c>
      <c r="F306" s="382" t="s">
        <v>225</v>
      </c>
      <c r="G306" s="376" t="s">
        <v>781</v>
      </c>
      <c r="H306" s="378"/>
      <c r="I306" s="378"/>
      <c r="J306" s="376" t="s">
        <v>215</v>
      </c>
      <c r="K306" s="376" t="s">
        <v>264</v>
      </c>
      <c r="L306" s="376" t="s">
        <v>210</v>
      </c>
      <c r="M306" s="376" t="s">
        <v>171</v>
      </c>
      <c r="N306" s="376" t="s">
        <v>172</v>
      </c>
      <c r="O306" s="379">
        <v>1</v>
      </c>
      <c r="P306" s="385">
        <v>0</v>
      </c>
      <c r="Q306" s="385">
        <v>0</v>
      </c>
      <c r="R306" s="380">
        <v>80</v>
      </c>
      <c r="S306" s="385">
        <v>0</v>
      </c>
      <c r="T306" s="380">
        <v>61126.69</v>
      </c>
      <c r="U306" s="380">
        <v>0</v>
      </c>
      <c r="V306" s="380">
        <v>24260.79</v>
      </c>
      <c r="W306" s="380">
        <v>0</v>
      </c>
      <c r="X306" s="380">
        <v>0</v>
      </c>
      <c r="Y306" s="380">
        <v>0</v>
      </c>
      <c r="Z306" s="380">
        <v>0</v>
      </c>
      <c r="AA306" s="376" t="s">
        <v>265</v>
      </c>
      <c r="AB306" s="376" t="s">
        <v>266</v>
      </c>
      <c r="AC306" s="376" t="s">
        <v>267</v>
      </c>
      <c r="AD306" s="376" t="s">
        <v>268</v>
      </c>
      <c r="AE306" s="376" t="s">
        <v>264</v>
      </c>
      <c r="AF306" s="376" t="s">
        <v>245</v>
      </c>
      <c r="AG306" s="376" t="s">
        <v>178</v>
      </c>
      <c r="AH306" s="381">
        <v>30.51</v>
      </c>
      <c r="AI306" s="381">
        <v>64040.6</v>
      </c>
      <c r="AJ306" s="376" t="s">
        <v>179</v>
      </c>
      <c r="AK306" s="376" t="s">
        <v>180</v>
      </c>
      <c r="AL306" s="376" t="s">
        <v>181</v>
      </c>
      <c r="AM306" s="376" t="s">
        <v>182</v>
      </c>
      <c r="AN306" s="376" t="s">
        <v>68</v>
      </c>
      <c r="AO306" s="379">
        <v>80</v>
      </c>
      <c r="AP306" s="385">
        <v>1</v>
      </c>
      <c r="AQ306" s="385">
        <v>0</v>
      </c>
      <c r="AR306" s="383" t="s">
        <v>183</v>
      </c>
      <c r="AS306" s="387">
        <f t="shared" si="203"/>
        <v>0</v>
      </c>
      <c r="AT306">
        <f t="shared" si="204"/>
        <v>0</v>
      </c>
      <c r="AU306" s="387" t="str">
        <f>IF(AT306=0,"",IF(AND(AT306=1,M306="F",SUMIF(C2:C1334,C306,AS2:AS1334)&lt;=1),SUMIF(C2:C1334,C306,AS2:AS1334),IF(AND(AT306=1,M306="F",SUMIF(C2:C1334,C306,AS2:AS1334)&gt;1),1,"")))</f>
        <v/>
      </c>
      <c r="AV306" s="387" t="str">
        <f>IF(AT306=0,"",IF(AND(AT306=3,M306="F",SUMIF(C2:C1334,C306,AS2:AS1334)&lt;=1),SUMIF(C2:C1334,C306,AS2:AS1334),IF(AND(AT306=3,M306="F",SUMIF(C2:C1334,C306,AS2:AS1334)&gt;1),1,"")))</f>
        <v/>
      </c>
      <c r="AW306" s="387">
        <f>SUMIF(C2:C1334,C306,O2:O1334)</f>
        <v>2</v>
      </c>
      <c r="AX306" s="387">
        <f>IF(AND(M306="F",AS306&lt;&gt;0),SUMIF(C2:C1334,C306,W2:W1334),0)</f>
        <v>0</v>
      </c>
      <c r="AY306" s="387" t="str">
        <f t="shared" si="205"/>
        <v/>
      </c>
      <c r="AZ306" s="387" t="str">
        <f t="shared" si="206"/>
        <v/>
      </c>
      <c r="BA306" s="387">
        <f t="shared" si="207"/>
        <v>0</v>
      </c>
      <c r="BB306" s="387">
        <f t="shared" si="176"/>
        <v>0</v>
      </c>
      <c r="BC306" s="387">
        <f t="shared" si="177"/>
        <v>0</v>
      </c>
      <c r="BD306" s="387">
        <f t="shared" si="178"/>
        <v>0</v>
      </c>
      <c r="BE306" s="387">
        <f t="shared" si="179"/>
        <v>0</v>
      </c>
      <c r="BF306" s="387">
        <f t="shared" si="180"/>
        <v>0</v>
      </c>
      <c r="BG306" s="387">
        <f t="shared" si="181"/>
        <v>0</v>
      </c>
      <c r="BH306" s="387">
        <f t="shared" si="182"/>
        <v>0</v>
      </c>
      <c r="BI306" s="387">
        <f t="shared" si="183"/>
        <v>0</v>
      </c>
      <c r="BJ306" s="387">
        <f t="shared" si="184"/>
        <v>0</v>
      </c>
      <c r="BK306" s="387">
        <f t="shared" si="185"/>
        <v>0</v>
      </c>
      <c r="BL306" s="387">
        <f t="shared" si="208"/>
        <v>0</v>
      </c>
      <c r="BM306" s="387">
        <f t="shared" si="209"/>
        <v>0</v>
      </c>
      <c r="BN306" s="387">
        <f t="shared" si="186"/>
        <v>0</v>
      </c>
      <c r="BO306" s="387">
        <f t="shared" si="187"/>
        <v>0</v>
      </c>
      <c r="BP306" s="387">
        <f t="shared" si="188"/>
        <v>0</v>
      </c>
      <c r="BQ306" s="387">
        <f t="shared" si="189"/>
        <v>0</v>
      </c>
      <c r="BR306" s="387">
        <f t="shared" si="190"/>
        <v>0</v>
      </c>
      <c r="BS306" s="387">
        <f t="shared" si="191"/>
        <v>0</v>
      </c>
      <c r="BT306" s="387">
        <f t="shared" si="192"/>
        <v>0</v>
      </c>
      <c r="BU306" s="387">
        <f t="shared" si="193"/>
        <v>0</v>
      </c>
      <c r="BV306" s="387">
        <f t="shared" si="194"/>
        <v>0</v>
      </c>
      <c r="BW306" s="387">
        <f t="shared" si="195"/>
        <v>0</v>
      </c>
      <c r="BX306" s="387">
        <f t="shared" si="210"/>
        <v>0</v>
      </c>
      <c r="BY306" s="387">
        <f t="shared" si="211"/>
        <v>0</v>
      </c>
      <c r="BZ306" s="387">
        <f t="shared" si="212"/>
        <v>0</v>
      </c>
      <c r="CA306" s="387">
        <f t="shared" si="213"/>
        <v>0</v>
      </c>
      <c r="CB306" s="387">
        <f t="shared" si="214"/>
        <v>0</v>
      </c>
      <c r="CC306" s="387">
        <f t="shared" si="196"/>
        <v>0</v>
      </c>
      <c r="CD306" s="387">
        <f t="shared" si="197"/>
        <v>0</v>
      </c>
      <c r="CE306" s="387">
        <f t="shared" si="198"/>
        <v>0</v>
      </c>
      <c r="CF306" s="387">
        <f t="shared" si="199"/>
        <v>0</v>
      </c>
      <c r="CG306" s="387">
        <f t="shared" si="200"/>
        <v>0</v>
      </c>
      <c r="CH306" s="387">
        <f t="shared" si="201"/>
        <v>0</v>
      </c>
      <c r="CI306" s="387">
        <f t="shared" si="202"/>
        <v>0</v>
      </c>
      <c r="CJ306" s="387">
        <f t="shared" si="215"/>
        <v>0</v>
      </c>
      <c r="CK306" s="387" t="str">
        <f t="shared" si="216"/>
        <v/>
      </c>
      <c r="CL306" s="387" t="str">
        <f t="shared" si="217"/>
        <v/>
      </c>
      <c r="CM306" s="387" t="str">
        <f t="shared" si="218"/>
        <v/>
      </c>
      <c r="CN306" s="387" t="str">
        <f t="shared" si="219"/>
        <v>0348-31</v>
      </c>
    </row>
    <row r="307" spans="1:92" ht="15.75" thickBot="1" x14ac:dyDescent="0.3">
      <c r="A307" s="376" t="s">
        <v>161</v>
      </c>
      <c r="B307" s="376" t="s">
        <v>162</v>
      </c>
      <c r="C307" s="376" t="s">
        <v>844</v>
      </c>
      <c r="D307" s="376" t="s">
        <v>786</v>
      </c>
      <c r="E307" s="376" t="s">
        <v>224</v>
      </c>
      <c r="F307" s="382" t="s">
        <v>225</v>
      </c>
      <c r="G307" s="376" t="s">
        <v>781</v>
      </c>
      <c r="H307" s="378"/>
      <c r="I307" s="378"/>
      <c r="J307" s="376" t="s">
        <v>239</v>
      </c>
      <c r="K307" s="376" t="s">
        <v>787</v>
      </c>
      <c r="L307" s="376" t="s">
        <v>181</v>
      </c>
      <c r="M307" s="376" t="s">
        <v>171</v>
      </c>
      <c r="N307" s="376" t="s">
        <v>172</v>
      </c>
      <c r="O307" s="379">
        <v>1</v>
      </c>
      <c r="P307" s="385">
        <v>0.85</v>
      </c>
      <c r="Q307" s="385">
        <v>0.85</v>
      </c>
      <c r="R307" s="380">
        <v>80</v>
      </c>
      <c r="S307" s="385">
        <v>0.85</v>
      </c>
      <c r="T307" s="380">
        <v>64743.75</v>
      </c>
      <c r="U307" s="380">
        <v>0</v>
      </c>
      <c r="V307" s="380">
        <v>24312.43</v>
      </c>
      <c r="W307" s="380">
        <v>64443.6</v>
      </c>
      <c r="X307" s="380">
        <v>23838.41</v>
      </c>
      <c r="Y307" s="380">
        <v>64443.6</v>
      </c>
      <c r="Z307" s="380">
        <v>23567.75</v>
      </c>
      <c r="AA307" s="376" t="s">
        <v>845</v>
      </c>
      <c r="AB307" s="376" t="s">
        <v>846</v>
      </c>
      <c r="AC307" s="376" t="s">
        <v>847</v>
      </c>
      <c r="AD307" s="376" t="s">
        <v>178</v>
      </c>
      <c r="AE307" s="376" t="s">
        <v>787</v>
      </c>
      <c r="AF307" s="376" t="s">
        <v>211</v>
      </c>
      <c r="AG307" s="376" t="s">
        <v>178</v>
      </c>
      <c r="AH307" s="381">
        <v>36.450000000000003</v>
      </c>
      <c r="AI307" s="379">
        <v>51107</v>
      </c>
      <c r="AJ307" s="376" t="s">
        <v>179</v>
      </c>
      <c r="AK307" s="376" t="s">
        <v>180</v>
      </c>
      <c r="AL307" s="376" t="s">
        <v>181</v>
      </c>
      <c r="AM307" s="376" t="s">
        <v>182</v>
      </c>
      <c r="AN307" s="376" t="s">
        <v>68</v>
      </c>
      <c r="AO307" s="379">
        <v>80</v>
      </c>
      <c r="AP307" s="385">
        <v>1</v>
      </c>
      <c r="AQ307" s="385">
        <v>0.85</v>
      </c>
      <c r="AR307" s="383" t="s">
        <v>183</v>
      </c>
      <c r="AS307" s="387">
        <f t="shared" si="203"/>
        <v>0.85</v>
      </c>
      <c r="AT307">
        <f t="shared" si="204"/>
        <v>1</v>
      </c>
      <c r="AU307" s="387">
        <f>IF(AT307=0,"",IF(AND(AT307=1,M307="F",SUMIF(C2:C1334,C307,AS2:AS1334)&lt;=1),SUMIF(C2:C1334,C307,AS2:AS1334),IF(AND(AT307=1,M307="F",SUMIF(C2:C1334,C307,AS2:AS1334)&gt;1),1,"")))</f>
        <v>1</v>
      </c>
      <c r="AV307" s="387" t="str">
        <f>IF(AT307=0,"",IF(AND(AT307=3,M307="F",SUMIF(C2:C1334,C307,AS2:AS1334)&lt;=1),SUMIF(C2:C1334,C307,AS2:AS1334),IF(AND(AT307=3,M307="F",SUMIF(C2:C1334,C307,AS2:AS1334)&gt;1),1,"")))</f>
        <v/>
      </c>
      <c r="AW307" s="387">
        <f>SUMIF(C2:C1334,C307,O2:O1334)</f>
        <v>4</v>
      </c>
      <c r="AX307" s="387">
        <f>IF(AND(M307="F",AS307&lt;&gt;0),SUMIF(C2:C1334,C307,W2:W1334),0)</f>
        <v>75816</v>
      </c>
      <c r="AY307" s="387">
        <f t="shared" si="205"/>
        <v>64443.6</v>
      </c>
      <c r="AZ307" s="387" t="str">
        <f t="shared" si="206"/>
        <v/>
      </c>
      <c r="BA307" s="387">
        <f t="shared" si="207"/>
        <v>0</v>
      </c>
      <c r="BB307" s="387">
        <f t="shared" si="176"/>
        <v>9902.5</v>
      </c>
      <c r="BC307" s="387">
        <f t="shared" si="177"/>
        <v>0</v>
      </c>
      <c r="BD307" s="387">
        <f t="shared" si="178"/>
        <v>3995.5032000000001</v>
      </c>
      <c r="BE307" s="387">
        <f t="shared" si="179"/>
        <v>934.43220000000008</v>
      </c>
      <c r="BF307" s="387">
        <f t="shared" si="180"/>
        <v>7694.5658400000002</v>
      </c>
      <c r="BG307" s="387">
        <f t="shared" si="181"/>
        <v>464.63835599999999</v>
      </c>
      <c r="BH307" s="387">
        <f t="shared" si="182"/>
        <v>315.77364</v>
      </c>
      <c r="BI307" s="387">
        <f t="shared" si="183"/>
        <v>356.69532599999997</v>
      </c>
      <c r="BJ307" s="387">
        <f t="shared" si="184"/>
        <v>173.99772000000002</v>
      </c>
      <c r="BK307" s="387">
        <f t="shared" si="185"/>
        <v>0</v>
      </c>
      <c r="BL307" s="387">
        <f t="shared" si="208"/>
        <v>13935.606281999999</v>
      </c>
      <c r="BM307" s="387">
        <f t="shared" si="209"/>
        <v>0</v>
      </c>
      <c r="BN307" s="387">
        <f t="shared" si="186"/>
        <v>9902.5</v>
      </c>
      <c r="BO307" s="387">
        <f t="shared" si="187"/>
        <v>0</v>
      </c>
      <c r="BP307" s="387">
        <f t="shared" si="188"/>
        <v>3995.5032000000001</v>
      </c>
      <c r="BQ307" s="387">
        <f t="shared" si="189"/>
        <v>934.43220000000008</v>
      </c>
      <c r="BR307" s="387">
        <f t="shared" si="190"/>
        <v>7694.5658400000002</v>
      </c>
      <c r="BS307" s="387">
        <f t="shared" si="191"/>
        <v>464.63835599999999</v>
      </c>
      <c r="BT307" s="387">
        <f t="shared" si="192"/>
        <v>0</v>
      </c>
      <c r="BU307" s="387">
        <f t="shared" si="193"/>
        <v>356.69532599999997</v>
      </c>
      <c r="BV307" s="387">
        <f t="shared" si="194"/>
        <v>219.10824</v>
      </c>
      <c r="BW307" s="387">
        <f t="shared" si="195"/>
        <v>0</v>
      </c>
      <c r="BX307" s="387">
        <f t="shared" si="210"/>
        <v>13664.943162</v>
      </c>
      <c r="BY307" s="387">
        <f t="shared" si="211"/>
        <v>0</v>
      </c>
      <c r="BZ307" s="387">
        <f t="shared" si="212"/>
        <v>0</v>
      </c>
      <c r="CA307" s="387">
        <f t="shared" si="213"/>
        <v>0</v>
      </c>
      <c r="CB307" s="387">
        <f t="shared" si="214"/>
        <v>0</v>
      </c>
      <c r="CC307" s="387">
        <f t="shared" si="196"/>
        <v>0</v>
      </c>
      <c r="CD307" s="387">
        <f t="shared" si="197"/>
        <v>0</v>
      </c>
      <c r="CE307" s="387">
        <f t="shared" si="198"/>
        <v>0</v>
      </c>
      <c r="CF307" s="387">
        <f t="shared" si="199"/>
        <v>-315.77364</v>
      </c>
      <c r="CG307" s="387">
        <f t="shared" si="200"/>
        <v>0</v>
      </c>
      <c r="CH307" s="387">
        <f t="shared" si="201"/>
        <v>45.11051999999998</v>
      </c>
      <c r="CI307" s="387">
        <f t="shared" si="202"/>
        <v>0</v>
      </c>
      <c r="CJ307" s="387">
        <f t="shared" si="215"/>
        <v>-270.66312000000005</v>
      </c>
      <c r="CK307" s="387" t="str">
        <f t="shared" si="216"/>
        <v/>
      </c>
      <c r="CL307" s="387" t="str">
        <f t="shared" si="217"/>
        <v/>
      </c>
      <c r="CM307" s="387" t="str">
        <f t="shared" si="218"/>
        <v/>
      </c>
      <c r="CN307" s="387" t="str">
        <f t="shared" si="219"/>
        <v>0348-31</v>
      </c>
    </row>
    <row r="308" spans="1:92" ht="15.75" thickBot="1" x14ac:dyDescent="0.3">
      <c r="A308" s="376" t="s">
        <v>161</v>
      </c>
      <c r="B308" s="376" t="s">
        <v>162</v>
      </c>
      <c r="C308" s="376" t="s">
        <v>1103</v>
      </c>
      <c r="D308" s="376" t="s">
        <v>862</v>
      </c>
      <c r="E308" s="376" t="s">
        <v>224</v>
      </c>
      <c r="F308" s="382" t="s">
        <v>225</v>
      </c>
      <c r="G308" s="376" t="s">
        <v>781</v>
      </c>
      <c r="H308" s="378"/>
      <c r="I308" s="378"/>
      <c r="J308" s="376" t="s">
        <v>239</v>
      </c>
      <c r="K308" s="376" t="s">
        <v>863</v>
      </c>
      <c r="L308" s="376" t="s">
        <v>252</v>
      </c>
      <c r="M308" s="376" t="s">
        <v>171</v>
      </c>
      <c r="N308" s="376" t="s">
        <v>172</v>
      </c>
      <c r="O308" s="379">
        <v>1</v>
      </c>
      <c r="P308" s="385">
        <v>0.7</v>
      </c>
      <c r="Q308" s="385">
        <v>0.7</v>
      </c>
      <c r="R308" s="380">
        <v>80</v>
      </c>
      <c r="S308" s="385">
        <v>0.7</v>
      </c>
      <c r="T308" s="380">
        <v>18419.66</v>
      </c>
      <c r="U308" s="380">
        <v>0</v>
      </c>
      <c r="V308" s="380">
        <v>9537.2099999999991</v>
      </c>
      <c r="W308" s="380">
        <v>26936</v>
      </c>
      <c r="X308" s="380">
        <v>13979.89</v>
      </c>
      <c r="Y308" s="380">
        <v>26936</v>
      </c>
      <c r="Z308" s="380">
        <v>13866.76</v>
      </c>
      <c r="AA308" s="376" t="s">
        <v>1104</v>
      </c>
      <c r="AB308" s="376" t="s">
        <v>1105</v>
      </c>
      <c r="AC308" s="376" t="s">
        <v>1106</v>
      </c>
      <c r="AD308" s="376" t="s">
        <v>820</v>
      </c>
      <c r="AE308" s="376" t="s">
        <v>863</v>
      </c>
      <c r="AF308" s="376" t="s">
        <v>393</v>
      </c>
      <c r="AG308" s="376" t="s">
        <v>178</v>
      </c>
      <c r="AH308" s="381">
        <v>18.5</v>
      </c>
      <c r="AI308" s="379">
        <v>1200</v>
      </c>
      <c r="AJ308" s="376" t="s">
        <v>179</v>
      </c>
      <c r="AK308" s="376" t="s">
        <v>180</v>
      </c>
      <c r="AL308" s="376" t="s">
        <v>181</v>
      </c>
      <c r="AM308" s="376" t="s">
        <v>182</v>
      </c>
      <c r="AN308" s="376" t="s">
        <v>68</v>
      </c>
      <c r="AO308" s="379">
        <v>80</v>
      </c>
      <c r="AP308" s="385">
        <v>1</v>
      </c>
      <c r="AQ308" s="385">
        <v>0.7</v>
      </c>
      <c r="AR308" s="383" t="s">
        <v>183</v>
      </c>
      <c r="AS308" s="387">
        <f t="shared" si="203"/>
        <v>0.7</v>
      </c>
      <c r="AT308">
        <f t="shared" si="204"/>
        <v>1</v>
      </c>
      <c r="AU308" s="387">
        <f>IF(AT308=0,"",IF(AND(AT308=1,M308="F",SUMIF(C2:C1334,C308,AS2:AS1334)&lt;=1),SUMIF(C2:C1334,C308,AS2:AS1334),IF(AND(AT308=1,M308="F",SUMIF(C2:C1334,C308,AS2:AS1334)&gt;1),1,"")))</f>
        <v>1</v>
      </c>
      <c r="AV308" s="387" t="str">
        <f>IF(AT308=0,"",IF(AND(AT308=3,M308="F",SUMIF(C2:C1334,C308,AS2:AS1334)&lt;=1),SUMIF(C2:C1334,C308,AS2:AS1334),IF(AND(AT308=3,M308="F",SUMIF(C2:C1334,C308,AS2:AS1334)&gt;1),1,"")))</f>
        <v/>
      </c>
      <c r="AW308" s="387">
        <f>SUMIF(C2:C1334,C308,O2:O1334)</f>
        <v>3</v>
      </c>
      <c r="AX308" s="387">
        <f>IF(AND(M308="F",AS308&lt;&gt;0),SUMIF(C2:C1334,C308,W2:W1334),0)</f>
        <v>38480</v>
      </c>
      <c r="AY308" s="387">
        <f t="shared" si="205"/>
        <v>26936</v>
      </c>
      <c r="AZ308" s="387" t="str">
        <f t="shared" si="206"/>
        <v/>
      </c>
      <c r="BA308" s="387">
        <f t="shared" si="207"/>
        <v>0</v>
      </c>
      <c r="BB308" s="387">
        <f t="shared" si="176"/>
        <v>8154.9999999999991</v>
      </c>
      <c r="BC308" s="387">
        <f t="shared" si="177"/>
        <v>0</v>
      </c>
      <c r="BD308" s="387">
        <f t="shared" si="178"/>
        <v>1670.0319999999999</v>
      </c>
      <c r="BE308" s="387">
        <f t="shared" si="179"/>
        <v>390.572</v>
      </c>
      <c r="BF308" s="387">
        <f t="shared" si="180"/>
        <v>3216.1584000000003</v>
      </c>
      <c r="BG308" s="387">
        <f t="shared" si="181"/>
        <v>194.20856000000001</v>
      </c>
      <c r="BH308" s="387">
        <f t="shared" si="182"/>
        <v>131.9864</v>
      </c>
      <c r="BI308" s="387">
        <f t="shared" si="183"/>
        <v>149.09075999999999</v>
      </c>
      <c r="BJ308" s="387">
        <f t="shared" si="184"/>
        <v>72.727200000000011</v>
      </c>
      <c r="BK308" s="387">
        <f t="shared" si="185"/>
        <v>0</v>
      </c>
      <c r="BL308" s="387">
        <f t="shared" si="208"/>
        <v>5824.7753199999997</v>
      </c>
      <c r="BM308" s="387">
        <f t="shared" si="209"/>
        <v>0</v>
      </c>
      <c r="BN308" s="387">
        <f t="shared" si="186"/>
        <v>8154.9999999999991</v>
      </c>
      <c r="BO308" s="387">
        <f t="shared" si="187"/>
        <v>0</v>
      </c>
      <c r="BP308" s="387">
        <f t="shared" si="188"/>
        <v>1670.0319999999999</v>
      </c>
      <c r="BQ308" s="387">
        <f t="shared" si="189"/>
        <v>390.572</v>
      </c>
      <c r="BR308" s="387">
        <f t="shared" si="190"/>
        <v>3216.1584000000003</v>
      </c>
      <c r="BS308" s="387">
        <f t="shared" si="191"/>
        <v>194.20856000000001</v>
      </c>
      <c r="BT308" s="387">
        <f t="shared" si="192"/>
        <v>0</v>
      </c>
      <c r="BU308" s="387">
        <f t="shared" si="193"/>
        <v>149.09075999999999</v>
      </c>
      <c r="BV308" s="387">
        <f t="shared" si="194"/>
        <v>91.582399999999993</v>
      </c>
      <c r="BW308" s="387">
        <f t="shared" si="195"/>
        <v>0</v>
      </c>
      <c r="BX308" s="387">
        <f t="shared" si="210"/>
        <v>5711.6441199999999</v>
      </c>
      <c r="BY308" s="387">
        <f t="shared" si="211"/>
        <v>0</v>
      </c>
      <c r="BZ308" s="387">
        <f t="shared" si="212"/>
        <v>0</v>
      </c>
      <c r="CA308" s="387">
        <f t="shared" si="213"/>
        <v>0</v>
      </c>
      <c r="CB308" s="387">
        <f t="shared" si="214"/>
        <v>0</v>
      </c>
      <c r="CC308" s="387">
        <f t="shared" si="196"/>
        <v>0</v>
      </c>
      <c r="CD308" s="387">
        <f t="shared" si="197"/>
        <v>0</v>
      </c>
      <c r="CE308" s="387">
        <f t="shared" si="198"/>
        <v>0</v>
      </c>
      <c r="CF308" s="387">
        <f t="shared" si="199"/>
        <v>-131.9864</v>
      </c>
      <c r="CG308" s="387">
        <f t="shared" si="200"/>
        <v>0</v>
      </c>
      <c r="CH308" s="387">
        <f t="shared" si="201"/>
        <v>18.855199999999989</v>
      </c>
      <c r="CI308" s="387">
        <f t="shared" si="202"/>
        <v>0</v>
      </c>
      <c r="CJ308" s="387">
        <f t="shared" si="215"/>
        <v>-113.13120000000001</v>
      </c>
      <c r="CK308" s="387" t="str">
        <f t="shared" si="216"/>
        <v/>
      </c>
      <c r="CL308" s="387" t="str">
        <f t="shared" si="217"/>
        <v/>
      </c>
      <c r="CM308" s="387" t="str">
        <f t="shared" si="218"/>
        <v/>
      </c>
      <c r="CN308" s="387" t="str">
        <f t="shared" si="219"/>
        <v>0348-31</v>
      </c>
    </row>
    <row r="309" spans="1:92" ht="15.75" thickBot="1" x14ac:dyDescent="0.3">
      <c r="A309" s="376" t="s">
        <v>161</v>
      </c>
      <c r="B309" s="376" t="s">
        <v>162</v>
      </c>
      <c r="C309" s="376" t="s">
        <v>1107</v>
      </c>
      <c r="D309" s="376" t="s">
        <v>992</v>
      </c>
      <c r="E309" s="376" t="s">
        <v>224</v>
      </c>
      <c r="F309" s="382" t="s">
        <v>225</v>
      </c>
      <c r="G309" s="376" t="s">
        <v>781</v>
      </c>
      <c r="H309" s="378"/>
      <c r="I309" s="378"/>
      <c r="J309" s="376" t="s">
        <v>215</v>
      </c>
      <c r="K309" s="376" t="s">
        <v>993</v>
      </c>
      <c r="L309" s="376" t="s">
        <v>210</v>
      </c>
      <c r="M309" s="376" t="s">
        <v>171</v>
      </c>
      <c r="N309" s="376" t="s">
        <v>172</v>
      </c>
      <c r="O309" s="379">
        <v>1</v>
      </c>
      <c r="P309" s="385">
        <v>0</v>
      </c>
      <c r="Q309" s="385">
        <v>0</v>
      </c>
      <c r="R309" s="380">
        <v>80</v>
      </c>
      <c r="S309" s="385">
        <v>0</v>
      </c>
      <c r="T309" s="380">
        <v>66844.800000000003</v>
      </c>
      <c r="U309" s="380">
        <v>0</v>
      </c>
      <c r="V309" s="380">
        <v>25573.24</v>
      </c>
      <c r="W309" s="380">
        <v>0</v>
      </c>
      <c r="X309" s="380">
        <v>0</v>
      </c>
      <c r="Y309" s="380">
        <v>0</v>
      </c>
      <c r="Z309" s="380">
        <v>0</v>
      </c>
      <c r="AA309" s="376" t="s">
        <v>1108</v>
      </c>
      <c r="AB309" s="376" t="s">
        <v>1109</v>
      </c>
      <c r="AC309" s="376" t="s">
        <v>1110</v>
      </c>
      <c r="AD309" s="376" t="s">
        <v>317</v>
      </c>
      <c r="AE309" s="376" t="s">
        <v>993</v>
      </c>
      <c r="AF309" s="376" t="s">
        <v>245</v>
      </c>
      <c r="AG309" s="376" t="s">
        <v>178</v>
      </c>
      <c r="AH309" s="381">
        <v>33.340000000000003</v>
      </c>
      <c r="AI309" s="381">
        <v>45312.9</v>
      </c>
      <c r="AJ309" s="376" t="s">
        <v>179</v>
      </c>
      <c r="AK309" s="376" t="s">
        <v>180</v>
      </c>
      <c r="AL309" s="376" t="s">
        <v>181</v>
      </c>
      <c r="AM309" s="376" t="s">
        <v>182</v>
      </c>
      <c r="AN309" s="376" t="s">
        <v>68</v>
      </c>
      <c r="AO309" s="379">
        <v>80</v>
      </c>
      <c r="AP309" s="385">
        <v>1</v>
      </c>
      <c r="AQ309" s="385">
        <v>0</v>
      </c>
      <c r="AR309" s="383" t="s">
        <v>183</v>
      </c>
      <c r="AS309" s="387">
        <f t="shared" si="203"/>
        <v>0</v>
      </c>
      <c r="AT309">
        <f t="shared" si="204"/>
        <v>0</v>
      </c>
      <c r="AU309" s="387" t="str">
        <f>IF(AT309=0,"",IF(AND(AT309=1,M309="F",SUMIF(C2:C1334,C309,AS2:AS1334)&lt;=1),SUMIF(C2:C1334,C309,AS2:AS1334),IF(AND(AT309=1,M309="F",SUMIF(C2:C1334,C309,AS2:AS1334)&gt;1),1,"")))</f>
        <v/>
      </c>
      <c r="AV309" s="387" t="str">
        <f>IF(AT309=0,"",IF(AND(AT309=3,M309="F",SUMIF(C2:C1334,C309,AS2:AS1334)&lt;=1),SUMIF(C2:C1334,C309,AS2:AS1334),IF(AND(AT309=3,M309="F",SUMIF(C2:C1334,C309,AS2:AS1334)&gt;1),1,"")))</f>
        <v/>
      </c>
      <c r="AW309" s="387">
        <f>SUMIF(C2:C1334,C309,O2:O1334)</f>
        <v>2</v>
      </c>
      <c r="AX309" s="387">
        <f>IF(AND(M309="F",AS309&lt;&gt;0),SUMIF(C2:C1334,C309,W2:W1334),0)</f>
        <v>0</v>
      </c>
      <c r="AY309" s="387" t="str">
        <f t="shared" si="205"/>
        <v/>
      </c>
      <c r="AZ309" s="387" t="str">
        <f t="shared" si="206"/>
        <v/>
      </c>
      <c r="BA309" s="387">
        <f t="shared" si="207"/>
        <v>0</v>
      </c>
      <c r="BB309" s="387">
        <f t="shared" si="176"/>
        <v>0</v>
      </c>
      <c r="BC309" s="387">
        <f t="shared" si="177"/>
        <v>0</v>
      </c>
      <c r="BD309" s="387">
        <f t="shared" si="178"/>
        <v>0</v>
      </c>
      <c r="BE309" s="387">
        <f t="shared" si="179"/>
        <v>0</v>
      </c>
      <c r="BF309" s="387">
        <f t="shared" si="180"/>
        <v>0</v>
      </c>
      <c r="BG309" s="387">
        <f t="shared" si="181"/>
        <v>0</v>
      </c>
      <c r="BH309" s="387">
        <f t="shared" si="182"/>
        <v>0</v>
      </c>
      <c r="BI309" s="387">
        <f t="shared" si="183"/>
        <v>0</v>
      </c>
      <c r="BJ309" s="387">
        <f t="shared" si="184"/>
        <v>0</v>
      </c>
      <c r="BK309" s="387">
        <f t="shared" si="185"/>
        <v>0</v>
      </c>
      <c r="BL309" s="387">
        <f t="shared" si="208"/>
        <v>0</v>
      </c>
      <c r="BM309" s="387">
        <f t="shared" si="209"/>
        <v>0</v>
      </c>
      <c r="BN309" s="387">
        <f t="shared" si="186"/>
        <v>0</v>
      </c>
      <c r="BO309" s="387">
        <f t="shared" si="187"/>
        <v>0</v>
      </c>
      <c r="BP309" s="387">
        <f t="shared" si="188"/>
        <v>0</v>
      </c>
      <c r="BQ309" s="387">
        <f t="shared" si="189"/>
        <v>0</v>
      </c>
      <c r="BR309" s="387">
        <f t="shared" si="190"/>
        <v>0</v>
      </c>
      <c r="BS309" s="387">
        <f t="shared" si="191"/>
        <v>0</v>
      </c>
      <c r="BT309" s="387">
        <f t="shared" si="192"/>
        <v>0</v>
      </c>
      <c r="BU309" s="387">
        <f t="shared" si="193"/>
        <v>0</v>
      </c>
      <c r="BV309" s="387">
        <f t="shared" si="194"/>
        <v>0</v>
      </c>
      <c r="BW309" s="387">
        <f t="shared" si="195"/>
        <v>0</v>
      </c>
      <c r="BX309" s="387">
        <f t="shared" si="210"/>
        <v>0</v>
      </c>
      <c r="BY309" s="387">
        <f t="shared" si="211"/>
        <v>0</v>
      </c>
      <c r="BZ309" s="387">
        <f t="shared" si="212"/>
        <v>0</v>
      </c>
      <c r="CA309" s="387">
        <f t="shared" si="213"/>
        <v>0</v>
      </c>
      <c r="CB309" s="387">
        <f t="shared" si="214"/>
        <v>0</v>
      </c>
      <c r="CC309" s="387">
        <f t="shared" si="196"/>
        <v>0</v>
      </c>
      <c r="CD309" s="387">
        <f t="shared" si="197"/>
        <v>0</v>
      </c>
      <c r="CE309" s="387">
        <f t="shared" si="198"/>
        <v>0</v>
      </c>
      <c r="CF309" s="387">
        <f t="shared" si="199"/>
        <v>0</v>
      </c>
      <c r="CG309" s="387">
        <f t="shared" si="200"/>
        <v>0</v>
      </c>
      <c r="CH309" s="387">
        <f t="shared" si="201"/>
        <v>0</v>
      </c>
      <c r="CI309" s="387">
        <f t="shared" si="202"/>
        <v>0</v>
      </c>
      <c r="CJ309" s="387">
        <f t="shared" si="215"/>
        <v>0</v>
      </c>
      <c r="CK309" s="387" t="str">
        <f t="shared" si="216"/>
        <v/>
      </c>
      <c r="CL309" s="387" t="str">
        <f t="shared" si="217"/>
        <v/>
      </c>
      <c r="CM309" s="387" t="str">
        <f t="shared" si="218"/>
        <v/>
      </c>
      <c r="CN309" s="387" t="str">
        <f t="shared" si="219"/>
        <v>0348-31</v>
      </c>
    </row>
    <row r="310" spans="1:92" ht="15.75" thickBot="1" x14ac:dyDescent="0.3">
      <c r="A310" s="376" t="s">
        <v>161</v>
      </c>
      <c r="B310" s="376" t="s">
        <v>162</v>
      </c>
      <c r="C310" s="376" t="s">
        <v>1111</v>
      </c>
      <c r="D310" s="376" t="s">
        <v>556</v>
      </c>
      <c r="E310" s="376" t="s">
        <v>224</v>
      </c>
      <c r="F310" s="382" t="s">
        <v>225</v>
      </c>
      <c r="G310" s="376" t="s">
        <v>781</v>
      </c>
      <c r="H310" s="378"/>
      <c r="I310" s="378"/>
      <c r="J310" s="376" t="s">
        <v>239</v>
      </c>
      <c r="K310" s="376" t="s">
        <v>557</v>
      </c>
      <c r="L310" s="376" t="s">
        <v>406</v>
      </c>
      <c r="M310" s="376" t="s">
        <v>566</v>
      </c>
      <c r="N310" s="376" t="s">
        <v>1112</v>
      </c>
      <c r="O310" s="379">
        <v>0</v>
      </c>
      <c r="P310" s="385">
        <v>0</v>
      </c>
      <c r="Q310" s="385">
        <v>0</v>
      </c>
      <c r="R310" s="380">
        <v>80</v>
      </c>
      <c r="S310" s="385">
        <v>0</v>
      </c>
      <c r="T310" s="380">
        <v>4237.2700000000004</v>
      </c>
      <c r="U310" s="380">
        <v>0</v>
      </c>
      <c r="V310" s="380">
        <v>384.36</v>
      </c>
      <c r="W310" s="380">
        <v>0</v>
      </c>
      <c r="X310" s="380">
        <v>0</v>
      </c>
      <c r="Y310" s="380">
        <v>0</v>
      </c>
      <c r="Z310" s="380">
        <v>0</v>
      </c>
      <c r="AA310" s="378"/>
      <c r="AB310" s="376" t="s">
        <v>45</v>
      </c>
      <c r="AC310" s="376" t="s">
        <v>45</v>
      </c>
      <c r="AD310" s="378"/>
      <c r="AE310" s="378"/>
      <c r="AF310" s="378"/>
      <c r="AG310" s="378"/>
      <c r="AH310" s="379">
        <v>0</v>
      </c>
      <c r="AI310" s="379">
        <v>0</v>
      </c>
      <c r="AJ310" s="378"/>
      <c r="AK310" s="378"/>
      <c r="AL310" s="376" t="s">
        <v>181</v>
      </c>
      <c r="AM310" s="378"/>
      <c r="AN310" s="378"/>
      <c r="AO310" s="379">
        <v>0</v>
      </c>
      <c r="AP310" s="385">
        <v>0</v>
      </c>
      <c r="AQ310" s="385">
        <v>0</v>
      </c>
      <c r="AR310" s="384"/>
      <c r="AS310" s="387">
        <f t="shared" si="203"/>
        <v>0</v>
      </c>
      <c r="AT310">
        <f t="shared" si="204"/>
        <v>0</v>
      </c>
      <c r="AU310" s="387" t="str">
        <f>IF(AT310=0,"",IF(AND(AT310=1,M310="F",SUMIF(C2:C1334,C310,AS2:AS1334)&lt;=1),SUMIF(C2:C1334,C310,AS2:AS1334),IF(AND(AT310=1,M310="F",SUMIF(C2:C1334,C310,AS2:AS1334)&gt;1),1,"")))</f>
        <v/>
      </c>
      <c r="AV310" s="387" t="str">
        <f>IF(AT310=0,"",IF(AND(AT310=3,M310="F",SUMIF(C2:C1334,C310,AS2:AS1334)&lt;=1),SUMIF(C2:C1334,C310,AS2:AS1334),IF(AND(AT310=3,M310="F",SUMIF(C2:C1334,C310,AS2:AS1334)&gt;1),1,"")))</f>
        <v/>
      </c>
      <c r="AW310" s="387">
        <f>SUMIF(C2:C1334,C310,O2:O1334)</f>
        <v>0</v>
      </c>
      <c r="AX310" s="387">
        <f>IF(AND(M310="F",AS310&lt;&gt;0),SUMIF(C2:C1334,C310,W2:W1334),0)</f>
        <v>0</v>
      </c>
      <c r="AY310" s="387" t="str">
        <f t="shared" si="205"/>
        <v/>
      </c>
      <c r="AZ310" s="387" t="str">
        <f t="shared" si="206"/>
        <v/>
      </c>
      <c r="BA310" s="387">
        <f t="shared" si="207"/>
        <v>0</v>
      </c>
      <c r="BB310" s="387">
        <f t="shared" si="176"/>
        <v>0</v>
      </c>
      <c r="BC310" s="387">
        <f t="shared" si="177"/>
        <v>0</v>
      </c>
      <c r="BD310" s="387">
        <f t="shared" si="178"/>
        <v>0</v>
      </c>
      <c r="BE310" s="387">
        <f t="shared" si="179"/>
        <v>0</v>
      </c>
      <c r="BF310" s="387">
        <f t="shared" si="180"/>
        <v>0</v>
      </c>
      <c r="BG310" s="387">
        <f t="shared" si="181"/>
        <v>0</v>
      </c>
      <c r="BH310" s="387">
        <f t="shared" si="182"/>
        <v>0</v>
      </c>
      <c r="BI310" s="387">
        <f t="shared" si="183"/>
        <v>0</v>
      </c>
      <c r="BJ310" s="387">
        <f t="shared" si="184"/>
        <v>0</v>
      </c>
      <c r="BK310" s="387">
        <f t="shared" si="185"/>
        <v>0</v>
      </c>
      <c r="BL310" s="387">
        <f t="shared" si="208"/>
        <v>0</v>
      </c>
      <c r="BM310" s="387">
        <f t="shared" si="209"/>
        <v>0</v>
      </c>
      <c r="BN310" s="387">
        <f t="shared" si="186"/>
        <v>0</v>
      </c>
      <c r="BO310" s="387">
        <f t="shared" si="187"/>
        <v>0</v>
      </c>
      <c r="BP310" s="387">
        <f t="shared" si="188"/>
        <v>0</v>
      </c>
      <c r="BQ310" s="387">
        <f t="shared" si="189"/>
        <v>0</v>
      </c>
      <c r="BR310" s="387">
        <f t="shared" si="190"/>
        <v>0</v>
      </c>
      <c r="BS310" s="387">
        <f t="shared" si="191"/>
        <v>0</v>
      </c>
      <c r="BT310" s="387">
        <f t="shared" si="192"/>
        <v>0</v>
      </c>
      <c r="BU310" s="387">
        <f t="shared" si="193"/>
        <v>0</v>
      </c>
      <c r="BV310" s="387">
        <f t="shared" si="194"/>
        <v>0</v>
      </c>
      <c r="BW310" s="387">
        <f t="shared" si="195"/>
        <v>0</v>
      </c>
      <c r="BX310" s="387">
        <f t="shared" si="210"/>
        <v>0</v>
      </c>
      <c r="BY310" s="387">
        <f t="shared" si="211"/>
        <v>0</v>
      </c>
      <c r="BZ310" s="387">
        <f t="shared" si="212"/>
        <v>0</v>
      </c>
      <c r="CA310" s="387">
        <f t="shared" si="213"/>
        <v>0</v>
      </c>
      <c r="CB310" s="387">
        <f t="shared" si="214"/>
        <v>0</v>
      </c>
      <c r="CC310" s="387">
        <f t="shared" si="196"/>
        <v>0</v>
      </c>
      <c r="CD310" s="387">
        <f t="shared" si="197"/>
        <v>0</v>
      </c>
      <c r="CE310" s="387">
        <f t="shared" si="198"/>
        <v>0</v>
      </c>
      <c r="CF310" s="387">
        <f t="shared" si="199"/>
        <v>0</v>
      </c>
      <c r="CG310" s="387">
        <f t="shared" si="200"/>
        <v>0</v>
      </c>
      <c r="CH310" s="387">
        <f t="shared" si="201"/>
        <v>0</v>
      </c>
      <c r="CI310" s="387">
        <f t="shared" si="202"/>
        <v>0</v>
      </c>
      <c r="CJ310" s="387">
        <f t="shared" si="215"/>
        <v>0</v>
      </c>
      <c r="CK310" s="387" t="str">
        <f t="shared" si="216"/>
        <v/>
      </c>
      <c r="CL310" s="387" t="str">
        <f t="shared" si="217"/>
        <v/>
      </c>
      <c r="CM310" s="387" t="str">
        <f t="shared" si="218"/>
        <v/>
      </c>
      <c r="CN310" s="387" t="str">
        <f t="shared" si="219"/>
        <v>0348-31</v>
      </c>
    </row>
    <row r="311" spans="1:92" ht="15.75" thickBot="1" x14ac:dyDescent="0.3">
      <c r="A311" s="376" t="s">
        <v>161</v>
      </c>
      <c r="B311" s="376" t="s">
        <v>162</v>
      </c>
      <c r="C311" s="376" t="s">
        <v>1113</v>
      </c>
      <c r="D311" s="376" t="s">
        <v>792</v>
      </c>
      <c r="E311" s="376" t="s">
        <v>224</v>
      </c>
      <c r="F311" s="382" t="s">
        <v>225</v>
      </c>
      <c r="G311" s="376" t="s">
        <v>781</v>
      </c>
      <c r="H311" s="378"/>
      <c r="I311" s="378"/>
      <c r="J311" s="376" t="s">
        <v>239</v>
      </c>
      <c r="K311" s="376" t="s">
        <v>793</v>
      </c>
      <c r="L311" s="376" t="s">
        <v>170</v>
      </c>
      <c r="M311" s="376" t="s">
        <v>171</v>
      </c>
      <c r="N311" s="376" t="s">
        <v>172</v>
      </c>
      <c r="O311" s="379">
        <v>1</v>
      </c>
      <c r="P311" s="385">
        <v>0.25</v>
      </c>
      <c r="Q311" s="385">
        <v>0.25</v>
      </c>
      <c r="R311" s="380">
        <v>80</v>
      </c>
      <c r="S311" s="385">
        <v>0.25</v>
      </c>
      <c r="T311" s="380">
        <v>13636.72</v>
      </c>
      <c r="U311" s="380">
        <v>0</v>
      </c>
      <c r="V311" s="380">
        <v>6000.87</v>
      </c>
      <c r="W311" s="380">
        <v>12563.2</v>
      </c>
      <c r="X311" s="380">
        <v>5629.28</v>
      </c>
      <c r="Y311" s="380">
        <v>12563.2</v>
      </c>
      <c r="Z311" s="380">
        <v>5576.52</v>
      </c>
      <c r="AA311" s="376" t="s">
        <v>1114</v>
      </c>
      <c r="AB311" s="376" t="s">
        <v>1115</v>
      </c>
      <c r="AC311" s="376" t="s">
        <v>260</v>
      </c>
      <c r="AD311" s="376" t="s">
        <v>765</v>
      </c>
      <c r="AE311" s="376" t="s">
        <v>793</v>
      </c>
      <c r="AF311" s="376" t="s">
        <v>177</v>
      </c>
      <c r="AG311" s="376" t="s">
        <v>178</v>
      </c>
      <c r="AH311" s="381">
        <v>24.16</v>
      </c>
      <c r="AI311" s="381">
        <v>24144.5</v>
      </c>
      <c r="AJ311" s="376" t="s">
        <v>179</v>
      </c>
      <c r="AK311" s="376" t="s">
        <v>180</v>
      </c>
      <c r="AL311" s="376" t="s">
        <v>181</v>
      </c>
      <c r="AM311" s="376" t="s">
        <v>182</v>
      </c>
      <c r="AN311" s="376" t="s">
        <v>68</v>
      </c>
      <c r="AO311" s="379">
        <v>80</v>
      </c>
      <c r="AP311" s="385">
        <v>1</v>
      </c>
      <c r="AQ311" s="385">
        <v>0.25</v>
      </c>
      <c r="AR311" s="383" t="s">
        <v>183</v>
      </c>
      <c r="AS311" s="387">
        <f t="shared" si="203"/>
        <v>0.25</v>
      </c>
      <c r="AT311">
        <f t="shared" si="204"/>
        <v>1</v>
      </c>
      <c r="AU311" s="387">
        <f>IF(AT311=0,"",IF(AND(AT311=1,M311="F",SUMIF(C2:C1334,C311,AS2:AS1334)&lt;=1),SUMIF(C2:C1334,C311,AS2:AS1334),IF(AND(AT311=1,M311="F",SUMIF(C2:C1334,C311,AS2:AS1334)&gt;1),1,"")))</f>
        <v>1</v>
      </c>
      <c r="AV311" s="387" t="str">
        <f>IF(AT311=0,"",IF(AND(AT311=3,M311="F",SUMIF(C2:C1334,C311,AS2:AS1334)&lt;=1),SUMIF(C2:C1334,C311,AS2:AS1334),IF(AND(AT311=3,M311="F",SUMIF(C2:C1334,C311,AS2:AS1334)&gt;1),1,"")))</f>
        <v/>
      </c>
      <c r="AW311" s="387">
        <f>SUMIF(C2:C1334,C311,O2:O1334)</f>
        <v>3</v>
      </c>
      <c r="AX311" s="387">
        <f>IF(AND(M311="F",AS311&lt;&gt;0),SUMIF(C2:C1334,C311,W2:W1334),0)</f>
        <v>50252.800000000003</v>
      </c>
      <c r="AY311" s="387">
        <f t="shared" si="205"/>
        <v>12563.2</v>
      </c>
      <c r="AZ311" s="387" t="str">
        <f t="shared" si="206"/>
        <v/>
      </c>
      <c r="BA311" s="387">
        <f t="shared" si="207"/>
        <v>0</v>
      </c>
      <c r="BB311" s="387">
        <f t="shared" si="176"/>
        <v>2912.5</v>
      </c>
      <c r="BC311" s="387">
        <f t="shared" si="177"/>
        <v>0</v>
      </c>
      <c r="BD311" s="387">
        <f t="shared" si="178"/>
        <v>778.91840000000002</v>
      </c>
      <c r="BE311" s="387">
        <f t="shared" si="179"/>
        <v>182.16640000000001</v>
      </c>
      <c r="BF311" s="387">
        <f t="shared" si="180"/>
        <v>1500.0460800000001</v>
      </c>
      <c r="BG311" s="387">
        <f t="shared" si="181"/>
        <v>90.580672000000007</v>
      </c>
      <c r="BH311" s="387">
        <f t="shared" si="182"/>
        <v>61.55968</v>
      </c>
      <c r="BI311" s="387">
        <f t="shared" si="183"/>
        <v>69.537312</v>
      </c>
      <c r="BJ311" s="387">
        <f t="shared" si="184"/>
        <v>33.920640000000006</v>
      </c>
      <c r="BK311" s="387">
        <f t="shared" si="185"/>
        <v>0</v>
      </c>
      <c r="BL311" s="387">
        <f t="shared" si="208"/>
        <v>2716.7291839999998</v>
      </c>
      <c r="BM311" s="387">
        <f t="shared" si="209"/>
        <v>0</v>
      </c>
      <c r="BN311" s="387">
        <f t="shared" si="186"/>
        <v>2912.5</v>
      </c>
      <c r="BO311" s="387">
        <f t="shared" si="187"/>
        <v>0</v>
      </c>
      <c r="BP311" s="387">
        <f t="shared" si="188"/>
        <v>778.91840000000002</v>
      </c>
      <c r="BQ311" s="387">
        <f t="shared" si="189"/>
        <v>182.16640000000001</v>
      </c>
      <c r="BR311" s="387">
        <f t="shared" si="190"/>
        <v>1500.0460800000001</v>
      </c>
      <c r="BS311" s="387">
        <f t="shared" si="191"/>
        <v>90.580672000000007</v>
      </c>
      <c r="BT311" s="387">
        <f t="shared" si="192"/>
        <v>0</v>
      </c>
      <c r="BU311" s="387">
        <f t="shared" si="193"/>
        <v>69.537312</v>
      </c>
      <c r="BV311" s="387">
        <f t="shared" si="194"/>
        <v>42.714880000000001</v>
      </c>
      <c r="BW311" s="387">
        <f t="shared" si="195"/>
        <v>0</v>
      </c>
      <c r="BX311" s="387">
        <f t="shared" si="210"/>
        <v>2663.9637440000001</v>
      </c>
      <c r="BY311" s="387">
        <f t="shared" si="211"/>
        <v>0</v>
      </c>
      <c r="BZ311" s="387">
        <f t="shared" si="212"/>
        <v>0</v>
      </c>
      <c r="CA311" s="387">
        <f t="shared" si="213"/>
        <v>0</v>
      </c>
      <c r="CB311" s="387">
        <f t="shared" si="214"/>
        <v>0</v>
      </c>
      <c r="CC311" s="387">
        <f t="shared" si="196"/>
        <v>0</v>
      </c>
      <c r="CD311" s="387">
        <f t="shared" si="197"/>
        <v>0</v>
      </c>
      <c r="CE311" s="387">
        <f t="shared" si="198"/>
        <v>0</v>
      </c>
      <c r="CF311" s="387">
        <f t="shared" si="199"/>
        <v>-61.55968</v>
      </c>
      <c r="CG311" s="387">
        <f t="shared" si="200"/>
        <v>0</v>
      </c>
      <c r="CH311" s="387">
        <f t="shared" si="201"/>
        <v>8.7942399999999967</v>
      </c>
      <c r="CI311" s="387">
        <f t="shared" si="202"/>
        <v>0</v>
      </c>
      <c r="CJ311" s="387">
        <f t="shared" si="215"/>
        <v>-52.765440000000005</v>
      </c>
      <c r="CK311" s="387" t="str">
        <f t="shared" si="216"/>
        <v/>
      </c>
      <c r="CL311" s="387" t="str">
        <f t="shared" si="217"/>
        <v/>
      </c>
      <c r="CM311" s="387" t="str">
        <f t="shared" si="218"/>
        <v/>
      </c>
      <c r="CN311" s="387" t="str">
        <f t="shared" si="219"/>
        <v>0348-31</v>
      </c>
    </row>
    <row r="312" spans="1:92" ht="15.75" thickBot="1" x14ac:dyDescent="0.3">
      <c r="A312" s="376" t="s">
        <v>161</v>
      </c>
      <c r="B312" s="376" t="s">
        <v>162</v>
      </c>
      <c r="C312" s="376" t="s">
        <v>547</v>
      </c>
      <c r="D312" s="376" t="s">
        <v>238</v>
      </c>
      <c r="E312" s="376" t="s">
        <v>224</v>
      </c>
      <c r="F312" s="382" t="s">
        <v>225</v>
      </c>
      <c r="G312" s="376" t="s">
        <v>781</v>
      </c>
      <c r="H312" s="378"/>
      <c r="I312" s="378"/>
      <c r="J312" s="376" t="s">
        <v>215</v>
      </c>
      <c r="K312" s="376" t="s">
        <v>343</v>
      </c>
      <c r="L312" s="376" t="s">
        <v>296</v>
      </c>
      <c r="M312" s="376" t="s">
        <v>171</v>
      </c>
      <c r="N312" s="376" t="s">
        <v>172</v>
      </c>
      <c r="O312" s="379">
        <v>1</v>
      </c>
      <c r="P312" s="385">
        <v>0</v>
      </c>
      <c r="Q312" s="385">
        <v>0</v>
      </c>
      <c r="R312" s="380">
        <v>80</v>
      </c>
      <c r="S312" s="385">
        <v>0</v>
      </c>
      <c r="T312" s="380">
        <v>47222.67</v>
      </c>
      <c r="U312" s="380">
        <v>0</v>
      </c>
      <c r="V312" s="380">
        <v>20462.689999999999</v>
      </c>
      <c r="W312" s="380">
        <v>0</v>
      </c>
      <c r="X312" s="380">
        <v>0</v>
      </c>
      <c r="Y312" s="380">
        <v>0</v>
      </c>
      <c r="Z312" s="380">
        <v>0</v>
      </c>
      <c r="AA312" s="376" t="s">
        <v>548</v>
      </c>
      <c r="AB312" s="376" t="s">
        <v>549</v>
      </c>
      <c r="AC312" s="376" t="s">
        <v>550</v>
      </c>
      <c r="AD312" s="376" t="s">
        <v>268</v>
      </c>
      <c r="AE312" s="376" t="s">
        <v>343</v>
      </c>
      <c r="AF312" s="376" t="s">
        <v>301</v>
      </c>
      <c r="AG312" s="376" t="s">
        <v>178</v>
      </c>
      <c r="AH312" s="381">
        <v>20.02</v>
      </c>
      <c r="AI312" s="379">
        <v>129</v>
      </c>
      <c r="AJ312" s="376" t="s">
        <v>179</v>
      </c>
      <c r="AK312" s="376" t="s">
        <v>180</v>
      </c>
      <c r="AL312" s="376" t="s">
        <v>181</v>
      </c>
      <c r="AM312" s="376" t="s">
        <v>182</v>
      </c>
      <c r="AN312" s="376" t="s">
        <v>68</v>
      </c>
      <c r="AO312" s="379">
        <v>80</v>
      </c>
      <c r="AP312" s="385">
        <v>1</v>
      </c>
      <c r="AQ312" s="385">
        <v>0</v>
      </c>
      <c r="AR312" s="383" t="s">
        <v>183</v>
      </c>
      <c r="AS312" s="387">
        <f t="shared" si="203"/>
        <v>0</v>
      </c>
      <c r="AT312">
        <f t="shared" si="204"/>
        <v>0</v>
      </c>
      <c r="AU312" s="387" t="str">
        <f>IF(AT312=0,"",IF(AND(AT312=1,M312="F",SUMIF(C2:C1334,C312,AS2:AS1334)&lt;=1),SUMIF(C2:C1334,C312,AS2:AS1334),IF(AND(AT312=1,M312="F",SUMIF(C2:C1334,C312,AS2:AS1334)&gt;1),1,"")))</f>
        <v/>
      </c>
      <c r="AV312" s="387" t="str">
        <f>IF(AT312=0,"",IF(AND(AT312=3,M312="F",SUMIF(C2:C1334,C312,AS2:AS1334)&lt;=1),SUMIF(C2:C1334,C312,AS2:AS1334),IF(AND(AT312=3,M312="F",SUMIF(C2:C1334,C312,AS2:AS1334)&gt;1),1,"")))</f>
        <v/>
      </c>
      <c r="AW312" s="387">
        <f>SUMIF(C2:C1334,C312,O2:O1334)</f>
        <v>4</v>
      </c>
      <c r="AX312" s="387">
        <f>IF(AND(M312="F",AS312&lt;&gt;0),SUMIF(C2:C1334,C312,W2:W1334),0)</f>
        <v>0</v>
      </c>
      <c r="AY312" s="387" t="str">
        <f t="shared" si="205"/>
        <v/>
      </c>
      <c r="AZ312" s="387" t="str">
        <f t="shared" si="206"/>
        <v/>
      </c>
      <c r="BA312" s="387">
        <f t="shared" si="207"/>
        <v>0</v>
      </c>
      <c r="BB312" s="387">
        <f t="shared" si="176"/>
        <v>0</v>
      </c>
      <c r="BC312" s="387">
        <f t="shared" si="177"/>
        <v>0</v>
      </c>
      <c r="BD312" s="387">
        <f t="shared" si="178"/>
        <v>0</v>
      </c>
      <c r="BE312" s="387">
        <f t="shared" si="179"/>
        <v>0</v>
      </c>
      <c r="BF312" s="387">
        <f t="shared" si="180"/>
        <v>0</v>
      </c>
      <c r="BG312" s="387">
        <f t="shared" si="181"/>
        <v>0</v>
      </c>
      <c r="BH312" s="387">
        <f t="shared" si="182"/>
        <v>0</v>
      </c>
      <c r="BI312" s="387">
        <f t="shared" si="183"/>
        <v>0</v>
      </c>
      <c r="BJ312" s="387">
        <f t="shared" si="184"/>
        <v>0</v>
      </c>
      <c r="BK312" s="387">
        <f t="shared" si="185"/>
        <v>0</v>
      </c>
      <c r="BL312" s="387">
        <f t="shared" si="208"/>
        <v>0</v>
      </c>
      <c r="BM312" s="387">
        <f t="shared" si="209"/>
        <v>0</v>
      </c>
      <c r="BN312" s="387">
        <f t="shared" si="186"/>
        <v>0</v>
      </c>
      <c r="BO312" s="387">
        <f t="shared" si="187"/>
        <v>0</v>
      </c>
      <c r="BP312" s="387">
        <f t="shared" si="188"/>
        <v>0</v>
      </c>
      <c r="BQ312" s="387">
        <f t="shared" si="189"/>
        <v>0</v>
      </c>
      <c r="BR312" s="387">
        <f t="shared" si="190"/>
        <v>0</v>
      </c>
      <c r="BS312" s="387">
        <f t="shared" si="191"/>
        <v>0</v>
      </c>
      <c r="BT312" s="387">
        <f t="shared" si="192"/>
        <v>0</v>
      </c>
      <c r="BU312" s="387">
        <f t="shared" si="193"/>
        <v>0</v>
      </c>
      <c r="BV312" s="387">
        <f t="shared" si="194"/>
        <v>0</v>
      </c>
      <c r="BW312" s="387">
        <f t="shared" si="195"/>
        <v>0</v>
      </c>
      <c r="BX312" s="387">
        <f t="shared" si="210"/>
        <v>0</v>
      </c>
      <c r="BY312" s="387">
        <f t="shared" si="211"/>
        <v>0</v>
      </c>
      <c r="BZ312" s="387">
        <f t="shared" si="212"/>
        <v>0</v>
      </c>
      <c r="CA312" s="387">
        <f t="shared" si="213"/>
        <v>0</v>
      </c>
      <c r="CB312" s="387">
        <f t="shared" si="214"/>
        <v>0</v>
      </c>
      <c r="CC312" s="387">
        <f t="shared" si="196"/>
        <v>0</v>
      </c>
      <c r="CD312" s="387">
        <f t="shared" si="197"/>
        <v>0</v>
      </c>
      <c r="CE312" s="387">
        <f t="shared" si="198"/>
        <v>0</v>
      </c>
      <c r="CF312" s="387">
        <f t="shared" si="199"/>
        <v>0</v>
      </c>
      <c r="CG312" s="387">
        <f t="shared" si="200"/>
        <v>0</v>
      </c>
      <c r="CH312" s="387">
        <f t="shared" si="201"/>
        <v>0</v>
      </c>
      <c r="CI312" s="387">
        <f t="shared" si="202"/>
        <v>0</v>
      </c>
      <c r="CJ312" s="387">
        <f t="shared" si="215"/>
        <v>0</v>
      </c>
      <c r="CK312" s="387" t="str">
        <f t="shared" si="216"/>
        <v/>
      </c>
      <c r="CL312" s="387" t="str">
        <f t="shared" si="217"/>
        <v/>
      </c>
      <c r="CM312" s="387" t="str">
        <f t="shared" si="218"/>
        <v/>
      </c>
      <c r="CN312" s="387" t="str">
        <f t="shared" si="219"/>
        <v>0348-31</v>
      </c>
    </row>
    <row r="313" spans="1:92" ht="15.75" thickBot="1" x14ac:dyDescent="0.3">
      <c r="A313" s="376" t="s">
        <v>161</v>
      </c>
      <c r="B313" s="376" t="s">
        <v>162</v>
      </c>
      <c r="C313" s="376" t="s">
        <v>1116</v>
      </c>
      <c r="D313" s="376" t="s">
        <v>868</v>
      </c>
      <c r="E313" s="376" t="s">
        <v>224</v>
      </c>
      <c r="F313" s="382" t="s">
        <v>225</v>
      </c>
      <c r="G313" s="376" t="s">
        <v>781</v>
      </c>
      <c r="H313" s="378"/>
      <c r="I313" s="378"/>
      <c r="J313" s="376" t="s">
        <v>215</v>
      </c>
      <c r="K313" s="376" t="s">
        <v>894</v>
      </c>
      <c r="L313" s="376" t="s">
        <v>170</v>
      </c>
      <c r="M313" s="376" t="s">
        <v>171</v>
      </c>
      <c r="N313" s="376" t="s">
        <v>172</v>
      </c>
      <c r="O313" s="379">
        <v>1</v>
      </c>
      <c r="P313" s="385">
        <v>0</v>
      </c>
      <c r="Q313" s="385">
        <v>0</v>
      </c>
      <c r="R313" s="380">
        <v>80</v>
      </c>
      <c r="S313" s="385">
        <v>0</v>
      </c>
      <c r="T313" s="380">
        <v>58052.87</v>
      </c>
      <c r="U313" s="380">
        <v>0</v>
      </c>
      <c r="V313" s="380">
        <v>23675.54</v>
      </c>
      <c r="W313" s="380">
        <v>0</v>
      </c>
      <c r="X313" s="380">
        <v>0</v>
      </c>
      <c r="Y313" s="380">
        <v>0</v>
      </c>
      <c r="Z313" s="380">
        <v>0</v>
      </c>
      <c r="AA313" s="376" t="s">
        <v>1117</v>
      </c>
      <c r="AB313" s="376" t="s">
        <v>259</v>
      </c>
      <c r="AC313" s="376" t="s">
        <v>1118</v>
      </c>
      <c r="AD313" s="376" t="s">
        <v>180</v>
      </c>
      <c r="AE313" s="376" t="s">
        <v>894</v>
      </c>
      <c r="AF313" s="376" t="s">
        <v>177</v>
      </c>
      <c r="AG313" s="376" t="s">
        <v>178</v>
      </c>
      <c r="AH313" s="381">
        <v>28.83</v>
      </c>
      <c r="AI313" s="381">
        <v>20808.3</v>
      </c>
      <c r="AJ313" s="376" t="s">
        <v>179</v>
      </c>
      <c r="AK313" s="376" t="s">
        <v>180</v>
      </c>
      <c r="AL313" s="376" t="s">
        <v>181</v>
      </c>
      <c r="AM313" s="376" t="s">
        <v>182</v>
      </c>
      <c r="AN313" s="376" t="s">
        <v>68</v>
      </c>
      <c r="AO313" s="379">
        <v>80</v>
      </c>
      <c r="AP313" s="385">
        <v>1</v>
      </c>
      <c r="AQ313" s="385">
        <v>0</v>
      </c>
      <c r="AR313" s="383" t="s">
        <v>183</v>
      </c>
      <c r="AS313" s="387">
        <f t="shared" si="203"/>
        <v>0</v>
      </c>
      <c r="AT313">
        <f t="shared" si="204"/>
        <v>0</v>
      </c>
      <c r="AU313" s="387" t="str">
        <f>IF(AT313=0,"",IF(AND(AT313=1,M313="F",SUMIF(C2:C1334,C313,AS2:AS1334)&lt;=1),SUMIF(C2:C1334,C313,AS2:AS1334),IF(AND(AT313=1,M313="F",SUMIF(C2:C1334,C313,AS2:AS1334)&gt;1),1,"")))</f>
        <v/>
      </c>
      <c r="AV313" s="387" t="str">
        <f>IF(AT313=0,"",IF(AND(AT313=3,M313="F",SUMIF(C2:C1334,C313,AS2:AS1334)&lt;=1),SUMIF(C2:C1334,C313,AS2:AS1334),IF(AND(AT313=3,M313="F",SUMIF(C2:C1334,C313,AS2:AS1334)&gt;1),1,"")))</f>
        <v/>
      </c>
      <c r="AW313" s="387">
        <f>SUMIF(C2:C1334,C313,O2:O1334)</f>
        <v>2</v>
      </c>
      <c r="AX313" s="387">
        <f>IF(AND(M313="F",AS313&lt;&gt;0),SUMIF(C2:C1334,C313,W2:W1334),0)</f>
        <v>0</v>
      </c>
      <c r="AY313" s="387" t="str">
        <f t="shared" si="205"/>
        <v/>
      </c>
      <c r="AZ313" s="387" t="str">
        <f t="shared" si="206"/>
        <v/>
      </c>
      <c r="BA313" s="387">
        <f t="shared" si="207"/>
        <v>0</v>
      </c>
      <c r="BB313" s="387">
        <f t="shared" si="176"/>
        <v>0</v>
      </c>
      <c r="BC313" s="387">
        <f t="shared" si="177"/>
        <v>0</v>
      </c>
      <c r="BD313" s="387">
        <f t="shared" si="178"/>
        <v>0</v>
      </c>
      <c r="BE313" s="387">
        <f t="shared" si="179"/>
        <v>0</v>
      </c>
      <c r="BF313" s="387">
        <f t="shared" si="180"/>
        <v>0</v>
      </c>
      <c r="BG313" s="387">
        <f t="shared" si="181"/>
        <v>0</v>
      </c>
      <c r="BH313" s="387">
        <f t="shared" si="182"/>
        <v>0</v>
      </c>
      <c r="BI313" s="387">
        <f t="shared" si="183"/>
        <v>0</v>
      </c>
      <c r="BJ313" s="387">
        <f t="shared" si="184"/>
        <v>0</v>
      </c>
      <c r="BK313" s="387">
        <f t="shared" si="185"/>
        <v>0</v>
      </c>
      <c r="BL313" s="387">
        <f t="shared" si="208"/>
        <v>0</v>
      </c>
      <c r="BM313" s="387">
        <f t="shared" si="209"/>
        <v>0</v>
      </c>
      <c r="BN313" s="387">
        <f t="shared" si="186"/>
        <v>0</v>
      </c>
      <c r="BO313" s="387">
        <f t="shared" si="187"/>
        <v>0</v>
      </c>
      <c r="BP313" s="387">
        <f t="shared" si="188"/>
        <v>0</v>
      </c>
      <c r="BQ313" s="387">
        <f t="shared" si="189"/>
        <v>0</v>
      </c>
      <c r="BR313" s="387">
        <f t="shared" si="190"/>
        <v>0</v>
      </c>
      <c r="BS313" s="387">
        <f t="shared" si="191"/>
        <v>0</v>
      </c>
      <c r="BT313" s="387">
        <f t="shared" si="192"/>
        <v>0</v>
      </c>
      <c r="BU313" s="387">
        <f t="shared" si="193"/>
        <v>0</v>
      </c>
      <c r="BV313" s="387">
        <f t="shared" si="194"/>
        <v>0</v>
      </c>
      <c r="BW313" s="387">
        <f t="shared" si="195"/>
        <v>0</v>
      </c>
      <c r="BX313" s="387">
        <f t="shared" si="210"/>
        <v>0</v>
      </c>
      <c r="BY313" s="387">
        <f t="shared" si="211"/>
        <v>0</v>
      </c>
      <c r="BZ313" s="387">
        <f t="shared" si="212"/>
        <v>0</v>
      </c>
      <c r="CA313" s="387">
        <f t="shared" si="213"/>
        <v>0</v>
      </c>
      <c r="CB313" s="387">
        <f t="shared" si="214"/>
        <v>0</v>
      </c>
      <c r="CC313" s="387">
        <f t="shared" si="196"/>
        <v>0</v>
      </c>
      <c r="CD313" s="387">
        <f t="shared" si="197"/>
        <v>0</v>
      </c>
      <c r="CE313" s="387">
        <f t="shared" si="198"/>
        <v>0</v>
      </c>
      <c r="CF313" s="387">
        <f t="shared" si="199"/>
        <v>0</v>
      </c>
      <c r="CG313" s="387">
        <f t="shared" si="200"/>
        <v>0</v>
      </c>
      <c r="CH313" s="387">
        <f t="shared" si="201"/>
        <v>0</v>
      </c>
      <c r="CI313" s="387">
        <f t="shared" si="202"/>
        <v>0</v>
      </c>
      <c r="CJ313" s="387">
        <f t="shared" si="215"/>
        <v>0</v>
      </c>
      <c r="CK313" s="387" t="str">
        <f t="shared" si="216"/>
        <v/>
      </c>
      <c r="CL313" s="387" t="str">
        <f t="shared" si="217"/>
        <v/>
      </c>
      <c r="CM313" s="387" t="str">
        <f t="shared" si="218"/>
        <v/>
      </c>
      <c r="CN313" s="387" t="str">
        <f t="shared" si="219"/>
        <v>0348-31</v>
      </c>
    </row>
    <row r="314" spans="1:92" ht="15.75" thickBot="1" x14ac:dyDescent="0.3">
      <c r="A314" s="376" t="s">
        <v>161</v>
      </c>
      <c r="B314" s="376" t="s">
        <v>162</v>
      </c>
      <c r="C314" s="376" t="s">
        <v>766</v>
      </c>
      <c r="D314" s="376" t="s">
        <v>767</v>
      </c>
      <c r="E314" s="376" t="s">
        <v>224</v>
      </c>
      <c r="F314" s="382" t="s">
        <v>225</v>
      </c>
      <c r="G314" s="376" t="s">
        <v>781</v>
      </c>
      <c r="H314" s="378"/>
      <c r="I314" s="378"/>
      <c r="J314" s="376" t="s">
        <v>239</v>
      </c>
      <c r="K314" s="376" t="s">
        <v>768</v>
      </c>
      <c r="L314" s="376" t="s">
        <v>170</v>
      </c>
      <c r="M314" s="376" t="s">
        <v>171</v>
      </c>
      <c r="N314" s="376" t="s">
        <v>172</v>
      </c>
      <c r="O314" s="379">
        <v>1</v>
      </c>
      <c r="P314" s="385">
        <v>0.25</v>
      </c>
      <c r="Q314" s="385">
        <v>0.25</v>
      </c>
      <c r="R314" s="380">
        <v>80</v>
      </c>
      <c r="S314" s="385">
        <v>0.25</v>
      </c>
      <c r="T314" s="380">
        <v>0</v>
      </c>
      <c r="U314" s="380">
        <v>0</v>
      </c>
      <c r="V314" s="380">
        <v>0</v>
      </c>
      <c r="W314" s="380">
        <v>15236</v>
      </c>
      <c r="X314" s="380">
        <v>6207.27</v>
      </c>
      <c r="Y314" s="380">
        <v>15236</v>
      </c>
      <c r="Z314" s="380">
        <v>6143.28</v>
      </c>
      <c r="AA314" s="376" t="s">
        <v>769</v>
      </c>
      <c r="AB314" s="376" t="s">
        <v>770</v>
      </c>
      <c r="AC314" s="376" t="s">
        <v>771</v>
      </c>
      <c r="AD314" s="376" t="s">
        <v>268</v>
      </c>
      <c r="AE314" s="376" t="s">
        <v>768</v>
      </c>
      <c r="AF314" s="376" t="s">
        <v>177</v>
      </c>
      <c r="AG314" s="376" t="s">
        <v>178</v>
      </c>
      <c r="AH314" s="381">
        <v>29.3</v>
      </c>
      <c r="AI314" s="381">
        <v>40249.1</v>
      </c>
      <c r="AJ314" s="376" t="s">
        <v>179</v>
      </c>
      <c r="AK314" s="376" t="s">
        <v>180</v>
      </c>
      <c r="AL314" s="376" t="s">
        <v>181</v>
      </c>
      <c r="AM314" s="376" t="s">
        <v>182</v>
      </c>
      <c r="AN314" s="376" t="s">
        <v>68</v>
      </c>
      <c r="AO314" s="379">
        <v>80</v>
      </c>
      <c r="AP314" s="385">
        <v>1</v>
      </c>
      <c r="AQ314" s="385">
        <v>0.25</v>
      </c>
      <c r="AR314" s="383" t="s">
        <v>183</v>
      </c>
      <c r="AS314" s="387">
        <f t="shared" si="203"/>
        <v>0.25</v>
      </c>
      <c r="AT314">
        <f t="shared" si="204"/>
        <v>1</v>
      </c>
      <c r="AU314" s="387">
        <f>IF(AT314=0,"",IF(AND(AT314=1,M314="F",SUMIF(C2:C1334,C314,AS2:AS1334)&lt;=1),SUMIF(C2:C1334,C314,AS2:AS1334),IF(AND(AT314=1,M314="F",SUMIF(C2:C1334,C314,AS2:AS1334)&gt;1),1,"")))</f>
        <v>1</v>
      </c>
      <c r="AV314" s="387" t="str">
        <f>IF(AT314=0,"",IF(AND(AT314=3,M314="F",SUMIF(C2:C1334,C314,AS2:AS1334)&lt;=1),SUMIF(C2:C1334,C314,AS2:AS1334),IF(AND(AT314=3,M314="F",SUMIF(C2:C1334,C314,AS2:AS1334)&gt;1),1,"")))</f>
        <v/>
      </c>
      <c r="AW314" s="387">
        <f>SUMIF(C2:C1334,C314,O2:O1334)</f>
        <v>4</v>
      </c>
      <c r="AX314" s="387">
        <f>IF(AND(M314="F",AS314&lt;&gt;0),SUMIF(C2:C1334,C314,W2:W1334),0)</f>
        <v>60944</v>
      </c>
      <c r="AY314" s="387">
        <f t="shared" si="205"/>
        <v>15236</v>
      </c>
      <c r="AZ314" s="387" t="str">
        <f t="shared" si="206"/>
        <v/>
      </c>
      <c r="BA314" s="387">
        <f t="shared" si="207"/>
        <v>0</v>
      </c>
      <c r="BB314" s="387">
        <f t="shared" si="176"/>
        <v>2912.5</v>
      </c>
      <c r="BC314" s="387">
        <f t="shared" si="177"/>
        <v>0</v>
      </c>
      <c r="BD314" s="387">
        <f t="shared" si="178"/>
        <v>944.63199999999995</v>
      </c>
      <c r="BE314" s="387">
        <f t="shared" si="179"/>
        <v>220.922</v>
      </c>
      <c r="BF314" s="387">
        <f t="shared" si="180"/>
        <v>1819.1784</v>
      </c>
      <c r="BG314" s="387">
        <f t="shared" si="181"/>
        <v>109.85156000000001</v>
      </c>
      <c r="BH314" s="387">
        <f t="shared" si="182"/>
        <v>74.656399999999991</v>
      </c>
      <c r="BI314" s="387">
        <f t="shared" si="183"/>
        <v>84.33126</v>
      </c>
      <c r="BJ314" s="387">
        <f t="shared" si="184"/>
        <v>41.1372</v>
      </c>
      <c r="BK314" s="387">
        <f t="shared" si="185"/>
        <v>0</v>
      </c>
      <c r="BL314" s="387">
        <f t="shared" si="208"/>
        <v>3294.7088199999998</v>
      </c>
      <c r="BM314" s="387">
        <f t="shared" si="209"/>
        <v>0</v>
      </c>
      <c r="BN314" s="387">
        <f t="shared" si="186"/>
        <v>2912.5</v>
      </c>
      <c r="BO314" s="387">
        <f t="shared" si="187"/>
        <v>0</v>
      </c>
      <c r="BP314" s="387">
        <f t="shared" si="188"/>
        <v>944.63199999999995</v>
      </c>
      <c r="BQ314" s="387">
        <f t="shared" si="189"/>
        <v>220.922</v>
      </c>
      <c r="BR314" s="387">
        <f t="shared" si="190"/>
        <v>1819.1784</v>
      </c>
      <c r="BS314" s="387">
        <f t="shared" si="191"/>
        <v>109.85156000000001</v>
      </c>
      <c r="BT314" s="387">
        <f t="shared" si="192"/>
        <v>0</v>
      </c>
      <c r="BU314" s="387">
        <f t="shared" si="193"/>
        <v>84.33126</v>
      </c>
      <c r="BV314" s="387">
        <f t="shared" si="194"/>
        <v>51.802399999999999</v>
      </c>
      <c r="BW314" s="387">
        <f t="shared" si="195"/>
        <v>0</v>
      </c>
      <c r="BX314" s="387">
        <f t="shared" si="210"/>
        <v>3230.7176199999999</v>
      </c>
      <c r="BY314" s="387">
        <f t="shared" si="211"/>
        <v>0</v>
      </c>
      <c r="BZ314" s="387">
        <f t="shared" si="212"/>
        <v>0</v>
      </c>
      <c r="CA314" s="387">
        <f t="shared" si="213"/>
        <v>0</v>
      </c>
      <c r="CB314" s="387">
        <f t="shared" si="214"/>
        <v>0</v>
      </c>
      <c r="CC314" s="387">
        <f t="shared" si="196"/>
        <v>0</v>
      </c>
      <c r="CD314" s="387">
        <f t="shared" si="197"/>
        <v>0</v>
      </c>
      <c r="CE314" s="387">
        <f t="shared" si="198"/>
        <v>0</v>
      </c>
      <c r="CF314" s="387">
        <f t="shared" si="199"/>
        <v>-74.656399999999991</v>
      </c>
      <c r="CG314" s="387">
        <f t="shared" si="200"/>
        <v>0</v>
      </c>
      <c r="CH314" s="387">
        <f t="shared" si="201"/>
        <v>10.665199999999995</v>
      </c>
      <c r="CI314" s="387">
        <f t="shared" si="202"/>
        <v>0</v>
      </c>
      <c r="CJ314" s="387">
        <f t="shared" si="215"/>
        <v>-63.991199999999992</v>
      </c>
      <c r="CK314" s="387" t="str">
        <f t="shared" si="216"/>
        <v/>
      </c>
      <c r="CL314" s="387" t="str">
        <f t="shared" si="217"/>
        <v/>
      </c>
      <c r="CM314" s="387" t="str">
        <f t="shared" si="218"/>
        <v/>
      </c>
      <c r="CN314" s="387" t="str">
        <f t="shared" si="219"/>
        <v>0348-31</v>
      </c>
    </row>
    <row r="315" spans="1:92" ht="15.75" thickBot="1" x14ac:dyDescent="0.3">
      <c r="A315" s="376" t="s">
        <v>161</v>
      </c>
      <c r="B315" s="376" t="s">
        <v>162</v>
      </c>
      <c r="C315" s="376" t="s">
        <v>630</v>
      </c>
      <c r="D315" s="376" t="s">
        <v>497</v>
      </c>
      <c r="E315" s="376" t="s">
        <v>224</v>
      </c>
      <c r="F315" s="382" t="s">
        <v>225</v>
      </c>
      <c r="G315" s="376" t="s">
        <v>781</v>
      </c>
      <c r="H315" s="378"/>
      <c r="I315" s="378"/>
      <c r="J315" s="376" t="s">
        <v>215</v>
      </c>
      <c r="K315" s="376" t="s">
        <v>498</v>
      </c>
      <c r="L315" s="376" t="s">
        <v>170</v>
      </c>
      <c r="M315" s="376" t="s">
        <v>171</v>
      </c>
      <c r="N315" s="376" t="s">
        <v>172</v>
      </c>
      <c r="O315" s="379">
        <v>1</v>
      </c>
      <c r="P315" s="385">
        <v>0</v>
      </c>
      <c r="Q315" s="385">
        <v>0</v>
      </c>
      <c r="R315" s="380">
        <v>80</v>
      </c>
      <c r="S315" s="385">
        <v>0</v>
      </c>
      <c r="T315" s="380">
        <v>29792.7</v>
      </c>
      <c r="U315" s="380">
        <v>0</v>
      </c>
      <c r="V315" s="380">
        <v>12973.4</v>
      </c>
      <c r="W315" s="380">
        <v>0</v>
      </c>
      <c r="X315" s="380">
        <v>0</v>
      </c>
      <c r="Y315" s="380">
        <v>0</v>
      </c>
      <c r="Z315" s="380">
        <v>0</v>
      </c>
      <c r="AA315" s="376" t="s">
        <v>631</v>
      </c>
      <c r="AB315" s="376" t="s">
        <v>632</v>
      </c>
      <c r="AC315" s="376" t="s">
        <v>633</v>
      </c>
      <c r="AD315" s="376" t="s">
        <v>170</v>
      </c>
      <c r="AE315" s="376" t="s">
        <v>498</v>
      </c>
      <c r="AF315" s="376" t="s">
        <v>177</v>
      </c>
      <c r="AG315" s="376" t="s">
        <v>178</v>
      </c>
      <c r="AH315" s="381">
        <v>29.5</v>
      </c>
      <c r="AI315" s="379">
        <v>644</v>
      </c>
      <c r="AJ315" s="376" t="s">
        <v>179</v>
      </c>
      <c r="AK315" s="376" t="s">
        <v>180</v>
      </c>
      <c r="AL315" s="376" t="s">
        <v>181</v>
      </c>
      <c r="AM315" s="376" t="s">
        <v>182</v>
      </c>
      <c r="AN315" s="376" t="s">
        <v>68</v>
      </c>
      <c r="AO315" s="379">
        <v>80</v>
      </c>
      <c r="AP315" s="385">
        <v>1</v>
      </c>
      <c r="AQ315" s="385">
        <v>0</v>
      </c>
      <c r="AR315" s="383" t="s">
        <v>183</v>
      </c>
      <c r="AS315" s="387">
        <f t="shared" si="203"/>
        <v>0</v>
      </c>
      <c r="AT315">
        <f t="shared" si="204"/>
        <v>0</v>
      </c>
      <c r="AU315" s="387" t="str">
        <f>IF(AT315=0,"",IF(AND(AT315=1,M315="F",SUMIF(C2:C1334,C315,AS2:AS1334)&lt;=1),SUMIF(C2:C1334,C315,AS2:AS1334),IF(AND(AT315=1,M315="F",SUMIF(C2:C1334,C315,AS2:AS1334)&gt;1),1,"")))</f>
        <v/>
      </c>
      <c r="AV315" s="387" t="str">
        <f>IF(AT315=0,"",IF(AND(AT315=3,M315="F",SUMIF(C2:C1334,C315,AS2:AS1334)&lt;=1),SUMIF(C2:C1334,C315,AS2:AS1334),IF(AND(AT315=3,M315="F",SUMIF(C2:C1334,C315,AS2:AS1334)&gt;1),1,"")))</f>
        <v/>
      </c>
      <c r="AW315" s="387">
        <f>SUMIF(C2:C1334,C315,O2:O1334)</f>
        <v>2</v>
      </c>
      <c r="AX315" s="387">
        <f>IF(AND(M315="F",AS315&lt;&gt;0),SUMIF(C2:C1334,C315,W2:W1334),0)</f>
        <v>0</v>
      </c>
      <c r="AY315" s="387" t="str">
        <f t="shared" si="205"/>
        <v/>
      </c>
      <c r="AZ315" s="387" t="str">
        <f t="shared" si="206"/>
        <v/>
      </c>
      <c r="BA315" s="387">
        <f t="shared" si="207"/>
        <v>0</v>
      </c>
      <c r="BB315" s="387">
        <f t="shared" si="176"/>
        <v>0</v>
      </c>
      <c r="BC315" s="387">
        <f t="shared" si="177"/>
        <v>0</v>
      </c>
      <c r="BD315" s="387">
        <f t="shared" si="178"/>
        <v>0</v>
      </c>
      <c r="BE315" s="387">
        <f t="shared" si="179"/>
        <v>0</v>
      </c>
      <c r="BF315" s="387">
        <f t="shared" si="180"/>
        <v>0</v>
      </c>
      <c r="BG315" s="387">
        <f t="shared" si="181"/>
        <v>0</v>
      </c>
      <c r="BH315" s="387">
        <f t="shared" si="182"/>
        <v>0</v>
      </c>
      <c r="BI315" s="387">
        <f t="shared" si="183"/>
        <v>0</v>
      </c>
      <c r="BJ315" s="387">
        <f t="shared" si="184"/>
        <v>0</v>
      </c>
      <c r="BK315" s="387">
        <f t="shared" si="185"/>
        <v>0</v>
      </c>
      <c r="BL315" s="387">
        <f t="shared" si="208"/>
        <v>0</v>
      </c>
      <c r="BM315" s="387">
        <f t="shared" si="209"/>
        <v>0</v>
      </c>
      <c r="BN315" s="387">
        <f t="shared" si="186"/>
        <v>0</v>
      </c>
      <c r="BO315" s="387">
        <f t="shared" si="187"/>
        <v>0</v>
      </c>
      <c r="BP315" s="387">
        <f t="shared" si="188"/>
        <v>0</v>
      </c>
      <c r="BQ315" s="387">
        <f t="shared" si="189"/>
        <v>0</v>
      </c>
      <c r="BR315" s="387">
        <f t="shared" si="190"/>
        <v>0</v>
      </c>
      <c r="BS315" s="387">
        <f t="shared" si="191"/>
        <v>0</v>
      </c>
      <c r="BT315" s="387">
        <f t="shared" si="192"/>
        <v>0</v>
      </c>
      <c r="BU315" s="387">
        <f t="shared" si="193"/>
        <v>0</v>
      </c>
      <c r="BV315" s="387">
        <f t="shared" si="194"/>
        <v>0</v>
      </c>
      <c r="BW315" s="387">
        <f t="shared" si="195"/>
        <v>0</v>
      </c>
      <c r="BX315" s="387">
        <f t="shared" si="210"/>
        <v>0</v>
      </c>
      <c r="BY315" s="387">
        <f t="shared" si="211"/>
        <v>0</v>
      </c>
      <c r="BZ315" s="387">
        <f t="shared" si="212"/>
        <v>0</v>
      </c>
      <c r="CA315" s="387">
        <f t="shared" si="213"/>
        <v>0</v>
      </c>
      <c r="CB315" s="387">
        <f t="shared" si="214"/>
        <v>0</v>
      </c>
      <c r="CC315" s="387">
        <f t="shared" si="196"/>
        <v>0</v>
      </c>
      <c r="CD315" s="387">
        <f t="shared" si="197"/>
        <v>0</v>
      </c>
      <c r="CE315" s="387">
        <f t="shared" si="198"/>
        <v>0</v>
      </c>
      <c r="CF315" s="387">
        <f t="shared" si="199"/>
        <v>0</v>
      </c>
      <c r="CG315" s="387">
        <f t="shared" si="200"/>
        <v>0</v>
      </c>
      <c r="CH315" s="387">
        <f t="shared" si="201"/>
        <v>0</v>
      </c>
      <c r="CI315" s="387">
        <f t="shared" si="202"/>
        <v>0</v>
      </c>
      <c r="CJ315" s="387">
        <f t="shared" si="215"/>
        <v>0</v>
      </c>
      <c r="CK315" s="387" t="str">
        <f t="shared" si="216"/>
        <v/>
      </c>
      <c r="CL315" s="387" t="str">
        <f t="shared" si="217"/>
        <v/>
      </c>
      <c r="CM315" s="387" t="str">
        <f t="shared" si="218"/>
        <v/>
      </c>
      <c r="CN315" s="387" t="str">
        <f t="shared" si="219"/>
        <v>0348-31</v>
      </c>
    </row>
    <row r="316" spans="1:92" ht="15.75" thickBot="1" x14ac:dyDescent="0.3">
      <c r="A316" s="376" t="s">
        <v>161</v>
      </c>
      <c r="B316" s="376" t="s">
        <v>162</v>
      </c>
      <c r="C316" s="376" t="s">
        <v>1119</v>
      </c>
      <c r="D316" s="376" t="s">
        <v>862</v>
      </c>
      <c r="E316" s="376" t="s">
        <v>224</v>
      </c>
      <c r="F316" s="382" t="s">
        <v>225</v>
      </c>
      <c r="G316" s="376" t="s">
        <v>781</v>
      </c>
      <c r="H316" s="378"/>
      <c r="I316" s="378"/>
      <c r="J316" s="376" t="s">
        <v>239</v>
      </c>
      <c r="K316" s="376" t="s">
        <v>863</v>
      </c>
      <c r="L316" s="376" t="s">
        <v>252</v>
      </c>
      <c r="M316" s="376" t="s">
        <v>171</v>
      </c>
      <c r="N316" s="376" t="s">
        <v>172</v>
      </c>
      <c r="O316" s="379">
        <v>1</v>
      </c>
      <c r="P316" s="385">
        <v>1</v>
      </c>
      <c r="Q316" s="385">
        <v>1</v>
      </c>
      <c r="R316" s="380">
        <v>80</v>
      </c>
      <c r="S316" s="385">
        <v>1</v>
      </c>
      <c r="T316" s="380">
        <v>25098.48</v>
      </c>
      <c r="U316" s="380">
        <v>0</v>
      </c>
      <c r="V316" s="380">
        <v>13313.11</v>
      </c>
      <c r="W316" s="380">
        <v>44782.400000000001</v>
      </c>
      <c r="X316" s="380">
        <v>21334.16</v>
      </c>
      <c r="Y316" s="380">
        <v>44782.400000000001</v>
      </c>
      <c r="Z316" s="380">
        <v>21146.080000000002</v>
      </c>
      <c r="AA316" s="376" t="s">
        <v>1120</v>
      </c>
      <c r="AB316" s="376" t="s">
        <v>1121</v>
      </c>
      <c r="AC316" s="376" t="s">
        <v>1122</v>
      </c>
      <c r="AD316" s="376" t="s">
        <v>583</v>
      </c>
      <c r="AE316" s="376" t="s">
        <v>863</v>
      </c>
      <c r="AF316" s="376" t="s">
        <v>393</v>
      </c>
      <c r="AG316" s="376" t="s">
        <v>178</v>
      </c>
      <c r="AH316" s="381">
        <v>21.53</v>
      </c>
      <c r="AI316" s="381">
        <v>19288.5</v>
      </c>
      <c r="AJ316" s="376" t="s">
        <v>179</v>
      </c>
      <c r="AK316" s="376" t="s">
        <v>180</v>
      </c>
      <c r="AL316" s="376" t="s">
        <v>181</v>
      </c>
      <c r="AM316" s="376" t="s">
        <v>182</v>
      </c>
      <c r="AN316" s="376" t="s">
        <v>68</v>
      </c>
      <c r="AO316" s="379">
        <v>80</v>
      </c>
      <c r="AP316" s="385">
        <v>1</v>
      </c>
      <c r="AQ316" s="385">
        <v>1</v>
      </c>
      <c r="AR316" s="383" t="s">
        <v>183</v>
      </c>
      <c r="AS316" s="387">
        <f t="shared" si="203"/>
        <v>1</v>
      </c>
      <c r="AT316">
        <f t="shared" si="204"/>
        <v>1</v>
      </c>
      <c r="AU316" s="387">
        <f>IF(AT316=0,"",IF(AND(AT316=1,M316="F",SUMIF(C2:C1334,C316,AS2:AS1334)&lt;=1),SUMIF(C2:C1334,C316,AS2:AS1334),IF(AND(AT316=1,M316="F",SUMIF(C2:C1334,C316,AS2:AS1334)&gt;1),1,"")))</f>
        <v>1</v>
      </c>
      <c r="AV316" s="387" t="str">
        <f>IF(AT316=0,"",IF(AND(AT316=3,M316="F",SUMIF(C2:C1334,C316,AS2:AS1334)&lt;=1),SUMIF(C2:C1334,C316,AS2:AS1334),IF(AND(AT316=3,M316="F",SUMIF(C2:C1334,C316,AS2:AS1334)&gt;1),1,"")))</f>
        <v/>
      </c>
      <c r="AW316" s="387">
        <f>SUMIF(C2:C1334,C316,O2:O1334)</f>
        <v>3</v>
      </c>
      <c r="AX316" s="387">
        <f>IF(AND(M316="F",AS316&lt;&gt;0),SUMIF(C2:C1334,C316,W2:W1334),0)</f>
        <v>44782.400000000001</v>
      </c>
      <c r="AY316" s="387">
        <f t="shared" si="205"/>
        <v>44782.400000000001</v>
      </c>
      <c r="AZ316" s="387" t="str">
        <f t="shared" si="206"/>
        <v/>
      </c>
      <c r="BA316" s="387">
        <f t="shared" si="207"/>
        <v>0</v>
      </c>
      <c r="BB316" s="387">
        <f t="shared" si="176"/>
        <v>11650</v>
      </c>
      <c r="BC316" s="387">
        <f t="shared" si="177"/>
        <v>0</v>
      </c>
      <c r="BD316" s="387">
        <f t="shared" si="178"/>
        <v>2776.5088000000001</v>
      </c>
      <c r="BE316" s="387">
        <f t="shared" si="179"/>
        <v>649.34480000000008</v>
      </c>
      <c r="BF316" s="387">
        <f t="shared" si="180"/>
        <v>5347.0185600000004</v>
      </c>
      <c r="BG316" s="387">
        <f t="shared" si="181"/>
        <v>322.88110400000005</v>
      </c>
      <c r="BH316" s="387">
        <f t="shared" si="182"/>
        <v>219.43376000000001</v>
      </c>
      <c r="BI316" s="387">
        <f t="shared" si="183"/>
        <v>247.87058400000001</v>
      </c>
      <c r="BJ316" s="387">
        <f t="shared" si="184"/>
        <v>120.91248000000002</v>
      </c>
      <c r="BK316" s="387">
        <f t="shared" si="185"/>
        <v>0</v>
      </c>
      <c r="BL316" s="387">
        <f t="shared" si="208"/>
        <v>9683.9700880000019</v>
      </c>
      <c r="BM316" s="387">
        <f t="shared" si="209"/>
        <v>0</v>
      </c>
      <c r="BN316" s="387">
        <f t="shared" si="186"/>
        <v>11650</v>
      </c>
      <c r="BO316" s="387">
        <f t="shared" si="187"/>
        <v>0</v>
      </c>
      <c r="BP316" s="387">
        <f t="shared" si="188"/>
        <v>2776.5088000000001</v>
      </c>
      <c r="BQ316" s="387">
        <f t="shared" si="189"/>
        <v>649.34480000000008</v>
      </c>
      <c r="BR316" s="387">
        <f t="shared" si="190"/>
        <v>5347.0185600000004</v>
      </c>
      <c r="BS316" s="387">
        <f t="shared" si="191"/>
        <v>322.88110400000005</v>
      </c>
      <c r="BT316" s="387">
        <f t="shared" si="192"/>
        <v>0</v>
      </c>
      <c r="BU316" s="387">
        <f t="shared" si="193"/>
        <v>247.87058400000001</v>
      </c>
      <c r="BV316" s="387">
        <f t="shared" si="194"/>
        <v>152.26015999999998</v>
      </c>
      <c r="BW316" s="387">
        <f t="shared" si="195"/>
        <v>0</v>
      </c>
      <c r="BX316" s="387">
        <f t="shared" si="210"/>
        <v>9495.8840080000009</v>
      </c>
      <c r="BY316" s="387">
        <f t="shared" si="211"/>
        <v>0</v>
      </c>
      <c r="BZ316" s="387">
        <f t="shared" si="212"/>
        <v>0</v>
      </c>
      <c r="CA316" s="387">
        <f t="shared" si="213"/>
        <v>0</v>
      </c>
      <c r="CB316" s="387">
        <f t="shared" si="214"/>
        <v>0</v>
      </c>
      <c r="CC316" s="387">
        <f t="shared" si="196"/>
        <v>0</v>
      </c>
      <c r="CD316" s="387">
        <f t="shared" si="197"/>
        <v>0</v>
      </c>
      <c r="CE316" s="387">
        <f t="shared" si="198"/>
        <v>0</v>
      </c>
      <c r="CF316" s="387">
        <f t="shared" si="199"/>
        <v>-219.43376000000001</v>
      </c>
      <c r="CG316" s="387">
        <f t="shared" si="200"/>
        <v>0</v>
      </c>
      <c r="CH316" s="387">
        <f t="shared" si="201"/>
        <v>31.347679999999986</v>
      </c>
      <c r="CI316" s="387">
        <f t="shared" si="202"/>
        <v>0</v>
      </c>
      <c r="CJ316" s="387">
        <f t="shared" si="215"/>
        <v>-188.08608000000001</v>
      </c>
      <c r="CK316" s="387" t="str">
        <f t="shared" si="216"/>
        <v/>
      </c>
      <c r="CL316" s="387" t="str">
        <f t="shared" si="217"/>
        <v/>
      </c>
      <c r="CM316" s="387" t="str">
        <f t="shared" si="218"/>
        <v/>
      </c>
      <c r="CN316" s="387" t="str">
        <f t="shared" si="219"/>
        <v>0348-31</v>
      </c>
    </row>
    <row r="317" spans="1:92" ht="15.75" thickBot="1" x14ac:dyDescent="0.3">
      <c r="A317" s="376" t="s">
        <v>161</v>
      </c>
      <c r="B317" s="376" t="s">
        <v>162</v>
      </c>
      <c r="C317" s="376" t="s">
        <v>712</v>
      </c>
      <c r="D317" s="376" t="s">
        <v>614</v>
      </c>
      <c r="E317" s="376" t="s">
        <v>224</v>
      </c>
      <c r="F317" s="382" t="s">
        <v>225</v>
      </c>
      <c r="G317" s="376" t="s">
        <v>781</v>
      </c>
      <c r="H317" s="378"/>
      <c r="I317" s="378"/>
      <c r="J317" s="376" t="s">
        <v>215</v>
      </c>
      <c r="K317" s="376" t="s">
        <v>615</v>
      </c>
      <c r="L317" s="376" t="s">
        <v>181</v>
      </c>
      <c r="M317" s="376" t="s">
        <v>171</v>
      </c>
      <c r="N317" s="376" t="s">
        <v>257</v>
      </c>
      <c r="O317" s="379">
        <v>1</v>
      </c>
      <c r="P317" s="385">
        <v>1</v>
      </c>
      <c r="Q317" s="385">
        <v>1</v>
      </c>
      <c r="R317" s="380">
        <v>80</v>
      </c>
      <c r="S317" s="385">
        <v>1</v>
      </c>
      <c r="T317" s="380">
        <v>0</v>
      </c>
      <c r="U317" s="380">
        <v>0</v>
      </c>
      <c r="V317" s="380">
        <v>0</v>
      </c>
      <c r="W317" s="380">
        <v>65832</v>
      </c>
      <c r="X317" s="380">
        <v>25521.43</v>
      </c>
      <c r="Y317" s="380">
        <v>65832</v>
      </c>
      <c r="Z317" s="380">
        <v>25244.94</v>
      </c>
      <c r="AA317" s="376" t="s">
        <v>714</v>
      </c>
      <c r="AB317" s="376" t="s">
        <v>715</v>
      </c>
      <c r="AC317" s="376" t="s">
        <v>716</v>
      </c>
      <c r="AD317" s="376" t="s">
        <v>279</v>
      </c>
      <c r="AE317" s="376" t="s">
        <v>615</v>
      </c>
      <c r="AF317" s="376" t="s">
        <v>211</v>
      </c>
      <c r="AG317" s="376" t="s">
        <v>178</v>
      </c>
      <c r="AH317" s="381">
        <v>31.65</v>
      </c>
      <c r="AI317" s="381">
        <v>14716.9</v>
      </c>
      <c r="AJ317" s="376" t="s">
        <v>179</v>
      </c>
      <c r="AK317" s="376" t="s">
        <v>180</v>
      </c>
      <c r="AL317" s="376" t="s">
        <v>181</v>
      </c>
      <c r="AM317" s="376" t="s">
        <v>182</v>
      </c>
      <c r="AN317" s="376" t="s">
        <v>68</v>
      </c>
      <c r="AO317" s="379">
        <v>80</v>
      </c>
      <c r="AP317" s="385">
        <v>1</v>
      </c>
      <c r="AQ317" s="385">
        <v>1</v>
      </c>
      <c r="AR317" s="383" t="s">
        <v>183</v>
      </c>
      <c r="AS317" s="387">
        <f t="shared" si="203"/>
        <v>1</v>
      </c>
      <c r="AT317">
        <f t="shared" si="204"/>
        <v>1</v>
      </c>
      <c r="AU317" s="387">
        <f>IF(AT317=0,"",IF(AND(AT317=1,M317="F",SUMIF(C2:C1334,C317,AS2:AS1334)&lt;=1),SUMIF(C2:C1334,C317,AS2:AS1334),IF(AND(AT317=1,M317="F",SUMIF(C2:C1334,C317,AS2:AS1334)&gt;1),1,"")))</f>
        <v>1</v>
      </c>
      <c r="AV317" s="387" t="str">
        <f>IF(AT317=0,"",IF(AND(AT317=3,M317="F",SUMIF(C2:C1334,C317,AS2:AS1334)&lt;=1),SUMIF(C2:C1334,C317,AS2:AS1334),IF(AND(AT317=3,M317="F",SUMIF(C2:C1334,C317,AS2:AS1334)&gt;1),1,"")))</f>
        <v/>
      </c>
      <c r="AW317" s="387">
        <f>SUMIF(C2:C1334,C317,O2:O1334)</f>
        <v>3</v>
      </c>
      <c r="AX317" s="387">
        <f>IF(AND(M317="F",AS317&lt;&gt;0),SUMIF(C2:C1334,C317,W2:W1334),0)</f>
        <v>65832</v>
      </c>
      <c r="AY317" s="387">
        <f t="shared" si="205"/>
        <v>65832</v>
      </c>
      <c r="AZ317" s="387" t="str">
        <f t="shared" si="206"/>
        <v/>
      </c>
      <c r="BA317" s="387">
        <f t="shared" si="207"/>
        <v>0</v>
      </c>
      <c r="BB317" s="387">
        <f t="shared" si="176"/>
        <v>11650</v>
      </c>
      <c r="BC317" s="387">
        <f t="shared" si="177"/>
        <v>0</v>
      </c>
      <c r="BD317" s="387">
        <f t="shared" si="178"/>
        <v>4081.5839999999998</v>
      </c>
      <c r="BE317" s="387">
        <f t="shared" si="179"/>
        <v>954.56400000000008</v>
      </c>
      <c r="BF317" s="387">
        <f t="shared" si="180"/>
        <v>7860.3408000000009</v>
      </c>
      <c r="BG317" s="387">
        <f t="shared" si="181"/>
        <v>474.64872000000003</v>
      </c>
      <c r="BH317" s="387">
        <f t="shared" si="182"/>
        <v>322.57679999999999</v>
      </c>
      <c r="BI317" s="387">
        <f t="shared" si="183"/>
        <v>0</v>
      </c>
      <c r="BJ317" s="387">
        <f t="shared" si="184"/>
        <v>177.74640000000002</v>
      </c>
      <c r="BK317" s="387">
        <f t="shared" si="185"/>
        <v>0</v>
      </c>
      <c r="BL317" s="387">
        <f t="shared" si="208"/>
        <v>13871.460720000001</v>
      </c>
      <c r="BM317" s="387">
        <f t="shared" si="209"/>
        <v>0</v>
      </c>
      <c r="BN317" s="387">
        <f t="shared" si="186"/>
        <v>11650</v>
      </c>
      <c r="BO317" s="387">
        <f t="shared" si="187"/>
        <v>0</v>
      </c>
      <c r="BP317" s="387">
        <f t="shared" si="188"/>
        <v>4081.5839999999998</v>
      </c>
      <c r="BQ317" s="387">
        <f t="shared" si="189"/>
        <v>954.56400000000008</v>
      </c>
      <c r="BR317" s="387">
        <f t="shared" si="190"/>
        <v>7860.3408000000009</v>
      </c>
      <c r="BS317" s="387">
        <f t="shared" si="191"/>
        <v>474.64872000000003</v>
      </c>
      <c r="BT317" s="387">
        <f t="shared" si="192"/>
        <v>0</v>
      </c>
      <c r="BU317" s="387">
        <f t="shared" si="193"/>
        <v>0</v>
      </c>
      <c r="BV317" s="387">
        <f t="shared" si="194"/>
        <v>223.8288</v>
      </c>
      <c r="BW317" s="387">
        <f t="shared" si="195"/>
        <v>0</v>
      </c>
      <c r="BX317" s="387">
        <f t="shared" si="210"/>
        <v>13594.96632</v>
      </c>
      <c r="BY317" s="387">
        <f t="shared" si="211"/>
        <v>0</v>
      </c>
      <c r="BZ317" s="387">
        <f t="shared" si="212"/>
        <v>0</v>
      </c>
      <c r="CA317" s="387">
        <f t="shared" si="213"/>
        <v>0</v>
      </c>
      <c r="CB317" s="387">
        <f t="shared" si="214"/>
        <v>0</v>
      </c>
      <c r="CC317" s="387">
        <f t="shared" si="196"/>
        <v>0</v>
      </c>
      <c r="CD317" s="387">
        <f t="shared" si="197"/>
        <v>0</v>
      </c>
      <c r="CE317" s="387">
        <f t="shared" si="198"/>
        <v>0</v>
      </c>
      <c r="CF317" s="387">
        <f t="shared" si="199"/>
        <v>-322.57679999999999</v>
      </c>
      <c r="CG317" s="387">
        <f t="shared" si="200"/>
        <v>0</v>
      </c>
      <c r="CH317" s="387">
        <f t="shared" si="201"/>
        <v>46.082399999999978</v>
      </c>
      <c r="CI317" s="387">
        <f t="shared" si="202"/>
        <v>0</v>
      </c>
      <c r="CJ317" s="387">
        <f t="shared" si="215"/>
        <v>-276.49440000000004</v>
      </c>
      <c r="CK317" s="387" t="str">
        <f t="shared" si="216"/>
        <v/>
      </c>
      <c r="CL317" s="387" t="str">
        <f t="shared" si="217"/>
        <v/>
      </c>
      <c r="CM317" s="387" t="str">
        <f t="shared" si="218"/>
        <v/>
      </c>
      <c r="CN317" s="387" t="str">
        <f t="shared" si="219"/>
        <v>0348-31</v>
      </c>
    </row>
    <row r="318" spans="1:92" ht="15.75" thickBot="1" x14ac:dyDescent="0.3">
      <c r="A318" s="376" t="s">
        <v>161</v>
      </c>
      <c r="B318" s="376" t="s">
        <v>162</v>
      </c>
      <c r="C318" s="376" t="s">
        <v>809</v>
      </c>
      <c r="D318" s="376" t="s">
        <v>786</v>
      </c>
      <c r="E318" s="376" t="s">
        <v>224</v>
      </c>
      <c r="F318" s="382" t="s">
        <v>225</v>
      </c>
      <c r="G318" s="376" t="s">
        <v>781</v>
      </c>
      <c r="H318" s="378"/>
      <c r="I318" s="378"/>
      <c r="J318" s="376" t="s">
        <v>239</v>
      </c>
      <c r="K318" s="376" t="s">
        <v>787</v>
      </c>
      <c r="L318" s="376" t="s">
        <v>181</v>
      </c>
      <c r="M318" s="376" t="s">
        <v>171</v>
      </c>
      <c r="N318" s="376" t="s">
        <v>172</v>
      </c>
      <c r="O318" s="379">
        <v>1</v>
      </c>
      <c r="P318" s="385">
        <v>0.95</v>
      </c>
      <c r="Q318" s="385">
        <v>0.95</v>
      </c>
      <c r="R318" s="380">
        <v>80</v>
      </c>
      <c r="S318" s="385">
        <v>0.95</v>
      </c>
      <c r="T318" s="380">
        <v>61621.8</v>
      </c>
      <c r="U318" s="380">
        <v>0</v>
      </c>
      <c r="V318" s="380">
        <v>23247.33</v>
      </c>
      <c r="W318" s="380">
        <v>69891.12</v>
      </c>
      <c r="X318" s="380">
        <v>26181.42</v>
      </c>
      <c r="Y318" s="380">
        <v>69891.12</v>
      </c>
      <c r="Z318" s="380">
        <v>25887.88</v>
      </c>
      <c r="AA318" s="376" t="s">
        <v>810</v>
      </c>
      <c r="AB318" s="376" t="s">
        <v>811</v>
      </c>
      <c r="AC318" s="376" t="s">
        <v>812</v>
      </c>
      <c r="AD318" s="376" t="s">
        <v>268</v>
      </c>
      <c r="AE318" s="376" t="s">
        <v>787</v>
      </c>
      <c r="AF318" s="376" t="s">
        <v>211</v>
      </c>
      <c r="AG318" s="376" t="s">
        <v>178</v>
      </c>
      <c r="AH318" s="381">
        <v>35.369999999999997</v>
      </c>
      <c r="AI318" s="381">
        <v>63356.7</v>
      </c>
      <c r="AJ318" s="376" t="s">
        <v>179</v>
      </c>
      <c r="AK318" s="376" t="s">
        <v>180</v>
      </c>
      <c r="AL318" s="376" t="s">
        <v>181</v>
      </c>
      <c r="AM318" s="376" t="s">
        <v>182</v>
      </c>
      <c r="AN318" s="376" t="s">
        <v>68</v>
      </c>
      <c r="AO318" s="379">
        <v>80</v>
      </c>
      <c r="AP318" s="385">
        <v>1</v>
      </c>
      <c r="AQ318" s="385">
        <v>0.95</v>
      </c>
      <c r="AR318" s="383" t="s">
        <v>183</v>
      </c>
      <c r="AS318" s="387">
        <f t="shared" si="203"/>
        <v>0.95</v>
      </c>
      <c r="AT318">
        <f t="shared" si="204"/>
        <v>1</v>
      </c>
      <c r="AU318" s="387">
        <f>IF(AT318=0,"",IF(AND(AT318=1,M318="F",SUMIF(C2:C1334,C318,AS2:AS1334)&lt;=1),SUMIF(C2:C1334,C318,AS2:AS1334),IF(AND(AT318=1,M318="F",SUMIF(C2:C1334,C318,AS2:AS1334)&gt;1),1,"")))</f>
        <v>1</v>
      </c>
      <c r="AV318" s="387" t="str">
        <f>IF(AT318=0,"",IF(AND(AT318=3,M318="F",SUMIF(C2:C1334,C318,AS2:AS1334)&lt;=1),SUMIF(C2:C1334,C318,AS2:AS1334),IF(AND(AT318=3,M318="F",SUMIF(C2:C1334,C318,AS2:AS1334)&gt;1),1,"")))</f>
        <v/>
      </c>
      <c r="AW318" s="387">
        <f>SUMIF(C2:C1334,C318,O2:O1334)</f>
        <v>4</v>
      </c>
      <c r="AX318" s="387">
        <f>IF(AND(M318="F",AS318&lt;&gt;0),SUMIF(C2:C1334,C318,W2:W1334),0)</f>
        <v>73569.599999999991</v>
      </c>
      <c r="AY318" s="387">
        <f t="shared" si="205"/>
        <v>69891.12</v>
      </c>
      <c r="AZ318" s="387" t="str">
        <f t="shared" si="206"/>
        <v/>
      </c>
      <c r="BA318" s="387">
        <f t="shared" si="207"/>
        <v>0</v>
      </c>
      <c r="BB318" s="387">
        <f t="shared" si="176"/>
        <v>11067.5</v>
      </c>
      <c r="BC318" s="387">
        <f t="shared" si="177"/>
        <v>0</v>
      </c>
      <c r="BD318" s="387">
        <f t="shared" si="178"/>
        <v>4333.2494399999996</v>
      </c>
      <c r="BE318" s="387">
        <f t="shared" si="179"/>
        <v>1013.42124</v>
      </c>
      <c r="BF318" s="387">
        <f t="shared" si="180"/>
        <v>8344.9997280000007</v>
      </c>
      <c r="BG318" s="387">
        <f t="shared" si="181"/>
        <v>503.91497519999996</v>
      </c>
      <c r="BH318" s="387">
        <f t="shared" si="182"/>
        <v>342.46648799999997</v>
      </c>
      <c r="BI318" s="387">
        <f t="shared" si="183"/>
        <v>386.8473492</v>
      </c>
      <c r="BJ318" s="387">
        <f t="shared" si="184"/>
        <v>188.70602399999999</v>
      </c>
      <c r="BK318" s="387">
        <f t="shared" si="185"/>
        <v>0</v>
      </c>
      <c r="BL318" s="387">
        <f t="shared" si="208"/>
        <v>15113.605244399998</v>
      </c>
      <c r="BM318" s="387">
        <f t="shared" si="209"/>
        <v>0</v>
      </c>
      <c r="BN318" s="387">
        <f t="shared" si="186"/>
        <v>11067.5</v>
      </c>
      <c r="BO318" s="387">
        <f t="shared" si="187"/>
        <v>0</v>
      </c>
      <c r="BP318" s="387">
        <f t="shared" si="188"/>
        <v>4333.2494399999996</v>
      </c>
      <c r="BQ318" s="387">
        <f t="shared" si="189"/>
        <v>1013.42124</v>
      </c>
      <c r="BR318" s="387">
        <f t="shared" si="190"/>
        <v>8344.9997280000007</v>
      </c>
      <c r="BS318" s="387">
        <f t="shared" si="191"/>
        <v>503.91497519999996</v>
      </c>
      <c r="BT318" s="387">
        <f t="shared" si="192"/>
        <v>0</v>
      </c>
      <c r="BU318" s="387">
        <f t="shared" si="193"/>
        <v>386.8473492</v>
      </c>
      <c r="BV318" s="387">
        <f t="shared" si="194"/>
        <v>237.62980799999997</v>
      </c>
      <c r="BW318" s="387">
        <f t="shared" si="195"/>
        <v>0</v>
      </c>
      <c r="BX318" s="387">
        <f t="shared" si="210"/>
        <v>14820.062540399998</v>
      </c>
      <c r="BY318" s="387">
        <f t="shared" si="211"/>
        <v>0</v>
      </c>
      <c r="BZ318" s="387">
        <f t="shared" si="212"/>
        <v>0</v>
      </c>
      <c r="CA318" s="387">
        <f t="shared" si="213"/>
        <v>0</v>
      </c>
      <c r="CB318" s="387">
        <f t="shared" si="214"/>
        <v>0</v>
      </c>
      <c r="CC318" s="387">
        <f t="shared" si="196"/>
        <v>0</v>
      </c>
      <c r="CD318" s="387">
        <f t="shared" si="197"/>
        <v>0</v>
      </c>
      <c r="CE318" s="387">
        <f t="shared" si="198"/>
        <v>0</v>
      </c>
      <c r="CF318" s="387">
        <f t="shared" si="199"/>
        <v>-342.46648799999997</v>
      </c>
      <c r="CG318" s="387">
        <f t="shared" si="200"/>
        <v>0</v>
      </c>
      <c r="CH318" s="387">
        <f t="shared" si="201"/>
        <v>48.923783999999976</v>
      </c>
      <c r="CI318" s="387">
        <f t="shared" si="202"/>
        <v>0</v>
      </c>
      <c r="CJ318" s="387">
        <f t="shared" si="215"/>
        <v>-293.54270400000001</v>
      </c>
      <c r="CK318" s="387" t="str">
        <f t="shared" si="216"/>
        <v/>
      </c>
      <c r="CL318" s="387" t="str">
        <f t="shared" si="217"/>
        <v/>
      </c>
      <c r="CM318" s="387" t="str">
        <f t="shared" si="218"/>
        <v/>
      </c>
      <c r="CN318" s="387" t="str">
        <f t="shared" si="219"/>
        <v>0348-31</v>
      </c>
    </row>
    <row r="319" spans="1:92" ht="15.75" thickBot="1" x14ac:dyDescent="0.3">
      <c r="A319" s="376" t="s">
        <v>161</v>
      </c>
      <c r="B319" s="376" t="s">
        <v>162</v>
      </c>
      <c r="C319" s="376" t="s">
        <v>286</v>
      </c>
      <c r="D319" s="376" t="s">
        <v>287</v>
      </c>
      <c r="E319" s="376" t="s">
        <v>224</v>
      </c>
      <c r="F319" s="382" t="s">
        <v>225</v>
      </c>
      <c r="G319" s="376" t="s">
        <v>781</v>
      </c>
      <c r="H319" s="378"/>
      <c r="I319" s="378"/>
      <c r="J319" s="376" t="s">
        <v>288</v>
      </c>
      <c r="K319" s="376" t="s">
        <v>289</v>
      </c>
      <c r="L319" s="376" t="s">
        <v>170</v>
      </c>
      <c r="M319" s="376" t="s">
        <v>171</v>
      </c>
      <c r="N319" s="376" t="s">
        <v>172</v>
      </c>
      <c r="O319" s="379">
        <v>1</v>
      </c>
      <c r="P319" s="385">
        <v>0.25</v>
      </c>
      <c r="Q319" s="385">
        <v>0.25</v>
      </c>
      <c r="R319" s="380">
        <v>80</v>
      </c>
      <c r="S319" s="385">
        <v>0.25</v>
      </c>
      <c r="T319" s="380">
        <v>48058.97</v>
      </c>
      <c r="U319" s="380">
        <v>0</v>
      </c>
      <c r="V319" s="380">
        <v>19373.37</v>
      </c>
      <c r="W319" s="380">
        <v>15381.6</v>
      </c>
      <c r="X319" s="380">
        <v>6238.75</v>
      </c>
      <c r="Y319" s="380">
        <v>15381.6</v>
      </c>
      <c r="Z319" s="380">
        <v>6174.15</v>
      </c>
      <c r="AA319" s="376" t="s">
        <v>290</v>
      </c>
      <c r="AB319" s="376" t="s">
        <v>291</v>
      </c>
      <c r="AC319" s="376" t="s">
        <v>292</v>
      </c>
      <c r="AD319" s="376" t="s">
        <v>210</v>
      </c>
      <c r="AE319" s="376" t="s">
        <v>289</v>
      </c>
      <c r="AF319" s="376" t="s">
        <v>177</v>
      </c>
      <c r="AG319" s="376" t="s">
        <v>178</v>
      </c>
      <c r="AH319" s="381">
        <v>29.58</v>
      </c>
      <c r="AI319" s="379">
        <v>41341</v>
      </c>
      <c r="AJ319" s="376" t="s">
        <v>179</v>
      </c>
      <c r="AK319" s="376" t="s">
        <v>180</v>
      </c>
      <c r="AL319" s="376" t="s">
        <v>181</v>
      </c>
      <c r="AM319" s="376" t="s">
        <v>182</v>
      </c>
      <c r="AN319" s="376" t="s">
        <v>68</v>
      </c>
      <c r="AO319" s="379">
        <v>80</v>
      </c>
      <c r="AP319" s="385">
        <v>1</v>
      </c>
      <c r="AQ319" s="385">
        <v>0.25</v>
      </c>
      <c r="AR319" s="383" t="s">
        <v>183</v>
      </c>
      <c r="AS319" s="387">
        <f t="shared" si="203"/>
        <v>0.25</v>
      </c>
      <c r="AT319">
        <f t="shared" si="204"/>
        <v>1</v>
      </c>
      <c r="AU319" s="387">
        <f>IF(AT319=0,"",IF(AND(AT319=1,M319="F",SUMIF(C2:C1334,C319,AS2:AS1334)&lt;=1),SUMIF(C2:C1334,C319,AS2:AS1334),IF(AND(AT319=1,M319="F",SUMIF(C2:C1334,C319,AS2:AS1334)&gt;1),1,"")))</f>
        <v>1</v>
      </c>
      <c r="AV319" s="387" t="str">
        <f>IF(AT319=0,"",IF(AND(AT319=3,M319="F",SUMIF(C2:C1334,C319,AS2:AS1334)&lt;=1),SUMIF(C2:C1334,C319,AS2:AS1334),IF(AND(AT319=3,M319="F",SUMIF(C2:C1334,C319,AS2:AS1334)&gt;1),1,"")))</f>
        <v/>
      </c>
      <c r="AW319" s="387">
        <f>SUMIF(C2:C1334,C319,O2:O1334)</f>
        <v>7</v>
      </c>
      <c r="AX319" s="387">
        <f>IF(AND(M319="F",AS319&lt;&gt;0),SUMIF(C2:C1334,C319,W2:W1334),0)</f>
        <v>61526.399999999994</v>
      </c>
      <c r="AY319" s="387">
        <f t="shared" si="205"/>
        <v>15381.6</v>
      </c>
      <c r="AZ319" s="387" t="str">
        <f t="shared" si="206"/>
        <v/>
      </c>
      <c r="BA319" s="387">
        <f t="shared" si="207"/>
        <v>0</v>
      </c>
      <c r="BB319" s="387">
        <f t="shared" si="176"/>
        <v>2912.5</v>
      </c>
      <c r="BC319" s="387">
        <f t="shared" si="177"/>
        <v>0</v>
      </c>
      <c r="BD319" s="387">
        <f t="shared" si="178"/>
        <v>953.65920000000006</v>
      </c>
      <c r="BE319" s="387">
        <f t="shared" si="179"/>
        <v>223.03320000000002</v>
      </c>
      <c r="BF319" s="387">
        <f t="shared" si="180"/>
        <v>1836.5630400000002</v>
      </c>
      <c r="BG319" s="387">
        <f t="shared" si="181"/>
        <v>110.901336</v>
      </c>
      <c r="BH319" s="387">
        <f t="shared" si="182"/>
        <v>75.369839999999996</v>
      </c>
      <c r="BI319" s="387">
        <f t="shared" si="183"/>
        <v>85.137156000000004</v>
      </c>
      <c r="BJ319" s="387">
        <f t="shared" si="184"/>
        <v>41.530320000000003</v>
      </c>
      <c r="BK319" s="387">
        <f t="shared" si="185"/>
        <v>0</v>
      </c>
      <c r="BL319" s="387">
        <f t="shared" si="208"/>
        <v>3326.1940919999997</v>
      </c>
      <c r="BM319" s="387">
        <f t="shared" si="209"/>
        <v>0</v>
      </c>
      <c r="BN319" s="387">
        <f t="shared" si="186"/>
        <v>2912.5</v>
      </c>
      <c r="BO319" s="387">
        <f t="shared" si="187"/>
        <v>0</v>
      </c>
      <c r="BP319" s="387">
        <f t="shared" si="188"/>
        <v>953.65920000000006</v>
      </c>
      <c r="BQ319" s="387">
        <f t="shared" si="189"/>
        <v>223.03320000000002</v>
      </c>
      <c r="BR319" s="387">
        <f t="shared" si="190"/>
        <v>1836.5630400000002</v>
      </c>
      <c r="BS319" s="387">
        <f t="shared" si="191"/>
        <v>110.901336</v>
      </c>
      <c r="BT319" s="387">
        <f t="shared" si="192"/>
        <v>0</v>
      </c>
      <c r="BU319" s="387">
        <f t="shared" si="193"/>
        <v>85.137156000000004</v>
      </c>
      <c r="BV319" s="387">
        <f t="shared" si="194"/>
        <v>52.297440000000002</v>
      </c>
      <c r="BW319" s="387">
        <f t="shared" si="195"/>
        <v>0</v>
      </c>
      <c r="BX319" s="387">
        <f t="shared" si="210"/>
        <v>3261.5913720000003</v>
      </c>
      <c r="BY319" s="387">
        <f t="shared" si="211"/>
        <v>0</v>
      </c>
      <c r="BZ319" s="387">
        <f t="shared" si="212"/>
        <v>0</v>
      </c>
      <c r="CA319" s="387">
        <f t="shared" si="213"/>
        <v>0</v>
      </c>
      <c r="CB319" s="387">
        <f t="shared" si="214"/>
        <v>0</v>
      </c>
      <c r="CC319" s="387">
        <f t="shared" si="196"/>
        <v>0</v>
      </c>
      <c r="CD319" s="387">
        <f t="shared" si="197"/>
        <v>0</v>
      </c>
      <c r="CE319" s="387">
        <f t="shared" si="198"/>
        <v>0</v>
      </c>
      <c r="CF319" s="387">
        <f t="shared" si="199"/>
        <v>-75.369839999999996</v>
      </c>
      <c r="CG319" s="387">
        <f t="shared" si="200"/>
        <v>0</v>
      </c>
      <c r="CH319" s="387">
        <f t="shared" si="201"/>
        <v>10.767119999999995</v>
      </c>
      <c r="CI319" s="387">
        <f t="shared" si="202"/>
        <v>0</v>
      </c>
      <c r="CJ319" s="387">
        <f t="shared" si="215"/>
        <v>-64.602720000000005</v>
      </c>
      <c r="CK319" s="387" t="str">
        <f t="shared" si="216"/>
        <v/>
      </c>
      <c r="CL319" s="387" t="str">
        <f t="shared" si="217"/>
        <v/>
      </c>
      <c r="CM319" s="387" t="str">
        <f t="shared" si="218"/>
        <v/>
      </c>
      <c r="CN319" s="387" t="str">
        <f t="shared" si="219"/>
        <v>0348-31</v>
      </c>
    </row>
    <row r="320" spans="1:92" ht="15.75" thickBot="1" x14ac:dyDescent="0.3">
      <c r="A320" s="376" t="s">
        <v>161</v>
      </c>
      <c r="B320" s="376" t="s">
        <v>162</v>
      </c>
      <c r="C320" s="376" t="s">
        <v>1123</v>
      </c>
      <c r="D320" s="376" t="s">
        <v>1124</v>
      </c>
      <c r="E320" s="376" t="s">
        <v>224</v>
      </c>
      <c r="F320" s="382" t="s">
        <v>225</v>
      </c>
      <c r="G320" s="376" t="s">
        <v>781</v>
      </c>
      <c r="H320" s="378"/>
      <c r="I320" s="378"/>
      <c r="J320" s="376" t="s">
        <v>215</v>
      </c>
      <c r="K320" s="376" t="s">
        <v>1125</v>
      </c>
      <c r="L320" s="376" t="s">
        <v>170</v>
      </c>
      <c r="M320" s="376" t="s">
        <v>171</v>
      </c>
      <c r="N320" s="376" t="s">
        <v>172</v>
      </c>
      <c r="O320" s="379">
        <v>1</v>
      </c>
      <c r="P320" s="385">
        <v>1</v>
      </c>
      <c r="Q320" s="385">
        <v>1</v>
      </c>
      <c r="R320" s="380">
        <v>80</v>
      </c>
      <c r="S320" s="385">
        <v>1</v>
      </c>
      <c r="T320" s="380">
        <v>50027.199999999997</v>
      </c>
      <c r="U320" s="380">
        <v>0</v>
      </c>
      <c r="V320" s="380">
        <v>22076.639999999999</v>
      </c>
      <c r="W320" s="380">
        <v>52124.800000000003</v>
      </c>
      <c r="X320" s="380">
        <v>22921.95</v>
      </c>
      <c r="Y320" s="380">
        <v>52124.800000000003</v>
      </c>
      <c r="Z320" s="380">
        <v>22703.03</v>
      </c>
      <c r="AA320" s="376" t="s">
        <v>1126</v>
      </c>
      <c r="AB320" s="376" t="s">
        <v>1127</v>
      </c>
      <c r="AC320" s="376" t="s">
        <v>622</v>
      </c>
      <c r="AD320" s="376" t="s">
        <v>566</v>
      </c>
      <c r="AE320" s="376" t="s">
        <v>1125</v>
      </c>
      <c r="AF320" s="376" t="s">
        <v>177</v>
      </c>
      <c r="AG320" s="376" t="s">
        <v>178</v>
      </c>
      <c r="AH320" s="381">
        <v>25.06</v>
      </c>
      <c r="AI320" s="381">
        <v>46846.1</v>
      </c>
      <c r="AJ320" s="376" t="s">
        <v>179</v>
      </c>
      <c r="AK320" s="376" t="s">
        <v>180</v>
      </c>
      <c r="AL320" s="376" t="s">
        <v>181</v>
      </c>
      <c r="AM320" s="376" t="s">
        <v>182</v>
      </c>
      <c r="AN320" s="376" t="s">
        <v>68</v>
      </c>
      <c r="AO320" s="379">
        <v>80</v>
      </c>
      <c r="AP320" s="385">
        <v>1</v>
      </c>
      <c r="AQ320" s="385">
        <v>1</v>
      </c>
      <c r="AR320" s="383" t="s">
        <v>183</v>
      </c>
      <c r="AS320" s="387">
        <f t="shared" si="203"/>
        <v>1</v>
      </c>
      <c r="AT320">
        <f t="shared" si="204"/>
        <v>1</v>
      </c>
      <c r="AU320" s="387">
        <f>IF(AT320=0,"",IF(AND(AT320=1,M320="F",SUMIF(C2:C1334,C320,AS2:AS1334)&lt;=1),SUMIF(C2:C1334,C320,AS2:AS1334),IF(AND(AT320=1,M320="F",SUMIF(C2:C1334,C320,AS2:AS1334)&gt;1),1,"")))</f>
        <v>1</v>
      </c>
      <c r="AV320" s="387" t="str">
        <f>IF(AT320=0,"",IF(AND(AT320=3,M320="F",SUMIF(C2:C1334,C320,AS2:AS1334)&lt;=1),SUMIF(C2:C1334,C320,AS2:AS1334),IF(AND(AT320=3,M320="F",SUMIF(C2:C1334,C320,AS2:AS1334)&gt;1),1,"")))</f>
        <v/>
      </c>
      <c r="AW320" s="387">
        <f>SUMIF(C2:C1334,C320,O2:O1334)</f>
        <v>1</v>
      </c>
      <c r="AX320" s="387">
        <f>IF(AND(M320="F",AS320&lt;&gt;0),SUMIF(C2:C1334,C320,W2:W1334),0)</f>
        <v>52124.800000000003</v>
      </c>
      <c r="AY320" s="387">
        <f t="shared" si="205"/>
        <v>52124.800000000003</v>
      </c>
      <c r="AZ320" s="387" t="str">
        <f t="shared" si="206"/>
        <v/>
      </c>
      <c r="BA320" s="387">
        <f t="shared" si="207"/>
        <v>0</v>
      </c>
      <c r="BB320" s="387">
        <f t="shared" si="176"/>
        <v>11650</v>
      </c>
      <c r="BC320" s="387">
        <f t="shared" si="177"/>
        <v>0</v>
      </c>
      <c r="BD320" s="387">
        <f t="shared" si="178"/>
        <v>3231.7376000000004</v>
      </c>
      <c r="BE320" s="387">
        <f t="shared" si="179"/>
        <v>755.80960000000005</v>
      </c>
      <c r="BF320" s="387">
        <f t="shared" si="180"/>
        <v>6223.7011200000006</v>
      </c>
      <c r="BG320" s="387">
        <f t="shared" si="181"/>
        <v>375.81980800000002</v>
      </c>
      <c r="BH320" s="387">
        <f t="shared" si="182"/>
        <v>255.41152</v>
      </c>
      <c r="BI320" s="387">
        <f t="shared" si="183"/>
        <v>288.51076800000004</v>
      </c>
      <c r="BJ320" s="387">
        <f t="shared" si="184"/>
        <v>140.73696000000001</v>
      </c>
      <c r="BK320" s="387">
        <f t="shared" si="185"/>
        <v>0</v>
      </c>
      <c r="BL320" s="387">
        <f t="shared" si="208"/>
        <v>11271.727376000001</v>
      </c>
      <c r="BM320" s="387">
        <f t="shared" si="209"/>
        <v>0</v>
      </c>
      <c r="BN320" s="387">
        <f t="shared" si="186"/>
        <v>11650</v>
      </c>
      <c r="BO320" s="387">
        <f t="shared" si="187"/>
        <v>0</v>
      </c>
      <c r="BP320" s="387">
        <f t="shared" si="188"/>
        <v>3231.7376000000004</v>
      </c>
      <c r="BQ320" s="387">
        <f t="shared" si="189"/>
        <v>755.80960000000005</v>
      </c>
      <c r="BR320" s="387">
        <f t="shared" si="190"/>
        <v>6223.7011200000006</v>
      </c>
      <c r="BS320" s="387">
        <f t="shared" si="191"/>
        <v>375.81980800000002</v>
      </c>
      <c r="BT320" s="387">
        <f t="shared" si="192"/>
        <v>0</v>
      </c>
      <c r="BU320" s="387">
        <f t="shared" si="193"/>
        <v>288.51076800000004</v>
      </c>
      <c r="BV320" s="387">
        <f t="shared" si="194"/>
        <v>177.22432000000001</v>
      </c>
      <c r="BW320" s="387">
        <f t="shared" si="195"/>
        <v>0</v>
      </c>
      <c r="BX320" s="387">
        <f t="shared" si="210"/>
        <v>11052.803216</v>
      </c>
      <c r="BY320" s="387">
        <f t="shared" si="211"/>
        <v>0</v>
      </c>
      <c r="BZ320" s="387">
        <f t="shared" si="212"/>
        <v>0</v>
      </c>
      <c r="CA320" s="387">
        <f t="shared" si="213"/>
        <v>0</v>
      </c>
      <c r="CB320" s="387">
        <f t="shared" si="214"/>
        <v>0</v>
      </c>
      <c r="CC320" s="387">
        <f t="shared" si="196"/>
        <v>0</v>
      </c>
      <c r="CD320" s="387">
        <f t="shared" si="197"/>
        <v>0</v>
      </c>
      <c r="CE320" s="387">
        <f t="shared" si="198"/>
        <v>0</v>
      </c>
      <c r="CF320" s="387">
        <f t="shared" si="199"/>
        <v>-255.41152</v>
      </c>
      <c r="CG320" s="387">
        <f t="shared" si="200"/>
        <v>0</v>
      </c>
      <c r="CH320" s="387">
        <f t="shared" si="201"/>
        <v>36.487359999999988</v>
      </c>
      <c r="CI320" s="387">
        <f t="shared" si="202"/>
        <v>0</v>
      </c>
      <c r="CJ320" s="387">
        <f t="shared" si="215"/>
        <v>-218.92416</v>
      </c>
      <c r="CK320" s="387" t="str">
        <f t="shared" si="216"/>
        <v/>
      </c>
      <c r="CL320" s="387" t="str">
        <f t="shared" si="217"/>
        <v/>
      </c>
      <c r="CM320" s="387" t="str">
        <f t="shared" si="218"/>
        <v/>
      </c>
      <c r="CN320" s="387" t="str">
        <f t="shared" si="219"/>
        <v>0348-31</v>
      </c>
    </row>
    <row r="321" spans="1:92" ht="15.75" thickBot="1" x14ac:dyDescent="0.3">
      <c r="A321" s="376" t="s">
        <v>161</v>
      </c>
      <c r="B321" s="376" t="s">
        <v>162</v>
      </c>
      <c r="C321" s="376" t="s">
        <v>1128</v>
      </c>
      <c r="D321" s="376" t="s">
        <v>862</v>
      </c>
      <c r="E321" s="376" t="s">
        <v>224</v>
      </c>
      <c r="F321" s="382" t="s">
        <v>225</v>
      </c>
      <c r="G321" s="376" t="s">
        <v>781</v>
      </c>
      <c r="H321" s="378"/>
      <c r="I321" s="378"/>
      <c r="J321" s="376" t="s">
        <v>239</v>
      </c>
      <c r="K321" s="376" t="s">
        <v>863</v>
      </c>
      <c r="L321" s="376" t="s">
        <v>252</v>
      </c>
      <c r="M321" s="376" t="s">
        <v>171</v>
      </c>
      <c r="N321" s="376" t="s">
        <v>172</v>
      </c>
      <c r="O321" s="379">
        <v>1</v>
      </c>
      <c r="P321" s="385">
        <v>0.3</v>
      </c>
      <c r="Q321" s="385">
        <v>0.3</v>
      </c>
      <c r="R321" s="380">
        <v>80</v>
      </c>
      <c r="S321" s="385">
        <v>0.3</v>
      </c>
      <c r="T321" s="380">
        <v>11073.43</v>
      </c>
      <c r="U321" s="380">
        <v>0</v>
      </c>
      <c r="V321" s="380">
        <v>5111.57</v>
      </c>
      <c r="W321" s="380">
        <v>13484.64</v>
      </c>
      <c r="X321" s="380">
        <v>6411.04</v>
      </c>
      <c r="Y321" s="380">
        <v>13484.64</v>
      </c>
      <c r="Z321" s="380">
        <v>6354.4</v>
      </c>
      <c r="AA321" s="376" t="s">
        <v>1129</v>
      </c>
      <c r="AB321" s="376" t="s">
        <v>1130</v>
      </c>
      <c r="AC321" s="376" t="s">
        <v>840</v>
      </c>
      <c r="AD321" s="376" t="s">
        <v>441</v>
      </c>
      <c r="AE321" s="376" t="s">
        <v>863</v>
      </c>
      <c r="AF321" s="376" t="s">
        <v>393</v>
      </c>
      <c r="AG321" s="376" t="s">
        <v>178</v>
      </c>
      <c r="AH321" s="381">
        <v>21.61</v>
      </c>
      <c r="AI321" s="381">
        <v>25033.5</v>
      </c>
      <c r="AJ321" s="376" t="s">
        <v>179</v>
      </c>
      <c r="AK321" s="376" t="s">
        <v>180</v>
      </c>
      <c r="AL321" s="376" t="s">
        <v>181</v>
      </c>
      <c r="AM321" s="376" t="s">
        <v>182</v>
      </c>
      <c r="AN321" s="376" t="s">
        <v>68</v>
      </c>
      <c r="AO321" s="379">
        <v>80</v>
      </c>
      <c r="AP321" s="385">
        <v>1</v>
      </c>
      <c r="AQ321" s="385">
        <v>0.3</v>
      </c>
      <c r="AR321" s="383" t="s">
        <v>183</v>
      </c>
      <c r="AS321" s="387">
        <f t="shared" si="203"/>
        <v>0.3</v>
      </c>
      <c r="AT321">
        <f t="shared" si="204"/>
        <v>1</v>
      </c>
      <c r="AU321" s="387">
        <f>IF(AT321=0,"",IF(AND(AT321=1,M321="F",SUMIF(C2:C1334,C321,AS2:AS1334)&lt;=1),SUMIF(C2:C1334,C321,AS2:AS1334),IF(AND(AT321=1,M321="F",SUMIF(C2:C1334,C321,AS2:AS1334)&gt;1),1,"")))</f>
        <v>1</v>
      </c>
      <c r="AV321" s="387" t="str">
        <f>IF(AT321=0,"",IF(AND(AT321=3,M321="F",SUMIF(C2:C1334,C321,AS2:AS1334)&lt;=1),SUMIF(C2:C1334,C321,AS2:AS1334),IF(AND(AT321=3,M321="F",SUMIF(C2:C1334,C321,AS2:AS1334)&gt;1),1,"")))</f>
        <v/>
      </c>
      <c r="AW321" s="387">
        <f>SUMIF(C2:C1334,C321,O2:O1334)</f>
        <v>3</v>
      </c>
      <c r="AX321" s="387">
        <f>IF(AND(M321="F",AS321&lt;&gt;0),SUMIF(C2:C1334,C321,W2:W1334),0)</f>
        <v>44948.800000000003</v>
      </c>
      <c r="AY321" s="387">
        <f t="shared" si="205"/>
        <v>13484.64</v>
      </c>
      <c r="AZ321" s="387" t="str">
        <f t="shared" si="206"/>
        <v/>
      </c>
      <c r="BA321" s="387">
        <f t="shared" si="207"/>
        <v>0</v>
      </c>
      <c r="BB321" s="387">
        <f t="shared" si="176"/>
        <v>3495</v>
      </c>
      <c r="BC321" s="387">
        <f t="shared" si="177"/>
        <v>0</v>
      </c>
      <c r="BD321" s="387">
        <f t="shared" si="178"/>
        <v>836.04768000000001</v>
      </c>
      <c r="BE321" s="387">
        <f t="shared" si="179"/>
        <v>195.52727999999999</v>
      </c>
      <c r="BF321" s="387">
        <f t="shared" si="180"/>
        <v>1610.066016</v>
      </c>
      <c r="BG321" s="387">
        <f t="shared" si="181"/>
        <v>97.224254399999992</v>
      </c>
      <c r="BH321" s="387">
        <f t="shared" si="182"/>
        <v>66.074736000000001</v>
      </c>
      <c r="BI321" s="387">
        <f t="shared" si="183"/>
        <v>74.637482399999996</v>
      </c>
      <c r="BJ321" s="387">
        <f t="shared" si="184"/>
        <v>36.408527999999997</v>
      </c>
      <c r="BK321" s="387">
        <f t="shared" si="185"/>
        <v>0</v>
      </c>
      <c r="BL321" s="387">
        <f t="shared" si="208"/>
        <v>2915.9859767999997</v>
      </c>
      <c r="BM321" s="387">
        <f t="shared" si="209"/>
        <v>0</v>
      </c>
      <c r="BN321" s="387">
        <f t="shared" si="186"/>
        <v>3495</v>
      </c>
      <c r="BO321" s="387">
        <f t="shared" si="187"/>
        <v>0</v>
      </c>
      <c r="BP321" s="387">
        <f t="shared" si="188"/>
        <v>836.04768000000001</v>
      </c>
      <c r="BQ321" s="387">
        <f t="shared" si="189"/>
        <v>195.52727999999999</v>
      </c>
      <c r="BR321" s="387">
        <f t="shared" si="190"/>
        <v>1610.066016</v>
      </c>
      <c r="BS321" s="387">
        <f t="shared" si="191"/>
        <v>97.224254399999992</v>
      </c>
      <c r="BT321" s="387">
        <f t="shared" si="192"/>
        <v>0</v>
      </c>
      <c r="BU321" s="387">
        <f t="shared" si="193"/>
        <v>74.637482399999996</v>
      </c>
      <c r="BV321" s="387">
        <f t="shared" si="194"/>
        <v>45.847775999999996</v>
      </c>
      <c r="BW321" s="387">
        <f t="shared" si="195"/>
        <v>0</v>
      </c>
      <c r="BX321" s="387">
        <f t="shared" si="210"/>
        <v>2859.3504887999998</v>
      </c>
      <c r="BY321" s="387">
        <f t="shared" si="211"/>
        <v>0</v>
      </c>
      <c r="BZ321" s="387">
        <f t="shared" si="212"/>
        <v>0</v>
      </c>
      <c r="CA321" s="387">
        <f t="shared" si="213"/>
        <v>0</v>
      </c>
      <c r="CB321" s="387">
        <f t="shared" si="214"/>
        <v>0</v>
      </c>
      <c r="CC321" s="387">
        <f t="shared" si="196"/>
        <v>0</v>
      </c>
      <c r="CD321" s="387">
        <f t="shared" si="197"/>
        <v>0</v>
      </c>
      <c r="CE321" s="387">
        <f t="shared" si="198"/>
        <v>0</v>
      </c>
      <c r="CF321" s="387">
        <f t="shared" si="199"/>
        <v>-66.074736000000001</v>
      </c>
      <c r="CG321" s="387">
        <f t="shared" si="200"/>
        <v>0</v>
      </c>
      <c r="CH321" s="387">
        <f t="shared" si="201"/>
        <v>9.4392479999999956</v>
      </c>
      <c r="CI321" s="387">
        <f t="shared" si="202"/>
        <v>0</v>
      </c>
      <c r="CJ321" s="387">
        <f t="shared" si="215"/>
        <v>-56.635488000000009</v>
      </c>
      <c r="CK321" s="387" t="str">
        <f t="shared" si="216"/>
        <v/>
      </c>
      <c r="CL321" s="387" t="str">
        <f t="shared" si="217"/>
        <v/>
      </c>
      <c r="CM321" s="387" t="str">
        <f t="shared" si="218"/>
        <v/>
      </c>
      <c r="CN321" s="387" t="str">
        <f t="shared" si="219"/>
        <v>0348-31</v>
      </c>
    </row>
    <row r="322" spans="1:92" ht="15.75" thickBot="1" x14ac:dyDescent="0.3">
      <c r="A322" s="376" t="s">
        <v>161</v>
      </c>
      <c r="B322" s="376" t="s">
        <v>162</v>
      </c>
      <c r="C322" s="376" t="s">
        <v>1131</v>
      </c>
      <c r="D322" s="376" t="s">
        <v>1088</v>
      </c>
      <c r="E322" s="376" t="s">
        <v>224</v>
      </c>
      <c r="F322" s="382" t="s">
        <v>225</v>
      </c>
      <c r="G322" s="376" t="s">
        <v>781</v>
      </c>
      <c r="H322" s="378"/>
      <c r="I322" s="378"/>
      <c r="J322" s="376" t="s">
        <v>215</v>
      </c>
      <c r="K322" s="376" t="s">
        <v>1089</v>
      </c>
      <c r="L322" s="376" t="s">
        <v>181</v>
      </c>
      <c r="M322" s="376" t="s">
        <v>171</v>
      </c>
      <c r="N322" s="376" t="s">
        <v>172</v>
      </c>
      <c r="O322" s="379">
        <v>1</v>
      </c>
      <c r="P322" s="385">
        <v>0</v>
      </c>
      <c r="Q322" s="385">
        <v>0</v>
      </c>
      <c r="R322" s="380">
        <v>80</v>
      </c>
      <c r="S322" s="385">
        <v>0</v>
      </c>
      <c r="T322" s="380">
        <v>76947.429999999993</v>
      </c>
      <c r="U322" s="380">
        <v>0</v>
      </c>
      <c r="V322" s="380">
        <v>27785.51</v>
      </c>
      <c r="W322" s="380">
        <v>0</v>
      </c>
      <c r="X322" s="380">
        <v>0</v>
      </c>
      <c r="Y322" s="380">
        <v>0</v>
      </c>
      <c r="Z322" s="380">
        <v>0</v>
      </c>
      <c r="AA322" s="376" t="s">
        <v>1132</v>
      </c>
      <c r="AB322" s="376" t="s">
        <v>1133</v>
      </c>
      <c r="AC322" s="376" t="s">
        <v>533</v>
      </c>
      <c r="AD322" s="376" t="s">
        <v>653</v>
      </c>
      <c r="AE322" s="376" t="s">
        <v>1089</v>
      </c>
      <c r="AF322" s="376" t="s">
        <v>211</v>
      </c>
      <c r="AG322" s="376" t="s">
        <v>178</v>
      </c>
      <c r="AH322" s="381">
        <v>38.39</v>
      </c>
      <c r="AI322" s="379">
        <v>34389</v>
      </c>
      <c r="AJ322" s="376" t="s">
        <v>179</v>
      </c>
      <c r="AK322" s="376" t="s">
        <v>180</v>
      </c>
      <c r="AL322" s="376" t="s">
        <v>181</v>
      </c>
      <c r="AM322" s="376" t="s">
        <v>182</v>
      </c>
      <c r="AN322" s="376" t="s">
        <v>68</v>
      </c>
      <c r="AO322" s="379">
        <v>80</v>
      </c>
      <c r="AP322" s="385">
        <v>1</v>
      </c>
      <c r="AQ322" s="385">
        <v>0</v>
      </c>
      <c r="AR322" s="383" t="s">
        <v>183</v>
      </c>
      <c r="AS322" s="387">
        <f t="shared" si="203"/>
        <v>0</v>
      </c>
      <c r="AT322">
        <f t="shared" si="204"/>
        <v>0</v>
      </c>
      <c r="AU322" s="387" t="str">
        <f>IF(AT322=0,"",IF(AND(AT322=1,M322="F",SUMIF(C2:C1334,C322,AS2:AS1334)&lt;=1),SUMIF(C2:C1334,C322,AS2:AS1334),IF(AND(AT322=1,M322="F",SUMIF(C2:C1334,C322,AS2:AS1334)&gt;1),1,"")))</f>
        <v/>
      </c>
      <c r="AV322" s="387" t="str">
        <f>IF(AT322=0,"",IF(AND(AT322=3,M322="F",SUMIF(C2:C1334,C322,AS2:AS1334)&lt;=1),SUMIF(C2:C1334,C322,AS2:AS1334),IF(AND(AT322=3,M322="F",SUMIF(C2:C1334,C322,AS2:AS1334)&gt;1),1,"")))</f>
        <v/>
      </c>
      <c r="AW322" s="387">
        <f>SUMIF(C2:C1334,C322,O2:O1334)</f>
        <v>2</v>
      </c>
      <c r="AX322" s="387">
        <f>IF(AND(M322="F",AS322&lt;&gt;0),SUMIF(C2:C1334,C322,W2:W1334),0)</f>
        <v>0</v>
      </c>
      <c r="AY322" s="387" t="str">
        <f t="shared" si="205"/>
        <v/>
      </c>
      <c r="AZ322" s="387" t="str">
        <f t="shared" si="206"/>
        <v/>
      </c>
      <c r="BA322" s="387">
        <f t="shared" si="207"/>
        <v>0</v>
      </c>
      <c r="BB322" s="387">
        <f t="shared" ref="BB322:BB385" si="220">IF(AND(AT322=1,AK322="E",AU322&gt;=0.75,AW322=1),Health,IF(AND(AT322=1,AK322="E",AU322&gt;=0.75),Health*P322,IF(AND(AT322=1,AK322="E",AU322&gt;=0.5,AW322=1),PTHealth,IF(AND(AT322=1,AK322="E",AU322&gt;=0.5),PTHealth*P322,0))))</f>
        <v>0</v>
      </c>
      <c r="BC322" s="387">
        <f t="shared" ref="BC322:BC385" si="221">IF(AND(AT322=3,AK322="E",AV322&gt;=0.75,AW322=1),Health,IF(AND(AT322=3,AK322="E",AV322&gt;=0.75),Health*P322,IF(AND(AT322=3,AK322="E",AV322&gt;=0.5,AW322=1),PTHealth,IF(AND(AT322=3,AK322="E",AV322&gt;=0.5),PTHealth*P322,0))))</f>
        <v>0</v>
      </c>
      <c r="BD322" s="387">
        <f t="shared" ref="BD322:BD385" si="222">IF(AND(AT322&lt;&gt;0,AX322&gt;=MAXSSDI),SSDI*MAXSSDI*P322,IF(AT322&lt;&gt;0,SSDI*W322,0))</f>
        <v>0</v>
      </c>
      <c r="BE322" s="387">
        <f t="shared" ref="BE322:BE385" si="223">IF(AT322&lt;&gt;0,SSHI*W322,0)</f>
        <v>0</v>
      </c>
      <c r="BF322" s="387">
        <f t="shared" ref="BF322:BF385" si="224">IF(AND(AT322&lt;&gt;0,AN322&lt;&gt;"NE"),VLOOKUP(AN322,Retirement_Rates,3,FALSE)*W322,0)</f>
        <v>0</v>
      </c>
      <c r="BG322" s="387">
        <f t="shared" ref="BG322:BG385" si="225">IF(AND(AT322&lt;&gt;0,AJ322&lt;&gt;"PF"),Life*W322,0)</f>
        <v>0</v>
      </c>
      <c r="BH322" s="387">
        <f t="shared" ref="BH322:BH385" si="226">IF(AND(AT322&lt;&gt;0,AM322="Y"),UI*W322,0)</f>
        <v>0</v>
      </c>
      <c r="BI322" s="387">
        <f t="shared" ref="BI322:BI385" si="227">IF(AND(AT322&lt;&gt;0,N322&lt;&gt;"NR"),DHR*W322,0)</f>
        <v>0</v>
      </c>
      <c r="BJ322" s="387">
        <f t="shared" ref="BJ322:BJ385" si="228">IF(AT322&lt;&gt;0,WC*W322,0)</f>
        <v>0</v>
      </c>
      <c r="BK322" s="387">
        <f t="shared" ref="BK322:BK385" si="229">IF(OR(AND(AT322&lt;&gt;0,AJ322&lt;&gt;"PF",AN322&lt;&gt;"NE",AG322&lt;&gt;"A"),AND(AL322="E",OR(AT322=1,AT322=3))),Sick*W322,0)</f>
        <v>0</v>
      </c>
      <c r="BL322" s="387">
        <f t="shared" si="208"/>
        <v>0</v>
      </c>
      <c r="BM322" s="387">
        <f t="shared" si="209"/>
        <v>0</v>
      </c>
      <c r="BN322" s="387">
        <f t="shared" ref="BN322:BN385" si="230">IF(AND(AT322=1,AK322="E",AU322&gt;=0.75,AW322=1),HealthBY,IF(AND(AT322=1,AK322="E",AU322&gt;=0.75),HealthBY*P322,IF(AND(AT322=1,AK322="E",AU322&gt;=0.5,AW322=1),PTHealthBY,IF(AND(AT322=1,AK322="E",AU322&gt;=0.5),PTHealthBY*P322,0))))</f>
        <v>0</v>
      </c>
      <c r="BO322" s="387">
        <f t="shared" ref="BO322:BO385" si="231">IF(AND(AT322=3,AK322="E",AV322&gt;=0.75,AW322=1),HealthBY,IF(AND(AT322=3,AK322="E",AV322&gt;=0.75),HealthBY*P322,IF(AND(AT322=3,AK322="E",AV322&gt;=0.5,AW322=1),PTHealthBY,IF(AND(AT322=3,AK322="E",AV322&gt;=0.5),PTHealthBY*P322,0))))</f>
        <v>0</v>
      </c>
      <c r="BP322" s="387">
        <f t="shared" ref="BP322:BP385" si="232">IF(AND(AT322&lt;&gt;0,(AX322+BA322)&gt;=MAXSSDIBY),SSDIBY*MAXSSDIBY*P322,IF(AT322&lt;&gt;0,SSDIBY*W322,0))</f>
        <v>0</v>
      </c>
      <c r="BQ322" s="387">
        <f t="shared" ref="BQ322:BQ385" si="233">IF(AT322&lt;&gt;0,SSHIBY*W322,0)</f>
        <v>0</v>
      </c>
      <c r="BR322" s="387">
        <f t="shared" ref="BR322:BR385" si="234">IF(AND(AT322&lt;&gt;0,AN322&lt;&gt;"NE"),VLOOKUP(AN322,Retirement_Rates,4,FALSE)*W322,0)</f>
        <v>0</v>
      </c>
      <c r="BS322" s="387">
        <f t="shared" ref="BS322:BS385" si="235">IF(AND(AT322&lt;&gt;0,AJ322&lt;&gt;"PF"),LifeBY*W322,0)</f>
        <v>0</v>
      </c>
      <c r="BT322" s="387">
        <f t="shared" ref="BT322:BT385" si="236">IF(AND(AT322&lt;&gt;0,AM322="Y"),UIBY*W322,0)</f>
        <v>0</v>
      </c>
      <c r="BU322" s="387">
        <f t="shared" ref="BU322:BU385" si="237">IF(AND(AT322&lt;&gt;0,N322&lt;&gt;"NR"),DHRBY*W322,0)</f>
        <v>0</v>
      </c>
      <c r="BV322" s="387">
        <f t="shared" ref="BV322:BV385" si="238">IF(AT322&lt;&gt;0,WCBY*W322,0)</f>
        <v>0</v>
      </c>
      <c r="BW322" s="387">
        <f t="shared" ref="BW322:BW385" si="239">IF(OR(AND(AT322&lt;&gt;0,AJ322&lt;&gt;"PF",AN322&lt;&gt;"NE",AG322&lt;&gt;"A"),AND(AL322="E",OR(AT322=1,AT322=3))),SickBY*W322,0)</f>
        <v>0</v>
      </c>
      <c r="BX322" s="387">
        <f t="shared" si="210"/>
        <v>0</v>
      </c>
      <c r="BY322" s="387">
        <f t="shared" si="211"/>
        <v>0</v>
      </c>
      <c r="BZ322" s="387">
        <f t="shared" si="212"/>
        <v>0</v>
      </c>
      <c r="CA322" s="387">
        <f t="shared" si="213"/>
        <v>0</v>
      </c>
      <c r="CB322" s="387">
        <f t="shared" si="214"/>
        <v>0</v>
      </c>
      <c r="CC322" s="387">
        <f t="shared" ref="CC322:CC385" si="240">IF(AT322&lt;&gt;0,SSHICHG*Y322,0)</f>
        <v>0</v>
      </c>
      <c r="CD322" s="387">
        <f t="shared" ref="CD322:CD385" si="241">IF(AND(AT322&lt;&gt;0,AN322&lt;&gt;"NE"),VLOOKUP(AN322,Retirement_Rates,5,FALSE)*Y322,0)</f>
        <v>0</v>
      </c>
      <c r="CE322" s="387">
        <f t="shared" ref="CE322:CE385" si="242">IF(AND(AT322&lt;&gt;0,AJ322&lt;&gt;"PF"),LifeCHG*Y322,0)</f>
        <v>0</v>
      </c>
      <c r="CF322" s="387">
        <f t="shared" ref="CF322:CF385" si="243">IF(AND(AT322&lt;&gt;0,AM322="Y"),UICHG*Y322,0)</f>
        <v>0</v>
      </c>
      <c r="CG322" s="387">
        <f t="shared" ref="CG322:CG385" si="244">IF(AND(AT322&lt;&gt;0,N322&lt;&gt;"NR"),DHRCHG*Y322,0)</f>
        <v>0</v>
      </c>
      <c r="CH322" s="387">
        <f t="shared" ref="CH322:CH385" si="245">IF(AT322&lt;&gt;0,WCCHG*Y322,0)</f>
        <v>0</v>
      </c>
      <c r="CI322" s="387">
        <f t="shared" ref="CI322:CI385" si="246">IF(OR(AND(AT322&lt;&gt;0,AJ322&lt;&gt;"PF",AN322&lt;&gt;"NE",AG322&lt;&gt;"A"),AND(AL322="E",OR(AT322=1,AT322=3))),SickCHG*Y322,0)</f>
        <v>0</v>
      </c>
      <c r="CJ322" s="387">
        <f t="shared" si="215"/>
        <v>0</v>
      </c>
      <c r="CK322" s="387" t="str">
        <f t="shared" si="216"/>
        <v/>
      </c>
      <c r="CL322" s="387" t="str">
        <f t="shared" si="217"/>
        <v/>
      </c>
      <c r="CM322" s="387" t="str">
        <f t="shared" si="218"/>
        <v/>
      </c>
      <c r="CN322" s="387" t="str">
        <f t="shared" si="219"/>
        <v>0348-31</v>
      </c>
    </row>
    <row r="323" spans="1:92" ht="15.75" thickBot="1" x14ac:dyDescent="0.3">
      <c r="A323" s="376" t="s">
        <v>161</v>
      </c>
      <c r="B323" s="376" t="s">
        <v>162</v>
      </c>
      <c r="C323" s="376" t="s">
        <v>1134</v>
      </c>
      <c r="D323" s="376" t="s">
        <v>862</v>
      </c>
      <c r="E323" s="376" t="s">
        <v>224</v>
      </c>
      <c r="F323" s="382" t="s">
        <v>225</v>
      </c>
      <c r="G323" s="376" t="s">
        <v>781</v>
      </c>
      <c r="H323" s="378"/>
      <c r="I323" s="378"/>
      <c r="J323" s="376" t="s">
        <v>168</v>
      </c>
      <c r="K323" s="376" t="s">
        <v>863</v>
      </c>
      <c r="L323" s="376" t="s">
        <v>252</v>
      </c>
      <c r="M323" s="376" t="s">
        <v>171</v>
      </c>
      <c r="N323" s="376" t="s">
        <v>172</v>
      </c>
      <c r="O323" s="379">
        <v>1</v>
      </c>
      <c r="P323" s="385">
        <v>0.9</v>
      </c>
      <c r="Q323" s="385">
        <v>0.9</v>
      </c>
      <c r="R323" s="380">
        <v>80</v>
      </c>
      <c r="S323" s="385">
        <v>0.9</v>
      </c>
      <c r="T323" s="380">
        <v>34196.6</v>
      </c>
      <c r="U323" s="380">
        <v>0</v>
      </c>
      <c r="V323" s="380">
        <v>18190.79</v>
      </c>
      <c r="W323" s="380">
        <v>35006.400000000001</v>
      </c>
      <c r="X323" s="380">
        <v>18055.11</v>
      </c>
      <c r="Y323" s="380">
        <v>35006.400000000001</v>
      </c>
      <c r="Z323" s="380">
        <v>17908.080000000002</v>
      </c>
      <c r="AA323" s="376" t="s">
        <v>1135</v>
      </c>
      <c r="AB323" s="376" t="s">
        <v>1136</v>
      </c>
      <c r="AC323" s="376" t="s">
        <v>1137</v>
      </c>
      <c r="AD323" s="376" t="s">
        <v>268</v>
      </c>
      <c r="AE323" s="376" t="s">
        <v>863</v>
      </c>
      <c r="AF323" s="376" t="s">
        <v>393</v>
      </c>
      <c r="AG323" s="376" t="s">
        <v>178</v>
      </c>
      <c r="AH323" s="381">
        <v>18.7</v>
      </c>
      <c r="AI323" s="381">
        <v>22243.8</v>
      </c>
      <c r="AJ323" s="376" t="s">
        <v>179</v>
      </c>
      <c r="AK323" s="376" t="s">
        <v>180</v>
      </c>
      <c r="AL323" s="376" t="s">
        <v>181</v>
      </c>
      <c r="AM323" s="376" t="s">
        <v>182</v>
      </c>
      <c r="AN323" s="376" t="s">
        <v>68</v>
      </c>
      <c r="AO323" s="379">
        <v>80</v>
      </c>
      <c r="AP323" s="385">
        <v>1</v>
      </c>
      <c r="AQ323" s="385">
        <v>0.9</v>
      </c>
      <c r="AR323" s="383" t="s">
        <v>183</v>
      </c>
      <c r="AS323" s="387">
        <f t="shared" ref="AS323:AS386" si="247">IF(((AO323/80)*AP323*P323)&gt;1,AQ323,((AO323/80)*AP323*P323))</f>
        <v>0.9</v>
      </c>
      <c r="AT323">
        <f t="shared" ref="AT323:AT386" si="248">IF(AND(M323="F",N323&lt;&gt;"NG",AS323&lt;&gt;0,AND(AR323&lt;&gt;6,AR323&lt;&gt;36,AR323&lt;&gt;56),AG323&lt;&gt;"A",OR(AG323="H",AJ323="FS")),1,IF(AND(M323="F",N323&lt;&gt;"NG",AS323&lt;&gt;0,AG323="A"),3,0))</f>
        <v>1</v>
      </c>
      <c r="AU323" s="387">
        <f>IF(AT323=0,"",IF(AND(AT323=1,M323="F",SUMIF(C2:C1334,C323,AS2:AS1334)&lt;=1),SUMIF(C2:C1334,C323,AS2:AS1334),IF(AND(AT323=1,M323="F",SUMIF(C2:C1334,C323,AS2:AS1334)&gt;1),1,"")))</f>
        <v>1</v>
      </c>
      <c r="AV323" s="387" t="str">
        <f>IF(AT323=0,"",IF(AND(AT323=3,M323="F",SUMIF(C2:C1334,C323,AS2:AS1334)&lt;=1),SUMIF(C2:C1334,C323,AS2:AS1334),IF(AND(AT323=3,M323="F",SUMIF(C2:C1334,C323,AS2:AS1334)&gt;1),1,"")))</f>
        <v/>
      </c>
      <c r="AW323" s="387">
        <f>SUMIF(C2:C1334,C323,O2:O1334)</f>
        <v>2</v>
      </c>
      <c r="AX323" s="387">
        <f>IF(AND(M323="F",AS323&lt;&gt;0),SUMIF(C2:C1334,C323,W2:W1334),0)</f>
        <v>38896</v>
      </c>
      <c r="AY323" s="387">
        <f t="shared" ref="AY323:AY386" si="249">IF(AT323=1,W323,"")</f>
        <v>35006.400000000001</v>
      </c>
      <c r="AZ323" s="387" t="str">
        <f t="shared" ref="AZ323:AZ386" si="250">IF(AT323=3,W323,"")</f>
        <v/>
      </c>
      <c r="BA323" s="387">
        <f t="shared" ref="BA323:BA386" si="251">IF(AT323=1,Y323-W323,0)</f>
        <v>0</v>
      </c>
      <c r="BB323" s="387">
        <f t="shared" si="220"/>
        <v>10485</v>
      </c>
      <c r="BC323" s="387">
        <f t="shared" si="221"/>
        <v>0</v>
      </c>
      <c r="BD323" s="387">
        <f t="shared" si="222"/>
        <v>2170.3968</v>
      </c>
      <c r="BE323" s="387">
        <f t="shared" si="223"/>
        <v>507.59280000000007</v>
      </c>
      <c r="BF323" s="387">
        <f t="shared" si="224"/>
        <v>4179.7641600000006</v>
      </c>
      <c r="BG323" s="387">
        <f t="shared" si="225"/>
        <v>252.39614400000002</v>
      </c>
      <c r="BH323" s="387">
        <f t="shared" si="226"/>
        <v>171.53136000000001</v>
      </c>
      <c r="BI323" s="387">
        <f t="shared" si="227"/>
        <v>193.760424</v>
      </c>
      <c r="BJ323" s="387">
        <f t="shared" si="228"/>
        <v>94.517280000000014</v>
      </c>
      <c r="BK323" s="387">
        <f t="shared" si="229"/>
        <v>0</v>
      </c>
      <c r="BL323" s="387">
        <f t="shared" ref="BL323:BL386" si="252">IF(AT323=1,SUM(BD323:BK323),0)</f>
        <v>7569.9589680000008</v>
      </c>
      <c r="BM323" s="387">
        <f t="shared" ref="BM323:BM386" si="253">IF(AT323=3,SUM(BD323:BK323),0)</f>
        <v>0</v>
      </c>
      <c r="BN323" s="387">
        <f t="shared" si="230"/>
        <v>10485</v>
      </c>
      <c r="BO323" s="387">
        <f t="shared" si="231"/>
        <v>0</v>
      </c>
      <c r="BP323" s="387">
        <f t="shared" si="232"/>
        <v>2170.3968</v>
      </c>
      <c r="BQ323" s="387">
        <f t="shared" si="233"/>
        <v>507.59280000000007</v>
      </c>
      <c r="BR323" s="387">
        <f t="shared" si="234"/>
        <v>4179.7641600000006</v>
      </c>
      <c r="BS323" s="387">
        <f t="shared" si="235"/>
        <v>252.39614400000002</v>
      </c>
      <c r="BT323" s="387">
        <f t="shared" si="236"/>
        <v>0</v>
      </c>
      <c r="BU323" s="387">
        <f t="shared" si="237"/>
        <v>193.760424</v>
      </c>
      <c r="BV323" s="387">
        <f t="shared" si="238"/>
        <v>119.02176</v>
      </c>
      <c r="BW323" s="387">
        <f t="shared" si="239"/>
        <v>0</v>
      </c>
      <c r="BX323" s="387">
        <f t="shared" ref="BX323:BX386" si="254">IF(AT323=1,SUM(BP323:BW323),0)</f>
        <v>7422.9320880000005</v>
      </c>
      <c r="BY323" s="387">
        <f t="shared" ref="BY323:BY386" si="255">IF(AT323=3,SUM(BP323:BW323),0)</f>
        <v>0</v>
      </c>
      <c r="BZ323" s="387">
        <f t="shared" ref="BZ323:BZ386" si="256">IF(AT323=1,BN323-BB323,0)</f>
        <v>0</v>
      </c>
      <c r="CA323" s="387">
        <f t="shared" ref="CA323:CA386" si="257">IF(AT323=3,BO323-BC323,0)</f>
        <v>0</v>
      </c>
      <c r="CB323" s="387">
        <f t="shared" ref="CB323:CB386" si="258">BP323-BD323</f>
        <v>0</v>
      </c>
      <c r="CC323" s="387">
        <f t="shared" si="240"/>
        <v>0</v>
      </c>
      <c r="CD323" s="387">
        <f t="shared" si="241"/>
        <v>0</v>
      </c>
      <c r="CE323" s="387">
        <f t="shared" si="242"/>
        <v>0</v>
      </c>
      <c r="CF323" s="387">
        <f t="shared" si="243"/>
        <v>-171.53136000000001</v>
      </c>
      <c r="CG323" s="387">
        <f t="shared" si="244"/>
        <v>0</v>
      </c>
      <c r="CH323" s="387">
        <f t="shared" si="245"/>
        <v>24.50447999999999</v>
      </c>
      <c r="CI323" s="387">
        <f t="shared" si="246"/>
        <v>0</v>
      </c>
      <c r="CJ323" s="387">
        <f t="shared" ref="CJ323:CJ386" si="259">IF(AT323=1,SUM(CB323:CI323),0)</f>
        <v>-147.02688000000001</v>
      </c>
      <c r="CK323" s="387" t="str">
        <f t="shared" ref="CK323:CK386" si="260">IF(AT323=3,SUM(CB323:CI323),"")</f>
        <v/>
      </c>
      <c r="CL323" s="387" t="str">
        <f t="shared" ref="CL323:CL386" si="261">IF(OR(N323="NG",AG323="D"),(T323+U323),"")</f>
        <v/>
      </c>
      <c r="CM323" s="387" t="str">
        <f t="shared" ref="CM323:CM386" si="262">IF(OR(N323="NG",AG323="D"),V323,"")</f>
        <v/>
      </c>
      <c r="CN323" s="387" t="str">
        <f t="shared" ref="CN323:CN386" si="263">E323 &amp; "-" &amp; F323</f>
        <v>0348-31</v>
      </c>
    </row>
    <row r="324" spans="1:92" ht="15.75" thickBot="1" x14ac:dyDescent="0.3">
      <c r="A324" s="376" t="s">
        <v>161</v>
      </c>
      <c r="B324" s="376" t="s">
        <v>162</v>
      </c>
      <c r="C324" s="376" t="s">
        <v>1138</v>
      </c>
      <c r="D324" s="376" t="s">
        <v>974</v>
      </c>
      <c r="E324" s="376" t="s">
        <v>224</v>
      </c>
      <c r="F324" s="382" t="s">
        <v>225</v>
      </c>
      <c r="G324" s="376" t="s">
        <v>781</v>
      </c>
      <c r="H324" s="378"/>
      <c r="I324" s="378"/>
      <c r="J324" s="376" t="s">
        <v>215</v>
      </c>
      <c r="K324" s="376" t="s">
        <v>975</v>
      </c>
      <c r="L324" s="376" t="s">
        <v>296</v>
      </c>
      <c r="M324" s="376" t="s">
        <v>171</v>
      </c>
      <c r="N324" s="376" t="s">
        <v>172</v>
      </c>
      <c r="O324" s="379">
        <v>1</v>
      </c>
      <c r="P324" s="385">
        <v>0</v>
      </c>
      <c r="Q324" s="385">
        <v>0</v>
      </c>
      <c r="R324" s="380">
        <v>80</v>
      </c>
      <c r="S324" s="385">
        <v>0</v>
      </c>
      <c r="T324" s="380">
        <v>777.2</v>
      </c>
      <c r="U324" s="380">
        <v>0</v>
      </c>
      <c r="V324" s="380">
        <v>399.46</v>
      </c>
      <c r="W324" s="380">
        <v>0</v>
      </c>
      <c r="X324" s="380">
        <v>0</v>
      </c>
      <c r="Y324" s="380">
        <v>0</v>
      </c>
      <c r="Z324" s="380">
        <v>0</v>
      </c>
      <c r="AA324" s="376" t="s">
        <v>1139</v>
      </c>
      <c r="AB324" s="376" t="s">
        <v>1140</v>
      </c>
      <c r="AC324" s="376" t="s">
        <v>855</v>
      </c>
      <c r="AD324" s="376" t="s">
        <v>210</v>
      </c>
      <c r="AE324" s="376" t="s">
        <v>975</v>
      </c>
      <c r="AF324" s="376" t="s">
        <v>301</v>
      </c>
      <c r="AG324" s="376" t="s">
        <v>178</v>
      </c>
      <c r="AH324" s="381">
        <v>20.79</v>
      </c>
      <c r="AI324" s="381">
        <v>7757.3</v>
      </c>
      <c r="AJ324" s="376" t="s">
        <v>179</v>
      </c>
      <c r="AK324" s="376" t="s">
        <v>180</v>
      </c>
      <c r="AL324" s="376" t="s">
        <v>181</v>
      </c>
      <c r="AM324" s="376" t="s">
        <v>182</v>
      </c>
      <c r="AN324" s="376" t="s">
        <v>68</v>
      </c>
      <c r="AO324" s="379">
        <v>80</v>
      </c>
      <c r="AP324" s="385">
        <v>1</v>
      </c>
      <c r="AQ324" s="385">
        <v>0</v>
      </c>
      <c r="AR324" s="383" t="s">
        <v>183</v>
      </c>
      <c r="AS324" s="387">
        <f t="shared" si="247"/>
        <v>0</v>
      </c>
      <c r="AT324">
        <f t="shared" si="248"/>
        <v>0</v>
      </c>
      <c r="AU324" s="387" t="str">
        <f>IF(AT324=0,"",IF(AND(AT324=1,M324="F",SUMIF(C2:C1334,C324,AS2:AS1334)&lt;=1),SUMIF(C2:C1334,C324,AS2:AS1334),IF(AND(AT324=1,M324="F",SUMIF(C2:C1334,C324,AS2:AS1334)&gt;1),1,"")))</f>
        <v/>
      </c>
      <c r="AV324" s="387" t="str">
        <f>IF(AT324=0,"",IF(AND(AT324=3,M324="F",SUMIF(C2:C1334,C324,AS2:AS1334)&lt;=1),SUMIF(C2:C1334,C324,AS2:AS1334),IF(AND(AT324=3,M324="F",SUMIF(C2:C1334,C324,AS2:AS1334)&gt;1),1,"")))</f>
        <v/>
      </c>
      <c r="AW324" s="387">
        <f>SUMIF(C2:C1334,C324,O2:O1334)</f>
        <v>2</v>
      </c>
      <c r="AX324" s="387">
        <f>IF(AND(M324="F",AS324&lt;&gt;0),SUMIF(C2:C1334,C324,W2:W1334),0)</f>
        <v>0</v>
      </c>
      <c r="AY324" s="387" t="str">
        <f t="shared" si="249"/>
        <v/>
      </c>
      <c r="AZ324" s="387" t="str">
        <f t="shared" si="250"/>
        <v/>
      </c>
      <c r="BA324" s="387">
        <f t="shared" si="251"/>
        <v>0</v>
      </c>
      <c r="BB324" s="387">
        <f t="shared" si="220"/>
        <v>0</v>
      </c>
      <c r="BC324" s="387">
        <f t="shared" si="221"/>
        <v>0</v>
      </c>
      <c r="BD324" s="387">
        <f t="shared" si="222"/>
        <v>0</v>
      </c>
      <c r="BE324" s="387">
        <f t="shared" si="223"/>
        <v>0</v>
      </c>
      <c r="BF324" s="387">
        <f t="shared" si="224"/>
        <v>0</v>
      </c>
      <c r="BG324" s="387">
        <f t="shared" si="225"/>
        <v>0</v>
      </c>
      <c r="BH324" s="387">
        <f t="shared" si="226"/>
        <v>0</v>
      </c>
      <c r="BI324" s="387">
        <f t="shared" si="227"/>
        <v>0</v>
      </c>
      <c r="BJ324" s="387">
        <f t="shared" si="228"/>
        <v>0</v>
      </c>
      <c r="BK324" s="387">
        <f t="shared" si="229"/>
        <v>0</v>
      </c>
      <c r="BL324" s="387">
        <f t="shared" si="252"/>
        <v>0</v>
      </c>
      <c r="BM324" s="387">
        <f t="shared" si="253"/>
        <v>0</v>
      </c>
      <c r="BN324" s="387">
        <f t="shared" si="230"/>
        <v>0</v>
      </c>
      <c r="BO324" s="387">
        <f t="shared" si="231"/>
        <v>0</v>
      </c>
      <c r="BP324" s="387">
        <f t="shared" si="232"/>
        <v>0</v>
      </c>
      <c r="BQ324" s="387">
        <f t="shared" si="233"/>
        <v>0</v>
      </c>
      <c r="BR324" s="387">
        <f t="shared" si="234"/>
        <v>0</v>
      </c>
      <c r="BS324" s="387">
        <f t="shared" si="235"/>
        <v>0</v>
      </c>
      <c r="BT324" s="387">
        <f t="shared" si="236"/>
        <v>0</v>
      </c>
      <c r="BU324" s="387">
        <f t="shared" si="237"/>
        <v>0</v>
      </c>
      <c r="BV324" s="387">
        <f t="shared" si="238"/>
        <v>0</v>
      </c>
      <c r="BW324" s="387">
        <f t="shared" si="239"/>
        <v>0</v>
      </c>
      <c r="BX324" s="387">
        <f t="shared" si="254"/>
        <v>0</v>
      </c>
      <c r="BY324" s="387">
        <f t="shared" si="255"/>
        <v>0</v>
      </c>
      <c r="BZ324" s="387">
        <f t="shared" si="256"/>
        <v>0</v>
      </c>
      <c r="CA324" s="387">
        <f t="shared" si="257"/>
        <v>0</v>
      </c>
      <c r="CB324" s="387">
        <f t="shared" si="258"/>
        <v>0</v>
      </c>
      <c r="CC324" s="387">
        <f t="shared" si="240"/>
        <v>0</v>
      </c>
      <c r="CD324" s="387">
        <f t="shared" si="241"/>
        <v>0</v>
      </c>
      <c r="CE324" s="387">
        <f t="shared" si="242"/>
        <v>0</v>
      </c>
      <c r="CF324" s="387">
        <f t="shared" si="243"/>
        <v>0</v>
      </c>
      <c r="CG324" s="387">
        <f t="shared" si="244"/>
        <v>0</v>
      </c>
      <c r="CH324" s="387">
        <f t="shared" si="245"/>
        <v>0</v>
      </c>
      <c r="CI324" s="387">
        <f t="shared" si="246"/>
        <v>0</v>
      </c>
      <c r="CJ324" s="387">
        <f t="shared" si="259"/>
        <v>0</v>
      </c>
      <c r="CK324" s="387" t="str">
        <f t="shared" si="260"/>
        <v/>
      </c>
      <c r="CL324" s="387" t="str">
        <f t="shared" si="261"/>
        <v/>
      </c>
      <c r="CM324" s="387" t="str">
        <f t="shared" si="262"/>
        <v/>
      </c>
      <c r="CN324" s="387" t="str">
        <f t="shared" si="263"/>
        <v>0348-31</v>
      </c>
    </row>
    <row r="325" spans="1:92" ht="15.75" thickBot="1" x14ac:dyDescent="0.3">
      <c r="A325" s="376" t="s">
        <v>161</v>
      </c>
      <c r="B325" s="376" t="s">
        <v>162</v>
      </c>
      <c r="C325" s="376" t="s">
        <v>1141</v>
      </c>
      <c r="D325" s="376" t="s">
        <v>868</v>
      </c>
      <c r="E325" s="376" t="s">
        <v>224</v>
      </c>
      <c r="F325" s="382" t="s">
        <v>225</v>
      </c>
      <c r="G325" s="376" t="s">
        <v>781</v>
      </c>
      <c r="H325" s="378"/>
      <c r="I325" s="378"/>
      <c r="J325" s="376" t="s">
        <v>215</v>
      </c>
      <c r="K325" s="376" t="s">
        <v>869</v>
      </c>
      <c r="L325" s="376" t="s">
        <v>296</v>
      </c>
      <c r="M325" s="376" t="s">
        <v>171</v>
      </c>
      <c r="N325" s="376" t="s">
        <v>172</v>
      </c>
      <c r="O325" s="379">
        <v>1</v>
      </c>
      <c r="P325" s="385">
        <v>0</v>
      </c>
      <c r="Q325" s="385">
        <v>0</v>
      </c>
      <c r="R325" s="380">
        <v>80</v>
      </c>
      <c r="S325" s="385">
        <v>0</v>
      </c>
      <c r="T325" s="380">
        <v>4944</v>
      </c>
      <c r="U325" s="380">
        <v>0</v>
      </c>
      <c r="V325" s="380">
        <v>2949.81</v>
      </c>
      <c r="W325" s="380">
        <v>0</v>
      </c>
      <c r="X325" s="380">
        <v>0</v>
      </c>
      <c r="Y325" s="380">
        <v>0</v>
      </c>
      <c r="Z325" s="380">
        <v>0</v>
      </c>
      <c r="AA325" s="376" t="s">
        <v>1142</v>
      </c>
      <c r="AB325" s="376" t="s">
        <v>1143</v>
      </c>
      <c r="AC325" s="376" t="s">
        <v>1144</v>
      </c>
      <c r="AD325" s="376" t="s">
        <v>1145</v>
      </c>
      <c r="AE325" s="376" t="s">
        <v>873</v>
      </c>
      <c r="AF325" s="376" t="s">
        <v>393</v>
      </c>
      <c r="AG325" s="376" t="s">
        <v>178</v>
      </c>
      <c r="AH325" s="381">
        <v>20.6</v>
      </c>
      <c r="AI325" s="379">
        <v>320</v>
      </c>
      <c r="AJ325" s="376" t="s">
        <v>179</v>
      </c>
      <c r="AK325" s="376" t="s">
        <v>180</v>
      </c>
      <c r="AL325" s="376" t="s">
        <v>181</v>
      </c>
      <c r="AM325" s="376" t="s">
        <v>182</v>
      </c>
      <c r="AN325" s="376" t="s">
        <v>68</v>
      </c>
      <c r="AO325" s="379">
        <v>80</v>
      </c>
      <c r="AP325" s="385">
        <v>1</v>
      </c>
      <c r="AQ325" s="385">
        <v>0</v>
      </c>
      <c r="AR325" s="383">
        <v>3</v>
      </c>
      <c r="AS325" s="387">
        <f t="shared" si="247"/>
        <v>0</v>
      </c>
      <c r="AT325">
        <f t="shared" si="248"/>
        <v>0</v>
      </c>
      <c r="AU325" s="387" t="str">
        <f>IF(AT325=0,"",IF(AND(AT325=1,M325="F",SUMIF(C2:C1334,C325,AS2:AS1334)&lt;=1),SUMIF(C2:C1334,C325,AS2:AS1334),IF(AND(AT325=1,M325="F",SUMIF(C2:C1334,C325,AS2:AS1334)&gt;1),1,"")))</f>
        <v/>
      </c>
      <c r="AV325" s="387" t="str">
        <f>IF(AT325=0,"",IF(AND(AT325=3,M325="F",SUMIF(C2:C1334,C325,AS2:AS1334)&lt;=1),SUMIF(C2:C1334,C325,AS2:AS1334),IF(AND(AT325=3,M325="F",SUMIF(C2:C1334,C325,AS2:AS1334)&gt;1),1,"")))</f>
        <v/>
      </c>
      <c r="AW325" s="387">
        <f>SUMIF(C2:C1334,C325,O2:O1334)</f>
        <v>2</v>
      </c>
      <c r="AX325" s="387">
        <f>IF(AND(M325="F",AS325&lt;&gt;0),SUMIF(C2:C1334,C325,W2:W1334),0)</f>
        <v>0</v>
      </c>
      <c r="AY325" s="387" t="str">
        <f t="shared" si="249"/>
        <v/>
      </c>
      <c r="AZ325" s="387" t="str">
        <f t="shared" si="250"/>
        <v/>
      </c>
      <c r="BA325" s="387">
        <f t="shared" si="251"/>
        <v>0</v>
      </c>
      <c r="BB325" s="387">
        <f t="shared" si="220"/>
        <v>0</v>
      </c>
      <c r="BC325" s="387">
        <f t="shared" si="221"/>
        <v>0</v>
      </c>
      <c r="BD325" s="387">
        <f t="shared" si="222"/>
        <v>0</v>
      </c>
      <c r="BE325" s="387">
        <f t="shared" si="223"/>
        <v>0</v>
      </c>
      <c r="BF325" s="387">
        <f t="shared" si="224"/>
        <v>0</v>
      </c>
      <c r="BG325" s="387">
        <f t="shared" si="225"/>
        <v>0</v>
      </c>
      <c r="BH325" s="387">
        <f t="shared" si="226"/>
        <v>0</v>
      </c>
      <c r="BI325" s="387">
        <f t="shared" si="227"/>
        <v>0</v>
      </c>
      <c r="BJ325" s="387">
        <f t="shared" si="228"/>
        <v>0</v>
      </c>
      <c r="BK325" s="387">
        <f t="shared" si="229"/>
        <v>0</v>
      </c>
      <c r="BL325" s="387">
        <f t="shared" si="252"/>
        <v>0</v>
      </c>
      <c r="BM325" s="387">
        <f t="shared" si="253"/>
        <v>0</v>
      </c>
      <c r="BN325" s="387">
        <f t="shared" si="230"/>
        <v>0</v>
      </c>
      <c r="BO325" s="387">
        <f t="shared" si="231"/>
        <v>0</v>
      </c>
      <c r="BP325" s="387">
        <f t="shared" si="232"/>
        <v>0</v>
      </c>
      <c r="BQ325" s="387">
        <f t="shared" si="233"/>
        <v>0</v>
      </c>
      <c r="BR325" s="387">
        <f t="shared" si="234"/>
        <v>0</v>
      </c>
      <c r="BS325" s="387">
        <f t="shared" si="235"/>
        <v>0</v>
      </c>
      <c r="BT325" s="387">
        <f t="shared" si="236"/>
        <v>0</v>
      </c>
      <c r="BU325" s="387">
        <f t="shared" si="237"/>
        <v>0</v>
      </c>
      <c r="BV325" s="387">
        <f t="shared" si="238"/>
        <v>0</v>
      </c>
      <c r="BW325" s="387">
        <f t="shared" si="239"/>
        <v>0</v>
      </c>
      <c r="BX325" s="387">
        <f t="shared" si="254"/>
        <v>0</v>
      </c>
      <c r="BY325" s="387">
        <f t="shared" si="255"/>
        <v>0</v>
      </c>
      <c r="BZ325" s="387">
        <f t="shared" si="256"/>
        <v>0</v>
      </c>
      <c r="CA325" s="387">
        <f t="shared" si="257"/>
        <v>0</v>
      </c>
      <c r="CB325" s="387">
        <f t="shared" si="258"/>
        <v>0</v>
      </c>
      <c r="CC325" s="387">
        <f t="shared" si="240"/>
        <v>0</v>
      </c>
      <c r="CD325" s="387">
        <f t="shared" si="241"/>
        <v>0</v>
      </c>
      <c r="CE325" s="387">
        <f t="shared" si="242"/>
        <v>0</v>
      </c>
      <c r="CF325" s="387">
        <f t="shared" si="243"/>
        <v>0</v>
      </c>
      <c r="CG325" s="387">
        <f t="shared" si="244"/>
        <v>0</v>
      </c>
      <c r="CH325" s="387">
        <f t="shared" si="245"/>
        <v>0</v>
      </c>
      <c r="CI325" s="387">
        <f t="shared" si="246"/>
        <v>0</v>
      </c>
      <c r="CJ325" s="387">
        <f t="shared" si="259"/>
        <v>0</v>
      </c>
      <c r="CK325" s="387" t="str">
        <f t="shared" si="260"/>
        <v/>
      </c>
      <c r="CL325" s="387" t="str">
        <f t="shared" si="261"/>
        <v/>
      </c>
      <c r="CM325" s="387" t="str">
        <f t="shared" si="262"/>
        <v/>
      </c>
      <c r="CN325" s="387" t="str">
        <f t="shared" si="263"/>
        <v>0348-31</v>
      </c>
    </row>
    <row r="326" spans="1:92" ht="15.75" thickBot="1" x14ac:dyDescent="0.3">
      <c r="A326" s="376" t="s">
        <v>161</v>
      </c>
      <c r="B326" s="376" t="s">
        <v>162</v>
      </c>
      <c r="C326" s="376" t="s">
        <v>772</v>
      </c>
      <c r="D326" s="376" t="s">
        <v>767</v>
      </c>
      <c r="E326" s="376" t="s">
        <v>224</v>
      </c>
      <c r="F326" s="382" t="s">
        <v>225</v>
      </c>
      <c r="G326" s="376" t="s">
        <v>781</v>
      </c>
      <c r="H326" s="378"/>
      <c r="I326" s="378"/>
      <c r="J326" s="376" t="s">
        <v>239</v>
      </c>
      <c r="K326" s="376" t="s">
        <v>768</v>
      </c>
      <c r="L326" s="376" t="s">
        <v>170</v>
      </c>
      <c r="M326" s="376" t="s">
        <v>171</v>
      </c>
      <c r="N326" s="376" t="s">
        <v>172</v>
      </c>
      <c r="O326" s="379">
        <v>1</v>
      </c>
      <c r="P326" s="385">
        <v>0.25</v>
      </c>
      <c r="Q326" s="385">
        <v>0.25</v>
      </c>
      <c r="R326" s="380">
        <v>80</v>
      </c>
      <c r="S326" s="385">
        <v>0.25</v>
      </c>
      <c r="T326" s="380">
        <v>0</v>
      </c>
      <c r="U326" s="380">
        <v>0</v>
      </c>
      <c r="V326" s="380">
        <v>0</v>
      </c>
      <c r="W326" s="380">
        <v>15236</v>
      </c>
      <c r="X326" s="380">
        <v>6207.27</v>
      </c>
      <c r="Y326" s="380">
        <v>15236</v>
      </c>
      <c r="Z326" s="380">
        <v>6143.28</v>
      </c>
      <c r="AA326" s="376" t="s">
        <v>773</v>
      </c>
      <c r="AB326" s="376" t="s">
        <v>774</v>
      </c>
      <c r="AC326" s="376" t="s">
        <v>775</v>
      </c>
      <c r="AD326" s="376" t="s">
        <v>776</v>
      </c>
      <c r="AE326" s="376" t="s">
        <v>768</v>
      </c>
      <c r="AF326" s="376" t="s">
        <v>177</v>
      </c>
      <c r="AG326" s="376" t="s">
        <v>178</v>
      </c>
      <c r="AH326" s="381">
        <v>29.3</v>
      </c>
      <c r="AI326" s="379">
        <v>19549</v>
      </c>
      <c r="AJ326" s="376" t="s">
        <v>179</v>
      </c>
      <c r="AK326" s="376" t="s">
        <v>180</v>
      </c>
      <c r="AL326" s="376" t="s">
        <v>181</v>
      </c>
      <c r="AM326" s="376" t="s">
        <v>182</v>
      </c>
      <c r="AN326" s="376" t="s">
        <v>68</v>
      </c>
      <c r="AO326" s="379">
        <v>80</v>
      </c>
      <c r="AP326" s="385">
        <v>1</v>
      </c>
      <c r="AQ326" s="385">
        <v>0.25</v>
      </c>
      <c r="AR326" s="383" t="s">
        <v>183</v>
      </c>
      <c r="AS326" s="387">
        <f t="shared" si="247"/>
        <v>0.25</v>
      </c>
      <c r="AT326">
        <f t="shared" si="248"/>
        <v>1</v>
      </c>
      <c r="AU326" s="387">
        <f>IF(AT326=0,"",IF(AND(AT326=1,M326="F",SUMIF(C2:C1334,C326,AS2:AS1334)&lt;=1),SUMIF(C2:C1334,C326,AS2:AS1334),IF(AND(AT326=1,M326="F",SUMIF(C2:C1334,C326,AS2:AS1334)&gt;1),1,"")))</f>
        <v>1</v>
      </c>
      <c r="AV326" s="387" t="str">
        <f>IF(AT326=0,"",IF(AND(AT326=3,M326="F",SUMIF(C2:C1334,C326,AS2:AS1334)&lt;=1),SUMIF(C2:C1334,C326,AS2:AS1334),IF(AND(AT326=3,M326="F",SUMIF(C2:C1334,C326,AS2:AS1334)&gt;1),1,"")))</f>
        <v/>
      </c>
      <c r="AW326" s="387">
        <f>SUMIF(C2:C1334,C326,O2:O1334)</f>
        <v>4</v>
      </c>
      <c r="AX326" s="387">
        <f>IF(AND(M326="F",AS326&lt;&gt;0),SUMIF(C2:C1334,C326,W2:W1334),0)</f>
        <v>60944</v>
      </c>
      <c r="AY326" s="387">
        <f t="shared" si="249"/>
        <v>15236</v>
      </c>
      <c r="AZ326" s="387" t="str">
        <f t="shared" si="250"/>
        <v/>
      </c>
      <c r="BA326" s="387">
        <f t="shared" si="251"/>
        <v>0</v>
      </c>
      <c r="BB326" s="387">
        <f t="shared" si="220"/>
        <v>2912.5</v>
      </c>
      <c r="BC326" s="387">
        <f t="shared" si="221"/>
        <v>0</v>
      </c>
      <c r="BD326" s="387">
        <f t="shared" si="222"/>
        <v>944.63199999999995</v>
      </c>
      <c r="BE326" s="387">
        <f t="shared" si="223"/>
        <v>220.922</v>
      </c>
      <c r="BF326" s="387">
        <f t="shared" si="224"/>
        <v>1819.1784</v>
      </c>
      <c r="BG326" s="387">
        <f t="shared" si="225"/>
        <v>109.85156000000001</v>
      </c>
      <c r="BH326" s="387">
        <f t="shared" si="226"/>
        <v>74.656399999999991</v>
      </c>
      <c r="BI326" s="387">
        <f t="shared" si="227"/>
        <v>84.33126</v>
      </c>
      <c r="BJ326" s="387">
        <f t="shared" si="228"/>
        <v>41.1372</v>
      </c>
      <c r="BK326" s="387">
        <f t="shared" si="229"/>
        <v>0</v>
      </c>
      <c r="BL326" s="387">
        <f t="shared" si="252"/>
        <v>3294.7088199999998</v>
      </c>
      <c r="BM326" s="387">
        <f t="shared" si="253"/>
        <v>0</v>
      </c>
      <c r="BN326" s="387">
        <f t="shared" si="230"/>
        <v>2912.5</v>
      </c>
      <c r="BO326" s="387">
        <f t="shared" si="231"/>
        <v>0</v>
      </c>
      <c r="BP326" s="387">
        <f t="shared" si="232"/>
        <v>944.63199999999995</v>
      </c>
      <c r="BQ326" s="387">
        <f t="shared" si="233"/>
        <v>220.922</v>
      </c>
      <c r="BR326" s="387">
        <f t="shared" si="234"/>
        <v>1819.1784</v>
      </c>
      <c r="BS326" s="387">
        <f t="shared" si="235"/>
        <v>109.85156000000001</v>
      </c>
      <c r="BT326" s="387">
        <f t="shared" si="236"/>
        <v>0</v>
      </c>
      <c r="BU326" s="387">
        <f t="shared" si="237"/>
        <v>84.33126</v>
      </c>
      <c r="BV326" s="387">
        <f t="shared" si="238"/>
        <v>51.802399999999999</v>
      </c>
      <c r="BW326" s="387">
        <f t="shared" si="239"/>
        <v>0</v>
      </c>
      <c r="BX326" s="387">
        <f t="shared" si="254"/>
        <v>3230.7176199999999</v>
      </c>
      <c r="BY326" s="387">
        <f t="shared" si="255"/>
        <v>0</v>
      </c>
      <c r="BZ326" s="387">
        <f t="shared" si="256"/>
        <v>0</v>
      </c>
      <c r="CA326" s="387">
        <f t="shared" si="257"/>
        <v>0</v>
      </c>
      <c r="CB326" s="387">
        <f t="shared" si="258"/>
        <v>0</v>
      </c>
      <c r="CC326" s="387">
        <f t="shared" si="240"/>
        <v>0</v>
      </c>
      <c r="CD326" s="387">
        <f t="shared" si="241"/>
        <v>0</v>
      </c>
      <c r="CE326" s="387">
        <f t="shared" si="242"/>
        <v>0</v>
      </c>
      <c r="CF326" s="387">
        <f t="shared" si="243"/>
        <v>-74.656399999999991</v>
      </c>
      <c r="CG326" s="387">
        <f t="shared" si="244"/>
        <v>0</v>
      </c>
      <c r="CH326" s="387">
        <f t="shared" si="245"/>
        <v>10.665199999999995</v>
      </c>
      <c r="CI326" s="387">
        <f t="shared" si="246"/>
        <v>0</v>
      </c>
      <c r="CJ326" s="387">
        <f t="shared" si="259"/>
        <v>-63.991199999999992</v>
      </c>
      <c r="CK326" s="387" t="str">
        <f t="shared" si="260"/>
        <v/>
      </c>
      <c r="CL326" s="387" t="str">
        <f t="shared" si="261"/>
        <v/>
      </c>
      <c r="CM326" s="387" t="str">
        <f t="shared" si="262"/>
        <v/>
      </c>
      <c r="CN326" s="387" t="str">
        <f t="shared" si="263"/>
        <v>0348-31</v>
      </c>
    </row>
    <row r="327" spans="1:92" ht="15.75" thickBot="1" x14ac:dyDescent="0.3">
      <c r="A327" s="376" t="s">
        <v>161</v>
      </c>
      <c r="B327" s="376" t="s">
        <v>162</v>
      </c>
      <c r="C327" s="376" t="s">
        <v>1146</v>
      </c>
      <c r="D327" s="376" t="s">
        <v>862</v>
      </c>
      <c r="E327" s="376" t="s">
        <v>224</v>
      </c>
      <c r="F327" s="382" t="s">
        <v>225</v>
      </c>
      <c r="G327" s="376" t="s">
        <v>781</v>
      </c>
      <c r="H327" s="378"/>
      <c r="I327" s="378"/>
      <c r="J327" s="376" t="s">
        <v>239</v>
      </c>
      <c r="K327" s="376" t="s">
        <v>863</v>
      </c>
      <c r="L327" s="376" t="s">
        <v>252</v>
      </c>
      <c r="M327" s="376" t="s">
        <v>171</v>
      </c>
      <c r="N327" s="376" t="s">
        <v>172</v>
      </c>
      <c r="O327" s="379">
        <v>1</v>
      </c>
      <c r="P327" s="385">
        <v>0.65</v>
      </c>
      <c r="Q327" s="385">
        <v>0.65</v>
      </c>
      <c r="R327" s="380">
        <v>80</v>
      </c>
      <c r="S327" s="385">
        <v>0.65</v>
      </c>
      <c r="T327" s="380">
        <v>24781.55</v>
      </c>
      <c r="U327" s="380">
        <v>0</v>
      </c>
      <c r="V327" s="380">
        <v>12928.07</v>
      </c>
      <c r="W327" s="380">
        <v>25606.880000000001</v>
      </c>
      <c r="X327" s="380">
        <v>13109.96</v>
      </c>
      <c r="Y327" s="380">
        <v>25606.880000000001</v>
      </c>
      <c r="Z327" s="380">
        <v>13002.41</v>
      </c>
      <c r="AA327" s="376" t="s">
        <v>1147</v>
      </c>
      <c r="AB327" s="376" t="s">
        <v>1148</v>
      </c>
      <c r="AC327" s="376" t="s">
        <v>889</v>
      </c>
      <c r="AD327" s="376" t="s">
        <v>1149</v>
      </c>
      <c r="AE327" s="376" t="s">
        <v>863</v>
      </c>
      <c r="AF327" s="376" t="s">
        <v>393</v>
      </c>
      <c r="AG327" s="376" t="s">
        <v>178</v>
      </c>
      <c r="AH327" s="381">
        <v>18.940000000000001</v>
      </c>
      <c r="AI327" s="379">
        <v>3600</v>
      </c>
      <c r="AJ327" s="376" t="s">
        <v>179</v>
      </c>
      <c r="AK327" s="376" t="s">
        <v>180</v>
      </c>
      <c r="AL327" s="376" t="s">
        <v>181</v>
      </c>
      <c r="AM327" s="376" t="s">
        <v>182</v>
      </c>
      <c r="AN327" s="376" t="s">
        <v>68</v>
      </c>
      <c r="AO327" s="379">
        <v>80</v>
      </c>
      <c r="AP327" s="385">
        <v>1</v>
      </c>
      <c r="AQ327" s="385">
        <v>0.65</v>
      </c>
      <c r="AR327" s="383" t="s">
        <v>183</v>
      </c>
      <c r="AS327" s="387">
        <f t="shared" si="247"/>
        <v>0.65</v>
      </c>
      <c r="AT327">
        <f t="shared" si="248"/>
        <v>1</v>
      </c>
      <c r="AU327" s="387">
        <f>IF(AT327=0,"",IF(AND(AT327=1,M327="F",SUMIF(C2:C1334,C327,AS2:AS1334)&lt;=1),SUMIF(C2:C1334,C327,AS2:AS1334),IF(AND(AT327=1,M327="F",SUMIF(C2:C1334,C327,AS2:AS1334)&gt;1),1,"")))</f>
        <v>1</v>
      </c>
      <c r="AV327" s="387" t="str">
        <f>IF(AT327=0,"",IF(AND(AT327=3,M327="F",SUMIF(C2:C1334,C327,AS2:AS1334)&lt;=1),SUMIF(C2:C1334,C327,AS2:AS1334),IF(AND(AT327=3,M327="F",SUMIF(C2:C1334,C327,AS2:AS1334)&gt;1),1,"")))</f>
        <v/>
      </c>
      <c r="AW327" s="387">
        <f>SUMIF(C2:C1334,C327,O2:O1334)</f>
        <v>3</v>
      </c>
      <c r="AX327" s="387">
        <f>IF(AND(M327="F",AS327&lt;&gt;0),SUMIF(C2:C1334,C327,W2:W1334),0)</f>
        <v>39395.199999999997</v>
      </c>
      <c r="AY327" s="387">
        <f t="shared" si="249"/>
        <v>25606.880000000001</v>
      </c>
      <c r="AZ327" s="387" t="str">
        <f t="shared" si="250"/>
        <v/>
      </c>
      <c r="BA327" s="387">
        <f t="shared" si="251"/>
        <v>0</v>
      </c>
      <c r="BB327" s="387">
        <f t="shared" si="220"/>
        <v>7572.5</v>
      </c>
      <c r="BC327" s="387">
        <f t="shared" si="221"/>
        <v>0</v>
      </c>
      <c r="BD327" s="387">
        <f t="shared" si="222"/>
        <v>1587.6265600000002</v>
      </c>
      <c r="BE327" s="387">
        <f t="shared" si="223"/>
        <v>371.29976000000005</v>
      </c>
      <c r="BF327" s="387">
        <f t="shared" si="224"/>
        <v>3057.4614720000004</v>
      </c>
      <c r="BG327" s="387">
        <f t="shared" si="225"/>
        <v>184.62560480000002</v>
      </c>
      <c r="BH327" s="387">
        <f t="shared" si="226"/>
        <v>125.47371200000001</v>
      </c>
      <c r="BI327" s="387">
        <f t="shared" si="227"/>
        <v>141.73408080000002</v>
      </c>
      <c r="BJ327" s="387">
        <f t="shared" si="228"/>
        <v>69.138576</v>
      </c>
      <c r="BK327" s="387">
        <f t="shared" si="229"/>
        <v>0</v>
      </c>
      <c r="BL327" s="387">
        <f t="shared" si="252"/>
        <v>5537.3597656000011</v>
      </c>
      <c r="BM327" s="387">
        <f t="shared" si="253"/>
        <v>0</v>
      </c>
      <c r="BN327" s="387">
        <f t="shared" si="230"/>
        <v>7572.5</v>
      </c>
      <c r="BO327" s="387">
        <f t="shared" si="231"/>
        <v>0</v>
      </c>
      <c r="BP327" s="387">
        <f t="shared" si="232"/>
        <v>1587.6265600000002</v>
      </c>
      <c r="BQ327" s="387">
        <f t="shared" si="233"/>
        <v>371.29976000000005</v>
      </c>
      <c r="BR327" s="387">
        <f t="shared" si="234"/>
        <v>3057.4614720000004</v>
      </c>
      <c r="BS327" s="387">
        <f t="shared" si="235"/>
        <v>184.62560480000002</v>
      </c>
      <c r="BT327" s="387">
        <f t="shared" si="236"/>
        <v>0</v>
      </c>
      <c r="BU327" s="387">
        <f t="shared" si="237"/>
        <v>141.73408080000002</v>
      </c>
      <c r="BV327" s="387">
        <f t="shared" si="238"/>
        <v>87.063391999999993</v>
      </c>
      <c r="BW327" s="387">
        <f t="shared" si="239"/>
        <v>0</v>
      </c>
      <c r="BX327" s="387">
        <f t="shared" si="254"/>
        <v>5429.8108696000008</v>
      </c>
      <c r="BY327" s="387">
        <f t="shared" si="255"/>
        <v>0</v>
      </c>
      <c r="BZ327" s="387">
        <f t="shared" si="256"/>
        <v>0</v>
      </c>
      <c r="CA327" s="387">
        <f t="shared" si="257"/>
        <v>0</v>
      </c>
      <c r="CB327" s="387">
        <f t="shared" si="258"/>
        <v>0</v>
      </c>
      <c r="CC327" s="387">
        <f t="shared" si="240"/>
        <v>0</v>
      </c>
      <c r="CD327" s="387">
        <f t="shared" si="241"/>
        <v>0</v>
      </c>
      <c r="CE327" s="387">
        <f t="shared" si="242"/>
        <v>0</v>
      </c>
      <c r="CF327" s="387">
        <f t="shared" si="243"/>
        <v>-125.47371200000001</v>
      </c>
      <c r="CG327" s="387">
        <f t="shared" si="244"/>
        <v>0</v>
      </c>
      <c r="CH327" s="387">
        <f t="shared" si="245"/>
        <v>17.924815999999993</v>
      </c>
      <c r="CI327" s="387">
        <f t="shared" si="246"/>
        <v>0</v>
      </c>
      <c r="CJ327" s="387">
        <f t="shared" si="259"/>
        <v>-107.54889600000001</v>
      </c>
      <c r="CK327" s="387" t="str">
        <f t="shared" si="260"/>
        <v/>
      </c>
      <c r="CL327" s="387" t="str">
        <f t="shared" si="261"/>
        <v/>
      </c>
      <c r="CM327" s="387" t="str">
        <f t="shared" si="262"/>
        <v/>
      </c>
      <c r="CN327" s="387" t="str">
        <f t="shared" si="263"/>
        <v>0348-31</v>
      </c>
    </row>
    <row r="328" spans="1:92" ht="15.75" thickBot="1" x14ac:dyDescent="0.3">
      <c r="A328" s="376" t="s">
        <v>161</v>
      </c>
      <c r="B328" s="376" t="s">
        <v>162</v>
      </c>
      <c r="C328" s="376" t="s">
        <v>1150</v>
      </c>
      <c r="D328" s="376" t="s">
        <v>726</v>
      </c>
      <c r="E328" s="376" t="s">
        <v>224</v>
      </c>
      <c r="F328" s="382" t="s">
        <v>225</v>
      </c>
      <c r="G328" s="376" t="s">
        <v>781</v>
      </c>
      <c r="H328" s="378"/>
      <c r="I328" s="378"/>
      <c r="J328" s="376" t="s">
        <v>215</v>
      </c>
      <c r="K328" s="376" t="s">
        <v>727</v>
      </c>
      <c r="L328" s="376" t="s">
        <v>170</v>
      </c>
      <c r="M328" s="376" t="s">
        <v>171</v>
      </c>
      <c r="N328" s="376" t="s">
        <v>172</v>
      </c>
      <c r="O328" s="379">
        <v>1</v>
      </c>
      <c r="P328" s="385">
        <v>1</v>
      </c>
      <c r="Q328" s="385">
        <v>1</v>
      </c>
      <c r="R328" s="380">
        <v>80</v>
      </c>
      <c r="S328" s="385">
        <v>1</v>
      </c>
      <c r="T328" s="380">
        <v>74780.66</v>
      </c>
      <c r="U328" s="380">
        <v>0</v>
      </c>
      <c r="V328" s="380">
        <v>26251.4</v>
      </c>
      <c r="W328" s="380">
        <v>77667.199999999997</v>
      </c>
      <c r="X328" s="380">
        <v>28445.5</v>
      </c>
      <c r="Y328" s="380">
        <v>77667.199999999997</v>
      </c>
      <c r="Z328" s="380">
        <v>28119.3</v>
      </c>
      <c r="AA328" s="376" t="s">
        <v>1151</v>
      </c>
      <c r="AB328" s="376" t="s">
        <v>1152</v>
      </c>
      <c r="AC328" s="376" t="s">
        <v>1153</v>
      </c>
      <c r="AD328" s="376" t="s">
        <v>324</v>
      </c>
      <c r="AE328" s="376" t="s">
        <v>727</v>
      </c>
      <c r="AF328" s="376" t="s">
        <v>177</v>
      </c>
      <c r="AG328" s="376" t="s">
        <v>178</v>
      </c>
      <c r="AH328" s="381">
        <v>37.340000000000003</v>
      </c>
      <c r="AI328" s="379">
        <v>53695</v>
      </c>
      <c r="AJ328" s="376" t="s">
        <v>179</v>
      </c>
      <c r="AK328" s="376" t="s">
        <v>180</v>
      </c>
      <c r="AL328" s="376" t="s">
        <v>181</v>
      </c>
      <c r="AM328" s="376" t="s">
        <v>182</v>
      </c>
      <c r="AN328" s="376" t="s">
        <v>68</v>
      </c>
      <c r="AO328" s="379">
        <v>80</v>
      </c>
      <c r="AP328" s="385">
        <v>1</v>
      </c>
      <c r="AQ328" s="385">
        <v>1</v>
      </c>
      <c r="AR328" s="383" t="s">
        <v>183</v>
      </c>
      <c r="AS328" s="387">
        <f t="shared" si="247"/>
        <v>1</v>
      </c>
      <c r="AT328">
        <f t="shared" si="248"/>
        <v>1</v>
      </c>
      <c r="AU328" s="387">
        <f>IF(AT328=0,"",IF(AND(AT328=1,M328="F",SUMIF(C2:C1334,C328,AS2:AS1334)&lt;=1),SUMIF(C2:C1334,C328,AS2:AS1334),IF(AND(AT328=1,M328="F",SUMIF(C2:C1334,C328,AS2:AS1334)&gt;1),1,"")))</f>
        <v>1</v>
      </c>
      <c r="AV328" s="387" t="str">
        <f>IF(AT328=0,"",IF(AND(AT328=3,M328="F",SUMIF(C2:C1334,C328,AS2:AS1334)&lt;=1),SUMIF(C2:C1334,C328,AS2:AS1334),IF(AND(AT328=3,M328="F",SUMIF(C2:C1334,C328,AS2:AS1334)&gt;1),1,"")))</f>
        <v/>
      </c>
      <c r="AW328" s="387">
        <f>SUMIF(C2:C1334,C328,O2:O1334)</f>
        <v>2</v>
      </c>
      <c r="AX328" s="387">
        <f>IF(AND(M328="F",AS328&lt;&gt;0),SUMIF(C2:C1334,C328,W2:W1334),0)</f>
        <v>77667.199999999997</v>
      </c>
      <c r="AY328" s="387">
        <f t="shared" si="249"/>
        <v>77667.199999999997</v>
      </c>
      <c r="AZ328" s="387" t="str">
        <f t="shared" si="250"/>
        <v/>
      </c>
      <c r="BA328" s="387">
        <f t="shared" si="251"/>
        <v>0</v>
      </c>
      <c r="BB328" s="387">
        <f t="shared" si="220"/>
        <v>11650</v>
      </c>
      <c r="BC328" s="387">
        <f t="shared" si="221"/>
        <v>0</v>
      </c>
      <c r="BD328" s="387">
        <f t="shared" si="222"/>
        <v>4815.3663999999999</v>
      </c>
      <c r="BE328" s="387">
        <f t="shared" si="223"/>
        <v>1126.1744000000001</v>
      </c>
      <c r="BF328" s="387">
        <f t="shared" si="224"/>
        <v>9273.4636800000007</v>
      </c>
      <c r="BG328" s="387">
        <f t="shared" si="225"/>
        <v>559.98051199999998</v>
      </c>
      <c r="BH328" s="387">
        <f t="shared" si="226"/>
        <v>380.56927999999999</v>
      </c>
      <c r="BI328" s="387">
        <f t="shared" si="227"/>
        <v>429.88795199999998</v>
      </c>
      <c r="BJ328" s="387">
        <f t="shared" si="228"/>
        <v>209.70143999999999</v>
      </c>
      <c r="BK328" s="387">
        <f t="shared" si="229"/>
        <v>0</v>
      </c>
      <c r="BL328" s="387">
        <f t="shared" si="252"/>
        <v>16795.143663999999</v>
      </c>
      <c r="BM328" s="387">
        <f t="shared" si="253"/>
        <v>0</v>
      </c>
      <c r="BN328" s="387">
        <f t="shared" si="230"/>
        <v>11650</v>
      </c>
      <c r="BO328" s="387">
        <f t="shared" si="231"/>
        <v>0</v>
      </c>
      <c r="BP328" s="387">
        <f t="shared" si="232"/>
        <v>4815.3663999999999</v>
      </c>
      <c r="BQ328" s="387">
        <f t="shared" si="233"/>
        <v>1126.1744000000001</v>
      </c>
      <c r="BR328" s="387">
        <f t="shared" si="234"/>
        <v>9273.4636800000007</v>
      </c>
      <c r="BS328" s="387">
        <f t="shared" si="235"/>
        <v>559.98051199999998</v>
      </c>
      <c r="BT328" s="387">
        <f t="shared" si="236"/>
        <v>0</v>
      </c>
      <c r="BU328" s="387">
        <f t="shared" si="237"/>
        <v>429.88795199999998</v>
      </c>
      <c r="BV328" s="387">
        <f t="shared" si="238"/>
        <v>264.06847999999997</v>
      </c>
      <c r="BW328" s="387">
        <f t="shared" si="239"/>
        <v>0</v>
      </c>
      <c r="BX328" s="387">
        <f t="shared" si="254"/>
        <v>16468.941424000001</v>
      </c>
      <c r="BY328" s="387">
        <f t="shared" si="255"/>
        <v>0</v>
      </c>
      <c r="BZ328" s="387">
        <f t="shared" si="256"/>
        <v>0</v>
      </c>
      <c r="CA328" s="387">
        <f t="shared" si="257"/>
        <v>0</v>
      </c>
      <c r="CB328" s="387">
        <f t="shared" si="258"/>
        <v>0</v>
      </c>
      <c r="CC328" s="387">
        <f t="shared" si="240"/>
        <v>0</v>
      </c>
      <c r="CD328" s="387">
        <f t="shared" si="241"/>
        <v>0</v>
      </c>
      <c r="CE328" s="387">
        <f t="shared" si="242"/>
        <v>0</v>
      </c>
      <c r="CF328" s="387">
        <f t="shared" si="243"/>
        <v>-380.56927999999999</v>
      </c>
      <c r="CG328" s="387">
        <f t="shared" si="244"/>
        <v>0</v>
      </c>
      <c r="CH328" s="387">
        <f t="shared" si="245"/>
        <v>54.367039999999974</v>
      </c>
      <c r="CI328" s="387">
        <f t="shared" si="246"/>
        <v>0</v>
      </c>
      <c r="CJ328" s="387">
        <f t="shared" si="259"/>
        <v>-326.20224000000002</v>
      </c>
      <c r="CK328" s="387" t="str">
        <f t="shared" si="260"/>
        <v/>
      </c>
      <c r="CL328" s="387" t="str">
        <f t="shared" si="261"/>
        <v/>
      </c>
      <c r="CM328" s="387" t="str">
        <f t="shared" si="262"/>
        <v/>
      </c>
      <c r="CN328" s="387" t="str">
        <f t="shared" si="263"/>
        <v>0348-31</v>
      </c>
    </row>
    <row r="329" spans="1:92" ht="15.75" thickBot="1" x14ac:dyDescent="0.3">
      <c r="A329" s="376" t="s">
        <v>161</v>
      </c>
      <c r="B329" s="376" t="s">
        <v>162</v>
      </c>
      <c r="C329" s="376" t="s">
        <v>717</v>
      </c>
      <c r="D329" s="376" t="s">
        <v>238</v>
      </c>
      <c r="E329" s="376" t="s">
        <v>224</v>
      </c>
      <c r="F329" s="382" t="s">
        <v>225</v>
      </c>
      <c r="G329" s="376" t="s">
        <v>781</v>
      </c>
      <c r="H329" s="378"/>
      <c r="I329" s="378"/>
      <c r="J329" s="376" t="s">
        <v>215</v>
      </c>
      <c r="K329" s="376" t="s">
        <v>343</v>
      </c>
      <c r="L329" s="376" t="s">
        <v>296</v>
      </c>
      <c r="M329" s="376" t="s">
        <v>171</v>
      </c>
      <c r="N329" s="376" t="s">
        <v>257</v>
      </c>
      <c r="O329" s="379">
        <v>1</v>
      </c>
      <c r="P329" s="385">
        <v>1</v>
      </c>
      <c r="Q329" s="385">
        <v>1</v>
      </c>
      <c r="R329" s="380">
        <v>80</v>
      </c>
      <c r="S329" s="385">
        <v>1</v>
      </c>
      <c r="T329" s="380">
        <v>0</v>
      </c>
      <c r="U329" s="380">
        <v>0</v>
      </c>
      <c r="V329" s="380">
        <v>0</v>
      </c>
      <c r="W329" s="380">
        <v>53248</v>
      </c>
      <c r="X329" s="380">
        <v>22869.85</v>
      </c>
      <c r="Y329" s="380">
        <v>53248</v>
      </c>
      <c r="Z329" s="380">
        <v>22646.22</v>
      </c>
      <c r="AA329" s="376" t="s">
        <v>718</v>
      </c>
      <c r="AB329" s="376" t="s">
        <v>719</v>
      </c>
      <c r="AC329" s="376" t="s">
        <v>720</v>
      </c>
      <c r="AD329" s="376" t="s">
        <v>279</v>
      </c>
      <c r="AE329" s="376" t="s">
        <v>343</v>
      </c>
      <c r="AF329" s="376" t="s">
        <v>301</v>
      </c>
      <c r="AG329" s="376" t="s">
        <v>178</v>
      </c>
      <c r="AH329" s="381">
        <v>25.6</v>
      </c>
      <c r="AI329" s="379">
        <v>13840</v>
      </c>
      <c r="AJ329" s="376" t="s">
        <v>179</v>
      </c>
      <c r="AK329" s="376" t="s">
        <v>180</v>
      </c>
      <c r="AL329" s="376" t="s">
        <v>181</v>
      </c>
      <c r="AM329" s="376" t="s">
        <v>182</v>
      </c>
      <c r="AN329" s="376" t="s">
        <v>68</v>
      </c>
      <c r="AO329" s="379">
        <v>80</v>
      </c>
      <c r="AP329" s="385">
        <v>1</v>
      </c>
      <c r="AQ329" s="385">
        <v>1</v>
      </c>
      <c r="AR329" s="383" t="s">
        <v>183</v>
      </c>
      <c r="AS329" s="387">
        <f t="shared" si="247"/>
        <v>1</v>
      </c>
      <c r="AT329">
        <f t="shared" si="248"/>
        <v>1</v>
      </c>
      <c r="AU329" s="387">
        <f>IF(AT329=0,"",IF(AND(AT329=1,M329="F",SUMIF(C2:C1334,C329,AS2:AS1334)&lt;=1),SUMIF(C2:C1334,C329,AS2:AS1334),IF(AND(AT329=1,M329="F",SUMIF(C2:C1334,C329,AS2:AS1334)&gt;1),1,"")))</f>
        <v>1</v>
      </c>
      <c r="AV329" s="387" t="str">
        <f>IF(AT329=0,"",IF(AND(AT329=3,M329="F",SUMIF(C2:C1334,C329,AS2:AS1334)&lt;=1),SUMIF(C2:C1334,C329,AS2:AS1334),IF(AND(AT329=3,M329="F",SUMIF(C2:C1334,C329,AS2:AS1334)&gt;1),1,"")))</f>
        <v/>
      </c>
      <c r="AW329" s="387">
        <f>SUMIF(C2:C1334,C329,O2:O1334)</f>
        <v>3</v>
      </c>
      <c r="AX329" s="387">
        <f>IF(AND(M329="F",AS329&lt;&gt;0),SUMIF(C2:C1334,C329,W2:W1334),0)</f>
        <v>53248</v>
      </c>
      <c r="AY329" s="387">
        <f t="shared" si="249"/>
        <v>53248</v>
      </c>
      <c r="AZ329" s="387" t="str">
        <f t="shared" si="250"/>
        <v/>
      </c>
      <c r="BA329" s="387">
        <f t="shared" si="251"/>
        <v>0</v>
      </c>
      <c r="BB329" s="387">
        <f t="shared" si="220"/>
        <v>11650</v>
      </c>
      <c r="BC329" s="387">
        <f t="shared" si="221"/>
        <v>0</v>
      </c>
      <c r="BD329" s="387">
        <f t="shared" si="222"/>
        <v>3301.3760000000002</v>
      </c>
      <c r="BE329" s="387">
        <f t="shared" si="223"/>
        <v>772.096</v>
      </c>
      <c r="BF329" s="387">
        <f t="shared" si="224"/>
        <v>6357.8112000000001</v>
      </c>
      <c r="BG329" s="387">
        <f t="shared" si="225"/>
        <v>383.91808000000003</v>
      </c>
      <c r="BH329" s="387">
        <f t="shared" si="226"/>
        <v>260.91519999999997</v>
      </c>
      <c r="BI329" s="387">
        <f t="shared" si="227"/>
        <v>0</v>
      </c>
      <c r="BJ329" s="387">
        <f t="shared" si="228"/>
        <v>143.7696</v>
      </c>
      <c r="BK329" s="387">
        <f t="shared" si="229"/>
        <v>0</v>
      </c>
      <c r="BL329" s="387">
        <f t="shared" si="252"/>
        <v>11219.886079999998</v>
      </c>
      <c r="BM329" s="387">
        <f t="shared" si="253"/>
        <v>0</v>
      </c>
      <c r="BN329" s="387">
        <f t="shared" si="230"/>
        <v>11650</v>
      </c>
      <c r="BO329" s="387">
        <f t="shared" si="231"/>
        <v>0</v>
      </c>
      <c r="BP329" s="387">
        <f t="shared" si="232"/>
        <v>3301.3760000000002</v>
      </c>
      <c r="BQ329" s="387">
        <f t="shared" si="233"/>
        <v>772.096</v>
      </c>
      <c r="BR329" s="387">
        <f t="shared" si="234"/>
        <v>6357.8112000000001</v>
      </c>
      <c r="BS329" s="387">
        <f t="shared" si="235"/>
        <v>383.91808000000003</v>
      </c>
      <c r="BT329" s="387">
        <f t="shared" si="236"/>
        <v>0</v>
      </c>
      <c r="BU329" s="387">
        <f t="shared" si="237"/>
        <v>0</v>
      </c>
      <c r="BV329" s="387">
        <f t="shared" si="238"/>
        <v>181.04319999999998</v>
      </c>
      <c r="BW329" s="387">
        <f t="shared" si="239"/>
        <v>0</v>
      </c>
      <c r="BX329" s="387">
        <f t="shared" si="254"/>
        <v>10996.244479999999</v>
      </c>
      <c r="BY329" s="387">
        <f t="shared" si="255"/>
        <v>0</v>
      </c>
      <c r="BZ329" s="387">
        <f t="shared" si="256"/>
        <v>0</v>
      </c>
      <c r="CA329" s="387">
        <f t="shared" si="257"/>
        <v>0</v>
      </c>
      <c r="CB329" s="387">
        <f t="shared" si="258"/>
        <v>0</v>
      </c>
      <c r="CC329" s="387">
        <f t="shared" si="240"/>
        <v>0</v>
      </c>
      <c r="CD329" s="387">
        <f t="shared" si="241"/>
        <v>0</v>
      </c>
      <c r="CE329" s="387">
        <f t="shared" si="242"/>
        <v>0</v>
      </c>
      <c r="CF329" s="387">
        <f t="shared" si="243"/>
        <v>-260.91519999999997</v>
      </c>
      <c r="CG329" s="387">
        <f t="shared" si="244"/>
        <v>0</v>
      </c>
      <c r="CH329" s="387">
        <f t="shared" si="245"/>
        <v>37.273599999999981</v>
      </c>
      <c r="CI329" s="387">
        <f t="shared" si="246"/>
        <v>0</v>
      </c>
      <c r="CJ329" s="387">
        <f t="shared" si="259"/>
        <v>-223.64159999999998</v>
      </c>
      <c r="CK329" s="387" t="str">
        <f t="shared" si="260"/>
        <v/>
      </c>
      <c r="CL329" s="387" t="str">
        <f t="shared" si="261"/>
        <v/>
      </c>
      <c r="CM329" s="387" t="str">
        <f t="shared" si="262"/>
        <v/>
      </c>
      <c r="CN329" s="387" t="str">
        <f t="shared" si="263"/>
        <v>0348-31</v>
      </c>
    </row>
    <row r="330" spans="1:92" ht="15.75" thickBot="1" x14ac:dyDescent="0.3">
      <c r="A330" s="376" t="s">
        <v>161</v>
      </c>
      <c r="B330" s="376" t="s">
        <v>162</v>
      </c>
      <c r="C330" s="376" t="s">
        <v>1154</v>
      </c>
      <c r="D330" s="376" t="s">
        <v>862</v>
      </c>
      <c r="E330" s="376" t="s">
        <v>224</v>
      </c>
      <c r="F330" s="382" t="s">
        <v>225</v>
      </c>
      <c r="G330" s="376" t="s">
        <v>781</v>
      </c>
      <c r="H330" s="378"/>
      <c r="I330" s="378"/>
      <c r="J330" s="376" t="s">
        <v>239</v>
      </c>
      <c r="K330" s="376" t="s">
        <v>863</v>
      </c>
      <c r="L330" s="376" t="s">
        <v>252</v>
      </c>
      <c r="M330" s="376" t="s">
        <v>171</v>
      </c>
      <c r="N330" s="376" t="s">
        <v>172</v>
      </c>
      <c r="O330" s="379">
        <v>1</v>
      </c>
      <c r="P330" s="385">
        <v>0.75</v>
      </c>
      <c r="Q330" s="385">
        <v>0.75</v>
      </c>
      <c r="R330" s="380">
        <v>80</v>
      </c>
      <c r="S330" s="385">
        <v>0.75</v>
      </c>
      <c r="T330" s="380">
        <v>39065.53</v>
      </c>
      <c r="U330" s="380">
        <v>0</v>
      </c>
      <c r="V330" s="380">
        <v>17597.75</v>
      </c>
      <c r="W330" s="380">
        <v>38766</v>
      </c>
      <c r="X330" s="380">
        <v>17120.62</v>
      </c>
      <c r="Y330" s="380">
        <v>38766</v>
      </c>
      <c r="Z330" s="380">
        <v>16957.8</v>
      </c>
      <c r="AA330" s="376" t="s">
        <v>1155</v>
      </c>
      <c r="AB330" s="376" t="s">
        <v>1156</v>
      </c>
      <c r="AC330" s="376" t="s">
        <v>1157</v>
      </c>
      <c r="AD330" s="376" t="s">
        <v>324</v>
      </c>
      <c r="AE330" s="376" t="s">
        <v>863</v>
      </c>
      <c r="AF330" s="376" t="s">
        <v>393</v>
      </c>
      <c r="AG330" s="376" t="s">
        <v>178</v>
      </c>
      <c r="AH330" s="381">
        <v>24.85</v>
      </c>
      <c r="AI330" s="381">
        <v>47177.9</v>
      </c>
      <c r="AJ330" s="376" t="s">
        <v>179</v>
      </c>
      <c r="AK330" s="376" t="s">
        <v>180</v>
      </c>
      <c r="AL330" s="376" t="s">
        <v>181</v>
      </c>
      <c r="AM330" s="376" t="s">
        <v>182</v>
      </c>
      <c r="AN330" s="376" t="s">
        <v>68</v>
      </c>
      <c r="AO330" s="379">
        <v>80</v>
      </c>
      <c r="AP330" s="385">
        <v>1</v>
      </c>
      <c r="AQ330" s="385">
        <v>0.75</v>
      </c>
      <c r="AR330" s="383" t="s">
        <v>183</v>
      </c>
      <c r="AS330" s="387">
        <f t="shared" si="247"/>
        <v>0.75</v>
      </c>
      <c r="AT330">
        <f t="shared" si="248"/>
        <v>1</v>
      </c>
      <c r="AU330" s="387">
        <f>IF(AT330=0,"",IF(AND(AT330=1,M330="F",SUMIF(C2:C1334,C330,AS2:AS1334)&lt;=1),SUMIF(C2:C1334,C330,AS2:AS1334),IF(AND(AT330=1,M330="F",SUMIF(C2:C1334,C330,AS2:AS1334)&gt;1),1,"")))</f>
        <v>1</v>
      </c>
      <c r="AV330" s="387" t="str">
        <f>IF(AT330=0,"",IF(AND(AT330=3,M330="F",SUMIF(C2:C1334,C330,AS2:AS1334)&lt;=1),SUMIF(C2:C1334,C330,AS2:AS1334),IF(AND(AT330=3,M330="F",SUMIF(C2:C1334,C330,AS2:AS1334)&gt;1),1,"")))</f>
        <v/>
      </c>
      <c r="AW330" s="387">
        <f>SUMIF(C2:C1334,C330,O2:O1334)</f>
        <v>3</v>
      </c>
      <c r="AX330" s="387">
        <f>IF(AND(M330="F",AS330&lt;&gt;0),SUMIF(C2:C1334,C330,W2:W1334),0)</f>
        <v>51688</v>
      </c>
      <c r="AY330" s="387">
        <f t="shared" si="249"/>
        <v>38766</v>
      </c>
      <c r="AZ330" s="387" t="str">
        <f t="shared" si="250"/>
        <v/>
      </c>
      <c r="BA330" s="387">
        <f t="shared" si="251"/>
        <v>0</v>
      </c>
      <c r="BB330" s="387">
        <f t="shared" si="220"/>
        <v>8737.5</v>
      </c>
      <c r="BC330" s="387">
        <f t="shared" si="221"/>
        <v>0</v>
      </c>
      <c r="BD330" s="387">
        <f t="shared" si="222"/>
        <v>2403.4920000000002</v>
      </c>
      <c r="BE330" s="387">
        <f t="shared" si="223"/>
        <v>562.10700000000008</v>
      </c>
      <c r="BF330" s="387">
        <f t="shared" si="224"/>
        <v>4628.6604000000007</v>
      </c>
      <c r="BG330" s="387">
        <f t="shared" si="225"/>
        <v>279.50286</v>
      </c>
      <c r="BH330" s="387">
        <f t="shared" si="226"/>
        <v>189.95339999999999</v>
      </c>
      <c r="BI330" s="387">
        <f t="shared" si="227"/>
        <v>214.56980999999999</v>
      </c>
      <c r="BJ330" s="387">
        <f t="shared" si="228"/>
        <v>104.6682</v>
      </c>
      <c r="BK330" s="387">
        <f t="shared" si="229"/>
        <v>0</v>
      </c>
      <c r="BL330" s="387">
        <f t="shared" si="252"/>
        <v>8382.9536700000008</v>
      </c>
      <c r="BM330" s="387">
        <f t="shared" si="253"/>
        <v>0</v>
      </c>
      <c r="BN330" s="387">
        <f t="shared" si="230"/>
        <v>8737.5</v>
      </c>
      <c r="BO330" s="387">
        <f t="shared" si="231"/>
        <v>0</v>
      </c>
      <c r="BP330" s="387">
        <f t="shared" si="232"/>
        <v>2403.4920000000002</v>
      </c>
      <c r="BQ330" s="387">
        <f t="shared" si="233"/>
        <v>562.10700000000008</v>
      </c>
      <c r="BR330" s="387">
        <f t="shared" si="234"/>
        <v>4628.6604000000007</v>
      </c>
      <c r="BS330" s="387">
        <f t="shared" si="235"/>
        <v>279.50286</v>
      </c>
      <c r="BT330" s="387">
        <f t="shared" si="236"/>
        <v>0</v>
      </c>
      <c r="BU330" s="387">
        <f t="shared" si="237"/>
        <v>214.56980999999999</v>
      </c>
      <c r="BV330" s="387">
        <f t="shared" si="238"/>
        <v>131.80439999999999</v>
      </c>
      <c r="BW330" s="387">
        <f t="shared" si="239"/>
        <v>0</v>
      </c>
      <c r="BX330" s="387">
        <f t="shared" si="254"/>
        <v>8220.1364700000013</v>
      </c>
      <c r="BY330" s="387">
        <f t="shared" si="255"/>
        <v>0</v>
      </c>
      <c r="BZ330" s="387">
        <f t="shared" si="256"/>
        <v>0</v>
      </c>
      <c r="CA330" s="387">
        <f t="shared" si="257"/>
        <v>0</v>
      </c>
      <c r="CB330" s="387">
        <f t="shared" si="258"/>
        <v>0</v>
      </c>
      <c r="CC330" s="387">
        <f t="shared" si="240"/>
        <v>0</v>
      </c>
      <c r="CD330" s="387">
        <f t="shared" si="241"/>
        <v>0</v>
      </c>
      <c r="CE330" s="387">
        <f t="shared" si="242"/>
        <v>0</v>
      </c>
      <c r="CF330" s="387">
        <f t="shared" si="243"/>
        <v>-189.95339999999999</v>
      </c>
      <c r="CG330" s="387">
        <f t="shared" si="244"/>
        <v>0</v>
      </c>
      <c r="CH330" s="387">
        <f t="shared" si="245"/>
        <v>27.136199999999988</v>
      </c>
      <c r="CI330" s="387">
        <f t="shared" si="246"/>
        <v>0</v>
      </c>
      <c r="CJ330" s="387">
        <f t="shared" si="259"/>
        <v>-162.81720000000001</v>
      </c>
      <c r="CK330" s="387" t="str">
        <f t="shared" si="260"/>
        <v/>
      </c>
      <c r="CL330" s="387" t="str">
        <f t="shared" si="261"/>
        <v/>
      </c>
      <c r="CM330" s="387" t="str">
        <f t="shared" si="262"/>
        <v/>
      </c>
      <c r="CN330" s="387" t="str">
        <f t="shared" si="263"/>
        <v>0348-31</v>
      </c>
    </row>
    <row r="331" spans="1:92" ht="15.75" thickBot="1" x14ac:dyDescent="0.3">
      <c r="A331" s="376" t="s">
        <v>161</v>
      </c>
      <c r="B331" s="376" t="s">
        <v>162</v>
      </c>
      <c r="C331" s="376" t="s">
        <v>203</v>
      </c>
      <c r="D331" s="376" t="s">
        <v>204</v>
      </c>
      <c r="E331" s="376" t="s">
        <v>224</v>
      </c>
      <c r="F331" s="382" t="s">
        <v>225</v>
      </c>
      <c r="G331" s="376" t="s">
        <v>781</v>
      </c>
      <c r="H331" s="378"/>
      <c r="I331" s="378"/>
      <c r="J331" s="376" t="s">
        <v>205</v>
      </c>
      <c r="K331" s="376" t="s">
        <v>206</v>
      </c>
      <c r="L331" s="376" t="s">
        <v>181</v>
      </c>
      <c r="M331" s="376" t="s">
        <v>171</v>
      </c>
      <c r="N331" s="376" t="s">
        <v>172</v>
      </c>
      <c r="O331" s="379">
        <v>1</v>
      </c>
      <c r="P331" s="385">
        <v>0.25</v>
      </c>
      <c r="Q331" s="385">
        <v>0.25</v>
      </c>
      <c r="R331" s="380">
        <v>80</v>
      </c>
      <c r="S331" s="385">
        <v>0.25</v>
      </c>
      <c r="T331" s="380">
        <v>43441.29</v>
      </c>
      <c r="U331" s="380">
        <v>0</v>
      </c>
      <c r="V331" s="380">
        <v>15704.19</v>
      </c>
      <c r="W331" s="380">
        <v>20014.8</v>
      </c>
      <c r="X331" s="380">
        <v>7240.69</v>
      </c>
      <c r="Y331" s="380">
        <v>20014.8</v>
      </c>
      <c r="Z331" s="380">
        <v>7156.63</v>
      </c>
      <c r="AA331" s="376" t="s">
        <v>207</v>
      </c>
      <c r="AB331" s="376" t="s">
        <v>208</v>
      </c>
      <c r="AC331" s="376" t="s">
        <v>209</v>
      </c>
      <c r="AD331" s="376" t="s">
        <v>210</v>
      </c>
      <c r="AE331" s="376" t="s">
        <v>206</v>
      </c>
      <c r="AF331" s="376" t="s">
        <v>211</v>
      </c>
      <c r="AG331" s="376" t="s">
        <v>178</v>
      </c>
      <c r="AH331" s="381">
        <v>38.49</v>
      </c>
      <c r="AI331" s="379">
        <v>31638</v>
      </c>
      <c r="AJ331" s="376" t="s">
        <v>179</v>
      </c>
      <c r="AK331" s="376" t="s">
        <v>180</v>
      </c>
      <c r="AL331" s="376" t="s">
        <v>181</v>
      </c>
      <c r="AM331" s="376" t="s">
        <v>182</v>
      </c>
      <c r="AN331" s="376" t="s">
        <v>68</v>
      </c>
      <c r="AO331" s="379">
        <v>80</v>
      </c>
      <c r="AP331" s="385">
        <v>1</v>
      </c>
      <c r="AQ331" s="385">
        <v>0.25</v>
      </c>
      <c r="AR331" s="383" t="s">
        <v>183</v>
      </c>
      <c r="AS331" s="387">
        <f t="shared" si="247"/>
        <v>0.25</v>
      </c>
      <c r="AT331">
        <f t="shared" si="248"/>
        <v>1</v>
      </c>
      <c r="AU331" s="387">
        <f>IF(AT331=0,"",IF(AND(AT331=1,M331="F",SUMIF(C2:C1334,C331,AS2:AS1334)&lt;=1),SUMIF(C2:C1334,C331,AS2:AS1334),IF(AND(AT331=1,M331="F",SUMIF(C2:C1334,C331,AS2:AS1334)&gt;1),1,"")))</f>
        <v>1</v>
      </c>
      <c r="AV331" s="387" t="str">
        <f>IF(AT331=0,"",IF(AND(AT331=3,M331="F",SUMIF(C2:C1334,C331,AS2:AS1334)&lt;=1),SUMIF(C2:C1334,C331,AS2:AS1334),IF(AND(AT331=3,M331="F",SUMIF(C2:C1334,C331,AS2:AS1334)&gt;1),1,"")))</f>
        <v/>
      </c>
      <c r="AW331" s="387">
        <f>SUMIF(C2:C1334,C331,O2:O1334)</f>
        <v>4</v>
      </c>
      <c r="AX331" s="387">
        <f>IF(AND(M331="F",AS331&lt;&gt;0),SUMIF(C2:C1334,C331,W2:W1334),0)</f>
        <v>80059.199999999997</v>
      </c>
      <c r="AY331" s="387">
        <f t="shared" si="249"/>
        <v>20014.8</v>
      </c>
      <c r="AZ331" s="387" t="str">
        <f t="shared" si="250"/>
        <v/>
      </c>
      <c r="BA331" s="387">
        <f t="shared" si="251"/>
        <v>0</v>
      </c>
      <c r="BB331" s="387">
        <f t="shared" si="220"/>
        <v>2912.5</v>
      </c>
      <c r="BC331" s="387">
        <f t="shared" si="221"/>
        <v>0</v>
      </c>
      <c r="BD331" s="387">
        <f t="shared" si="222"/>
        <v>1240.9176</v>
      </c>
      <c r="BE331" s="387">
        <f t="shared" si="223"/>
        <v>290.21460000000002</v>
      </c>
      <c r="BF331" s="387">
        <f t="shared" si="224"/>
        <v>2389.76712</v>
      </c>
      <c r="BG331" s="387">
        <f t="shared" si="225"/>
        <v>144.30670799999999</v>
      </c>
      <c r="BH331" s="387">
        <f t="shared" si="226"/>
        <v>98.072519999999997</v>
      </c>
      <c r="BI331" s="387">
        <f t="shared" si="227"/>
        <v>110.78191799999999</v>
      </c>
      <c r="BJ331" s="387">
        <f t="shared" si="228"/>
        <v>54.039960000000001</v>
      </c>
      <c r="BK331" s="387">
        <f t="shared" si="229"/>
        <v>0</v>
      </c>
      <c r="BL331" s="387">
        <f t="shared" si="252"/>
        <v>4328.100426</v>
      </c>
      <c r="BM331" s="387">
        <f t="shared" si="253"/>
        <v>0</v>
      </c>
      <c r="BN331" s="387">
        <f t="shared" si="230"/>
        <v>2912.5</v>
      </c>
      <c r="BO331" s="387">
        <f t="shared" si="231"/>
        <v>0</v>
      </c>
      <c r="BP331" s="387">
        <f t="shared" si="232"/>
        <v>1240.9176</v>
      </c>
      <c r="BQ331" s="387">
        <f t="shared" si="233"/>
        <v>290.21460000000002</v>
      </c>
      <c r="BR331" s="387">
        <f t="shared" si="234"/>
        <v>2389.76712</v>
      </c>
      <c r="BS331" s="387">
        <f t="shared" si="235"/>
        <v>144.30670799999999</v>
      </c>
      <c r="BT331" s="387">
        <f t="shared" si="236"/>
        <v>0</v>
      </c>
      <c r="BU331" s="387">
        <f t="shared" si="237"/>
        <v>110.78191799999999</v>
      </c>
      <c r="BV331" s="387">
        <f t="shared" si="238"/>
        <v>68.050319999999999</v>
      </c>
      <c r="BW331" s="387">
        <f t="shared" si="239"/>
        <v>0</v>
      </c>
      <c r="BX331" s="387">
        <f t="shared" si="254"/>
        <v>4244.0382660000005</v>
      </c>
      <c r="BY331" s="387">
        <f t="shared" si="255"/>
        <v>0</v>
      </c>
      <c r="BZ331" s="387">
        <f t="shared" si="256"/>
        <v>0</v>
      </c>
      <c r="CA331" s="387">
        <f t="shared" si="257"/>
        <v>0</v>
      </c>
      <c r="CB331" s="387">
        <f t="shared" si="258"/>
        <v>0</v>
      </c>
      <c r="CC331" s="387">
        <f t="shared" si="240"/>
        <v>0</v>
      </c>
      <c r="CD331" s="387">
        <f t="shared" si="241"/>
        <v>0</v>
      </c>
      <c r="CE331" s="387">
        <f t="shared" si="242"/>
        <v>0</v>
      </c>
      <c r="CF331" s="387">
        <f t="shared" si="243"/>
        <v>-98.072519999999997</v>
      </c>
      <c r="CG331" s="387">
        <f t="shared" si="244"/>
        <v>0</v>
      </c>
      <c r="CH331" s="387">
        <f t="shared" si="245"/>
        <v>14.010359999999993</v>
      </c>
      <c r="CI331" s="387">
        <f t="shared" si="246"/>
        <v>0</v>
      </c>
      <c r="CJ331" s="387">
        <f t="shared" si="259"/>
        <v>-84.062160000000006</v>
      </c>
      <c r="CK331" s="387" t="str">
        <f t="shared" si="260"/>
        <v/>
      </c>
      <c r="CL331" s="387" t="str">
        <f t="shared" si="261"/>
        <v/>
      </c>
      <c r="CM331" s="387" t="str">
        <f t="shared" si="262"/>
        <v/>
      </c>
      <c r="CN331" s="387" t="str">
        <f t="shared" si="263"/>
        <v>0348-31</v>
      </c>
    </row>
    <row r="332" spans="1:92" ht="15.75" thickBot="1" x14ac:dyDescent="0.3">
      <c r="A332" s="376" t="s">
        <v>161</v>
      </c>
      <c r="B332" s="376" t="s">
        <v>162</v>
      </c>
      <c r="C332" s="376" t="s">
        <v>1158</v>
      </c>
      <c r="D332" s="376" t="s">
        <v>862</v>
      </c>
      <c r="E332" s="376" t="s">
        <v>224</v>
      </c>
      <c r="F332" s="382" t="s">
        <v>225</v>
      </c>
      <c r="G332" s="376" t="s">
        <v>781</v>
      </c>
      <c r="H332" s="378"/>
      <c r="I332" s="378"/>
      <c r="J332" s="376" t="s">
        <v>215</v>
      </c>
      <c r="K332" s="376" t="s">
        <v>863</v>
      </c>
      <c r="L332" s="376" t="s">
        <v>252</v>
      </c>
      <c r="M332" s="376" t="s">
        <v>272</v>
      </c>
      <c r="N332" s="376" t="s">
        <v>172</v>
      </c>
      <c r="O332" s="379">
        <v>0</v>
      </c>
      <c r="P332" s="385">
        <v>0</v>
      </c>
      <c r="Q332" s="385">
        <v>0</v>
      </c>
      <c r="R332" s="380">
        <v>80</v>
      </c>
      <c r="S332" s="385">
        <v>0</v>
      </c>
      <c r="T332" s="380">
        <v>606.57000000000005</v>
      </c>
      <c r="U332" s="380">
        <v>0</v>
      </c>
      <c r="V332" s="380">
        <v>-254.23</v>
      </c>
      <c r="W332" s="380">
        <v>0</v>
      </c>
      <c r="X332" s="380">
        <v>0</v>
      </c>
      <c r="Y332" s="380">
        <v>0</v>
      </c>
      <c r="Z332" s="380">
        <v>0</v>
      </c>
      <c r="AA332" s="378"/>
      <c r="AB332" s="376" t="s">
        <v>45</v>
      </c>
      <c r="AC332" s="376" t="s">
        <v>45</v>
      </c>
      <c r="AD332" s="378"/>
      <c r="AE332" s="378"/>
      <c r="AF332" s="378"/>
      <c r="AG332" s="378"/>
      <c r="AH332" s="379">
        <v>0</v>
      </c>
      <c r="AI332" s="379">
        <v>0</v>
      </c>
      <c r="AJ332" s="378"/>
      <c r="AK332" s="378"/>
      <c r="AL332" s="376" t="s">
        <v>181</v>
      </c>
      <c r="AM332" s="378"/>
      <c r="AN332" s="378"/>
      <c r="AO332" s="379">
        <v>0</v>
      </c>
      <c r="AP332" s="385">
        <v>0</v>
      </c>
      <c r="AQ332" s="385">
        <v>0</v>
      </c>
      <c r="AR332" s="384"/>
      <c r="AS332" s="387">
        <f t="shared" si="247"/>
        <v>0</v>
      </c>
      <c r="AT332">
        <f t="shared" si="248"/>
        <v>0</v>
      </c>
      <c r="AU332" s="387" t="str">
        <f>IF(AT332=0,"",IF(AND(AT332=1,M332="F",SUMIF(C2:C1334,C332,AS2:AS1334)&lt;=1),SUMIF(C2:C1334,C332,AS2:AS1334),IF(AND(AT332=1,M332="F",SUMIF(C2:C1334,C332,AS2:AS1334)&gt;1),1,"")))</f>
        <v/>
      </c>
      <c r="AV332" s="387" t="str">
        <f>IF(AT332=0,"",IF(AND(AT332=3,M332="F",SUMIF(C2:C1334,C332,AS2:AS1334)&lt;=1),SUMIF(C2:C1334,C332,AS2:AS1334),IF(AND(AT332=3,M332="F",SUMIF(C2:C1334,C332,AS2:AS1334)&gt;1),1,"")))</f>
        <v/>
      </c>
      <c r="AW332" s="387">
        <f>SUMIF(C2:C1334,C332,O2:O1334)</f>
        <v>0</v>
      </c>
      <c r="AX332" s="387">
        <f>IF(AND(M332="F",AS332&lt;&gt;0),SUMIF(C2:C1334,C332,W2:W1334),0)</f>
        <v>0</v>
      </c>
      <c r="AY332" s="387" t="str">
        <f t="shared" si="249"/>
        <v/>
      </c>
      <c r="AZ332" s="387" t="str">
        <f t="shared" si="250"/>
        <v/>
      </c>
      <c r="BA332" s="387">
        <f t="shared" si="251"/>
        <v>0</v>
      </c>
      <c r="BB332" s="387">
        <f t="shared" si="220"/>
        <v>0</v>
      </c>
      <c r="BC332" s="387">
        <f t="shared" si="221"/>
        <v>0</v>
      </c>
      <c r="BD332" s="387">
        <f t="shared" si="222"/>
        <v>0</v>
      </c>
      <c r="BE332" s="387">
        <f t="shared" si="223"/>
        <v>0</v>
      </c>
      <c r="BF332" s="387">
        <f t="shared" si="224"/>
        <v>0</v>
      </c>
      <c r="BG332" s="387">
        <f t="shared" si="225"/>
        <v>0</v>
      </c>
      <c r="BH332" s="387">
        <f t="shared" si="226"/>
        <v>0</v>
      </c>
      <c r="BI332" s="387">
        <f t="shared" si="227"/>
        <v>0</v>
      </c>
      <c r="BJ332" s="387">
        <f t="shared" si="228"/>
        <v>0</v>
      </c>
      <c r="BK332" s="387">
        <f t="shared" si="229"/>
        <v>0</v>
      </c>
      <c r="BL332" s="387">
        <f t="shared" si="252"/>
        <v>0</v>
      </c>
      <c r="BM332" s="387">
        <f t="shared" si="253"/>
        <v>0</v>
      </c>
      <c r="BN332" s="387">
        <f t="shared" si="230"/>
        <v>0</v>
      </c>
      <c r="BO332" s="387">
        <f t="shared" si="231"/>
        <v>0</v>
      </c>
      <c r="BP332" s="387">
        <f t="shared" si="232"/>
        <v>0</v>
      </c>
      <c r="BQ332" s="387">
        <f t="shared" si="233"/>
        <v>0</v>
      </c>
      <c r="BR332" s="387">
        <f t="shared" si="234"/>
        <v>0</v>
      </c>
      <c r="BS332" s="387">
        <f t="shared" si="235"/>
        <v>0</v>
      </c>
      <c r="BT332" s="387">
        <f t="shared" si="236"/>
        <v>0</v>
      </c>
      <c r="BU332" s="387">
        <f t="shared" si="237"/>
        <v>0</v>
      </c>
      <c r="BV332" s="387">
        <f t="shared" si="238"/>
        <v>0</v>
      </c>
      <c r="BW332" s="387">
        <f t="shared" si="239"/>
        <v>0</v>
      </c>
      <c r="BX332" s="387">
        <f t="shared" si="254"/>
        <v>0</v>
      </c>
      <c r="BY332" s="387">
        <f t="shared" si="255"/>
        <v>0</v>
      </c>
      <c r="BZ332" s="387">
        <f t="shared" si="256"/>
        <v>0</v>
      </c>
      <c r="CA332" s="387">
        <f t="shared" si="257"/>
        <v>0</v>
      </c>
      <c r="CB332" s="387">
        <f t="shared" si="258"/>
        <v>0</v>
      </c>
      <c r="CC332" s="387">
        <f t="shared" si="240"/>
        <v>0</v>
      </c>
      <c r="CD332" s="387">
        <f t="shared" si="241"/>
        <v>0</v>
      </c>
      <c r="CE332" s="387">
        <f t="shared" si="242"/>
        <v>0</v>
      </c>
      <c r="CF332" s="387">
        <f t="shared" si="243"/>
        <v>0</v>
      </c>
      <c r="CG332" s="387">
        <f t="shared" si="244"/>
        <v>0</v>
      </c>
      <c r="CH332" s="387">
        <f t="shared" si="245"/>
        <v>0</v>
      </c>
      <c r="CI332" s="387">
        <f t="shared" si="246"/>
        <v>0</v>
      </c>
      <c r="CJ332" s="387">
        <f t="shared" si="259"/>
        <v>0</v>
      </c>
      <c r="CK332" s="387" t="str">
        <f t="shared" si="260"/>
        <v/>
      </c>
      <c r="CL332" s="387" t="str">
        <f t="shared" si="261"/>
        <v/>
      </c>
      <c r="CM332" s="387" t="str">
        <f t="shared" si="262"/>
        <v/>
      </c>
      <c r="CN332" s="387" t="str">
        <f t="shared" si="263"/>
        <v>0348-31</v>
      </c>
    </row>
    <row r="333" spans="1:92" ht="15.75" thickBot="1" x14ac:dyDescent="0.3">
      <c r="A333" s="376" t="s">
        <v>161</v>
      </c>
      <c r="B333" s="376" t="s">
        <v>162</v>
      </c>
      <c r="C333" s="376" t="s">
        <v>420</v>
      </c>
      <c r="D333" s="376" t="s">
        <v>421</v>
      </c>
      <c r="E333" s="376" t="s">
        <v>224</v>
      </c>
      <c r="F333" s="382" t="s">
        <v>225</v>
      </c>
      <c r="G333" s="376" t="s">
        <v>781</v>
      </c>
      <c r="H333" s="378"/>
      <c r="I333" s="378"/>
      <c r="J333" s="376" t="s">
        <v>215</v>
      </c>
      <c r="K333" s="376" t="s">
        <v>422</v>
      </c>
      <c r="L333" s="376" t="s">
        <v>181</v>
      </c>
      <c r="M333" s="376" t="s">
        <v>272</v>
      </c>
      <c r="N333" s="376" t="s">
        <v>172</v>
      </c>
      <c r="O333" s="379">
        <v>0</v>
      </c>
      <c r="P333" s="385">
        <v>0</v>
      </c>
      <c r="Q333" s="385">
        <v>0</v>
      </c>
      <c r="R333" s="380">
        <v>80</v>
      </c>
      <c r="S333" s="385">
        <v>0</v>
      </c>
      <c r="T333" s="380">
        <v>5939.61</v>
      </c>
      <c r="U333" s="380">
        <v>2306.64</v>
      </c>
      <c r="V333" s="380">
        <v>2781.38</v>
      </c>
      <c r="W333" s="380">
        <v>0</v>
      </c>
      <c r="X333" s="380">
        <v>0</v>
      </c>
      <c r="Y333" s="380">
        <v>0</v>
      </c>
      <c r="Z333" s="380">
        <v>0</v>
      </c>
      <c r="AA333" s="378"/>
      <c r="AB333" s="376" t="s">
        <v>45</v>
      </c>
      <c r="AC333" s="376" t="s">
        <v>45</v>
      </c>
      <c r="AD333" s="378"/>
      <c r="AE333" s="378"/>
      <c r="AF333" s="378"/>
      <c r="AG333" s="378"/>
      <c r="AH333" s="379">
        <v>0</v>
      </c>
      <c r="AI333" s="379">
        <v>0</v>
      </c>
      <c r="AJ333" s="378"/>
      <c r="AK333" s="378"/>
      <c r="AL333" s="376" t="s">
        <v>181</v>
      </c>
      <c r="AM333" s="378"/>
      <c r="AN333" s="378"/>
      <c r="AO333" s="379">
        <v>0</v>
      </c>
      <c r="AP333" s="385">
        <v>0</v>
      </c>
      <c r="AQ333" s="385">
        <v>0</v>
      </c>
      <c r="AR333" s="384"/>
      <c r="AS333" s="387">
        <f t="shared" si="247"/>
        <v>0</v>
      </c>
      <c r="AT333">
        <f t="shared" si="248"/>
        <v>0</v>
      </c>
      <c r="AU333" s="387" t="str">
        <f>IF(AT333=0,"",IF(AND(AT333=1,M333="F",SUMIF(C2:C1334,C333,AS2:AS1334)&lt;=1),SUMIF(C2:C1334,C333,AS2:AS1334),IF(AND(AT333=1,M333="F",SUMIF(C2:C1334,C333,AS2:AS1334)&gt;1),1,"")))</f>
        <v/>
      </c>
      <c r="AV333" s="387" t="str">
        <f>IF(AT333=0,"",IF(AND(AT333=3,M333="F",SUMIF(C2:C1334,C333,AS2:AS1334)&lt;=1),SUMIF(C2:C1334,C333,AS2:AS1334),IF(AND(AT333=3,M333="F",SUMIF(C2:C1334,C333,AS2:AS1334)&gt;1),1,"")))</f>
        <v/>
      </c>
      <c r="AW333" s="387">
        <f>SUMIF(C2:C1334,C333,O2:O1334)</f>
        <v>0</v>
      </c>
      <c r="AX333" s="387">
        <f>IF(AND(M333="F",AS333&lt;&gt;0),SUMIF(C2:C1334,C333,W2:W1334),0)</f>
        <v>0</v>
      </c>
      <c r="AY333" s="387" t="str">
        <f t="shared" si="249"/>
        <v/>
      </c>
      <c r="AZ333" s="387" t="str">
        <f t="shared" si="250"/>
        <v/>
      </c>
      <c r="BA333" s="387">
        <f t="shared" si="251"/>
        <v>0</v>
      </c>
      <c r="BB333" s="387">
        <f t="shared" si="220"/>
        <v>0</v>
      </c>
      <c r="BC333" s="387">
        <f t="shared" si="221"/>
        <v>0</v>
      </c>
      <c r="BD333" s="387">
        <f t="shared" si="222"/>
        <v>0</v>
      </c>
      <c r="BE333" s="387">
        <f t="shared" si="223"/>
        <v>0</v>
      </c>
      <c r="BF333" s="387">
        <f t="shared" si="224"/>
        <v>0</v>
      </c>
      <c r="BG333" s="387">
        <f t="shared" si="225"/>
        <v>0</v>
      </c>
      <c r="BH333" s="387">
        <f t="shared" si="226"/>
        <v>0</v>
      </c>
      <c r="BI333" s="387">
        <f t="shared" si="227"/>
        <v>0</v>
      </c>
      <c r="BJ333" s="387">
        <f t="shared" si="228"/>
        <v>0</v>
      </c>
      <c r="BK333" s="387">
        <f t="shared" si="229"/>
        <v>0</v>
      </c>
      <c r="BL333" s="387">
        <f t="shared" si="252"/>
        <v>0</v>
      </c>
      <c r="BM333" s="387">
        <f t="shared" si="253"/>
        <v>0</v>
      </c>
      <c r="BN333" s="387">
        <f t="shared" si="230"/>
        <v>0</v>
      </c>
      <c r="BO333" s="387">
        <f t="shared" si="231"/>
        <v>0</v>
      </c>
      <c r="BP333" s="387">
        <f t="shared" si="232"/>
        <v>0</v>
      </c>
      <c r="BQ333" s="387">
        <f t="shared" si="233"/>
        <v>0</v>
      </c>
      <c r="BR333" s="387">
        <f t="shared" si="234"/>
        <v>0</v>
      </c>
      <c r="BS333" s="387">
        <f t="shared" si="235"/>
        <v>0</v>
      </c>
      <c r="BT333" s="387">
        <f t="shared" si="236"/>
        <v>0</v>
      </c>
      <c r="BU333" s="387">
        <f t="shared" si="237"/>
        <v>0</v>
      </c>
      <c r="BV333" s="387">
        <f t="shared" si="238"/>
        <v>0</v>
      </c>
      <c r="BW333" s="387">
        <f t="shared" si="239"/>
        <v>0</v>
      </c>
      <c r="BX333" s="387">
        <f t="shared" si="254"/>
        <v>0</v>
      </c>
      <c r="BY333" s="387">
        <f t="shared" si="255"/>
        <v>0</v>
      </c>
      <c r="BZ333" s="387">
        <f t="shared" si="256"/>
        <v>0</v>
      </c>
      <c r="CA333" s="387">
        <f t="shared" si="257"/>
        <v>0</v>
      </c>
      <c r="CB333" s="387">
        <f t="shared" si="258"/>
        <v>0</v>
      </c>
      <c r="CC333" s="387">
        <f t="shared" si="240"/>
        <v>0</v>
      </c>
      <c r="CD333" s="387">
        <f t="shared" si="241"/>
        <v>0</v>
      </c>
      <c r="CE333" s="387">
        <f t="shared" si="242"/>
        <v>0</v>
      </c>
      <c r="CF333" s="387">
        <f t="shared" si="243"/>
        <v>0</v>
      </c>
      <c r="CG333" s="387">
        <f t="shared" si="244"/>
        <v>0</v>
      </c>
      <c r="CH333" s="387">
        <f t="shared" si="245"/>
        <v>0</v>
      </c>
      <c r="CI333" s="387">
        <f t="shared" si="246"/>
        <v>0</v>
      </c>
      <c r="CJ333" s="387">
        <f t="shared" si="259"/>
        <v>0</v>
      </c>
      <c r="CK333" s="387" t="str">
        <f t="shared" si="260"/>
        <v/>
      </c>
      <c r="CL333" s="387" t="str">
        <f t="shared" si="261"/>
        <v/>
      </c>
      <c r="CM333" s="387" t="str">
        <f t="shared" si="262"/>
        <v/>
      </c>
      <c r="CN333" s="387" t="str">
        <f t="shared" si="263"/>
        <v>0348-31</v>
      </c>
    </row>
    <row r="334" spans="1:92" ht="15.75" thickBot="1" x14ac:dyDescent="0.3">
      <c r="A334" s="376" t="s">
        <v>161</v>
      </c>
      <c r="B334" s="376" t="s">
        <v>162</v>
      </c>
      <c r="C334" s="376" t="s">
        <v>1159</v>
      </c>
      <c r="D334" s="376" t="s">
        <v>862</v>
      </c>
      <c r="E334" s="376" t="s">
        <v>224</v>
      </c>
      <c r="F334" s="382" t="s">
        <v>225</v>
      </c>
      <c r="G334" s="376" t="s">
        <v>781</v>
      </c>
      <c r="H334" s="378"/>
      <c r="I334" s="378"/>
      <c r="J334" s="376" t="s">
        <v>215</v>
      </c>
      <c r="K334" s="376" t="s">
        <v>863</v>
      </c>
      <c r="L334" s="376" t="s">
        <v>252</v>
      </c>
      <c r="M334" s="376" t="s">
        <v>171</v>
      </c>
      <c r="N334" s="376" t="s">
        <v>172</v>
      </c>
      <c r="O334" s="379">
        <v>1</v>
      </c>
      <c r="P334" s="385">
        <v>1</v>
      </c>
      <c r="Q334" s="385">
        <v>1</v>
      </c>
      <c r="R334" s="380">
        <v>80</v>
      </c>
      <c r="S334" s="385">
        <v>1</v>
      </c>
      <c r="T334" s="380">
        <v>36793.599999999999</v>
      </c>
      <c r="U334" s="380">
        <v>109.49</v>
      </c>
      <c r="V334" s="380">
        <v>19200.04</v>
      </c>
      <c r="W334" s="380">
        <v>41724.800000000003</v>
      </c>
      <c r="X334" s="380">
        <v>20672.95</v>
      </c>
      <c r="Y334" s="380">
        <v>41724.800000000003</v>
      </c>
      <c r="Z334" s="380">
        <v>20497.71</v>
      </c>
      <c r="AA334" s="376" t="s">
        <v>1160</v>
      </c>
      <c r="AB334" s="376" t="s">
        <v>1161</v>
      </c>
      <c r="AC334" s="376" t="s">
        <v>278</v>
      </c>
      <c r="AD334" s="376" t="s">
        <v>1162</v>
      </c>
      <c r="AE334" s="376" t="s">
        <v>863</v>
      </c>
      <c r="AF334" s="376" t="s">
        <v>393</v>
      </c>
      <c r="AG334" s="376" t="s">
        <v>178</v>
      </c>
      <c r="AH334" s="381">
        <v>20.059999999999999</v>
      </c>
      <c r="AI334" s="381">
        <v>8170.1</v>
      </c>
      <c r="AJ334" s="376" t="s">
        <v>179</v>
      </c>
      <c r="AK334" s="376" t="s">
        <v>180</v>
      </c>
      <c r="AL334" s="376" t="s">
        <v>181</v>
      </c>
      <c r="AM334" s="376" t="s">
        <v>182</v>
      </c>
      <c r="AN334" s="376" t="s">
        <v>68</v>
      </c>
      <c r="AO334" s="379">
        <v>80</v>
      </c>
      <c r="AP334" s="385">
        <v>1</v>
      </c>
      <c r="AQ334" s="385">
        <v>1</v>
      </c>
      <c r="AR334" s="383" t="s">
        <v>183</v>
      </c>
      <c r="AS334" s="387">
        <f t="shared" si="247"/>
        <v>1</v>
      </c>
      <c r="AT334">
        <f t="shared" si="248"/>
        <v>1</v>
      </c>
      <c r="AU334" s="387">
        <f>IF(AT334=0,"",IF(AND(AT334=1,M334="F",SUMIF(C2:C1334,C334,AS2:AS1334)&lt;=1),SUMIF(C2:C1334,C334,AS2:AS1334),IF(AND(AT334=1,M334="F",SUMIF(C2:C1334,C334,AS2:AS1334)&gt;1),1,"")))</f>
        <v>1</v>
      </c>
      <c r="AV334" s="387" t="str">
        <f>IF(AT334=0,"",IF(AND(AT334=3,M334="F",SUMIF(C2:C1334,C334,AS2:AS1334)&lt;=1),SUMIF(C2:C1334,C334,AS2:AS1334),IF(AND(AT334=3,M334="F",SUMIF(C2:C1334,C334,AS2:AS1334)&gt;1),1,"")))</f>
        <v/>
      </c>
      <c r="AW334" s="387">
        <f>SUMIF(C2:C1334,C334,O2:O1334)</f>
        <v>1</v>
      </c>
      <c r="AX334" s="387">
        <f>IF(AND(M334="F",AS334&lt;&gt;0),SUMIF(C2:C1334,C334,W2:W1334),0)</f>
        <v>41724.800000000003</v>
      </c>
      <c r="AY334" s="387">
        <f t="shared" si="249"/>
        <v>41724.800000000003</v>
      </c>
      <c r="AZ334" s="387" t="str">
        <f t="shared" si="250"/>
        <v/>
      </c>
      <c r="BA334" s="387">
        <f t="shared" si="251"/>
        <v>0</v>
      </c>
      <c r="BB334" s="387">
        <f t="shared" si="220"/>
        <v>11650</v>
      </c>
      <c r="BC334" s="387">
        <f t="shared" si="221"/>
        <v>0</v>
      </c>
      <c r="BD334" s="387">
        <f t="shared" si="222"/>
        <v>2586.9376000000002</v>
      </c>
      <c r="BE334" s="387">
        <f t="shared" si="223"/>
        <v>605.00960000000009</v>
      </c>
      <c r="BF334" s="387">
        <f t="shared" si="224"/>
        <v>4981.9411200000004</v>
      </c>
      <c r="BG334" s="387">
        <f t="shared" si="225"/>
        <v>300.83580800000004</v>
      </c>
      <c r="BH334" s="387">
        <f t="shared" si="226"/>
        <v>204.45152000000002</v>
      </c>
      <c r="BI334" s="387">
        <f t="shared" si="227"/>
        <v>230.94676800000002</v>
      </c>
      <c r="BJ334" s="387">
        <f t="shared" si="228"/>
        <v>112.65696000000001</v>
      </c>
      <c r="BK334" s="387">
        <f t="shared" si="229"/>
        <v>0</v>
      </c>
      <c r="BL334" s="387">
        <f t="shared" si="252"/>
        <v>9022.7793760000022</v>
      </c>
      <c r="BM334" s="387">
        <f t="shared" si="253"/>
        <v>0</v>
      </c>
      <c r="BN334" s="387">
        <f t="shared" si="230"/>
        <v>11650</v>
      </c>
      <c r="BO334" s="387">
        <f t="shared" si="231"/>
        <v>0</v>
      </c>
      <c r="BP334" s="387">
        <f t="shared" si="232"/>
        <v>2586.9376000000002</v>
      </c>
      <c r="BQ334" s="387">
        <f t="shared" si="233"/>
        <v>605.00960000000009</v>
      </c>
      <c r="BR334" s="387">
        <f t="shared" si="234"/>
        <v>4981.9411200000004</v>
      </c>
      <c r="BS334" s="387">
        <f t="shared" si="235"/>
        <v>300.83580800000004</v>
      </c>
      <c r="BT334" s="387">
        <f t="shared" si="236"/>
        <v>0</v>
      </c>
      <c r="BU334" s="387">
        <f t="shared" si="237"/>
        <v>230.94676800000002</v>
      </c>
      <c r="BV334" s="387">
        <f t="shared" si="238"/>
        <v>141.86431999999999</v>
      </c>
      <c r="BW334" s="387">
        <f t="shared" si="239"/>
        <v>0</v>
      </c>
      <c r="BX334" s="387">
        <f t="shared" si="254"/>
        <v>8847.535216000002</v>
      </c>
      <c r="BY334" s="387">
        <f t="shared" si="255"/>
        <v>0</v>
      </c>
      <c r="BZ334" s="387">
        <f t="shared" si="256"/>
        <v>0</v>
      </c>
      <c r="CA334" s="387">
        <f t="shared" si="257"/>
        <v>0</v>
      </c>
      <c r="CB334" s="387">
        <f t="shared" si="258"/>
        <v>0</v>
      </c>
      <c r="CC334" s="387">
        <f t="shared" si="240"/>
        <v>0</v>
      </c>
      <c r="CD334" s="387">
        <f t="shared" si="241"/>
        <v>0</v>
      </c>
      <c r="CE334" s="387">
        <f t="shared" si="242"/>
        <v>0</v>
      </c>
      <c r="CF334" s="387">
        <f t="shared" si="243"/>
        <v>-204.45152000000002</v>
      </c>
      <c r="CG334" s="387">
        <f t="shared" si="244"/>
        <v>0</v>
      </c>
      <c r="CH334" s="387">
        <f t="shared" si="245"/>
        <v>29.207359999999987</v>
      </c>
      <c r="CI334" s="387">
        <f t="shared" si="246"/>
        <v>0</v>
      </c>
      <c r="CJ334" s="387">
        <f t="shared" si="259"/>
        <v>-175.24416000000002</v>
      </c>
      <c r="CK334" s="387" t="str">
        <f t="shared" si="260"/>
        <v/>
      </c>
      <c r="CL334" s="387" t="str">
        <f t="shared" si="261"/>
        <v/>
      </c>
      <c r="CM334" s="387" t="str">
        <f t="shared" si="262"/>
        <v/>
      </c>
      <c r="CN334" s="387" t="str">
        <f t="shared" si="263"/>
        <v>0348-31</v>
      </c>
    </row>
    <row r="335" spans="1:92" ht="15.75" thickBot="1" x14ac:dyDescent="0.3">
      <c r="A335" s="376" t="s">
        <v>161</v>
      </c>
      <c r="B335" s="376" t="s">
        <v>162</v>
      </c>
      <c r="C335" s="376" t="s">
        <v>1163</v>
      </c>
      <c r="D335" s="376" t="s">
        <v>862</v>
      </c>
      <c r="E335" s="376" t="s">
        <v>224</v>
      </c>
      <c r="F335" s="382" t="s">
        <v>225</v>
      </c>
      <c r="G335" s="376" t="s">
        <v>781</v>
      </c>
      <c r="H335" s="378"/>
      <c r="I335" s="378"/>
      <c r="J335" s="376" t="s">
        <v>215</v>
      </c>
      <c r="K335" s="376" t="s">
        <v>863</v>
      </c>
      <c r="L335" s="376" t="s">
        <v>252</v>
      </c>
      <c r="M335" s="376" t="s">
        <v>171</v>
      </c>
      <c r="N335" s="376" t="s">
        <v>172</v>
      </c>
      <c r="O335" s="379">
        <v>1</v>
      </c>
      <c r="P335" s="385">
        <v>0</v>
      </c>
      <c r="Q335" s="385">
        <v>0</v>
      </c>
      <c r="R335" s="380">
        <v>80</v>
      </c>
      <c r="S335" s="385">
        <v>0</v>
      </c>
      <c r="T335" s="380">
        <v>22618.78</v>
      </c>
      <c r="U335" s="380">
        <v>0</v>
      </c>
      <c r="V335" s="380">
        <v>13297.1</v>
      </c>
      <c r="W335" s="380">
        <v>0</v>
      </c>
      <c r="X335" s="380">
        <v>0</v>
      </c>
      <c r="Y335" s="380">
        <v>0</v>
      </c>
      <c r="Z335" s="380">
        <v>0</v>
      </c>
      <c r="AA335" s="376" t="s">
        <v>1164</v>
      </c>
      <c r="AB335" s="376" t="s">
        <v>1165</v>
      </c>
      <c r="AC335" s="376" t="s">
        <v>1166</v>
      </c>
      <c r="AD335" s="376" t="s">
        <v>324</v>
      </c>
      <c r="AE335" s="376" t="s">
        <v>863</v>
      </c>
      <c r="AF335" s="376" t="s">
        <v>393</v>
      </c>
      <c r="AG335" s="376" t="s">
        <v>178</v>
      </c>
      <c r="AH335" s="381">
        <v>17.7</v>
      </c>
      <c r="AI335" s="379">
        <v>9559</v>
      </c>
      <c r="AJ335" s="376" t="s">
        <v>179</v>
      </c>
      <c r="AK335" s="376" t="s">
        <v>180</v>
      </c>
      <c r="AL335" s="376" t="s">
        <v>181</v>
      </c>
      <c r="AM335" s="376" t="s">
        <v>182</v>
      </c>
      <c r="AN335" s="376" t="s">
        <v>68</v>
      </c>
      <c r="AO335" s="379">
        <v>80</v>
      </c>
      <c r="AP335" s="385">
        <v>1</v>
      </c>
      <c r="AQ335" s="385">
        <v>0</v>
      </c>
      <c r="AR335" s="383" t="s">
        <v>183</v>
      </c>
      <c r="AS335" s="387">
        <f t="shared" si="247"/>
        <v>0</v>
      </c>
      <c r="AT335">
        <f t="shared" si="248"/>
        <v>0</v>
      </c>
      <c r="AU335" s="387" t="str">
        <f>IF(AT335=0,"",IF(AND(AT335=1,M335="F",SUMIF(C2:C1334,C335,AS2:AS1334)&lt;=1),SUMIF(C2:C1334,C335,AS2:AS1334),IF(AND(AT335=1,M335="F",SUMIF(C2:C1334,C335,AS2:AS1334)&gt;1),1,"")))</f>
        <v/>
      </c>
      <c r="AV335" s="387" t="str">
        <f>IF(AT335=0,"",IF(AND(AT335=3,M335="F",SUMIF(C2:C1334,C335,AS2:AS1334)&lt;=1),SUMIF(C2:C1334,C335,AS2:AS1334),IF(AND(AT335=3,M335="F",SUMIF(C2:C1334,C335,AS2:AS1334)&gt;1),1,"")))</f>
        <v/>
      </c>
      <c r="AW335" s="387">
        <f>SUMIF(C2:C1334,C335,O2:O1334)</f>
        <v>3</v>
      </c>
      <c r="AX335" s="387">
        <f>IF(AND(M335="F",AS335&lt;&gt;0),SUMIF(C2:C1334,C335,W2:W1334),0)</f>
        <v>0</v>
      </c>
      <c r="AY335" s="387" t="str">
        <f t="shared" si="249"/>
        <v/>
      </c>
      <c r="AZ335" s="387" t="str">
        <f t="shared" si="250"/>
        <v/>
      </c>
      <c r="BA335" s="387">
        <f t="shared" si="251"/>
        <v>0</v>
      </c>
      <c r="BB335" s="387">
        <f t="shared" si="220"/>
        <v>0</v>
      </c>
      <c r="BC335" s="387">
        <f t="shared" si="221"/>
        <v>0</v>
      </c>
      <c r="BD335" s="387">
        <f t="shared" si="222"/>
        <v>0</v>
      </c>
      <c r="BE335" s="387">
        <f t="shared" si="223"/>
        <v>0</v>
      </c>
      <c r="BF335" s="387">
        <f t="shared" si="224"/>
        <v>0</v>
      </c>
      <c r="BG335" s="387">
        <f t="shared" si="225"/>
        <v>0</v>
      </c>
      <c r="BH335" s="387">
        <f t="shared" si="226"/>
        <v>0</v>
      </c>
      <c r="BI335" s="387">
        <f t="shared" si="227"/>
        <v>0</v>
      </c>
      <c r="BJ335" s="387">
        <f t="shared" si="228"/>
        <v>0</v>
      </c>
      <c r="BK335" s="387">
        <f t="shared" si="229"/>
        <v>0</v>
      </c>
      <c r="BL335" s="387">
        <f t="shared" si="252"/>
        <v>0</v>
      </c>
      <c r="BM335" s="387">
        <f t="shared" si="253"/>
        <v>0</v>
      </c>
      <c r="BN335" s="387">
        <f t="shared" si="230"/>
        <v>0</v>
      </c>
      <c r="BO335" s="387">
        <f t="shared" si="231"/>
        <v>0</v>
      </c>
      <c r="BP335" s="387">
        <f t="shared" si="232"/>
        <v>0</v>
      </c>
      <c r="BQ335" s="387">
        <f t="shared" si="233"/>
        <v>0</v>
      </c>
      <c r="BR335" s="387">
        <f t="shared" si="234"/>
        <v>0</v>
      </c>
      <c r="BS335" s="387">
        <f t="shared" si="235"/>
        <v>0</v>
      </c>
      <c r="BT335" s="387">
        <f t="shared" si="236"/>
        <v>0</v>
      </c>
      <c r="BU335" s="387">
        <f t="shared" si="237"/>
        <v>0</v>
      </c>
      <c r="BV335" s="387">
        <f t="shared" si="238"/>
        <v>0</v>
      </c>
      <c r="BW335" s="387">
        <f t="shared" si="239"/>
        <v>0</v>
      </c>
      <c r="BX335" s="387">
        <f t="shared" si="254"/>
        <v>0</v>
      </c>
      <c r="BY335" s="387">
        <f t="shared" si="255"/>
        <v>0</v>
      </c>
      <c r="BZ335" s="387">
        <f t="shared" si="256"/>
        <v>0</v>
      </c>
      <c r="CA335" s="387">
        <f t="shared" si="257"/>
        <v>0</v>
      </c>
      <c r="CB335" s="387">
        <f t="shared" si="258"/>
        <v>0</v>
      </c>
      <c r="CC335" s="387">
        <f t="shared" si="240"/>
        <v>0</v>
      </c>
      <c r="CD335" s="387">
        <f t="shared" si="241"/>
        <v>0</v>
      </c>
      <c r="CE335" s="387">
        <f t="shared" si="242"/>
        <v>0</v>
      </c>
      <c r="CF335" s="387">
        <f t="shared" si="243"/>
        <v>0</v>
      </c>
      <c r="CG335" s="387">
        <f t="shared" si="244"/>
        <v>0</v>
      </c>
      <c r="CH335" s="387">
        <f t="shared" si="245"/>
        <v>0</v>
      </c>
      <c r="CI335" s="387">
        <f t="shared" si="246"/>
        <v>0</v>
      </c>
      <c r="CJ335" s="387">
        <f t="shared" si="259"/>
        <v>0</v>
      </c>
      <c r="CK335" s="387" t="str">
        <f t="shared" si="260"/>
        <v/>
      </c>
      <c r="CL335" s="387" t="str">
        <f t="shared" si="261"/>
        <v/>
      </c>
      <c r="CM335" s="387" t="str">
        <f t="shared" si="262"/>
        <v/>
      </c>
      <c r="CN335" s="387" t="str">
        <f t="shared" si="263"/>
        <v>0348-31</v>
      </c>
    </row>
    <row r="336" spans="1:92" ht="15.75" thickBot="1" x14ac:dyDescent="0.3">
      <c r="A336" s="376" t="s">
        <v>161</v>
      </c>
      <c r="B336" s="376" t="s">
        <v>162</v>
      </c>
      <c r="C336" s="376" t="s">
        <v>1167</v>
      </c>
      <c r="D336" s="376" t="s">
        <v>1168</v>
      </c>
      <c r="E336" s="376" t="s">
        <v>224</v>
      </c>
      <c r="F336" s="382" t="s">
        <v>225</v>
      </c>
      <c r="G336" s="376" t="s">
        <v>781</v>
      </c>
      <c r="H336" s="378"/>
      <c r="I336" s="378"/>
      <c r="J336" s="376" t="s">
        <v>215</v>
      </c>
      <c r="K336" s="376" t="s">
        <v>1169</v>
      </c>
      <c r="L336" s="376" t="s">
        <v>210</v>
      </c>
      <c r="M336" s="376" t="s">
        <v>171</v>
      </c>
      <c r="N336" s="376" t="s">
        <v>172</v>
      </c>
      <c r="O336" s="379">
        <v>1</v>
      </c>
      <c r="P336" s="385">
        <v>0</v>
      </c>
      <c r="Q336" s="385">
        <v>0</v>
      </c>
      <c r="R336" s="380">
        <v>80</v>
      </c>
      <c r="S336" s="385">
        <v>0</v>
      </c>
      <c r="T336" s="380">
        <v>55092.79</v>
      </c>
      <c r="U336" s="380">
        <v>0</v>
      </c>
      <c r="V336" s="380">
        <v>23166.92</v>
      </c>
      <c r="W336" s="380">
        <v>0</v>
      </c>
      <c r="X336" s="380">
        <v>0</v>
      </c>
      <c r="Y336" s="380">
        <v>0</v>
      </c>
      <c r="Z336" s="380">
        <v>0</v>
      </c>
      <c r="AA336" s="376" t="s">
        <v>1170</v>
      </c>
      <c r="AB336" s="376" t="s">
        <v>1171</v>
      </c>
      <c r="AC336" s="376" t="s">
        <v>765</v>
      </c>
      <c r="AD336" s="376" t="s">
        <v>300</v>
      </c>
      <c r="AE336" s="376" t="s">
        <v>1169</v>
      </c>
      <c r="AF336" s="376" t="s">
        <v>245</v>
      </c>
      <c r="AG336" s="376" t="s">
        <v>178</v>
      </c>
      <c r="AH336" s="381">
        <v>27.58</v>
      </c>
      <c r="AI336" s="381">
        <v>24917.4</v>
      </c>
      <c r="AJ336" s="376" t="s">
        <v>179</v>
      </c>
      <c r="AK336" s="376" t="s">
        <v>180</v>
      </c>
      <c r="AL336" s="376" t="s">
        <v>181</v>
      </c>
      <c r="AM336" s="376" t="s">
        <v>182</v>
      </c>
      <c r="AN336" s="376" t="s">
        <v>68</v>
      </c>
      <c r="AO336" s="379">
        <v>80</v>
      </c>
      <c r="AP336" s="385">
        <v>1</v>
      </c>
      <c r="AQ336" s="385">
        <v>0</v>
      </c>
      <c r="AR336" s="383" t="s">
        <v>183</v>
      </c>
      <c r="AS336" s="387">
        <f t="shared" si="247"/>
        <v>0</v>
      </c>
      <c r="AT336">
        <f t="shared" si="248"/>
        <v>0</v>
      </c>
      <c r="AU336" s="387" t="str">
        <f>IF(AT336=0,"",IF(AND(AT336=1,M336="F",SUMIF(C2:C1334,C336,AS2:AS1334)&lt;=1),SUMIF(C2:C1334,C336,AS2:AS1334),IF(AND(AT336=1,M336="F",SUMIF(C2:C1334,C336,AS2:AS1334)&gt;1),1,"")))</f>
        <v/>
      </c>
      <c r="AV336" s="387" t="str">
        <f>IF(AT336=0,"",IF(AND(AT336=3,M336="F",SUMIF(C2:C1334,C336,AS2:AS1334)&lt;=1),SUMIF(C2:C1334,C336,AS2:AS1334),IF(AND(AT336=3,M336="F",SUMIF(C2:C1334,C336,AS2:AS1334)&gt;1),1,"")))</f>
        <v/>
      </c>
      <c r="AW336" s="387">
        <f>SUMIF(C2:C1334,C336,O2:O1334)</f>
        <v>2</v>
      </c>
      <c r="AX336" s="387">
        <f>IF(AND(M336="F",AS336&lt;&gt;0),SUMIF(C2:C1334,C336,W2:W1334),0)</f>
        <v>0</v>
      </c>
      <c r="AY336" s="387" t="str">
        <f t="shared" si="249"/>
        <v/>
      </c>
      <c r="AZ336" s="387" t="str">
        <f t="shared" si="250"/>
        <v/>
      </c>
      <c r="BA336" s="387">
        <f t="shared" si="251"/>
        <v>0</v>
      </c>
      <c r="BB336" s="387">
        <f t="shared" si="220"/>
        <v>0</v>
      </c>
      <c r="BC336" s="387">
        <f t="shared" si="221"/>
        <v>0</v>
      </c>
      <c r="BD336" s="387">
        <f t="shared" si="222"/>
        <v>0</v>
      </c>
      <c r="BE336" s="387">
        <f t="shared" si="223"/>
        <v>0</v>
      </c>
      <c r="BF336" s="387">
        <f t="shared" si="224"/>
        <v>0</v>
      </c>
      <c r="BG336" s="387">
        <f t="shared" si="225"/>
        <v>0</v>
      </c>
      <c r="BH336" s="387">
        <f t="shared" si="226"/>
        <v>0</v>
      </c>
      <c r="BI336" s="387">
        <f t="shared" si="227"/>
        <v>0</v>
      </c>
      <c r="BJ336" s="387">
        <f t="shared" si="228"/>
        <v>0</v>
      </c>
      <c r="BK336" s="387">
        <f t="shared" si="229"/>
        <v>0</v>
      </c>
      <c r="BL336" s="387">
        <f t="shared" si="252"/>
        <v>0</v>
      </c>
      <c r="BM336" s="387">
        <f t="shared" si="253"/>
        <v>0</v>
      </c>
      <c r="BN336" s="387">
        <f t="shared" si="230"/>
        <v>0</v>
      </c>
      <c r="BO336" s="387">
        <f t="shared" si="231"/>
        <v>0</v>
      </c>
      <c r="BP336" s="387">
        <f t="shared" si="232"/>
        <v>0</v>
      </c>
      <c r="BQ336" s="387">
        <f t="shared" si="233"/>
        <v>0</v>
      </c>
      <c r="BR336" s="387">
        <f t="shared" si="234"/>
        <v>0</v>
      </c>
      <c r="BS336" s="387">
        <f t="shared" si="235"/>
        <v>0</v>
      </c>
      <c r="BT336" s="387">
        <f t="shared" si="236"/>
        <v>0</v>
      </c>
      <c r="BU336" s="387">
        <f t="shared" si="237"/>
        <v>0</v>
      </c>
      <c r="BV336" s="387">
        <f t="shared" si="238"/>
        <v>0</v>
      </c>
      <c r="BW336" s="387">
        <f t="shared" si="239"/>
        <v>0</v>
      </c>
      <c r="BX336" s="387">
        <f t="shared" si="254"/>
        <v>0</v>
      </c>
      <c r="BY336" s="387">
        <f t="shared" si="255"/>
        <v>0</v>
      </c>
      <c r="BZ336" s="387">
        <f t="shared" si="256"/>
        <v>0</v>
      </c>
      <c r="CA336" s="387">
        <f t="shared" si="257"/>
        <v>0</v>
      </c>
      <c r="CB336" s="387">
        <f t="shared" si="258"/>
        <v>0</v>
      </c>
      <c r="CC336" s="387">
        <f t="shared" si="240"/>
        <v>0</v>
      </c>
      <c r="CD336" s="387">
        <f t="shared" si="241"/>
        <v>0</v>
      </c>
      <c r="CE336" s="387">
        <f t="shared" si="242"/>
        <v>0</v>
      </c>
      <c r="CF336" s="387">
        <f t="shared" si="243"/>
        <v>0</v>
      </c>
      <c r="CG336" s="387">
        <f t="shared" si="244"/>
        <v>0</v>
      </c>
      <c r="CH336" s="387">
        <f t="shared" si="245"/>
        <v>0</v>
      </c>
      <c r="CI336" s="387">
        <f t="shared" si="246"/>
        <v>0</v>
      </c>
      <c r="CJ336" s="387">
        <f t="shared" si="259"/>
        <v>0</v>
      </c>
      <c r="CK336" s="387" t="str">
        <f t="shared" si="260"/>
        <v/>
      </c>
      <c r="CL336" s="387" t="str">
        <f t="shared" si="261"/>
        <v/>
      </c>
      <c r="CM336" s="387" t="str">
        <f t="shared" si="262"/>
        <v/>
      </c>
      <c r="CN336" s="387" t="str">
        <f t="shared" si="263"/>
        <v>0348-31</v>
      </c>
    </row>
    <row r="337" spans="1:92" ht="15.75" thickBot="1" x14ac:dyDescent="0.3">
      <c r="A337" s="376" t="s">
        <v>161</v>
      </c>
      <c r="B337" s="376" t="s">
        <v>162</v>
      </c>
      <c r="C337" s="376" t="s">
        <v>1172</v>
      </c>
      <c r="D337" s="376" t="s">
        <v>270</v>
      </c>
      <c r="E337" s="376" t="s">
        <v>224</v>
      </c>
      <c r="F337" s="382" t="s">
        <v>225</v>
      </c>
      <c r="G337" s="376" t="s">
        <v>781</v>
      </c>
      <c r="H337" s="378"/>
      <c r="I337" s="378"/>
      <c r="J337" s="376" t="s">
        <v>215</v>
      </c>
      <c r="K337" s="376" t="s">
        <v>271</v>
      </c>
      <c r="L337" s="376" t="s">
        <v>217</v>
      </c>
      <c r="M337" s="376" t="s">
        <v>566</v>
      </c>
      <c r="N337" s="376" t="s">
        <v>877</v>
      </c>
      <c r="O337" s="379">
        <v>0</v>
      </c>
      <c r="P337" s="385">
        <v>0</v>
      </c>
      <c r="Q337" s="385">
        <v>0</v>
      </c>
      <c r="R337" s="380">
        <v>80</v>
      </c>
      <c r="S337" s="385">
        <v>0</v>
      </c>
      <c r="T337" s="380">
        <v>6448</v>
      </c>
      <c r="U337" s="380">
        <v>0</v>
      </c>
      <c r="V337" s="380">
        <v>3749.23</v>
      </c>
      <c r="W337" s="380">
        <v>0</v>
      </c>
      <c r="X337" s="380">
        <v>0</v>
      </c>
      <c r="Y337" s="380">
        <v>0</v>
      </c>
      <c r="Z337" s="380">
        <v>0</v>
      </c>
      <c r="AA337" s="378"/>
      <c r="AB337" s="376" t="s">
        <v>45</v>
      </c>
      <c r="AC337" s="376" t="s">
        <v>45</v>
      </c>
      <c r="AD337" s="378"/>
      <c r="AE337" s="378"/>
      <c r="AF337" s="378"/>
      <c r="AG337" s="378"/>
      <c r="AH337" s="379">
        <v>0</v>
      </c>
      <c r="AI337" s="379">
        <v>0</v>
      </c>
      <c r="AJ337" s="378"/>
      <c r="AK337" s="378"/>
      <c r="AL337" s="376" t="s">
        <v>181</v>
      </c>
      <c r="AM337" s="378"/>
      <c r="AN337" s="378"/>
      <c r="AO337" s="379">
        <v>0</v>
      </c>
      <c r="AP337" s="385">
        <v>0</v>
      </c>
      <c r="AQ337" s="385">
        <v>0</v>
      </c>
      <c r="AR337" s="384"/>
      <c r="AS337" s="387">
        <f t="shared" si="247"/>
        <v>0</v>
      </c>
      <c r="AT337">
        <f t="shared" si="248"/>
        <v>0</v>
      </c>
      <c r="AU337" s="387" t="str">
        <f>IF(AT337=0,"",IF(AND(AT337=1,M337="F",SUMIF(C2:C1334,C337,AS2:AS1334)&lt;=1),SUMIF(C2:C1334,C337,AS2:AS1334),IF(AND(AT337=1,M337="F",SUMIF(C2:C1334,C337,AS2:AS1334)&gt;1),1,"")))</f>
        <v/>
      </c>
      <c r="AV337" s="387" t="str">
        <f>IF(AT337=0,"",IF(AND(AT337=3,M337="F",SUMIF(C2:C1334,C337,AS2:AS1334)&lt;=1),SUMIF(C2:C1334,C337,AS2:AS1334),IF(AND(AT337=3,M337="F",SUMIF(C2:C1334,C337,AS2:AS1334)&gt;1),1,"")))</f>
        <v/>
      </c>
      <c r="AW337" s="387">
        <f>SUMIF(C2:C1334,C337,O2:O1334)</f>
        <v>0</v>
      </c>
      <c r="AX337" s="387">
        <f>IF(AND(M337="F",AS337&lt;&gt;0),SUMIF(C2:C1334,C337,W2:W1334),0)</f>
        <v>0</v>
      </c>
      <c r="AY337" s="387" t="str">
        <f t="shared" si="249"/>
        <v/>
      </c>
      <c r="AZ337" s="387" t="str">
        <f t="shared" si="250"/>
        <v/>
      </c>
      <c r="BA337" s="387">
        <f t="shared" si="251"/>
        <v>0</v>
      </c>
      <c r="BB337" s="387">
        <f t="shared" si="220"/>
        <v>0</v>
      </c>
      <c r="BC337" s="387">
        <f t="shared" si="221"/>
        <v>0</v>
      </c>
      <c r="BD337" s="387">
        <f t="shared" si="222"/>
        <v>0</v>
      </c>
      <c r="BE337" s="387">
        <f t="shared" si="223"/>
        <v>0</v>
      </c>
      <c r="BF337" s="387">
        <f t="shared" si="224"/>
        <v>0</v>
      </c>
      <c r="BG337" s="387">
        <f t="shared" si="225"/>
        <v>0</v>
      </c>
      <c r="BH337" s="387">
        <f t="shared" si="226"/>
        <v>0</v>
      </c>
      <c r="BI337" s="387">
        <f t="shared" si="227"/>
        <v>0</v>
      </c>
      <c r="BJ337" s="387">
        <f t="shared" si="228"/>
        <v>0</v>
      </c>
      <c r="BK337" s="387">
        <f t="shared" si="229"/>
        <v>0</v>
      </c>
      <c r="BL337" s="387">
        <f t="shared" si="252"/>
        <v>0</v>
      </c>
      <c r="BM337" s="387">
        <f t="shared" si="253"/>
        <v>0</v>
      </c>
      <c r="BN337" s="387">
        <f t="shared" si="230"/>
        <v>0</v>
      </c>
      <c r="BO337" s="387">
        <f t="shared" si="231"/>
        <v>0</v>
      </c>
      <c r="BP337" s="387">
        <f t="shared" si="232"/>
        <v>0</v>
      </c>
      <c r="BQ337" s="387">
        <f t="shared" si="233"/>
        <v>0</v>
      </c>
      <c r="BR337" s="387">
        <f t="shared" si="234"/>
        <v>0</v>
      </c>
      <c r="BS337" s="387">
        <f t="shared" si="235"/>
        <v>0</v>
      </c>
      <c r="BT337" s="387">
        <f t="shared" si="236"/>
        <v>0</v>
      </c>
      <c r="BU337" s="387">
        <f t="shared" si="237"/>
        <v>0</v>
      </c>
      <c r="BV337" s="387">
        <f t="shared" si="238"/>
        <v>0</v>
      </c>
      <c r="BW337" s="387">
        <f t="shared" si="239"/>
        <v>0</v>
      </c>
      <c r="BX337" s="387">
        <f t="shared" si="254"/>
        <v>0</v>
      </c>
      <c r="BY337" s="387">
        <f t="shared" si="255"/>
        <v>0</v>
      </c>
      <c r="BZ337" s="387">
        <f t="shared" si="256"/>
        <v>0</v>
      </c>
      <c r="CA337" s="387">
        <f t="shared" si="257"/>
        <v>0</v>
      </c>
      <c r="CB337" s="387">
        <f t="shared" si="258"/>
        <v>0</v>
      </c>
      <c r="CC337" s="387">
        <f t="shared" si="240"/>
        <v>0</v>
      </c>
      <c r="CD337" s="387">
        <f t="shared" si="241"/>
        <v>0</v>
      </c>
      <c r="CE337" s="387">
        <f t="shared" si="242"/>
        <v>0</v>
      </c>
      <c r="CF337" s="387">
        <f t="shared" si="243"/>
        <v>0</v>
      </c>
      <c r="CG337" s="387">
        <f t="shared" si="244"/>
        <v>0</v>
      </c>
      <c r="CH337" s="387">
        <f t="shared" si="245"/>
        <v>0</v>
      </c>
      <c r="CI337" s="387">
        <f t="shared" si="246"/>
        <v>0</v>
      </c>
      <c r="CJ337" s="387">
        <f t="shared" si="259"/>
        <v>0</v>
      </c>
      <c r="CK337" s="387" t="str">
        <f t="shared" si="260"/>
        <v/>
      </c>
      <c r="CL337" s="387" t="str">
        <f t="shared" si="261"/>
        <v/>
      </c>
      <c r="CM337" s="387" t="str">
        <f t="shared" si="262"/>
        <v/>
      </c>
      <c r="CN337" s="387" t="str">
        <f t="shared" si="263"/>
        <v>0348-31</v>
      </c>
    </row>
    <row r="338" spans="1:92" ht="15.75" thickBot="1" x14ac:dyDescent="0.3">
      <c r="A338" s="376" t="s">
        <v>161</v>
      </c>
      <c r="B338" s="376" t="s">
        <v>162</v>
      </c>
      <c r="C338" s="376" t="s">
        <v>1173</v>
      </c>
      <c r="D338" s="376" t="s">
        <v>862</v>
      </c>
      <c r="E338" s="376" t="s">
        <v>224</v>
      </c>
      <c r="F338" s="382" t="s">
        <v>225</v>
      </c>
      <c r="G338" s="376" t="s">
        <v>781</v>
      </c>
      <c r="H338" s="378"/>
      <c r="I338" s="378"/>
      <c r="J338" s="376" t="s">
        <v>239</v>
      </c>
      <c r="K338" s="376" t="s">
        <v>863</v>
      </c>
      <c r="L338" s="376" t="s">
        <v>252</v>
      </c>
      <c r="M338" s="376" t="s">
        <v>171</v>
      </c>
      <c r="N338" s="376" t="s">
        <v>172</v>
      </c>
      <c r="O338" s="379">
        <v>1</v>
      </c>
      <c r="P338" s="385">
        <v>1</v>
      </c>
      <c r="Q338" s="385">
        <v>1</v>
      </c>
      <c r="R338" s="380">
        <v>80</v>
      </c>
      <c r="S338" s="385">
        <v>1</v>
      </c>
      <c r="T338" s="380">
        <v>33543.15</v>
      </c>
      <c r="U338" s="380">
        <v>0</v>
      </c>
      <c r="V338" s="380">
        <v>17769.46</v>
      </c>
      <c r="W338" s="380">
        <v>39769.599999999999</v>
      </c>
      <c r="X338" s="380">
        <v>20250.14</v>
      </c>
      <c r="Y338" s="380">
        <v>39769.599999999999</v>
      </c>
      <c r="Z338" s="380">
        <v>20083.099999999999</v>
      </c>
      <c r="AA338" s="376" t="s">
        <v>1174</v>
      </c>
      <c r="AB338" s="376" t="s">
        <v>1175</v>
      </c>
      <c r="AC338" s="376" t="s">
        <v>1031</v>
      </c>
      <c r="AD338" s="376" t="s">
        <v>279</v>
      </c>
      <c r="AE338" s="376" t="s">
        <v>863</v>
      </c>
      <c r="AF338" s="376" t="s">
        <v>393</v>
      </c>
      <c r="AG338" s="376" t="s">
        <v>178</v>
      </c>
      <c r="AH338" s="381">
        <v>19.12</v>
      </c>
      <c r="AI338" s="381">
        <v>5037.3</v>
      </c>
      <c r="AJ338" s="376" t="s">
        <v>179</v>
      </c>
      <c r="AK338" s="376" t="s">
        <v>180</v>
      </c>
      <c r="AL338" s="376" t="s">
        <v>181</v>
      </c>
      <c r="AM338" s="376" t="s">
        <v>182</v>
      </c>
      <c r="AN338" s="376" t="s">
        <v>68</v>
      </c>
      <c r="AO338" s="379">
        <v>80</v>
      </c>
      <c r="AP338" s="385">
        <v>1</v>
      </c>
      <c r="AQ338" s="385">
        <v>1</v>
      </c>
      <c r="AR338" s="383" t="s">
        <v>183</v>
      </c>
      <c r="AS338" s="387">
        <f t="shared" si="247"/>
        <v>1</v>
      </c>
      <c r="AT338">
        <f t="shared" si="248"/>
        <v>1</v>
      </c>
      <c r="AU338" s="387">
        <f>IF(AT338=0,"",IF(AND(AT338=1,M338="F",SUMIF(C2:C1334,C338,AS2:AS1334)&lt;=1),SUMIF(C2:C1334,C338,AS2:AS1334),IF(AND(AT338=1,M338="F",SUMIF(C2:C1334,C338,AS2:AS1334)&gt;1),1,"")))</f>
        <v>1</v>
      </c>
      <c r="AV338" s="387" t="str">
        <f>IF(AT338=0,"",IF(AND(AT338=3,M338="F",SUMIF(C2:C1334,C338,AS2:AS1334)&lt;=1),SUMIF(C2:C1334,C338,AS2:AS1334),IF(AND(AT338=3,M338="F",SUMIF(C2:C1334,C338,AS2:AS1334)&gt;1),1,"")))</f>
        <v/>
      </c>
      <c r="AW338" s="387">
        <f>SUMIF(C2:C1334,C338,O2:O1334)</f>
        <v>3</v>
      </c>
      <c r="AX338" s="387">
        <f>IF(AND(M338="F",AS338&lt;&gt;0),SUMIF(C2:C1334,C338,W2:W1334),0)</f>
        <v>39769.599999999999</v>
      </c>
      <c r="AY338" s="387">
        <f t="shared" si="249"/>
        <v>39769.599999999999</v>
      </c>
      <c r="AZ338" s="387" t="str">
        <f t="shared" si="250"/>
        <v/>
      </c>
      <c r="BA338" s="387">
        <f t="shared" si="251"/>
        <v>0</v>
      </c>
      <c r="BB338" s="387">
        <f t="shared" si="220"/>
        <v>11650</v>
      </c>
      <c r="BC338" s="387">
        <f t="shared" si="221"/>
        <v>0</v>
      </c>
      <c r="BD338" s="387">
        <f t="shared" si="222"/>
        <v>2465.7152000000001</v>
      </c>
      <c r="BE338" s="387">
        <f t="shared" si="223"/>
        <v>576.65920000000006</v>
      </c>
      <c r="BF338" s="387">
        <f t="shared" si="224"/>
        <v>4748.4902400000001</v>
      </c>
      <c r="BG338" s="387">
        <f t="shared" si="225"/>
        <v>286.73881599999999</v>
      </c>
      <c r="BH338" s="387">
        <f t="shared" si="226"/>
        <v>194.87103999999999</v>
      </c>
      <c r="BI338" s="387">
        <f t="shared" si="227"/>
        <v>220.12473599999998</v>
      </c>
      <c r="BJ338" s="387">
        <f t="shared" si="228"/>
        <v>107.37792</v>
      </c>
      <c r="BK338" s="387">
        <f t="shared" si="229"/>
        <v>0</v>
      </c>
      <c r="BL338" s="387">
        <f t="shared" si="252"/>
        <v>8599.9771519999995</v>
      </c>
      <c r="BM338" s="387">
        <f t="shared" si="253"/>
        <v>0</v>
      </c>
      <c r="BN338" s="387">
        <f t="shared" si="230"/>
        <v>11650</v>
      </c>
      <c r="BO338" s="387">
        <f t="shared" si="231"/>
        <v>0</v>
      </c>
      <c r="BP338" s="387">
        <f t="shared" si="232"/>
        <v>2465.7152000000001</v>
      </c>
      <c r="BQ338" s="387">
        <f t="shared" si="233"/>
        <v>576.65920000000006</v>
      </c>
      <c r="BR338" s="387">
        <f t="shared" si="234"/>
        <v>4748.4902400000001</v>
      </c>
      <c r="BS338" s="387">
        <f t="shared" si="235"/>
        <v>286.73881599999999</v>
      </c>
      <c r="BT338" s="387">
        <f t="shared" si="236"/>
        <v>0</v>
      </c>
      <c r="BU338" s="387">
        <f t="shared" si="237"/>
        <v>220.12473599999998</v>
      </c>
      <c r="BV338" s="387">
        <f t="shared" si="238"/>
        <v>135.21663999999998</v>
      </c>
      <c r="BW338" s="387">
        <f t="shared" si="239"/>
        <v>0</v>
      </c>
      <c r="BX338" s="387">
        <f t="shared" si="254"/>
        <v>8432.944832000001</v>
      </c>
      <c r="BY338" s="387">
        <f t="shared" si="255"/>
        <v>0</v>
      </c>
      <c r="BZ338" s="387">
        <f t="shared" si="256"/>
        <v>0</v>
      </c>
      <c r="CA338" s="387">
        <f t="shared" si="257"/>
        <v>0</v>
      </c>
      <c r="CB338" s="387">
        <f t="shared" si="258"/>
        <v>0</v>
      </c>
      <c r="CC338" s="387">
        <f t="shared" si="240"/>
        <v>0</v>
      </c>
      <c r="CD338" s="387">
        <f t="shared" si="241"/>
        <v>0</v>
      </c>
      <c r="CE338" s="387">
        <f t="shared" si="242"/>
        <v>0</v>
      </c>
      <c r="CF338" s="387">
        <f t="shared" si="243"/>
        <v>-194.87103999999999</v>
      </c>
      <c r="CG338" s="387">
        <f t="shared" si="244"/>
        <v>0</v>
      </c>
      <c r="CH338" s="387">
        <f t="shared" si="245"/>
        <v>27.838719999999984</v>
      </c>
      <c r="CI338" s="387">
        <f t="shared" si="246"/>
        <v>0</v>
      </c>
      <c r="CJ338" s="387">
        <f t="shared" si="259"/>
        <v>-167.03232</v>
      </c>
      <c r="CK338" s="387" t="str">
        <f t="shared" si="260"/>
        <v/>
      </c>
      <c r="CL338" s="387" t="str">
        <f t="shared" si="261"/>
        <v/>
      </c>
      <c r="CM338" s="387" t="str">
        <f t="shared" si="262"/>
        <v/>
      </c>
      <c r="CN338" s="387" t="str">
        <f t="shared" si="263"/>
        <v>0348-31</v>
      </c>
    </row>
    <row r="339" spans="1:92" ht="15.75" thickBot="1" x14ac:dyDescent="0.3">
      <c r="A339" s="376" t="s">
        <v>161</v>
      </c>
      <c r="B339" s="376" t="s">
        <v>162</v>
      </c>
      <c r="C339" s="376" t="s">
        <v>1176</v>
      </c>
      <c r="D339" s="376" t="s">
        <v>270</v>
      </c>
      <c r="E339" s="376" t="s">
        <v>224</v>
      </c>
      <c r="F339" s="382" t="s">
        <v>225</v>
      </c>
      <c r="G339" s="376" t="s">
        <v>781</v>
      </c>
      <c r="H339" s="378"/>
      <c r="I339" s="378"/>
      <c r="J339" s="376" t="s">
        <v>215</v>
      </c>
      <c r="K339" s="376" t="s">
        <v>271</v>
      </c>
      <c r="L339" s="376" t="s">
        <v>217</v>
      </c>
      <c r="M339" s="376" t="s">
        <v>171</v>
      </c>
      <c r="N339" s="376" t="s">
        <v>172</v>
      </c>
      <c r="O339" s="379">
        <v>1</v>
      </c>
      <c r="P339" s="385">
        <v>0</v>
      </c>
      <c r="Q339" s="385">
        <v>0</v>
      </c>
      <c r="R339" s="380">
        <v>80</v>
      </c>
      <c r="S339" s="385">
        <v>0</v>
      </c>
      <c r="T339" s="380">
        <v>614.79999999999995</v>
      </c>
      <c r="U339" s="380">
        <v>0</v>
      </c>
      <c r="V339" s="380">
        <v>365.33</v>
      </c>
      <c r="W339" s="380">
        <v>0</v>
      </c>
      <c r="X339" s="380">
        <v>0</v>
      </c>
      <c r="Y339" s="380">
        <v>0</v>
      </c>
      <c r="Z339" s="380">
        <v>0</v>
      </c>
      <c r="AA339" s="376" t="s">
        <v>1177</v>
      </c>
      <c r="AB339" s="376" t="s">
        <v>1178</v>
      </c>
      <c r="AC339" s="376" t="s">
        <v>1179</v>
      </c>
      <c r="AD339" s="376" t="s">
        <v>1180</v>
      </c>
      <c r="AE339" s="376" t="s">
        <v>271</v>
      </c>
      <c r="AF339" s="376" t="s">
        <v>221</v>
      </c>
      <c r="AG339" s="376" t="s">
        <v>178</v>
      </c>
      <c r="AH339" s="381">
        <v>16.41</v>
      </c>
      <c r="AI339" s="381">
        <v>3376.4</v>
      </c>
      <c r="AJ339" s="376" t="s">
        <v>179</v>
      </c>
      <c r="AK339" s="376" t="s">
        <v>180</v>
      </c>
      <c r="AL339" s="376" t="s">
        <v>181</v>
      </c>
      <c r="AM339" s="376" t="s">
        <v>182</v>
      </c>
      <c r="AN339" s="376" t="s">
        <v>68</v>
      </c>
      <c r="AO339" s="379">
        <v>80</v>
      </c>
      <c r="AP339" s="385">
        <v>1</v>
      </c>
      <c r="AQ339" s="385">
        <v>0</v>
      </c>
      <c r="AR339" s="383" t="s">
        <v>183</v>
      </c>
      <c r="AS339" s="387">
        <f t="shared" si="247"/>
        <v>0</v>
      </c>
      <c r="AT339">
        <f t="shared" si="248"/>
        <v>0</v>
      </c>
      <c r="AU339" s="387" t="str">
        <f>IF(AT339=0,"",IF(AND(AT339=1,M339="F",SUMIF(C2:C1334,C339,AS2:AS1334)&lt;=1),SUMIF(C2:C1334,C339,AS2:AS1334),IF(AND(AT339=1,M339="F",SUMIF(C2:C1334,C339,AS2:AS1334)&gt;1),1,"")))</f>
        <v/>
      </c>
      <c r="AV339" s="387" t="str">
        <f>IF(AT339=0,"",IF(AND(AT339=3,M339="F",SUMIF(C2:C1334,C339,AS2:AS1334)&lt;=1),SUMIF(C2:C1334,C339,AS2:AS1334),IF(AND(AT339=3,M339="F",SUMIF(C2:C1334,C339,AS2:AS1334)&gt;1),1,"")))</f>
        <v/>
      </c>
      <c r="AW339" s="387">
        <f>SUMIF(C2:C1334,C339,O2:O1334)</f>
        <v>2</v>
      </c>
      <c r="AX339" s="387">
        <f>IF(AND(M339="F",AS339&lt;&gt;0),SUMIF(C2:C1334,C339,W2:W1334),0)</f>
        <v>0</v>
      </c>
      <c r="AY339" s="387" t="str">
        <f t="shared" si="249"/>
        <v/>
      </c>
      <c r="AZ339" s="387" t="str">
        <f t="shared" si="250"/>
        <v/>
      </c>
      <c r="BA339" s="387">
        <f t="shared" si="251"/>
        <v>0</v>
      </c>
      <c r="BB339" s="387">
        <f t="shared" si="220"/>
        <v>0</v>
      </c>
      <c r="BC339" s="387">
        <f t="shared" si="221"/>
        <v>0</v>
      </c>
      <c r="BD339" s="387">
        <f t="shared" si="222"/>
        <v>0</v>
      </c>
      <c r="BE339" s="387">
        <f t="shared" si="223"/>
        <v>0</v>
      </c>
      <c r="BF339" s="387">
        <f t="shared" si="224"/>
        <v>0</v>
      </c>
      <c r="BG339" s="387">
        <f t="shared" si="225"/>
        <v>0</v>
      </c>
      <c r="BH339" s="387">
        <f t="shared" si="226"/>
        <v>0</v>
      </c>
      <c r="BI339" s="387">
        <f t="shared" si="227"/>
        <v>0</v>
      </c>
      <c r="BJ339" s="387">
        <f t="shared" si="228"/>
        <v>0</v>
      </c>
      <c r="BK339" s="387">
        <f t="shared" si="229"/>
        <v>0</v>
      </c>
      <c r="BL339" s="387">
        <f t="shared" si="252"/>
        <v>0</v>
      </c>
      <c r="BM339" s="387">
        <f t="shared" si="253"/>
        <v>0</v>
      </c>
      <c r="BN339" s="387">
        <f t="shared" si="230"/>
        <v>0</v>
      </c>
      <c r="BO339" s="387">
        <f t="shared" si="231"/>
        <v>0</v>
      </c>
      <c r="BP339" s="387">
        <f t="shared" si="232"/>
        <v>0</v>
      </c>
      <c r="BQ339" s="387">
        <f t="shared" si="233"/>
        <v>0</v>
      </c>
      <c r="BR339" s="387">
        <f t="shared" si="234"/>
        <v>0</v>
      </c>
      <c r="BS339" s="387">
        <f t="shared" si="235"/>
        <v>0</v>
      </c>
      <c r="BT339" s="387">
        <f t="shared" si="236"/>
        <v>0</v>
      </c>
      <c r="BU339" s="387">
        <f t="shared" si="237"/>
        <v>0</v>
      </c>
      <c r="BV339" s="387">
        <f t="shared" si="238"/>
        <v>0</v>
      </c>
      <c r="BW339" s="387">
        <f t="shared" si="239"/>
        <v>0</v>
      </c>
      <c r="BX339" s="387">
        <f t="shared" si="254"/>
        <v>0</v>
      </c>
      <c r="BY339" s="387">
        <f t="shared" si="255"/>
        <v>0</v>
      </c>
      <c r="BZ339" s="387">
        <f t="shared" si="256"/>
        <v>0</v>
      </c>
      <c r="CA339" s="387">
        <f t="shared" si="257"/>
        <v>0</v>
      </c>
      <c r="CB339" s="387">
        <f t="shared" si="258"/>
        <v>0</v>
      </c>
      <c r="CC339" s="387">
        <f t="shared" si="240"/>
        <v>0</v>
      </c>
      <c r="CD339" s="387">
        <f t="shared" si="241"/>
        <v>0</v>
      </c>
      <c r="CE339" s="387">
        <f t="shared" si="242"/>
        <v>0</v>
      </c>
      <c r="CF339" s="387">
        <f t="shared" si="243"/>
        <v>0</v>
      </c>
      <c r="CG339" s="387">
        <f t="shared" si="244"/>
        <v>0</v>
      </c>
      <c r="CH339" s="387">
        <f t="shared" si="245"/>
        <v>0</v>
      </c>
      <c r="CI339" s="387">
        <f t="shared" si="246"/>
        <v>0</v>
      </c>
      <c r="CJ339" s="387">
        <f t="shared" si="259"/>
        <v>0</v>
      </c>
      <c r="CK339" s="387" t="str">
        <f t="shared" si="260"/>
        <v/>
      </c>
      <c r="CL339" s="387" t="str">
        <f t="shared" si="261"/>
        <v/>
      </c>
      <c r="CM339" s="387" t="str">
        <f t="shared" si="262"/>
        <v/>
      </c>
      <c r="CN339" s="387" t="str">
        <f t="shared" si="263"/>
        <v>0348-31</v>
      </c>
    </row>
    <row r="340" spans="1:92" ht="15.75" thickBot="1" x14ac:dyDescent="0.3">
      <c r="A340" s="376" t="s">
        <v>161</v>
      </c>
      <c r="B340" s="376" t="s">
        <v>162</v>
      </c>
      <c r="C340" s="376" t="s">
        <v>1181</v>
      </c>
      <c r="D340" s="376" t="s">
        <v>868</v>
      </c>
      <c r="E340" s="376" t="s">
        <v>224</v>
      </c>
      <c r="F340" s="382" t="s">
        <v>225</v>
      </c>
      <c r="G340" s="376" t="s">
        <v>781</v>
      </c>
      <c r="H340" s="378"/>
      <c r="I340" s="378"/>
      <c r="J340" s="376" t="s">
        <v>215</v>
      </c>
      <c r="K340" s="376" t="s">
        <v>894</v>
      </c>
      <c r="L340" s="376" t="s">
        <v>170</v>
      </c>
      <c r="M340" s="376" t="s">
        <v>171</v>
      </c>
      <c r="N340" s="376" t="s">
        <v>172</v>
      </c>
      <c r="O340" s="379">
        <v>1</v>
      </c>
      <c r="P340" s="385">
        <v>0</v>
      </c>
      <c r="Q340" s="385">
        <v>0</v>
      </c>
      <c r="R340" s="380">
        <v>80</v>
      </c>
      <c r="S340" s="385">
        <v>0</v>
      </c>
      <c r="T340" s="380">
        <v>55464.29</v>
      </c>
      <c r="U340" s="380">
        <v>2188.09</v>
      </c>
      <c r="V340" s="380">
        <v>23046.68</v>
      </c>
      <c r="W340" s="380">
        <v>0</v>
      </c>
      <c r="X340" s="380">
        <v>0</v>
      </c>
      <c r="Y340" s="380">
        <v>0</v>
      </c>
      <c r="Z340" s="380">
        <v>0</v>
      </c>
      <c r="AA340" s="376" t="s">
        <v>1182</v>
      </c>
      <c r="AB340" s="376" t="s">
        <v>1183</v>
      </c>
      <c r="AC340" s="376" t="s">
        <v>1184</v>
      </c>
      <c r="AD340" s="376" t="s">
        <v>1185</v>
      </c>
      <c r="AE340" s="376" t="s">
        <v>894</v>
      </c>
      <c r="AF340" s="376" t="s">
        <v>177</v>
      </c>
      <c r="AG340" s="376" t="s">
        <v>178</v>
      </c>
      <c r="AH340" s="381">
        <v>27.68</v>
      </c>
      <c r="AI340" s="381">
        <v>20388.599999999999</v>
      </c>
      <c r="AJ340" s="376" t="s">
        <v>179</v>
      </c>
      <c r="AK340" s="376" t="s">
        <v>180</v>
      </c>
      <c r="AL340" s="376" t="s">
        <v>181</v>
      </c>
      <c r="AM340" s="376" t="s">
        <v>182</v>
      </c>
      <c r="AN340" s="376" t="s">
        <v>68</v>
      </c>
      <c r="AO340" s="379">
        <v>80</v>
      </c>
      <c r="AP340" s="385">
        <v>1</v>
      </c>
      <c r="AQ340" s="385">
        <v>0</v>
      </c>
      <c r="AR340" s="383" t="s">
        <v>183</v>
      </c>
      <c r="AS340" s="387">
        <f t="shared" si="247"/>
        <v>0</v>
      </c>
      <c r="AT340">
        <f t="shared" si="248"/>
        <v>0</v>
      </c>
      <c r="AU340" s="387" t="str">
        <f>IF(AT340=0,"",IF(AND(AT340=1,M340="F",SUMIF(C2:C1334,C340,AS2:AS1334)&lt;=1),SUMIF(C2:C1334,C340,AS2:AS1334),IF(AND(AT340=1,M340="F",SUMIF(C2:C1334,C340,AS2:AS1334)&gt;1),1,"")))</f>
        <v/>
      </c>
      <c r="AV340" s="387" t="str">
        <f>IF(AT340=0,"",IF(AND(AT340=3,M340="F",SUMIF(C2:C1334,C340,AS2:AS1334)&lt;=1),SUMIF(C2:C1334,C340,AS2:AS1334),IF(AND(AT340=3,M340="F",SUMIF(C2:C1334,C340,AS2:AS1334)&gt;1),1,"")))</f>
        <v/>
      </c>
      <c r="AW340" s="387">
        <f>SUMIF(C2:C1334,C340,O2:O1334)</f>
        <v>2</v>
      </c>
      <c r="AX340" s="387">
        <f>IF(AND(M340="F",AS340&lt;&gt;0),SUMIF(C2:C1334,C340,W2:W1334),0)</f>
        <v>0</v>
      </c>
      <c r="AY340" s="387" t="str">
        <f t="shared" si="249"/>
        <v/>
      </c>
      <c r="AZ340" s="387" t="str">
        <f t="shared" si="250"/>
        <v/>
      </c>
      <c r="BA340" s="387">
        <f t="shared" si="251"/>
        <v>0</v>
      </c>
      <c r="BB340" s="387">
        <f t="shared" si="220"/>
        <v>0</v>
      </c>
      <c r="BC340" s="387">
        <f t="shared" si="221"/>
        <v>0</v>
      </c>
      <c r="BD340" s="387">
        <f t="shared" si="222"/>
        <v>0</v>
      </c>
      <c r="BE340" s="387">
        <f t="shared" si="223"/>
        <v>0</v>
      </c>
      <c r="BF340" s="387">
        <f t="shared" si="224"/>
        <v>0</v>
      </c>
      <c r="BG340" s="387">
        <f t="shared" si="225"/>
        <v>0</v>
      </c>
      <c r="BH340" s="387">
        <f t="shared" si="226"/>
        <v>0</v>
      </c>
      <c r="BI340" s="387">
        <f t="shared" si="227"/>
        <v>0</v>
      </c>
      <c r="BJ340" s="387">
        <f t="shared" si="228"/>
        <v>0</v>
      </c>
      <c r="BK340" s="387">
        <f t="shared" si="229"/>
        <v>0</v>
      </c>
      <c r="BL340" s="387">
        <f t="shared" si="252"/>
        <v>0</v>
      </c>
      <c r="BM340" s="387">
        <f t="shared" si="253"/>
        <v>0</v>
      </c>
      <c r="BN340" s="387">
        <f t="shared" si="230"/>
        <v>0</v>
      </c>
      <c r="BO340" s="387">
        <f t="shared" si="231"/>
        <v>0</v>
      </c>
      <c r="BP340" s="387">
        <f t="shared" si="232"/>
        <v>0</v>
      </c>
      <c r="BQ340" s="387">
        <f t="shared" si="233"/>
        <v>0</v>
      </c>
      <c r="BR340" s="387">
        <f t="shared" si="234"/>
        <v>0</v>
      </c>
      <c r="BS340" s="387">
        <f t="shared" si="235"/>
        <v>0</v>
      </c>
      <c r="BT340" s="387">
        <f t="shared" si="236"/>
        <v>0</v>
      </c>
      <c r="BU340" s="387">
        <f t="shared" si="237"/>
        <v>0</v>
      </c>
      <c r="BV340" s="387">
        <f t="shared" si="238"/>
        <v>0</v>
      </c>
      <c r="BW340" s="387">
        <f t="shared" si="239"/>
        <v>0</v>
      </c>
      <c r="BX340" s="387">
        <f t="shared" si="254"/>
        <v>0</v>
      </c>
      <c r="BY340" s="387">
        <f t="shared" si="255"/>
        <v>0</v>
      </c>
      <c r="BZ340" s="387">
        <f t="shared" si="256"/>
        <v>0</v>
      </c>
      <c r="CA340" s="387">
        <f t="shared" si="257"/>
        <v>0</v>
      </c>
      <c r="CB340" s="387">
        <f t="shared" si="258"/>
        <v>0</v>
      </c>
      <c r="CC340" s="387">
        <f t="shared" si="240"/>
        <v>0</v>
      </c>
      <c r="CD340" s="387">
        <f t="shared" si="241"/>
        <v>0</v>
      </c>
      <c r="CE340" s="387">
        <f t="shared" si="242"/>
        <v>0</v>
      </c>
      <c r="CF340" s="387">
        <f t="shared" si="243"/>
        <v>0</v>
      </c>
      <c r="CG340" s="387">
        <f t="shared" si="244"/>
        <v>0</v>
      </c>
      <c r="CH340" s="387">
        <f t="shared" si="245"/>
        <v>0</v>
      </c>
      <c r="CI340" s="387">
        <f t="shared" si="246"/>
        <v>0</v>
      </c>
      <c r="CJ340" s="387">
        <f t="shared" si="259"/>
        <v>0</v>
      </c>
      <c r="CK340" s="387" t="str">
        <f t="shared" si="260"/>
        <v/>
      </c>
      <c r="CL340" s="387" t="str">
        <f t="shared" si="261"/>
        <v/>
      </c>
      <c r="CM340" s="387" t="str">
        <f t="shared" si="262"/>
        <v/>
      </c>
      <c r="CN340" s="387" t="str">
        <f t="shared" si="263"/>
        <v>0348-31</v>
      </c>
    </row>
    <row r="341" spans="1:92" ht="15.75" thickBot="1" x14ac:dyDescent="0.3">
      <c r="A341" s="376" t="s">
        <v>161</v>
      </c>
      <c r="B341" s="376" t="s">
        <v>162</v>
      </c>
      <c r="C341" s="376" t="s">
        <v>1186</v>
      </c>
      <c r="D341" s="376" t="s">
        <v>375</v>
      </c>
      <c r="E341" s="376" t="s">
        <v>224</v>
      </c>
      <c r="F341" s="382" t="s">
        <v>225</v>
      </c>
      <c r="G341" s="376" t="s">
        <v>781</v>
      </c>
      <c r="H341" s="378"/>
      <c r="I341" s="378"/>
      <c r="J341" s="376" t="s">
        <v>215</v>
      </c>
      <c r="K341" s="376" t="s">
        <v>376</v>
      </c>
      <c r="L341" s="376" t="s">
        <v>178</v>
      </c>
      <c r="M341" s="376" t="s">
        <v>171</v>
      </c>
      <c r="N341" s="376" t="s">
        <v>172</v>
      </c>
      <c r="O341" s="379">
        <v>1</v>
      </c>
      <c r="P341" s="385">
        <v>0</v>
      </c>
      <c r="Q341" s="385">
        <v>0</v>
      </c>
      <c r="R341" s="380">
        <v>80</v>
      </c>
      <c r="S341" s="385">
        <v>0</v>
      </c>
      <c r="T341" s="380">
        <v>41062.42</v>
      </c>
      <c r="U341" s="380">
        <v>0</v>
      </c>
      <c r="V341" s="380">
        <v>20222.080000000002</v>
      </c>
      <c r="W341" s="380">
        <v>0</v>
      </c>
      <c r="X341" s="380">
        <v>0</v>
      </c>
      <c r="Y341" s="380">
        <v>0</v>
      </c>
      <c r="Z341" s="380">
        <v>0</v>
      </c>
      <c r="AA341" s="376" t="s">
        <v>1187</v>
      </c>
      <c r="AB341" s="376" t="s">
        <v>1188</v>
      </c>
      <c r="AC341" s="376" t="s">
        <v>1189</v>
      </c>
      <c r="AD341" s="376" t="s">
        <v>296</v>
      </c>
      <c r="AE341" s="376" t="s">
        <v>376</v>
      </c>
      <c r="AF341" s="376" t="s">
        <v>253</v>
      </c>
      <c r="AG341" s="376" t="s">
        <v>178</v>
      </c>
      <c r="AH341" s="381">
        <v>20.32</v>
      </c>
      <c r="AI341" s="381">
        <v>49502.2</v>
      </c>
      <c r="AJ341" s="376" t="s">
        <v>179</v>
      </c>
      <c r="AK341" s="376" t="s">
        <v>180</v>
      </c>
      <c r="AL341" s="376" t="s">
        <v>181</v>
      </c>
      <c r="AM341" s="376" t="s">
        <v>182</v>
      </c>
      <c r="AN341" s="376" t="s">
        <v>68</v>
      </c>
      <c r="AO341" s="379">
        <v>80</v>
      </c>
      <c r="AP341" s="385">
        <v>1</v>
      </c>
      <c r="AQ341" s="385">
        <v>0</v>
      </c>
      <c r="AR341" s="383" t="s">
        <v>183</v>
      </c>
      <c r="AS341" s="387">
        <f t="shared" si="247"/>
        <v>0</v>
      </c>
      <c r="AT341">
        <f t="shared" si="248"/>
        <v>0</v>
      </c>
      <c r="AU341" s="387" t="str">
        <f>IF(AT341=0,"",IF(AND(AT341=1,M341="F",SUMIF(C2:C1334,C341,AS2:AS1334)&lt;=1),SUMIF(C2:C1334,C341,AS2:AS1334),IF(AND(AT341=1,M341="F",SUMIF(C2:C1334,C341,AS2:AS1334)&gt;1),1,"")))</f>
        <v/>
      </c>
      <c r="AV341" s="387" t="str">
        <f>IF(AT341=0,"",IF(AND(AT341=3,M341="F",SUMIF(C2:C1334,C341,AS2:AS1334)&lt;=1),SUMIF(C2:C1334,C341,AS2:AS1334),IF(AND(AT341=3,M341="F",SUMIF(C2:C1334,C341,AS2:AS1334)&gt;1),1,"")))</f>
        <v/>
      </c>
      <c r="AW341" s="387">
        <f>SUMIF(C2:C1334,C341,O2:O1334)</f>
        <v>2</v>
      </c>
      <c r="AX341" s="387">
        <f>IF(AND(M341="F",AS341&lt;&gt;0),SUMIF(C2:C1334,C341,W2:W1334),0)</f>
        <v>0</v>
      </c>
      <c r="AY341" s="387" t="str">
        <f t="shared" si="249"/>
        <v/>
      </c>
      <c r="AZ341" s="387" t="str">
        <f t="shared" si="250"/>
        <v/>
      </c>
      <c r="BA341" s="387">
        <f t="shared" si="251"/>
        <v>0</v>
      </c>
      <c r="BB341" s="387">
        <f t="shared" si="220"/>
        <v>0</v>
      </c>
      <c r="BC341" s="387">
        <f t="shared" si="221"/>
        <v>0</v>
      </c>
      <c r="BD341" s="387">
        <f t="shared" si="222"/>
        <v>0</v>
      </c>
      <c r="BE341" s="387">
        <f t="shared" si="223"/>
        <v>0</v>
      </c>
      <c r="BF341" s="387">
        <f t="shared" si="224"/>
        <v>0</v>
      </c>
      <c r="BG341" s="387">
        <f t="shared" si="225"/>
        <v>0</v>
      </c>
      <c r="BH341" s="387">
        <f t="shared" si="226"/>
        <v>0</v>
      </c>
      <c r="BI341" s="387">
        <f t="shared" si="227"/>
        <v>0</v>
      </c>
      <c r="BJ341" s="387">
        <f t="shared" si="228"/>
        <v>0</v>
      </c>
      <c r="BK341" s="387">
        <f t="shared" si="229"/>
        <v>0</v>
      </c>
      <c r="BL341" s="387">
        <f t="shared" si="252"/>
        <v>0</v>
      </c>
      <c r="BM341" s="387">
        <f t="shared" si="253"/>
        <v>0</v>
      </c>
      <c r="BN341" s="387">
        <f t="shared" si="230"/>
        <v>0</v>
      </c>
      <c r="BO341" s="387">
        <f t="shared" si="231"/>
        <v>0</v>
      </c>
      <c r="BP341" s="387">
        <f t="shared" si="232"/>
        <v>0</v>
      </c>
      <c r="BQ341" s="387">
        <f t="shared" si="233"/>
        <v>0</v>
      </c>
      <c r="BR341" s="387">
        <f t="shared" si="234"/>
        <v>0</v>
      </c>
      <c r="BS341" s="387">
        <f t="shared" si="235"/>
        <v>0</v>
      </c>
      <c r="BT341" s="387">
        <f t="shared" si="236"/>
        <v>0</v>
      </c>
      <c r="BU341" s="387">
        <f t="shared" si="237"/>
        <v>0</v>
      </c>
      <c r="BV341" s="387">
        <f t="shared" si="238"/>
        <v>0</v>
      </c>
      <c r="BW341" s="387">
        <f t="shared" si="239"/>
        <v>0</v>
      </c>
      <c r="BX341" s="387">
        <f t="shared" si="254"/>
        <v>0</v>
      </c>
      <c r="BY341" s="387">
        <f t="shared" si="255"/>
        <v>0</v>
      </c>
      <c r="BZ341" s="387">
        <f t="shared" si="256"/>
        <v>0</v>
      </c>
      <c r="CA341" s="387">
        <f t="shared" si="257"/>
        <v>0</v>
      </c>
      <c r="CB341" s="387">
        <f t="shared" si="258"/>
        <v>0</v>
      </c>
      <c r="CC341" s="387">
        <f t="shared" si="240"/>
        <v>0</v>
      </c>
      <c r="CD341" s="387">
        <f t="shared" si="241"/>
        <v>0</v>
      </c>
      <c r="CE341" s="387">
        <f t="shared" si="242"/>
        <v>0</v>
      </c>
      <c r="CF341" s="387">
        <f t="shared" si="243"/>
        <v>0</v>
      </c>
      <c r="CG341" s="387">
        <f t="shared" si="244"/>
        <v>0</v>
      </c>
      <c r="CH341" s="387">
        <f t="shared" si="245"/>
        <v>0</v>
      </c>
      <c r="CI341" s="387">
        <f t="shared" si="246"/>
        <v>0</v>
      </c>
      <c r="CJ341" s="387">
        <f t="shared" si="259"/>
        <v>0</v>
      </c>
      <c r="CK341" s="387" t="str">
        <f t="shared" si="260"/>
        <v/>
      </c>
      <c r="CL341" s="387" t="str">
        <f t="shared" si="261"/>
        <v/>
      </c>
      <c r="CM341" s="387" t="str">
        <f t="shared" si="262"/>
        <v/>
      </c>
      <c r="CN341" s="387" t="str">
        <f t="shared" si="263"/>
        <v>0348-31</v>
      </c>
    </row>
    <row r="342" spans="1:92" ht="15.75" thickBot="1" x14ac:dyDescent="0.3">
      <c r="A342" s="376" t="s">
        <v>161</v>
      </c>
      <c r="B342" s="376" t="s">
        <v>162</v>
      </c>
      <c r="C342" s="376" t="s">
        <v>638</v>
      </c>
      <c r="D342" s="376" t="s">
        <v>270</v>
      </c>
      <c r="E342" s="376" t="s">
        <v>224</v>
      </c>
      <c r="F342" s="382" t="s">
        <v>225</v>
      </c>
      <c r="G342" s="376" t="s">
        <v>781</v>
      </c>
      <c r="H342" s="378"/>
      <c r="I342" s="378"/>
      <c r="J342" s="376" t="s">
        <v>239</v>
      </c>
      <c r="K342" s="376" t="s">
        <v>271</v>
      </c>
      <c r="L342" s="376" t="s">
        <v>217</v>
      </c>
      <c r="M342" s="376" t="s">
        <v>171</v>
      </c>
      <c r="N342" s="376" t="s">
        <v>172</v>
      </c>
      <c r="O342" s="379">
        <v>1</v>
      </c>
      <c r="P342" s="385">
        <v>0</v>
      </c>
      <c r="Q342" s="385">
        <v>0</v>
      </c>
      <c r="R342" s="380">
        <v>80</v>
      </c>
      <c r="S342" s="385">
        <v>0</v>
      </c>
      <c r="T342" s="380">
        <v>19100.919999999998</v>
      </c>
      <c r="U342" s="380">
        <v>0</v>
      </c>
      <c r="V342" s="380">
        <v>9993.84</v>
      </c>
      <c r="W342" s="380">
        <v>0</v>
      </c>
      <c r="X342" s="380">
        <v>0</v>
      </c>
      <c r="Y342" s="380">
        <v>0</v>
      </c>
      <c r="Z342" s="380">
        <v>0</v>
      </c>
      <c r="AA342" s="376" t="s">
        <v>639</v>
      </c>
      <c r="AB342" s="376" t="s">
        <v>640</v>
      </c>
      <c r="AC342" s="376" t="s">
        <v>455</v>
      </c>
      <c r="AD342" s="376" t="s">
        <v>198</v>
      </c>
      <c r="AE342" s="376" t="s">
        <v>271</v>
      </c>
      <c r="AF342" s="376" t="s">
        <v>221</v>
      </c>
      <c r="AG342" s="376" t="s">
        <v>178</v>
      </c>
      <c r="AH342" s="381">
        <v>18.41</v>
      </c>
      <c r="AI342" s="381">
        <v>16722.599999999999</v>
      </c>
      <c r="AJ342" s="376" t="s">
        <v>179</v>
      </c>
      <c r="AK342" s="376" t="s">
        <v>180</v>
      </c>
      <c r="AL342" s="376" t="s">
        <v>181</v>
      </c>
      <c r="AM342" s="376" t="s">
        <v>182</v>
      </c>
      <c r="AN342" s="376" t="s">
        <v>68</v>
      </c>
      <c r="AO342" s="379">
        <v>80</v>
      </c>
      <c r="AP342" s="385">
        <v>1</v>
      </c>
      <c r="AQ342" s="385">
        <v>0</v>
      </c>
      <c r="AR342" s="383" t="s">
        <v>183</v>
      </c>
      <c r="AS342" s="387">
        <f t="shared" si="247"/>
        <v>0</v>
      </c>
      <c r="AT342">
        <f t="shared" si="248"/>
        <v>0</v>
      </c>
      <c r="AU342" s="387" t="str">
        <f>IF(AT342=0,"",IF(AND(AT342=1,M342="F",SUMIF(C2:C1334,C342,AS2:AS1334)&lt;=1),SUMIF(C2:C1334,C342,AS2:AS1334),IF(AND(AT342=1,M342="F",SUMIF(C2:C1334,C342,AS2:AS1334)&gt;1),1,"")))</f>
        <v/>
      </c>
      <c r="AV342" s="387" t="str">
        <f>IF(AT342=0,"",IF(AND(AT342=3,M342="F",SUMIF(C2:C1334,C342,AS2:AS1334)&lt;=1),SUMIF(C2:C1334,C342,AS2:AS1334),IF(AND(AT342=3,M342="F",SUMIF(C2:C1334,C342,AS2:AS1334)&gt;1),1,"")))</f>
        <v/>
      </c>
      <c r="AW342" s="387">
        <f>SUMIF(C2:C1334,C342,O2:O1334)</f>
        <v>3</v>
      </c>
      <c r="AX342" s="387">
        <f>IF(AND(M342="F",AS342&lt;&gt;0),SUMIF(C2:C1334,C342,W2:W1334),0)</f>
        <v>0</v>
      </c>
      <c r="AY342" s="387" t="str">
        <f t="shared" si="249"/>
        <v/>
      </c>
      <c r="AZ342" s="387" t="str">
        <f t="shared" si="250"/>
        <v/>
      </c>
      <c r="BA342" s="387">
        <f t="shared" si="251"/>
        <v>0</v>
      </c>
      <c r="BB342" s="387">
        <f t="shared" si="220"/>
        <v>0</v>
      </c>
      <c r="BC342" s="387">
        <f t="shared" si="221"/>
        <v>0</v>
      </c>
      <c r="BD342" s="387">
        <f t="shared" si="222"/>
        <v>0</v>
      </c>
      <c r="BE342" s="387">
        <f t="shared" si="223"/>
        <v>0</v>
      </c>
      <c r="BF342" s="387">
        <f t="shared" si="224"/>
        <v>0</v>
      </c>
      <c r="BG342" s="387">
        <f t="shared" si="225"/>
        <v>0</v>
      </c>
      <c r="BH342" s="387">
        <f t="shared" si="226"/>
        <v>0</v>
      </c>
      <c r="BI342" s="387">
        <f t="shared" si="227"/>
        <v>0</v>
      </c>
      <c r="BJ342" s="387">
        <f t="shared" si="228"/>
        <v>0</v>
      </c>
      <c r="BK342" s="387">
        <f t="shared" si="229"/>
        <v>0</v>
      </c>
      <c r="BL342" s="387">
        <f t="shared" si="252"/>
        <v>0</v>
      </c>
      <c r="BM342" s="387">
        <f t="shared" si="253"/>
        <v>0</v>
      </c>
      <c r="BN342" s="387">
        <f t="shared" si="230"/>
        <v>0</v>
      </c>
      <c r="BO342" s="387">
        <f t="shared" si="231"/>
        <v>0</v>
      </c>
      <c r="BP342" s="387">
        <f t="shared" si="232"/>
        <v>0</v>
      </c>
      <c r="BQ342" s="387">
        <f t="shared" si="233"/>
        <v>0</v>
      </c>
      <c r="BR342" s="387">
        <f t="shared" si="234"/>
        <v>0</v>
      </c>
      <c r="BS342" s="387">
        <f t="shared" si="235"/>
        <v>0</v>
      </c>
      <c r="BT342" s="387">
        <f t="shared" si="236"/>
        <v>0</v>
      </c>
      <c r="BU342" s="387">
        <f t="shared" si="237"/>
        <v>0</v>
      </c>
      <c r="BV342" s="387">
        <f t="shared" si="238"/>
        <v>0</v>
      </c>
      <c r="BW342" s="387">
        <f t="shared" si="239"/>
        <v>0</v>
      </c>
      <c r="BX342" s="387">
        <f t="shared" si="254"/>
        <v>0</v>
      </c>
      <c r="BY342" s="387">
        <f t="shared" si="255"/>
        <v>0</v>
      </c>
      <c r="BZ342" s="387">
        <f t="shared" si="256"/>
        <v>0</v>
      </c>
      <c r="CA342" s="387">
        <f t="shared" si="257"/>
        <v>0</v>
      </c>
      <c r="CB342" s="387">
        <f t="shared" si="258"/>
        <v>0</v>
      </c>
      <c r="CC342" s="387">
        <f t="shared" si="240"/>
        <v>0</v>
      </c>
      <c r="CD342" s="387">
        <f t="shared" si="241"/>
        <v>0</v>
      </c>
      <c r="CE342" s="387">
        <f t="shared" si="242"/>
        <v>0</v>
      </c>
      <c r="CF342" s="387">
        <f t="shared" si="243"/>
        <v>0</v>
      </c>
      <c r="CG342" s="387">
        <f t="shared" si="244"/>
        <v>0</v>
      </c>
      <c r="CH342" s="387">
        <f t="shared" si="245"/>
        <v>0</v>
      </c>
      <c r="CI342" s="387">
        <f t="shared" si="246"/>
        <v>0</v>
      </c>
      <c r="CJ342" s="387">
        <f t="shared" si="259"/>
        <v>0</v>
      </c>
      <c r="CK342" s="387" t="str">
        <f t="shared" si="260"/>
        <v/>
      </c>
      <c r="CL342" s="387" t="str">
        <f t="shared" si="261"/>
        <v/>
      </c>
      <c r="CM342" s="387" t="str">
        <f t="shared" si="262"/>
        <v/>
      </c>
      <c r="CN342" s="387" t="str">
        <f t="shared" si="263"/>
        <v>0348-31</v>
      </c>
    </row>
    <row r="343" spans="1:92" ht="15.75" thickBot="1" x14ac:dyDescent="0.3">
      <c r="A343" s="376" t="s">
        <v>161</v>
      </c>
      <c r="B343" s="376" t="s">
        <v>162</v>
      </c>
      <c r="C343" s="376" t="s">
        <v>1190</v>
      </c>
      <c r="D343" s="376" t="s">
        <v>868</v>
      </c>
      <c r="E343" s="376" t="s">
        <v>224</v>
      </c>
      <c r="F343" s="382" t="s">
        <v>225</v>
      </c>
      <c r="G343" s="376" t="s">
        <v>781</v>
      </c>
      <c r="H343" s="378"/>
      <c r="I343" s="378"/>
      <c r="J343" s="376" t="s">
        <v>215</v>
      </c>
      <c r="K343" s="376" t="s">
        <v>869</v>
      </c>
      <c r="L343" s="376" t="s">
        <v>296</v>
      </c>
      <c r="M343" s="376" t="s">
        <v>171</v>
      </c>
      <c r="N343" s="376" t="s">
        <v>172</v>
      </c>
      <c r="O343" s="379">
        <v>1</v>
      </c>
      <c r="P343" s="385">
        <v>0</v>
      </c>
      <c r="Q343" s="385">
        <v>0</v>
      </c>
      <c r="R343" s="380">
        <v>80</v>
      </c>
      <c r="S343" s="385">
        <v>0</v>
      </c>
      <c r="T343" s="380">
        <v>56225.599999999999</v>
      </c>
      <c r="U343" s="380">
        <v>0</v>
      </c>
      <c r="V343" s="380">
        <v>23399.79</v>
      </c>
      <c r="W343" s="380">
        <v>0</v>
      </c>
      <c r="X343" s="380">
        <v>0</v>
      </c>
      <c r="Y343" s="380">
        <v>0</v>
      </c>
      <c r="Z343" s="380">
        <v>0</v>
      </c>
      <c r="AA343" s="376" t="s">
        <v>1191</v>
      </c>
      <c r="AB343" s="376" t="s">
        <v>1192</v>
      </c>
      <c r="AC343" s="376" t="s">
        <v>1193</v>
      </c>
      <c r="AD343" s="376" t="s">
        <v>1194</v>
      </c>
      <c r="AE343" s="376" t="s">
        <v>869</v>
      </c>
      <c r="AF343" s="376" t="s">
        <v>301</v>
      </c>
      <c r="AG343" s="376" t="s">
        <v>178</v>
      </c>
      <c r="AH343" s="381">
        <v>28.04</v>
      </c>
      <c r="AI343" s="379">
        <v>24857</v>
      </c>
      <c r="AJ343" s="376" t="s">
        <v>179</v>
      </c>
      <c r="AK343" s="376" t="s">
        <v>180</v>
      </c>
      <c r="AL343" s="376" t="s">
        <v>181</v>
      </c>
      <c r="AM343" s="376" t="s">
        <v>182</v>
      </c>
      <c r="AN343" s="376" t="s">
        <v>68</v>
      </c>
      <c r="AO343" s="379">
        <v>80</v>
      </c>
      <c r="AP343" s="385">
        <v>1</v>
      </c>
      <c r="AQ343" s="385">
        <v>0</v>
      </c>
      <c r="AR343" s="383" t="s">
        <v>183</v>
      </c>
      <c r="AS343" s="387">
        <f t="shared" si="247"/>
        <v>0</v>
      </c>
      <c r="AT343">
        <f t="shared" si="248"/>
        <v>0</v>
      </c>
      <c r="AU343" s="387" t="str">
        <f>IF(AT343=0,"",IF(AND(AT343=1,M343="F",SUMIF(C2:C1334,C343,AS2:AS1334)&lt;=1),SUMIF(C2:C1334,C343,AS2:AS1334),IF(AND(AT343=1,M343="F",SUMIF(C2:C1334,C343,AS2:AS1334)&gt;1),1,"")))</f>
        <v/>
      </c>
      <c r="AV343" s="387" t="str">
        <f>IF(AT343=0,"",IF(AND(AT343=3,M343="F",SUMIF(C2:C1334,C343,AS2:AS1334)&lt;=1),SUMIF(C2:C1334,C343,AS2:AS1334),IF(AND(AT343=3,M343="F",SUMIF(C2:C1334,C343,AS2:AS1334)&gt;1),1,"")))</f>
        <v/>
      </c>
      <c r="AW343" s="387">
        <f>SUMIF(C2:C1334,C343,O2:O1334)</f>
        <v>2</v>
      </c>
      <c r="AX343" s="387">
        <f>IF(AND(M343="F",AS343&lt;&gt;0),SUMIF(C2:C1334,C343,W2:W1334),0)</f>
        <v>0</v>
      </c>
      <c r="AY343" s="387" t="str">
        <f t="shared" si="249"/>
        <v/>
      </c>
      <c r="AZ343" s="387" t="str">
        <f t="shared" si="250"/>
        <v/>
      </c>
      <c r="BA343" s="387">
        <f t="shared" si="251"/>
        <v>0</v>
      </c>
      <c r="BB343" s="387">
        <f t="shared" si="220"/>
        <v>0</v>
      </c>
      <c r="BC343" s="387">
        <f t="shared" si="221"/>
        <v>0</v>
      </c>
      <c r="BD343" s="387">
        <f t="shared" si="222"/>
        <v>0</v>
      </c>
      <c r="BE343" s="387">
        <f t="shared" si="223"/>
        <v>0</v>
      </c>
      <c r="BF343" s="387">
        <f t="shared" si="224"/>
        <v>0</v>
      </c>
      <c r="BG343" s="387">
        <f t="shared" si="225"/>
        <v>0</v>
      </c>
      <c r="BH343" s="387">
        <f t="shared" si="226"/>
        <v>0</v>
      </c>
      <c r="BI343" s="387">
        <f t="shared" si="227"/>
        <v>0</v>
      </c>
      <c r="BJ343" s="387">
        <f t="shared" si="228"/>
        <v>0</v>
      </c>
      <c r="BK343" s="387">
        <f t="shared" si="229"/>
        <v>0</v>
      </c>
      <c r="BL343" s="387">
        <f t="shared" si="252"/>
        <v>0</v>
      </c>
      <c r="BM343" s="387">
        <f t="shared" si="253"/>
        <v>0</v>
      </c>
      <c r="BN343" s="387">
        <f t="shared" si="230"/>
        <v>0</v>
      </c>
      <c r="BO343" s="387">
        <f t="shared" si="231"/>
        <v>0</v>
      </c>
      <c r="BP343" s="387">
        <f t="shared" si="232"/>
        <v>0</v>
      </c>
      <c r="BQ343" s="387">
        <f t="shared" si="233"/>
        <v>0</v>
      </c>
      <c r="BR343" s="387">
        <f t="shared" si="234"/>
        <v>0</v>
      </c>
      <c r="BS343" s="387">
        <f t="shared" si="235"/>
        <v>0</v>
      </c>
      <c r="BT343" s="387">
        <f t="shared" si="236"/>
        <v>0</v>
      </c>
      <c r="BU343" s="387">
        <f t="shared" si="237"/>
        <v>0</v>
      </c>
      <c r="BV343" s="387">
        <f t="shared" si="238"/>
        <v>0</v>
      </c>
      <c r="BW343" s="387">
        <f t="shared" si="239"/>
        <v>0</v>
      </c>
      <c r="BX343" s="387">
        <f t="shared" si="254"/>
        <v>0</v>
      </c>
      <c r="BY343" s="387">
        <f t="shared" si="255"/>
        <v>0</v>
      </c>
      <c r="BZ343" s="387">
        <f t="shared" si="256"/>
        <v>0</v>
      </c>
      <c r="CA343" s="387">
        <f t="shared" si="257"/>
        <v>0</v>
      </c>
      <c r="CB343" s="387">
        <f t="shared" si="258"/>
        <v>0</v>
      </c>
      <c r="CC343" s="387">
        <f t="shared" si="240"/>
        <v>0</v>
      </c>
      <c r="CD343" s="387">
        <f t="shared" si="241"/>
        <v>0</v>
      </c>
      <c r="CE343" s="387">
        <f t="shared" si="242"/>
        <v>0</v>
      </c>
      <c r="CF343" s="387">
        <f t="shared" si="243"/>
        <v>0</v>
      </c>
      <c r="CG343" s="387">
        <f t="shared" si="244"/>
        <v>0</v>
      </c>
      <c r="CH343" s="387">
        <f t="shared" si="245"/>
        <v>0</v>
      </c>
      <c r="CI343" s="387">
        <f t="shared" si="246"/>
        <v>0</v>
      </c>
      <c r="CJ343" s="387">
        <f t="shared" si="259"/>
        <v>0</v>
      </c>
      <c r="CK343" s="387" t="str">
        <f t="shared" si="260"/>
        <v/>
      </c>
      <c r="CL343" s="387" t="str">
        <f t="shared" si="261"/>
        <v/>
      </c>
      <c r="CM343" s="387" t="str">
        <f t="shared" si="262"/>
        <v/>
      </c>
      <c r="CN343" s="387" t="str">
        <f t="shared" si="263"/>
        <v>0348-31</v>
      </c>
    </row>
    <row r="344" spans="1:92" ht="15.75" thickBot="1" x14ac:dyDescent="0.3">
      <c r="A344" s="376" t="s">
        <v>161</v>
      </c>
      <c r="B344" s="376" t="s">
        <v>162</v>
      </c>
      <c r="C344" s="376" t="s">
        <v>1195</v>
      </c>
      <c r="D344" s="376" t="s">
        <v>608</v>
      </c>
      <c r="E344" s="376" t="s">
        <v>224</v>
      </c>
      <c r="F344" s="382" t="s">
        <v>225</v>
      </c>
      <c r="G344" s="376" t="s">
        <v>781</v>
      </c>
      <c r="H344" s="378"/>
      <c r="I344" s="378"/>
      <c r="J344" s="376" t="s">
        <v>215</v>
      </c>
      <c r="K344" s="376" t="s">
        <v>609</v>
      </c>
      <c r="L344" s="376" t="s">
        <v>181</v>
      </c>
      <c r="M344" s="376" t="s">
        <v>171</v>
      </c>
      <c r="N344" s="376" t="s">
        <v>877</v>
      </c>
      <c r="O344" s="379">
        <v>1</v>
      </c>
      <c r="P344" s="385">
        <v>1</v>
      </c>
      <c r="Q344" s="385">
        <v>1</v>
      </c>
      <c r="R344" s="380">
        <v>80</v>
      </c>
      <c r="S344" s="385">
        <v>1</v>
      </c>
      <c r="T344" s="380">
        <v>62396.7</v>
      </c>
      <c r="U344" s="380">
        <v>0</v>
      </c>
      <c r="V344" s="380">
        <v>23994.66</v>
      </c>
      <c r="W344" s="380">
        <v>66560</v>
      </c>
      <c r="X344" s="380">
        <v>26043.58</v>
      </c>
      <c r="Y344" s="380">
        <v>66560</v>
      </c>
      <c r="Z344" s="380">
        <v>25764.03</v>
      </c>
      <c r="AA344" s="376" t="s">
        <v>1196</v>
      </c>
      <c r="AB344" s="376" t="s">
        <v>1197</v>
      </c>
      <c r="AC344" s="376" t="s">
        <v>765</v>
      </c>
      <c r="AD344" s="376" t="s">
        <v>305</v>
      </c>
      <c r="AE344" s="376" t="s">
        <v>609</v>
      </c>
      <c r="AF344" s="376" t="s">
        <v>211</v>
      </c>
      <c r="AG344" s="376" t="s">
        <v>178</v>
      </c>
      <c r="AH344" s="379">
        <v>32</v>
      </c>
      <c r="AI344" s="379">
        <v>6576</v>
      </c>
      <c r="AJ344" s="376" t="s">
        <v>179</v>
      </c>
      <c r="AK344" s="376" t="s">
        <v>180</v>
      </c>
      <c r="AL344" s="376" t="s">
        <v>181</v>
      </c>
      <c r="AM344" s="376" t="s">
        <v>182</v>
      </c>
      <c r="AN344" s="376" t="s">
        <v>68</v>
      </c>
      <c r="AO344" s="379">
        <v>80</v>
      </c>
      <c r="AP344" s="385">
        <v>1</v>
      </c>
      <c r="AQ344" s="385">
        <v>1</v>
      </c>
      <c r="AR344" s="383" t="s">
        <v>183</v>
      </c>
      <c r="AS344" s="387">
        <f t="shared" si="247"/>
        <v>1</v>
      </c>
      <c r="AT344">
        <f t="shared" si="248"/>
        <v>1</v>
      </c>
      <c r="AU344" s="387">
        <f>IF(AT344=0,"",IF(AND(AT344=1,M344="F",SUMIF(C2:C1334,C344,AS2:AS1334)&lt;=1),SUMIF(C2:C1334,C344,AS2:AS1334),IF(AND(AT344=1,M344="F",SUMIF(C2:C1334,C344,AS2:AS1334)&gt;1),1,"")))</f>
        <v>1</v>
      </c>
      <c r="AV344" s="387" t="str">
        <f>IF(AT344=0,"",IF(AND(AT344=3,M344="F",SUMIF(C2:C1334,C344,AS2:AS1334)&lt;=1),SUMIF(C2:C1334,C344,AS2:AS1334),IF(AND(AT344=3,M344="F",SUMIF(C2:C1334,C344,AS2:AS1334)&gt;1),1,"")))</f>
        <v/>
      </c>
      <c r="AW344" s="387">
        <f>SUMIF(C2:C1334,C344,O2:O1334)</f>
        <v>1</v>
      </c>
      <c r="AX344" s="387">
        <f>IF(AND(M344="F",AS344&lt;&gt;0),SUMIF(C2:C1334,C344,W2:W1334),0)</f>
        <v>66560</v>
      </c>
      <c r="AY344" s="387">
        <f t="shared" si="249"/>
        <v>66560</v>
      </c>
      <c r="AZ344" s="387" t="str">
        <f t="shared" si="250"/>
        <v/>
      </c>
      <c r="BA344" s="387">
        <f t="shared" si="251"/>
        <v>0</v>
      </c>
      <c r="BB344" s="387">
        <f t="shared" si="220"/>
        <v>11650</v>
      </c>
      <c r="BC344" s="387">
        <f t="shared" si="221"/>
        <v>0</v>
      </c>
      <c r="BD344" s="387">
        <f t="shared" si="222"/>
        <v>4126.72</v>
      </c>
      <c r="BE344" s="387">
        <f t="shared" si="223"/>
        <v>965.12</v>
      </c>
      <c r="BF344" s="387">
        <f t="shared" si="224"/>
        <v>7947.2640000000001</v>
      </c>
      <c r="BG344" s="387">
        <f t="shared" si="225"/>
        <v>479.89760000000001</v>
      </c>
      <c r="BH344" s="387">
        <f t="shared" si="226"/>
        <v>326.14400000000001</v>
      </c>
      <c r="BI344" s="387">
        <f t="shared" si="227"/>
        <v>368.40960000000001</v>
      </c>
      <c r="BJ344" s="387">
        <f t="shared" si="228"/>
        <v>179.71200000000002</v>
      </c>
      <c r="BK344" s="387">
        <f t="shared" si="229"/>
        <v>0</v>
      </c>
      <c r="BL344" s="387">
        <f t="shared" si="252"/>
        <v>14393.2672</v>
      </c>
      <c r="BM344" s="387">
        <f t="shared" si="253"/>
        <v>0</v>
      </c>
      <c r="BN344" s="387">
        <f t="shared" si="230"/>
        <v>11650</v>
      </c>
      <c r="BO344" s="387">
        <f t="shared" si="231"/>
        <v>0</v>
      </c>
      <c r="BP344" s="387">
        <f t="shared" si="232"/>
        <v>4126.72</v>
      </c>
      <c r="BQ344" s="387">
        <f t="shared" si="233"/>
        <v>965.12</v>
      </c>
      <c r="BR344" s="387">
        <f t="shared" si="234"/>
        <v>7947.2640000000001</v>
      </c>
      <c r="BS344" s="387">
        <f t="shared" si="235"/>
        <v>479.89760000000001</v>
      </c>
      <c r="BT344" s="387">
        <f t="shared" si="236"/>
        <v>0</v>
      </c>
      <c r="BU344" s="387">
        <f t="shared" si="237"/>
        <v>368.40960000000001</v>
      </c>
      <c r="BV344" s="387">
        <f t="shared" si="238"/>
        <v>226.30399999999997</v>
      </c>
      <c r="BW344" s="387">
        <f t="shared" si="239"/>
        <v>0</v>
      </c>
      <c r="BX344" s="387">
        <f t="shared" si="254"/>
        <v>14113.715200000001</v>
      </c>
      <c r="BY344" s="387">
        <f t="shared" si="255"/>
        <v>0</v>
      </c>
      <c r="BZ344" s="387">
        <f t="shared" si="256"/>
        <v>0</v>
      </c>
      <c r="CA344" s="387">
        <f t="shared" si="257"/>
        <v>0</v>
      </c>
      <c r="CB344" s="387">
        <f t="shared" si="258"/>
        <v>0</v>
      </c>
      <c r="CC344" s="387">
        <f t="shared" si="240"/>
        <v>0</v>
      </c>
      <c r="CD344" s="387">
        <f t="shared" si="241"/>
        <v>0</v>
      </c>
      <c r="CE344" s="387">
        <f t="shared" si="242"/>
        <v>0</v>
      </c>
      <c r="CF344" s="387">
        <f t="shared" si="243"/>
        <v>-326.14400000000001</v>
      </c>
      <c r="CG344" s="387">
        <f t="shared" si="244"/>
        <v>0</v>
      </c>
      <c r="CH344" s="387">
        <f t="shared" si="245"/>
        <v>46.591999999999977</v>
      </c>
      <c r="CI344" s="387">
        <f t="shared" si="246"/>
        <v>0</v>
      </c>
      <c r="CJ344" s="387">
        <f t="shared" si="259"/>
        <v>-279.55200000000002</v>
      </c>
      <c r="CK344" s="387" t="str">
        <f t="shared" si="260"/>
        <v/>
      </c>
      <c r="CL344" s="387" t="str">
        <f t="shared" si="261"/>
        <v/>
      </c>
      <c r="CM344" s="387" t="str">
        <f t="shared" si="262"/>
        <v/>
      </c>
      <c r="CN344" s="387" t="str">
        <f t="shared" si="263"/>
        <v>0348-31</v>
      </c>
    </row>
    <row r="345" spans="1:92" ht="15.75" thickBot="1" x14ac:dyDescent="0.3">
      <c r="A345" s="376" t="s">
        <v>161</v>
      </c>
      <c r="B345" s="376" t="s">
        <v>162</v>
      </c>
      <c r="C345" s="376" t="s">
        <v>1198</v>
      </c>
      <c r="D345" s="376" t="s">
        <v>862</v>
      </c>
      <c r="E345" s="376" t="s">
        <v>224</v>
      </c>
      <c r="F345" s="382" t="s">
        <v>225</v>
      </c>
      <c r="G345" s="376" t="s">
        <v>781</v>
      </c>
      <c r="H345" s="378"/>
      <c r="I345" s="378"/>
      <c r="J345" s="376" t="s">
        <v>239</v>
      </c>
      <c r="K345" s="376" t="s">
        <v>863</v>
      </c>
      <c r="L345" s="376" t="s">
        <v>252</v>
      </c>
      <c r="M345" s="376" t="s">
        <v>171</v>
      </c>
      <c r="N345" s="376" t="s">
        <v>172</v>
      </c>
      <c r="O345" s="379">
        <v>1</v>
      </c>
      <c r="P345" s="385">
        <v>0.6</v>
      </c>
      <c r="Q345" s="385">
        <v>0.6</v>
      </c>
      <c r="R345" s="380">
        <v>80</v>
      </c>
      <c r="S345" s="385">
        <v>0.6</v>
      </c>
      <c r="T345" s="380">
        <v>26048.67</v>
      </c>
      <c r="U345" s="380">
        <v>0</v>
      </c>
      <c r="V345" s="380">
        <v>13118.32</v>
      </c>
      <c r="W345" s="380">
        <v>26657.279999999999</v>
      </c>
      <c r="X345" s="380">
        <v>12754.61</v>
      </c>
      <c r="Y345" s="380">
        <v>26657.279999999999</v>
      </c>
      <c r="Z345" s="380">
        <v>12642.65</v>
      </c>
      <c r="AA345" s="376" t="s">
        <v>1199</v>
      </c>
      <c r="AB345" s="376" t="s">
        <v>457</v>
      </c>
      <c r="AC345" s="376" t="s">
        <v>1200</v>
      </c>
      <c r="AD345" s="376" t="s">
        <v>1201</v>
      </c>
      <c r="AE345" s="376" t="s">
        <v>863</v>
      </c>
      <c r="AF345" s="376" t="s">
        <v>393</v>
      </c>
      <c r="AG345" s="376" t="s">
        <v>178</v>
      </c>
      <c r="AH345" s="381">
        <v>21.36</v>
      </c>
      <c r="AI345" s="379">
        <v>18438</v>
      </c>
      <c r="AJ345" s="376" t="s">
        <v>179</v>
      </c>
      <c r="AK345" s="376" t="s">
        <v>180</v>
      </c>
      <c r="AL345" s="376" t="s">
        <v>181</v>
      </c>
      <c r="AM345" s="376" t="s">
        <v>182</v>
      </c>
      <c r="AN345" s="376" t="s">
        <v>68</v>
      </c>
      <c r="AO345" s="379">
        <v>80</v>
      </c>
      <c r="AP345" s="385">
        <v>1</v>
      </c>
      <c r="AQ345" s="385">
        <v>0.6</v>
      </c>
      <c r="AR345" s="383" t="s">
        <v>183</v>
      </c>
      <c r="AS345" s="387">
        <f t="shared" si="247"/>
        <v>0.6</v>
      </c>
      <c r="AT345">
        <f t="shared" si="248"/>
        <v>1</v>
      </c>
      <c r="AU345" s="387">
        <f>IF(AT345=0,"",IF(AND(AT345=1,M345="F",SUMIF(C2:C1334,C345,AS2:AS1334)&lt;=1),SUMIF(C2:C1334,C345,AS2:AS1334),IF(AND(AT345=1,M345="F",SUMIF(C2:C1334,C345,AS2:AS1334)&gt;1),1,"")))</f>
        <v>1</v>
      </c>
      <c r="AV345" s="387" t="str">
        <f>IF(AT345=0,"",IF(AND(AT345=3,M345="F",SUMIF(C2:C1334,C345,AS2:AS1334)&lt;=1),SUMIF(C2:C1334,C345,AS2:AS1334),IF(AND(AT345=3,M345="F",SUMIF(C2:C1334,C345,AS2:AS1334)&gt;1),1,"")))</f>
        <v/>
      </c>
      <c r="AW345" s="387">
        <f>SUMIF(C2:C1334,C345,O2:O1334)</f>
        <v>3</v>
      </c>
      <c r="AX345" s="387">
        <f>IF(AND(M345="F",AS345&lt;&gt;0),SUMIF(C2:C1334,C345,W2:W1334),0)</f>
        <v>44428.800000000003</v>
      </c>
      <c r="AY345" s="387">
        <f t="shared" si="249"/>
        <v>26657.279999999999</v>
      </c>
      <c r="AZ345" s="387" t="str">
        <f t="shared" si="250"/>
        <v/>
      </c>
      <c r="BA345" s="387">
        <f t="shared" si="251"/>
        <v>0</v>
      </c>
      <c r="BB345" s="387">
        <f t="shared" si="220"/>
        <v>6990</v>
      </c>
      <c r="BC345" s="387">
        <f t="shared" si="221"/>
        <v>0</v>
      </c>
      <c r="BD345" s="387">
        <f t="shared" si="222"/>
        <v>1652.75136</v>
      </c>
      <c r="BE345" s="387">
        <f t="shared" si="223"/>
        <v>386.53055999999998</v>
      </c>
      <c r="BF345" s="387">
        <f t="shared" si="224"/>
        <v>3182.8792320000002</v>
      </c>
      <c r="BG345" s="387">
        <f t="shared" si="225"/>
        <v>192.1989888</v>
      </c>
      <c r="BH345" s="387">
        <f t="shared" si="226"/>
        <v>130.62067199999998</v>
      </c>
      <c r="BI345" s="387">
        <f t="shared" si="227"/>
        <v>147.54804479999999</v>
      </c>
      <c r="BJ345" s="387">
        <f t="shared" si="228"/>
        <v>71.974655999999996</v>
      </c>
      <c r="BK345" s="387">
        <f t="shared" si="229"/>
        <v>0</v>
      </c>
      <c r="BL345" s="387">
        <f t="shared" si="252"/>
        <v>5764.5035136000006</v>
      </c>
      <c r="BM345" s="387">
        <f t="shared" si="253"/>
        <v>0</v>
      </c>
      <c r="BN345" s="387">
        <f t="shared" si="230"/>
        <v>6990</v>
      </c>
      <c r="BO345" s="387">
        <f t="shared" si="231"/>
        <v>0</v>
      </c>
      <c r="BP345" s="387">
        <f t="shared" si="232"/>
        <v>1652.75136</v>
      </c>
      <c r="BQ345" s="387">
        <f t="shared" si="233"/>
        <v>386.53055999999998</v>
      </c>
      <c r="BR345" s="387">
        <f t="shared" si="234"/>
        <v>3182.8792320000002</v>
      </c>
      <c r="BS345" s="387">
        <f t="shared" si="235"/>
        <v>192.1989888</v>
      </c>
      <c r="BT345" s="387">
        <f t="shared" si="236"/>
        <v>0</v>
      </c>
      <c r="BU345" s="387">
        <f t="shared" si="237"/>
        <v>147.54804479999999</v>
      </c>
      <c r="BV345" s="387">
        <f t="shared" si="238"/>
        <v>90.634751999999992</v>
      </c>
      <c r="BW345" s="387">
        <f t="shared" si="239"/>
        <v>0</v>
      </c>
      <c r="BX345" s="387">
        <f t="shared" si="254"/>
        <v>5652.5429376000002</v>
      </c>
      <c r="BY345" s="387">
        <f t="shared" si="255"/>
        <v>0</v>
      </c>
      <c r="BZ345" s="387">
        <f t="shared" si="256"/>
        <v>0</v>
      </c>
      <c r="CA345" s="387">
        <f t="shared" si="257"/>
        <v>0</v>
      </c>
      <c r="CB345" s="387">
        <f t="shared" si="258"/>
        <v>0</v>
      </c>
      <c r="CC345" s="387">
        <f t="shared" si="240"/>
        <v>0</v>
      </c>
      <c r="CD345" s="387">
        <f t="shared" si="241"/>
        <v>0</v>
      </c>
      <c r="CE345" s="387">
        <f t="shared" si="242"/>
        <v>0</v>
      </c>
      <c r="CF345" s="387">
        <f t="shared" si="243"/>
        <v>-130.62067199999998</v>
      </c>
      <c r="CG345" s="387">
        <f t="shared" si="244"/>
        <v>0</v>
      </c>
      <c r="CH345" s="387">
        <f t="shared" si="245"/>
        <v>18.660095999999989</v>
      </c>
      <c r="CI345" s="387">
        <f t="shared" si="246"/>
        <v>0</v>
      </c>
      <c r="CJ345" s="387">
        <f t="shared" si="259"/>
        <v>-111.960576</v>
      </c>
      <c r="CK345" s="387" t="str">
        <f t="shared" si="260"/>
        <v/>
      </c>
      <c r="CL345" s="387" t="str">
        <f t="shared" si="261"/>
        <v/>
      </c>
      <c r="CM345" s="387" t="str">
        <f t="shared" si="262"/>
        <v/>
      </c>
      <c r="CN345" s="387" t="str">
        <f t="shared" si="263"/>
        <v>0348-31</v>
      </c>
    </row>
    <row r="346" spans="1:92" ht="15.75" thickBot="1" x14ac:dyDescent="0.3">
      <c r="A346" s="376" t="s">
        <v>161</v>
      </c>
      <c r="B346" s="376" t="s">
        <v>162</v>
      </c>
      <c r="C346" s="376" t="s">
        <v>1202</v>
      </c>
      <c r="D346" s="376" t="s">
        <v>270</v>
      </c>
      <c r="E346" s="376" t="s">
        <v>224</v>
      </c>
      <c r="F346" s="382" t="s">
        <v>225</v>
      </c>
      <c r="G346" s="376" t="s">
        <v>781</v>
      </c>
      <c r="H346" s="378"/>
      <c r="I346" s="378"/>
      <c r="J346" s="376" t="s">
        <v>215</v>
      </c>
      <c r="K346" s="376" t="s">
        <v>271</v>
      </c>
      <c r="L346" s="376" t="s">
        <v>217</v>
      </c>
      <c r="M346" s="376" t="s">
        <v>171</v>
      </c>
      <c r="N346" s="376" t="s">
        <v>172</v>
      </c>
      <c r="O346" s="379">
        <v>1</v>
      </c>
      <c r="P346" s="385">
        <v>0</v>
      </c>
      <c r="Q346" s="385">
        <v>0</v>
      </c>
      <c r="R346" s="380">
        <v>80</v>
      </c>
      <c r="S346" s="385">
        <v>0</v>
      </c>
      <c r="T346" s="380">
        <v>1095.8800000000001</v>
      </c>
      <c r="U346" s="380">
        <v>0</v>
      </c>
      <c r="V346" s="380">
        <v>443.74</v>
      </c>
      <c r="W346" s="380">
        <v>0</v>
      </c>
      <c r="X346" s="380">
        <v>0</v>
      </c>
      <c r="Y346" s="380">
        <v>0</v>
      </c>
      <c r="Z346" s="380">
        <v>0</v>
      </c>
      <c r="AA346" s="376" t="s">
        <v>1203</v>
      </c>
      <c r="AB346" s="376" t="s">
        <v>977</v>
      </c>
      <c r="AC346" s="376" t="s">
        <v>587</v>
      </c>
      <c r="AD346" s="376" t="s">
        <v>1204</v>
      </c>
      <c r="AE346" s="376" t="s">
        <v>271</v>
      </c>
      <c r="AF346" s="376" t="s">
        <v>221</v>
      </c>
      <c r="AG346" s="376" t="s">
        <v>178</v>
      </c>
      <c r="AH346" s="381">
        <v>15.68</v>
      </c>
      <c r="AI346" s="379">
        <v>880</v>
      </c>
      <c r="AJ346" s="376" t="s">
        <v>179</v>
      </c>
      <c r="AK346" s="376" t="s">
        <v>180</v>
      </c>
      <c r="AL346" s="376" t="s">
        <v>181</v>
      </c>
      <c r="AM346" s="376" t="s">
        <v>182</v>
      </c>
      <c r="AN346" s="376" t="s">
        <v>68</v>
      </c>
      <c r="AO346" s="379">
        <v>80</v>
      </c>
      <c r="AP346" s="385">
        <v>1</v>
      </c>
      <c r="AQ346" s="385">
        <v>0</v>
      </c>
      <c r="AR346" s="383" t="s">
        <v>183</v>
      </c>
      <c r="AS346" s="387">
        <f t="shared" si="247"/>
        <v>0</v>
      </c>
      <c r="AT346">
        <f t="shared" si="248"/>
        <v>0</v>
      </c>
      <c r="AU346" s="387" t="str">
        <f>IF(AT346=0,"",IF(AND(AT346=1,M346="F",SUMIF(C2:C1334,C346,AS2:AS1334)&lt;=1),SUMIF(C2:C1334,C346,AS2:AS1334),IF(AND(AT346=1,M346="F",SUMIF(C2:C1334,C346,AS2:AS1334)&gt;1),1,"")))</f>
        <v/>
      </c>
      <c r="AV346" s="387" t="str">
        <f>IF(AT346=0,"",IF(AND(AT346=3,M346="F",SUMIF(C2:C1334,C346,AS2:AS1334)&lt;=1),SUMIF(C2:C1334,C346,AS2:AS1334),IF(AND(AT346=3,M346="F",SUMIF(C2:C1334,C346,AS2:AS1334)&gt;1),1,"")))</f>
        <v/>
      </c>
      <c r="AW346" s="387">
        <f>SUMIF(C2:C1334,C346,O2:O1334)</f>
        <v>2</v>
      </c>
      <c r="AX346" s="387">
        <f>IF(AND(M346="F",AS346&lt;&gt;0),SUMIF(C2:C1334,C346,W2:W1334),0)</f>
        <v>0</v>
      </c>
      <c r="AY346" s="387" t="str">
        <f t="shared" si="249"/>
        <v/>
      </c>
      <c r="AZ346" s="387" t="str">
        <f t="shared" si="250"/>
        <v/>
      </c>
      <c r="BA346" s="387">
        <f t="shared" si="251"/>
        <v>0</v>
      </c>
      <c r="BB346" s="387">
        <f t="shared" si="220"/>
        <v>0</v>
      </c>
      <c r="BC346" s="387">
        <f t="shared" si="221"/>
        <v>0</v>
      </c>
      <c r="BD346" s="387">
        <f t="shared" si="222"/>
        <v>0</v>
      </c>
      <c r="BE346" s="387">
        <f t="shared" si="223"/>
        <v>0</v>
      </c>
      <c r="BF346" s="387">
        <f t="shared" si="224"/>
        <v>0</v>
      </c>
      <c r="BG346" s="387">
        <f t="shared" si="225"/>
        <v>0</v>
      </c>
      <c r="BH346" s="387">
        <f t="shared" si="226"/>
        <v>0</v>
      </c>
      <c r="BI346" s="387">
        <f t="shared" si="227"/>
        <v>0</v>
      </c>
      <c r="BJ346" s="387">
        <f t="shared" si="228"/>
        <v>0</v>
      </c>
      <c r="BK346" s="387">
        <f t="shared" si="229"/>
        <v>0</v>
      </c>
      <c r="BL346" s="387">
        <f t="shared" si="252"/>
        <v>0</v>
      </c>
      <c r="BM346" s="387">
        <f t="shared" si="253"/>
        <v>0</v>
      </c>
      <c r="BN346" s="387">
        <f t="shared" si="230"/>
        <v>0</v>
      </c>
      <c r="BO346" s="387">
        <f t="shared" si="231"/>
        <v>0</v>
      </c>
      <c r="BP346" s="387">
        <f t="shared" si="232"/>
        <v>0</v>
      </c>
      <c r="BQ346" s="387">
        <f t="shared" si="233"/>
        <v>0</v>
      </c>
      <c r="BR346" s="387">
        <f t="shared" si="234"/>
        <v>0</v>
      </c>
      <c r="BS346" s="387">
        <f t="shared" si="235"/>
        <v>0</v>
      </c>
      <c r="BT346" s="387">
        <f t="shared" si="236"/>
        <v>0</v>
      </c>
      <c r="BU346" s="387">
        <f t="shared" si="237"/>
        <v>0</v>
      </c>
      <c r="BV346" s="387">
        <f t="shared" si="238"/>
        <v>0</v>
      </c>
      <c r="BW346" s="387">
        <f t="shared" si="239"/>
        <v>0</v>
      </c>
      <c r="BX346" s="387">
        <f t="shared" si="254"/>
        <v>0</v>
      </c>
      <c r="BY346" s="387">
        <f t="shared" si="255"/>
        <v>0</v>
      </c>
      <c r="BZ346" s="387">
        <f t="shared" si="256"/>
        <v>0</v>
      </c>
      <c r="CA346" s="387">
        <f t="shared" si="257"/>
        <v>0</v>
      </c>
      <c r="CB346" s="387">
        <f t="shared" si="258"/>
        <v>0</v>
      </c>
      <c r="CC346" s="387">
        <f t="shared" si="240"/>
        <v>0</v>
      </c>
      <c r="CD346" s="387">
        <f t="shared" si="241"/>
        <v>0</v>
      </c>
      <c r="CE346" s="387">
        <f t="shared" si="242"/>
        <v>0</v>
      </c>
      <c r="CF346" s="387">
        <f t="shared" si="243"/>
        <v>0</v>
      </c>
      <c r="CG346" s="387">
        <f t="shared" si="244"/>
        <v>0</v>
      </c>
      <c r="CH346" s="387">
        <f t="shared" si="245"/>
        <v>0</v>
      </c>
      <c r="CI346" s="387">
        <f t="shared" si="246"/>
        <v>0</v>
      </c>
      <c r="CJ346" s="387">
        <f t="shared" si="259"/>
        <v>0</v>
      </c>
      <c r="CK346" s="387" t="str">
        <f t="shared" si="260"/>
        <v/>
      </c>
      <c r="CL346" s="387" t="str">
        <f t="shared" si="261"/>
        <v/>
      </c>
      <c r="CM346" s="387" t="str">
        <f t="shared" si="262"/>
        <v/>
      </c>
      <c r="CN346" s="387" t="str">
        <f t="shared" si="263"/>
        <v>0348-31</v>
      </c>
    </row>
    <row r="347" spans="1:92" ht="15.75" thickBot="1" x14ac:dyDescent="0.3">
      <c r="A347" s="376" t="s">
        <v>161</v>
      </c>
      <c r="B347" s="376" t="s">
        <v>162</v>
      </c>
      <c r="C347" s="376" t="s">
        <v>1205</v>
      </c>
      <c r="D347" s="376" t="s">
        <v>1124</v>
      </c>
      <c r="E347" s="376" t="s">
        <v>224</v>
      </c>
      <c r="F347" s="382" t="s">
        <v>225</v>
      </c>
      <c r="G347" s="376" t="s">
        <v>781</v>
      </c>
      <c r="H347" s="378"/>
      <c r="I347" s="378"/>
      <c r="J347" s="376" t="s">
        <v>239</v>
      </c>
      <c r="K347" s="376" t="s">
        <v>1125</v>
      </c>
      <c r="L347" s="376" t="s">
        <v>170</v>
      </c>
      <c r="M347" s="376" t="s">
        <v>171</v>
      </c>
      <c r="N347" s="376" t="s">
        <v>172</v>
      </c>
      <c r="O347" s="379">
        <v>1</v>
      </c>
      <c r="P347" s="385">
        <v>0.75</v>
      </c>
      <c r="Q347" s="385">
        <v>0.75</v>
      </c>
      <c r="R347" s="380">
        <v>80</v>
      </c>
      <c r="S347" s="385">
        <v>0.75</v>
      </c>
      <c r="T347" s="380">
        <v>38291.24</v>
      </c>
      <c r="U347" s="380">
        <v>0</v>
      </c>
      <c r="V347" s="380">
        <v>13732.94</v>
      </c>
      <c r="W347" s="380">
        <v>43336.800000000003</v>
      </c>
      <c r="X347" s="380">
        <v>18109.05</v>
      </c>
      <c r="Y347" s="380">
        <v>43336.800000000003</v>
      </c>
      <c r="Z347" s="380">
        <v>17927.04</v>
      </c>
      <c r="AA347" s="376" t="s">
        <v>1206</v>
      </c>
      <c r="AB347" s="376" t="s">
        <v>1188</v>
      </c>
      <c r="AC347" s="376" t="s">
        <v>1207</v>
      </c>
      <c r="AD347" s="376" t="s">
        <v>170</v>
      </c>
      <c r="AE347" s="376" t="s">
        <v>1125</v>
      </c>
      <c r="AF347" s="376" t="s">
        <v>177</v>
      </c>
      <c r="AG347" s="376" t="s">
        <v>178</v>
      </c>
      <c r="AH347" s="381">
        <v>27.78</v>
      </c>
      <c r="AI347" s="379">
        <v>40877</v>
      </c>
      <c r="AJ347" s="376" t="s">
        <v>179</v>
      </c>
      <c r="AK347" s="376" t="s">
        <v>180</v>
      </c>
      <c r="AL347" s="376" t="s">
        <v>181</v>
      </c>
      <c r="AM347" s="376" t="s">
        <v>182</v>
      </c>
      <c r="AN347" s="376" t="s">
        <v>68</v>
      </c>
      <c r="AO347" s="379">
        <v>80</v>
      </c>
      <c r="AP347" s="385">
        <v>1</v>
      </c>
      <c r="AQ347" s="385">
        <v>0.75</v>
      </c>
      <c r="AR347" s="383" t="s">
        <v>183</v>
      </c>
      <c r="AS347" s="387">
        <f t="shared" si="247"/>
        <v>0.75</v>
      </c>
      <c r="AT347">
        <f t="shared" si="248"/>
        <v>1</v>
      </c>
      <c r="AU347" s="387">
        <f>IF(AT347=0,"",IF(AND(AT347=1,M347="F",SUMIF(C2:C1334,C347,AS2:AS1334)&lt;=1),SUMIF(C2:C1334,C347,AS2:AS1334),IF(AND(AT347=1,M347="F",SUMIF(C2:C1334,C347,AS2:AS1334)&gt;1),1,"")))</f>
        <v>1</v>
      </c>
      <c r="AV347" s="387" t="str">
        <f>IF(AT347=0,"",IF(AND(AT347=3,M347="F",SUMIF(C2:C1334,C347,AS2:AS1334)&lt;=1),SUMIF(C2:C1334,C347,AS2:AS1334),IF(AND(AT347=3,M347="F",SUMIF(C2:C1334,C347,AS2:AS1334)&gt;1),1,"")))</f>
        <v/>
      </c>
      <c r="AW347" s="387">
        <f>SUMIF(C2:C1334,C347,O2:O1334)</f>
        <v>2</v>
      </c>
      <c r="AX347" s="387">
        <f>IF(AND(M347="F",AS347&lt;&gt;0),SUMIF(C2:C1334,C347,W2:W1334),0)</f>
        <v>57782.400000000001</v>
      </c>
      <c r="AY347" s="387">
        <f t="shared" si="249"/>
        <v>43336.800000000003</v>
      </c>
      <c r="AZ347" s="387" t="str">
        <f t="shared" si="250"/>
        <v/>
      </c>
      <c r="BA347" s="387">
        <f t="shared" si="251"/>
        <v>0</v>
      </c>
      <c r="BB347" s="387">
        <f t="shared" si="220"/>
        <v>8737.5</v>
      </c>
      <c r="BC347" s="387">
        <f t="shared" si="221"/>
        <v>0</v>
      </c>
      <c r="BD347" s="387">
        <f t="shared" si="222"/>
        <v>2686.8816000000002</v>
      </c>
      <c r="BE347" s="387">
        <f t="shared" si="223"/>
        <v>628.38360000000011</v>
      </c>
      <c r="BF347" s="387">
        <f t="shared" si="224"/>
        <v>5174.4139200000009</v>
      </c>
      <c r="BG347" s="387">
        <f t="shared" si="225"/>
        <v>312.45832800000005</v>
      </c>
      <c r="BH347" s="387">
        <f t="shared" si="226"/>
        <v>212.35032000000001</v>
      </c>
      <c r="BI347" s="387">
        <f t="shared" si="227"/>
        <v>239.86918800000001</v>
      </c>
      <c r="BJ347" s="387">
        <f t="shared" si="228"/>
        <v>117.00936000000002</v>
      </c>
      <c r="BK347" s="387">
        <f t="shared" si="229"/>
        <v>0</v>
      </c>
      <c r="BL347" s="387">
        <f t="shared" si="252"/>
        <v>9371.3663160000015</v>
      </c>
      <c r="BM347" s="387">
        <f t="shared" si="253"/>
        <v>0</v>
      </c>
      <c r="BN347" s="387">
        <f t="shared" si="230"/>
        <v>8737.5</v>
      </c>
      <c r="BO347" s="387">
        <f t="shared" si="231"/>
        <v>0</v>
      </c>
      <c r="BP347" s="387">
        <f t="shared" si="232"/>
        <v>2686.8816000000002</v>
      </c>
      <c r="BQ347" s="387">
        <f t="shared" si="233"/>
        <v>628.38360000000011</v>
      </c>
      <c r="BR347" s="387">
        <f t="shared" si="234"/>
        <v>5174.4139200000009</v>
      </c>
      <c r="BS347" s="387">
        <f t="shared" si="235"/>
        <v>312.45832800000005</v>
      </c>
      <c r="BT347" s="387">
        <f t="shared" si="236"/>
        <v>0</v>
      </c>
      <c r="BU347" s="387">
        <f t="shared" si="237"/>
        <v>239.86918800000001</v>
      </c>
      <c r="BV347" s="387">
        <f t="shared" si="238"/>
        <v>147.34512000000001</v>
      </c>
      <c r="BW347" s="387">
        <f t="shared" si="239"/>
        <v>0</v>
      </c>
      <c r="BX347" s="387">
        <f t="shared" si="254"/>
        <v>9189.3517560000018</v>
      </c>
      <c r="BY347" s="387">
        <f t="shared" si="255"/>
        <v>0</v>
      </c>
      <c r="BZ347" s="387">
        <f t="shared" si="256"/>
        <v>0</v>
      </c>
      <c r="CA347" s="387">
        <f t="shared" si="257"/>
        <v>0</v>
      </c>
      <c r="CB347" s="387">
        <f t="shared" si="258"/>
        <v>0</v>
      </c>
      <c r="CC347" s="387">
        <f t="shared" si="240"/>
        <v>0</v>
      </c>
      <c r="CD347" s="387">
        <f t="shared" si="241"/>
        <v>0</v>
      </c>
      <c r="CE347" s="387">
        <f t="shared" si="242"/>
        <v>0</v>
      </c>
      <c r="CF347" s="387">
        <f t="shared" si="243"/>
        <v>-212.35032000000001</v>
      </c>
      <c r="CG347" s="387">
        <f t="shared" si="244"/>
        <v>0</v>
      </c>
      <c r="CH347" s="387">
        <f t="shared" si="245"/>
        <v>30.335759999999986</v>
      </c>
      <c r="CI347" s="387">
        <f t="shared" si="246"/>
        <v>0</v>
      </c>
      <c r="CJ347" s="387">
        <f t="shared" si="259"/>
        <v>-182.01456000000002</v>
      </c>
      <c r="CK347" s="387" t="str">
        <f t="shared" si="260"/>
        <v/>
      </c>
      <c r="CL347" s="387" t="str">
        <f t="shared" si="261"/>
        <v/>
      </c>
      <c r="CM347" s="387" t="str">
        <f t="shared" si="262"/>
        <v/>
      </c>
      <c r="CN347" s="387" t="str">
        <f t="shared" si="263"/>
        <v>0348-31</v>
      </c>
    </row>
    <row r="348" spans="1:92" ht="15.75" thickBot="1" x14ac:dyDescent="0.3">
      <c r="A348" s="376" t="s">
        <v>161</v>
      </c>
      <c r="B348" s="376" t="s">
        <v>162</v>
      </c>
      <c r="C348" s="376" t="s">
        <v>1208</v>
      </c>
      <c r="D348" s="376" t="s">
        <v>862</v>
      </c>
      <c r="E348" s="376" t="s">
        <v>224</v>
      </c>
      <c r="F348" s="382" t="s">
        <v>225</v>
      </c>
      <c r="G348" s="376" t="s">
        <v>781</v>
      </c>
      <c r="H348" s="378"/>
      <c r="I348" s="378"/>
      <c r="J348" s="376" t="s">
        <v>168</v>
      </c>
      <c r="K348" s="376" t="s">
        <v>863</v>
      </c>
      <c r="L348" s="376" t="s">
        <v>252</v>
      </c>
      <c r="M348" s="376" t="s">
        <v>171</v>
      </c>
      <c r="N348" s="376" t="s">
        <v>172</v>
      </c>
      <c r="O348" s="379">
        <v>1</v>
      </c>
      <c r="P348" s="385">
        <v>0.7</v>
      </c>
      <c r="Q348" s="385">
        <v>0.7</v>
      </c>
      <c r="R348" s="380">
        <v>80</v>
      </c>
      <c r="S348" s="385">
        <v>0.7</v>
      </c>
      <c r="T348" s="380">
        <v>39062.83</v>
      </c>
      <c r="U348" s="380">
        <v>0</v>
      </c>
      <c r="V348" s="380">
        <v>16649.97</v>
      </c>
      <c r="W348" s="380">
        <v>39661.440000000002</v>
      </c>
      <c r="X348" s="380">
        <v>16731.75</v>
      </c>
      <c r="Y348" s="380">
        <v>39661.440000000002</v>
      </c>
      <c r="Z348" s="380">
        <v>16565.18</v>
      </c>
      <c r="AA348" s="376" t="s">
        <v>1209</v>
      </c>
      <c r="AB348" s="376" t="s">
        <v>1210</v>
      </c>
      <c r="AC348" s="376" t="s">
        <v>1211</v>
      </c>
      <c r="AD348" s="376" t="s">
        <v>198</v>
      </c>
      <c r="AE348" s="376" t="s">
        <v>863</v>
      </c>
      <c r="AF348" s="376" t="s">
        <v>393</v>
      </c>
      <c r="AG348" s="376" t="s">
        <v>178</v>
      </c>
      <c r="AH348" s="381">
        <v>27.24</v>
      </c>
      <c r="AI348" s="381">
        <v>63032.7</v>
      </c>
      <c r="AJ348" s="376" t="s">
        <v>179</v>
      </c>
      <c r="AK348" s="376" t="s">
        <v>180</v>
      </c>
      <c r="AL348" s="376" t="s">
        <v>181</v>
      </c>
      <c r="AM348" s="376" t="s">
        <v>182</v>
      </c>
      <c r="AN348" s="376" t="s">
        <v>68</v>
      </c>
      <c r="AO348" s="379">
        <v>80</v>
      </c>
      <c r="AP348" s="385">
        <v>1</v>
      </c>
      <c r="AQ348" s="385">
        <v>0.7</v>
      </c>
      <c r="AR348" s="383" t="s">
        <v>183</v>
      </c>
      <c r="AS348" s="387">
        <f t="shared" si="247"/>
        <v>0.7</v>
      </c>
      <c r="AT348">
        <f t="shared" si="248"/>
        <v>1</v>
      </c>
      <c r="AU348" s="387">
        <f>IF(AT348=0,"",IF(AND(AT348=1,M348="F",SUMIF(C2:C1334,C348,AS2:AS1334)&lt;=1),SUMIF(C2:C1334,C348,AS2:AS1334),IF(AND(AT348=1,M348="F",SUMIF(C2:C1334,C348,AS2:AS1334)&gt;1),1,"")))</f>
        <v>1</v>
      </c>
      <c r="AV348" s="387" t="str">
        <f>IF(AT348=0,"",IF(AND(AT348=3,M348="F",SUMIF(C2:C1334,C348,AS2:AS1334)&lt;=1),SUMIF(C2:C1334,C348,AS2:AS1334),IF(AND(AT348=3,M348="F",SUMIF(C2:C1334,C348,AS2:AS1334)&gt;1),1,"")))</f>
        <v/>
      </c>
      <c r="AW348" s="387">
        <f>SUMIF(C2:C1334,C348,O2:O1334)</f>
        <v>3</v>
      </c>
      <c r="AX348" s="387">
        <f>IF(AND(M348="F",AS348&lt;&gt;0),SUMIF(C2:C1334,C348,W2:W1334),0)</f>
        <v>56659.199999999997</v>
      </c>
      <c r="AY348" s="387">
        <f t="shared" si="249"/>
        <v>39661.440000000002</v>
      </c>
      <c r="AZ348" s="387" t="str">
        <f t="shared" si="250"/>
        <v/>
      </c>
      <c r="BA348" s="387">
        <f t="shared" si="251"/>
        <v>0</v>
      </c>
      <c r="BB348" s="387">
        <f t="shared" si="220"/>
        <v>8154.9999999999991</v>
      </c>
      <c r="BC348" s="387">
        <f t="shared" si="221"/>
        <v>0</v>
      </c>
      <c r="BD348" s="387">
        <f t="shared" si="222"/>
        <v>2459.0092800000002</v>
      </c>
      <c r="BE348" s="387">
        <f t="shared" si="223"/>
        <v>575.09088000000008</v>
      </c>
      <c r="BF348" s="387">
        <f t="shared" si="224"/>
        <v>4735.5759360000002</v>
      </c>
      <c r="BG348" s="387">
        <f t="shared" si="225"/>
        <v>285.95898240000002</v>
      </c>
      <c r="BH348" s="387">
        <f t="shared" si="226"/>
        <v>194.34105600000001</v>
      </c>
      <c r="BI348" s="387">
        <f t="shared" si="227"/>
        <v>219.52607040000001</v>
      </c>
      <c r="BJ348" s="387">
        <f t="shared" si="228"/>
        <v>107.08588800000001</v>
      </c>
      <c r="BK348" s="387">
        <f t="shared" si="229"/>
        <v>0</v>
      </c>
      <c r="BL348" s="387">
        <f t="shared" si="252"/>
        <v>8576.5880928000006</v>
      </c>
      <c r="BM348" s="387">
        <f t="shared" si="253"/>
        <v>0</v>
      </c>
      <c r="BN348" s="387">
        <f t="shared" si="230"/>
        <v>8154.9999999999991</v>
      </c>
      <c r="BO348" s="387">
        <f t="shared" si="231"/>
        <v>0</v>
      </c>
      <c r="BP348" s="387">
        <f t="shared" si="232"/>
        <v>2459.0092800000002</v>
      </c>
      <c r="BQ348" s="387">
        <f t="shared" si="233"/>
        <v>575.09088000000008</v>
      </c>
      <c r="BR348" s="387">
        <f t="shared" si="234"/>
        <v>4735.5759360000002</v>
      </c>
      <c r="BS348" s="387">
        <f t="shared" si="235"/>
        <v>285.95898240000002</v>
      </c>
      <c r="BT348" s="387">
        <f t="shared" si="236"/>
        <v>0</v>
      </c>
      <c r="BU348" s="387">
        <f t="shared" si="237"/>
        <v>219.52607040000001</v>
      </c>
      <c r="BV348" s="387">
        <f t="shared" si="238"/>
        <v>134.848896</v>
      </c>
      <c r="BW348" s="387">
        <f t="shared" si="239"/>
        <v>0</v>
      </c>
      <c r="BX348" s="387">
        <f t="shared" si="254"/>
        <v>8410.0100448000012</v>
      </c>
      <c r="BY348" s="387">
        <f t="shared" si="255"/>
        <v>0</v>
      </c>
      <c r="BZ348" s="387">
        <f t="shared" si="256"/>
        <v>0</v>
      </c>
      <c r="CA348" s="387">
        <f t="shared" si="257"/>
        <v>0</v>
      </c>
      <c r="CB348" s="387">
        <f t="shared" si="258"/>
        <v>0</v>
      </c>
      <c r="CC348" s="387">
        <f t="shared" si="240"/>
        <v>0</v>
      </c>
      <c r="CD348" s="387">
        <f t="shared" si="241"/>
        <v>0</v>
      </c>
      <c r="CE348" s="387">
        <f t="shared" si="242"/>
        <v>0</v>
      </c>
      <c r="CF348" s="387">
        <f t="shared" si="243"/>
        <v>-194.34105600000001</v>
      </c>
      <c r="CG348" s="387">
        <f t="shared" si="244"/>
        <v>0</v>
      </c>
      <c r="CH348" s="387">
        <f t="shared" si="245"/>
        <v>27.763007999999989</v>
      </c>
      <c r="CI348" s="387">
        <f t="shared" si="246"/>
        <v>0</v>
      </c>
      <c r="CJ348" s="387">
        <f t="shared" si="259"/>
        <v>-166.57804800000002</v>
      </c>
      <c r="CK348" s="387" t="str">
        <f t="shared" si="260"/>
        <v/>
      </c>
      <c r="CL348" s="387" t="str">
        <f t="shared" si="261"/>
        <v/>
      </c>
      <c r="CM348" s="387" t="str">
        <f t="shared" si="262"/>
        <v/>
      </c>
      <c r="CN348" s="387" t="str">
        <f t="shared" si="263"/>
        <v>0348-31</v>
      </c>
    </row>
    <row r="349" spans="1:92" ht="15.75" thickBot="1" x14ac:dyDescent="0.3">
      <c r="A349" s="376" t="s">
        <v>161</v>
      </c>
      <c r="B349" s="376" t="s">
        <v>162</v>
      </c>
      <c r="C349" s="376" t="s">
        <v>1212</v>
      </c>
      <c r="D349" s="376" t="s">
        <v>1088</v>
      </c>
      <c r="E349" s="376" t="s">
        <v>224</v>
      </c>
      <c r="F349" s="382" t="s">
        <v>225</v>
      </c>
      <c r="G349" s="376" t="s">
        <v>781</v>
      </c>
      <c r="H349" s="378"/>
      <c r="I349" s="378"/>
      <c r="J349" s="376" t="s">
        <v>215</v>
      </c>
      <c r="K349" s="376" t="s">
        <v>1089</v>
      </c>
      <c r="L349" s="376" t="s">
        <v>181</v>
      </c>
      <c r="M349" s="376" t="s">
        <v>171</v>
      </c>
      <c r="N349" s="376" t="s">
        <v>172</v>
      </c>
      <c r="O349" s="379">
        <v>1</v>
      </c>
      <c r="P349" s="385">
        <v>0</v>
      </c>
      <c r="Q349" s="385">
        <v>0</v>
      </c>
      <c r="R349" s="380">
        <v>80</v>
      </c>
      <c r="S349" s="385">
        <v>0</v>
      </c>
      <c r="T349" s="380">
        <v>76726.34</v>
      </c>
      <c r="U349" s="380">
        <v>0</v>
      </c>
      <c r="V349" s="380">
        <v>27708.01</v>
      </c>
      <c r="W349" s="380">
        <v>0</v>
      </c>
      <c r="X349" s="380">
        <v>0</v>
      </c>
      <c r="Y349" s="380">
        <v>0</v>
      </c>
      <c r="Z349" s="380">
        <v>0</v>
      </c>
      <c r="AA349" s="376" t="s">
        <v>1213</v>
      </c>
      <c r="AB349" s="376" t="s">
        <v>1214</v>
      </c>
      <c r="AC349" s="376" t="s">
        <v>1037</v>
      </c>
      <c r="AD349" s="376" t="s">
        <v>686</v>
      </c>
      <c r="AE349" s="376" t="s">
        <v>1089</v>
      </c>
      <c r="AF349" s="376" t="s">
        <v>211</v>
      </c>
      <c r="AG349" s="376" t="s">
        <v>178</v>
      </c>
      <c r="AH349" s="381">
        <v>38.25</v>
      </c>
      <c r="AI349" s="381">
        <v>63043.199999999997</v>
      </c>
      <c r="AJ349" s="376" t="s">
        <v>179</v>
      </c>
      <c r="AK349" s="376" t="s">
        <v>180</v>
      </c>
      <c r="AL349" s="376" t="s">
        <v>181</v>
      </c>
      <c r="AM349" s="376" t="s">
        <v>182</v>
      </c>
      <c r="AN349" s="376" t="s">
        <v>68</v>
      </c>
      <c r="AO349" s="379">
        <v>80</v>
      </c>
      <c r="AP349" s="385">
        <v>1</v>
      </c>
      <c r="AQ349" s="385">
        <v>0</v>
      </c>
      <c r="AR349" s="383" t="s">
        <v>183</v>
      </c>
      <c r="AS349" s="387">
        <f t="shared" si="247"/>
        <v>0</v>
      </c>
      <c r="AT349">
        <f t="shared" si="248"/>
        <v>0</v>
      </c>
      <c r="AU349" s="387" t="str">
        <f>IF(AT349=0,"",IF(AND(AT349=1,M349="F",SUMIF(C2:C1334,C349,AS2:AS1334)&lt;=1),SUMIF(C2:C1334,C349,AS2:AS1334),IF(AND(AT349=1,M349="F",SUMIF(C2:C1334,C349,AS2:AS1334)&gt;1),1,"")))</f>
        <v/>
      </c>
      <c r="AV349" s="387" t="str">
        <f>IF(AT349=0,"",IF(AND(AT349=3,M349="F",SUMIF(C2:C1334,C349,AS2:AS1334)&lt;=1),SUMIF(C2:C1334,C349,AS2:AS1334),IF(AND(AT349=3,M349="F",SUMIF(C2:C1334,C349,AS2:AS1334)&gt;1),1,"")))</f>
        <v/>
      </c>
      <c r="AW349" s="387">
        <f>SUMIF(C2:C1334,C349,O2:O1334)</f>
        <v>2</v>
      </c>
      <c r="AX349" s="387">
        <f>IF(AND(M349="F",AS349&lt;&gt;0),SUMIF(C2:C1334,C349,W2:W1334),0)</f>
        <v>0</v>
      </c>
      <c r="AY349" s="387" t="str">
        <f t="shared" si="249"/>
        <v/>
      </c>
      <c r="AZ349" s="387" t="str">
        <f t="shared" si="250"/>
        <v/>
      </c>
      <c r="BA349" s="387">
        <f t="shared" si="251"/>
        <v>0</v>
      </c>
      <c r="BB349" s="387">
        <f t="shared" si="220"/>
        <v>0</v>
      </c>
      <c r="BC349" s="387">
        <f t="shared" si="221"/>
        <v>0</v>
      </c>
      <c r="BD349" s="387">
        <f t="shared" si="222"/>
        <v>0</v>
      </c>
      <c r="BE349" s="387">
        <f t="shared" si="223"/>
        <v>0</v>
      </c>
      <c r="BF349" s="387">
        <f t="shared" si="224"/>
        <v>0</v>
      </c>
      <c r="BG349" s="387">
        <f t="shared" si="225"/>
        <v>0</v>
      </c>
      <c r="BH349" s="387">
        <f t="shared" si="226"/>
        <v>0</v>
      </c>
      <c r="BI349" s="387">
        <f t="shared" si="227"/>
        <v>0</v>
      </c>
      <c r="BJ349" s="387">
        <f t="shared" si="228"/>
        <v>0</v>
      </c>
      <c r="BK349" s="387">
        <f t="shared" si="229"/>
        <v>0</v>
      </c>
      <c r="BL349" s="387">
        <f t="shared" si="252"/>
        <v>0</v>
      </c>
      <c r="BM349" s="387">
        <f t="shared" si="253"/>
        <v>0</v>
      </c>
      <c r="BN349" s="387">
        <f t="shared" si="230"/>
        <v>0</v>
      </c>
      <c r="BO349" s="387">
        <f t="shared" si="231"/>
        <v>0</v>
      </c>
      <c r="BP349" s="387">
        <f t="shared" si="232"/>
        <v>0</v>
      </c>
      <c r="BQ349" s="387">
        <f t="shared" si="233"/>
        <v>0</v>
      </c>
      <c r="BR349" s="387">
        <f t="shared" si="234"/>
        <v>0</v>
      </c>
      <c r="BS349" s="387">
        <f t="shared" si="235"/>
        <v>0</v>
      </c>
      <c r="BT349" s="387">
        <f t="shared" si="236"/>
        <v>0</v>
      </c>
      <c r="BU349" s="387">
        <f t="shared" si="237"/>
        <v>0</v>
      </c>
      <c r="BV349" s="387">
        <f t="shared" si="238"/>
        <v>0</v>
      </c>
      <c r="BW349" s="387">
        <f t="shared" si="239"/>
        <v>0</v>
      </c>
      <c r="BX349" s="387">
        <f t="shared" si="254"/>
        <v>0</v>
      </c>
      <c r="BY349" s="387">
        <f t="shared" si="255"/>
        <v>0</v>
      </c>
      <c r="BZ349" s="387">
        <f t="shared" si="256"/>
        <v>0</v>
      </c>
      <c r="CA349" s="387">
        <f t="shared" si="257"/>
        <v>0</v>
      </c>
      <c r="CB349" s="387">
        <f t="shared" si="258"/>
        <v>0</v>
      </c>
      <c r="CC349" s="387">
        <f t="shared" si="240"/>
        <v>0</v>
      </c>
      <c r="CD349" s="387">
        <f t="shared" si="241"/>
        <v>0</v>
      </c>
      <c r="CE349" s="387">
        <f t="shared" si="242"/>
        <v>0</v>
      </c>
      <c r="CF349" s="387">
        <f t="shared" si="243"/>
        <v>0</v>
      </c>
      <c r="CG349" s="387">
        <f t="shared" si="244"/>
        <v>0</v>
      </c>
      <c r="CH349" s="387">
        <f t="shared" si="245"/>
        <v>0</v>
      </c>
      <c r="CI349" s="387">
        <f t="shared" si="246"/>
        <v>0</v>
      </c>
      <c r="CJ349" s="387">
        <f t="shared" si="259"/>
        <v>0</v>
      </c>
      <c r="CK349" s="387" t="str">
        <f t="shared" si="260"/>
        <v/>
      </c>
      <c r="CL349" s="387" t="str">
        <f t="shared" si="261"/>
        <v/>
      </c>
      <c r="CM349" s="387" t="str">
        <f t="shared" si="262"/>
        <v/>
      </c>
      <c r="CN349" s="387" t="str">
        <f t="shared" si="263"/>
        <v>0348-31</v>
      </c>
    </row>
    <row r="350" spans="1:92" ht="15.75" thickBot="1" x14ac:dyDescent="0.3">
      <c r="A350" s="376" t="s">
        <v>161</v>
      </c>
      <c r="B350" s="376" t="s">
        <v>162</v>
      </c>
      <c r="C350" s="376" t="s">
        <v>1215</v>
      </c>
      <c r="D350" s="376" t="s">
        <v>1216</v>
      </c>
      <c r="E350" s="376" t="s">
        <v>224</v>
      </c>
      <c r="F350" s="382" t="s">
        <v>225</v>
      </c>
      <c r="G350" s="376" t="s">
        <v>781</v>
      </c>
      <c r="H350" s="378"/>
      <c r="I350" s="378"/>
      <c r="J350" s="376" t="s">
        <v>215</v>
      </c>
      <c r="K350" s="376" t="s">
        <v>1217</v>
      </c>
      <c r="L350" s="376" t="s">
        <v>217</v>
      </c>
      <c r="M350" s="376" t="s">
        <v>272</v>
      </c>
      <c r="N350" s="376" t="s">
        <v>877</v>
      </c>
      <c r="O350" s="379">
        <v>0</v>
      </c>
      <c r="P350" s="385">
        <v>1</v>
      </c>
      <c r="Q350" s="385">
        <v>1</v>
      </c>
      <c r="R350" s="380">
        <v>80</v>
      </c>
      <c r="S350" s="385">
        <v>1</v>
      </c>
      <c r="T350" s="380">
        <v>0</v>
      </c>
      <c r="U350" s="380">
        <v>0</v>
      </c>
      <c r="V350" s="380">
        <v>0</v>
      </c>
      <c r="W350" s="380">
        <v>37502.400000000001</v>
      </c>
      <c r="X350" s="380">
        <v>16426.05</v>
      </c>
      <c r="Y350" s="380">
        <v>37502.400000000001</v>
      </c>
      <c r="Z350" s="380">
        <v>16238.53</v>
      </c>
      <c r="AA350" s="378"/>
      <c r="AB350" s="376" t="s">
        <v>45</v>
      </c>
      <c r="AC350" s="376" t="s">
        <v>45</v>
      </c>
      <c r="AD350" s="378"/>
      <c r="AE350" s="378"/>
      <c r="AF350" s="378"/>
      <c r="AG350" s="378"/>
      <c r="AH350" s="379">
        <v>0</v>
      </c>
      <c r="AI350" s="379">
        <v>0</v>
      </c>
      <c r="AJ350" s="378"/>
      <c r="AK350" s="378"/>
      <c r="AL350" s="376" t="s">
        <v>181</v>
      </c>
      <c r="AM350" s="378"/>
      <c r="AN350" s="378"/>
      <c r="AO350" s="379">
        <v>0</v>
      </c>
      <c r="AP350" s="385">
        <v>0</v>
      </c>
      <c r="AQ350" s="385">
        <v>0</v>
      </c>
      <c r="AR350" s="384"/>
      <c r="AS350" s="387">
        <f t="shared" si="247"/>
        <v>0</v>
      </c>
      <c r="AT350">
        <f t="shared" si="248"/>
        <v>0</v>
      </c>
      <c r="AU350" s="387" t="str">
        <f>IF(AT350=0,"",IF(AND(AT350=1,M350="F",SUMIF(C2:C1334,C350,AS2:AS1334)&lt;=1),SUMIF(C2:C1334,C350,AS2:AS1334),IF(AND(AT350=1,M350="F",SUMIF(C2:C1334,C350,AS2:AS1334)&gt;1),1,"")))</f>
        <v/>
      </c>
      <c r="AV350" s="387" t="str">
        <f>IF(AT350=0,"",IF(AND(AT350=3,M350="F",SUMIF(C2:C1334,C350,AS2:AS1334)&lt;=1),SUMIF(C2:C1334,C350,AS2:AS1334),IF(AND(AT350=3,M350="F",SUMIF(C2:C1334,C350,AS2:AS1334)&gt;1),1,"")))</f>
        <v/>
      </c>
      <c r="AW350" s="387">
        <f>SUMIF(C2:C1334,C350,O2:O1334)</f>
        <v>0</v>
      </c>
      <c r="AX350" s="387">
        <f>IF(AND(M350="F",AS350&lt;&gt;0),SUMIF(C2:C1334,C350,W2:W1334),0)</f>
        <v>0</v>
      </c>
      <c r="AY350" s="387" t="str">
        <f t="shared" si="249"/>
        <v/>
      </c>
      <c r="AZ350" s="387" t="str">
        <f t="shared" si="250"/>
        <v/>
      </c>
      <c r="BA350" s="387">
        <f t="shared" si="251"/>
        <v>0</v>
      </c>
      <c r="BB350" s="387">
        <f t="shared" si="220"/>
        <v>0</v>
      </c>
      <c r="BC350" s="387">
        <f t="shared" si="221"/>
        <v>0</v>
      </c>
      <c r="BD350" s="387">
        <f t="shared" si="222"/>
        <v>0</v>
      </c>
      <c r="BE350" s="387">
        <f t="shared" si="223"/>
        <v>0</v>
      </c>
      <c r="BF350" s="387">
        <f t="shared" si="224"/>
        <v>0</v>
      </c>
      <c r="BG350" s="387">
        <f t="shared" si="225"/>
        <v>0</v>
      </c>
      <c r="BH350" s="387">
        <f t="shared" si="226"/>
        <v>0</v>
      </c>
      <c r="BI350" s="387">
        <f t="shared" si="227"/>
        <v>0</v>
      </c>
      <c r="BJ350" s="387">
        <f t="shared" si="228"/>
        <v>0</v>
      </c>
      <c r="BK350" s="387">
        <f t="shared" si="229"/>
        <v>0</v>
      </c>
      <c r="BL350" s="387">
        <f t="shared" si="252"/>
        <v>0</v>
      </c>
      <c r="BM350" s="387">
        <f t="shared" si="253"/>
        <v>0</v>
      </c>
      <c r="BN350" s="387">
        <f t="shared" si="230"/>
        <v>0</v>
      </c>
      <c r="BO350" s="387">
        <f t="shared" si="231"/>
        <v>0</v>
      </c>
      <c r="BP350" s="387">
        <f t="shared" si="232"/>
        <v>0</v>
      </c>
      <c r="BQ350" s="387">
        <f t="shared" si="233"/>
        <v>0</v>
      </c>
      <c r="BR350" s="387">
        <f t="shared" si="234"/>
        <v>0</v>
      </c>
      <c r="BS350" s="387">
        <f t="shared" si="235"/>
        <v>0</v>
      </c>
      <c r="BT350" s="387">
        <f t="shared" si="236"/>
        <v>0</v>
      </c>
      <c r="BU350" s="387">
        <f t="shared" si="237"/>
        <v>0</v>
      </c>
      <c r="BV350" s="387">
        <f t="shared" si="238"/>
        <v>0</v>
      </c>
      <c r="BW350" s="387">
        <f t="shared" si="239"/>
        <v>0</v>
      </c>
      <c r="BX350" s="387">
        <f t="shared" si="254"/>
        <v>0</v>
      </c>
      <c r="BY350" s="387">
        <f t="shared" si="255"/>
        <v>0</v>
      </c>
      <c r="BZ350" s="387">
        <f t="shared" si="256"/>
        <v>0</v>
      </c>
      <c r="CA350" s="387">
        <f t="shared" si="257"/>
        <v>0</v>
      </c>
      <c r="CB350" s="387">
        <f t="shared" si="258"/>
        <v>0</v>
      </c>
      <c r="CC350" s="387">
        <f t="shared" si="240"/>
        <v>0</v>
      </c>
      <c r="CD350" s="387">
        <f t="shared" si="241"/>
        <v>0</v>
      </c>
      <c r="CE350" s="387">
        <f t="shared" si="242"/>
        <v>0</v>
      </c>
      <c r="CF350" s="387">
        <f t="shared" si="243"/>
        <v>0</v>
      </c>
      <c r="CG350" s="387">
        <f t="shared" si="244"/>
        <v>0</v>
      </c>
      <c r="CH350" s="387">
        <f t="shared" si="245"/>
        <v>0</v>
      </c>
      <c r="CI350" s="387">
        <f t="shared" si="246"/>
        <v>0</v>
      </c>
      <c r="CJ350" s="387">
        <f t="shared" si="259"/>
        <v>0</v>
      </c>
      <c r="CK350" s="387" t="str">
        <f t="shared" si="260"/>
        <v/>
      </c>
      <c r="CL350" s="387" t="str">
        <f t="shared" si="261"/>
        <v/>
      </c>
      <c r="CM350" s="387" t="str">
        <f t="shared" si="262"/>
        <v/>
      </c>
      <c r="CN350" s="387" t="str">
        <f t="shared" si="263"/>
        <v>0348-31</v>
      </c>
    </row>
    <row r="351" spans="1:92" ht="15.75" thickBot="1" x14ac:dyDescent="0.3">
      <c r="A351" s="376" t="s">
        <v>161</v>
      </c>
      <c r="B351" s="376" t="s">
        <v>162</v>
      </c>
      <c r="C351" s="376" t="s">
        <v>1218</v>
      </c>
      <c r="D351" s="376" t="s">
        <v>270</v>
      </c>
      <c r="E351" s="376" t="s">
        <v>224</v>
      </c>
      <c r="F351" s="382" t="s">
        <v>225</v>
      </c>
      <c r="G351" s="376" t="s">
        <v>781</v>
      </c>
      <c r="H351" s="378"/>
      <c r="I351" s="378"/>
      <c r="J351" s="376" t="s">
        <v>215</v>
      </c>
      <c r="K351" s="376" t="s">
        <v>271</v>
      </c>
      <c r="L351" s="376" t="s">
        <v>217</v>
      </c>
      <c r="M351" s="376" t="s">
        <v>171</v>
      </c>
      <c r="N351" s="376" t="s">
        <v>172</v>
      </c>
      <c r="O351" s="379">
        <v>1</v>
      </c>
      <c r="P351" s="385">
        <v>0</v>
      </c>
      <c r="Q351" s="385">
        <v>0</v>
      </c>
      <c r="R351" s="380">
        <v>80</v>
      </c>
      <c r="S351" s="385">
        <v>0</v>
      </c>
      <c r="T351" s="380">
        <v>192.13</v>
      </c>
      <c r="U351" s="380">
        <v>0</v>
      </c>
      <c r="V351" s="380">
        <v>-841.31</v>
      </c>
      <c r="W351" s="380">
        <v>0</v>
      </c>
      <c r="X351" s="380">
        <v>0</v>
      </c>
      <c r="Y351" s="380">
        <v>0</v>
      </c>
      <c r="Z351" s="380">
        <v>0</v>
      </c>
      <c r="AA351" s="376" t="s">
        <v>1219</v>
      </c>
      <c r="AB351" s="376" t="s">
        <v>1220</v>
      </c>
      <c r="AC351" s="376" t="s">
        <v>1221</v>
      </c>
      <c r="AD351" s="376" t="s">
        <v>324</v>
      </c>
      <c r="AE351" s="376" t="s">
        <v>271</v>
      </c>
      <c r="AF351" s="376" t="s">
        <v>221</v>
      </c>
      <c r="AG351" s="376" t="s">
        <v>178</v>
      </c>
      <c r="AH351" s="381">
        <v>15.68</v>
      </c>
      <c r="AI351" s="381">
        <v>1030.5</v>
      </c>
      <c r="AJ351" s="376" t="s">
        <v>179</v>
      </c>
      <c r="AK351" s="376" t="s">
        <v>180</v>
      </c>
      <c r="AL351" s="376" t="s">
        <v>181</v>
      </c>
      <c r="AM351" s="376" t="s">
        <v>182</v>
      </c>
      <c r="AN351" s="376" t="s">
        <v>68</v>
      </c>
      <c r="AO351" s="379">
        <v>80</v>
      </c>
      <c r="AP351" s="385">
        <v>1</v>
      </c>
      <c r="AQ351" s="385">
        <v>0</v>
      </c>
      <c r="AR351" s="383" t="s">
        <v>183</v>
      </c>
      <c r="AS351" s="387">
        <f t="shared" si="247"/>
        <v>0</v>
      </c>
      <c r="AT351">
        <f t="shared" si="248"/>
        <v>0</v>
      </c>
      <c r="AU351" s="387" t="str">
        <f>IF(AT351=0,"",IF(AND(AT351=1,M351="F",SUMIF(C2:C1334,C351,AS2:AS1334)&lt;=1),SUMIF(C2:C1334,C351,AS2:AS1334),IF(AND(AT351=1,M351="F",SUMIF(C2:C1334,C351,AS2:AS1334)&gt;1),1,"")))</f>
        <v/>
      </c>
      <c r="AV351" s="387" t="str">
        <f>IF(AT351=0,"",IF(AND(AT351=3,M351="F",SUMIF(C2:C1334,C351,AS2:AS1334)&lt;=1),SUMIF(C2:C1334,C351,AS2:AS1334),IF(AND(AT351=3,M351="F",SUMIF(C2:C1334,C351,AS2:AS1334)&gt;1),1,"")))</f>
        <v/>
      </c>
      <c r="AW351" s="387">
        <f>SUMIF(C2:C1334,C351,O2:O1334)</f>
        <v>2</v>
      </c>
      <c r="AX351" s="387">
        <f>IF(AND(M351="F",AS351&lt;&gt;0),SUMIF(C2:C1334,C351,W2:W1334),0)</f>
        <v>0</v>
      </c>
      <c r="AY351" s="387" t="str">
        <f t="shared" si="249"/>
        <v/>
      </c>
      <c r="AZ351" s="387" t="str">
        <f t="shared" si="250"/>
        <v/>
      </c>
      <c r="BA351" s="387">
        <f t="shared" si="251"/>
        <v>0</v>
      </c>
      <c r="BB351" s="387">
        <f t="shared" si="220"/>
        <v>0</v>
      </c>
      <c r="BC351" s="387">
        <f t="shared" si="221"/>
        <v>0</v>
      </c>
      <c r="BD351" s="387">
        <f t="shared" si="222"/>
        <v>0</v>
      </c>
      <c r="BE351" s="387">
        <f t="shared" si="223"/>
        <v>0</v>
      </c>
      <c r="BF351" s="387">
        <f t="shared" si="224"/>
        <v>0</v>
      </c>
      <c r="BG351" s="387">
        <f t="shared" si="225"/>
        <v>0</v>
      </c>
      <c r="BH351" s="387">
        <f t="shared" si="226"/>
        <v>0</v>
      </c>
      <c r="BI351" s="387">
        <f t="shared" si="227"/>
        <v>0</v>
      </c>
      <c r="BJ351" s="387">
        <f t="shared" si="228"/>
        <v>0</v>
      </c>
      <c r="BK351" s="387">
        <f t="shared" si="229"/>
        <v>0</v>
      </c>
      <c r="BL351" s="387">
        <f t="shared" si="252"/>
        <v>0</v>
      </c>
      <c r="BM351" s="387">
        <f t="shared" si="253"/>
        <v>0</v>
      </c>
      <c r="BN351" s="387">
        <f t="shared" si="230"/>
        <v>0</v>
      </c>
      <c r="BO351" s="387">
        <f t="shared" si="231"/>
        <v>0</v>
      </c>
      <c r="BP351" s="387">
        <f t="shared" si="232"/>
        <v>0</v>
      </c>
      <c r="BQ351" s="387">
        <f t="shared" si="233"/>
        <v>0</v>
      </c>
      <c r="BR351" s="387">
        <f t="shared" si="234"/>
        <v>0</v>
      </c>
      <c r="BS351" s="387">
        <f t="shared" si="235"/>
        <v>0</v>
      </c>
      <c r="BT351" s="387">
        <f t="shared" si="236"/>
        <v>0</v>
      </c>
      <c r="BU351" s="387">
        <f t="shared" si="237"/>
        <v>0</v>
      </c>
      <c r="BV351" s="387">
        <f t="shared" si="238"/>
        <v>0</v>
      </c>
      <c r="BW351" s="387">
        <f t="shared" si="239"/>
        <v>0</v>
      </c>
      <c r="BX351" s="387">
        <f t="shared" si="254"/>
        <v>0</v>
      </c>
      <c r="BY351" s="387">
        <f t="shared" si="255"/>
        <v>0</v>
      </c>
      <c r="BZ351" s="387">
        <f t="shared" si="256"/>
        <v>0</v>
      </c>
      <c r="CA351" s="387">
        <f t="shared" si="257"/>
        <v>0</v>
      </c>
      <c r="CB351" s="387">
        <f t="shared" si="258"/>
        <v>0</v>
      </c>
      <c r="CC351" s="387">
        <f t="shared" si="240"/>
        <v>0</v>
      </c>
      <c r="CD351" s="387">
        <f t="shared" si="241"/>
        <v>0</v>
      </c>
      <c r="CE351" s="387">
        <f t="shared" si="242"/>
        <v>0</v>
      </c>
      <c r="CF351" s="387">
        <f t="shared" si="243"/>
        <v>0</v>
      </c>
      <c r="CG351" s="387">
        <f t="shared" si="244"/>
        <v>0</v>
      </c>
      <c r="CH351" s="387">
        <f t="shared" si="245"/>
        <v>0</v>
      </c>
      <c r="CI351" s="387">
        <f t="shared" si="246"/>
        <v>0</v>
      </c>
      <c r="CJ351" s="387">
        <f t="shared" si="259"/>
        <v>0</v>
      </c>
      <c r="CK351" s="387" t="str">
        <f t="shared" si="260"/>
        <v/>
      </c>
      <c r="CL351" s="387" t="str">
        <f t="shared" si="261"/>
        <v/>
      </c>
      <c r="CM351" s="387" t="str">
        <f t="shared" si="262"/>
        <v/>
      </c>
      <c r="CN351" s="387" t="str">
        <f t="shared" si="263"/>
        <v>0348-31</v>
      </c>
    </row>
    <row r="352" spans="1:92" ht="15.75" thickBot="1" x14ac:dyDescent="0.3">
      <c r="A352" s="376" t="s">
        <v>161</v>
      </c>
      <c r="B352" s="376" t="s">
        <v>162</v>
      </c>
      <c r="C352" s="376" t="s">
        <v>1222</v>
      </c>
      <c r="D352" s="376" t="s">
        <v>868</v>
      </c>
      <c r="E352" s="376" t="s">
        <v>224</v>
      </c>
      <c r="F352" s="382" t="s">
        <v>225</v>
      </c>
      <c r="G352" s="376" t="s">
        <v>781</v>
      </c>
      <c r="H352" s="378"/>
      <c r="I352" s="378"/>
      <c r="J352" s="376" t="s">
        <v>215</v>
      </c>
      <c r="K352" s="376" t="s">
        <v>894</v>
      </c>
      <c r="L352" s="376" t="s">
        <v>170</v>
      </c>
      <c r="M352" s="376" t="s">
        <v>171</v>
      </c>
      <c r="N352" s="376" t="s">
        <v>172</v>
      </c>
      <c r="O352" s="379">
        <v>1</v>
      </c>
      <c r="P352" s="385">
        <v>0</v>
      </c>
      <c r="Q352" s="385">
        <v>0</v>
      </c>
      <c r="R352" s="380">
        <v>80</v>
      </c>
      <c r="S352" s="385">
        <v>0</v>
      </c>
      <c r="T352" s="380">
        <v>52026.87</v>
      </c>
      <c r="U352" s="380">
        <v>0</v>
      </c>
      <c r="V352" s="380">
        <v>22365.05</v>
      </c>
      <c r="W352" s="380">
        <v>0</v>
      </c>
      <c r="X352" s="380">
        <v>0</v>
      </c>
      <c r="Y352" s="380">
        <v>0</v>
      </c>
      <c r="Z352" s="380">
        <v>0</v>
      </c>
      <c r="AA352" s="376" t="s">
        <v>1223</v>
      </c>
      <c r="AB352" s="376" t="s">
        <v>1224</v>
      </c>
      <c r="AC352" s="376" t="s">
        <v>458</v>
      </c>
      <c r="AD352" s="376" t="s">
        <v>1225</v>
      </c>
      <c r="AE352" s="376" t="s">
        <v>894</v>
      </c>
      <c r="AF352" s="376" t="s">
        <v>177</v>
      </c>
      <c r="AG352" s="376" t="s">
        <v>178</v>
      </c>
      <c r="AH352" s="381">
        <v>29.84</v>
      </c>
      <c r="AI352" s="381">
        <v>24738.799999999999</v>
      </c>
      <c r="AJ352" s="376" t="s">
        <v>179</v>
      </c>
      <c r="AK352" s="376" t="s">
        <v>180</v>
      </c>
      <c r="AL352" s="376" t="s">
        <v>181</v>
      </c>
      <c r="AM352" s="376" t="s">
        <v>182</v>
      </c>
      <c r="AN352" s="376" t="s">
        <v>68</v>
      </c>
      <c r="AO352" s="379">
        <v>80</v>
      </c>
      <c r="AP352" s="385">
        <v>1</v>
      </c>
      <c r="AQ352" s="385">
        <v>0</v>
      </c>
      <c r="AR352" s="383" t="s">
        <v>183</v>
      </c>
      <c r="AS352" s="387">
        <f t="shared" si="247"/>
        <v>0</v>
      </c>
      <c r="AT352">
        <f t="shared" si="248"/>
        <v>0</v>
      </c>
      <c r="AU352" s="387" t="str">
        <f>IF(AT352=0,"",IF(AND(AT352=1,M352="F",SUMIF(C2:C1334,C352,AS2:AS1334)&lt;=1),SUMIF(C2:C1334,C352,AS2:AS1334),IF(AND(AT352=1,M352="F",SUMIF(C2:C1334,C352,AS2:AS1334)&gt;1),1,"")))</f>
        <v/>
      </c>
      <c r="AV352" s="387" t="str">
        <f>IF(AT352=0,"",IF(AND(AT352=3,M352="F",SUMIF(C2:C1334,C352,AS2:AS1334)&lt;=1),SUMIF(C2:C1334,C352,AS2:AS1334),IF(AND(AT352=3,M352="F",SUMIF(C2:C1334,C352,AS2:AS1334)&gt;1),1,"")))</f>
        <v/>
      </c>
      <c r="AW352" s="387">
        <f>SUMIF(C2:C1334,C352,O2:O1334)</f>
        <v>2</v>
      </c>
      <c r="AX352" s="387">
        <f>IF(AND(M352="F",AS352&lt;&gt;0),SUMIF(C2:C1334,C352,W2:W1334),0)</f>
        <v>0</v>
      </c>
      <c r="AY352" s="387" t="str">
        <f t="shared" si="249"/>
        <v/>
      </c>
      <c r="AZ352" s="387" t="str">
        <f t="shared" si="250"/>
        <v/>
      </c>
      <c r="BA352" s="387">
        <f t="shared" si="251"/>
        <v>0</v>
      </c>
      <c r="BB352" s="387">
        <f t="shared" si="220"/>
        <v>0</v>
      </c>
      <c r="BC352" s="387">
        <f t="shared" si="221"/>
        <v>0</v>
      </c>
      <c r="BD352" s="387">
        <f t="shared" si="222"/>
        <v>0</v>
      </c>
      <c r="BE352" s="387">
        <f t="shared" si="223"/>
        <v>0</v>
      </c>
      <c r="BF352" s="387">
        <f t="shared" si="224"/>
        <v>0</v>
      </c>
      <c r="BG352" s="387">
        <f t="shared" si="225"/>
        <v>0</v>
      </c>
      <c r="BH352" s="387">
        <f t="shared" si="226"/>
        <v>0</v>
      </c>
      <c r="BI352" s="387">
        <f t="shared" si="227"/>
        <v>0</v>
      </c>
      <c r="BJ352" s="387">
        <f t="shared" si="228"/>
        <v>0</v>
      </c>
      <c r="BK352" s="387">
        <f t="shared" si="229"/>
        <v>0</v>
      </c>
      <c r="BL352" s="387">
        <f t="shared" si="252"/>
        <v>0</v>
      </c>
      <c r="BM352" s="387">
        <f t="shared" si="253"/>
        <v>0</v>
      </c>
      <c r="BN352" s="387">
        <f t="shared" si="230"/>
        <v>0</v>
      </c>
      <c r="BO352" s="387">
        <f t="shared" si="231"/>
        <v>0</v>
      </c>
      <c r="BP352" s="387">
        <f t="shared" si="232"/>
        <v>0</v>
      </c>
      <c r="BQ352" s="387">
        <f t="shared" si="233"/>
        <v>0</v>
      </c>
      <c r="BR352" s="387">
        <f t="shared" si="234"/>
        <v>0</v>
      </c>
      <c r="BS352" s="387">
        <f t="shared" si="235"/>
        <v>0</v>
      </c>
      <c r="BT352" s="387">
        <f t="shared" si="236"/>
        <v>0</v>
      </c>
      <c r="BU352" s="387">
        <f t="shared" si="237"/>
        <v>0</v>
      </c>
      <c r="BV352" s="387">
        <f t="shared" si="238"/>
        <v>0</v>
      </c>
      <c r="BW352" s="387">
        <f t="shared" si="239"/>
        <v>0</v>
      </c>
      <c r="BX352" s="387">
        <f t="shared" si="254"/>
        <v>0</v>
      </c>
      <c r="BY352" s="387">
        <f t="shared" si="255"/>
        <v>0</v>
      </c>
      <c r="BZ352" s="387">
        <f t="shared" si="256"/>
        <v>0</v>
      </c>
      <c r="CA352" s="387">
        <f t="shared" si="257"/>
        <v>0</v>
      </c>
      <c r="CB352" s="387">
        <f t="shared" si="258"/>
        <v>0</v>
      </c>
      <c r="CC352" s="387">
        <f t="shared" si="240"/>
        <v>0</v>
      </c>
      <c r="CD352" s="387">
        <f t="shared" si="241"/>
        <v>0</v>
      </c>
      <c r="CE352" s="387">
        <f t="shared" si="242"/>
        <v>0</v>
      </c>
      <c r="CF352" s="387">
        <f t="shared" si="243"/>
        <v>0</v>
      </c>
      <c r="CG352" s="387">
        <f t="shared" si="244"/>
        <v>0</v>
      </c>
      <c r="CH352" s="387">
        <f t="shared" si="245"/>
        <v>0</v>
      </c>
      <c r="CI352" s="387">
        <f t="shared" si="246"/>
        <v>0</v>
      </c>
      <c r="CJ352" s="387">
        <f t="shared" si="259"/>
        <v>0</v>
      </c>
      <c r="CK352" s="387" t="str">
        <f t="shared" si="260"/>
        <v/>
      </c>
      <c r="CL352" s="387" t="str">
        <f t="shared" si="261"/>
        <v/>
      </c>
      <c r="CM352" s="387" t="str">
        <f t="shared" si="262"/>
        <v/>
      </c>
      <c r="CN352" s="387" t="str">
        <f t="shared" si="263"/>
        <v>0348-31</v>
      </c>
    </row>
    <row r="353" spans="1:92" ht="15.75" thickBot="1" x14ac:dyDescent="0.3">
      <c r="A353" s="376" t="s">
        <v>161</v>
      </c>
      <c r="B353" s="376" t="s">
        <v>162</v>
      </c>
      <c r="C353" s="376" t="s">
        <v>821</v>
      </c>
      <c r="D353" s="376" t="s">
        <v>792</v>
      </c>
      <c r="E353" s="376" t="s">
        <v>224</v>
      </c>
      <c r="F353" s="382" t="s">
        <v>225</v>
      </c>
      <c r="G353" s="376" t="s">
        <v>781</v>
      </c>
      <c r="H353" s="378"/>
      <c r="I353" s="378"/>
      <c r="J353" s="376" t="s">
        <v>215</v>
      </c>
      <c r="K353" s="376" t="s">
        <v>793</v>
      </c>
      <c r="L353" s="376" t="s">
        <v>170</v>
      </c>
      <c r="M353" s="376" t="s">
        <v>272</v>
      </c>
      <c r="N353" s="376" t="s">
        <v>172</v>
      </c>
      <c r="O353" s="379">
        <v>0</v>
      </c>
      <c r="P353" s="385">
        <v>0</v>
      </c>
      <c r="Q353" s="385">
        <v>0</v>
      </c>
      <c r="R353" s="380">
        <v>80</v>
      </c>
      <c r="S353" s="385">
        <v>0</v>
      </c>
      <c r="T353" s="380">
        <v>35843.120000000003</v>
      </c>
      <c r="U353" s="380">
        <v>0</v>
      </c>
      <c r="V353" s="380">
        <v>14970.45</v>
      </c>
      <c r="W353" s="380">
        <v>0</v>
      </c>
      <c r="X353" s="380">
        <v>0</v>
      </c>
      <c r="Y353" s="380">
        <v>0</v>
      </c>
      <c r="Z353" s="380">
        <v>0</v>
      </c>
      <c r="AA353" s="378"/>
      <c r="AB353" s="376" t="s">
        <v>45</v>
      </c>
      <c r="AC353" s="376" t="s">
        <v>45</v>
      </c>
      <c r="AD353" s="378"/>
      <c r="AE353" s="378"/>
      <c r="AF353" s="378"/>
      <c r="AG353" s="378"/>
      <c r="AH353" s="379">
        <v>0</v>
      </c>
      <c r="AI353" s="379">
        <v>0</v>
      </c>
      <c r="AJ353" s="378"/>
      <c r="AK353" s="378"/>
      <c r="AL353" s="376" t="s">
        <v>181</v>
      </c>
      <c r="AM353" s="378"/>
      <c r="AN353" s="378"/>
      <c r="AO353" s="379">
        <v>0</v>
      </c>
      <c r="AP353" s="385">
        <v>0</v>
      </c>
      <c r="AQ353" s="385">
        <v>0</v>
      </c>
      <c r="AR353" s="384"/>
      <c r="AS353" s="387">
        <f t="shared" si="247"/>
        <v>0</v>
      </c>
      <c r="AT353">
        <f t="shared" si="248"/>
        <v>0</v>
      </c>
      <c r="AU353" s="387" t="str">
        <f>IF(AT353=0,"",IF(AND(AT353=1,M353="F",SUMIF(C2:C1334,C353,AS2:AS1334)&lt;=1),SUMIF(C2:C1334,C353,AS2:AS1334),IF(AND(AT353=1,M353="F",SUMIF(C2:C1334,C353,AS2:AS1334)&gt;1),1,"")))</f>
        <v/>
      </c>
      <c r="AV353" s="387" t="str">
        <f>IF(AT353=0,"",IF(AND(AT353=3,M353="F",SUMIF(C2:C1334,C353,AS2:AS1334)&lt;=1),SUMIF(C2:C1334,C353,AS2:AS1334),IF(AND(AT353=3,M353="F",SUMIF(C2:C1334,C353,AS2:AS1334)&gt;1),1,"")))</f>
        <v/>
      </c>
      <c r="AW353" s="387">
        <f>SUMIF(C2:C1334,C353,O2:O1334)</f>
        <v>0</v>
      </c>
      <c r="AX353" s="387">
        <f>IF(AND(M353="F",AS353&lt;&gt;0),SUMIF(C2:C1334,C353,W2:W1334),0)</f>
        <v>0</v>
      </c>
      <c r="AY353" s="387" t="str">
        <f t="shared" si="249"/>
        <v/>
      </c>
      <c r="AZ353" s="387" t="str">
        <f t="shared" si="250"/>
        <v/>
      </c>
      <c r="BA353" s="387">
        <f t="shared" si="251"/>
        <v>0</v>
      </c>
      <c r="BB353" s="387">
        <f t="shared" si="220"/>
        <v>0</v>
      </c>
      <c r="BC353" s="387">
        <f t="shared" si="221"/>
        <v>0</v>
      </c>
      <c r="BD353" s="387">
        <f t="shared" si="222"/>
        <v>0</v>
      </c>
      <c r="BE353" s="387">
        <f t="shared" si="223"/>
        <v>0</v>
      </c>
      <c r="BF353" s="387">
        <f t="shared" si="224"/>
        <v>0</v>
      </c>
      <c r="BG353" s="387">
        <f t="shared" si="225"/>
        <v>0</v>
      </c>
      <c r="BH353" s="387">
        <f t="shared" si="226"/>
        <v>0</v>
      </c>
      <c r="BI353" s="387">
        <f t="shared" si="227"/>
        <v>0</v>
      </c>
      <c r="BJ353" s="387">
        <f t="shared" si="228"/>
        <v>0</v>
      </c>
      <c r="BK353" s="387">
        <f t="shared" si="229"/>
        <v>0</v>
      </c>
      <c r="BL353" s="387">
        <f t="shared" si="252"/>
        <v>0</v>
      </c>
      <c r="BM353" s="387">
        <f t="shared" si="253"/>
        <v>0</v>
      </c>
      <c r="BN353" s="387">
        <f t="shared" si="230"/>
        <v>0</v>
      </c>
      <c r="BO353" s="387">
        <f t="shared" si="231"/>
        <v>0</v>
      </c>
      <c r="BP353" s="387">
        <f t="shared" si="232"/>
        <v>0</v>
      </c>
      <c r="BQ353" s="387">
        <f t="shared" si="233"/>
        <v>0</v>
      </c>
      <c r="BR353" s="387">
        <f t="shared" si="234"/>
        <v>0</v>
      </c>
      <c r="BS353" s="387">
        <f t="shared" si="235"/>
        <v>0</v>
      </c>
      <c r="BT353" s="387">
        <f t="shared" si="236"/>
        <v>0</v>
      </c>
      <c r="BU353" s="387">
        <f t="shared" si="237"/>
        <v>0</v>
      </c>
      <c r="BV353" s="387">
        <f t="shared" si="238"/>
        <v>0</v>
      </c>
      <c r="BW353" s="387">
        <f t="shared" si="239"/>
        <v>0</v>
      </c>
      <c r="BX353" s="387">
        <f t="shared" si="254"/>
        <v>0</v>
      </c>
      <c r="BY353" s="387">
        <f t="shared" si="255"/>
        <v>0</v>
      </c>
      <c r="BZ353" s="387">
        <f t="shared" si="256"/>
        <v>0</v>
      </c>
      <c r="CA353" s="387">
        <f t="shared" si="257"/>
        <v>0</v>
      </c>
      <c r="CB353" s="387">
        <f t="shared" si="258"/>
        <v>0</v>
      </c>
      <c r="CC353" s="387">
        <f t="shared" si="240"/>
        <v>0</v>
      </c>
      <c r="CD353" s="387">
        <f t="shared" si="241"/>
        <v>0</v>
      </c>
      <c r="CE353" s="387">
        <f t="shared" si="242"/>
        <v>0</v>
      </c>
      <c r="CF353" s="387">
        <f t="shared" si="243"/>
        <v>0</v>
      </c>
      <c r="CG353" s="387">
        <f t="shared" si="244"/>
        <v>0</v>
      </c>
      <c r="CH353" s="387">
        <f t="shared" si="245"/>
        <v>0</v>
      </c>
      <c r="CI353" s="387">
        <f t="shared" si="246"/>
        <v>0</v>
      </c>
      <c r="CJ353" s="387">
        <f t="shared" si="259"/>
        <v>0</v>
      </c>
      <c r="CK353" s="387" t="str">
        <f t="shared" si="260"/>
        <v/>
      </c>
      <c r="CL353" s="387" t="str">
        <f t="shared" si="261"/>
        <v/>
      </c>
      <c r="CM353" s="387" t="str">
        <f t="shared" si="262"/>
        <v/>
      </c>
      <c r="CN353" s="387" t="str">
        <f t="shared" si="263"/>
        <v>0348-31</v>
      </c>
    </row>
    <row r="354" spans="1:92" ht="15.75" thickBot="1" x14ac:dyDescent="0.3">
      <c r="A354" s="376" t="s">
        <v>161</v>
      </c>
      <c r="B354" s="376" t="s">
        <v>162</v>
      </c>
      <c r="C354" s="376" t="s">
        <v>1226</v>
      </c>
      <c r="D354" s="376" t="s">
        <v>375</v>
      </c>
      <c r="E354" s="376" t="s">
        <v>224</v>
      </c>
      <c r="F354" s="382" t="s">
        <v>225</v>
      </c>
      <c r="G354" s="376" t="s">
        <v>781</v>
      </c>
      <c r="H354" s="378"/>
      <c r="I354" s="378"/>
      <c r="J354" s="376" t="s">
        <v>215</v>
      </c>
      <c r="K354" s="376" t="s">
        <v>376</v>
      </c>
      <c r="L354" s="376" t="s">
        <v>178</v>
      </c>
      <c r="M354" s="376" t="s">
        <v>171</v>
      </c>
      <c r="N354" s="376" t="s">
        <v>172</v>
      </c>
      <c r="O354" s="379">
        <v>1</v>
      </c>
      <c r="P354" s="385">
        <v>0</v>
      </c>
      <c r="Q354" s="385">
        <v>0</v>
      </c>
      <c r="R354" s="380">
        <v>80</v>
      </c>
      <c r="S354" s="385">
        <v>0</v>
      </c>
      <c r="T354" s="380">
        <v>39939.31</v>
      </c>
      <c r="U354" s="380">
        <v>0</v>
      </c>
      <c r="V354" s="380">
        <v>19913.21</v>
      </c>
      <c r="W354" s="380">
        <v>0</v>
      </c>
      <c r="X354" s="380">
        <v>0</v>
      </c>
      <c r="Y354" s="380">
        <v>0</v>
      </c>
      <c r="Z354" s="380">
        <v>0</v>
      </c>
      <c r="AA354" s="376" t="s">
        <v>1227</v>
      </c>
      <c r="AB354" s="376" t="s">
        <v>315</v>
      </c>
      <c r="AC354" s="376" t="s">
        <v>1228</v>
      </c>
      <c r="AD354" s="376" t="s">
        <v>210</v>
      </c>
      <c r="AE354" s="376" t="s">
        <v>376</v>
      </c>
      <c r="AF354" s="376" t="s">
        <v>253</v>
      </c>
      <c r="AG354" s="376" t="s">
        <v>178</v>
      </c>
      <c r="AH354" s="381">
        <v>19.75</v>
      </c>
      <c r="AI354" s="381">
        <v>48079.4</v>
      </c>
      <c r="AJ354" s="376" t="s">
        <v>179</v>
      </c>
      <c r="AK354" s="376" t="s">
        <v>180</v>
      </c>
      <c r="AL354" s="376" t="s">
        <v>181</v>
      </c>
      <c r="AM354" s="376" t="s">
        <v>182</v>
      </c>
      <c r="AN354" s="376" t="s">
        <v>68</v>
      </c>
      <c r="AO354" s="379">
        <v>80</v>
      </c>
      <c r="AP354" s="385">
        <v>1</v>
      </c>
      <c r="AQ354" s="385">
        <v>0</v>
      </c>
      <c r="AR354" s="383" t="s">
        <v>183</v>
      </c>
      <c r="AS354" s="387">
        <f t="shared" si="247"/>
        <v>0</v>
      </c>
      <c r="AT354">
        <f t="shared" si="248"/>
        <v>0</v>
      </c>
      <c r="AU354" s="387" t="str">
        <f>IF(AT354=0,"",IF(AND(AT354=1,M354="F",SUMIF(C2:C1334,C354,AS2:AS1334)&lt;=1),SUMIF(C2:C1334,C354,AS2:AS1334),IF(AND(AT354=1,M354="F",SUMIF(C2:C1334,C354,AS2:AS1334)&gt;1),1,"")))</f>
        <v/>
      </c>
      <c r="AV354" s="387" t="str">
        <f>IF(AT354=0,"",IF(AND(AT354=3,M354="F",SUMIF(C2:C1334,C354,AS2:AS1334)&lt;=1),SUMIF(C2:C1334,C354,AS2:AS1334),IF(AND(AT354=3,M354="F",SUMIF(C2:C1334,C354,AS2:AS1334)&gt;1),1,"")))</f>
        <v/>
      </c>
      <c r="AW354" s="387">
        <f>SUMIF(C2:C1334,C354,O2:O1334)</f>
        <v>2</v>
      </c>
      <c r="AX354" s="387">
        <f>IF(AND(M354="F",AS354&lt;&gt;0),SUMIF(C2:C1334,C354,W2:W1334),0)</f>
        <v>0</v>
      </c>
      <c r="AY354" s="387" t="str">
        <f t="shared" si="249"/>
        <v/>
      </c>
      <c r="AZ354" s="387" t="str">
        <f t="shared" si="250"/>
        <v/>
      </c>
      <c r="BA354" s="387">
        <f t="shared" si="251"/>
        <v>0</v>
      </c>
      <c r="BB354" s="387">
        <f t="shared" si="220"/>
        <v>0</v>
      </c>
      <c r="BC354" s="387">
        <f t="shared" si="221"/>
        <v>0</v>
      </c>
      <c r="BD354" s="387">
        <f t="shared" si="222"/>
        <v>0</v>
      </c>
      <c r="BE354" s="387">
        <f t="shared" si="223"/>
        <v>0</v>
      </c>
      <c r="BF354" s="387">
        <f t="shared" si="224"/>
        <v>0</v>
      </c>
      <c r="BG354" s="387">
        <f t="shared" si="225"/>
        <v>0</v>
      </c>
      <c r="BH354" s="387">
        <f t="shared" si="226"/>
        <v>0</v>
      </c>
      <c r="BI354" s="387">
        <f t="shared" si="227"/>
        <v>0</v>
      </c>
      <c r="BJ354" s="387">
        <f t="shared" si="228"/>
        <v>0</v>
      </c>
      <c r="BK354" s="387">
        <f t="shared" si="229"/>
        <v>0</v>
      </c>
      <c r="BL354" s="387">
        <f t="shared" si="252"/>
        <v>0</v>
      </c>
      <c r="BM354" s="387">
        <f t="shared" si="253"/>
        <v>0</v>
      </c>
      <c r="BN354" s="387">
        <f t="shared" si="230"/>
        <v>0</v>
      </c>
      <c r="BO354" s="387">
        <f t="shared" si="231"/>
        <v>0</v>
      </c>
      <c r="BP354" s="387">
        <f t="shared" si="232"/>
        <v>0</v>
      </c>
      <c r="BQ354" s="387">
        <f t="shared" si="233"/>
        <v>0</v>
      </c>
      <c r="BR354" s="387">
        <f t="shared" si="234"/>
        <v>0</v>
      </c>
      <c r="BS354" s="387">
        <f t="shared" si="235"/>
        <v>0</v>
      </c>
      <c r="BT354" s="387">
        <f t="shared" si="236"/>
        <v>0</v>
      </c>
      <c r="BU354" s="387">
        <f t="shared" si="237"/>
        <v>0</v>
      </c>
      <c r="BV354" s="387">
        <f t="shared" si="238"/>
        <v>0</v>
      </c>
      <c r="BW354" s="387">
        <f t="shared" si="239"/>
        <v>0</v>
      </c>
      <c r="BX354" s="387">
        <f t="shared" si="254"/>
        <v>0</v>
      </c>
      <c r="BY354" s="387">
        <f t="shared" si="255"/>
        <v>0</v>
      </c>
      <c r="BZ354" s="387">
        <f t="shared" si="256"/>
        <v>0</v>
      </c>
      <c r="CA354" s="387">
        <f t="shared" si="257"/>
        <v>0</v>
      </c>
      <c r="CB354" s="387">
        <f t="shared" si="258"/>
        <v>0</v>
      </c>
      <c r="CC354" s="387">
        <f t="shared" si="240"/>
        <v>0</v>
      </c>
      <c r="CD354" s="387">
        <f t="shared" si="241"/>
        <v>0</v>
      </c>
      <c r="CE354" s="387">
        <f t="shared" si="242"/>
        <v>0</v>
      </c>
      <c r="CF354" s="387">
        <f t="shared" si="243"/>
        <v>0</v>
      </c>
      <c r="CG354" s="387">
        <f t="shared" si="244"/>
        <v>0</v>
      </c>
      <c r="CH354" s="387">
        <f t="shared" si="245"/>
        <v>0</v>
      </c>
      <c r="CI354" s="387">
        <f t="shared" si="246"/>
        <v>0</v>
      </c>
      <c r="CJ354" s="387">
        <f t="shared" si="259"/>
        <v>0</v>
      </c>
      <c r="CK354" s="387" t="str">
        <f t="shared" si="260"/>
        <v/>
      </c>
      <c r="CL354" s="387" t="str">
        <f t="shared" si="261"/>
        <v/>
      </c>
      <c r="CM354" s="387" t="str">
        <f t="shared" si="262"/>
        <v/>
      </c>
      <c r="CN354" s="387" t="str">
        <f t="shared" si="263"/>
        <v>0348-31</v>
      </c>
    </row>
    <row r="355" spans="1:92" ht="15.75" thickBot="1" x14ac:dyDescent="0.3">
      <c r="A355" s="376" t="s">
        <v>161</v>
      </c>
      <c r="B355" s="376" t="s">
        <v>162</v>
      </c>
      <c r="C355" s="376" t="s">
        <v>645</v>
      </c>
      <c r="D355" s="376" t="s">
        <v>556</v>
      </c>
      <c r="E355" s="376" t="s">
        <v>224</v>
      </c>
      <c r="F355" s="382" t="s">
        <v>225</v>
      </c>
      <c r="G355" s="376" t="s">
        <v>781</v>
      </c>
      <c r="H355" s="378"/>
      <c r="I355" s="378"/>
      <c r="J355" s="376" t="s">
        <v>239</v>
      </c>
      <c r="K355" s="376" t="s">
        <v>557</v>
      </c>
      <c r="L355" s="376" t="s">
        <v>406</v>
      </c>
      <c r="M355" s="376" t="s">
        <v>171</v>
      </c>
      <c r="N355" s="376" t="s">
        <v>172</v>
      </c>
      <c r="O355" s="379">
        <v>1</v>
      </c>
      <c r="P355" s="385">
        <v>0</v>
      </c>
      <c r="Q355" s="385">
        <v>0</v>
      </c>
      <c r="R355" s="380">
        <v>80</v>
      </c>
      <c r="S355" s="385">
        <v>0</v>
      </c>
      <c r="T355" s="380">
        <v>7820.55</v>
      </c>
      <c r="U355" s="380">
        <v>0</v>
      </c>
      <c r="V355" s="380">
        <v>4589.0200000000004</v>
      </c>
      <c r="W355" s="380">
        <v>0</v>
      </c>
      <c r="X355" s="380">
        <v>0</v>
      </c>
      <c r="Y355" s="380">
        <v>0</v>
      </c>
      <c r="Z355" s="380">
        <v>0</v>
      </c>
      <c r="AA355" s="376" t="s">
        <v>646</v>
      </c>
      <c r="AB355" s="376" t="s">
        <v>647</v>
      </c>
      <c r="AC355" s="376" t="s">
        <v>648</v>
      </c>
      <c r="AD355" s="376" t="s">
        <v>441</v>
      </c>
      <c r="AE355" s="376" t="s">
        <v>557</v>
      </c>
      <c r="AF355" s="376" t="s">
        <v>562</v>
      </c>
      <c r="AG355" s="376" t="s">
        <v>178</v>
      </c>
      <c r="AH355" s="381">
        <v>15.56</v>
      </c>
      <c r="AI355" s="381">
        <v>25627.599999999999</v>
      </c>
      <c r="AJ355" s="376" t="s">
        <v>179</v>
      </c>
      <c r="AK355" s="376" t="s">
        <v>180</v>
      </c>
      <c r="AL355" s="376" t="s">
        <v>181</v>
      </c>
      <c r="AM355" s="376" t="s">
        <v>182</v>
      </c>
      <c r="AN355" s="376" t="s">
        <v>68</v>
      </c>
      <c r="AO355" s="379">
        <v>80</v>
      </c>
      <c r="AP355" s="385">
        <v>1</v>
      </c>
      <c r="AQ355" s="385">
        <v>0</v>
      </c>
      <c r="AR355" s="383" t="s">
        <v>183</v>
      </c>
      <c r="AS355" s="387">
        <f t="shared" si="247"/>
        <v>0</v>
      </c>
      <c r="AT355">
        <f t="shared" si="248"/>
        <v>0</v>
      </c>
      <c r="AU355" s="387" t="str">
        <f>IF(AT355=0,"",IF(AND(AT355=1,M355="F",SUMIF(C2:C1334,C355,AS2:AS1334)&lt;=1),SUMIF(C2:C1334,C355,AS2:AS1334),IF(AND(AT355=1,M355="F",SUMIF(C2:C1334,C355,AS2:AS1334)&gt;1),1,"")))</f>
        <v/>
      </c>
      <c r="AV355" s="387" t="str">
        <f>IF(AT355=0,"",IF(AND(AT355=3,M355="F",SUMIF(C2:C1334,C355,AS2:AS1334)&lt;=1),SUMIF(C2:C1334,C355,AS2:AS1334),IF(AND(AT355=3,M355="F",SUMIF(C2:C1334,C355,AS2:AS1334)&gt;1),1,"")))</f>
        <v/>
      </c>
      <c r="AW355" s="387">
        <f>SUMIF(C2:C1334,C355,O2:O1334)</f>
        <v>3</v>
      </c>
      <c r="AX355" s="387">
        <f>IF(AND(M355="F",AS355&lt;&gt;0),SUMIF(C2:C1334,C355,W2:W1334),0)</f>
        <v>0</v>
      </c>
      <c r="AY355" s="387" t="str">
        <f t="shared" si="249"/>
        <v/>
      </c>
      <c r="AZ355" s="387" t="str">
        <f t="shared" si="250"/>
        <v/>
      </c>
      <c r="BA355" s="387">
        <f t="shared" si="251"/>
        <v>0</v>
      </c>
      <c r="BB355" s="387">
        <f t="shared" si="220"/>
        <v>0</v>
      </c>
      <c r="BC355" s="387">
        <f t="shared" si="221"/>
        <v>0</v>
      </c>
      <c r="BD355" s="387">
        <f t="shared" si="222"/>
        <v>0</v>
      </c>
      <c r="BE355" s="387">
        <f t="shared" si="223"/>
        <v>0</v>
      </c>
      <c r="BF355" s="387">
        <f t="shared" si="224"/>
        <v>0</v>
      </c>
      <c r="BG355" s="387">
        <f t="shared" si="225"/>
        <v>0</v>
      </c>
      <c r="BH355" s="387">
        <f t="shared" si="226"/>
        <v>0</v>
      </c>
      <c r="BI355" s="387">
        <f t="shared" si="227"/>
        <v>0</v>
      </c>
      <c r="BJ355" s="387">
        <f t="shared" si="228"/>
        <v>0</v>
      </c>
      <c r="BK355" s="387">
        <f t="shared" si="229"/>
        <v>0</v>
      </c>
      <c r="BL355" s="387">
        <f t="shared" si="252"/>
        <v>0</v>
      </c>
      <c r="BM355" s="387">
        <f t="shared" si="253"/>
        <v>0</v>
      </c>
      <c r="BN355" s="387">
        <f t="shared" si="230"/>
        <v>0</v>
      </c>
      <c r="BO355" s="387">
        <f t="shared" si="231"/>
        <v>0</v>
      </c>
      <c r="BP355" s="387">
        <f t="shared" si="232"/>
        <v>0</v>
      </c>
      <c r="BQ355" s="387">
        <f t="shared" si="233"/>
        <v>0</v>
      </c>
      <c r="BR355" s="387">
        <f t="shared" si="234"/>
        <v>0</v>
      </c>
      <c r="BS355" s="387">
        <f t="shared" si="235"/>
        <v>0</v>
      </c>
      <c r="BT355" s="387">
        <f t="shared" si="236"/>
        <v>0</v>
      </c>
      <c r="BU355" s="387">
        <f t="shared" si="237"/>
        <v>0</v>
      </c>
      <c r="BV355" s="387">
        <f t="shared" si="238"/>
        <v>0</v>
      </c>
      <c r="BW355" s="387">
        <f t="shared" si="239"/>
        <v>0</v>
      </c>
      <c r="BX355" s="387">
        <f t="shared" si="254"/>
        <v>0</v>
      </c>
      <c r="BY355" s="387">
        <f t="shared" si="255"/>
        <v>0</v>
      </c>
      <c r="BZ355" s="387">
        <f t="shared" si="256"/>
        <v>0</v>
      </c>
      <c r="CA355" s="387">
        <f t="shared" si="257"/>
        <v>0</v>
      </c>
      <c r="CB355" s="387">
        <f t="shared" si="258"/>
        <v>0</v>
      </c>
      <c r="CC355" s="387">
        <f t="shared" si="240"/>
        <v>0</v>
      </c>
      <c r="CD355" s="387">
        <f t="shared" si="241"/>
        <v>0</v>
      </c>
      <c r="CE355" s="387">
        <f t="shared" si="242"/>
        <v>0</v>
      </c>
      <c r="CF355" s="387">
        <f t="shared" si="243"/>
        <v>0</v>
      </c>
      <c r="CG355" s="387">
        <f t="shared" si="244"/>
        <v>0</v>
      </c>
      <c r="CH355" s="387">
        <f t="shared" si="245"/>
        <v>0</v>
      </c>
      <c r="CI355" s="387">
        <f t="shared" si="246"/>
        <v>0</v>
      </c>
      <c r="CJ355" s="387">
        <f t="shared" si="259"/>
        <v>0</v>
      </c>
      <c r="CK355" s="387" t="str">
        <f t="shared" si="260"/>
        <v/>
      </c>
      <c r="CL355" s="387" t="str">
        <f t="shared" si="261"/>
        <v/>
      </c>
      <c r="CM355" s="387" t="str">
        <f t="shared" si="262"/>
        <v/>
      </c>
      <c r="CN355" s="387" t="str">
        <f t="shared" si="263"/>
        <v>0348-31</v>
      </c>
    </row>
    <row r="356" spans="1:92" ht="15.75" thickBot="1" x14ac:dyDescent="0.3">
      <c r="A356" s="376" t="s">
        <v>161</v>
      </c>
      <c r="B356" s="376" t="s">
        <v>162</v>
      </c>
      <c r="C356" s="376" t="s">
        <v>1229</v>
      </c>
      <c r="D356" s="376" t="s">
        <v>868</v>
      </c>
      <c r="E356" s="376" t="s">
        <v>224</v>
      </c>
      <c r="F356" s="382" t="s">
        <v>225</v>
      </c>
      <c r="G356" s="376" t="s">
        <v>781</v>
      </c>
      <c r="H356" s="378"/>
      <c r="I356" s="378"/>
      <c r="J356" s="376" t="s">
        <v>215</v>
      </c>
      <c r="K356" s="376" t="s">
        <v>894</v>
      </c>
      <c r="L356" s="376" t="s">
        <v>170</v>
      </c>
      <c r="M356" s="376" t="s">
        <v>171</v>
      </c>
      <c r="N356" s="376" t="s">
        <v>172</v>
      </c>
      <c r="O356" s="379">
        <v>1</v>
      </c>
      <c r="P356" s="385">
        <v>0</v>
      </c>
      <c r="Q356" s="385">
        <v>0</v>
      </c>
      <c r="R356" s="380">
        <v>80</v>
      </c>
      <c r="S356" s="385">
        <v>0</v>
      </c>
      <c r="T356" s="380">
        <v>58375.01</v>
      </c>
      <c r="U356" s="380">
        <v>2033.21</v>
      </c>
      <c r="V356" s="380">
        <v>24254.67</v>
      </c>
      <c r="W356" s="380">
        <v>0</v>
      </c>
      <c r="X356" s="380">
        <v>0</v>
      </c>
      <c r="Y356" s="380">
        <v>0</v>
      </c>
      <c r="Z356" s="380">
        <v>0</v>
      </c>
      <c r="AA356" s="376" t="s">
        <v>1230</v>
      </c>
      <c r="AB356" s="376" t="s">
        <v>1231</v>
      </c>
      <c r="AC356" s="376" t="s">
        <v>1232</v>
      </c>
      <c r="AD356" s="376" t="s">
        <v>170</v>
      </c>
      <c r="AE356" s="376" t="s">
        <v>894</v>
      </c>
      <c r="AF356" s="376" t="s">
        <v>177</v>
      </c>
      <c r="AG356" s="376" t="s">
        <v>178</v>
      </c>
      <c r="AH356" s="381">
        <v>29.15</v>
      </c>
      <c r="AI356" s="381">
        <v>27242.9</v>
      </c>
      <c r="AJ356" s="376" t="s">
        <v>179</v>
      </c>
      <c r="AK356" s="376" t="s">
        <v>180</v>
      </c>
      <c r="AL356" s="376" t="s">
        <v>181</v>
      </c>
      <c r="AM356" s="376" t="s">
        <v>182</v>
      </c>
      <c r="AN356" s="376" t="s">
        <v>68</v>
      </c>
      <c r="AO356" s="379">
        <v>80</v>
      </c>
      <c r="AP356" s="385">
        <v>1</v>
      </c>
      <c r="AQ356" s="385">
        <v>0</v>
      </c>
      <c r="AR356" s="383" t="s">
        <v>183</v>
      </c>
      <c r="AS356" s="387">
        <f t="shared" si="247"/>
        <v>0</v>
      </c>
      <c r="AT356">
        <f t="shared" si="248"/>
        <v>0</v>
      </c>
      <c r="AU356" s="387" t="str">
        <f>IF(AT356=0,"",IF(AND(AT356=1,M356="F",SUMIF(C2:C1334,C356,AS2:AS1334)&lt;=1),SUMIF(C2:C1334,C356,AS2:AS1334),IF(AND(AT356=1,M356="F",SUMIF(C2:C1334,C356,AS2:AS1334)&gt;1),1,"")))</f>
        <v/>
      </c>
      <c r="AV356" s="387" t="str">
        <f>IF(AT356=0,"",IF(AND(AT356=3,M356="F",SUMIF(C2:C1334,C356,AS2:AS1334)&lt;=1),SUMIF(C2:C1334,C356,AS2:AS1334),IF(AND(AT356=3,M356="F",SUMIF(C2:C1334,C356,AS2:AS1334)&gt;1),1,"")))</f>
        <v/>
      </c>
      <c r="AW356" s="387">
        <f>SUMIF(C2:C1334,C356,O2:O1334)</f>
        <v>2</v>
      </c>
      <c r="AX356" s="387">
        <f>IF(AND(M356="F",AS356&lt;&gt;0),SUMIF(C2:C1334,C356,W2:W1334),0)</f>
        <v>0</v>
      </c>
      <c r="AY356" s="387" t="str">
        <f t="shared" si="249"/>
        <v/>
      </c>
      <c r="AZ356" s="387" t="str">
        <f t="shared" si="250"/>
        <v/>
      </c>
      <c r="BA356" s="387">
        <f t="shared" si="251"/>
        <v>0</v>
      </c>
      <c r="BB356" s="387">
        <f t="shared" si="220"/>
        <v>0</v>
      </c>
      <c r="BC356" s="387">
        <f t="shared" si="221"/>
        <v>0</v>
      </c>
      <c r="BD356" s="387">
        <f t="shared" si="222"/>
        <v>0</v>
      </c>
      <c r="BE356" s="387">
        <f t="shared" si="223"/>
        <v>0</v>
      </c>
      <c r="BF356" s="387">
        <f t="shared" si="224"/>
        <v>0</v>
      </c>
      <c r="BG356" s="387">
        <f t="shared" si="225"/>
        <v>0</v>
      </c>
      <c r="BH356" s="387">
        <f t="shared" si="226"/>
        <v>0</v>
      </c>
      <c r="BI356" s="387">
        <f t="shared" si="227"/>
        <v>0</v>
      </c>
      <c r="BJ356" s="387">
        <f t="shared" si="228"/>
        <v>0</v>
      </c>
      <c r="BK356" s="387">
        <f t="shared" si="229"/>
        <v>0</v>
      </c>
      <c r="BL356" s="387">
        <f t="shared" si="252"/>
        <v>0</v>
      </c>
      <c r="BM356" s="387">
        <f t="shared" si="253"/>
        <v>0</v>
      </c>
      <c r="BN356" s="387">
        <f t="shared" si="230"/>
        <v>0</v>
      </c>
      <c r="BO356" s="387">
        <f t="shared" si="231"/>
        <v>0</v>
      </c>
      <c r="BP356" s="387">
        <f t="shared" si="232"/>
        <v>0</v>
      </c>
      <c r="BQ356" s="387">
        <f t="shared" si="233"/>
        <v>0</v>
      </c>
      <c r="BR356" s="387">
        <f t="shared" si="234"/>
        <v>0</v>
      </c>
      <c r="BS356" s="387">
        <f t="shared" si="235"/>
        <v>0</v>
      </c>
      <c r="BT356" s="387">
        <f t="shared" si="236"/>
        <v>0</v>
      </c>
      <c r="BU356" s="387">
        <f t="shared" si="237"/>
        <v>0</v>
      </c>
      <c r="BV356" s="387">
        <f t="shared" si="238"/>
        <v>0</v>
      </c>
      <c r="BW356" s="387">
        <f t="shared" si="239"/>
        <v>0</v>
      </c>
      <c r="BX356" s="387">
        <f t="shared" si="254"/>
        <v>0</v>
      </c>
      <c r="BY356" s="387">
        <f t="shared" si="255"/>
        <v>0</v>
      </c>
      <c r="BZ356" s="387">
        <f t="shared" si="256"/>
        <v>0</v>
      </c>
      <c r="CA356" s="387">
        <f t="shared" si="257"/>
        <v>0</v>
      </c>
      <c r="CB356" s="387">
        <f t="shared" si="258"/>
        <v>0</v>
      </c>
      <c r="CC356" s="387">
        <f t="shared" si="240"/>
        <v>0</v>
      </c>
      <c r="CD356" s="387">
        <f t="shared" si="241"/>
        <v>0</v>
      </c>
      <c r="CE356" s="387">
        <f t="shared" si="242"/>
        <v>0</v>
      </c>
      <c r="CF356" s="387">
        <f t="shared" si="243"/>
        <v>0</v>
      </c>
      <c r="CG356" s="387">
        <f t="shared" si="244"/>
        <v>0</v>
      </c>
      <c r="CH356" s="387">
        <f t="shared" si="245"/>
        <v>0</v>
      </c>
      <c r="CI356" s="387">
        <f t="shared" si="246"/>
        <v>0</v>
      </c>
      <c r="CJ356" s="387">
        <f t="shared" si="259"/>
        <v>0</v>
      </c>
      <c r="CK356" s="387" t="str">
        <f t="shared" si="260"/>
        <v/>
      </c>
      <c r="CL356" s="387" t="str">
        <f t="shared" si="261"/>
        <v/>
      </c>
      <c r="CM356" s="387" t="str">
        <f t="shared" si="262"/>
        <v/>
      </c>
      <c r="CN356" s="387" t="str">
        <f t="shared" si="263"/>
        <v>0348-31</v>
      </c>
    </row>
    <row r="357" spans="1:92" ht="15.75" thickBot="1" x14ac:dyDescent="0.3">
      <c r="A357" s="376" t="s">
        <v>161</v>
      </c>
      <c r="B357" s="376" t="s">
        <v>162</v>
      </c>
      <c r="C357" s="376" t="s">
        <v>1233</v>
      </c>
      <c r="D357" s="376" t="s">
        <v>862</v>
      </c>
      <c r="E357" s="376" t="s">
        <v>224</v>
      </c>
      <c r="F357" s="382" t="s">
        <v>225</v>
      </c>
      <c r="G357" s="376" t="s">
        <v>781</v>
      </c>
      <c r="H357" s="378"/>
      <c r="I357" s="378"/>
      <c r="J357" s="376" t="s">
        <v>215</v>
      </c>
      <c r="K357" s="376" t="s">
        <v>863</v>
      </c>
      <c r="L357" s="376" t="s">
        <v>252</v>
      </c>
      <c r="M357" s="376" t="s">
        <v>566</v>
      </c>
      <c r="N357" s="376" t="s">
        <v>172</v>
      </c>
      <c r="O357" s="379">
        <v>0</v>
      </c>
      <c r="P357" s="385">
        <v>0</v>
      </c>
      <c r="Q357" s="385">
        <v>0</v>
      </c>
      <c r="R357" s="380">
        <v>80</v>
      </c>
      <c r="S357" s="385">
        <v>0</v>
      </c>
      <c r="T357" s="380">
        <v>1537.6</v>
      </c>
      <c r="U357" s="380">
        <v>0</v>
      </c>
      <c r="V357" s="380">
        <v>797.99</v>
      </c>
      <c r="W357" s="380">
        <v>0</v>
      </c>
      <c r="X357" s="380">
        <v>0</v>
      </c>
      <c r="Y357" s="380">
        <v>0</v>
      </c>
      <c r="Z357" s="380">
        <v>0</v>
      </c>
      <c r="AA357" s="378"/>
      <c r="AB357" s="376" t="s">
        <v>45</v>
      </c>
      <c r="AC357" s="376" t="s">
        <v>45</v>
      </c>
      <c r="AD357" s="378"/>
      <c r="AE357" s="378"/>
      <c r="AF357" s="378"/>
      <c r="AG357" s="378"/>
      <c r="AH357" s="379">
        <v>0</v>
      </c>
      <c r="AI357" s="379">
        <v>0</v>
      </c>
      <c r="AJ357" s="378"/>
      <c r="AK357" s="378"/>
      <c r="AL357" s="376" t="s">
        <v>181</v>
      </c>
      <c r="AM357" s="378"/>
      <c r="AN357" s="378"/>
      <c r="AO357" s="379">
        <v>0</v>
      </c>
      <c r="AP357" s="385">
        <v>0</v>
      </c>
      <c r="AQ357" s="385">
        <v>0</v>
      </c>
      <c r="AR357" s="384"/>
      <c r="AS357" s="387">
        <f t="shared" si="247"/>
        <v>0</v>
      </c>
      <c r="AT357">
        <f t="shared" si="248"/>
        <v>0</v>
      </c>
      <c r="AU357" s="387" t="str">
        <f>IF(AT357=0,"",IF(AND(AT357=1,M357="F",SUMIF(C2:C1334,C357,AS2:AS1334)&lt;=1),SUMIF(C2:C1334,C357,AS2:AS1334),IF(AND(AT357=1,M357="F",SUMIF(C2:C1334,C357,AS2:AS1334)&gt;1),1,"")))</f>
        <v/>
      </c>
      <c r="AV357" s="387" t="str">
        <f>IF(AT357=0,"",IF(AND(AT357=3,M357="F",SUMIF(C2:C1334,C357,AS2:AS1334)&lt;=1),SUMIF(C2:C1334,C357,AS2:AS1334),IF(AND(AT357=3,M357="F",SUMIF(C2:C1334,C357,AS2:AS1334)&gt;1),1,"")))</f>
        <v/>
      </c>
      <c r="AW357" s="387">
        <f>SUMIF(C2:C1334,C357,O2:O1334)</f>
        <v>0</v>
      </c>
      <c r="AX357" s="387">
        <f>IF(AND(M357="F",AS357&lt;&gt;0),SUMIF(C2:C1334,C357,W2:W1334),0)</f>
        <v>0</v>
      </c>
      <c r="AY357" s="387" t="str">
        <f t="shared" si="249"/>
        <v/>
      </c>
      <c r="AZ357" s="387" t="str">
        <f t="shared" si="250"/>
        <v/>
      </c>
      <c r="BA357" s="387">
        <f t="shared" si="251"/>
        <v>0</v>
      </c>
      <c r="BB357" s="387">
        <f t="shared" si="220"/>
        <v>0</v>
      </c>
      <c r="BC357" s="387">
        <f t="shared" si="221"/>
        <v>0</v>
      </c>
      <c r="BD357" s="387">
        <f t="shared" si="222"/>
        <v>0</v>
      </c>
      <c r="BE357" s="387">
        <f t="shared" si="223"/>
        <v>0</v>
      </c>
      <c r="BF357" s="387">
        <f t="shared" si="224"/>
        <v>0</v>
      </c>
      <c r="BG357" s="387">
        <f t="shared" si="225"/>
        <v>0</v>
      </c>
      <c r="BH357" s="387">
        <f t="shared" si="226"/>
        <v>0</v>
      </c>
      <c r="BI357" s="387">
        <f t="shared" si="227"/>
        <v>0</v>
      </c>
      <c r="BJ357" s="387">
        <f t="shared" si="228"/>
        <v>0</v>
      </c>
      <c r="BK357" s="387">
        <f t="shared" si="229"/>
        <v>0</v>
      </c>
      <c r="BL357" s="387">
        <f t="shared" si="252"/>
        <v>0</v>
      </c>
      <c r="BM357" s="387">
        <f t="shared" si="253"/>
        <v>0</v>
      </c>
      <c r="BN357" s="387">
        <f t="shared" si="230"/>
        <v>0</v>
      </c>
      <c r="BO357" s="387">
        <f t="shared" si="231"/>
        <v>0</v>
      </c>
      <c r="BP357" s="387">
        <f t="shared" si="232"/>
        <v>0</v>
      </c>
      <c r="BQ357" s="387">
        <f t="shared" si="233"/>
        <v>0</v>
      </c>
      <c r="BR357" s="387">
        <f t="shared" si="234"/>
        <v>0</v>
      </c>
      <c r="BS357" s="387">
        <f t="shared" si="235"/>
        <v>0</v>
      </c>
      <c r="BT357" s="387">
        <f t="shared" si="236"/>
        <v>0</v>
      </c>
      <c r="BU357" s="387">
        <f t="shared" si="237"/>
        <v>0</v>
      </c>
      <c r="BV357" s="387">
        <f t="shared" si="238"/>
        <v>0</v>
      </c>
      <c r="BW357" s="387">
        <f t="shared" si="239"/>
        <v>0</v>
      </c>
      <c r="BX357" s="387">
        <f t="shared" si="254"/>
        <v>0</v>
      </c>
      <c r="BY357" s="387">
        <f t="shared" si="255"/>
        <v>0</v>
      </c>
      <c r="BZ357" s="387">
        <f t="shared" si="256"/>
        <v>0</v>
      </c>
      <c r="CA357" s="387">
        <f t="shared" si="257"/>
        <v>0</v>
      </c>
      <c r="CB357" s="387">
        <f t="shared" si="258"/>
        <v>0</v>
      </c>
      <c r="CC357" s="387">
        <f t="shared" si="240"/>
        <v>0</v>
      </c>
      <c r="CD357" s="387">
        <f t="shared" si="241"/>
        <v>0</v>
      </c>
      <c r="CE357" s="387">
        <f t="shared" si="242"/>
        <v>0</v>
      </c>
      <c r="CF357" s="387">
        <f t="shared" si="243"/>
        <v>0</v>
      </c>
      <c r="CG357" s="387">
        <f t="shared" si="244"/>
        <v>0</v>
      </c>
      <c r="CH357" s="387">
        <f t="shared" si="245"/>
        <v>0</v>
      </c>
      <c r="CI357" s="387">
        <f t="shared" si="246"/>
        <v>0</v>
      </c>
      <c r="CJ357" s="387">
        <f t="shared" si="259"/>
        <v>0</v>
      </c>
      <c r="CK357" s="387" t="str">
        <f t="shared" si="260"/>
        <v/>
      </c>
      <c r="CL357" s="387" t="str">
        <f t="shared" si="261"/>
        <v/>
      </c>
      <c r="CM357" s="387" t="str">
        <f t="shared" si="262"/>
        <v/>
      </c>
      <c r="CN357" s="387" t="str">
        <f t="shared" si="263"/>
        <v>0348-31</v>
      </c>
    </row>
    <row r="358" spans="1:92" ht="15.75" thickBot="1" x14ac:dyDescent="0.3">
      <c r="A358" s="376" t="s">
        <v>161</v>
      </c>
      <c r="B358" s="376" t="s">
        <v>162</v>
      </c>
      <c r="C358" s="376" t="s">
        <v>1234</v>
      </c>
      <c r="D358" s="376" t="s">
        <v>792</v>
      </c>
      <c r="E358" s="376" t="s">
        <v>224</v>
      </c>
      <c r="F358" s="382" t="s">
        <v>225</v>
      </c>
      <c r="G358" s="376" t="s">
        <v>781</v>
      </c>
      <c r="H358" s="378"/>
      <c r="I358" s="378"/>
      <c r="J358" s="376" t="s">
        <v>215</v>
      </c>
      <c r="K358" s="376" t="s">
        <v>793</v>
      </c>
      <c r="L358" s="376" t="s">
        <v>170</v>
      </c>
      <c r="M358" s="376" t="s">
        <v>171</v>
      </c>
      <c r="N358" s="376" t="s">
        <v>877</v>
      </c>
      <c r="O358" s="379">
        <v>1</v>
      </c>
      <c r="P358" s="385">
        <v>1</v>
      </c>
      <c r="Q358" s="385">
        <v>1</v>
      </c>
      <c r="R358" s="380">
        <v>80</v>
      </c>
      <c r="S358" s="385">
        <v>1</v>
      </c>
      <c r="T358" s="380">
        <v>48101.62</v>
      </c>
      <c r="U358" s="380">
        <v>0</v>
      </c>
      <c r="V358" s="380">
        <v>21276.19</v>
      </c>
      <c r="W358" s="380">
        <v>50107.199999999997</v>
      </c>
      <c r="X358" s="380">
        <v>22485.64</v>
      </c>
      <c r="Y358" s="380">
        <v>50107.199999999997</v>
      </c>
      <c r="Z358" s="380">
        <v>22275.200000000001</v>
      </c>
      <c r="AA358" s="376" t="s">
        <v>1235</v>
      </c>
      <c r="AB358" s="376" t="s">
        <v>1236</v>
      </c>
      <c r="AC358" s="376" t="s">
        <v>1237</v>
      </c>
      <c r="AD358" s="376" t="s">
        <v>1238</v>
      </c>
      <c r="AE358" s="376" t="s">
        <v>793</v>
      </c>
      <c r="AF358" s="376" t="s">
        <v>177</v>
      </c>
      <c r="AG358" s="376" t="s">
        <v>178</v>
      </c>
      <c r="AH358" s="381">
        <v>24.09</v>
      </c>
      <c r="AI358" s="381">
        <v>3842.9</v>
      </c>
      <c r="AJ358" s="376" t="s">
        <v>179</v>
      </c>
      <c r="AK358" s="376" t="s">
        <v>180</v>
      </c>
      <c r="AL358" s="376" t="s">
        <v>181</v>
      </c>
      <c r="AM358" s="376" t="s">
        <v>182</v>
      </c>
      <c r="AN358" s="376" t="s">
        <v>68</v>
      </c>
      <c r="AO358" s="379">
        <v>80</v>
      </c>
      <c r="AP358" s="385">
        <v>1</v>
      </c>
      <c r="AQ358" s="385">
        <v>1</v>
      </c>
      <c r="AR358" s="383" t="s">
        <v>183</v>
      </c>
      <c r="AS358" s="387">
        <f t="shared" si="247"/>
        <v>1</v>
      </c>
      <c r="AT358">
        <f t="shared" si="248"/>
        <v>1</v>
      </c>
      <c r="AU358" s="387">
        <f>IF(AT358=0,"",IF(AND(AT358=1,M358="F",SUMIF(C2:C1334,C358,AS2:AS1334)&lt;=1),SUMIF(C2:C1334,C358,AS2:AS1334),IF(AND(AT358=1,M358="F",SUMIF(C2:C1334,C358,AS2:AS1334)&gt;1),1,"")))</f>
        <v>1</v>
      </c>
      <c r="AV358" s="387" t="str">
        <f>IF(AT358=0,"",IF(AND(AT358=3,M358="F",SUMIF(C2:C1334,C358,AS2:AS1334)&lt;=1),SUMIF(C2:C1334,C358,AS2:AS1334),IF(AND(AT358=3,M358="F",SUMIF(C2:C1334,C358,AS2:AS1334)&gt;1),1,"")))</f>
        <v/>
      </c>
      <c r="AW358" s="387">
        <f>SUMIF(C2:C1334,C358,O2:O1334)</f>
        <v>1</v>
      </c>
      <c r="AX358" s="387">
        <f>IF(AND(M358="F",AS358&lt;&gt;0),SUMIF(C2:C1334,C358,W2:W1334),0)</f>
        <v>50107.199999999997</v>
      </c>
      <c r="AY358" s="387">
        <f t="shared" si="249"/>
        <v>50107.199999999997</v>
      </c>
      <c r="AZ358" s="387" t="str">
        <f t="shared" si="250"/>
        <v/>
      </c>
      <c r="BA358" s="387">
        <f t="shared" si="251"/>
        <v>0</v>
      </c>
      <c r="BB358" s="387">
        <f t="shared" si="220"/>
        <v>11650</v>
      </c>
      <c r="BC358" s="387">
        <f t="shared" si="221"/>
        <v>0</v>
      </c>
      <c r="BD358" s="387">
        <f t="shared" si="222"/>
        <v>3106.6463999999996</v>
      </c>
      <c r="BE358" s="387">
        <f t="shared" si="223"/>
        <v>726.55439999999999</v>
      </c>
      <c r="BF358" s="387">
        <f t="shared" si="224"/>
        <v>5982.7996800000001</v>
      </c>
      <c r="BG358" s="387">
        <f t="shared" si="225"/>
        <v>361.27291200000002</v>
      </c>
      <c r="BH358" s="387">
        <f t="shared" si="226"/>
        <v>245.52527999999998</v>
      </c>
      <c r="BI358" s="387">
        <f t="shared" si="227"/>
        <v>277.34335199999998</v>
      </c>
      <c r="BJ358" s="387">
        <f t="shared" si="228"/>
        <v>135.28944000000001</v>
      </c>
      <c r="BK358" s="387">
        <f t="shared" si="229"/>
        <v>0</v>
      </c>
      <c r="BL358" s="387">
        <f t="shared" si="252"/>
        <v>10835.431463999999</v>
      </c>
      <c r="BM358" s="387">
        <f t="shared" si="253"/>
        <v>0</v>
      </c>
      <c r="BN358" s="387">
        <f t="shared" si="230"/>
        <v>11650</v>
      </c>
      <c r="BO358" s="387">
        <f t="shared" si="231"/>
        <v>0</v>
      </c>
      <c r="BP358" s="387">
        <f t="shared" si="232"/>
        <v>3106.6463999999996</v>
      </c>
      <c r="BQ358" s="387">
        <f t="shared" si="233"/>
        <v>726.55439999999999</v>
      </c>
      <c r="BR358" s="387">
        <f t="shared" si="234"/>
        <v>5982.7996800000001</v>
      </c>
      <c r="BS358" s="387">
        <f t="shared" si="235"/>
        <v>361.27291200000002</v>
      </c>
      <c r="BT358" s="387">
        <f t="shared" si="236"/>
        <v>0</v>
      </c>
      <c r="BU358" s="387">
        <f t="shared" si="237"/>
        <v>277.34335199999998</v>
      </c>
      <c r="BV358" s="387">
        <f t="shared" si="238"/>
        <v>170.36447999999999</v>
      </c>
      <c r="BW358" s="387">
        <f t="shared" si="239"/>
        <v>0</v>
      </c>
      <c r="BX358" s="387">
        <f t="shared" si="254"/>
        <v>10624.981223999999</v>
      </c>
      <c r="BY358" s="387">
        <f t="shared" si="255"/>
        <v>0</v>
      </c>
      <c r="BZ358" s="387">
        <f t="shared" si="256"/>
        <v>0</v>
      </c>
      <c r="CA358" s="387">
        <f t="shared" si="257"/>
        <v>0</v>
      </c>
      <c r="CB358" s="387">
        <f t="shared" si="258"/>
        <v>0</v>
      </c>
      <c r="CC358" s="387">
        <f t="shared" si="240"/>
        <v>0</v>
      </c>
      <c r="CD358" s="387">
        <f t="shared" si="241"/>
        <v>0</v>
      </c>
      <c r="CE358" s="387">
        <f t="shared" si="242"/>
        <v>0</v>
      </c>
      <c r="CF358" s="387">
        <f t="shared" si="243"/>
        <v>-245.52527999999998</v>
      </c>
      <c r="CG358" s="387">
        <f t="shared" si="244"/>
        <v>0</v>
      </c>
      <c r="CH358" s="387">
        <f t="shared" si="245"/>
        <v>35.07503999999998</v>
      </c>
      <c r="CI358" s="387">
        <f t="shared" si="246"/>
        <v>0</v>
      </c>
      <c r="CJ358" s="387">
        <f t="shared" si="259"/>
        <v>-210.45024000000001</v>
      </c>
      <c r="CK358" s="387" t="str">
        <f t="shared" si="260"/>
        <v/>
      </c>
      <c r="CL358" s="387" t="str">
        <f t="shared" si="261"/>
        <v/>
      </c>
      <c r="CM358" s="387" t="str">
        <f t="shared" si="262"/>
        <v/>
      </c>
      <c r="CN358" s="387" t="str">
        <f t="shared" si="263"/>
        <v>0348-31</v>
      </c>
    </row>
    <row r="359" spans="1:92" ht="15.75" thickBot="1" x14ac:dyDescent="0.3">
      <c r="A359" s="376" t="s">
        <v>161</v>
      </c>
      <c r="B359" s="376" t="s">
        <v>162</v>
      </c>
      <c r="C359" s="376" t="s">
        <v>1239</v>
      </c>
      <c r="D359" s="376" t="s">
        <v>862</v>
      </c>
      <c r="E359" s="376" t="s">
        <v>224</v>
      </c>
      <c r="F359" s="382" t="s">
        <v>225</v>
      </c>
      <c r="G359" s="376" t="s">
        <v>781</v>
      </c>
      <c r="H359" s="378"/>
      <c r="I359" s="378"/>
      <c r="J359" s="376" t="s">
        <v>239</v>
      </c>
      <c r="K359" s="376" t="s">
        <v>863</v>
      </c>
      <c r="L359" s="376" t="s">
        <v>252</v>
      </c>
      <c r="M359" s="376" t="s">
        <v>171</v>
      </c>
      <c r="N359" s="376" t="s">
        <v>172</v>
      </c>
      <c r="O359" s="379">
        <v>1</v>
      </c>
      <c r="P359" s="385">
        <v>0.6</v>
      </c>
      <c r="Q359" s="385">
        <v>0.6</v>
      </c>
      <c r="R359" s="380">
        <v>80</v>
      </c>
      <c r="S359" s="385">
        <v>0.6</v>
      </c>
      <c r="T359" s="380">
        <v>15306.01</v>
      </c>
      <c r="U359" s="380">
        <v>0</v>
      </c>
      <c r="V359" s="380">
        <v>7599.95</v>
      </c>
      <c r="W359" s="380">
        <v>23287.68</v>
      </c>
      <c r="X359" s="380">
        <v>12025.94</v>
      </c>
      <c r="Y359" s="380">
        <v>23287.68</v>
      </c>
      <c r="Z359" s="380">
        <v>11928.13</v>
      </c>
      <c r="AA359" s="376" t="s">
        <v>1240</v>
      </c>
      <c r="AB359" s="376" t="s">
        <v>1241</v>
      </c>
      <c r="AC359" s="376" t="s">
        <v>1242</v>
      </c>
      <c r="AD359" s="376" t="s">
        <v>292</v>
      </c>
      <c r="AE359" s="376" t="s">
        <v>863</v>
      </c>
      <c r="AF359" s="376" t="s">
        <v>393</v>
      </c>
      <c r="AG359" s="376" t="s">
        <v>178</v>
      </c>
      <c r="AH359" s="381">
        <v>18.66</v>
      </c>
      <c r="AI359" s="381">
        <v>8690.2999999999993</v>
      </c>
      <c r="AJ359" s="376" t="s">
        <v>179</v>
      </c>
      <c r="AK359" s="376" t="s">
        <v>180</v>
      </c>
      <c r="AL359" s="376" t="s">
        <v>181</v>
      </c>
      <c r="AM359" s="376" t="s">
        <v>182</v>
      </c>
      <c r="AN359" s="376" t="s">
        <v>68</v>
      </c>
      <c r="AO359" s="379">
        <v>80</v>
      </c>
      <c r="AP359" s="385">
        <v>1</v>
      </c>
      <c r="AQ359" s="385">
        <v>0.6</v>
      </c>
      <c r="AR359" s="383" t="s">
        <v>183</v>
      </c>
      <c r="AS359" s="387">
        <f t="shared" si="247"/>
        <v>0.6</v>
      </c>
      <c r="AT359">
        <f t="shared" si="248"/>
        <v>1</v>
      </c>
      <c r="AU359" s="387">
        <f>IF(AT359=0,"",IF(AND(AT359=1,M359="F",SUMIF(C2:C1334,C359,AS2:AS1334)&lt;=1),SUMIF(C2:C1334,C359,AS2:AS1334),IF(AND(AT359=1,M359="F",SUMIF(C2:C1334,C359,AS2:AS1334)&gt;1),1,"")))</f>
        <v>1</v>
      </c>
      <c r="AV359" s="387" t="str">
        <f>IF(AT359=0,"",IF(AND(AT359=3,M359="F",SUMIF(C2:C1334,C359,AS2:AS1334)&lt;=1),SUMIF(C2:C1334,C359,AS2:AS1334),IF(AND(AT359=3,M359="F",SUMIF(C2:C1334,C359,AS2:AS1334)&gt;1),1,"")))</f>
        <v/>
      </c>
      <c r="AW359" s="387">
        <f>SUMIF(C2:C1334,C359,O2:O1334)</f>
        <v>3</v>
      </c>
      <c r="AX359" s="387">
        <f>IF(AND(M359="F",AS359&lt;&gt;0),SUMIF(C2:C1334,C359,W2:W1334),0)</f>
        <v>38812.800000000003</v>
      </c>
      <c r="AY359" s="387">
        <f t="shared" si="249"/>
        <v>23287.68</v>
      </c>
      <c r="AZ359" s="387" t="str">
        <f t="shared" si="250"/>
        <v/>
      </c>
      <c r="BA359" s="387">
        <f t="shared" si="251"/>
        <v>0</v>
      </c>
      <c r="BB359" s="387">
        <f t="shared" si="220"/>
        <v>6990</v>
      </c>
      <c r="BC359" s="387">
        <f t="shared" si="221"/>
        <v>0</v>
      </c>
      <c r="BD359" s="387">
        <f t="shared" si="222"/>
        <v>1443.8361600000001</v>
      </c>
      <c r="BE359" s="387">
        <f t="shared" si="223"/>
        <v>337.67136000000005</v>
      </c>
      <c r="BF359" s="387">
        <f t="shared" si="224"/>
        <v>2780.548992</v>
      </c>
      <c r="BG359" s="387">
        <f t="shared" si="225"/>
        <v>167.9041728</v>
      </c>
      <c r="BH359" s="387">
        <f t="shared" si="226"/>
        <v>114.109632</v>
      </c>
      <c r="BI359" s="387">
        <f t="shared" si="227"/>
        <v>128.89730879999999</v>
      </c>
      <c r="BJ359" s="387">
        <f t="shared" si="228"/>
        <v>62.876736000000001</v>
      </c>
      <c r="BK359" s="387">
        <f t="shared" si="229"/>
        <v>0</v>
      </c>
      <c r="BL359" s="387">
        <f t="shared" si="252"/>
        <v>5035.8443616000004</v>
      </c>
      <c r="BM359" s="387">
        <f t="shared" si="253"/>
        <v>0</v>
      </c>
      <c r="BN359" s="387">
        <f t="shared" si="230"/>
        <v>6990</v>
      </c>
      <c r="BO359" s="387">
        <f t="shared" si="231"/>
        <v>0</v>
      </c>
      <c r="BP359" s="387">
        <f t="shared" si="232"/>
        <v>1443.8361600000001</v>
      </c>
      <c r="BQ359" s="387">
        <f t="shared" si="233"/>
        <v>337.67136000000005</v>
      </c>
      <c r="BR359" s="387">
        <f t="shared" si="234"/>
        <v>2780.548992</v>
      </c>
      <c r="BS359" s="387">
        <f t="shared" si="235"/>
        <v>167.9041728</v>
      </c>
      <c r="BT359" s="387">
        <f t="shared" si="236"/>
        <v>0</v>
      </c>
      <c r="BU359" s="387">
        <f t="shared" si="237"/>
        <v>128.89730879999999</v>
      </c>
      <c r="BV359" s="387">
        <f t="shared" si="238"/>
        <v>79.178111999999999</v>
      </c>
      <c r="BW359" s="387">
        <f t="shared" si="239"/>
        <v>0</v>
      </c>
      <c r="BX359" s="387">
        <f t="shared" si="254"/>
        <v>4938.0361056000002</v>
      </c>
      <c r="BY359" s="387">
        <f t="shared" si="255"/>
        <v>0</v>
      </c>
      <c r="BZ359" s="387">
        <f t="shared" si="256"/>
        <v>0</v>
      </c>
      <c r="CA359" s="387">
        <f t="shared" si="257"/>
        <v>0</v>
      </c>
      <c r="CB359" s="387">
        <f t="shared" si="258"/>
        <v>0</v>
      </c>
      <c r="CC359" s="387">
        <f t="shared" si="240"/>
        <v>0</v>
      </c>
      <c r="CD359" s="387">
        <f t="shared" si="241"/>
        <v>0</v>
      </c>
      <c r="CE359" s="387">
        <f t="shared" si="242"/>
        <v>0</v>
      </c>
      <c r="CF359" s="387">
        <f t="shared" si="243"/>
        <v>-114.109632</v>
      </c>
      <c r="CG359" s="387">
        <f t="shared" si="244"/>
        <v>0</v>
      </c>
      <c r="CH359" s="387">
        <f t="shared" si="245"/>
        <v>16.301375999999994</v>
      </c>
      <c r="CI359" s="387">
        <f t="shared" si="246"/>
        <v>0</v>
      </c>
      <c r="CJ359" s="387">
        <f t="shared" si="259"/>
        <v>-97.808256000000014</v>
      </c>
      <c r="CK359" s="387" t="str">
        <f t="shared" si="260"/>
        <v/>
      </c>
      <c r="CL359" s="387" t="str">
        <f t="shared" si="261"/>
        <v/>
      </c>
      <c r="CM359" s="387" t="str">
        <f t="shared" si="262"/>
        <v/>
      </c>
      <c r="CN359" s="387" t="str">
        <f t="shared" si="263"/>
        <v>0348-31</v>
      </c>
    </row>
    <row r="360" spans="1:92" ht="15.75" thickBot="1" x14ac:dyDescent="0.3">
      <c r="A360" s="376" t="s">
        <v>161</v>
      </c>
      <c r="B360" s="376" t="s">
        <v>162</v>
      </c>
      <c r="C360" s="376" t="s">
        <v>1243</v>
      </c>
      <c r="D360" s="376" t="s">
        <v>614</v>
      </c>
      <c r="E360" s="376" t="s">
        <v>224</v>
      </c>
      <c r="F360" s="382" t="s">
        <v>225</v>
      </c>
      <c r="G360" s="376" t="s">
        <v>781</v>
      </c>
      <c r="H360" s="378"/>
      <c r="I360" s="378"/>
      <c r="J360" s="376" t="s">
        <v>215</v>
      </c>
      <c r="K360" s="376" t="s">
        <v>615</v>
      </c>
      <c r="L360" s="376" t="s">
        <v>181</v>
      </c>
      <c r="M360" s="376" t="s">
        <v>171</v>
      </c>
      <c r="N360" s="376" t="s">
        <v>172</v>
      </c>
      <c r="O360" s="379">
        <v>1</v>
      </c>
      <c r="P360" s="385">
        <v>1</v>
      </c>
      <c r="Q360" s="385">
        <v>1</v>
      </c>
      <c r="R360" s="380">
        <v>80</v>
      </c>
      <c r="S360" s="385">
        <v>1</v>
      </c>
      <c r="T360" s="380">
        <v>53088</v>
      </c>
      <c r="U360" s="380">
        <v>0</v>
      </c>
      <c r="V360" s="380">
        <v>22789.01</v>
      </c>
      <c r="W360" s="380">
        <v>64896</v>
      </c>
      <c r="X360" s="380">
        <v>25683.74</v>
      </c>
      <c r="Y360" s="380">
        <v>64896</v>
      </c>
      <c r="Z360" s="380">
        <v>25411.18</v>
      </c>
      <c r="AA360" s="376" t="s">
        <v>1244</v>
      </c>
      <c r="AB360" s="376" t="s">
        <v>1245</v>
      </c>
      <c r="AC360" s="376" t="s">
        <v>1246</v>
      </c>
      <c r="AD360" s="376" t="s">
        <v>1247</v>
      </c>
      <c r="AE360" s="376" t="s">
        <v>615</v>
      </c>
      <c r="AF360" s="376" t="s">
        <v>211</v>
      </c>
      <c r="AG360" s="376" t="s">
        <v>178</v>
      </c>
      <c r="AH360" s="381">
        <v>31.2</v>
      </c>
      <c r="AI360" s="381">
        <v>6439.3</v>
      </c>
      <c r="AJ360" s="376" t="s">
        <v>179</v>
      </c>
      <c r="AK360" s="376" t="s">
        <v>180</v>
      </c>
      <c r="AL360" s="376" t="s">
        <v>181</v>
      </c>
      <c r="AM360" s="376" t="s">
        <v>182</v>
      </c>
      <c r="AN360" s="376" t="s">
        <v>68</v>
      </c>
      <c r="AO360" s="379">
        <v>80</v>
      </c>
      <c r="AP360" s="385">
        <v>1</v>
      </c>
      <c r="AQ360" s="385">
        <v>1</v>
      </c>
      <c r="AR360" s="383" t="s">
        <v>183</v>
      </c>
      <c r="AS360" s="387">
        <f t="shared" si="247"/>
        <v>1</v>
      </c>
      <c r="AT360">
        <f t="shared" si="248"/>
        <v>1</v>
      </c>
      <c r="AU360" s="387">
        <f>IF(AT360=0,"",IF(AND(AT360=1,M360="F",SUMIF(C2:C1334,C360,AS2:AS1334)&lt;=1),SUMIF(C2:C1334,C360,AS2:AS1334),IF(AND(AT360=1,M360="F",SUMIF(C2:C1334,C360,AS2:AS1334)&gt;1),1,"")))</f>
        <v>1</v>
      </c>
      <c r="AV360" s="387" t="str">
        <f>IF(AT360=0,"",IF(AND(AT360=3,M360="F",SUMIF(C2:C1334,C360,AS2:AS1334)&lt;=1),SUMIF(C2:C1334,C360,AS2:AS1334),IF(AND(AT360=3,M360="F",SUMIF(C2:C1334,C360,AS2:AS1334)&gt;1),1,"")))</f>
        <v/>
      </c>
      <c r="AW360" s="387">
        <f>SUMIF(C2:C1334,C360,O2:O1334)</f>
        <v>1</v>
      </c>
      <c r="AX360" s="387">
        <f>IF(AND(M360="F",AS360&lt;&gt;0),SUMIF(C2:C1334,C360,W2:W1334),0)</f>
        <v>64896</v>
      </c>
      <c r="AY360" s="387">
        <f t="shared" si="249"/>
        <v>64896</v>
      </c>
      <c r="AZ360" s="387" t="str">
        <f t="shared" si="250"/>
        <v/>
      </c>
      <c r="BA360" s="387">
        <f t="shared" si="251"/>
        <v>0</v>
      </c>
      <c r="BB360" s="387">
        <f t="shared" si="220"/>
        <v>11650</v>
      </c>
      <c r="BC360" s="387">
        <f t="shared" si="221"/>
        <v>0</v>
      </c>
      <c r="BD360" s="387">
        <f t="shared" si="222"/>
        <v>4023.5520000000001</v>
      </c>
      <c r="BE360" s="387">
        <f t="shared" si="223"/>
        <v>940.99200000000008</v>
      </c>
      <c r="BF360" s="387">
        <f t="shared" si="224"/>
        <v>7748.5824000000002</v>
      </c>
      <c r="BG360" s="387">
        <f t="shared" si="225"/>
        <v>467.90016000000003</v>
      </c>
      <c r="BH360" s="387">
        <f t="shared" si="226"/>
        <v>317.99039999999997</v>
      </c>
      <c r="BI360" s="387">
        <f t="shared" si="227"/>
        <v>359.19936000000001</v>
      </c>
      <c r="BJ360" s="387">
        <f t="shared" si="228"/>
        <v>175.2192</v>
      </c>
      <c r="BK360" s="387">
        <f t="shared" si="229"/>
        <v>0</v>
      </c>
      <c r="BL360" s="387">
        <f t="shared" si="252"/>
        <v>14033.435520000001</v>
      </c>
      <c r="BM360" s="387">
        <f t="shared" si="253"/>
        <v>0</v>
      </c>
      <c r="BN360" s="387">
        <f t="shared" si="230"/>
        <v>11650</v>
      </c>
      <c r="BO360" s="387">
        <f t="shared" si="231"/>
        <v>0</v>
      </c>
      <c r="BP360" s="387">
        <f t="shared" si="232"/>
        <v>4023.5520000000001</v>
      </c>
      <c r="BQ360" s="387">
        <f t="shared" si="233"/>
        <v>940.99200000000008</v>
      </c>
      <c r="BR360" s="387">
        <f t="shared" si="234"/>
        <v>7748.5824000000002</v>
      </c>
      <c r="BS360" s="387">
        <f t="shared" si="235"/>
        <v>467.90016000000003</v>
      </c>
      <c r="BT360" s="387">
        <f t="shared" si="236"/>
        <v>0</v>
      </c>
      <c r="BU360" s="387">
        <f t="shared" si="237"/>
        <v>359.19936000000001</v>
      </c>
      <c r="BV360" s="387">
        <f t="shared" si="238"/>
        <v>220.6464</v>
      </c>
      <c r="BW360" s="387">
        <f t="shared" si="239"/>
        <v>0</v>
      </c>
      <c r="BX360" s="387">
        <f t="shared" si="254"/>
        <v>13760.87232</v>
      </c>
      <c r="BY360" s="387">
        <f t="shared" si="255"/>
        <v>0</v>
      </c>
      <c r="BZ360" s="387">
        <f t="shared" si="256"/>
        <v>0</v>
      </c>
      <c r="CA360" s="387">
        <f t="shared" si="257"/>
        <v>0</v>
      </c>
      <c r="CB360" s="387">
        <f t="shared" si="258"/>
        <v>0</v>
      </c>
      <c r="CC360" s="387">
        <f t="shared" si="240"/>
        <v>0</v>
      </c>
      <c r="CD360" s="387">
        <f t="shared" si="241"/>
        <v>0</v>
      </c>
      <c r="CE360" s="387">
        <f t="shared" si="242"/>
        <v>0</v>
      </c>
      <c r="CF360" s="387">
        <f t="shared" si="243"/>
        <v>-317.99039999999997</v>
      </c>
      <c r="CG360" s="387">
        <f t="shared" si="244"/>
        <v>0</v>
      </c>
      <c r="CH360" s="387">
        <f t="shared" si="245"/>
        <v>45.427199999999978</v>
      </c>
      <c r="CI360" s="387">
        <f t="shared" si="246"/>
        <v>0</v>
      </c>
      <c r="CJ360" s="387">
        <f t="shared" si="259"/>
        <v>-272.56319999999999</v>
      </c>
      <c r="CK360" s="387" t="str">
        <f t="shared" si="260"/>
        <v/>
      </c>
      <c r="CL360" s="387" t="str">
        <f t="shared" si="261"/>
        <v/>
      </c>
      <c r="CM360" s="387" t="str">
        <f t="shared" si="262"/>
        <v/>
      </c>
      <c r="CN360" s="387" t="str">
        <f t="shared" si="263"/>
        <v>0348-31</v>
      </c>
    </row>
    <row r="361" spans="1:92" ht="15.75" thickBot="1" x14ac:dyDescent="0.3">
      <c r="A361" s="376" t="s">
        <v>161</v>
      </c>
      <c r="B361" s="376" t="s">
        <v>162</v>
      </c>
      <c r="C361" s="376" t="s">
        <v>1248</v>
      </c>
      <c r="D361" s="376" t="s">
        <v>1249</v>
      </c>
      <c r="E361" s="376" t="s">
        <v>224</v>
      </c>
      <c r="F361" s="382" t="s">
        <v>225</v>
      </c>
      <c r="G361" s="376" t="s">
        <v>781</v>
      </c>
      <c r="H361" s="378"/>
      <c r="I361" s="378"/>
      <c r="J361" s="376" t="s">
        <v>215</v>
      </c>
      <c r="K361" s="376" t="s">
        <v>1250</v>
      </c>
      <c r="L361" s="376" t="s">
        <v>170</v>
      </c>
      <c r="M361" s="376" t="s">
        <v>171</v>
      </c>
      <c r="N361" s="376" t="s">
        <v>172</v>
      </c>
      <c r="O361" s="379">
        <v>1</v>
      </c>
      <c r="P361" s="385">
        <v>1</v>
      </c>
      <c r="Q361" s="385">
        <v>1</v>
      </c>
      <c r="R361" s="380">
        <v>80</v>
      </c>
      <c r="S361" s="385">
        <v>1</v>
      </c>
      <c r="T361" s="380">
        <v>54896.82</v>
      </c>
      <c r="U361" s="380">
        <v>0</v>
      </c>
      <c r="V361" s="380">
        <v>22656.06</v>
      </c>
      <c r="W361" s="380">
        <v>59404.800000000003</v>
      </c>
      <c r="X361" s="380">
        <v>24496.25</v>
      </c>
      <c r="Y361" s="380">
        <v>59404.800000000003</v>
      </c>
      <c r="Z361" s="380">
        <v>24246.75</v>
      </c>
      <c r="AA361" s="376" t="s">
        <v>1251</v>
      </c>
      <c r="AB361" s="376" t="s">
        <v>1252</v>
      </c>
      <c r="AC361" s="376" t="s">
        <v>1253</v>
      </c>
      <c r="AD361" s="376" t="s">
        <v>180</v>
      </c>
      <c r="AE361" s="376" t="s">
        <v>1250</v>
      </c>
      <c r="AF361" s="376" t="s">
        <v>177</v>
      </c>
      <c r="AG361" s="376" t="s">
        <v>178</v>
      </c>
      <c r="AH361" s="381">
        <v>28.56</v>
      </c>
      <c r="AI361" s="381">
        <v>48745.5</v>
      </c>
      <c r="AJ361" s="376" t="s">
        <v>179</v>
      </c>
      <c r="AK361" s="376" t="s">
        <v>180</v>
      </c>
      <c r="AL361" s="376" t="s">
        <v>181</v>
      </c>
      <c r="AM361" s="376" t="s">
        <v>182</v>
      </c>
      <c r="AN361" s="376" t="s">
        <v>68</v>
      </c>
      <c r="AO361" s="379">
        <v>80</v>
      </c>
      <c r="AP361" s="385">
        <v>1</v>
      </c>
      <c r="AQ361" s="385">
        <v>1</v>
      </c>
      <c r="AR361" s="383" t="s">
        <v>183</v>
      </c>
      <c r="AS361" s="387">
        <f t="shared" si="247"/>
        <v>1</v>
      </c>
      <c r="AT361">
        <f t="shared" si="248"/>
        <v>1</v>
      </c>
      <c r="AU361" s="387">
        <f>IF(AT361=0,"",IF(AND(AT361=1,M361="F",SUMIF(C2:C1334,C361,AS2:AS1334)&lt;=1),SUMIF(C2:C1334,C361,AS2:AS1334),IF(AND(AT361=1,M361="F",SUMIF(C2:C1334,C361,AS2:AS1334)&gt;1),1,"")))</f>
        <v>1</v>
      </c>
      <c r="AV361" s="387" t="str">
        <f>IF(AT361=0,"",IF(AND(AT361=3,M361="F",SUMIF(C2:C1334,C361,AS2:AS1334)&lt;=1),SUMIF(C2:C1334,C361,AS2:AS1334),IF(AND(AT361=3,M361="F",SUMIF(C2:C1334,C361,AS2:AS1334)&gt;1),1,"")))</f>
        <v/>
      </c>
      <c r="AW361" s="387">
        <f>SUMIF(C2:C1334,C361,O2:O1334)</f>
        <v>2</v>
      </c>
      <c r="AX361" s="387">
        <f>IF(AND(M361="F",AS361&lt;&gt;0),SUMIF(C2:C1334,C361,W2:W1334),0)</f>
        <v>59404.800000000003</v>
      </c>
      <c r="AY361" s="387">
        <f t="shared" si="249"/>
        <v>59404.800000000003</v>
      </c>
      <c r="AZ361" s="387" t="str">
        <f t="shared" si="250"/>
        <v/>
      </c>
      <c r="BA361" s="387">
        <f t="shared" si="251"/>
        <v>0</v>
      </c>
      <c r="BB361" s="387">
        <f t="shared" si="220"/>
        <v>11650</v>
      </c>
      <c r="BC361" s="387">
        <f t="shared" si="221"/>
        <v>0</v>
      </c>
      <c r="BD361" s="387">
        <f t="shared" si="222"/>
        <v>3683.0976000000001</v>
      </c>
      <c r="BE361" s="387">
        <f t="shared" si="223"/>
        <v>861.3696000000001</v>
      </c>
      <c r="BF361" s="387">
        <f t="shared" si="224"/>
        <v>7092.9331200000006</v>
      </c>
      <c r="BG361" s="387">
        <f t="shared" si="225"/>
        <v>428.30860800000005</v>
      </c>
      <c r="BH361" s="387">
        <f t="shared" si="226"/>
        <v>291.08352000000002</v>
      </c>
      <c r="BI361" s="387">
        <f t="shared" si="227"/>
        <v>328.80556799999999</v>
      </c>
      <c r="BJ361" s="387">
        <f t="shared" si="228"/>
        <v>160.39296000000002</v>
      </c>
      <c r="BK361" s="387">
        <f t="shared" si="229"/>
        <v>0</v>
      </c>
      <c r="BL361" s="387">
        <f t="shared" si="252"/>
        <v>12845.990975999999</v>
      </c>
      <c r="BM361" s="387">
        <f t="shared" si="253"/>
        <v>0</v>
      </c>
      <c r="BN361" s="387">
        <f t="shared" si="230"/>
        <v>11650</v>
      </c>
      <c r="BO361" s="387">
        <f t="shared" si="231"/>
        <v>0</v>
      </c>
      <c r="BP361" s="387">
        <f t="shared" si="232"/>
        <v>3683.0976000000001</v>
      </c>
      <c r="BQ361" s="387">
        <f t="shared" si="233"/>
        <v>861.3696000000001</v>
      </c>
      <c r="BR361" s="387">
        <f t="shared" si="234"/>
        <v>7092.9331200000006</v>
      </c>
      <c r="BS361" s="387">
        <f t="shared" si="235"/>
        <v>428.30860800000005</v>
      </c>
      <c r="BT361" s="387">
        <f t="shared" si="236"/>
        <v>0</v>
      </c>
      <c r="BU361" s="387">
        <f t="shared" si="237"/>
        <v>328.80556799999999</v>
      </c>
      <c r="BV361" s="387">
        <f t="shared" si="238"/>
        <v>201.97631999999999</v>
      </c>
      <c r="BW361" s="387">
        <f t="shared" si="239"/>
        <v>0</v>
      </c>
      <c r="BX361" s="387">
        <f t="shared" si="254"/>
        <v>12596.490816</v>
      </c>
      <c r="BY361" s="387">
        <f t="shared" si="255"/>
        <v>0</v>
      </c>
      <c r="BZ361" s="387">
        <f t="shared" si="256"/>
        <v>0</v>
      </c>
      <c r="CA361" s="387">
        <f t="shared" si="257"/>
        <v>0</v>
      </c>
      <c r="CB361" s="387">
        <f t="shared" si="258"/>
        <v>0</v>
      </c>
      <c r="CC361" s="387">
        <f t="shared" si="240"/>
        <v>0</v>
      </c>
      <c r="CD361" s="387">
        <f t="shared" si="241"/>
        <v>0</v>
      </c>
      <c r="CE361" s="387">
        <f t="shared" si="242"/>
        <v>0</v>
      </c>
      <c r="CF361" s="387">
        <f t="shared" si="243"/>
        <v>-291.08352000000002</v>
      </c>
      <c r="CG361" s="387">
        <f t="shared" si="244"/>
        <v>0</v>
      </c>
      <c r="CH361" s="387">
        <f t="shared" si="245"/>
        <v>41.583359999999985</v>
      </c>
      <c r="CI361" s="387">
        <f t="shared" si="246"/>
        <v>0</v>
      </c>
      <c r="CJ361" s="387">
        <f t="shared" si="259"/>
        <v>-249.50016000000005</v>
      </c>
      <c r="CK361" s="387" t="str">
        <f t="shared" si="260"/>
        <v/>
      </c>
      <c r="CL361" s="387" t="str">
        <f t="shared" si="261"/>
        <v/>
      </c>
      <c r="CM361" s="387" t="str">
        <f t="shared" si="262"/>
        <v/>
      </c>
      <c r="CN361" s="387" t="str">
        <f t="shared" si="263"/>
        <v>0348-31</v>
      </c>
    </row>
    <row r="362" spans="1:92" ht="15.75" thickBot="1" x14ac:dyDescent="0.3">
      <c r="A362" s="376" t="s">
        <v>161</v>
      </c>
      <c r="B362" s="376" t="s">
        <v>162</v>
      </c>
      <c r="C362" s="376" t="s">
        <v>1254</v>
      </c>
      <c r="D362" s="376" t="s">
        <v>862</v>
      </c>
      <c r="E362" s="376" t="s">
        <v>224</v>
      </c>
      <c r="F362" s="382" t="s">
        <v>225</v>
      </c>
      <c r="G362" s="376" t="s">
        <v>781</v>
      </c>
      <c r="H362" s="378"/>
      <c r="I362" s="378"/>
      <c r="J362" s="376" t="s">
        <v>168</v>
      </c>
      <c r="K362" s="376" t="s">
        <v>863</v>
      </c>
      <c r="L362" s="376" t="s">
        <v>252</v>
      </c>
      <c r="M362" s="376" t="s">
        <v>171</v>
      </c>
      <c r="N362" s="376" t="s">
        <v>172</v>
      </c>
      <c r="O362" s="379">
        <v>1</v>
      </c>
      <c r="P362" s="385">
        <v>0.85</v>
      </c>
      <c r="Q362" s="385">
        <v>0.85</v>
      </c>
      <c r="R362" s="380">
        <v>80</v>
      </c>
      <c r="S362" s="385">
        <v>0.85</v>
      </c>
      <c r="T362" s="380">
        <v>36940.980000000003</v>
      </c>
      <c r="U362" s="380">
        <v>0</v>
      </c>
      <c r="V362" s="380">
        <v>17561.97</v>
      </c>
      <c r="W362" s="380">
        <v>40115.919999999998</v>
      </c>
      <c r="X362" s="380">
        <v>18577.53</v>
      </c>
      <c r="Y362" s="380">
        <v>40115.919999999998</v>
      </c>
      <c r="Z362" s="380">
        <v>18409.060000000001</v>
      </c>
      <c r="AA362" s="376" t="s">
        <v>1255</v>
      </c>
      <c r="AB362" s="376" t="s">
        <v>1256</v>
      </c>
      <c r="AC362" s="376" t="s">
        <v>1257</v>
      </c>
      <c r="AD362" s="376" t="s">
        <v>324</v>
      </c>
      <c r="AE362" s="376" t="s">
        <v>863</v>
      </c>
      <c r="AF362" s="376" t="s">
        <v>393</v>
      </c>
      <c r="AG362" s="376" t="s">
        <v>178</v>
      </c>
      <c r="AH362" s="381">
        <v>22.69</v>
      </c>
      <c r="AI362" s="381">
        <v>26839.5</v>
      </c>
      <c r="AJ362" s="376" t="s">
        <v>179</v>
      </c>
      <c r="AK362" s="376" t="s">
        <v>180</v>
      </c>
      <c r="AL362" s="376" t="s">
        <v>181</v>
      </c>
      <c r="AM362" s="376" t="s">
        <v>182</v>
      </c>
      <c r="AN362" s="376" t="s">
        <v>68</v>
      </c>
      <c r="AO362" s="379">
        <v>80</v>
      </c>
      <c r="AP362" s="385">
        <v>1</v>
      </c>
      <c r="AQ362" s="385">
        <v>0.85</v>
      </c>
      <c r="AR362" s="383" t="s">
        <v>183</v>
      </c>
      <c r="AS362" s="387">
        <f t="shared" si="247"/>
        <v>0.85</v>
      </c>
      <c r="AT362">
        <f t="shared" si="248"/>
        <v>1</v>
      </c>
      <c r="AU362" s="387">
        <f>IF(AT362=0,"",IF(AND(AT362=1,M362="F",SUMIF(C2:C1334,C362,AS2:AS1334)&lt;=1),SUMIF(C2:C1334,C362,AS2:AS1334),IF(AND(AT362=1,M362="F",SUMIF(C2:C1334,C362,AS2:AS1334)&gt;1),1,"")))</f>
        <v>1</v>
      </c>
      <c r="AV362" s="387" t="str">
        <f>IF(AT362=0,"",IF(AND(AT362=3,M362="F",SUMIF(C2:C1334,C362,AS2:AS1334)&lt;=1),SUMIF(C2:C1334,C362,AS2:AS1334),IF(AND(AT362=3,M362="F",SUMIF(C2:C1334,C362,AS2:AS1334)&gt;1),1,"")))</f>
        <v/>
      </c>
      <c r="AW362" s="387">
        <f>SUMIF(C2:C1334,C362,O2:O1334)</f>
        <v>3</v>
      </c>
      <c r="AX362" s="387">
        <f>IF(AND(M362="F",AS362&lt;&gt;0),SUMIF(C2:C1334,C362,W2:W1334),0)</f>
        <v>47195.199999999997</v>
      </c>
      <c r="AY362" s="387">
        <f t="shared" si="249"/>
        <v>40115.919999999998</v>
      </c>
      <c r="AZ362" s="387" t="str">
        <f t="shared" si="250"/>
        <v/>
      </c>
      <c r="BA362" s="387">
        <f t="shared" si="251"/>
        <v>0</v>
      </c>
      <c r="BB362" s="387">
        <f t="shared" si="220"/>
        <v>9902.5</v>
      </c>
      <c r="BC362" s="387">
        <f t="shared" si="221"/>
        <v>0</v>
      </c>
      <c r="BD362" s="387">
        <f t="shared" si="222"/>
        <v>2487.1870399999998</v>
      </c>
      <c r="BE362" s="387">
        <f t="shared" si="223"/>
        <v>581.68083999999999</v>
      </c>
      <c r="BF362" s="387">
        <f t="shared" si="224"/>
        <v>4789.8408479999998</v>
      </c>
      <c r="BG362" s="387">
        <f t="shared" si="225"/>
        <v>289.23578320000001</v>
      </c>
      <c r="BH362" s="387">
        <f t="shared" si="226"/>
        <v>196.56800799999999</v>
      </c>
      <c r="BI362" s="387">
        <f t="shared" si="227"/>
        <v>222.04161719999999</v>
      </c>
      <c r="BJ362" s="387">
        <f t="shared" si="228"/>
        <v>108.312984</v>
      </c>
      <c r="BK362" s="387">
        <f t="shared" si="229"/>
        <v>0</v>
      </c>
      <c r="BL362" s="387">
        <f t="shared" si="252"/>
        <v>8674.8671204000002</v>
      </c>
      <c r="BM362" s="387">
        <f t="shared" si="253"/>
        <v>0</v>
      </c>
      <c r="BN362" s="387">
        <f t="shared" si="230"/>
        <v>9902.5</v>
      </c>
      <c r="BO362" s="387">
        <f t="shared" si="231"/>
        <v>0</v>
      </c>
      <c r="BP362" s="387">
        <f t="shared" si="232"/>
        <v>2487.1870399999998</v>
      </c>
      <c r="BQ362" s="387">
        <f t="shared" si="233"/>
        <v>581.68083999999999</v>
      </c>
      <c r="BR362" s="387">
        <f t="shared" si="234"/>
        <v>4789.8408479999998</v>
      </c>
      <c r="BS362" s="387">
        <f t="shared" si="235"/>
        <v>289.23578320000001</v>
      </c>
      <c r="BT362" s="387">
        <f t="shared" si="236"/>
        <v>0</v>
      </c>
      <c r="BU362" s="387">
        <f t="shared" si="237"/>
        <v>222.04161719999999</v>
      </c>
      <c r="BV362" s="387">
        <f t="shared" si="238"/>
        <v>136.39412799999999</v>
      </c>
      <c r="BW362" s="387">
        <f t="shared" si="239"/>
        <v>0</v>
      </c>
      <c r="BX362" s="387">
        <f t="shared" si="254"/>
        <v>8506.3802563999998</v>
      </c>
      <c r="BY362" s="387">
        <f t="shared" si="255"/>
        <v>0</v>
      </c>
      <c r="BZ362" s="387">
        <f t="shared" si="256"/>
        <v>0</v>
      </c>
      <c r="CA362" s="387">
        <f t="shared" si="257"/>
        <v>0</v>
      </c>
      <c r="CB362" s="387">
        <f t="shared" si="258"/>
        <v>0</v>
      </c>
      <c r="CC362" s="387">
        <f t="shared" si="240"/>
        <v>0</v>
      </c>
      <c r="CD362" s="387">
        <f t="shared" si="241"/>
        <v>0</v>
      </c>
      <c r="CE362" s="387">
        <f t="shared" si="242"/>
        <v>0</v>
      </c>
      <c r="CF362" s="387">
        <f t="shared" si="243"/>
        <v>-196.56800799999999</v>
      </c>
      <c r="CG362" s="387">
        <f t="shared" si="244"/>
        <v>0</v>
      </c>
      <c r="CH362" s="387">
        <f t="shared" si="245"/>
        <v>28.081143999999984</v>
      </c>
      <c r="CI362" s="387">
        <f t="shared" si="246"/>
        <v>0</v>
      </c>
      <c r="CJ362" s="387">
        <f t="shared" si="259"/>
        <v>-168.486864</v>
      </c>
      <c r="CK362" s="387" t="str">
        <f t="shared" si="260"/>
        <v/>
      </c>
      <c r="CL362" s="387" t="str">
        <f t="shared" si="261"/>
        <v/>
      </c>
      <c r="CM362" s="387" t="str">
        <f t="shared" si="262"/>
        <v/>
      </c>
      <c r="CN362" s="387" t="str">
        <f t="shared" si="263"/>
        <v>0348-31</v>
      </c>
    </row>
    <row r="363" spans="1:92" ht="15.75" thickBot="1" x14ac:dyDescent="0.3">
      <c r="A363" s="376" t="s">
        <v>161</v>
      </c>
      <c r="B363" s="376" t="s">
        <v>162</v>
      </c>
      <c r="C363" s="376" t="s">
        <v>674</v>
      </c>
      <c r="D363" s="376" t="s">
        <v>1088</v>
      </c>
      <c r="E363" s="376" t="s">
        <v>224</v>
      </c>
      <c r="F363" s="382" t="s">
        <v>225</v>
      </c>
      <c r="G363" s="376" t="s">
        <v>781</v>
      </c>
      <c r="H363" s="378"/>
      <c r="I363" s="378"/>
      <c r="J363" s="376" t="s">
        <v>215</v>
      </c>
      <c r="K363" s="376" t="s">
        <v>1089</v>
      </c>
      <c r="L363" s="376" t="s">
        <v>181</v>
      </c>
      <c r="M363" s="376" t="s">
        <v>171</v>
      </c>
      <c r="N363" s="376" t="s">
        <v>172</v>
      </c>
      <c r="O363" s="379">
        <v>1</v>
      </c>
      <c r="P363" s="385">
        <v>0</v>
      </c>
      <c r="Q363" s="385">
        <v>0</v>
      </c>
      <c r="R363" s="380">
        <v>80</v>
      </c>
      <c r="S363" s="385">
        <v>0</v>
      </c>
      <c r="T363" s="380">
        <v>30313.63</v>
      </c>
      <c r="U363" s="380">
        <v>0</v>
      </c>
      <c r="V363" s="380">
        <v>11164.21</v>
      </c>
      <c r="W363" s="380">
        <v>0</v>
      </c>
      <c r="X363" s="380">
        <v>0</v>
      </c>
      <c r="Y363" s="380">
        <v>0</v>
      </c>
      <c r="Z363" s="380">
        <v>0</v>
      </c>
      <c r="AA363" s="376" t="s">
        <v>1258</v>
      </c>
      <c r="AB363" s="376" t="s">
        <v>1259</v>
      </c>
      <c r="AC363" s="376" t="s">
        <v>1007</v>
      </c>
      <c r="AD363" s="376" t="s">
        <v>351</v>
      </c>
      <c r="AE363" s="376" t="s">
        <v>1089</v>
      </c>
      <c r="AF363" s="376" t="s">
        <v>211</v>
      </c>
      <c r="AG363" s="376" t="s">
        <v>178</v>
      </c>
      <c r="AH363" s="381">
        <v>35.56</v>
      </c>
      <c r="AI363" s="381">
        <v>32650.7</v>
      </c>
      <c r="AJ363" s="376" t="s">
        <v>179</v>
      </c>
      <c r="AK363" s="376" t="s">
        <v>180</v>
      </c>
      <c r="AL363" s="376" t="s">
        <v>181</v>
      </c>
      <c r="AM363" s="376" t="s">
        <v>182</v>
      </c>
      <c r="AN363" s="376" t="s">
        <v>68</v>
      </c>
      <c r="AO363" s="379">
        <v>80</v>
      </c>
      <c r="AP363" s="385">
        <v>1</v>
      </c>
      <c r="AQ363" s="385">
        <v>0</v>
      </c>
      <c r="AR363" s="383" t="s">
        <v>183</v>
      </c>
      <c r="AS363" s="387">
        <f t="shared" si="247"/>
        <v>0</v>
      </c>
      <c r="AT363">
        <f t="shared" si="248"/>
        <v>0</v>
      </c>
      <c r="AU363" s="387" t="str">
        <f>IF(AT363=0,"",IF(AND(AT363=1,M363="F",SUMIF(C2:C1334,C363,AS2:AS1334)&lt;=1),SUMIF(C2:C1334,C363,AS2:AS1334),IF(AND(AT363=1,M363="F",SUMIF(C2:C1334,C363,AS2:AS1334)&gt;1),1,"")))</f>
        <v/>
      </c>
      <c r="AV363" s="387" t="str">
        <f>IF(AT363=0,"",IF(AND(AT363=3,M363="F",SUMIF(C2:C1334,C363,AS2:AS1334)&lt;=1),SUMIF(C2:C1334,C363,AS2:AS1334),IF(AND(AT363=3,M363="F",SUMIF(C2:C1334,C363,AS2:AS1334)&gt;1),1,"")))</f>
        <v/>
      </c>
      <c r="AW363" s="387">
        <f>SUMIF(C2:C1334,C363,O2:O1334)</f>
        <v>2</v>
      </c>
      <c r="AX363" s="387">
        <f>IF(AND(M363="F",AS363&lt;&gt;0),SUMIF(C2:C1334,C363,W2:W1334),0)</f>
        <v>0</v>
      </c>
      <c r="AY363" s="387" t="str">
        <f t="shared" si="249"/>
        <v/>
      </c>
      <c r="AZ363" s="387" t="str">
        <f t="shared" si="250"/>
        <v/>
      </c>
      <c r="BA363" s="387">
        <f t="shared" si="251"/>
        <v>0</v>
      </c>
      <c r="BB363" s="387">
        <f t="shared" si="220"/>
        <v>0</v>
      </c>
      <c r="BC363" s="387">
        <f t="shared" si="221"/>
        <v>0</v>
      </c>
      <c r="BD363" s="387">
        <f t="shared" si="222"/>
        <v>0</v>
      </c>
      <c r="BE363" s="387">
        <f t="shared" si="223"/>
        <v>0</v>
      </c>
      <c r="BF363" s="387">
        <f t="shared" si="224"/>
        <v>0</v>
      </c>
      <c r="BG363" s="387">
        <f t="shared" si="225"/>
        <v>0</v>
      </c>
      <c r="BH363" s="387">
        <f t="shared" si="226"/>
        <v>0</v>
      </c>
      <c r="BI363" s="387">
        <f t="shared" si="227"/>
        <v>0</v>
      </c>
      <c r="BJ363" s="387">
        <f t="shared" si="228"/>
        <v>0</v>
      </c>
      <c r="BK363" s="387">
        <f t="shared" si="229"/>
        <v>0</v>
      </c>
      <c r="BL363" s="387">
        <f t="shared" si="252"/>
        <v>0</v>
      </c>
      <c r="BM363" s="387">
        <f t="shared" si="253"/>
        <v>0</v>
      </c>
      <c r="BN363" s="387">
        <f t="shared" si="230"/>
        <v>0</v>
      </c>
      <c r="BO363" s="387">
        <f t="shared" si="231"/>
        <v>0</v>
      </c>
      <c r="BP363" s="387">
        <f t="shared" si="232"/>
        <v>0</v>
      </c>
      <c r="BQ363" s="387">
        <f t="shared" si="233"/>
        <v>0</v>
      </c>
      <c r="BR363" s="387">
        <f t="shared" si="234"/>
        <v>0</v>
      </c>
      <c r="BS363" s="387">
        <f t="shared" si="235"/>
        <v>0</v>
      </c>
      <c r="BT363" s="387">
        <f t="shared" si="236"/>
        <v>0</v>
      </c>
      <c r="BU363" s="387">
        <f t="shared" si="237"/>
        <v>0</v>
      </c>
      <c r="BV363" s="387">
        <f t="shared" si="238"/>
        <v>0</v>
      </c>
      <c r="BW363" s="387">
        <f t="shared" si="239"/>
        <v>0</v>
      </c>
      <c r="BX363" s="387">
        <f t="shared" si="254"/>
        <v>0</v>
      </c>
      <c r="BY363" s="387">
        <f t="shared" si="255"/>
        <v>0</v>
      </c>
      <c r="BZ363" s="387">
        <f t="shared" si="256"/>
        <v>0</v>
      </c>
      <c r="CA363" s="387">
        <f t="shared" si="257"/>
        <v>0</v>
      </c>
      <c r="CB363" s="387">
        <f t="shared" si="258"/>
        <v>0</v>
      </c>
      <c r="CC363" s="387">
        <f t="shared" si="240"/>
        <v>0</v>
      </c>
      <c r="CD363" s="387">
        <f t="shared" si="241"/>
        <v>0</v>
      </c>
      <c r="CE363" s="387">
        <f t="shared" si="242"/>
        <v>0</v>
      </c>
      <c r="CF363" s="387">
        <f t="shared" si="243"/>
        <v>0</v>
      </c>
      <c r="CG363" s="387">
        <f t="shared" si="244"/>
        <v>0</v>
      </c>
      <c r="CH363" s="387">
        <f t="shared" si="245"/>
        <v>0</v>
      </c>
      <c r="CI363" s="387">
        <f t="shared" si="246"/>
        <v>0</v>
      </c>
      <c r="CJ363" s="387">
        <f t="shared" si="259"/>
        <v>0</v>
      </c>
      <c r="CK363" s="387" t="str">
        <f t="shared" si="260"/>
        <v/>
      </c>
      <c r="CL363" s="387" t="str">
        <f t="shared" si="261"/>
        <v/>
      </c>
      <c r="CM363" s="387" t="str">
        <f t="shared" si="262"/>
        <v/>
      </c>
      <c r="CN363" s="387" t="str">
        <f t="shared" si="263"/>
        <v>0348-31</v>
      </c>
    </row>
    <row r="364" spans="1:92" ht="15.75" thickBot="1" x14ac:dyDescent="0.3">
      <c r="A364" s="376" t="s">
        <v>161</v>
      </c>
      <c r="B364" s="376" t="s">
        <v>162</v>
      </c>
      <c r="C364" s="376" t="s">
        <v>1260</v>
      </c>
      <c r="D364" s="376" t="s">
        <v>1261</v>
      </c>
      <c r="E364" s="376" t="s">
        <v>224</v>
      </c>
      <c r="F364" s="382" t="s">
        <v>225</v>
      </c>
      <c r="G364" s="376" t="s">
        <v>781</v>
      </c>
      <c r="H364" s="378"/>
      <c r="I364" s="378"/>
      <c r="J364" s="376" t="s">
        <v>215</v>
      </c>
      <c r="K364" s="376" t="s">
        <v>1262</v>
      </c>
      <c r="L364" s="376" t="s">
        <v>171</v>
      </c>
      <c r="M364" s="376" t="s">
        <v>272</v>
      </c>
      <c r="N364" s="376" t="s">
        <v>877</v>
      </c>
      <c r="O364" s="379">
        <v>0</v>
      </c>
      <c r="P364" s="385">
        <v>1</v>
      </c>
      <c r="Q364" s="385">
        <v>1</v>
      </c>
      <c r="R364" s="380">
        <v>80</v>
      </c>
      <c r="S364" s="385">
        <v>1</v>
      </c>
      <c r="T364" s="380">
        <v>27280</v>
      </c>
      <c r="U364" s="380">
        <v>372</v>
      </c>
      <c r="V364" s="380">
        <v>16030.09</v>
      </c>
      <c r="W364" s="380">
        <v>24585.599999999999</v>
      </c>
      <c r="X364" s="380">
        <v>10768.49</v>
      </c>
      <c r="Y364" s="380">
        <v>24585.599999999999</v>
      </c>
      <c r="Z364" s="380">
        <v>10645.56</v>
      </c>
      <c r="AA364" s="378"/>
      <c r="AB364" s="376" t="s">
        <v>45</v>
      </c>
      <c r="AC364" s="376" t="s">
        <v>45</v>
      </c>
      <c r="AD364" s="378"/>
      <c r="AE364" s="378"/>
      <c r="AF364" s="378"/>
      <c r="AG364" s="378"/>
      <c r="AH364" s="379">
        <v>0</v>
      </c>
      <c r="AI364" s="379">
        <v>0</v>
      </c>
      <c r="AJ364" s="378"/>
      <c r="AK364" s="378"/>
      <c r="AL364" s="376" t="s">
        <v>181</v>
      </c>
      <c r="AM364" s="378"/>
      <c r="AN364" s="378"/>
      <c r="AO364" s="379">
        <v>0</v>
      </c>
      <c r="AP364" s="385">
        <v>0</v>
      </c>
      <c r="AQ364" s="385">
        <v>0</v>
      </c>
      <c r="AR364" s="384"/>
      <c r="AS364" s="387">
        <f t="shared" si="247"/>
        <v>0</v>
      </c>
      <c r="AT364">
        <f t="shared" si="248"/>
        <v>0</v>
      </c>
      <c r="AU364" s="387" t="str">
        <f>IF(AT364=0,"",IF(AND(AT364=1,M364="F",SUMIF(C2:C1334,C364,AS2:AS1334)&lt;=1),SUMIF(C2:C1334,C364,AS2:AS1334),IF(AND(AT364=1,M364="F",SUMIF(C2:C1334,C364,AS2:AS1334)&gt;1),1,"")))</f>
        <v/>
      </c>
      <c r="AV364" s="387" t="str">
        <f>IF(AT364=0,"",IF(AND(AT364=3,M364="F",SUMIF(C2:C1334,C364,AS2:AS1334)&lt;=1),SUMIF(C2:C1334,C364,AS2:AS1334),IF(AND(AT364=3,M364="F",SUMIF(C2:C1334,C364,AS2:AS1334)&gt;1),1,"")))</f>
        <v/>
      </c>
      <c r="AW364" s="387">
        <f>SUMIF(C2:C1334,C364,O2:O1334)</f>
        <v>0</v>
      </c>
      <c r="AX364" s="387">
        <f>IF(AND(M364="F",AS364&lt;&gt;0),SUMIF(C2:C1334,C364,W2:W1334),0)</f>
        <v>0</v>
      </c>
      <c r="AY364" s="387" t="str">
        <f t="shared" si="249"/>
        <v/>
      </c>
      <c r="AZ364" s="387" t="str">
        <f t="shared" si="250"/>
        <v/>
      </c>
      <c r="BA364" s="387">
        <f t="shared" si="251"/>
        <v>0</v>
      </c>
      <c r="BB364" s="387">
        <f t="shared" si="220"/>
        <v>0</v>
      </c>
      <c r="BC364" s="387">
        <f t="shared" si="221"/>
        <v>0</v>
      </c>
      <c r="BD364" s="387">
        <f t="shared" si="222"/>
        <v>0</v>
      </c>
      <c r="BE364" s="387">
        <f t="shared" si="223"/>
        <v>0</v>
      </c>
      <c r="BF364" s="387">
        <f t="shared" si="224"/>
        <v>0</v>
      </c>
      <c r="BG364" s="387">
        <f t="shared" si="225"/>
        <v>0</v>
      </c>
      <c r="BH364" s="387">
        <f t="shared" si="226"/>
        <v>0</v>
      </c>
      <c r="BI364" s="387">
        <f t="shared" si="227"/>
        <v>0</v>
      </c>
      <c r="BJ364" s="387">
        <f t="shared" si="228"/>
        <v>0</v>
      </c>
      <c r="BK364" s="387">
        <f t="shared" si="229"/>
        <v>0</v>
      </c>
      <c r="BL364" s="387">
        <f t="shared" si="252"/>
        <v>0</v>
      </c>
      <c r="BM364" s="387">
        <f t="shared" si="253"/>
        <v>0</v>
      </c>
      <c r="BN364" s="387">
        <f t="shared" si="230"/>
        <v>0</v>
      </c>
      <c r="BO364" s="387">
        <f t="shared" si="231"/>
        <v>0</v>
      </c>
      <c r="BP364" s="387">
        <f t="shared" si="232"/>
        <v>0</v>
      </c>
      <c r="BQ364" s="387">
        <f t="shared" si="233"/>
        <v>0</v>
      </c>
      <c r="BR364" s="387">
        <f t="shared" si="234"/>
        <v>0</v>
      </c>
      <c r="BS364" s="387">
        <f t="shared" si="235"/>
        <v>0</v>
      </c>
      <c r="BT364" s="387">
        <f t="shared" si="236"/>
        <v>0</v>
      </c>
      <c r="BU364" s="387">
        <f t="shared" si="237"/>
        <v>0</v>
      </c>
      <c r="BV364" s="387">
        <f t="shared" si="238"/>
        <v>0</v>
      </c>
      <c r="BW364" s="387">
        <f t="shared" si="239"/>
        <v>0</v>
      </c>
      <c r="BX364" s="387">
        <f t="shared" si="254"/>
        <v>0</v>
      </c>
      <c r="BY364" s="387">
        <f t="shared" si="255"/>
        <v>0</v>
      </c>
      <c r="BZ364" s="387">
        <f t="shared" si="256"/>
        <v>0</v>
      </c>
      <c r="CA364" s="387">
        <f t="shared" si="257"/>
        <v>0</v>
      </c>
      <c r="CB364" s="387">
        <f t="shared" si="258"/>
        <v>0</v>
      </c>
      <c r="CC364" s="387">
        <f t="shared" si="240"/>
        <v>0</v>
      </c>
      <c r="CD364" s="387">
        <f t="shared" si="241"/>
        <v>0</v>
      </c>
      <c r="CE364" s="387">
        <f t="shared" si="242"/>
        <v>0</v>
      </c>
      <c r="CF364" s="387">
        <f t="shared" si="243"/>
        <v>0</v>
      </c>
      <c r="CG364" s="387">
        <f t="shared" si="244"/>
        <v>0</v>
      </c>
      <c r="CH364" s="387">
        <f t="shared" si="245"/>
        <v>0</v>
      </c>
      <c r="CI364" s="387">
        <f t="shared" si="246"/>
        <v>0</v>
      </c>
      <c r="CJ364" s="387">
        <f t="shared" si="259"/>
        <v>0</v>
      </c>
      <c r="CK364" s="387" t="str">
        <f t="shared" si="260"/>
        <v/>
      </c>
      <c r="CL364" s="387" t="str">
        <f t="shared" si="261"/>
        <v/>
      </c>
      <c r="CM364" s="387" t="str">
        <f t="shared" si="262"/>
        <v/>
      </c>
      <c r="CN364" s="387" t="str">
        <f t="shared" si="263"/>
        <v>0348-31</v>
      </c>
    </row>
    <row r="365" spans="1:92" ht="15.75" thickBot="1" x14ac:dyDescent="0.3">
      <c r="A365" s="376" t="s">
        <v>161</v>
      </c>
      <c r="B365" s="376" t="s">
        <v>162</v>
      </c>
      <c r="C365" s="376" t="s">
        <v>1263</v>
      </c>
      <c r="D365" s="376" t="s">
        <v>862</v>
      </c>
      <c r="E365" s="376" t="s">
        <v>224</v>
      </c>
      <c r="F365" s="382" t="s">
        <v>225</v>
      </c>
      <c r="G365" s="376" t="s">
        <v>781</v>
      </c>
      <c r="H365" s="378"/>
      <c r="I365" s="378"/>
      <c r="J365" s="376" t="s">
        <v>239</v>
      </c>
      <c r="K365" s="376" t="s">
        <v>863</v>
      </c>
      <c r="L365" s="376" t="s">
        <v>252</v>
      </c>
      <c r="M365" s="376" t="s">
        <v>171</v>
      </c>
      <c r="N365" s="376" t="s">
        <v>172</v>
      </c>
      <c r="O365" s="379">
        <v>1</v>
      </c>
      <c r="P365" s="385">
        <v>0.7</v>
      </c>
      <c r="Q365" s="385">
        <v>0.7</v>
      </c>
      <c r="R365" s="380">
        <v>80</v>
      </c>
      <c r="S365" s="385">
        <v>0.7</v>
      </c>
      <c r="T365" s="380">
        <v>13342.98</v>
      </c>
      <c r="U365" s="380">
        <v>0</v>
      </c>
      <c r="V365" s="380">
        <v>7935.62</v>
      </c>
      <c r="W365" s="380">
        <v>27096.16</v>
      </c>
      <c r="X365" s="380">
        <v>14014.52</v>
      </c>
      <c r="Y365" s="380">
        <v>27096.16</v>
      </c>
      <c r="Z365" s="380">
        <v>13900.71</v>
      </c>
      <c r="AA365" s="376" t="s">
        <v>1264</v>
      </c>
      <c r="AB365" s="376" t="s">
        <v>1265</v>
      </c>
      <c r="AC365" s="376" t="s">
        <v>1266</v>
      </c>
      <c r="AD365" s="376" t="s">
        <v>296</v>
      </c>
      <c r="AE365" s="376" t="s">
        <v>863</v>
      </c>
      <c r="AF365" s="376" t="s">
        <v>393</v>
      </c>
      <c r="AG365" s="376" t="s">
        <v>178</v>
      </c>
      <c r="AH365" s="381">
        <v>18.61</v>
      </c>
      <c r="AI365" s="381">
        <v>2054.3000000000002</v>
      </c>
      <c r="AJ365" s="376" t="s">
        <v>179</v>
      </c>
      <c r="AK365" s="376" t="s">
        <v>180</v>
      </c>
      <c r="AL365" s="376" t="s">
        <v>181</v>
      </c>
      <c r="AM365" s="376" t="s">
        <v>182</v>
      </c>
      <c r="AN365" s="376" t="s">
        <v>68</v>
      </c>
      <c r="AO365" s="379">
        <v>80</v>
      </c>
      <c r="AP365" s="385">
        <v>1</v>
      </c>
      <c r="AQ365" s="385">
        <v>0.7</v>
      </c>
      <c r="AR365" s="383" t="s">
        <v>183</v>
      </c>
      <c r="AS365" s="387">
        <f t="shared" si="247"/>
        <v>0.7</v>
      </c>
      <c r="AT365">
        <f t="shared" si="248"/>
        <v>1</v>
      </c>
      <c r="AU365" s="387">
        <f>IF(AT365=0,"",IF(AND(AT365=1,M365="F",SUMIF(C2:C1334,C365,AS2:AS1334)&lt;=1),SUMIF(C2:C1334,C365,AS2:AS1334),IF(AND(AT365=1,M365="F",SUMIF(C2:C1334,C365,AS2:AS1334)&gt;1),1,"")))</f>
        <v>1</v>
      </c>
      <c r="AV365" s="387" t="str">
        <f>IF(AT365=0,"",IF(AND(AT365=3,M365="F",SUMIF(C2:C1334,C365,AS2:AS1334)&lt;=1),SUMIF(C2:C1334,C365,AS2:AS1334),IF(AND(AT365=3,M365="F",SUMIF(C2:C1334,C365,AS2:AS1334)&gt;1),1,"")))</f>
        <v/>
      </c>
      <c r="AW365" s="387">
        <f>SUMIF(C2:C1334,C365,O2:O1334)</f>
        <v>2</v>
      </c>
      <c r="AX365" s="387">
        <f>IF(AND(M365="F",AS365&lt;&gt;0),SUMIF(C2:C1334,C365,W2:W1334),0)</f>
        <v>38708.800000000003</v>
      </c>
      <c r="AY365" s="387">
        <f t="shared" si="249"/>
        <v>27096.16</v>
      </c>
      <c r="AZ365" s="387" t="str">
        <f t="shared" si="250"/>
        <v/>
      </c>
      <c r="BA365" s="387">
        <f t="shared" si="251"/>
        <v>0</v>
      </c>
      <c r="BB365" s="387">
        <f t="shared" si="220"/>
        <v>8154.9999999999991</v>
      </c>
      <c r="BC365" s="387">
        <f t="shared" si="221"/>
        <v>0</v>
      </c>
      <c r="BD365" s="387">
        <f t="shared" si="222"/>
        <v>1679.96192</v>
      </c>
      <c r="BE365" s="387">
        <f t="shared" si="223"/>
        <v>392.89431999999999</v>
      </c>
      <c r="BF365" s="387">
        <f t="shared" si="224"/>
        <v>3235.281504</v>
      </c>
      <c r="BG365" s="387">
        <f t="shared" si="225"/>
        <v>195.3633136</v>
      </c>
      <c r="BH365" s="387">
        <f t="shared" si="226"/>
        <v>132.77118400000001</v>
      </c>
      <c r="BI365" s="387">
        <f t="shared" si="227"/>
        <v>149.9772456</v>
      </c>
      <c r="BJ365" s="387">
        <f t="shared" si="228"/>
        <v>73.159632000000002</v>
      </c>
      <c r="BK365" s="387">
        <f t="shared" si="229"/>
        <v>0</v>
      </c>
      <c r="BL365" s="387">
        <f t="shared" si="252"/>
        <v>5859.4091191999996</v>
      </c>
      <c r="BM365" s="387">
        <f t="shared" si="253"/>
        <v>0</v>
      </c>
      <c r="BN365" s="387">
        <f t="shared" si="230"/>
        <v>8154.9999999999991</v>
      </c>
      <c r="BO365" s="387">
        <f t="shared" si="231"/>
        <v>0</v>
      </c>
      <c r="BP365" s="387">
        <f t="shared" si="232"/>
        <v>1679.96192</v>
      </c>
      <c r="BQ365" s="387">
        <f t="shared" si="233"/>
        <v>392.89431999999999</v>
      </c>
      <c r="BR365" s="387">
        <f t="shared" si="234"/>
        <v>3235.281504</v>
      </c>
      <c r="BS365" s="387">
        <f t="shared" si="235"/>
        <v>195.3633136</v>
      </c>
      <c r="BT365" s="387">
        <f t="shared" si="236"/>
        <v>0</v>
      </c>
      <c r="BU365" s="387">
        <f t="shared" si="237"/>
        <v>149.9772456</v>
      </c>
      <c r="BV365" s="387">
        <f t="shared" si="238"/>
        <v>92.126943999999995</v>
      </c>
      <c r="BW365" s="387">
        <f t="shared" si="239"/>
        <v>0</v>
      </c>
      <c r="BX365" s="387">
        <f t="shared" si="254"/>
        <v>5745.6052471999992</v>
      </c>
      <c r="BY365" s="387">
        <f t="shared" si="255"/>
        <v>0</v>
      </c>
      <c r="BZ365" s="387">
        <f t="shared" si="256"/>
        <v>0</v>
      </c>
      <c r="CA365" s="387">
        <f t="shared" si="257"/>
        <v>0</v>
      </c>
      <c r="CB365" s="387">
        <f t="shared" si="258"/>
        <v>0</v>
      </c>
      <c r="CC365" s="387">
        <f t="shared" si="240"/>
        <v>0</v>
      </c>
      <c r="CD365" s="387">
        <f t="shared" si="241"/>
        <v>0</v>
      </c>
      <c r="CE365" s="387">
        <f t="shared" si="242"/>
        <v>0</v>
      </c>
      <c r="CF365" s="387">
        <f t="shared" si="243"/>
        <v>-132.77118400000001</v>
      </c>
      <c r="CG365" s="387">
        <f t="shared" si="244"/>
        <v>0</v>
      </c>
      <c r="CH365" s="387">
        <f t="shared" si="245"/>
        <v>18.967311999999993</v>
      </c>
      <c r="CI365" s="387">
        <f t="shared" si="246"/>
        <v>0</v>
      </c>
      <c r="CJ365" s="387">
        <f t="shared" si="259"/>
        <v>-113.80387200000001</v>
      </c>
      <c r="CK365" s="387" t="str">
        <f t="shared" si="260"/>
        <v/>
      </c>
      <c r="CL365" s="387" t="str">
        <f t="shared" si="261"/>
        <v/>
      </c>
      <c r="CM365" s="387" t="str">
        <f t="shared" si="262"/>
        <v/>
      </c>
      <c r="CN365" s="387" t="str">
        <f t="shared" si="263"/>
        <v>0348-31</v>
      </c>
    </row>
    <row r="366" spans="1:92" ht="15.75" thickBot="1" x14ac:dyDescent="0.3">
      <c r="A366" s="376" t="s">
        <v>161</v>
      </c>
      <c r="B366" s="376" t="s">
        <v>162</v>
      </c>
      <c r="C366" s="376" t="s">
        <v>1267</v>
      </c>
      <c r="D366" s="376" t="s">
        <v>270</v>
      </c>
      <c r="E366" s="376" t="s">
        <v>224</v>
      </c>
      <c r="F366" s="382" t="s">
        <v>225</v>
      </c>
      <c r="G366" s="376" t="s">
        <v>781</v>
      </c>
      <c r="H366" s="378"/>
      <c r="I366" s="378"/>
      <c r="J366" s="376" t="s">
        <v>215</v>
      </c>
      <c r="K366" s="376" t="s">
        <v>271</v>
      </c>
      <c r="L366" s="376" t="s">
        <v>217</v>
      </c>
      <c r="M366" s="376" t="s">
        <v>171</v>
      </c>
      <c r="N366" s="376" t="s">
        <v>172</v>
      </c>
      <c r="O366" s="379">
        <v>1</v>
      </c>
      <c r="P366" s="385">
        <v>0</v>
      </c>
      <c r="Q366" s="385">
        <v>0</v>
      </c>
      <c r="R366" s="380">
        <v>80</v>
      </c>
      <c r="S366" s="385">
        <v>0</v>
      </c>
      <c r="T366" s="380">
        <v>1276</v>
      </c>
      <c r="U366" s="380">
        <v>0</v>
      </c>
      <c r="V366" s="380">
        <v>754.66</v>
      </c>
      <c r="W366" s="380">
        <v>0</v>
      </c>
      <c r="X366" s="380">
        <v>0</v>
      </c>
      <c r="Y366" s="380">
        <v>0</v>
      </c>
      <c r="Z366" s="380">
        <v>0</v>
      </c>
      <c r="AA366" s="376" t="s">
        <v>1268</v>
      </c>
      <c r="AB366" s="376" t="s">
        <v>1269</v>
      </c>
      <c r="AC366" s="376" t="s">
        <v>366</v>
      </c>
      <c r="AD366" s="376" t="s">
        <v>1270</v>
      </c>
      <c r="AE366" s="376" t="s">
        <v>271</v>
      </c>
      <c r="AF366" s="376" t="s">
        <v>221</v>
      </c>
      <c r="AG366" s="376" t="s">
        <v>178</v>
      </c>
      <c r="AH366" s="381">
        <v>16.53</v>
      </c>
      <c r="AI366" s="381">
        <v>1728.2</v>
      </c>
      <c r="AJ366" s="376" t="s">
        <v>179</v>
      </c>
      <c r="AK366" s="376" t="s">
        <v>180</v>
      </c>
      <c r="AL366" s="376" t="s">
        <v>181</v>
      </c>
      <c r="AM366" s="376" t="s">
        <v>182</v>
      </c>
      <c r="AN366" s="376" t="s">
        <v>68</v>
      </c>
      <c r="AO366" s="379">
        <v>80</v>
      </c>
      <c r="AP366" s="385">
        <v>1</v>
      </c>
      <c r="AQ366" s="385">
        <v>0</v>
      </c>
      <c r="AR366" s="383" t="s">
        <v>183</v>
      </c>
      <c r="AS366" s="387">
        <f t="shared" si="247"/>
        <v>0</v>
      </c>
      <c r="AT366">
        <f t="shared" si="248"/>
        <v>0</v>
      </c>
      <c r="AU366" s="387" t="str">
        <f>IF(AT366=0,"",IF(AND(AT366=1,M366="F",SUMIF(C2:C1334,C366,AS2:AS1334)&lt;=1),SUMIF(C2:C1334,C366,AS2:AS1334),IF(AND(AT366=1,M366="F",SUMIF(C2:C1334,C366,AS2:AS1334)&gt;1),1,"")))</f>
        <v/>
      </c>
      <c r="AV366" s="387" t="str">
        <f>IF(AT366=0,"",IF(AND(AT366=3,M366="F",SUMIF(C2:C1334,C366,AS2:AS1334)&lt;=1),SUMIF(C2:C1334,C366,AS2:AS1334),IF(AND(AT366=3,M366="F",SUMIF(C2:C1334,C366,AS2:AS1334)&gt;1),1,"")))</f>
        <v/>
      </c>
      <c r="AW366" s="387">
        <f>SUMIF(C2:C1334,C366,O2:O1334)</f>
        <v>2</v>
      </c>
      <c r="AX366" s="387">
        <f>IF(AND(M366="F",AS366&lt;&gt;0),SUMIF(C2:C1334,C366,W2:W1334),0)</f>
        <v>0</v>
      </c>
      <c r="AY366" s="387" t="str">
        <f t="shared" si="249"/>
        <v/>
      </c>
      <c r="AZ366" s="387" t="str">
        <f t="shared" si="250"/>
        <v/>
      </c>
      <c r="BA366" s="387">
        <f t="shared" si="251"/>
        <v>0</v>
      </c>
      <c r="BB366" s="387">
        <f t="shared" si="220"/>
        <v>0</v>
      </c>
      <c r="BC366" s="387">
        <f t="shared" si="221"/>
        <v>0</v>
      </c>
      <c r="BD366" s="387">
        <f t="shared" si="222"/>
        <v>0</v>
      </c>
      <c r="BE366" s="387">
        <f t="shared" si="223"/>
        <v>0</v>
      </c>
      <c r="BF366" s="387">
        <f t="shared" si="224"/>
        <v>0</v>
      </c>
      <c r="BG366" s="387">
        <f t="shared" si="225"/>
        <v>0</v>
      </c>
      <c r="BH366" s="387">
        <f t="shared" si="226"/>
        <v>0</v>
      </c>
      <c r="BI366" s="387">
        <f t="shared" si="227"/>
        <v>0</v>
      </c>
      <c r="BJ366" s="387">
        <f t="shared" si="228"/>
        <v>0</v>
      </c>
      <c r="BK366" s="387">
        <f t="shared" si="229"/>
        <v>0</v>
      </c>
      <c r="BL366" s="387">
        <f t="shared" si="252"/>
        <v>0</v>
      </c>
      <c r="BM366" s="387">
        <f t="shared" si="253"/>
        <v>0</v>
      </c>
      <c r="BN366" s="387">
        <f t="shared" si="230"/>
        <v>0</v>
      </c>
      <c r="BO366" s="387">
        <f t="shared" si="231"/>
        <v>0</v>
      </c>
      <c r="BP366" s="387">
        <f t="shared" si="232"/>
        <v>0</v>
      </c>
      <c r="BQ366" s="387">
        <f t="shared" si="233"/>
        <v>0</v>
      </c>
      <c r="BR366" s="387">
        <f t="shared" si="234"/>
        <v>0</v>
      </c>
      <c r="BS366" s="387">
        <f t="shared" si="235"/>
        <v>0</v>
      </c>
      <c r="BT366" s="387">
        <f t="shared" si="236"/>
        <v>0</v>
      </c>
      <c r="BU366" s="387">
        <f t="shared" si="237"/>
        <v>0</v>
      </c>
      <c r="BV366" s="387">
        <f t="shared" si="238"/>
        <v>0</v>
      </c>
      <c r="BW366" s="387">
        <f t="shared" si="239"/>
        <v>0</v>
      </c>
      <c r="BX366" s="387">
        <f t="shared" si="254"/>
        <v>0</v>
      </c>
      <c r="BY366" s="387">
        <f t="shared" si="255"/>
        <v>0</v>
      </c>
      <c r="BZ366" s="387">
        <f t="shared" si="256"/>
        <v>0</v>
      </c>
      <c r="CA366" s="387">
        <f t="shared" si="257"/>
        <v>0</v>
      </c>
      <c r="CB366" s="387">
        <f t="shared" si="258"/>
        <v>0</v>
      </c>
      <c r="CC366" s="387">
        <f t="shared" si="240"/>
        <v>0</v>
      </c>
      <c r="CD366" s="387">
        <f t="shared" si="241"/>
        <v>0</v>
      </c>
      <c r="CE366" s="387">
        <f t="shared" si="242"/>
        <v>0</v>
      </c>
      <c r="CF366" s="387">
        <f t="shared" si="243"/>
        <v>0</v>
      </c>
      <c r="CG366" s="387">
        <f t="shared" si="244"/>
        <v>0</v>
      </c>
      <c r="CH366" s="387">
        <f t="shared" si="245"/>
        <v>0</v>
      </c>
      <c r="CI366" s="387">
        <f t="shared" si="246"/>
        <v>0</v>
      </c>
      <c r="CJ366" s="387">
        <f t="shared" si="259"/>
        <v>0</v>
      </c>
      <c r="CK366" s="387" t="str">
        <f t="shared" si="260"/>
        <v/>
      </c>
      <c r="CL366" s="387" t="str">
        <f t="shared" si="261"/>
        <v/>
      </c>
      <c r="CM366" s="387" t="str">
        <f t="shared" si="262"/>
        <v/>
      </c>
      <c r="CN366" s="387" t="str">
        <f t="shared" si="263"/>
        <v>0348-31</v>
      </c>
    </row>
    <row r="367" spans="1:92" ht="15.75" thickBot="1" x14ac:dyDescent="0.3">
      <c r="A367" s="376" t="s">
        <v>161</v>
      </c>
      <c r="B367" s="376" t="s">
        <v>162</v>
      </c>
      <c r="C367" s="376" t="s">
        <v>1271</v>
      </c>
      <c r="D367" s="376" t="s">
        <v>270</v>
      </c>
      <c r="E367" s="376" t="s">
        <v>224</v>
      </c>
      <c r="F367" s="382" t="s">
        <v>225</v>
      </c>
      <c r="G367" s="376" t="s">
        <v>781</v>
      </c>
      <c r="H367" s="378"/>
      <c r="I367" s="378"/>
      <c r="J367" s="376" t="s">
        <v>215</v>
      </c>
      <c r="K367" s="376" t="s">
        <v>271</v>
      </c>
      <c r="L367" s="376" t="s">
        <v>217</v>
      </c>
      <c r="M367" s="376" t="s">
        <v>171</v>
      </c>
      <c r="N367" s="376" t="s">
        <v>172</v>
      </c>
      <c r="O367" s="379">
        <v>1</v>
      </c>
      <c r="P367" s="385">
        <v>0</v>
      </c>
      <c r="Q367" s="385">
        <v>0</v>
      </c>
      <c r="R367" s="380">
        <v>80</v>
      </c>
      <c r="S367" s="385">
        <v>0</v>
      </c>
      <c r="T367" s="380">
        <v>34005.599999999999</v>
      </c>
      <c r="U367" s="380">
        <v>0</v>
      </c>
      <c r="V367" s="380">
        <v>18762.86</v>
      </c>
      <c r="W367" s="380">
        <v>0</v>
      </c>
      <c r="X367" s="380">
        <v>0</v>
      </c>
      <c r="Y367" s="380">
        <v>0</v>
      </c>
      <c r="Z367" s="380">
        <v>0</v>
      </c>
      <c r="AA367" s="376" t="s">
        <v>1272</v>
      </c>
      <c r="AB367" s="376" t="s">
        <v>1273</v>
      </c>
      <c r="AC367" s="376" t="s">
        <v>1274</v>
      </c>
      <c r="AD367" s="376" t="s">
        <v>324</v>
      </c>
      <c r="AE367" s="376" t="s">
        <v>271</v>
      </c>
      <c r="AF367" s="376" t="s">
        <v>221</v>
      </c>
      <c r="AG367" s="376" t="s">
        <v>178</v>
      </c>
      <c r="AH367" s="381">
        <v>17.03</v>
      </c>
      <c r="AI367" s="381">
        <v>10076.200000000001</v>
      </c>
      <c r="AJ367" s="376" t="s">
        <v>179</v>
      </c>
      <c r="AK367" s="376" t="s">
        <v>180</v>
      </c>
      <c r="AL367" s="376" t="s">
        <v>181</v>
      </c>
      <c r="AM367" s="376" t="s">
        <v>182</v>
      </c>
      <c r="AN367" s="376" t="s">
        <v>68</v>
      </c>
      <c r="AO367" s="379">
        <v>80</v>
      </c>
      <c r="AP367" s="385">
        <v>1</v>
      </c>
      <c r="AQ367" s="385">
        <v>0</v>
      </c>
      <c r="AR367" s="383" t="s">
        <v>183</v>
      </c>
      <c r="AS367" s="387">
        <f t="shared" si="247"/>
        <v>0</v>
      </c>
      <c r="AT367">
        <f t="shared" si="248"/>
        <v>0</v>
      </c>
      <c r="AU367" s="387" t="str">
        <f>IF(AT367=0,"",IF(AND(AT367=1,M367="F",SUMIF(C2:C1334,C367,AS2:AS1334)&lt;=1),SUMIF(C2:C1334,C367,AS2:AS1334),IF(AND(AT367=1,M367="F",SUMIF(C2:C1334,C367,AS2:AS1334)&gt;1),1,"")))</f>
        <v/>
      </c>
      <c r="AV367" s="387" t="str">
        <f>IF(AT367=0,"",IF(AND(AT367=3,M367="F",SUMIF(C2:C1334,C367,AS2:AS1334)&lt;=1),SUMIF(C2:C1334,C367,AS2:AS1334),IF(AND(AT367=3,M367="F",SUMIF(C2:C1334,C367,AS2:AS1334)&gt;1),1,"")))</f>
        <v/>
      </c>
      <c r="AW367" s="387">
        <f>SUMIF(C2:C1334,C367,O2:O1334)</f>
        <v>2</v>
      </c>
      <c r="AX367" s="387">
        <f>IF(AND(M367="F",AS367&lt;&gt;0),SUMIF(C2:C1334,C367,W2:W1334),0)</f>
        <v>0</v>
      </c>
      <c r="AY367" s="387" t="str">
        <f t="shared" si="249"/>
        <v/>
      </c>
      <c r="AZ367" s="387" t="str">
        <f t="shared" si="250"/>
        <v/>
      </c>
      <c r="BA367" s="387">
        <f t="shared" si="251"/>
        <v>0</v>
      </c>
      <c r="BB367" s="387">
        <f t="shared" si="220"/>
        <v>0</v>
      </c>
      <c r="BC367" s="387">
        <f t="shared" si="221"/>
        <v>0</v>
      </c>
      <c r="BD367" s="387">
        <f t="shared" si="222"/>
        <v>0</v>
      </c>
      <c r="BE367" s="387">
        <f t="shared" si="223"/>
        <v>0</v>
      </c>
      <c r="BF367" s="387">
        <f t="shared" si="224"/>
        <v>0</v>
      </c>
      <c r="BG367" s="387">
        <f t="shared" si="225"/>
        <v>0</v>
      </c>
      <c r="BH367" s="387">
        <f t="shared" si="226"/>
        <v>0</v>
      </c>
      <c r="BI367" s="387">
        <f t="shared" si="227"/>
        <v>0</v>
      </c>
      <c r="BJ367" s="387">
        <f t="shared" si="228"/>
        <v>0</v>
      </c>
      <c r="BK367" s="387">
        <f t="shared" si="229"/>
        <v>0</v>
      </c>
      <c r="BL367" s="387">
        <f t="shared" si="252"/>
        <v>0</v>
      </c>
      <c r="BM367" s="387">
        <f t="shared" si="253"/>
        <v>0</v>
      </c>
      <c r="BN367" s="387">
        <f t="shared" si="230"/>
        <v>0</v>
      </c>
      <c r="BO367" s="387">
        <f t="shared" si="231"/>
        <v>0</v>
      </c>
      <c r="BP367" s="387">
        <f t="shared" si="232"/>
        <v>0</v>
      </c>
      <c r="BQ367" s="387">
        <f t="shared" si="233"/>
        <v>0</v>
      </c>
      <c r="BR367" s="387">
        <f t="shared" si="234"/>
        <v>0</v>
      </c>
      <c r="BS367" s="387">
        <f t="shared" si="235"/>
        <v>0</v>
      </c>
      <c r="BT367" s="387">
        <f t="shared" si="236"/>
        <v>0</v>
      </c>
      <c r="BU367" s="387">
        <f t="shared" si="237"/>
        <v>0</v>
      </c>
      <c r="BV367" s="387">
        <f t="shared" si="238"/>
        <v>0</v>
      </c>
      <c r="BW367" s="387">
        <f t="shared" si="239"/>
        <v>0</v>
      </c>
      <c r="BX367" s="387">
        <f t="shared" si="254"/>
        <v>0</v>
      </c>
      <c r="BY367" s="387">
        <f t="shared" si="255"/>
        <v>0</v>
      </c>
      <c r="BZ367" s="387">
        <f t="shared" si="256"/>
        <v>0</v>
      </c>
      <c r="CA367" s="387">
        <f t="shared" si="257"/>
        <v>0</v>
      </c>
      <c r="CB367" s="387">
        <f t="shared" si="258"/>
        <v>0</v>
      </c>
      <c r="CC367" s="387">
        <f t="shared" si="240"/>
        <v>0</v>
      </c>
      <c r="CD367" s="387">
        <f t="shared" si="241"/>
        <v>0</v>
      </c>
      <c r="CE367" s="387">
        <f t="shared" si="242"/>
        <v>0</v>
      </c>
      <c r="CF367" s="387">
        <f t="shared" si="243"/>
        <v>0</v>
      </c>
      <c r="CG367" s="387">
        <f t="shared" si="244"/>
        <v>0</v>
      </c>
      <c r="CH367" s="387">
        <f t="shared" si="245"/>
        <v>0</v>
      </c>
      <c r="CI367" s="387">
        <f t="shared" si="246"/>
        <v>0</v>
      </c>
      <c r="CJ367" s="387">
        <f t="shared" si="259"/>
        <v>0</v>
      </c>
      <c r="CK367" s="387" t="str">
        <f t="shared" si="260"/>
        <v/>
      </c>
      <c r="CL367" s="387" t="str">
        <f t="shared" si="261"/>
        <v/>
      </c>
      <c r="CM367" s="387" t="str">
        <f t="shared" si="262"/>
        <v/>
      </c>
      <c r="CN367" s="387" t="str">
        <f t="shared" si="263"/>
        <v>0348-31</v>
      </c>
    </row>
    <row r="368" spans="1:92" ht="15.75" thickBot="1" x14ac:dyDescent="0.3">
      <c r="A368" s="376" t="s">
        <v>161</v>
      </c>
      <c r="B368" s="376" t="s">
        <v>162</v>
      </c>
      <c r="C368" s="376" t="s">
        <v>374</v>
      </c>
      <c r="D368" s="376" t="s">
        <v>375</v>
      </c>
      <c r="E368" s="376" t="s">
        <v>224</v>
      </c>
      <c r="F368" s="382" t="s">
        <v>225</v>
      </c>
      <c r="G368" s="376" t="s">
        <v>781</v>
      </c>
      <c r="H368" s="378"/>
      <c r="I368" s="378"/>
      <c r="J368" s="376" t="s">
        <v>239</v>
      </c>
      <c r="K368" s="376" t="s">
        <v>376</v>
      </c>
      <c r="L368" s="376" t="s">
        <v>178</v>
      </c>
      <c r="M368" s="376" t="s">
        <v>171</v>
      </c>
      <c r="N368" s="376" t="s">
        <v>172</v>
      </c>
      <c r="O368" s="379">
        <v>1</v>
      </c>
      <c r="P368" s="385">
        <v>0</v>
      </c>
      <c r="Q368" s="385">
        <v>0</v>
      </c>
      <c r="R368" s="380">
        <v>80</v>
      </c>
      <c r="S368" s="385">
        <v>0</v>
      </c>
      <c r="T368" s="380">
        <v>32021.95</v>
      </c>
      <c r="U368" s="380">
        <v>0</v>
      </c>
      <c r="V368" s="380">
        <v>18215.5</v>
      </c>
      <c r="W368" s="380">
        <v>0</v>
      </c>
      <c r="X368" s="380">
        <v>0</v>
      </c>
      <c r="Y368" s="380">
        <v>0</v>
      </c>
      <c r="Z368" s="380">
        <v>0</v>
      </c>
      <c r="AA368" s="376" t="s">
        <v>377</v>
      </c>
      <c r="AB368" s="376" t="s">
        <v>378</v>
      </c>
      <c r="AC368" s="376" t="s">
        <v>379</v>
      </c>
      <c r="AD368" s="376" t="s">
        <v>198</v>
      </c>
      <c r="AE368" s="376" t="s">
        <v>376</v>
      </c>
      <c r="AF368" s="376" t="s">
        <v>253</v>
      </c>
      <c r="AG368" s="376" t="s">
        <v>178</v>
      </c>
      <c r="AH368" s="381">
        <v>15.94</v>
      </c>
      <c r="AI368" s="381">
        <v>32674.799999999999</v>
      </c>
      <c r="AJ368" s="376" t="s">
        <v>179</v>
      </c>
      <c r="AK368" s="376" t="s">
        <v>180</v>
      </c>
      <c r="AL368" s="376" t="s">
        <v>181</v>
      </c>
      <c r="AM368" s="376" t="s">
        <v>182</v>
      </c>
      <c r="AN368" s="376" t="s">
        <v>68</v>
      </c>
      <c r="AO368" s="379">
        <v>80</v>
      </c>
      <c r="AP368" s="385">
        <v>1</v>
      </c>
      <c r="AQ368" s="385">
        <v>0</v>
      </c>
      <c r="AR368" s="383" t="s">
        <v>183</v>
      </c>
      <c r="AS368" s="387">
        <f t="shared" si="247"/>
        <v>0</v>
      </c>
      <c r="AT368">
        <f t="shared" si="248"/>
        <v>0</v>
      </c>
      <c r="AU368" s="387" t="str">
        <f>IF(AT368=0,"",IF(AND(AT368=1,M368="F",SUMIF(C2:C1334,C368,AS2:AS1334)&lt;=1),SUMIF(C2:C1334,C368,AS2:AS1334),IF(AND(AT368=1,M368="F",SUMIF(C2:C1334,C368,AS2:AS1334)&gt;1),1,"")))</f>
        <v/>
      </c>
      <c r="AV368" s="387" t="str">
        <f>IF(AT368=0,"",IF(AND(AT368=3,M368="F",SUMIF(C2:C1334,C368,AS2:AS1334)&lt;=1),SUMIF(C2:C1334,C368,AS2:AS1334),IF(AND(AT368=3,M368="F",SUMIF(C2:C1334,C368,AS2:AS1334)&gt;1),1,"")))</f>
        <v/>
      </c>
      <c r="AW368" s="387">
        <f>SUMIF(C2:C1334,C368,O2:O1334)</f>
        <v>3</v>
      </c>
      <c r="AX368" s="387">
        <f>IF(AND(M368="F",AS368&lt;&gt;0),SUMIF(C2:C1334,C368,W2:W1334),0)</f>
        <v>0</v>
      </c>
      <c r="AY368" s="387" t="str">
        <f t="shared" si="249"/>
        <v/>
      </c>
      <c r="AZ368" s="387" t="str">
        <f t="shared" si="250"/>
        <v/>
      </c>
      <c r="BA368" s="387">
        <f t="shared" si="251"/>
        <v>0</v>
      </c>
      <c r="BB368" s="387">
        <f t="shared" si="220"/>
        <v>0</v>
      </c>
      <c r="BC368" s="387">
        <f t="shared" si="221"/>
        <v>0</v>
      </c>
      <c r="BD368" s="387">
        <f t="shared" si="222"/>
        <v>0</v>
      </c>
      <c r="BE368" s="387">
        <f t="shared" si="223"/>
        <v>0</v>
      </c>
      <c r="BF368" s="387">
        <f t="shared" si="224"/>
        <v>0</v>
      </c>
      <c r="BG368" s="387">
        <f t="shared" si="225"/>
        <v>0</v>
      </c>
      <c r="BH368" s="387">
        <f t="shared" si="226"/>
        <v>0</v>
      </c>
      <c r="BI368" s="387">
        <f t="shared" si="227"/>
        <v>0</v>
      </c>
      <c r="BJ368" s="387">
        <f t="shared" si="228"/>
        <v>0</v>
      </c>
      <c r="BK368" s="387">
        <f t="shared" si="229"/>
        <v>0</v>
      </c>
      <c r="BL368" s="387">
        <f t="shared" si="252"/>
        <v>0</v>
      </c>
      <c r="BM368" s="387">
        <f t="shared" si="253"/>
        <v>0</v>
      </c>
      <c r="BN368" s="387">
        <f t="shared" si="230"/>
        <v>0</v>
      </c>
      <c r="BO368" s="387">
        <f t="shared" si="231"/>
        <v>0</v>
      </c>
      <c r="BP368" s="387">
        <f t="shared" si="232"/>
        <v>0</v>
      </c>
      <c r="BQ368" s="387">
        <f t="shared" si="233"/>
        <v>0</v>
      </c>
      <c r="BR368" s="387">
        <f t="shared" si="234"/>
        <v>0</v>
      </c>
      <c r="BS368" s="387">
        <f t="shared" si="235"/>
        <v>0</v>
      </c>
      <c r="BT368" s="387">
        <f t="shared" si="236"/>
        <v>0</v>
      </c>
      <c r="BU368" s="387">
        <f t="shared" si="237"/>
        <v>0</v>
      </c>
      <c r="BV368" s="387">
        <f t="shared" si="238"/>
        <v>0</v>
      </c>
      <c r="BW368" s="387">
        <f t="shared" si="239"/>
        <v>0</v>
      </c>
      <c r="BX368" s="387">
        <f t="shared" si="254"/>
        <v>0</v>
      </c>
      <c r="BY368" s="387">
        <f t="shared" si="255"/>
        <v>0</v>
      </c>
      <c r="BZ368" s="387">
        <f t="shared" si="256"/>
        <v>0</v>
      </c>
      <c r="CA368" s="387">
        <f t="shared" si="257"/>
        <v>0</v>
      </c>
      <c r="CB368" s="387">
        <f t="shared" si="258"/>
        <v>0</v>
      </c>
      <c r="CC368" s="387">
        <f t="shared" si="240"/>
        <v>0</v>
      </c>
      <c r="CD368" s="387">
        <f t="shared" si="241"/>
        <v>0</v>
      </c>
      <c r="CE368" s="387">
        <f t="shared" si="242"/>
        <v>0</v>
      </c>
      <c r="CF368" s="387">
        <f t="shared" si="243"/>
        <v>0</v>
      </c>
      <c r="CG368" s="387">
        <f t="shared" si="244"/>
        <v>0</v>
      </c>
      <c r="CH368" s="387">
        <f t="shared" si="245"/>
        <v>0</v>
      </c>
      <c r="CI368" s="387">
        <f t="shared" si="246"/>
        <v>0</v>
      </c>
      <c r="CJ368" s="387">
        <f t="shared" si="259"/>
        <v>0</v>
      </c>
      <c r="CK368" s="387" t="str">
        <f t="shared" si="260"/>
        <v/>
      </c>
      <c r="CL368" s="387" t="str">
        <f t="shared" si="261"/>
        <v/>
      </c>
      <c r="CM368" s="387" t="str">
        <f t="shared" si="262"/>
        <v/>
      </c>
      <c r="CN368" s="387" t="str">
        <f t="shared" si="263"/>
        <v>0348-31</v>
      </c>
    </row>
    <row r="369" spans="1:92" ht="15.75" thickBot="1" x14ac:dyDescent="0.3">
      <c r="A369" s="376" t="s">
        <v>161</v>
      </c>
      <c r="B369" s="376" t="s">
        <v>162</v>
      </c>
      <c r="C369" s="376" t="s">
        <v>654</v>
      </c>
      <c r="D369" s="376" t="s">
        <v>655</v>
      </c>
      <c r="E369" s="376" t="s">
        <v>224</v>
      </c>
      <c r="F369" s="382" t="s">
        <v>225</v>
      </c>
      <c r="G369" s="376" t="s">
        <v>781</v>
      </c>
      <c r="H369" s="378"/>
      <c r="I369" s="378"/>
      <c r="J369" s="376" t="s">
        <v>239</v>
      </c>
      <c r="K369" s="376" t="s">
        <v>656</v>
      </c>
      <c r="L369" s="376" t="s">
        <v>210</v>
      </c>
      <c r="M369" s="376" t="s">
        <v>171</v>
      </c>
      <c r="N369" s="376" t="s">
        <v>172</v>
      </c>
      <c r="O369" s="379">
        <v>1</v>
      </c>
      <c r="P369" s="385">
        <v>0</v>
      </c>
      <c r="Q369" s="385">
        <v>0</v>
      </c>
      <c r="R369" s="380">
        <v>80</v>
      </c>
      <c r="S369" s="385">
        <v>0</v>
      </c>
      <c r="T369" s="380">
        <v>34718.400000000001</v>
      </c>
      <c r="U369" s="380">
        <v>0</v>
      </c>
      <c r="V369" s="380">
        <v>9360.25</v>
      </c>
      <c r="W369" s="380">
        <v>0</v>
      </c>
      <c r="X369" s="380">
        <v>0</v>
      </c>
      <c r="Y369" s="380">
        <v>0</v>
      </c>
      <c r="Z369" s="380">
        <v>0</v>
      </c>
      <c r="AA369" s="376" t="s">
        <v>657</v>
      </c>
      <c r="AB369" s="376" t="s">
        <v>658</v>
      </c>
      <c r="AC369" s="376" t="s">
        <v>659</v>
      </c>
      <c r="AD369" s="376" t="s">
        <v>406</v>
      </c>
      <c r="AE369" s="376" t="s">
        <v>656</v>
      </c>
      <c r="AF369" s="376" t="s">
        <v>245</v>
      </c>
      <c r="AG369" s="376" t="s">
        <v>178</v>
      </c>
      <c r="AH369" s="379">
        <v>31</v>
      </c>
      <c r="AI369" s="381">
        <v>6015.5</v>
      </c>
      <c r="AJ369" s="376" t="s">
        <v>179</v>
      </c>
      <c r="AK369" s="376" t="s">
        <v>180</v>
      </c>
      <c r="AL369" s="376" t="s">
        <v>181</v>
      </c>
      <c r="AM369" s="376" t="s">
        <v>182</v>
      </c>
      <c r="AN369" s="376" t="s">
        <v>68</v>
      </c>
      <c r="AO369" s="379">
        <v>80</v>
      </c>
      <c r="AP369" s="385">
        <v>1</v>
      </c>
      <c r="AQ369" s="385">
        <v>0</v>
      </c>
      <c r="AR369" s="383" t="s">
        <v>183</v>
      </c>
      <c r="AS369" s="387">
        <f t="shared" si="247"/>
        <v>0</v>
      </c>
      <c r="AT369">
        <f t="shared" si="248"/>
        <v>0</v>
      </c>
      <c r="AU369" s="387" t="str">
        <f>IF(AT369=0,"",IF(AND(AT369=1,M369="F",SUMIF(C2:C1334,C369,AS2:AS1334)&lt;=1),SUMIF(C2:C1334,C369,AS2:AS1334),IF(AND(AT369=1,M369="F",SUMIF(C2:C1334,C369,AS2:AS1334)&gt;1),1,"")))</f>
        <v/>
      </c>
      <c r="AV369" s="387" t="str">
        <f>IF(AT369=0,"",IF(AND(AT369=3,M369="F",SUMIF(C2:C1334,C369,AS2:AS1334)&lt;=1),SUMIF(C2:C1334,C369,AS2:AS1334),IF(AND(AT369=3,M369="F",SUMIF(C2:C1334,C369,AS2:AS1334)&gt;1),1,"")))</f>
        <v/>
      </c>
      <c r="AW369" s="387">
        <f>SUMIF(C2:C1334,C369,O2:O1334)</f>
        <v>3</v>
      </c>
      <c r="AX369" s="387">
        <f>IF(AND(M369="F",AS369&lt;&gt;0),SUMIF(C2:C1334,C369,W2:W1334),0)</f>
        <v>0</v>
      </c>
      <c r="AY369" s="387" t="str">
        <f t="shared" si="249"/>
        <v/>
      </c>
      <c r="AZ369" s="387" t="str">
        <f t="shared" si="250"/>
        <v/>
      </c>
      <c r="BA369" s="387">
        <f t="shared" si="251"/>
        <v>0</v>
      </c>
      <c r="BB369" s="387">
        <f t="shared" si="220"/>
        <v>0</v>
      </c>
      <c r="BC369" s="387">
        <f t="shared" si="221"/>
        <v>0</v>
      </c>
      <c r="BD369" s="387">
        <f t="shared" si="222"/>
        <v>0</v>
      </c>
      <c r="BE369" s="387">
        <f t="shared" si="223"/>
        <v>0</v>
      </c>
      <c r="BF369" s="387">
        <f t="shared" si="224"/>
        <v>0</v>
      </c>
      <c r="BG369" s="387">
        <f t="shared" si="225"/>
        <v>0</v>
      </c>
      <c r="BH369" s="387">
        <f t="shared" si="226"/>
        <v>0</v>
      </c>
      <c r="BI369" s="387">
        <f t="shared" si="227"/>
        <v>0</v>
      </c>
      <c r="BJ369" s="387">
        <f t="shared" si="228"/>
        <v>0</v>
      </c>
      <c r="BK369" s="387">
        <f t="shared" si="229"/>
        <v>0</v>
      </c>
      <c r="BL369" s="387">
        <f t="shared" si="252"/>
        <v>0</v>
      </c>
      <c r="BM369" s="387">
        <f t="shared" si="253"/>
        <v>0</v>
      </c>
      <c r="BN369" s="387">
        <f t="shared" si="230"/>
        <v>0</v>
      </c>
      <c r="BO369" s="387">
        <f t="shared" si="231"/>
        <v>0</v>
      </c>
      <c r="BP369" s="387">
        <f t="shared" si="232"/>
        <v>0</v>
      </c>
      <c r="BQ369" s="387">
        <f t="shared" si="233"/>
        <v>0</v>
      </c>
      <c r="BR369" s="387">
        <f t="shared" si="234"/>
        <v>0</v>
      </c>
      <c r="BS369" s="387">
        <f t="shared" si="235"/>
        <v>0</v>
      </c>
      <c r="BT369" s="387">
        <f t="shared" si="236"/>
        <v>0</v>
      </c>
      <c r="BU369" s="387">
        <f t="shared" si="237"/>
        <v>0</v>
      </c>
      <c r="BV369" s="387">
        <f t="shared" si="238"/>
        <v>0</v>
      </c>
      <c r="BW369" s="387">
        <f t="shared" si="239"/>
        <v>0</v>
      </c>
      <c r="BX369" s="387">
        <f t="shared" si="254"/>
        <v>0</v>
      </c>
      <c r="BY369" s="387">
        <f t="shared" si="255"/>
        <v>0</v>
      </c>
      <c r="BZ369" s="387">
        <f t="shared" si="256"/>
        <v>0</v>
      </c>
      <c r="CA369" s="387">
        <f t="shared" si="257"/>
        <v>0</v>
      </c>
      <c r="CB369" s="387">
        <f t="shared" si="258"/>
        <v>0</v>
      </c>
      <c r="CC369" s="387">
        <f t="shared" si="240"/>
        <v>0</v>
      </c>
      <c r="CD369" s="387">
        <f t="shared" si="241"/>
        <v>0</v>
      </c>
      <c r="CE369" s="387">
        <f t="shared" si="242"/>
        <v>0</v>
      </c>
      <c r="CF369" s="387">
        <f t="shared" si="243"/>
        <v>0</v>
      </c>
      <c r="CG369" s="387">
        <f t="shared" si="244"/>
        <v>0</v>
      </c>
      <c r="CH369" s="387">
        <f t="shared" si="245"/>
        <v>0</v>
      </c>
      <c r="CI369" s="387">
        <f t="shared" si="246"/>
        <v>0</v>
      </c>
      <c r="CJ369" s="387">
        <f t="shared" si="259"/>
        <v>0</v>
      </c>
      <c r="CK369" s="387" t="str">
        <f t="shared" si="260"/>
        <v/>
      </c>
      <c r="CL369" s="387" t="str">
        <f t="shared" si="261"/>
        <v/>
      </c>
      <c r="CM369" s="387" t="str">
        <f t="shared" si="262"/>
        <v/>
      </c>
      <c r="CN369" s="387" t="str">
        <f t="shared" si="263"/>
        <v>0348-31</v>
      </c>
    </row>
    <row r="370" spans="1:92" ht="15.75" thickBot="1" x14ac:dyDescent="0.3">
      <c r="A370" s="376" t="s">
        <v>161</v>
      </c>
      <c r="B370" s="376" t="s">
        <v>162</v>
      </c>
      <c r="C370" s="376" t="s">
        <v>1275</v>
      </c>
      <c r="D370" s="376" t="s">
        <v>270</v>
      </c>
      <c r="E370" s="376" t="s">
        <v>224</v>
      </c>
      <c r="F370" s="382" t="s">
        <v>225</v>
      </c>
      <c r="G370" s="376" t="s">
        <v>781</v>
      </c>
      <c r="H370" s="378"/>
      <c r="I370" s="378"/>
      <c r="J370" s="376" t="s">
        <v>215</v>
      </c>
      <c r="K370" s="376" t="s">
        <v>271</v>
      </c>
      <c r="L370" s="376" t="s">
        <v>217</v>
      </c>
      <c r="M370" s="376" t="s">
        <v>171</v>
      </c>
      <c r="N370" s="376" t="s">
        <v>172</v>
      </c>
      <c r="O370" s="379">
        <v>1</v>
      </c>
      <c r="P370" s="385">
        <v>0</v>
      </c>
      <c r="Q370" s="385">
        <v>0</v>
      </c>
      <c r="R370" s="380">
        <v>80</v>
      </c>
      <c r="S370" s="385">
        <v>0</v>
      </c>
      <c r="T370" s="380">
        <v>35706.43</v>
      </c>
      <c r="U370" s="380">
        <v>4733.8500000000004</v>
      </c>
      <c r="V370" s="380">
        <v>17957.849999999999</v>
      </c>
      <c r="W370" s="380">
        <v>0</v>
      </c>
      <c r="X370" s="380">
        <v>0</v>
      </c>
      <c r="Y370" s="380">
        <v>0</v>
      </c>
      <c r="Z370" s="380">
        <v>0</v>
      </c>
      <c r="AA370" s="376" t="s">
        <v>1276</v>
      </c>
      <c r="AB370" s="376" t="s">
        <v>1277</v>
      </c>
      <c r="AC370" s="376" t="s">
        <v>1278</v>
      </c>
      <c r="AD370" s="376" t="s">
        <v>324</v>
      </c>
      <c r="AE370" s="376" t="s">
        <v>271</v>
      </c>
      <c r="AF370" s="376" t="s">
        <v>221</v>
      </c>
      <c r="AG370" s="376" t="s">
        <v>178</v>
      </c>
      <c r="AH370" s="381">
        <v>21.16</v>
      </c>
      <c r="AI370" s="381">
        <v>36013.9</v>
      </c>
      <c r="AJ370" s="376" t="s">
        <v>179</v>
      </c>
      <c r="AK370" s="376" t="s">
        <v>180</v>
      </c>
      <c r="AL370" s="376" t="s">
        <v>181</v>
      </c>
      <c r="AM370" s="376" t="s">
        <v>182</v>
      </c>
      <c r="AN370" s="376" t="s">
        <v>68</v>
      </c>
      <c r="AO370" s="379">
        <v>80</v>
      </c>
      <c r="AP370" s="385">
        <v>1</v>
      </c>
      <c r="AQ370" s="385">
        <v>0</v>
      </c>
      <c r="AR370" s="383" t="s">
        <v>183</v>
      </c>
      <c r="AS370" s="387">
        <f t="shared" si="247"/>
        <v>0</v>
      </c>
      <c r="AT370">
        <f t="shared" si="248"/>
        <v>0</v>
      </c>
      <c r="AU370" s="387" t="str">
        <f>IF(AT370=0,"",IF(AND(AT370=1,M370="F",SUMIF(C2:C1334,C370,AS2:AS1334)&lt;=1),SUMIF(C2:C1334,C370,AS2:AS1334),IF(AND(AT370=1,M370="F",SUMIF(C2:C1334,C370,AS2:AS1334)&gt;1),1,"")))</f>
        <v/>
      </c>
      <c r="AV370" s="387" t="str">
        <f>IF(AT370=0,"",IF(AND(AT370=3,M370="F",SUMIF(C2:C1334,C370,AS2:AS1334)&lt;=1),SUMIF(C2:C1334,C370,AS2:AS1334),IF(AND(AT370=3,M370="F",SUMIF(C2:C1334,C370,AS2:AS1334)&gt;1),1,"")))</f>
        <v/>
      </c>
      <c r="AW370" s="387">
        <f>SUMIF(C2:C1334,C370,O2:O1334)</f>
        <v>2</v>
      </c>
      <c r="AX370" s="387">
        <f>IF(AND(M370="F",AS370&lt;&gt;0),SUMIF(C2:C1334,C370,W2:W1334),0)</f>
        <v>0</v>
      </c>
      <c r="AY370" s="387" t="str">
        <f t="shared" si="249"/>
        <v/>
      </c>
      <c r="AZ370" s="387" t="str">
        <f t="shared" si="250"/>
        <v/>
      </c>
      <c r="BA370" s="387">
        <f t="shared" si="251"/>
        <v>0</v>
      </c>
      <c r="BB370" s="387">
        <f t="shared" si="220"/>
        <v>0</v>
      </c>
      <c r="BC370" s="387">
        <f t="shared" si="221"/>
        <v>0</v>
      </c>
      <c r="BD370" s="387">
        <f t="shared" si="222"/>
        <v>0</v>
      </c>
      <c r="BE370" s="387">
        <f t="shared" si="223"/>
        <v>0</v>
      </c>
      <c r="BF370" s="387">
        <f t="shared" si="224"/>
        <v>0</v>
      </c>
      <c r="BG370" s="387">
        <f t="shared" si="225"/>
        <v>0</v>
      </c>
      <c r="BH370" s="387">
        <f t="shared" si="226"/>
        <v>0</v>
      </c>
      <c r="BI370" s="387">
        <f t="shared" si="227"/>
        <v>0</v>
      </c>
      <c r="BJ370" s="387">
        <f t="shared" si="228"/>
        <v>0</v>
      </c>
      <c r="BK370" s="387">
        <f t="shared" si="229"/>
        <v>0</v>
      </c>
      <c r="BL370" s="387">
        <f t="shared" si="252"/>
        <v>0</v>
      </c>
      <c r="BM370" s="387">
        <f t="shared" si="253"/>
        <v>0</v>
      </c>
      <c r="BN370" s="387">
        <f t="shared" si="230"/>
        <v>0</v>
      </c>
      <c r="BO370" s="387">
        <f t="shared" si="231"/>
        <v>0</v>
      </c>
      <c r="BP370" s="387">
        <f t="shared" si="232"/>
        <v>0</v>
      </c>
      <c r="BQ370" s="387">
        <f t="shared" si="233"/>
        <v>0</v>
      </c>
      <c r="BR370" s="387">
        <f t="shared" si="234"/>
        <v>0</v>
      </c>
      <c r="BS370" s="387">
        <f t="shared" si="235"/>
        <v>0</v>
      </c>
      <c r="BT370" s="387">
        <f t="shared" si="236"/>
        <v>0</v>
      </c>
      <c r="BU370" s="387">
        <f t="shared" si="237"/>
        <v>0</v>
      </c>
      <c r="BV370" s="387">
        <f t="shared" si="238"/>
        <v>0</v>
      </c>
      <c r="BW370" s="387">
        <f t="shared" si="239"/>
        <v>0</v>
      </c>
      <c r="BX370" s="387">
        <f t="shared" si="254"/>
        <v>0</v>
      </c>
      <c r="BY370" s="387">
        <f t="shared" si="255"/>
        <v>0</v>
      </c>
      <c r="BZ370" s="387">
        <f t="shared" si="256"/>
        <v>0</v>
      </c>
      <c r="CA370" s="387">
        <f t="shared" si="257"/>
        <v>0</v>
      </c>
      <c r="CB370" s="387">
        <f t="shared" si="258"/>
        <v>0</v>
      </c>
      <c r="CC370" s="387">
        <f t="shared" si="240"/>
        <v>0</v>
      </c>
      <c r="CD370" s="387">
        <f t="shared" si="241"/>
        <v>0</v>
      </c>
      <c r="CE370" s="387">
        <f t="shared" si="242"/>
        <v>0</v>
      </c>
      <c r="CF370" s="387">
        <f t="shared" si="243"/>
        <v>0</v>
      </c>
      <c r="CG370" s="387">
        <f t="shared" si="244"/>
        <v>0</v>
      </c>
      <c r="CH370" s="387">
        <f t="shared" si="245"/>
        <v>0</v>
      </c>
      <c r="CI370" s="387">
        <f t="shared" si="246"/>
        <v>0</v>
      </c>
      <c r="CJ370" s="387">
        <f t="shared" si="259"/>
        <v>0</v>
      </c>
      <c r="CK370" s="387" t="str">
        <f t="shared" si="260"/>
        <v/>
      </c>
      <c r="CL370" s="387" t="str">
        <f t="shared" si="261"/>
        <v/>
      </c>
      <c r="CM370" s="387" t="str">
        <f t="shared" si="262"/>
        <v/>
      </c>
      <c r="CN370" s="387" t="str">
        <f t="shared" si="263"/>
        <v>0348-31</v>
      </c>
    </row>
    <row r="371" spans="1:92" ht="15.75" thickBot="1" x14ac:dyDescent="0.3">
      <c r="A371" s="376" t="s">
        <v>161</v>
      </c>
      <c r="B371" s="376" t="s">
        <v>162</v>
      </c>
      <c r="C371" s="376" t="s">
        <v>1279</v>
      </c>
      <c r="D371" s="376" t="s">
        <v>1280</v>
      </c>
      <c r="E371" s="376" t="s">
        <v>224</v>
      </c>
      <c r="F371" s="382" t="s">
        <v>225</v>
      </c>
      <c r="G371" s="376" t="s">
        <v>781</v>
      </c>
      <c r="H371" s="378"/>
      <c r="I371" s="378"/>
      <c r="J371" s="376" t="s">
        <v>215</v>
      </c>
      <c r="K371" s="376" t="s">
        <v>1281</v>
      </c>
      <c r="L371" s="376" t="s">
        <v>178</v>
      </c>
      <c r="M371" s="376" t="s">
        <v>171</v>
      </c>
      <c r="N371" s="376" t="s">
        <v>877</v>
      </c>
      <c r="O371" s="379">
        <v>1</v>
      </c>
      <c r="P371" s="385">
        <v>1</v>
      </c>
      <c r="Q371" s="385">
        <v>1</v>
      </c>
      <c r="R371" s="380">
        <v>80</v>
      </c>
      <c r="S371" s="385">
        <v>1</v>
      </c>
      <c r="T371" s="380">
        <v>37815.79</v>
      </c>
      <c r="U371" s="380">
        <v>905.46</v>
      </c>
      <c r="V371" s="380">
        <v>19781.91</v>
      </c>
      <c r="W371" s="380">
        <v>38700.480000000003</v>
      </c>
      <c r="X371" s="380">
        <v>20018.95</v>
      </c>
      <c r="Y371" s="380">
        <v>38700.480000000003</v>
      </c>
      <c r="Z371" s="380">
        <v>19856.41</v>
      </c>
      <c r="AA371" s="376" t="s">
        <v>1282</v>
      </c>
      <c r="AB371" s="376" t="s">
        <v>1283</v>
      </c>
      <c r="AC371" s="376" t="s">
        <v>1284</v>
      </c>
      <c r="AD371" s="376" t="s">
        <v>1285</v>
      </c>
      <c r="AE371" s="376" t="s">
        <v>1281</v>
      </c>
      <c r="AF371" s="376" t="s">
        <v>253</v>
      </c>
      <c r="AG371" s="376" t="s">
        <v>178</v>
      </c>
      <c r="AH371" s="381">
        <v>17.72</v>
      </c>
      <c r="AI371" s="379">
        <v>2757</v>
      </c>
      <c r="AJ371" s="376" t="s">
        <v>179</v>
      </c>
      <c r="AK371" s="376" t="s">
        <v>180</v>
      </c>
      <c r="AL371" s="376" t="s">
        <v>181</v>
      </c>
      <c r="AM371" s="376" t="s">
        <v>182</v>
      </c>
      <c r="AN371" s="376" t="s">
        <v>68</v>
      </c>
      <c r="AO371" s="379">
        <v>80</v>
      </c>
      <c r="AP371" s="385">
        <v>1</v>
      </c>
      <c r="AQ371" s="385">
        <v>1</v>
      </c>
      <c r="AR371" s="383">
        <v>5</v>
      </c>
      <c r="AS371" s="387">
        <f t="shared" si="247"/>
        <v>1</v>
      </c>
      <c r="AT371">
        <f t="shared" si="248"/>
        <v>1</v>
      </c>
      <c r="AU371" s="387">
        <f>IF(AT371=0,"",IF(AND(AT371=1,M371="F",SUMIF(C2:C1334,C371,AS2:AS1334)&lt;=1),SUMIF(C2:C1334,C371,AS2:AS1334),IF(AND(AT371=1,M371="F",SUMIF(C2:C1334,C371,AS2:AS1334)&gt;1),1,"")))</f>
        <v>1</v>
      </c>
      <c r="AV371" s="387" t="str">
        <f>IF(AT371=0,"",IF(AND(AT371=3,M371="F",SUMIF(C2:C1334,C371,AS2:AS1334)&lt;=1),SUMIF(C2:C1334,C371,AS2:AS1334),IF(AND(AT371=3,M371="F",SUMIF(C2:C1334,C371,AS2:AS1334)&gt;1),1,"")))</f>
        <v/>
      </c>
      <c r="AW371" s="387">
        <f>SUMIF(C2:C1334,C371,O2:O1334)</f>
        <v>1</v>
      </c>
      <c r="AX371" s="387">
        <f>IF(AND(M371="F",AS371&lt;&gt;0),SUMIF(C2:C1334,C371,W2:W1334),0)</f>
        <v>38700.480000000003</v>
      </c>
      <c r="AY371" s="387">
        <f t="shared" si="249"/>
        <v>38700.480000000003</v>
      </c>
      <c r="AZ371" s="387" t="str">
        <f t="shared" si="250"/>
        <v/>
      </c>
      <c r="BA371" s="387">
        <f t="shared" si="251"/>
        <v>0</v>
      </c>
      <c r="BB371" s="387">
        <f t="shared" si="220"/>
        <v>11650</v>
      </c>
      <c r="BC371" s="387">
        <f t="shared" si="221"/>
        <v>0</v>
      </c>
      <c r="BD371" s="387">
        <f t="shared" si="222"/>
        <v>2399.42976</v>
      </c>
      <c r="BE371" s="387">
        <f t="shared" si="223"/>
        <v>561.15696000000003</v>
      </c>
      <c r="BF371" s="387">
        <f t="shared" si="224"/>
        <v>4620.8373120000006</v>
      </c>
      <c r="BG371" s="387">
        <f t="shared" si="225"/>
        <v>279.03046080000001</v>
      </c>
      <c r="BH371" s="387">
        <f t="shared" si="226"/>
        <v>189.632352</v>
      </c>
      <c r="BI371" s="387">
        <f t="shared" si="227"/>
        <v>214.20715680000001</v>
      </c>
      <c r="BJ371" s="387">
        <f t="shared" si="228"/>
        <v>104.49129600000002</v>
      </c>
      <c r="BK371" s="387">
        <f t="shared" si="229"/>
        <v>0</v>
      </c>
      <c r="BL371" s="387">
        <f t="shared" si="252"/>
        <v>8368.7852975999995</v>
      </c>
      <c r="BM371" s="387">
        <f t="shared" si="253"/>
        <v>0</v>
      </c>
      <c r="BN371" s="387">
        <f t="shared" si="230"/>
        <v>11650</v>
      </c>
      <c r="BO371" s="387">
        <f t="shared" si="231"/>
        <v>0</v>
      </c>
      <c r="BP371" s="387">
        <f t="shared" si="232"/>
        <v>2399.42976</v>
      </c>
      <c r="BQ371" s="387">
        <f t="shared" si="233"/>
        <v>561.15696000000003</v>
      </c>
      <c r="BR371" s="387">
        <f t="shared" si="234"/>
        <v>4620.8373120000006</v>
      </c>
      <c r="BS371" s="387">
        <f t="shared" si="235"/>
        <v>279.03046080000001</v>
      </c>
      <c r="BT371" s="387">
        <f t="shared" si="236"/>
        <v>0</v>
      </c>
      <c r="BU371" s="387">
        <f t="shared" si="237"/>
        <v>214.20715680000001</v>
      </c>
      <c r="BV371" s="387">
        <f t="shared" si="238"/>
        <v>131.58163200000001</v>
      </c>
      <c r="BW371" s="387">
        <f t="shared" si="239"/>
        <v>0</v>
      </c>
      <c r="BX371" s="387">
        <f t="shared" si="254"/>
        <v>8206.2432816</v>
      </c>
      <c r="BY371" s="387">
        <f t="shared" si="255"/>
        <v>0</v>
      </c>
      <c r="BZ371" s="387">
        <f t="shared" si="256"/>
        <v>0</v>
      </c>
      <c r="CA371" s="387">
        <f t="shared" si="257"/>
        <v>0</v>
      </c>
      <c r="CB371" s="387">
        <f t="shared" si="258"/>
        <v>0</v>
      </c>
      <c r="CC371" s="387">
        <f t="shared" si="240"/>
        <v>0</v>
      </c>
      <c r="CD371" s="387">
        <f t="shared" si="241"/>
        <v>0</v>
      </c>
      <c r="CE371" s="387">
        <f t="shared" si="242"/>
        <v>0</v>
      </c>
      <c r="CF371" s="387">
        <f t="shared" si="243"/>
        <v>-189.632352</v>
      </c>
      <c r="CG371" s="387">
        <f t="shared" si="244"/>
        <v>0</v>
      </c>
      <c r="CH371" s="387">
        <f t="shared" si="245"/>
        <v>27.09033599999999</v>
      </c>
      <c r="CI371" s="387">
        <f t="shared" si="246"/>
        <v>0</v>
      </c>
      <c r="CJ371" s="387">
        <f t="shared" si="259"/>
        <v>-162.54201600000002</v>
      </c>
      <c r="CK371" s="387" t="str">
        <f t="shared" si="260"/>
        <v/>
      </c>
      <c r="CL371" s="387" t="str">
        <f t="shared" si="261"/>
        <v/>
      </c>
      <c r="CM371" s="387" t="str">
        <f t="shared" si="262"/>
        <v/>
      </c>
      <c r="CN371" s="387" t="str">
        <f t="shared" si="263"/>
        <v>0348-31</v>
      </c>
    </row>
    <row r="372" spans="1:92" ht="15.75" thickBot="1" x14ac:dyDescent="0.3">
      <c r="A372" s="376" t="s">
        <v>161</v>
      </c>
      <c r="B372" s="376" t="s">
        <v>162</v>
      </c>
      <c r="C372" s="376" t="s">
        <v>1286</v>
      </c>
      <c r="D372" s="376" t="s">
        <v>862</v>
      </c>
      <c r="E372" s="376" t="s">
        <v>224</v>
      </c>
      <c r="F372" s="382" t="s">
        <v>225</v>
      </c>
      <c r="G372" s="376" t="s">
        <v>781</v>
      </c>
      <c r="H372" s="378"/>
      <c r="I372" s="378"/>
      <c r="J372" s="376" t="s">
        <v>215</v>
      </c>
      <c r="K372" s="376" t="s">
        <v>863</v>
      </c>
      <c r="L372" s="376" t="s">
        <v>252</v>
      </c>
      <c r="M372" s="376" t="s">
        <v>171</v>
      </c>
      <c r="N372" s="376" t="s">
        <v>172</v>
      </c>
      <c r="O372" s="379">
        <v>1</v>
      </c>
      <c r="P372" s="385">
        <v>0</v>
      </c>
      <c r="Q372" s="385">
        <v>0</v>
      </c>
      <c r="R372" s="380">
        <v>80</v>
      </c>
      <c r="S372" s="385">
        <v>0</v>
      </c>
      <c r="T372" s="380">
        <v>16996.37</v>
      </c>
      <c r="U372" s="380">
        <v>0</v>
      </c>
      <c r="V372" s="380">
        <v>9078.74</v>
      </c>
      <c r="W372" s="380">
        <v>0</v>
      </c>
      <c r="X372" s="380">
        <v>0</v>
      </c>
      <c r="Y372" s="380">
        <v>0</v>
      </c>
      <c r="Z372" s="380">
        <v>0</v>
      </c>
      <c r="AA372" s="376" t="s">
        <v>1287</v>
      </c>
      <c r="AB372" s="376" t="s">
        <v>1288</v>
      </c>
      <c r="AC372" s="376" t="s">
        <v>1289</v>
      </c>
      <c r="AD372" s="376" t="s">
        <v>324</v>
      </c>
      <c r="AE372" s="376" t="s">
        <v>863</v>
      </c>
      <c r="AF372" s="376" t="s">
        <v>393</v>
      </c>
      <c r="AG372" s="376" t="s">
        <v>178</v>
      </c>
      <c r="AH372" s="381">
        <v>18.559999999999999</v>
      </c>
      <c r="AI372" s="381">
        <v>35764.699999999997</v>
      </c>
      <c r="AJ372" s="376" t="s">
        <v>179</v>
      </c>
      <c r="AK372" s="376" t="s">
        <v>180</v>
      </c>
      <c r="AL372" s="376" t="s">
        <v>181</v>
      </c>
      <c r="AM372" s="376" t="s">
        <v>182</v>
      </c>
      <c r="AN372" s="376" t="s">
        <v>68</v>
      </c>
      <c r="AO372" s="379">
        <v>80</v>
      </c>
      <c r="AP372" s="385">
        <v>1</v>
      </c>
      <c r="AQ372" s="385">
        <v>0</v>
      </c>
      <c r="AR372" s="383" t="s">
        <v>183</v>
      </c>
      <c r="AS372" s="387">
        <f t="shared" si="247"/>
        <v>0</v>
      </c>
      <c r="AT372">
        <f t="shared" si="248"/>
        <v>0</v>
      </c>
      <c r="AU372" s="387" t="str">
        <f>IF(AT372=0,"",IF(AND(AT372=1,M372="F",SUMIF(C2:C1334,C372,AS2:AS1334)&lt;=1),SUMIF(C2:C1334,C372,AS2:AS1334),IF(AND(AT372=1,M372="F",SUMIF(C2:C1334,C372,AS2:AS1334)&gt;1),1,"")))</f>
        <v/>
      </c>
      <c r="AV372" s="387" t="str">
        <f>IF(AT372=0,"",IF(AND(AT372=3,M372="F",SUMIF(C2:C1334,C372,AS2:AS1334)&lt;=1),SUMIF(C2:C1334,C372,AS2:AS1334),IF(AND(AT372=3,M372="F",SUMIF(C2:C1334,C372,AS2:AS1334)&gt;1),1,"")))</f>
        <v/>
      </c>
      <c r="AW372" s="387">
        <f>SUMIF(C2:C1334,C372,O2:O1334)</f>
        <v>2</v>
      </c>
      <c r="AX372" s="387">
        <f>IF(AND(M372="F",AS372&lt;&gt;0),SUMIF(C2:C1334,C372,W2:W1334),0)</f>
        <v>0</v>
      </c>
      <c r="AY372" s="387" t="str">
        <f t="shared" si="249"/>
        <v/>
      </c>
      <c r="AZ372" s="387" t="str">
        <f t="shared" si="250"/>
        <v/>
      </c>
      <c r="BA372" s="387">
        <f t="shared" si="251"/>
        <v>0</v>
      </c>
      <c r="BB372" s="387">
        <f t="shared" si="220"/>
        <v>0</v>
      </c>
      <c r="BC372" s="387">
        <f t="shared" si="221"/>
        <v>0</v>
      </c>
      <c r="BD372" s="387">
        <f t="shared" si="222"/>
        <v>0</v>
      </c>
      <c r="BE372" s="387">
        <f t="shared" si="223"/>
        <v>0</v>
      </c>
      <c r="BF372" s="387">
        <f t="shared" si="224"/>
        <v>0</v>
      </c>
      <c r="BG372" s="387">
        <f t="shared" si="225"/>
        <v>0</v>
      </c>
      <c r="BH372" s="387">
        <f t="shared" si="226"/>
        <v>0</v>
      </c>
      <c r="BI372" s="387">
        <f t="shared" si="227"/>
        <v>0</v>
      </c>
      <c r="BJ372" s="387">
        <f t="shared" si="228"/>
        <v>0</v>
      </c>
      <c r="BK372" s="387">
        <f t="shared" si="229"/>
        <v>0</v>
      </c>
      <c r="BL372" s="387">
        <f t="shared" si="252"/>
        <v>0</v>
      </c>
      <c r="BM372" s="387">
        <f t="shared" si="253"/>
        <v>0</v>
      </c>
      <c r="BN372" s="387">
        <f t="shared" si="230"/>
        <v>0</v>
      </c>
      <c r="BO372" s="387">
        <f t="shared" si="231"/>
        <v>0</v>
      </c>
      <c r="BP372" s="387">
        <f t="shared" si="232"/>
        <v>0</v>
      </c>
      <c r="BQ372" s="387">
        <f t="shared" si="233"/>
        <v>0</v>
      </c>
      <c r="BR372" s="387">
        <f t="shared" si="234"/>
        <v>0</v>
      </c>
      <c r="BS372" s="387">
        <f t="shared" si="235"/>
        <v>0</v>
      </c>
      <c r="BT372" s="387">
        <f t="shared" si="236"/>
        <v>0</v>
      </c>
      <c r="BU372" s="387">
        <f t="shared" si="237"/>
        <v>0</v>
      </c>
      <c r="BV372" s="387">
        <f t="shared" si="238"/>
        <v>0</v>
      </c>
      <c r="BW372" s="387">
        <f t="shared" si="239"/>
        <v>0</v>
      </c>
      <c r="BX372" s="387">
        <f t="shared" si="254"/>
        <v>0</v>
      </c>
      <c r="BY372" s="387">
        <f t="shared" si="255"/>
        <v>0</v>
      </c>
      <c r="BZ372" s="387">
        <f t="shared" si="256"/>
        <v>0</v>
      </c>
      <c r="CA372" s="387">
        <f t="shared" si="257"/>
        <v>0</v>
      </c>
      <c r="CB372" s="387">
        <f t="shared" si="258"/>
        <v>0</v>
      </c>
      <c r="CC372" s="387">
        <f t="shared" si="240"/>
        <v>0</v>
      </c>
      <c r="CD372" s="387">
        <f t="shared" si="241"/>
        <v>0</v>
      </c>
      <c r="CE372" s="387">
        <f t="shared" si="242"/>
        <v>0</v>
      </c>
      <c r="CF372" s="387">
        <f t="shared" si="243"/>
        <v>0</v>
      </c>
      <c r="CG372" s="387">
        <f t="shared" si="244"/>
        <v>0</v>
      </c>
      <c r="CH372" s="387">
        <f t="shared" si="245"/>
        <v>0</v>
      </c>
      <c r="CI372" s="387">
        <f t="shared" si="246"/>
        <v>0</v>
      </c>
      <c r="CJ372" s="387">
        <f t="shared" si="259"/>
        <v>0</v>
      </c>
      <c r="CK372" s="387" t="str">
        <f t="shared" si="260"/>
        <v/>
      </c>
      <c r="CL372" s="387" t="str">
        <f t="shared" si="261"/>
        <v/>
      </c>
      <c r="CM372" s="387" t="str">
        <f t="shared" si="262"/>
        <v/>
      </c>
      <c r="CN372" s="387" t="str">
        <f t="shared" si="263"/>
        <v>0348-31</v>
      </c>
    </row>
    <row r="373" spans="1:92" ht="15.75" thickBot="1" x14ac:dyDescent="0.3">
      <c r="A373" s="376" t="s">
        <v>161</v>
      </c>
      <c r="B373" s="376" t="s">
        <v>162</v>
      </c>
      <c r="C373" s="376" t="s">
        <v>1290</v>
      </c>
      <c r="D373" s="376" t="s">
        <v>862</v>
      </c>
      <c r="E373" s="376" t="s">
        <v>224</v>
      </c>
      <c r="F373" s="382" t="s">
        <v>225</v>
      </c>
      <c r="G373" s="376" t="s">
        <v>781</v>
      </c>
      <c r="H373" s="378"/>
      <c r="I373" s="378"/>
      <c r="J373" s="376" t="s">
        <v>215</v>
      </c>
      <c r="K373" s="376" t="s">
        <v>863</v>
      </c>
      <c r="L373" s="376" t="s">
        <v>252</v>
      </c>
      <c r="M373" s="376" t="s">
        <v>171</v>
      </c>
      <c r="N373" s="376" t="s">
        <v>172</v>
      </c>
      <c r="O373" s="379">
        <v>1</v>
      </c>
      <c r="P373" s="385">
        <v>0</v>
      </c>
      <c r="Q373" s="385">
        <v>0</v>
      </c>
      <c r="R373" s="380">
        <v>80</v>
      </c>
      <c r="S373" s="385">
        <v>0</v>
      </c>
      <c r="T373" s="380">
        <v>1517.6</v>
      </c>
      <c r="U373" s="380">
        <v>0</v>
      </c>
      <c r="V373" s="380">
        <v>767.47</v>
      </c>
      <c r="W373" s="380">
        <v>0</v>
      </c>
      <c r="X373" s="380">
        <v>0</v>
      </c>
      <c r="Y373" s="380">
        <v>0</v>
      </c>
      <c r="Z373" s="380">
        <v>0</v>
      </c>
      <c r="AA373" s="376" t="s">
        <v>1291</v>
      </c>
      <c r="AB373" s="376" t="s">
        <v>1292</v>
      </c>
      <c r="AC373" s="376" t="s">
        <v>1293</v>
      </c>
      <c r="AD373" s="376" t="s">
        <v>268</v>
      </c>
      <c r="AE373" s="376" t="s">
        <v>863</v>
      </c>
      <c r="AF373" s="376" t="s">
        <v>393</v>
      </c>
      <c r="AG373" s="376" t="s">
        <v>178</v>
      </c>
      <c r="AH373" s="381">
        <v>20.78</v>
      </c>
      <c r="AI373" s="381">
        <v>33475.300000000003</v>
      </c>
      <c r="AJ373" s="376" t="s">
        <v>179</v>
      </c>
      <c r="AK373" s="376" t="s">
        <v>180</v>
      </c>
      <c r="AL373" s="376" t="s">
        <v>181</v>
      </c>
      <c r="AM373" s="376" t="s">
        <v>182</v>
      </c>
      <c r="AN373" s="376" t="s">
        <v>68</v>
      </c>
      <c r="AO373" s="379">
        <v>80</v>
      </c>
      <c r="AP373" s="385">
        <v>1</v>
      </c>
      <c r="AQ373" s="385">
        <v>0</v>
      </c>
      <c r="AR373" s="383" t="s">
        <v>183</v>
      </c>
      <c r="AS373" s="387">
        <f t="shared" si="247"/>
        <v>0</v>
      </c>
      <c r="AT373">
        <f t="shared" si="248"/>
        <v>0</v>
      </c>
      <c r="AU373" s="387" t="str">
        <f>IF(AT373=0,"",IF(AND(AT373=1,M373="F",SUMIF(C2:C1334,C373,AS2:AS1334)&lt;=1),SUMIF(C2:C1334,C373,AS2:AS1334),IF(AND(AT373=1,M373="F",SUMIF(C2:C1334,C373,AS2:AS1334)&gt;1),1,"")))</f>
        <v/>
      </c>
      <c r="AV373" s="387" t="str">
        <f>IF(AT373=0,"",IF(AND(AT373=3,M373="F",SUMIF(C2:C1334,C373,AS2:AS1334)&lt;=1),SUMIF(C2:C1334,C373,AS2:AS1334),IF(AND(AT373=3,M373="F",SUMIF(C2:C1334,C373,AS2:AS1334)&gt;1),1,"")))</f>
        <v/>
      </c>
      <c r="AW373" s="387">
        <f>SUMIF(C2:C1334,C373,O2:O1334)</f>
        <v>2</v>
      </c>
      <c r="AX373" s="387">
        <f>IF(AND(M373="F",AS373&lt;&gt;0),SUMIF(C2:C1334,C373,W2:W1334),0)</f>
        <v>0</v>
      </c>
      <c r="AY373" s="387" t="str">
        <f t="shared" si="249"/>
        <v/>
      </c>
      <c r="AZ373" s="387" t="str">
        <f t="shared" si="250"/>
        <v/>
      </c>
      <c r="BA373" s="387">
        <f t="shared" si="251"/>
        <v>0</v>
      </c>
      <c r="BB373" s="387">
        <f t="shared" si="220"/>
        <v>0</v>
      </c>
      <c r="BC373" s="387">
        <f t="shared" si="221"/>
        <v>0</v>
      </c>
      <c r="BD373" s="387">
        <f t="shared" si="222"/>
        <v>0</v>
      </c>
      <c r="BE373" s="387">
        <f t="shared" si="223"/>
        <v>0</v>
      </c>
      <c r="BF373" s="387">
        <f t="shared" si="224"/>
        <v>0</v>
      </c>
      <c r="BG373" s="387">
        <f t="shared" si="225"/>
        <v>0</v>
      </c>
      <c r="BH373" s="387">
        <f t="shared" si="226"/>
        <v>0</v>
      </c>
      <c r="BI373" s="387">
        <f t="shared" si="227"/>
        <v>0</v>
      </c>
      <c r="BJ373" s="387">
        <f t="shared" si="228"/>
        <v>0</v>
      </c>
      <c r="BK373" s="387">
        <f t="shared" si="229"/>
        <v>0</v>
      </c>
      <c r="BL373" s="387">
        <f t="shared" si="252"/>
        <v>0</v>
      </c>
      <c r="BM373" s="387">
        <f t="shared" si="253"/>
        <v>0</v>
      </c>
      <c r="BN373" s="387">
        <f t="shared" si="230"/>
        <v>0</v>
      </c>
      <c r="BO373" s="387">
        <f t="shared" si="231"/>
        <v>0</v>
      </c>
      <c r="BP373" s="387">
        <f t="shared" si="232"/>
        <v>0</v>
      </c>
      <c r="BQ373" s="387">
        <f t="shared" si="233"/>
        <v>0</v>
      </c>
      <c r="BR373" s="387">
        <f t="shared" si="234"/>
        <v>0</v>
      </c>
      <c r="BS373" s="387">
        <f t="shared" si="235"/>
        <v>0</v>
      </c>
      <c r="BT373" s="387">
        <f t="shared" si="236"/>
        <v>0</v>
      </c>
      <c r="BU373" s="387">
        <f t="shared" si="237"/>
        <v>0</v>
      </c>
      <c r="BV373" s="387">
        <f t="shared" si="238"/>
        <v>0</v>
      </c>
      <c r="BW373" s="387">
        <f t="shared" si="239"/>
        <v>0</v>
      </c>
      <c r="BX373" s="387">
        <f t="shared" si="254"/>
        <v>0</v>
      </c>
      <c r="BY373" s="387">
        <f t="shared" si="255"/>
        <v>0</v>
      </c>
      <c r="BZ373" s="387">
        <f t="shared" si="256"/>
        <v>0</v>
      </c>
      <c r="CA373" s="387">
        <f t="shared" si="257"/>
        <v>0</v>
      </c>
      <c r="CB373" s="387">
        <f t="shared" si="258"/>
        <v>0</v>
      </c>
      <c r="CC373" s="387">
        <f t="shared" si="240"/>
        <v>0</v>
      </c>
      <c r="CD373" s="387">
        <f t="shared" si="241"/>
        <v>0</v>
      </c>
      <c r="CE373" s="387">
        <f t="shared" si="242"/>
        <v>0</v>
      </c>
      <c r="CF373" s="387">
        <f t="shared" si="243"/>
        <v>0</v>
      </c>
      <c r="CG373" s="387">
        <f t="shared" si="244"/>
        <v>0</v>
      </c>
      <c r="CH373" s="387">
        <f t="shared" si="245"/>
        <v>0</v>
      </c>
      <c r="CI373" s="387">
        <f t="shared" si="246"/>
        <v>0</v>
      </c>
      <c r="CJ373" s="387">
        <f t="shared" si="259"/>
        <v>0</v>
      </c>
      <c r="CK373" s="387" t="str">
        <f t="shared" si="260"/>
        <v/>
      </c>
      <c r="CL373" s="387" t="str">
        <f t="shared" si="261"/>
        <v/>
      </c>
      <c r="CM373" s="387" t="str">
        <f t="shared" si="262"/>
        <v/>
      </c>
      <c r="CN373" s="387" t="str">
        <f t="shared" si="263"/>
        <v>0348-31</v>
      </c>
    </row>
    <row r="374" spans="1:92" ht="15.75" thickBot="1" x14ac:dyDescent="0.3">
      <c r="A374" s="376" t="s">
        <v>161</v>
      </c>
      <c r="B374" s="376" t="s">
        <v>162</v>
      </c>
      <c r="C374" s="376" t="s">
        <v>1294</v>
      </c>
      <c r="D374" s="376" t="s">
        <v>862</v>
      </c>
      <c r="E374" s="376" t="s">
        <v>224</v>
      </c>
      <c r="F374" s="382" t="s">
        <v>225</v>
      </c>
      <c r="G374" s="376" t="s">
        <v>781</v>
      </c>
      <c r="H374" s="378"/>
      <c r="I374" s="378"/>
      <c r="J374" s="376" t="s">
        <v>215</v>
      </c>
      <c r="K374" s="376" t="s">
        <v>863</v>
      </c>
      <c r="L374" s="376" t="s">
        <v>252</v>
      </c>
      <c r="M374" s="376" t="s">
        <v>272</v>
      </c>
      <c r="N374" s="376" t="s">
        <v>172</v>
      </c>
      <c r="O374" s="379">
        <v>0</v>
      </c>
      <c r="P374" s="385">
        <v>0</v>
      </c>
      <c r="Q374" s="385">
        <v>0</v>
      </c>
      <c r="R374" s="380">
        <v>80</v>
      </c>
      <c r="S374" s="385">
        <v>0</v>
      </c>
      <c r="T374" s="380">
        <v>14109.04</v>
      </c>
      <c r="U374" s="380">
        <v>0</v>
      </c>
      <c r="V374" s="380">
        <v>8728.81</v>
      </c>
      <c r="W374" s="380">
        <v>0</v>
      </c>
      <c r="X374" s="380">
        <v>0</v>
      </c>
      <c r="Y374" s="380">
        <v>0</v>
      </c>
      <c r="Z374" s="380">
        <v>0</v>
      </c>
      <c r="AA374" s="378"/>
      <c r="AB374" s="376" t="s">
        <v>45</v>
      </c>
      <c r="AC374" s="376" t="s">
        <v>45</v>
      </c>
      <c r="AD374" s="378"/>
      <c r="AE374" s="378"/>
      <c r="AF374" s="378"/>
      <c r="AG374" s="378"/>
      <c r="AH374" s="379">
        <v>0</v>
      </c>
      <c r="AI374" s="379">
        <v>0</v>
      </c>
      <c r="AJ374" s="378"/>
      <c r="AK374" s="378"/>
      <c r="AL374" s="376" t="s">
        <v>181</v>
      </c>
      <c r="AM374" s="378"/>
      <c r="AN374" s="378"/>
      <c r="AO374" s="379">
        <v>0</v>
      </c>
      <c r="AP374" s="385">
        <v>0</v>
      </c>
      <c r="AQ374" s="385">
        <v>0</v>
      </c>
      <c r="AR374" s="384"/>
      <c r="AS374" s="387">
        <f t="shared" si="247"/>
        <v>0</v>
      </c>
      <c r="AT374">
        <f t="shared" si="248"/>
        <v>0</v>
      </c>
      <c r="AU374" s="387" t="str">
        <f>IF(AT374=0,"",IF(AND(AT374=1,M374="F",SUMIF(C2:C1334,C374,AS2:AS1334)&lt;=1),SUMIF(C2:C1334,C374,AS2:AS1334),IF(AND(AT374=1,M374="F",SUMIF(C2:C1334,C374,AS2:AS1334)&gt;1),1,"")))</f>
        <v/>
      </c>
      <c r="AV374" s="387" t="str">
        <f>IF(AT374=0,"",IF(AND(AT374=3,M374="F",SUMIF(C2:C1334,C374,AS2:AS1334)&lt;=1),SUMIF(C2:C1334,C374,AS2:AS1334),IF(AND(AT374=3,M374="F",SUMIF(C2:C1334,C374,AS2:AS1334)&gt;1),1,"")))</f>
        <v/>
      </c>
      <c r="AW374" s="387">
        <f>SUMIF(C2:C1334,C374,O2:O1334)</f>
        <v>0</v>
      </c>
      <c r="AX374" s="387">
        <f>IF(AND(M374="F",AS374&lt;&gt;0),SUMIF(C2:C1334,C374,W2:W1334),0)</f>
        <v>0</v>
      </c>
      <c r="AY374" s="387" t="str">
        <f t="shared" si="249"/>
        <v/>
      </c>
      <c r="AZ374" s="387" t="str">
        <f t="shared" si="250"/>
        <v/>
      </c>
      <c r="BA374" s="387">
        <f t="shared" si="251"/>
        <v>0</v>
      </c>
      <c r="BB374" s="387">
        <f t="shared" si="220"/>
        <v>0</v>
      </c>
      <c r="BC374" s="387">
        <f t="shared" si="221"/>
        <v>0</v>
      </c>
      <c r="BD374" s="387">
        <f t="shared" si="222"/>
        <v>0</v>
      </c>
      <c r="BE374" s="387">
        <f t="shared" si="223"/>
        <v>0</v>
      </c>
      <c r="BF374" s="387">
        <f t="shared" si="224"/>
        <v>0</v>
      </c>
      <c r="BG374" s="387">
        <f t="shared" si="225"/>
        <v>0</v>
      </c>
      <c r="BH374" s="387">
        <f t="shared" si="226"/>
        <v>0</v>
      </c>
      <c r="BI374" s="387">
        <f t="shared" si="227"/>
        <v>0</v>
      </c>
      <c r="BJ374" s="387">
        <f t="shared" si="228"/>
        <v>0</v>
      </c>
      <c r="BK374" s="387">
        <f t="shared" si="229"/>
        <v>0</v>
      </c>
      <c r="BL374" s="387">
        <f t="shared" si="252"/>
        <v>0</v>
      </c>
      <c r="BM374" s="387">
        <f t="shared" si="253"/>
        <v>0</v>
      </c>
      <c r="BN374" s="387">
        <f t="shared" si="230"/>
        <v>0</v>
      </c>
      <c r="BO374" s="387">
        <f t="shared" si="231"/>
        <v>0</v>
      </c>
      <c r="BP374" s="387">
        <f t="shared" si="232"/>
        <v>0</v>
      </c>
      <c r="BQ374" s="387">
        <f t="shared" si="233"/>
        <v>0</v>
      </c>
      <c r="BR374" s="387">
        <f t="shared" si="234"/>
        <v>0</v>
      </c>
      <c r="BS374" s="387">
        <f t="shared" si="235"/>
        <v>0</v>
      </c>
      <c r="BT374" s="387">
        <f t="shared" si="236"/>
        <v>0</v>
      </c>
      <c r="BU374" s="387">
        <f t="shared" si="237"/>
        <v>0</v>
      </c>
      <c r="BV374" s="387">
        <f t="shared" si="238"/>
        <v>0</v>
      </c>
      <c r="BW374" s="387">
        <f t="shared" si="239"/>
        <v>0</v>
      </c>
      <c r="BX374" s="387">
        <f t="shared" si="254"/>
        <v>0</v>
      </c>
      <c r="BY374" s="387">
        <f t="shared" si="255"/>
        <v>0</v>
      </c>
      <c r="BZ374" s="387">
        <f t="shared" si="256"/>
        <v>0</v>
      </c>
      <c r="CA374" s="387">
        <f t="shared" si="257"/>
        <v>0</v>
      </c>
      <c r="CB374" s="387">
        <f t="shared" si="258"/>
        <v>0</v>
      </c>
      <c r="CC374" s="387">
        <f t="shared" si="240"/>
        <v>0</v>
      </c>
      <c r="CD374" s="387">
        <f t="shared" si="241"/>
        <v>0</v>
      </c>
      <c r="CE374" s="387">
        <f t="shared" si="242"/>
        <v>0</v>
      </c>
      <c r="CF374" s="387">
        <f t="shared" si="243"/>
        <v>0</v>
      </c>
      <c r="CG374" s="387">
        <f t="shared" si="244"/>
        <v>0</v>
      </c>
      <c r="CH374" s="387">
        <f t="shared" si="245"/>
        <v>0</v>
      </c>
      <c r="CI374" s="387">
        <f t="shared" si="246"/>
        <v>0</v>
      </c>
      <c r="CJ374" s="387">
        <f t="shared" si="259"/>
        <v>0</v>
      </c>
      <c r="CK374" s="387" t="str">
        <f t="shared" si="260"/>
        <v/>
      </c>
      <c r="CL374" s="387" t="str">
        <f t="shared" si="261"/>
        <v/>
      </c>
      <c r="CM374" s="387" t="str">
        <f t="shared" si="262"/>
        <v/>
      </c>
      <c r="CN374" s="387" t="str">
        <f t="shared" si="263"/>
        <v>0348-31</v>
      </c>
    </row>
    <row r="375" spans="1:92" ht="15.75" thickBot="1" x14ac:dyDescent="0.3">
      <c r="A375" s="376" t="s">
        <v>161</v>
      </c>
      <c r="B375" s="376" t="s">
        <v>162</v>
      </c>
      <c r="C375" s="376" t="s">
        <v>848</v>
      </c>
      <c r="D375" s="376" t="s">
        <v>792</v>
      </c>
      <c r="E375" s="376" t="s">
        <v>224</v>
      </c>
      <c r="F375" s="382" t="s">
        <v>225</v>
      </c>
      <c r="G375" s="376" t="s">
        <v>781</v>
      </c>
      <c r="H375" s="378"/>
      <c r="I375" s="378"/>
      <c r="J375" s="376" t="s">
        <v>168</v>
      </c>
      <c r="K375" s="376" t="s">
        <v>793</v>
      </c>
      <c r="L375" s="376" t="s">
        <v>170</v>
      </c>
      <c r="M375" s="376" t="s">
        <v>171</v>
      </c>
      <c r="N375" s="376" t="s">
        <v>172</v>
      </c>
      <c r="O375" s="379">
        <v>1</v>
      </c>
      <c r="P375" s="385">
        <v>0.95</v>
      </c>
      <c r="Q375" s="385">
        <v>0.95</v>
      </c>
      <c r="R375" s="380">
        <v>80</v>
      </c>
      <c r="S375" s="385">
        <v>0.95</v>
      </c>
      <c r="T375" s="380">
        <v>39161.17</v>
      </c>
      <c r="U375" s="380">
        <v>0</v>
      </c>
      <c r="V375" s="380">
        <v>18109.7</v>
      </c>
      <c r="W375" s="380">
        <v>45922.239999999998</v>
      </c>
      <c r="X375" s="380">
        <v>20998.15</v>
      </c>
      <c r="Y375" s="380">
        <v>45922.239999999998</v>
      </c>
      <c r="Z375" s="380">
        <v>20805.28</v>
      </c>
      <c r="AA375" s="376" t="s">
        <v>849</v>
      </c>
      <c r="AB375" s="376" t="s">
        <v>850</v>
      </c>
      <c r="AC375" s="376" t="s">
        <v>851</v>
      </c>
      <c r="AD375" s="376" t="s">
        <v>279</v>
      </c>
      <c r="AE375" s="376" t="s">
        <v>793</v>
      </c>
      <c r="AF375" s="376" t="s">
        <v>177</v>
      </c>
      <c r="AG375" s="376" t="s">
        <v>178</v>
      </c>
      <c r="AH375" s="381">
        <v>23.24</v>
      </c>
      <c r="AI375" s="381">
        <v>19019.400000000001</v>
      </c>
      <c r="AJ375" s="376" t="s">
        <v>179</v>
      </c>
      <c r="AK375" s="376" t="s">
        <v>180</v>
      </c>
      <c r="AL375" s="376" t="s">
        <v>181</v>
      </c>
      <c r="AM375" s="376" t="s">
        <v>182</v>
      </c>
      <c r="AN375" s="376" t="s">
        <v>68</v>
      </c>
      <c r="AO375" s="379">
        <v>80</v>
      </c>
      <c r="AP375" s="385">
        <v>1</v>
      </c>
      <c r="AQ375" s="385">
        <v>0.95</v>
      </c>
      <c r="AR375" s="383" t="s">
        <v>183</v>
      </c>
      <c r="AS375" s="387">
        <f t="shared" si="247"/>
        <v>0.95</v>
      </c>
      <c r="AT375">
        <f t="shared" si="248"/>
        <v>1</v>
      </c>
      <c r="AU375" s="387">
        <f>IF(AT375=0,"",IF(AND(AT375=1,M375="F",SUMIF(C2:C1334,C375,AS2:AS1334)&lt;=1),SUMIF(C2:C1334,C375,AS2:AS1334),IF(AND(AT375=1,M375="F",SUMIF(C2:C1334,C375,AS2:AS1334)&gt;1),1,"")))</f>
        <v>1</v>
      </c>
      <c r="AV375" s="387" t="str">
        <f>IF(AT375=0,"",IF(AND(AT375=3,M375="F",SUMIF(C2:C1334,C375,AS2:AS1334)&lt;=1),SUMIF(C2:C1334,C375,AS2:AS1334),IF(AND(AT375=3,M375="F",SUMIF(C2:C1334,C375,AS2:AS1334)&gt;1),1,"")))</f>
        <v/>
      </c>
      <c r="AW375" s="387">
        <f>SUMIF(C2:C1334,C375,O2:O1334)</f>
        <v>4</v>
      </c>
      <c r="AX375" s="387">
        <f>IF(AND(M375="F",AS375&lt;&gt;0),SUMIF(C2:C1334,C375,W2:W1334),0)</f>
        <v>48339.199999999997</v>
      </c>
      <c r="AY375" s="387">
        <f t="shared" si="249"/>
        <v>45922.239999999998</v>
      </c>
      <c r="AZ375" s="387" t="str">
        <f t="shared" si="250"/>
        <v/>
      </c>
      <c r="BA375" s="387">
        <f t="shared" si="251"/>
        <v>0</v>
      </c>
      <c r="BB375" s="387">
        <f t="shared" si="220"/>
        <v>11067.5</v>
      </c>
      <c r="BC375" s="387">
        <f t="shared" si="221"/>
        <v>0</v>
      </c>
      <c r="BD375" s="387">
        <f t="shared" si="222"/>
        <v>2847.1788799999999</v>
      </c>
      <c r="BE375" s="387">
        <f t="shared" si="223"/>
        <v>665.87248</v>
      </c>
      <c r="BF375" s="387">
        <f t="shared" si="224"/>
        <v>5483.1154560000004</v>
      </c>
      <c r="BG375" s="387">
        <f t="shared" si="225"/>
        <v>331.09935039999999</v>
      </c>
      <c r="BH375" s="387">
        <f t="shared" si="226"/>
        <v>225.01897599999998</v>
      </c>
      <c r="BI375" s="387">
        <f t="shared" si="227"/>
        <v>254.17959839999997</v>
      </c>
      <c r="BJ375" s="387">
        <f t="shared" si="228"/>
        <v>123.990048</v>
      </c>
      <c r="BK375" s="387">
        <f t="shared" si="229"/>
        <v>0</v>
      </c>
      <c r="BL375" s="387">
        <f t="shared" si="252"/>
        <v>9930.4547887999997</v>
      </c>
      <c r="BM375" s="387">
        <f t="shared" si="253"/>
        <v>0</v>
      </c>
      <c r="BN375" s="387">
        <f t="shared" si="230"/>
        <v>11067.5</v>
      </c>
      <c r="BO375" s="387">
        <f t="shared" si="231"/>
        <v>0</v>
      </c>
      <c r="BP375" s="387">
        <f t="shared" si="232"/>
        <v>2847.1788799999999</v>
      </c>
      <c r="BQ375" s="387">
        <f t="shared" si="233"/>
        <v>665.87248</v>
      </c>
      <c r="BR375" s="387">
        <f t="shared" si="234"/>
        <v>5483.1154560000004</v>
      </c>
      <c r="BS375" s="387">
        <f t="shared" si="235"/>
        <v>331.09935039999999</v>
      </c>
      <c r="BT375" s="387">
        <f t="shared" si="236"/>
        <v>0</v>
      </c>
      <c r="BU375" s="387">
        <f t="shared" si="237"/>
        <v>254.17959839999997</v>
      </c>
      <c r="BV375" s="387">
        <f t="shared" si="238"/>
        <v>156.13561599999997</v>
      </c>
      <c r="BW375" s="387">
        <f t="shared" si="239"/>
        <v>0</v>
      </c>
      <c r="BX375" s="387">
        <f t="shared" si="254"/>
        <v>9737.5813808000003</v>
      </c>
      <c r="BY375" s="387">
        <f t="shared" si="255"/>
        <v>0</v>
      </c>
      <c r="BZ375" s="387">
        <f t="shared" si="256"/>
        <v>0</v>
      </c>
      <c r="CA375" s="387">
        <f t="shared" si="257"/>
        <v>0</v>
      </c>
      <c r="CB375" s="387">
        <f t="shared" si="258"/>
        <v>0</v>
      </c>
      <c r="CC375" s="387">
        <f t="shared" si="240"/>
        <v>0</v>
      </c>
      <c r="CD375" s="387">
        <f t="shared" si="241"/>
        <v>0</v>
      </c>
      <c r="CE375" s="387">
        <f t="shared" si="242"/>
        <v>0</v>
      </c>
      <c r="CF375" s="387">
        <f t="shared" si="243"/>
        <v>-225.01897599999998</v>
      </c>
      <c r="CG375" s="387">
        <f t="shared" si="244"/>
        <v>0</v>
      </c>
      <c r="CH375" s="387">
        <f t="shared" si="245"/>
        <v>32.145567999999983</v>
      </c>
      <c r="CI375" s="387">
        <f t="shared" si="246"/>
        <v>0</v>
      </c>
      <c r="CJ375" s="387">
        <f t="shared" si="259"/>
        <v>-192.87340799999998</v>
      </c>
      <c r="CK375" s="387" t="str">
        <f t="shared" si="260"/>
        <v/>
      </c>
      <c r="CL375" s="387" t="str">
        <f t="shared" si="261"/>
        <v/>
      </c>
      <c r="CM375" s="387" t="str">
        <f t="shared" si="262"/>
        <v/>
      </c>
      <c r="CN375" s="387" t="str">
        <f t="shared" si="263"/>
        <v>0348-31</v>
      </c>
    </row>
    <row r="376" spans="1:92" ht="15.75" thickBot="1" x14ac:dyDescent="0.3">
      <c r="A376" s="376" t="s">
        <v>161</v>
      </c>
      <c r="B376" s="376" t="s">
        <v>162</v>
      </c>
      <c r="C376" s="376" t="s">
        <v>1295</v>
      </c>
      <c r="D376" s="376" t="s">
        <v>862</v>
      </c>
      <c r="E376" s="376" t="s">
        <v>224</v>
      </c>
      <c r="F376" s="382" t="s">
        <v>225</v>
      </c>
      <c r="G376" s="376" t="s">
        <v>781</v>
      </c>
      <c r="H376" s="378"/>
      <c r="I376" s="378"/>
      <c r="J376" s="376" t="s">
        <v>168</v>
      </c>
      <c r="K376" s="376" t="s">
        <v>863</v>
      </c>
      <c r="L376" s="376" t="s">
        <v>252</v>
      </c>
      <c r="M376" s="376" t="s">
        <v>171</v>
      </c>
      <c r="N376" s="376" t="s">
        <v>172</v>
      </c>
      <c r="O376" s="379">
        <v>1</v>
      </c>
      <c r="P376" s="385">
        <v>0.85</v>
      </c>
      <c r="Q376" s="385">
        <v>0.85</v>
      </c>
      <c r="R376" s="380">
        <v>80</v>
      </c>
      <c r="S376" s="385">
        <v>0.85</v>
      </c>
      <c r="T376" s="380">
        <v>42145.440000000002</v>
      </c>
      <c r="U376" s="380">
        <v>0</v>
      </c>
      <c r="V376" s="380">
        <v>19007.09</v>
      </c>
      <c r="W376" s="380">
        <v>42202.16</v>
      </c>
      <c r="X376" s="380">
        <v>19028.669999999998</v>
      </c>
      <c r="Y376" s="380">
        <v>42202.16</v>
      </c>
      <c r="Z376" s="380">
        <v>18851.43</v>
      </c>
      <c r="AA376" s="376" t="s">
        <v>1296</v>
      </c>
      <c r="AB376" s="376" t="s">
        <v>1297</v>
      </c>
      <c r="AC376" s="376" t="s">
        <v>1298</v>
      </c>
      <c r="AD376" s="376" t="s">
        <v>324</v>
      </c>
      <c r="AE376" s="376" t="s">
        <v>863</v>
      </c>
      <c r="AF376" s="376" t="s">
        <v>393</v>
      </c>
      <c r="AG376" s="376" t="s">
        <v>178</v>
      </c>
      <c r="AH376" s="381">
        <v>23.87</v>
      </c>
      <c r="AI376" s="381">
        <v>23276.5</v>
      </c>
      <c r="AJ376" s="376" t="s">
        <v>179</v>
      </c>
      <c r="AK376" s="376" t="s">
        <v>180</v>
      </c>
      <c r="AL376" s="376" t="s">
        <v>181</v>
      </c>
      <c r="AM376" s="376" t="s">
        <v>182</v>
      </c>
      <c r="AN376" s="376" t="s">
        <v>68</v>
      </c>
      <c r="AO376" s="379">
        <v>80</v>
      </c>
      <c r="AP376" s="385">
        <v>1</v>
      </c>
      <c r="AQ376" s="385">
        <v>0.85</v>
      </c>
      <c r="AR376" s="383" t="s">
        <v>183</v>
      </c>
      <c r="AS376" s="387">
        <f t="shared" si="247"/>
        <v>0.85</v>
      </c>
      <c r="AT376">
        <f t="shared" si="248"/>
        <v>1</v>
      </c>
      <c r="AU376" s="387">
        <f>IF(AT376=0,"",IF(AND(AT376=1,M376="F",SUMIF(C2:C1334,C376,AS2:AS1334)&lt;=1),SUMIF(C2:C1334,C376,AS2:AS1334),IF(AND(AT376=1,M376="F",SUMIF(C2:C1334,C376,AS2:AS1334)&gt;1),1,"")))</f>
        <v>1</v>
      </c>
      <c r="AV376" s="387" t="str">
        <f>IF(AT376=0,"",IF(AND(AT376=3,M376="F",SUMIF(C2:C1334,C376,AS2:AS1334)&lt;=1),SUMIF(C2:C1334,C376,AS2:AS1334),IF(AND(AT376=3,M376="F",SUMIF(C2:C1334,C376,AS2:AS1334)&gt;1),1,"")))</f>
        <v/>
      </c>
      <c r="AW376" s="387">
        <f>SUMIF(C2:C1334,C376,O2:O1334)</f>
        <v>3</v>
      </c>
      <c r="AX376" s="387">
        <f>IF(AND(M376="F",AS376&lt;&gt;0),SUMIF(C2:C1334,C376,W2:W1334),0)</f>
        <v>49649.600000000006</v>
      </c>
      <c r="AY376" s="387">
        <f t="shared" si="249"/>
        <v>42202.16</v>
      </c>
      <c r="AZ376" s="387" t="str">
        <f t="shared" si="250"/>
        <v/>
      </c>
      <c r="BA376" s="387">
        <f t="shared" si="251"/>
        <v>0</v>
      </c>
      <c r="BB376" s="387">
        <f t="shared" si="220"/>
        <v>9902.5</v>
      </c>
      <c r="BC376" s="387">
        <f t="shared" si="221"/>
        <v>0</v>
      </c>
      <c r="BD376" s="387">
        <f t="shared" si="222"/>
        <v>2616.5339200000003</v>
      </c>
      <c r="BE376" s="387">
        <f t="shared" si="223"/>
        <v>611.93132000000003</v>
      </c>
      <c r="BF376" s="387">
        <f t="shared" si="224"/>
        <v>5038.9379040000003</v>
      </c>
      <c r="BG376" s="387">
        <f t="shared" si="225"/>
        <v>304.27757360000004</v>
      </c>
      <c r="BH376" s="387">
        <f t="shared" si="226"/>
        <v>206.79058400000002</v>
      </c>
      <c r="BI376" s="387">
        <f t="shared" si="227"/>
        <v>233.58895560000002</v>
      </c>
      <c r="BJ376" s="387">
        <f t="shared" si="228"/>
        <v>113.94583200000001</v>
      </c>
      <c r="BK376" s="387">
        <f t="shared" si="229"/>
        <v>0</v>
      </c>
      <c r="BL376" s="387">
        <f t="shared" si="252"/>
        <v>9126.0060892000001</v>
      </c>
      <c r="BM376" s="387">
        <f t="shared" si="253"/>
        <v>0</v>
      </c>
      <c r="BN376" s="387">
        <f t="shared" si="230"/>
        <v>9902.5</v>
      </c>
      <c r="BO376" s="387">
        <f t="shared" si="231"/>
        <v>0</v>
      </c>
      <c r="BP376" s="387">
        <f t="shared" si="232"/>
        <v>2616.5339200000003</v>
      </c>
      <c r="BQ376" s="387">
        <f t="shared" si="233"/>
        <v>611.93132000000003</v>
      </c>
      <c r="BR376" s="387">
        <f t="shared" si="234"/>
        <v>5038.9379040000003</v>
      </c>
      <c r="BS376" s="387">
        <f t="shared" si="235"/>
        <v>304.27757360000004</v>
      </c>
      <c r="BT376" s="387">
        <f t="shared" si="236"/>
        <v>0</v>
      </c>
      <c r="BU376" s="387">
        <f t="shared" si="237"/>
        <v>233.58895560000002</v>
      </c>
      <c r="BV376" s="387">
        <f t="shared" si="238"/>
        <v>143.48734400000001</v>
      </c>
      <c r="BW376" s="387">
        <f t="shared" si="239"/>
        <v>0</v>
      </c>
      <c r="BX376" s="387">
        <f t="shared" si="254"/>
        <v>8948.7570171999996</v>
      </c>
      <c r="BY376" s="387">
        <f t="shared" si="255"/>
        <v>0</v>
      </c>
      <c r="BZ376" s="387">
        <f t="shared" si="256"/>
        <v>0</v>
      </c>
      <c r="CA376" s="387">
        <f t="shared" si="257"/>
        <v>0</v>
      </c>
      <c r="CB376" s="387">
        <f t="shared" si="258"/>
        <v>0</v>
      </c>
      <c r="CC376" s="387">
        <f t="shared" si="240"/>
        <v>0</v>
      </c>
      <c r="CD376" s="387">
        <f t="shared" si="241"/>
        <v>0</v>
      </c>
      <c r="CE376" s="387">
        <f t="shared" si="242"/>
        <v>0</v>
      </c>
      <c r="CF376" s="387">
        <f t="shared" si="243"/>
        <v>-206.79058400000002</v>
      </c>
      <c r="CG376" s="387">
        <f t="shared" si="244"/>
        <v>0</v>
      </c>
      <c r="CH376" s="387">
        <f t="shared" si="245"/>
        <v>29.541511999999987</v>
      </c>
      <c r="CI376" s="387">
        <f t="shared" si="246"/>
        <v>0</v>
      </c>
      <c r="CJ376" s="387">
        <f t="shared" si="259"/>
        <v>-177.24907200000004</v>
      </c>
      <c r="CK376" s="387" t="str">
        <f t="shared" si="260"/>
        <v/>
      </c>
      <c r="CL376" s="387" t="str">
        <f t="shared" si="261"/>
        <v/>
      </c>
      <c r="CM376" s="387" t="str">
        <f t="shared" si="262"/>
        <v/>
      </c>
      <c r="CN376" s="387" t="str">
        <f t="shared" si="263"/>
        <v>0348-31</v>
      </c>
    </row>
    <row r="377" spans="1:92" ht="15.75" thickBot="1" x14ac:dyDescent="0.3">
      <c r="A377" s="376" t="s">
        <v>161</v>
      </c>
      <c r="B377" s="376" t="s">
        <v>162</v>
      </c>
      <c r="C377" s="376" t="s">
        <v>1299</v>
      </c>
      <c r="D377" s="376" t="s">
        <v>1280</v>
      </c>
      <c r="E377" s="376" t="s">
        <v>224</v>
      </c>
      <c r="F377" s="382" t="s">
        <v>225</v>
      </c>
      <c r="G377" s="376" t="s">
        <v>781</v>
      </c>
      <c r="H377" s="378"/>
      <c r="I377" s="378"/>
      <c r="J377" s="376" t="s">
        <v>215</v>
      </c>
      <c r="K377" s="376" t="s">
        <v>1281</v>
      </c>
      <c r="L377" s="376" t="s">
        <v>178</v>
      </c>
      <c r="M377" s="376" t="s">
        <v>272</v>
      </c>
      <c r="N377" s="376" t="s">
        <v>877</v>
      </c>
      <c r="O377" s="379">
        <v>0</v>
      </c>
      <c r="P377" s="385">
        <v>1</v>
      </c>
      <c r="Q377" s="385">
        <v>1</v>
      </c>
      <c r="R377" s="380">
        <v>80</v>
      </c>
      <c r="S377" s="385">
        <v>1</v>
      </c>
      <c r="T377" s="380">
        <v>20824.580000000002</v>
      </c>
      <c r="U377" s="380">
        <v>765</v>
      </c>
      <c r="V377" s="380">
        <v>10193.549999999999</v>
      </c>
      <c r="W377" s="380">
        <v>32094.400000000001</v>
      </c>
      <c r="X377" s="380">
        <v>14057.34</v>
      </c>
      <c r="Y377" s="380">
        <v>32094.400000000001</v>
      </c>
      <c r="Z377" s="380">
        <v>13896.87</v>
      </c>
      <c r="AA377" s="378"/>
      <c r="AB377" s="376" t="s">
        <v>45</v>
      </c>
      <c r="AC377" s="376" t="s">
        <v>45</v>
      </c>
      <c r="AD377" s="378"/>
      <c r="AE377" s="378"/>
      <c r="AF377" s="378"/>
      <c r="AG377" s="378"/>
      <c r="AH377" s="379">
        <v>0</v>
      </c>
      <c r="AI377" s="379">
        <v>0</v>
      </c>
      <c r="AJ377" s="378"/>
      <c r="AK377" s="378"/>
      <c r="AL377" s="376" t="s">
        <v>181</v>
      </c>
      <c r="AM377" s="378"/>
      <c r="AN377" s="378"/>
      <c r="AO377" s="379">
        <v>0</v>
      </c>
      <c r="AP377" s="385">
        <v>0</v>
      </c>
      <c r="AQ377" s="385">
        <v>0</v>
      </c>
      <c r="AR377" s="384"/>
      <c r="AS377" s="387">
        <f t="shared" si="247"/>
        <v>0</v>
      </c>
      <c r="AT377">
        <f t="shared" si="248"/>
        <v>0</v>
      </c>
      <c r="AU377" s="387" t="str">
        <f>IF(AT377=0,"",IF(AND(AT377=1,M377="F",SUMIF(C2:C1334,C377,AS2:AS1334)&lt;=1),SUMIF(C2:C1334,C377,AS2:AS1334),IF(AND(AT377=1,M377="F",SUMIF(C2:C1334,C377,AS2:AS1334)&gt;1),1,"")))</f>
        <v/>
      </c>
      <c r="AV377" s="387" t="str">
        <f>IF(AT377=0,"",IF(AND(AT377=3,M377="F",SUMIF(C2:C1334,C377,AS2:AS1334)&lt;=1),SUMIF(C2:C1334,C377,AS2:AS1334),IF(AND(AT377=3,M377="F",SUMIF(C2:C1334,C377,AS2:AS1334)&gt;1),1,"")))</f>
        <v/>
      </c>
      <c r="AW377" s="387">
        <f>SUMIF(C2:C1334,C377,O2:O1334)</f>
        <v>0</v>
      </c>
      <c r="AX377" s="387">
        <f>IF(AND(M377="F",AS377&lt;&gt;0),SUMIF(C2:C1334,C377,W2:W1334),0)</f>
        <v>0</v>
      </c>
      <c r="AY377" s="387" t="str">
        <f t="shared" si="249"/>
        <v/>
      </c>
      <c r="AZ377" s="387" t="str">
        <f t="shared" si="250"/>
        <v/>
      </c>
      <c r="BA377" s="387">
        <f t="shared" si="251"/>
        <v>0</v>
      </c>
      <c r="BB377" s="387">
        <f t="shared" si="220"/>
        <v>0</v>
      </c>
      <c r="BC377" s="387">
        <f t="shared" si="221"/>
        <v>0</v>
      </c>
      <c r="BD377" s="387">
        <f t="shared" si="222"/>
        <v>0</v>
      </c>
      <c r="BE377" s="387">
        <f t="shared" si="223"/>
        <v>0</v>
      </c>
      <c r="BF377" s="387">
        <f t="shared" si="224"/>
        <v>0</v>
      </c>
      <c r="BG377" s="387">
        <f t="shared" si="225"/>
        <v>0</v>
      </c>
      <c r="BH377" s="387">
        <f t="shared" si="226"/>
        <v>0</v>
      </c>
      <c r="BI377" s="387">
        <f t="shared" si="227"/>
        <v>0</v>
      </c>
      <c r="BJ377" s="387">
        <f t="shared" si="228"/>
        <v>0</v>
      </c>
      <c r="BK377" s="387">
        <f t="shared" si="229"/>
        <v>0</v>
      </c>
      <c r="BL377" s="387">
        <f t="shared" si="252"/>
        <v>0</v>
      </c>
      <c r="BM377" s="387">
        <f t="shared" si="253"/>
        <v>0</v>
      </c>
      <c r="BN377" s="387">
        <f t="shared" si="230"/>
        <v>0</v>
      </c>
      <c r="BO377" s="387">
        <f t="shared" si="231"/>
        <v>0</v>
      </c>
      <c r="BP377" s="387">
        <f t="shared" si="232"/>
        <v>0</v>
      </c>
      <c r="BQ377" s="387">
        <f t="shared" si="233"/>
        <v>0</v>
      </c>
      <c r="BR377" s="387">
        <f t="shared" si="234"/>
        <v>0</v>
      </c>
      <c r="BS377" s="387">
        <f t="shared" si="235"/>
        <v>0</v>
      </c>
      <c r="BT377" s="387">
        <f t="shared" si="236"/>
        <v>0</v>
      </c>
      <c r="BU377" s="387">
        <f t="shared" si="237"/>
        <v>0</v>
      </c>
      <c r="BV377" s="387">
        <f t="shared" si="238"/>
        <v>0</v>
      </c>
      <c r="BW377" s="387">
        <f t="shared" si="239"/>
        <v>0</v>
      </c>
      <c r="BX377" s="387">
        <f t="shared" si="254"/>
        <v>0</v>
      </c>
      <c r="BY377" s="387">
        <f t="shared" si="255"/>
        <v>0</v>
      </c>
      <c r="BZ377" s="387">
        <f t="shared" si="256"/>
        <v>0</v>
      </c>
      <c r="CA377" s="387">
        <f t="shared" si="257"/>
        <v>0</v>
      </c>
      <c r="CB377" s="387">
        <f t="shared" si="258"/>
        <v>0</v>
      </c>
      <c r="CC377" s="387">
        <f t="shared" si="240"/>
        <v>0</v>
      </c>
      <c r="CD377" s="387">
        <f t="shared" si="241"/>
        <v>0</v>
      </c>
      <c r="CE377" s="387">
        <f t="shared" si="242"/>
        <v>0</v>
      </c>
      <c r="CF377" s="387">
        <f t="shared" si="243"/>
        <v>0</v>
      </c>
      <c r="CG377" s="387">
        <f t="shared" si="244"/>
        <v>0</v>
      </c>
      <c r="CH377" s="387">
        <f t="shared" si="245"/>
        <v>0</v>
      </c>
      <c r="CI377" s="387">
        <f t="shared" si="246"/>
        <v>0</v>
      </c>
      <c r="CJ377" s="387">
        <f t="shared" si="259"/>
        <v>0</v>
      </c>
      <c r="CK377" s="387" t="str">
        <f t="shared" si="260"/>
        <v/>
      </c>
      <c r="CL377" s="387" t="str">
        <f t="shared" si="261"/>
        <v/>
      </c>
      <c r="CM377" s="387" t="str">
        <f t="shared" si="262"/>
        <v/>
      </c>
      <c r="CN377" s="387" t="str">
        <f t="shared" si="263"/>
        <v>0348-31</v>
      </c>
    </row>
    <row r="378" spans="1:92" ht="15.75" thickBot="1" x14ac:dyDescent="0.3">
      <c r="A378" s="376" t="s">
        <v>161</v>
      </c>
      <c r="B378" s="376" t="s">
        <v>162</v>
      </c>
      <c r="C378" s="376" t="s">
        <v>1300</v>
      </c>
      <c r="D378" s="376" t="s">
        <v>862</v>
      </c>
      <c r="E378" s="376" t="s">
        <v>224</v>
      </c>
      <c r="F378" s="382" t="s">
        <v>225</v>
      </c>
      <c r="G378" s="376" t="s">
        <v>781</v>
      </c>
      <c r="H378" s="378"/>
      <c r="I378" s="378"/>
      <c r="J378" s="376" t="s">
        <v>239</v>
      </c>
      <c r="K378" s="376" t="s">
        <v>863</v>
      </c>
      <c r="L378" s="376" t="s">
        <v>252</v>
      </c>
      <c r="M378" s="376" t="s">
        <v>272</v>
      </c>
      <c r="N378" s="376" t="s">
        <v>172</v>
      </c>
      <c r="O378" s="379">
        <v>0</v>
      </c>
      <c r="P378" s="385">
        <v>0.7</v>
      </c>
      <c r="Q378" s="385">
        <v>0.7</v>
      </c>
      <c r="R378" s="380">
        <v>80</v>
      </c>
      <c r="S378" s="385">
        <v>0.7</v>
      </c>
      <c r="T378" s="380">
        <v>23818.97</v>
      </c>
      <c r="U378" s="380">
        <v>0</v>
      </c>
      <c r="V378" s="380">
        <v>13179.42</v>
      </c>
      <c r="W378" s="380">
        <v>29629.599999999999</v>
      </c>
      <c r="X378" s="380">
        <v>12977.76</v>
      </c>
      <c r="Y378" s="380">
        <v>29629.599999999999</v>
      </c>
      <c r="Z378" s="380">
        <v>12829.61</v>
      </c>
      <c r="AA378" s="378"/>
      <c r="AB378" s="376" t="s">
        <v>45</v>
      </c>
      <c r="AC378" s="376" t="s">
        <v>45</v>
      </c>
      <c r="AD378" s="378"/>
      <c r="AE378" s="378"/>
      <c r="AF378" s="378"/>
      <c r="AG378" s="378"/>
      <c r="AH378" s="379">
        <v>0</v>
      </c>
      <c r="AI378" s="379">
        <v>0</v>
      </c>
      <c r="AJ378" s="378"/>
      <c r="AK378" s="378"/>
      <c r="AL378" s="376" t="s">
        <v>181</v>
      </c>
      <c r="AM378" s="378"/>
      <c r="AN378" s="378"/>
      <c r="AO378" s="379">
        <v>0</v>
      </c>
      <c r="AP378" s="385">
        <v>0</v>
      </c>
      <c r="AQ378" s="385">
        <v>0</v>
      </c>
      <c r="AR378" s="384"/>
      <c r="AS378" s="387">
        <f t="shared" si="247"/>
        <v>0</v>
      </c>
      <c r="AT378">
        <f t="shared" si="248"/>
        <v>0</v>
      </c>
      <c r="AU378" s="387" t="str">
        <f>IF(AT378=0,"",IF(AND(AT378=1,M378="F",SUMIF(C2:C1334,C378,AS2:AS1334)&lt;=1),SUMIF(C2:C1334,C378,AS2:AS1334),IF(AND(AT378=1,M378="F",SUMIF(C2:C1334,C378,AS2:AS1334)&gt;1),1,"")))</f>
        <v/>
      </c>
      <c r="AV378" s="387" t="str">
        <f>IF(AT378=0,"",IF(AND(AT378=3,M378="F",SUMIF(C2:C1334,C378,AS2:AS1334)&lt;=1),SUMIF(C2:C1334,C378,AS2:AS1334),IF(AND(AT378=3,M378="F",SUMIF(C2:C1334,C378,AS2:AS1334)&gt;1),1,"")))</f>
        <v/>
      </c>
      <c r="AW378" s="387">
        <f>SUMIF(C2:C1334,C378,O2:O1334)</f>
        <v>0</v>
      </c>
      <c r="AX378" s="387">
        <f>IF(AND(M378="F",AS378&lt;&gt;0),SUMIF(C2:C1334,C378,W2:W1334),0)</f>
        <v>0</v>
      </c>
      <c r="AY378" s="387" t="str">
        <f t="shared" si="249"/>
        <v/>
      </c>
      <c r="AZ378" s="387" t="str">
        <f t="shared" si="250"/>
        <v/>
      </c>
      <c r="BA378" s="387">
        <f t="shared" si="251"/>
        <v>0</v>
      </c>
      <c r="BB378" s="387">
        <f t="shared" si="220"/>
        <v>0</v>
      </c>
      <c r="BC378" s="387">
        <f t="shared" si="221"/>
        <v>0</v>
      </c>
      <c r="BD378" s="387">
        <f t="shared" si="222"/>
        <v>0</v>
      </c>
      <c r="BE378" s="387">
        <f t="shared" si="223"/>
        <v>0</v>
      </c>
      <c r="BF378" s="387">
        <f t="shared" si="224"/>
        <v>0</v>
      </c>
      <c r="BG378" s="387">
        <f t="shared" si="225"/>
        <v>0</v>
      </c>
      <c r="BH378" s="387">
        <f t="shared" si="226"/>
        <v>0</v>
      </c>
      <c r="BI378" s="387">
        <f t="shared" si="227"/>
        <v>0</v>
      </c>
      <c r="BJ378" s="387">
        <f t="shared" si="228"/>
        <v>0</v>
      </c>
      <c r="BK378" s="387">
        <f t="shared" si="229"/>
        <v>0</v>
      </c>
      <c r="BL378" s="387">
        <f t="shared" si="252"/>
        <v>0</v>
      </c>
      <c r="BM378" s="387">
        <f t="shared" si="253"/>
        <v>0</v>
      </c>
      <c r="BN378" s="387">
        <f t="shared" si="230"/>
        <v>0</v>
      </c>
      <c r="BO378" s="387">
        <f t="shared" si="231"/>
        <v>0</v>
      </c>
      <c r="BP378" s="387">
        <f t="shared" si="232"/>
        <v>0</v>
      </c>
      <c r="BQ378" s="387">
        <f t="shared" si="233"/>
        <v>0</v>
      </c>
      <c r="BR378" s="387">
        <f t="shared" si="234"/>
        <v>0</v>
      </c>
      <c r="BS378" s="387">
        <f t="shared" si="235"/>
        <v>0</v>
      </c>
      <c r="BT378" s="387">
        <f t="shared" si="236"/>
        <v>0</v>
      </c>
      <c r="BU378" s="387">
        <f t="shared" si="237"/>
        <v>0</v>
      </c>
      <c r="BV378" s="387">
        <f t="shared" si="238"/>
        <v>0</v>
      </c>
      <c r="BW378" s="387">
        <f t="shared" si="239"/>
        <v>0</v>
      </c>
      <c r="BX378" s="387">
        <f t="shared" si="254"/>
        <v>0</v>
      </c>
      <c r="BY378" s="387">
        <f t="shared" si="255"/>
        <v>0</v>
      </c>
      <c r="BZ378" s="387">
        <f t="shared" si="256"/>
        <v>0</v>
      </c>
      <c r="CA378" s="387">
        <f t="shared" si="257"/>
        <v>0</v>
      </c>
      <c r="CB378" s="387">
        <f t="shared" si="258"/>
        <v>0</v>
      </c>
      <c r="CC378" s="387">
        <f t="shared" si="240"/>
        <v>0</v>
      </c>
      <c r="CD378" s="387">
        <f t="shared" si="241"/>
        <v>0</v>
      </c>
      <c r="CE378" s="387">
        <f t="shared" si="242"/>
        <v>0</v>
      </c>
      <c r="CF378" s="387">
        <f t="shared" si="243"/>
        <v>0</v>
      </c>
      <c r="CG378" s="387">
        <f t="shared" si="244"/>
        <v>0</v>
      </c>
      <c r="CH378" s="387">
        <f t="shared" si="245"/>
        <v>0</v>
      </c>
      <c r="CI378" s="387">
        <f t="shared" si="246"/>
        <v>0</v>
      </c>
      <c r="CJ378" s="387">
        <f t="shared" si="259"/>
        <v>0</v>
      </c>
      <c r="CK378" s="387" t="str">
        <f t="shared" si="260"/>
        <v/>
      </c>
      <c r="CL378" s="387" t="str">
        <f t="shared" si="261"/>
        <v/>
      </c>
      <c r="CM378" s="387" t="str">
        <f t="shared" si="262"/>
        <v/>
      </c>
      <c r="CN378" s="387" t="str">
        <f t="shared" si="263"/>
        <v>0348-31</v>
      </c>
    </row>
    <row r="379" spans="1:92" ht="15.75" thickBot="1" x14ac:dyDescent="0.3">
      <c r="A379" s="376" t="s">
        <v>161</v>
      </c>
      <c r="B379" s="376" t="s">
        <v>162</v>
      </c>
      <c r="C379" s="376" t="s">
        <v>1301</v>
      </c>
      <c r="D379" s="376" t="s">
        <v>862</v>
      </c>
      <c r="E379" s="376" t="s">
        <v>224</v>
      </c>
      <c r="F379" s="382" t="s">
        <v>225</v>
      </c>
      <c r="G379" s="376" t="s">
        <v>781</v>
      </c>
      <c r="H379" s="378"/>
      <c r="I379" s="378"/>
      <c r="J379" s="376" t="s">
        <v>239</v>
      </c>
      <c r="K379" s="376" t="s">
        <v>863</v>
      </c>
      <c r="L379" s="376" t="s">
        <v>252</v>
      </c>
      <c r="M379" s="376" t="s">
        <v>171</v>
      </c>
      <c r="N379" s="376" t="s">
        <v>172</v>
      </c>
      <c r="O379" s="379">
        <v>1</v>
      </c>
      <c r="P379" s="385">
        <v>0.65</v>
      </c>
      <c r="Q379" s="385">
        <v>0.65</v>
      </c>
      <c r="R379" s="380">
        <v>80</v>
      </c>
      <c r="S379" s="385">
        <v>0.65</v>
      </c>
      <c r="T379" s="380">
        <v>25978.22</v>
      </c>
      <c r="U379" s="380">
        <v>0</v>
      </c>
      <c r="V379" s="380">
        <v>13708.47</v>
      </c>
      <c r="W379" s="380">
        <v>25417.599999999999</v>
      </c>
      <c r="X379" s="380">
        <v>13069.02</v>
      </c>
      <c r="Y379" s="380">
        <v>25417.599999999999</v>
      </c>
      <c r="Z379" s="380">
        <v>12962.27</v>
      </c>
      <c r="AA379" s="376" t="s">
        <v>1302</v>
      </c>
      <c r="AB379" s="376" t="s">
        <v>259</v>
      </c>
      <c r="AC379" s="376" t="s">
        <v>1303</v>
      </c>
      <c r="AD379" s="376" t="s">
        <v>198</v>
      </c>
      <c r="AE379" s="376" t="s">
        <v>863</v>
      </c>
      <c r="AF379" s="376" t="s">
        <v>393</v>
      </c>
      <c r="AG379" s="376" t="s">
        <v>178</v>
      </c>
      <c r="AH379" s="381">
        <v>18.8</v>
      </c>
      <c r="AI379" s="379">
        <v>3520</v>
      </c>
      <c r="AJ379" s="376" t="s">
        <v>179</v>
      </c>
      <c r="AK379" s="376" t="s">
        <v>180</v>
      </c>
      <c r="AL379" s="376" t="s">
        <v>181</v>
      </c>
      <c r="AM379" s="376" t="s">
        <v>182</v>
      </c>
      <c r="AN379" s="376" t="s">
        <v>68</v>
      </c>
      <c r="AO379" s="379">
        <v>80</v>
      </c>
      <c r="AP379" s="385">
        <v>1</v>
      </c>
      <c r="AQ379" s="385">
        <v>0.65</v>
      </c>
      <c r="AR379" s="383" t="s">
        <v>183</v>
      </c>
      <c r="AS379" s="387">
        <f t="shared" si="247"/>
        <v>0.65</v>
      </c>
      <c r="AT379">
        <f t="shared" si="248"/>
        <v>1</v>
      </c>
      <c r="AU379" s="387">
        <f>IF(AT379=0,"",IF(AND(AT379=1,M379="F",SUMIF(C2:C1334,C379,AS2:AS1334)&lt;=1),SUMIF(C2:C1334,C379,AS2:AS1334),IF(AND(AT379=1,M379="F",SUMIF(C2:C1334,C379,AS2:AS1334)&gt;1),1,"")))</f>
        <v>1</v>
      </c>
      <c r="AV379" s="387" t="str">
        <f>IF(AT379=0,"",IF(AND(AT379=3,M379="F",SUMIF(C2:C1334,C379,AS2:AS1334)&lt;=1),SUMIF(C2:C1334,C379,AS2:AS1334),IF(AND(AT379=3,M379="F",SUMIF(C2:C1334,C379,AS2:AS1334)&gt;1),1,"")))</f>
        <v/>
      </c>
      <c r="AW379" s="387">
        <f>SUMIF(C2:C1334,C379,O2:O1334)</f>
        <v>3</v>
      </c>
      <c r="AX379" s="387">
        <f>IF(AND(M379="F",AS379&lt;&gt;0),SUMIF(C2:C1334,C379,W2:W1334),0)</f>
        <v>39104</v>
      </c>
      <c r="AY379" s="387">
        <f t="shared" si="249"/>
        <v>25417.599999999999</v>
      </c>
      <c r="AZ379" s="387" t="str">
        <f t="shared" si="250"/>
        <v/>
      </c>
      <c r="BA379" s="387">
        <f t="shared" si="251"/>
        <v>0</v>
      </c>
      <c r="BB379" s="387">
        <f t="shared" si="220"/>
        <v>7572.5</v>
      </c>
      <c r="BC379" s="387">
        <f t="shared" si="221"/>
        <v>0</v>
      </c>
      <c r="BD379" s="387">
        <f t="shared" si="222"/>
        <v>1575.8911999999998</v>
      </c>
      <c r="BE379" s="387">
        <f t="shared" si="223"/>
        <v>368.55520000000001</v>
      </c>
      <c r="BF379" s="387">
        <f t="shared" si="224"/>
        <v>3034.8614400000001</v>
      </c>
      <c r="BG379" s="387">
        <f t="shared" si="225"/>
        <v>183.260896</v>
      </c>
      <c r="BH379" s="387">
        <f t="shared" si="226"/>
        <v>124.54623999999998</v>
      </c>
      <c r="BI379" s="387">
        <f t="shared" si="227"/>
        <v>140.68641599999998</v>
      </c>
      <c r="BJ379" s="387">
        <f t="shared" si="228"/>
        <v>68.627520000000004</v>
      </c>
      <c r="BK379" s="387">
        <f t="shared" si="229"/>
        <v>0</v>
      </c>
      <c r="BL379" s="387">
        <f t="shared" si="252"/>
        <v>5496.4289119999985</v>
      </c>
      <c r="BM379" s="387">
        <f t="shared" si="253"/>
        <v>0</v>
      </c>
      <c r="BN379" s="387">
        <f t="shared" si="230"/>
        <v>7572.5</v>
      </c>
      <c r="BO379" s="387">
        <f t="shared" si="231"/>
        <v>0</v>
      </c>
      <c r="BP379" s="387">
        <f t="shared" si="232"/>
        <v>1575.8911999999998</v>
      </c>
      <c r="BQ379" s="387">
        <f t="shared" si="233"/>
        <v>368.55520000000001</v>
      </c>
      <c r="BR379" s="387">
        <f t="shared" si="234"/>
        <v>3034.8614400000001</v>
      </c>
      <c r="BS379" s="387">
        <f t="shared" si="235"/>
        <v>183.260896</v>
      </c>
      <c r="BT379" s="387">
        <f t="shared" si="236"/>
        <v>0</v>
      </c>
      <c r="BU379" s="387">
        <f t="shared" si="237"/>
        <v>140.68641599999998</v>
      </c>
      <c r="BV379" s="387">
        <f t="shared" si="238"/>
        <v>86.419839999999994</v>
      </c>
      <c r="BW379" s="387">
        <f t="shared" si="239"/>
        <v>0</v>
      </c>
      <c r="BX379" s="387">
        <f t="shared" si="254"/>
        <v>5389.6749919999984</v>
      </c>
      <c r="BY379" s="387">
        <f t="shared" si="255"/>
        <v>0</v>
      </c>
      <c r="BZ379" s="387">
        <f t="shared" si="256"/>
        <v>0</v>
      </c>
      <c r="CA379" s="387">
        <f t="shared" si="257"/>
        <v>0</v>
      </c>
      <c r="CB379" s="387">
        <f t="shared" si="258"/>
        <v>0</v>
      </c>
      <c r="CC379" s="387">
        <f t="shared" si="240"/>
        <v>0</v>
      </c>
      <c r="CD379" s="387">
        <f t="shared" si="241"/>
        <v>0</v>
      </c>
      <c r="CE379" s="387">
        <f t="shared" si="242"/>
        <v>0</v>
      </c>
      <c r="CF379" s="387">
        <f t="shared" si="243"/>
        <v>-124.54623999999998</v>
      </c>
      <c r="CG379" s="387">
        <f t="shared" si="244"/>
        <v>0</v>
      </c>
      <c r="CH379" s="387">
        <f t="shared" si="245"/>
        <v>17.792319999999989</v>
      </c>
      <c r="CI379" s="387">
        <f t="shared" si="246"/>
        <v>0</v>
      </c>
      <c r="CJ379" s="387">
        <f t="shared" si="259"/>
        <v>-106.75391999999999</v>
      </c>
      <c r="CK379" s="387" t="str">
        <f t="shared" si="260"/>
        <v/>
      </c>
      <c r="CL379" s="387" t="str">
        <f t="shared" si="261"/>
        <v/>
      </c>
      <c r="CM379" s="387" t="str">
        <f t="shared" si="262"/>
        <v/>
      </c>
      <c r="CN379" s="387" t="str">
        <f t="shared" si="263"/>
        <v>0348-31</v>
      </c>
    </row>
    <row r="380" spans="1:92" ht="15.75" thickBot="1" x14ac:dyDescent="0.3">
      <c r="A380" s="376" t="s">
        <v>161</v>
      </c>
      <c r="B380" s="376" t="s">
        <v>162</v>
      </c>
      <c r="C380" s="376" t="s">
        <v>1304</v>
      </c>
      <c r="D380" s="376" t="s">
        <v>868</v>
      </c>
      <c r="E380" s="376" t="s">
        <v>224</v>
      </c>
      <c r="F380" s="382" t="s">
        <v>225</v>
      </c>
      <c r="G380" s="376" t="s">
        <v>781</v>
      </c>
      <c r="H380" s="378"/>
      <c r="I380" s="378"/>
      <c r="J380" s="376" t="s">
        <v>215</v>
      </c>
      <c r="K380" s="376" t="s">
        <v>869</v>
      </c>
      <c r="L380" s="376" t="s">
        <v>296</v>
      </c>
      <c r="M380" s="376" t="s">
        <v>171</v>
      </c>
      <c r="N380" s="376" t="s">
        <v>172</v>
      </c>
      <c r="O380" s="379">
        <v>1</v>
      </c>
      <c r="P380" s="385">
        <v>0</v>
      </c>
      <c r="Q380" s="385">
        <v>0</v>
      </c>
      <c r="R380" s="380">
        <v>80</v>
      </c>
      <c r="S380" s="385">
        <v>0</v>
      </c>
      <c r="T380" s="380">
        <v>55803.199999999997</v>
      </c>
      <c r="U380" s="380">
        <v>0</v>
      </c>
      <c r="V380" s="380">
        <v>23091.41</v>
      </c>
      <c r="W380" s="380">
        <v>0</v>
      </c>
      <c r="X380" s="380">
        <v>0</v>
      </c>
      <c r="Y380" s="380">
        <v>0</v>
      </c>
      <c r="Z380" s="380">
        <v>0</v>
      </c>
      <c r="AA380" s="376" t="s">
        <v>1305</v>
      </c>
      <c r="AB380" s="376" t="s">
        <v>1306</v>
      </c>
      <c r="AC380" s="376" t="s">
        <v>637</v>
      </c>
      <c r="AD380" s="376" t="s">
        <v>1307</v>
      </c>
      <c r="AE380" s="376" t="s">
        <v>869</v>
      </c>
      <c r="AF380" s="376" t="s">
        <v>301</v>
      </c>
      <c r="AG380" s="376" t="s">
        <v>178</v>
      </c>
      <c r="AH380" s="381">
        <v>27.66</v>
      </c>
      <c r="AI380" s="379">
        <v>24962</v>
      </c>
      <c r="AJ380" s="376" t="s">
        <v>179</v>
      </c>
      <c r="AK380" s="376" t="s">
        <v>180</v>
      </c>
      <c r="AL380" s="376" t="s">
        <v>181</v>
      </c>
      <c r="AM380" s="376" t="s">
        <v>182</v>
      </c>
      <c r="AN380" s="376" t="s">
        <v>68</v>
      </c>
      <c r="AO380" s="379">
        <v>80</v>
      </c>
      <c r="AP380" s="385">
        <v>1</v>
      </c>
      <c r="AQ380" s="385">
        <v>0</v>
      </c>
      <c r="AR380" s="383" t="s">
        <v>183</v>
      </c>
      <c r="AS380" s="387">
        <f t="shared" si="247"/>
        <v>0</v>
      </c>
      <c r="AT380">
        <f t="shared" si="248"/>
        <v>0</v>
      </c>
      <c r="AU380" s="387" t="str">
        <f>IF(AT380=0,"",IF(AND(AT380=1,M380="F",SUMIF(C2:C1334,C380,AS2:AS1334)&lt;=1),SUMIF(C2:C1334,C380,AS2:AS1334),IF(AND(AT380=1,M380="F",SUMIF(C2:C1334,C380,AS2:AS1334)&gt;1),1,"")))</f>
        <v/>
      </c>
      <c r="AV380" s="387" t="str">
        <f>IF(AT380=0,"",IF(AND(AT380=3,M380="F",SUMIF(C2:C1334,C380,AS2:AS1334)&lt;=1),SUMIF(C2:C1334,C380,AS2:AS1334),IF(AND(AT380=3,M380="F",SUMIF(C2:C1334,C380,AS2:AS1334)&gt;1),1,"")))</f>
        <v/>
      </c>
      <c r="AW380" s="387">
        <f>SUMIF(C2:C1334,C380,O2:O1334)</f>
        <v>2</v>
      </c>
      <c r="AX380" s="387">
        <f>IF(AND(M380="F",AS380&lt;&gt;0),SUMIF(C2:C1334,C380,W2:W1334),0)</f>
        <v>0</v>
      </c>
      <c r="AY380" s="387" t="str">
        <f t="shared" si="249"/>
        <v/>
      </c>
      <c r="AZ380" s="387" t="str">
        <f t="shared" si="250"/>
        <v/>
      </c>
      <c r="BA380" s="387">
        <f t="shared" si="251"/>
        <v>0</v>
      </c>
      <c r="BB380" s="387">
        <f t="shared" si="220"/>
        <v>0</v>
      </c>
      <c r="BC380" s="387">
        <f t="shared" si="221"/>
        <v>0</v>
      </c>
      <c r="BD380" s="387">
        <f t="shared" si="222"/>
        <v>0</v>
      </c>
      <c r="BE380" s="387">
        <f t="shared" si="223"/>
        <v>0</v>
      </c>
      <c r="BF380" s="387">
        <f t="shared" si="224"/>
        <v>0</v>
      </c>
      <c r="BG380" s="387">
        <f t="shared" si="225"/>
        <v>0</v>
      </c>
      <c r="BH380" s="387">
        <f t="shared" si="226"/>
        <v>0</v>
      </c>
      <c r="BI380" s="387">
        <f t="shared" si="227"/>
        <v>0</v>
      </c>
      <c r="BJ380" s="387">
        <f t="shared" si="228"/>
        <v>0</v>
      </c>
      <c r="BK380" s="387">
        <f t="shared" si="229"/>
        <v>0</v>
      </c>
      <c r="BL380" s="387">
        <f t="shared" si="252"/>
        <v>0</v>
      </c>
      <c r="BM380" s="387">
        <f t="shared" si="253"/>
        <v>0</v>
      </c>
      <c r="BN380" s="387">
        <f t="shared" si="230"/>
        <v>0</v>
      </c>
      <c r="BO380" s="387">
        <f t="shared" si="231"/>
        <v>0</v>
      </c>
      <c r="BP380" s="387">
        <f t="shared" si="232"/>
        <v>0</v>
      </c>
      <c r="BQ380" s="387">
        <f t="shared" si="233"/>
        <v>0</v>
      </c>
      <c r="BR380" s="387">
        <f t="shared" si="234"/>
        <v>0</v>
      </c>
      <c r="BS380" s="387">
        <f t="shared" si="235"/>
        <v>0</v>
      </c>
      <c r="BT380" s="387">
        <f t="shared" si="236"/>
        <v>0</v>
      </c>
      <c r="BU380" s="387">
        <f t="shared" si="237"/>
        <v>0</v>
      </c>
      <c r="BV380" s="387">
        <f t="shared" si="238"/>
        <v>0</v>
      </c>
      <c r="BW380" s="387">
        <f t="shared" si="239"/>
        <v>0</v>
      </c>
      <c r="BX380" s="387">
        <f t="shared" si="254"/>
        <v>0</v>
      </c>
      <c r="BY380" s="387">
        <f t="shared" si="255"/>
        <v>0</v>
      </c>
      <c r="BZ380" s="387">
        <f t="shared" si="256"/>
        <v>0</v>
      </c>
      <c r="CA380" s="387">
        <f t="shared" si="257"/>
        <v>0</v>
      </c>
      <c r="CB380" s="387">
        <f t="shared" si="258"/>
        <v>0</v>
      </c>
      <c r="CC380" s="387">
        <f t="shared" si="240"/>
        <v>0</v>
      </c>
      <c r="CD380" s="387">
        <f t="shared" si="241"/>
        <v>0</v>
      </c>
      <c r="CE380" s="387">
        <f t="shared" si="242"/>
        <v>0</v>
      </c>
      <c r="CF380" s="387">
        <f t="shared" si="243"/>
        <v>0</v>
      </c>
      <c r="CG380" s="387">
        <f t="shared" si="244"/>
        <v>0</v>
      </c>
      <c r="CH380" s="387">
        <f t="shared" si="245"/>
        <v>0</v>
      </c>
      <c r="CI380" s="387">
        <f t="shared" si="246"/>
        <v>0</v>
      </c>
      <c r="CJ380" s="387">
        <f t="shared" si="259"/>
        <v>0</v>
      </c>
      <c r="CK380" s="387" t="str">
        <f t="shared" si="260"/>
        <v/>
      </c>
      <c r="CL380" s="387" t="str">
        <f t="shared" si="261"/>
        <v/>
      </c>
      <c r="CM380" s="387" t="str">
        <f t="shared" si="262"/>
        <v/>
      </c>
      <c r="CN380" s="387" t="str">
        <f t="shared" si="263"/>
        <v>0348-31</v>
      </c>
    </row>
    <row r="381" spans="1:92" ht="15.75" thickBot="1" x14ac:dyDescent="0.3">
      <c r="A381" s="376" t="s">
        <v>161</v>
      </c>
      <c r="B381" s="376" t="s">
        <v>162</v>
      </c>
      <c r="C381" s="376" t="s">
        <v>1308</v>
      </c>
      <c r="D381" s="376" t="s">
        <v>238</v>
      </c>
      <c r="E381" s="376" t="s">
        <v>224</v>
      </c>
      <c r="F381" s="382" t="s">
        <v>225</v>
      </c>
      <c r="G381" s="376" t="s">
        <v>781</v>
      </c>
      <c r="H381" s="378"/>
      <c r="I381" s="378"/>
      <c r="J381" s="376" t="s">
        <v>215</v>
      </c>
      <c r="K381" s="376" t="s">
        <v>285</v>
      </c>
      <c r="L381" s="376" t="s">
        <v>170</v>
      </c>
      <c r="M381" s="376" t="s">
        <v>171</v>
      </c>
      <c r="N381" s="376" t="s">
        <v>172</v>
      </c>
      <c r="O381" s="379">
        <v>1</v>
      </c>
      <c r="P381" s="385">
        <v>1</v>
      </c>
      <c r="Q381" s="385">
        <v>1</v>
      </c>
      <c r="R381" s="380">
        <v>80</v>
      </c>
      <c r="S381" s="385">
        <v>1</v>
      </c>
      <c r="T381" s="380">
        <v>0</v>
      </c>
      <c r="U381" s="380">
        <v>0</v>
      </c>
      <c r="V381" s="380">
        <v>0</v>
      </c>
      <c r="W381" s="380">
        <v>48692.800000000003</v>
      </c>
      <c r="X381" s="380">
        <v>22179.79</v>
      </c>
      <c r="Y381" s="380">
        <v>48692.800000000003</v>
      </c>
      <c r="Z381" s="380">
        <v>21975.279999999999</v>
      </c>
      <c r="AA381" s="376" t="s">
        <v>1309</v>
      </c>
      <c r="AB381" s="376" t="s">
        <v>1310</v>
      </c>
      <c r="AC381" s="376" t="s">
        <v>889</v>
      </c>
      <c r="AD381" s="376" t="s">
        <v>1311</v>
      </c>
      <c r="AE381" s="376" t="s">
        <v>285</v>
      </c>
      <c r="AF381" s="376" t="s">
        <v>177</v>
      </c>
      <c r="AG381" s="376" t="s">
        <v>178</v>
      </c>
      <c r="AH381" s="381">
        <v>23.41</v>
      </c>
      <c r="AI381" s="379">
        <v>18476</v>
      </c>
      <c r="AJ381" s="376" t="s">
        <v>179</v>
      </c>
      <c r="AK381" s="376" t="s">
        <v>180</v>
      </c>
      <c r="AL381" s="376" t="s">
        <v>181</v>
      </c>
      <c r="AM381" s="376" t="s">
        <v>182</v>
      </c>
      <c r="AN381" s="376" t="s">
        <v>68</v>
      </c>
      <c r="AO381" s="379">
        <v>80</v>
      </c>
      <c r="AP381" s="385">
        <v>1</v>
      </c>
      <c r="AQ381" s="385">
        <v>1</v>
      </c>
      <c r="AR381" s="383" t="s">
        <v>183</v>
      </c>
      <c r="AS381" s="387">
        <f t="shared" si="247"/>
        <v>1</v>
      </c>
      <c r="AT381">
        <f t="shared" si="248"/>
        <v>1</v>
      </c>
      <c r="AU381" s="387">
        <f>IF(AT381=0,"",IF(AND(AT381=1,M381="F",SUMIF(C2:C1334,C381,AS2:AS1334)&lt;=1),SUMIF(C2:C1334,C381,AS2:AS1334),IF(AND(AT381=1,M381="F",SUMIF(C2:C1334,C381,AS2:AS1334)&gt;1),1,"")))</f>
        <v>1</v>
      </c>
      <c r="AV381" s="387" t="str">
        <f>IF(AT381=0,"",IF(AND(AT381=3,M381="F",SUMIF(C2:C1334,C381,AS2:AS1334)&lt;=1),SUMIF(C2:C1334,C381,AS2:AS1334),IF(AND(AT381=3,M381="F",SUMIF(C2:C1334,C381,AS2:AS1334)&gt;1),1,"")))</f>
        <v/>
      </c>
      <c r="AW381" s="387">
        <f>SUMIF(C2:C1334,C381,O2:O1334)</f>
        <v>3</v>
      </c>
      <c r="AX381" s="387">
        <f>IF(AND(M381="F",AS381&lt;&gt;0),SUMIF(C2:C1334,C381,W2:W1334),0)</f>
        <v>48692.800000000003</v>
      </c>
      <c r="AY381" s="387">
        <f t="shared" si="249"/>
        <v>48692.800000000003</v>
      </c>
      <c r="AZ381" s="387" t="str">
        <f t="shared" si="250"/>
        <v/>
      </c>
      <c r="BA381" s="387">
        <f t="shared" si="251"/>
        <v>0</v>
      </c>
      <c r="BB381" s="387">
        <f t="shared" si="220"/>
        <v>11650</v>
      </c>
      <c r="BC381" s="387">
        <f t="shared" si="221"/>
        <v>0</v>
      </c>
      <c r="BD381" s="387">
        <f t="shared" si="222"/>
        <v>3018.9536000000003</v>
      </c>
      <c r="BE381" s="387">
        <f t="shared" si="223"/>
        <v>706.04560000000004</v>
      </c>
      <c r="BF381" s="387">
        <f t="shared" si="224"/>
        <v>5813.9203200000011</v>
      </c>
      <c r="BG381" s="387">
        <f t="shared" si="225"/>
        <v>351.07508800000005</v>
      </c>
      <c r="BH381" s="387">
        <f t="shared" si="226"/>
        <v>238.59472</v>
      </c>
      <c r="BI381" s="387">
        <f t="shared" si="227"/>
        <v>269.51464800000002</v>
      </c>
      <c r="BJ381" s="387">
        <f t="shared" si="228"/>
        <v>131.47056000000001</v>
      </c>
      <c r="BK381" s="387">
        <f t="shared" si="229"/>
        <v>0</v>
      </c>
      <c r="BL381" s="387">
        <f t="shared" si="252"/>
        <v>10529.574536</v>
      </c>
      <c r="BM381" s="387">
        <f t="shared" si="253"/>
        <v>0</v>
      </c>
      <c r="BN381" s="387">
        <f t="shared" si="230"/>
        <v>11650</v>
      </c>
      <c r="BO381" s="387">
        <f t="shared" si="231"/>
        <v>0</v>
      </c>
      <c r="BP381" s="387">
        <f t="shared" si="232"/>
        <v>3018.9536000000003</v>
      </c>
      <c r="BQ381" s="387">
        <f t="shared" si="233"/>
        <v>706.04560000000004</v>
      </c>
      <c r="BR381" s="387">
        <f t="shared" si="234"/>
        <v>5813.9203200000011</v>
      </c>
      <c r="BS381" s="387">
        <f t="shared" si="235"/>
        <v>351.07508800000005</v>
      </c>
      <c r="BT381" s="387">
        <f t="shared" si="236"/>
        <v>0</v>
      </c>
      <c r="BU381" s="387">
        <f t="shared" si="237"/>
        <v>269.51464800000002</v>
      </c>
      <c r="BV381" s="387">
        <f t="shared" si="238"/>
        <v>165.55552</v>
      </c>
      <c r="BW381" s="387">
        <f t="shared" si="239"/>
        <v>0</v>
      </c>
      <c r="BX381" s="387">
        <f t="shared" si="254"/>
        <v>10325.064776000001</v>
      </c>
      <c r="BY381" s="387">
        <f t="shared" si="255"/>
        <v>0</v>
      </c>
      <c r="BZ381" s="387">
        <f t="shared" si="256"/>
        <v>0</v>
      </c>
      <c r="CA381" s="387">
        <f t="shared" si="257"/>
        <v>0</v>
      </c>
      <c r="CB381" s="387">
        <f t="shared" si="258"/>
        <v>0</v>
      </c>
      <c r="CC381" s="387">
        <f t="shared" si="240"/>
        <v>0</v>
      </c>
      <c r="CD381" s="387">
        <f t="shared" si="241"/>
        <v>0</v>
      </c>
      <c r="CE381" s="387">
        <f t="shared" si="242"/>
        <v>0</v>
      </c>
      <c r="CF381" s="387">
        <f t="shared" si="243"/>
        <v>-238.59472</v>
      </c>
      <c r="CG381" s="387">
        <f t="shared" si="244"/>
        <v>0</v>
      </c>
      <c r="CH381" s="387">
        <f t="shared" si="245"/>
        <v>34.084959999999988</v>
      </c>
      <c r="CI381" s="387">
        <f t="shared" si="246"/>
        <v>0</v>
      </c>
      <c r="CJ381" s="387">
        <f t="shared" si="259"/>
        <v>-204.50976</v>
      </c>
      <c r="CK381" s="387" t="str">
        <f t="shared" si="260"/>
        <v/>
      </c>
      <c r="CL381" s="387" t="str">
        <f t="shared" si="261"/>
        <v/>
      </c>
      <c r="CM381" s="387" t="str">
        <f t="shared" si="262"/>
        <v/>
      </c>
      <c r="CN381" s="387" t="str">
        <f t="shared" si="263"/>
        <v>0348-31</v>
      </c>
    </row>
    <row r="382" spans="1:92" ht="15.75" thickBot="1" x14ac:dyDescent="0.3">
      <c r="A382" s="376" t="s">
        <v>161</v>
      </c>
      <c r="B382" s="376" t="s">
        <v>162</v>
      </c>
      <c r="C382" s="376" t="s">
        <v>665</v>
      </c>
      <c r="D382" s="376" t="s">
        <v>368</v>
      </c>
      <c r="E382" s="376" t="s">
        <v>224</v>
      </c>
      <c r="F382" s="382" t="s">
        <v>225</v>
      </c>
      <c r="G382" s="376" t="s">
        <v>781</v>
      </c>
      <c r="H382" s="378"/>
      <c r="I382" s="378"/>
      <c r="J382" s="376" t="s">
        <v>215</v>
      </c>
      <c r="K382" s="376" t="s">
        <v>424</v>
      </c>
      <c r="L382" s="376" t="s">
        <v>210</v>
      </c>
      <c r="M382" s="376" t="s">
        <v>171</v>
      </c>
      <c r="N382" s="376" t="s">
        <v>172</v>
      </c>
      <c r="O382" s="379">
        <v>1</v>
      </c>
      <c r="P382" s="385">
        <v>0</v>
      </c>
      <c r="Q382" s="385">
        <v>0</v>
      </c>
      <c r="R382" s="380">
        <v>80</v>
      </c>
      <c r="S382" s="385">
        <v>0</v>
      </c>
      <c r="T382" s="380">
        <v>82414.399999999994</v>
      </c>
      <c r="U382" s="380">
        <v>0</v>
      </c>
      <c r="V382" s="380">
        <v>28435.9</v>
      </c>
      <c r="W382" s="380">
        <v>0</v>
      </c>
      <c r="X382" s="380">
        <v>0</v>
      </c>
      <c r="Y382" s="380">
        <v>0</v>
      </c>
      <c r="Z382" s="380">
        <v>0</v>
      </c>
      <c r="AA382" s="376" t="s">
        <v>666</v>
      </c>
      <c r="AB382" s="376" t="s">
        <v>667</v>
      </c>
      <c r="AC382" s="376" t="s">
        <v>668</v>
      </c>
      <c r="AD382" s="376" t="s">
        <v>406</v>
      </c>
      <c r="AE382" s="376" t="s">
        <v>424</v>
      </c>
      <c r="AF382" s="376" t="s">
        <v>245</v>
      </c>
      <c r="AG382" s="376" t="s">
        <v>178</v>
      </c>
      <c r="AH382" s="381">
        <v>41.02</v>
      </c>
      <c r="AI382" s="381">
        <v>37514.699999999997</v>
      </c>
      <c r="AJ382" s="376" t="s">
        <v>179</v>
      </c>
      <c r="AK382" s="376" t="s">
        <v>180</v>
      </c>
      <c r="AL382" s="376" t="s">
        <v>181</v>
      </c>
      <c r="AM382" s="376" t="s">
        <v>182</v>
      </c>
      <c r="AN382" s="376" t="s">
        <v>68</v>
      </c>
      <c r="AO382" s="379">
        <v>80</v>
      </c>
      <c r="AP382" s="385">
        <v>1</v>
      </c>
      <c r="AQ382" s="385">
        <v>0</v>
      </c>
      <c r="AR382" s="383" t="s">
        <v>183</v>
      </c>
      <c r="AS382" s="387">
        <f t="shared" si="247"/>
        <v>0</v>
      </c>
      <c r="AT382">
        <f t="shared" si="248"/>
        <v>0</v>
      </c>
      <c r="AU382" s="387" t="str">
        <f>IF(AT382=0,"",IF(AND(AT382=1,M382="F",SUMIF(C2:C1334,C382,AS2:AS1334)&lt;=1),SUMIF(C2:C1334,C382,AS2:AS1334),IF(AND(AT382=1,M382="F",SUMIF(C2:C1334,C382,AS2:AS1334)&gt;1),1,"")))</f>
        <v/>
      </c>
      <c r="AV382" s="387" t="str">
        <f>IF(AT382=0,"",IF(AND(AT382=3,M382="F",SUMIF(C2:C1334,C382,AS2:AS1334)&lt;=1),SUMIF(C2:C1334,C382,AS2:AS1334),IF(AND(AT382=3,M382="F",SUMIF(C2:C1334,C382,AS2:AS1334)&gt;1),1,"")))</f>
        <v/>
      </c>
      <c r="AW382" s="387">
        <f>SUMIF(C2:C1334,C382,O2:O1334)</f>
        <v>2</v>
      </c>
      <c r="AX382" s="387">
        <f>IF(AND(M382="F",AS382&lt;&gt;0),SUMIF(C2:C1334,C382,W2:W1334),0)</f>
        <v>0</v>
      </c>
      <c r="AY382" s="387" t="str">
        <f t="shared" si="249"/>
        <v/>
      </c>
      <c r="AZ382" s="387" t="str">
        <f t="shared" si="250"/>
        <v/>
      </c>
      <c r="BA382" s="387">
        <f t="shared" si="251"/>
        <v>0</v>
      </c>
      <c r="BB382" s="387">
        <f t="shared" si="220"/>
        <v>0</v>
      </c>
      <c r="BC382" s="387">
        <f t="shared" si="221"/>
        <v>0</v>
      </c>
      <c r="BD382" s="387">
        <f t="shared" si="222"/>
        <v>0</v>
      </c>
      <c r="BE382" s="387">
        <f t="shared" si="223"/>
        <v>0</v>
      </c>
      <c r="BF382" s="387">
        <f t="shared" si="224"/>
        <v>0</v>
      </c>
      <c r="BG382" s="387">
        <f t="shared" si="225"/>
        <v>0</v>
      </c>
      <c r="BH382" s="387">
        <f t="shared" si="226"/>
        <v>0</v>
      </c>
      <c r="BI382" s="387">
        <f t="shared" si="227"/>
        <v>0</v>
      </c>
      <c r="BJ382" s="387">
        <f t="shared" si="228"/>
        <v>0</v>
      </c>
      <c r="BK382" s="387">
        <f t="shared" si="229"/>
        <v>0</v>
      </c>
      <c r="BL382" s="387">
        <f t="shared" si="252"/>
        <v>0</v>
      </c>
      <c r="BM382" s="387">
        <f t="shared" si="253"/>
        <v>0</v>
      </c>
      <c r="BN382" s="387">
        <f t="shared" si="230"/>
        <v>0</v>
      </c>
      <c r="BO382" s="387">
        <f t="shared" si="231"/>
        <v>0</v>
      </c>
      <c r="BP382" s="387">
        <f t="shared" si="232"/>
        <v>0</v>
      </c>
      <c r="BQ382" s="387">
        <f t="shared" si="233"/>
        <v>0</v>
      </c>
      <c r="BR382" s="387">
        <f t="shared" si="234"/>
        <v>0</v>
      </c>
      <c r="BS382" s="387">
        <f t="shared" si="235"/>
        <v>0</v>
      </c>
      <c r="BT382" s="387">
        <f t="shared" si="236"/>
        <v>0</v>
      </c>
      <c r="BU382" s="387">
        <f t="shared" si="237"/>
        <v>0</v>
      </c>
      <c r="BV382" s="387">
        <f t="shared" si="238"/>
        <v>0</v>
      </c>
      <c r="BW382" s="387">
        <f t="shared" si="239"/>
        <v>0</v>
      </c>
      <c r="BX382" s="387">
        <f t="shared" si="254"/>
        <v>0</v>
      </c>
      <c r="BY382" s="387">
        <f t="shared" si="255"/>
        <v>0</v>
      </c>
      <c r="BZ382" s="387">
        <f t="shared" si="256"/>
        <v>0</v>
      </c>
      <c r="CA382" s="387">
        <f t="shared" si="257"/>
        <v>0</v>
      </c>
      <c r="CB382" s="387">
        <f t="shared" si="258"/>
        <v>0</v>
      </c>
      <c r="CC382" s="387">
        <f t="shared" si="240"/>
        <v>0</v>
      </c>
      <c r="CD382" s="387">
        <f t="shared" si="241"/>
        <v>0</v>
      </c>
      <c r="CE382" s="387">
        <f t="shared" si="242"/>
        <v>0</v>
      </c>
      <c r="CF382" s="387">
        <f t="shared" si="243"/>
        <v>0</v>
      </c>
      <c r="CG382" s="387">
        <f t="shared" si="244"/>
        <v>0</v>
      </c>
      <c r="CH382" s="387">
        <f t="shared" si="245"/>
        <v>0</v>
      </c>
      <c r="CI382" s="387">
        <f t="shared" si="246"/>
        <v>0</v>
      </c>
      <c r="CJ382" s="387">
        <f t="shared" si="259"/>
        <v>0</v>
      </c>
      <c r="CK382" s="387" t="str">
        <f t="shared" si="260"/>
        <v/>
      </c>
      <c r="CL382" s="387" t="str">
        <f t="shared" si="261"/>
        <v/>
      </c>
      <c r="CM382" s="387" t="str">
        <f t="shared" si="262"/>
        <v/>
      </c>
      <c r="CN382" s="387" t="str">
        <f t="shared" si="263"/>
        <v>0348-31</v>
      </c>
    </row>
    <row r="383" spans="1:92" ht="15.75" thickBot="1" x14ac:dyDescent="0.3">
      <c r="A383" s="376" t="s">
        <v>161</v>
      </c>
      <c r="B383" s="376" t="s">
        <v>162</v>
      </c>
      <c r="C383" s="376" t="s">
        <v>1312</v>
      </c>
      <c r="D383" s="376" t="s">
        <v>1061</v>
      </c>
      <c r="E383" s="376" t="s">
        <v>224</v>
      </c>
      <c r="F383" s="382" t="s">
        <v>225</v>
      </c>
      <c r="G383" s="376" t="s">
        <v>781</v>
      </c>
      <c r="H383" s="378"/>
      <c r="I383" s="378"/>
      <c r="J383" s="376" t="s">
        <v>215</v>
      </c>
      <c r="K383" s="376" t="s">
        <v>1062</v>
      </c>
      <c r="L383" s="376" t="s">
        <v>217</v>
      </c>
      <c r="M383" s="376" t="s">
        <v>171</v>
      </c>
      <c r="N383" s="376" t="s">
        <v>172</v>
      </c>
      <c r="O383" s="379">
        <v>1</v>
      </c>
      <c r="P383" s="385">
        <v>0</v>
      </c>
      <c r="Q383" s="385">
        <v>0</v>
      </c>
      <c r="R383" s="380">
        <v>80</v>
      </c>
      <c r="S383" s="385">
        <v>0</v>
      </c>
      <c r="T383" s="380">
        <v>34621.61</v>
      </c>
      <c r="U383" s="380">
        <v>0</v>
      </c>
      <c r="V383" s="380">
        <v>18954.77</v>
      </c>
      <c r="W383" s="380">
        <v>0</v>
      </c>
      <c r="X383" s="380">
        <v>0</v>
      </c>
      <c r="Y383" s="380">
        <v>0</v>
      </c>
      <c r="Z383" s="380">
        <v>0</v>
      </c>
      <c r="AA383" s="376" t="s">
        <v>1313</v>
      </c>
      <c r="AB383" s="376" t="s">
        <v>1314</v>
      </c>
      <c r="AC383" s="376" t="s">
        <v>916</v>
      </c>
      <c r="AD383" s="376" t="s">
        <v>1315</v>
      </c>
      <c r="AE383" s="376" t="s">
        <v>1062</v>
      </c>
      <c r="AF383" s="376" t="s">
        <v>221</v>
      </c>
      <c r="AG383" s="376" t="s">
        <v>178</v>
      </c>
      <c r="AH383" s="381">
        <v>17.45</v>
      </c>
      <c r="AI383" s="381">
        <v>12476.9</v>
      </c>
      <c r="AJ383" s="376" t="s">
        <v>179</v>
      </c>
      <c r="AK383" s="376" t="s">
        <v>180</v>
      </c>
      <c r="AL383" s="376" t="s">
        <v>181</v>
      </c>
      <c r="AM383" s="376" t="s">
        <v>182</v>
      </c>
      <c r="AN383" s="376" t="s">
        <v>68</v>
      </c>
      <c r="AO383" s="379">
        <v>80</v>
      </c>
      <c r="AP383" s="385">
        <v>1</v>
      </c>
      <c r="AQ383" s="385">
        <v>0</v>
      </c>
      <c r="AR383" s="383" t="s">
        <v>183</v>
      </c>
      <c r="AS383" s="387">
        <f t="shared" si="247"/>
        <v>0</v>
      </c>
      <c r="AT383">
        <f t="shared" si="248"/>
        <v>0</v>
      </c>
      <c r="AU383" s="387" t="str">
        <f>IF(AT383=0,"",IF(AND(AT383=1,M383="F",SUMIF(C2:C1334,C383,AS2:AS1334)&lt;=1),SUMIF(C2:C1334,C383,AS2:AS1334),IF(AND(AT383=1,M383="F",SUMIF(C2:C1334,C383,AS2:AS1334)&gt;1),1,"")))</f>
        <v/>
      </c>
      <c r="AV383" s="387" t="str">
        <f>IF(AT383=0,"",IF(AND(AT383=3,M383="F",SUMIF(C2:C1334,C383,AS2:AS1334)&lt;=1),SUMIF(C2:C1334,C383,AS2:AS1334),IF(AND(AT383=3,M383="F",SUMIF(C2:C1334,C383,AS2:AS1334)&gt;1),1,"")))</f>
        <v/>
      </c>
      <c r="AW383" s="387">
        <f>SUMIF(C2:C1334,C383,O2:O1334)</f>
        <v>2</v>
      </c>
      <c r="AX383" s="387">
        <f>IF(AND(M383="F",AS383&lt;&gt;0),SUMIF(C2:C1334,C383,W2:W1334),0)</f>
        <v>0</v>
      </c>
      <c r="AY383" s="387" t="str">
        <f t="shared" si="249"/>
        <v/>
      </c>
      <c r="AZ383" s="387" t="str">
        <f t="shared" si="250"/>
        <v/>
      </c>
      <c r="BA383" s="387">
        <f t="shared" si="251"/>
        <v>0</v>
      </c>
      <c r="BB383" s="387">
        <f t="shared" si="220"/>
        <v>0</v>
      </c>
      <c r="BC383" s="387">
        <f t="shared" si="221"/>
        <v>0</v>
      </c>
      <c r="BD383" s="387">
        <f t="shared" si="222"/>
        <v>0</v>
      </c>
      <c r="BE383" s="387">
        <f t="shared" si="223"/>
        <v>0</v>
      </c>
      <c r="BF383" s="387">
        <f t="shared" si="224"/>
        <v>0</v>
      </c>
      <c r="BG383" s="387">
        <f t="shared" si="225"/>
        <v>0</v>
      </c>
      <c r="BH383" s="387">
        <f t="shared" si="226"/>
        <v>0</v>
      </c>
      <c r="BI383" s="387">
        <f t="shared" si="227"/>
        <v>0</v>
      </c>
      <c r="BJ383" s="387">
        <f t="shared" si="228"/>
        <v>0</v>
      </c>
      <c r="BK383" s="387">
        <f t="shared" si="229"/>
        <v>0</v>
      </c>
      <c r="BL383" s="387">
        <f t="shared" si="252"/>
        <v>0</v>
      </c>
      <c r="BM383" s="387">
        <f t="shared" si="253"/>
        <v>0</v>
      </c>
      <c r="BN383" s="387">
        <f t="shared" si="230"/>
        <v>0</v>
      </c>
      <c r="BO383" s="387">
        <f t="shared" si="231"/>
        <v>0</v>
      </c>
      <c r="BP383" s="387">
        <f t="shared" si="232"/>
        <v>0</v>
      </c>
      <c r="BQ383" s="387">
        <f t="shared" si="233"/>
        <v>0</v>
      </c>
      <c r="BR383" s="387">
        <f t="shared" si="234"/>
        <v>0</v>
      </c>
      <c r="BS383" s="387">
        <f t="shared" si="235"/>
        <v>0</v>
      </c>
      <c r="BT383" s="387">
        <f t="shared" si="236"/>
        <v>0</v>
      </c>
      <c r="BU383" s="387">
        <f t="shared" si="237"/>
        <v>0</v>
      </c>
      <c r="BV383" s="387">
        <f t="shared" si="238"/>
        <v>0</v>
      </c>
      <c r="BW383" s="387">
        <f t="shared" si="239"/>
        <v>0</v>
      </c>
      <c r="BX383" s="387">
        <f t="shared" si="254"/>
        <v>0</v>
      </c>
      <c r="BY383" s="387">
        <f t="shared" si="255"/>
        <v>0</v>
      </c>
      <c r="BZ383" s="387">
        <f t="shared" si="256"/>
        <v>0</v>
      </c>
      <c r="CA383" s="387">
        <f t="shared" si="257"/>
        <v>0</v>
      </c>
      <c r="CB383" s="387">
        <f t="shared" si="258"/>
        <v>0</v>
      </c>
      <c r="CC383" s="387">
        <f t="shared" si="240"/>
        <v>0</v>
      </c>
      <c r="CD383" s="387">
        <f t="shared" si="241"/>
        <v>0</v>
      </c>
      <c r="CE383" s="387">
        <f t="shared" si="242"/>
        <v>0</v>
      </c>
      <c r="CF383" s="387">
        <f t="shared" si="243"/>
        <v>0</v>
      </c>
      <c r="CG383" s="387">
        <f t="shared" si="244"/>
        <v>0</v>
      </c>
      <c r="CH383" s="387">
        <f t="shared" si="245"/>
        <v>0</v>
      </c>
      <c r="CI383" s="387">
        <f t="shared" si="246"/>
        <v>0</v>
      </c>
      <c r="CJ383" s="387">
        <f t="shared" si="259"/>
        <v>0</v>
      </c>
      <c r="CK383" s="387" t="str">
        <f t="shared" si="260"/>
        <v/>
      </c>
      <c r="CL383" s="387" t="str">
        <f t="shared" si="261"/>
        <v/>
      </c>
      <c r="CM383" s="387" t="str">
        <f t="shared" si="262"/>
        <v/>
      </c>
      <c r="CN383" s="387" t="str">
        <f t="shared" si="263"/>
        <v>0348-31</v>
      </c>
    </row>
    <row r="384" spans="1:92" ht="15.75" thickBot="1" x14ac:dyDescent="0.3">
      <c r="A384" s="376" t="s">
        <v>161</v>
      </c>
      <c r="B384" s="376" t="s">
        <v>162</v>
      </c>
      <c r="C384" s="376" t="s">
        <v>1316</v>
      </c>
      <c r="D384" s="376" t="s">
        <v>862</v>
      </c>
      <c r="E384" s="376" t="s">
        <v>224</v>
      </c>
      <c r="F384" s="382" t="s">
        <v>225</v>
      </c>
      <c r="G384" s="376" t="s">
        <v>781</v>
      </c>
      <c r="H384" s="378"/>
      <c r="I384" s="378"/>
      <c r="J384" s="376" t="s">
        <v>239</v>
      </c>
      <c r="K384" s="376" t="s">
        <v>863</v>
      </c>
      <c r="L384" s="376" t="s">
        <v>252</v>
      </c>
      <c r="M384" s="376" t="s">
        <v>272</v>
      </c>
      <c r="N384" s="376" t="s">
        <v>172</v>
      </c>
      <c r="O384" s="379">
        <v>0</v>
      </c>
      <c r="P384" s="385">
        <v>0.3</v>
      </c>
      <c r="Q384" s="385">
        <v>0.3</v>
      </c>
      <c r="R384" s="380">
        <v>80</v>
      </c>
      <c r="S384" s="385">
        <v>0.3</v>
      </c>
      <c r="T384" s="380">
        <v>303.33999999999997</v>
      </c>
      <c r="U384" s="380">
        <v>0</v>
      </c>
      <c r="V384" s="380">
        <v>154.44</v>
      </c>
      <c r="W384" s="380">
        <v>12698.4</v>
      </c>
      <c r="X384" s="380">
        <v>5561.89</v>
      </c>
      <c r="Y384" s="380">
        <v>12698.4</v>
      </c>
      <c r="Z384" s="380">
        <v>5498.4</v>
      </c>
      <c r="AA384" s="378"/>
      <c r="AB384" s="376" t="s">
        <v>45</v>
      </c>
      <c r="AC384" s="376" t="s">
        <v>45</v>
      </c>
      <c r="AD384" s="378"/>
      <c r="AE384" s="378"/>
      <c r="AF384" s="378"/>
      <c r="AG384" s="378"/>
      <c r="AH384" s="379">
        <v>0</v>
      </c>
      <c r="AI384" s="379">
        <v>0</v>
      </c>
      <c r="AJ384" s="378"/>
      <c r="AK384" s="378"/>
      <c r="AL384" s="376" t="s">
        <v>181</v>
      </c>
      <c r="AM384" s="378"/>
      <c r="AN384" s="378"/>
      <c r="AO384" s="379">
        <v>0</v>
      </c>
      <c r="AP384" s="385">
        <v>0</v>
      </c>
      <c r="AQ384" s="385">
        <v>0</v>
      </c>
      <c r="AR384" s="384"/>
      <c r="AS384" s="387">
        <f t="shared" si="247"/>
        <v>0</v>
      </c>
      <c r="AT384">
        <f t="shared" si="248"/>
        <v>0</v>
      </c>
      <c r="AU384" s="387" t="str">
        <f>IF(AT384=0,"",IF(AND(AT384=1,M384="F",SUMIF(C2:C1334,C384,AS2:AS1334)&lt;=1),SUMIF(C2:C1334,C384,AS2:AS1334),IF(AND(AT384=1,M384="F",SUMIF(C2:C1334,C384,AS2:AS1334)&gt;1),1,"")))</f>
        <v/>
      </c>
      <c r="AV384" s="387" t="str">
        <f>IF(AT384=0,"",IF(AND(AT384=3,M384="F",SUMIF(C2:C1334,C384,AS2:AS1334)&lt;=1),SUMIF(C2:C1334,C384,AS2:AS1334),IF(AND(AT384=3,M384="F",SUMIF(C2:C1334,C384,AS2:AS1334)&gt;1),1,"")))</f>
        <v/>
      </c>
      <c r="AW384" s="387">
        <f>SUMIF(C2:C1334,C384,O2:O1334)</f>
        <v>0</v>
      </c>
      <c r="AX384" s="387">
        <f>IF(AND(M384="F",AS384&lt;&gt;0),SUMIF(C2:C1334,C384,W2:W1334),0)</f>
        <v>0</v>
      </c>
      <c r="AY384" s="387" t="str">
        <f t="shared" si="249"/>
        <v/>
      </c>
      <c r="AZ384" s="387" t="str">
        <f t="shared" si="250"/>
        <v/>
      </c>
      <c r="BA384" s="387">
        <f t="shared" si="251"/>
        <v>0</v>
      </c>
      <c r="BB384" s="387">
        <f t="shared" si="220"/>
        <v>0</v>
      </c>
      <c r="BC384" s="387">
        <f t="shared" si="221"/>
        <v>0</v>
      </c>
      <c r="BD384" s="387">
        <f t="shared" si="222"/>
        <v>0</v>
      </c>
      <c r="BE384" s="387">
        <f t="shared" si="223"/>
        <v>0</v>
      </c>
      <c r="BF384" s="387">
        <f t="shared" si="224"/>
        <v>0</v>
      </c>
      <c r="BG384" s="387">
        <f t="shared" si="225"/>
        <v>0</v>
      </c>
      <c r="BH384" s="387">
        <f t="shared" si="226"/>
        <v>0</v>
      </c>
      <c r="BI384" s="387">
        <f t="shared" si="227"/>
        <v>0</v>
      </c>
      <c r="BJ384" s="387">
        <f t="shared" si="228"/>
        <v>0</v>
      </c>
      <c r="BK384" s="387">
        <f t="shared" si="229"/>
        <v>0</v>
      </c>
      <c r="BL384" s="387">
        <f t="shared" si="252"/>
        <v>0</v>
      </c>
      <c r="BM384" s="387">
        <f t="shared" si="253"/>
        <v>0</v>
      </c>
      <c r="BN384" s="387">
        <f t="shared" si="230"/>
        <v>0</v>
      </c>
      <c r="BO384" s="387">
        <f t="shared" si="231"/>
        <v>0</v>
      </c>
      <c r="BP384" s="387">
        <f t="shared" si="232"/>
        <v>0</v>
      </c>
      <c r="BQ384" s="387">
        <f t="shared" si="233"/>
        <v>0</v>
      </c>
      <c r="BR384" s="387">
        <f t="shared" si="234"/>
        <v>0</v>
      </c>
      <c r="BS384" s="387">
        <f t="shared" si="235"/>
        <v>0</v>
      </c>
      <c r="BT384" s="387">
        <f t="shared" si="236"/>
        <v>0</v>
      </c>
      <c r="BU384" s="387">
        <f t="shared" si="237"/>
        <v>0</v>
      </c>
      <c r="BV384" s="387">
        <f t="shared" si="238"/>
        <v>0</v>
      </c>
      <c r="BW384" s="387">
        <f t="shared" si="239"/>
        <v>0</v>
      </c>
      <c r="BX384" s="387">
        <f t="shared" si="254"/>
        <v>0</v>
      </c>
      <c r="BY384" s="387">
        <f t="shared" si="255"/>
        <v>0</v>
      </c>
      <c r="BZ384" s="387">
        <f t="shared" si="256"/>
        <v>0</v>
      </c>
      <c r="CA384" s="387">
        <f t="shared" si="257"/>
        <v>0</v>
      </c>
      <c r="CB384" s="387">
        <f t="shared" si="258"/>
        <v>0</v>
      </c>
      <c r="CC384" s="387">
        <f t="shared" si="240"/>
        <v>0</v>
      </c>
      <c r="CD384" s="387">
        <f t="shared" si="241"/>
        <v>0</v>
      </c>
      <c r="CE384" s="387">
        <f t="shared" si="242"/>
        <v>0</v>
      </c>
      <c r="CF384" s="387">
        <f t="shared" si="243"/>
        <v>0</v>
      </c>
      <c r="CG384" s="387">
        <f t="shared" si="244"/>
        <v>0</v>
      </c>
      <c r="CH384" s="387">
        <f t="shared" si="245"/>
        <v>0</v>
      </c>
      <c r="CI384" s="387">
        <f t="shared" si="246"/>
        <v>0</v>
      </c>
      <c r="CJ384" s="387">
        <f t="shared" si="259"/>
        <v>0</v>
      </c>
      <c r="CK384" s="387" t="str">
        <f t="shared" si="260"/>
        <v/>
      </c>
      <c r="CL384" s="387" t="str">
        <f t="shared" si="261"/>
        <v/>
      </c>
      <c r="CM384" s="387" t="str">
        <f t="shared" si="262"/>
        <v/>
      </c>
      <c r="CN384" s="387" t="str">
        <f t="shared" si="263"/>
        <v>0348-31</v>
      </c>
    </row>
    <row r="385" spans="1:92" ht="15.75" thickBot="1" x14ac:dyDescent="0.3">
      <c r="A385" s="376" t="s">
        <v>161</v>
      </c>
      <c r="B385" s="376" t="s">
        <v>162</v>
      </c>
      <c r="C385" s="376" t="s">
        <v>1317</v>
      </c>
      <c r="D385" s="376" t="s">
        <v>1280</v>
      </c>
      <c r="E385" s="376" t="s">
        <v>224</v>
      </c>
      <c r="F385" s="382" t="s">
        <v>225</v>
      </c>
      <c r="G385" s="376" t="s">
        <v>781</v>
      </c>
      <c r="H385" s="378"/>
      <c r="I385" s="378"/>
      <c r="J385" s="376" t="s">
        <v>215</v>
      </c>
      <c r="K385" s="376" t="s">
        <v>1281</v>
      </c>
      <c r="L385" s="376" t="s">
        <v>178</v>
      </c>
      <c r="M385" s="376" t="s">
        <v>171</v>
      </c>
      <c r="N385" s="376" t="s">
        <v>877</v>
      </c>
      <c r="O385" s="379">
        <v>1</v>
      </c>
      <c r="P385" s="385">
        <v>1</v>
      </c>
      <c r="Q385" s="385">
        <v>1</v>
      </c>
      <c r="R385" s="380">
        <v>80</v>
      </c>
      <c r="S385" s="385">
        <v>1</v>
      </c>
      <c r="T385" s="380">
        <v>37642.519999999997</v>
      </c>
      <c r="U385" s="380">
        <v>1693.8</v>
      </c>
      <c r="V385" s="380">
        <v>19901.43</v>
      </c>
      <c r="W385" s="380">
        <v>38700.480000000003</v>
      </c>
      <c r="X385" s="380">
        <v>20018.95</v>
      </c>
      <c r="Y385" s="380">
        <v>38700.480000000003</v>
      </c>
      <c r="Z385" s="380">
        <v>19856.41</v>
      </c>
      <c r="AA385" s="376" t="s">
        <v>1318</v>
      </c>
      <c r="AB385" s="376" t="s">
        <v>1319</v>
      </c>
      <c r="AC385" s="376" t="s">
        <v>1194</v>
      </c>
      <c r="AD385" s="376" t="s">
        <v>1320</v>
      </c>
      <c r="AE385" s="376" t="s">
        <v>1281</v>
      </c>
      <c r="AF385" s="376" t="s">
        <v>253</v>
      </c>
      <c r="AG385" s="376" t="s">
        <v>178</v>
      </c>
      <c r="AH385" s="381">
        <v>17.72</v>
      </c>
      <c r="AI385" s="381">
        <v>3375.5</v>
      </c>
      <c r="AJ385" s="376" t="s">
        <v>179</v>
      </c>
      <c r="AK385" s="376" t="s">
        <v>180</v>
      </c>
      <c r="AL385" s="376" t="s">
        <v>181</v>
      </c>
      <c r="AM385" s="376" t="s">
        <v>182</v>
      </c>
      <c r="AN385" s="376" t="s">
        <v>68</v>
      </c>
      <c r="AO385" s="379">
        <v>80</v>
      </c>
      <c r="AP385" s="385">
        <v>1</v>
      </c>
      <c r="AQ385" s="385">
        <v>1</v>
      </c>
      <c r="AR385" s="383">
        <v>5</v>
      </c>
      <c r="AS385" s="387">
        <f t="shared" si="247"/>
        <v>1</v>
      </c>
      <c r="AT385">
        <f t="shared" si="248"/>
        <v>1</v>
      </c>
      <c r="AU385" s="387">
        <f>IF(AT385=0,"",IF(AND(AT385=1,M385="F",SUMIF(C2:C1334,C385,AS2:AS1334)&lt;=1),SUMIF(C2:C1334,C385,AS2:AS1334),IF(AND(AT385=1,M385="F",SUMIF(C2:C1334,C385,AS2:AS1334)&gt;1),1,"")))</f>
        <v>1</v>
      </c>
      <c r="AV385" s="387" t="str">
        <f>IF(AT385=0,"",IF(AND(AT385=3,M385="F",SUMIF(C2:C1334,C385,AS2:AS1334)&lt;=1),SUMIF(C2:C1334,C385,AS2:AS1334),IF(AND(AT385=3,M385="F",SUMIF(C2:C1334,C385,AS2:AS1334)&gt;1),1,"")))</f>
        <v/>
      </c>
      <c r="AW385" s="387">
        <f>SUMIF(C2:C1334,C385,O2:O1334)</f>
        <v>1</v>
      </c>
      <c r="AX385" s="387">
        <f>IF(AND(M385="F",AS385&lt;&gt;0),SUMIF(C2:C1334,C385,W2:W1334),0)</f>
        <v>38700.480000000003</v>
      </c>
      <c r="AY385" s="387">
        <f t="shared" si="249"/>
        <v>38700.480000000003</v>
      </c>
      <c r="AZ385" s="387" t="str">
        <f t="shared" si="250"/>
        <v/>
      </c>
      <c r="BA385" s="387">
        <f t="shared" si="251"/>
        <v>0</v>
      </c>
      <c r="BB385" s="387">
        <f t="shared" si="220"/>
        <v>11650</v>
      </c>
      <c r="BC385" s="387">
        <f t="shared" si="221"/>
        <v>0</v>
      </c>
      <c r="BD385" s="387">
        <f t="shared" si="222"/>
        <v>2399.42976</v>
      </c>
      <c r="BE385" s="387">
        <f t="shared" si="223"/>
        <v>561.15696000000003</v>
      </c>
      <c r="BF385" s="387">
        <f t="shared" si="224"/>
        <v>4620.8373120000006</v>
      </c>
      <c r="BG385" s="387">
        <f t="shared" si="225"/>
        <v>279.03046080000001</v>
      </c>
      <c r="BH385" s="387">
        <f t="shared" si="226"/>
        <v>189.632352</v>
      </c>
      <c r="BI385" s="387">
        <f t="shared" si="227"/>
        <v>214.20715680000001</v>
      </c>
      <c r="BJ385" s="387">
        <f t="shared" si="228"/>
        <v>104.49129600000002</v>
      </c>
      <c r="BK385" s="387">
        <f t="shared" si="229"/>
        <v>0</v>
      </c>
      <c r="BL385" s="387">
        <f t="shared" si="252"/>
        <v>8368.7852975999995</v>
      </c>
      <c r="BM385" s="387">
        <f t="shared" si="253"/>
        <v>0</v>
      </c>
      <c r="BN385" s="387">
        <f t="shared" si="230"/>
        <v>11650</v>
      </c>
      <c r="BO385" s="387">
        <f t="shared" si="231"/>
        <v>0</v>
      </c>
      <c r="BP385" s="387">
        <f t="shared" si="232"/>
        <v>2399.42976</v>
      </c>
      <c r="BQ385" s="387">
        <f t="shared" si="233"/>
        <v>561.15696000000003</v>
      </c>
      <c r="BR385" s="387">
        <f t="shared" si="234"/>
        <v>4620.8373120000006</v>
      </c>
      <c r="BS385" s="387">
        <f t="shared" si="235"/>
        <v>279.03046080000001</v>
      </c>
      <c r="BT385" s="387">
        <f t="shared" si="236"/>
        <v>0</v>
      </c>
      <c r="BU385" s="387">
        <f t="shared" si="237"/>
        <v>214.20715680000001</v>
      </c>
      <c r="BV385" s="387">
        <f t="shared" si="238"/>
        <v>131.58163200000001</v>
      </c>
      <c r="BW385" s="387">
        <f t="shared" si="239"/>
        <v>0</v>
      </c>
      <c r="BX385" s="387">
        <f t="shared" si="254"/>
        <v>8206.2432816</v>
      </c>
      <c r="BY385" s="387">
        <f t="shared" si="255"/>
        <v>0</v>
      </c>
      <c r="BZ385" s="387">
        <f t="shared" si="256"/>
        <v>0</v>
      </c>
      <c r="CA385" s="387">
        <f t="shared" si="257"/>
        <v>0</v>
      </c>
      <c r="CB385" s="387">
        <f t="shared" si="258"/>
        <v>0</v>
      </c>
      <c r="CC385" s="387">
        <f t="shared" si="240"/>
        <v>0</v>
      </c>
      <c r="CD385" s="387">
        <f t="shared" si="241"/>
        <v>0</v>
      </c>
      <c r="CE385" s="387">
        <f t="shared" si="242"/>
        <v>0</v>
      </c>
      <c r="CF385" s="387">
        <f t="shared" si="243"/>
        <v>-189.632352</v>
      </c>
      <c r="CG385" s="387">
        <f t="shared" si="244"/>
        <v>0</v>
      </c>
      <c r="CH385" s="387">
        <f t="shared" si="245"/>
        <v>27.09033599999999</v>
      </c>
      <c r="CI385" s="387">
        <f t="shared" si="246"/>
        <v>0</v>
      </c>
      <c r="CJ385" s="387">
        <f t="shared" si="259"/>
        <v>-162.54201600000002</v>
      </c>
      <c r="CK385" s="387" t="str">
        <f t="shared" si="260"/>
        <v/>
      </c>
      <c r="CL385" s="387" t="str">
        <f t="shared" si="261"/>
        <v/>
      </c>
      <c r="CM385" s="387" t="str">
        <f t="shared" si="262"/>
        <v/>
      </c>
      <c r="CN385" s="387" t="str">
        <f t="shared" si="263"/>
        <v>0348-31</v>
      </c>
    </row>
    <row r="386" spans="1:92" ht="15.75" thickBot="1" x14ac:dyDescent="0.3">
      <c r="A386" s="376" t="s">
        <v>161</v>
      </c>
      <c r="B386" s="376" t="s">
        <v>162</v>
      </c>
      <c r="C386" s="376" t="s">
        <v>1321</v>
      </c>
      <c r="D386" s="376" t="s">
        <v>792</v>
      </c>
      <c r="E386" s="376" t="s">
        <v>224</v>
      </c>
      <c r="F386" s="382" t="s">
        <v>225</v>
      </c>
      <c r="G386" s="376" t="s">
        <v>781</v>
      </c>
      <c r="H386" s="378"/>
      <c r="I386" s="378"/>
      <c r="J386" s="376" t="s">
        <v>239</v>
      </c>
      <c r="K386" s="376" t="s">
        <v>793</v>
      </c>
      <c r="L386" s="376" t="s">
        <v>170</v>
      </c>
      <c r="M386" s="376" t="s">
        <v>171</v>
      </c>
      <c r="N386" s="376" t="s">
        <v>172</v>
      </c>
      <c r="O386" s="379">
        <v>1</v>
      </c>
      <c r="P386" s="385">
        <v>0.3</v>
      </c>
      <c r="Q386" s="385">
        <v>0.3</v>
      </c>
      <c r="R386" s="380">
        <v>80</v>
      </c>
      <c r="S386" s="385">
        <v>0.3</v>
      </c>
      <c r="T386" s="380">
        <v>12510.52</v>
      </c>
      <c r="U386" s="380">
        <v>0</v>
      </c>
      <c r="V386" s="380">
        <v>5506.34</v>
      </c>
      <c r="W386" s="380">
        <v>14607.84</v>
      </c>
      <c r="X386" s="380">
        <v>6653.93</v>
      </c>
      <c r="Y386" s="380">
        <v>14607.84</v>
      </c>
      <c r="Z386" s="380">
        <v>6592.58</v>
      </c>
      <c r="AA386" s="376" t="s">
        <v>1322</v>
      </c>
      <c r="AB386" s="376" t="s">
        <v>1323</v>
      </c>
      <c r="AC386" s="376" t="s">
        <v>1324</v>
      </c>
      <c r="AD386" s="376" t="s">
        <v>170</v>
      </c>
      <c r="AE386" s="376" t="s">
        <v>793</v>
      </c>
      <c r="AF386" s="376" t="s">
        <v>177</v>
      </c>
      <c r="AG386" s="376" t="s">
        <v>178</v>
      </c>
      <c r="AH386" s="381">
        <v>23.41</v>
      </c>
      <c r="AI386" s="379">
        <v>25130</v>
      </c>
      <c r="AJ386" s="376" t="s">
        <v>179</v>
      </c>
      <c r="AK386" s="376" t="s">
        <v>180</v>
      </c>
      <c r="AL386" s="376" t="s">
        <v>181</v>
      </c>
      <c r="AM386" s="376" t="s">
        <v>182</v>
      </c>
      <c r="AN386" s="376" t="s">
        <v>68</v>
      </c>
      <c r="AO386" s="379">
        <v>80</v>
      </c>
      <c r="AP386" s="385">
        <v>1</v>
      </c>
      <c r="AQ386" s="385">
        <v>0.3</v>
      </c>
      <c r="AR386" s="383" t="s">
        <v>183</v>
      </c>
      <c r="AS386" s="387">
        <f t="shared" si="247"/>
        <v>0.3</v>
      </c>
      <c r="AT386">
        <f t="shared" si="248"/>
        <v>1</v>
      </c>
      <c r="AU386" s="387">
        <f>IF(AT386=0,"",IF(AND(AT386=1,M386="F",SUMIF(C2:C1334,C386,AS2:AS1334)&lt;=1),SUMIF(C2:C1334,C386,AS2:AS1334),IF(AND(AT386=1,M386="F",SUMIF(C2:C1334,C386,AS2:AS1334)&gt;1),1,"")))</f>
        <v>1</v>
      </c>
      <c r="AV386" s="387" t="str">
        <f>IF(AT386=0,"",IF(AND(AT386=3,M386="F",SUMIF(C2:C1334,C386,AS2:AS1334)&lt;=1),SUMIF(C2:C1334,C386,AS2:AS1334),IF(AND(AT386=3,M386="F",SUMIF(C2:C1334,C386,AS2:AS1334)&gt;1),1,"")))</f>
        <v/>
      </c>
      <c r="AW386" s="387">
        <f>SUMIF(C2:C1334,C386,O2:O1334)</f>
        <v>2</v>
      </c>
      <c r="AX386" s="387">
        <f>IF(AND(M386="F",AS386&lt;&gt;0),SUMIF(C2:C1334,C386,W2:W1334),0)</f>
        <v>48692.800000000003</v>
      </c>
      <c r="AY386" s="387">
        <f t="shared" si="249"/>
        <v>14607.84</v>
      </c>
      <c r="AZ386" s="387" t="str">
        <f t="shared" si="250"/>
        <v/>
      </c>
      <c r="BA386" s="387">
        <f t="shared" si="251"/>
        <v>0</v>
      </c>
      <c r="BB386" s="387">
        <f t="shared" ref="BB386:BB449" si="264">IF(AND(AT386=1,AK386="E",AU386&gt;=0.75,AW386=1),Health,IF(AND(AT386=1,AK386="E",AU386&gt;=0.75),Health*P386,IF(AND(AT386=1,AK386="E",AU386&gt;=0.5,AW386=1),PTHealth,IF(AND(AT386=1,AK386="E",AU386&gt;=0.5),PTHealth*P386,0))))</f>
        <v>3495</v>
      </c>
      <c r="BC386" s="387">
        <f t="shared" ref="BC386:BC449" si="265">IF(AND(AT386=3,AK386="E",AV386&gt;=0.75,AW386=1),Health,IF(AND(AT386=3,AK386="E",AV386&gt;=0.75),Health*P386,IF(AND(AT386=3,AK386="E",AV386&gt;=0.5,AW386=1),PTHealth,IF(AND(AT386=3,AK386="E",AV386&gt;=0.5),PTHealth*P386,0))))</f>
        <v>0</v>
      </c>
      <c r="BD386" s="387">
        <f t="shared" ref="BD386:BD449" si="266">IF(AND(AT386&lt;&gt;0,AX386&gt;=MAXSSDI),SSDI*MAXSSDI*P386,IF(AT386&lt;&gt;0,SSDI*W386,0))</f>
        <v>905.68607999999995</v>
      </c>
      <c r="BE386" s="387">
        <f t="shared" ref="BE386:BE449" si="267">IF(AT386&lt;&gt;0,SSHI*W386,0)</f>
        <v>211.81368000000001</v>
      </c>
      <c r="BF386" s="387">
        <f t="shared" ref="BF386:BF449" si="268">IF(AND(AT386&lt;&gt;0,AN386&lt;&gt;"NE"),VLOOKUP(AN386,Retirement_Rates,3,FALSE)*W386,0)</f>
        <v>1744.1760960000001</v>
      </c>
      <c r="BG386" s="387">
        <f t="shared" ref="BG386:BG449" si="269">IF(AND(AT386&lt;&gt;0,AJ386&lt;&gt;"PF"),Life*W386,0)</f>
        <v>105.3225264</v>
      </c>
      <c r="BH386" s="387">
        <f t="shared" ref="BH386:BH449" si="270">IF(AND(AT386&lt;&gt;0,AM386="Y"),UI*W386,0)</f>
        <v>71.578416000000004</v>
      </c>
      <c r="BI386" s="387">
        <f t="shared" ref="BI386:BI449" si="271">IF(AND(AT386&lt;&gt;0,N386&lt;&gt;"NR"),DHR*W386,0)</f>
        <v>80.854394400000004</v>
      </c>
      <c r="BJ386" s="387">
        <f t="shared" ref="BJ386:BJ449" si="272">IF(AT386&lt;&gt;0,WC*W386,0)</f>
        <v>39.441168000000005</v>
      </c>
      <c r="BK386" s="387">
        <f t="shared" ref="BK386:BK449" si="273">IF(OR(AND(AT386&lt;&gt;0,AJ386&lt;&gt;"PF",AN386&lt;&gt;"NE",AG386&lt;&gt;"A"),AND(AL386="E",OR(AT386=1,AT386=3))),Sick*W386,0)</f>
        <v>0</v>
      </c>
      <c r="BL386" s="387">
        <f t="shared" si="252"/>
        <v>3158.8723607999991</v>
      </c>
      <c r="BM386" s="387">
        <f t="shared" si="253"/>
        <v>0</v>
      </c>
      <c r="BN386" s="387">
        <f t="shared" ref="BN386:BN449" si="274">IF(AND(AT386=1,AK386="E",AU386&gt;=0.75,AW386=1),HealthBY,IF(AND(AT386=1,AK386="E",AU386&gt;=0.75),HealthBY*P386,IF(AND(AT386=1,AK386="E",AU386&gt;=0.5,AW386=1),PTHealthBY,IF(AND(AT386=1,AK386="E",AU386&gt;=0.5),PTHealthBY*P386,0))))</f>
        <v>3495</v>
      </c>
      <c r="BO386" s="387">
        <f t="shared" ref="BO386:BO449" si="275">IF(AND(AT386=3,AK386="E",AV386&gt;=0.75,AW386=1),HealthBY,IF(AND(AT386=3,AK386="E",AV386&gt;=0.75),HealthBY*P386,IF(AND(AT386=3,AK386="E",AV386&gt;=0.5,AW386=1),PTHealthBY,IF(AND(AT386=3,AK386="E",AV386&gt;=0.5),PTHealthBY*P386,0))))</f>
        <v>0</v>
      </c>
      <c r="BP386" s="387">
        <f t="shared" ref="BP386:BP449" si="276">IF(AND(AT386&lt;&gt;0,(AX386+BA386)&gt;=MAXSSDIBY),SSDIBY*MAXSSDIBY*P386,IF(AT386&lt;&gt;0,SSDIBY*W386,0))</f>
        <v>905.68607999999995</v>
      </c>
      <c r="BQ386" s="387">
        <f t="shared" ref="BQ386:BQ449" si="277">IF(AT386&lt;&gt;0,SSHIBY*W386,0)</f>
        <v>211.81368000000001</v>
      </c>
      <c r="BR386" s="387">
        <f t="shared" ref="BR386:BR449" si="278">IF(AND(AT386&lt;&gt;0,AN386&lt;&gt;"NE"),VLOOKUP(AN386,Retirement_Rates,4,FALSE)*W386,0)</f>
        <v>1744.1760960000001</v>
      </c>
      <c r="BS386" s="387">
        <f t="shared" ref="BS386:BS449" si="279">IF(AND(AT386&lt;&gt;0,AJ386&lt;&gt;"PF"),LifeBY*W386,0)</f>
        <v>105.3225264</v>
      </c>
      <c r="BT386" s="387">
        <f t="shared" ref="BT386:BT449" si="280">IF(AND(AT386&lt;&gt;0,AM386="Y"),UIBY*W386,0)</f>
        <v>0</v>
      </c>
      <c r="BU386" s="387">
        <f t="shared" ref="BU386:BU449" si="281">IF(AND(AT386&lt;&gt;0,N386&lt;&gt;"NR"),DHRBY*W386,0)</f>
        <v>80.854394400000004</v>
      </c>
      <c r="BV386" s="387">
        <f t="shared" ref="BV386:BV449" si="282">IF(AT386&lt;&gt;0,WCBY*W386,0)</f>
        <v>49.666655999999996</v>
      </c>
      <c r="BW386" s="387">
        <f t="shared" ref="BW386:BW449" si="283">IF(OR(AND(AT386&lt;&gt;0,AJ386&lt;&gt;"PF",AN386&lt;&gt;"NE",AG386&lt;&gt;"A"),AND(AL386="E",OR(AT386=1,AT386=3))),SickBY*W386,0)</f>
        <v>0</v>
      </c>
      <c r="BX386" s="387">
        <f t="shared" si="254"/>
        <v>3097.5194327999993</v>
      </c>
      <c r="BY386" s="387">
        <f t="shared" si="255"/>
        <v>0</v>
      </c>
      <c r="BZ386" s="387">
        <f t="shared" si="256"/>
        <v>0</v>
      </c>
      <c r="CA386" s="387">
        <f t="shared" si="257"/>
        <v>0</v>
      </c>
      <c r="CB386" s="387">
        <f t="shared" si="258"/>
        <v>0</v>
      </c>
      <c r="CC386" s="387">
        <f t="shared" ref="CC386:CC449" si="284">IF(AT386&lt;&gt;0,SSHICHG*Y386,0)</f>
        <v>0</v>
      </c>
      <c r="CD386" s="387">
        <f t="shared" ref="CD386:CD449" si="285">IF(AND(AT386&lt;&gt;0,AN386&lt;&gt;"NE"),VLOOKUP(AN386,Retirement_Rates,5,FALSE)*Y386,0)</f>
        <v>0</v>
      </c>
      <c r="CE386" s="387">
        <f t="shared" ref="CE386:CE449" si="286">IF(AND(AT386&lt;&gt;0,AJ386&lt;&gt;"PF"),LifeCHG*Y386,0)</f>
        <v>0</v>
      </c>
      <c r="CF386" s="387">
        <f t="shared" ref="CF386:CF449" si="287">IF(AND(AT386&lt;&gt;0,AM386="Y"),UICHG*Y386,0)</f>
        <v>-71.578416000000004</v>
      </c>
      <c r="CG386" s="387">
        <f t="shared" ref="CG386:CG449" si="288">IF(AND(AT386&lt;&gt;0,N386&lt;&gt;"NR"),DHRCHG*Y386,0)</f>
        <v>0</v>
      </c>
      <c r="CH386" s="387">
        <f t="shared" ref="CH386:CH449" si="289">IF(AT386&lt;&gt;0,WCCHG*Y386,0)</f>
        <v>10.225487999999995</v>
      </c>
      <c r="CI386" s="387">
        <f t="shared" ref="CI386:CI449" si="290">IF(OR(AND(AT386&lt;&gt;0,AJ386&lt;&gt;"PF",AN386&lt;&gt;"NE",AG386&lt;&gt;"A"),AND(AL386="E",OR(AT386=1,AT386=3))),SickCHG*Y386,0)</f>
        <v>0</v>
      </c>
      <c r="CJ386" s="387">
        <f t="shared" si="259"/>
        <v>-61.352928000000006</v>
      </c>
      <c r="CK386" s="387" t="str">
        <f t="shared" si="260"/>
        <v/>
      </c>
      <c r="CL386" s="387" t="str">
        <f t="shared" si="261"/>
        <v/>
      </c>
      <c r="CM386" s="387" t="str">
        <f t="shared" si="262"/>
        <v/>
      </c>
      <c r="CN386" s="387" t="str">
        <f t="shared" si="263"/>
        <v>0348-31</v>
      </c>
    </row>
    <row r="387" spans="1:92" ht="15.75" thickBot="1" x14ac:dyDescent="0.3">
      <c r="A387" s="376" t="s">
        <v>161</v>
      </c>
      <c r="B387" s="376" t="s">
        <v>162</v>
      </c>
      <c r="C387" s="376" t="s">
        <v>1325</v>
      </c>
      <c r="D387" s="376" t="s">
        <v>1326</v>
      </c>
      <c r="E387" s="376" t="s">
        <v>224</v>
      </c>
      <c r="F387" s="382" t="s">
        <v>225</v>
      </c>
      <c r="G387" s="376" t="s">
        <v>781</v>
      </c>
      <c r="H387" s="378"/>
      <c r="I387" s="378"/>
      <c r="J387" s="376" t="s">
        <v>215</v>
      </c>
      <c r="K387" s="376" t="s">
        <v>1327</v>
      </c>
      <c r="L387" s="376" t="s">
        <v>296</v>
      </c>
      <c r="M387" s="376" t="s">
        <v>171</v>
      </c>
      <c r="N387" s="376" t="s">
        <v>172</v>
      </c>
      <c r="O387" s="379">
        <v>1</v>
      </c>
      <c r="P387" s="385">
        <v>0</v>
      </c>
      <c r="Q387" s="385">
        <v>0</v>
      </c>
      <c r="R387" s="380">
        <v>80</v>
      </c>
      <c r="S387" s="385">
        <v>0</v>
      </c>
      <c r="T387" s="380">
        <v>829.6</v>
      </c>
      <c r="U387" s="380">
        <v>0</v>
      </c>
      <c r="V387" s="380">
        <v>408.85</v>
      </c>
      <c r="W387" s="380">
        <v>0</v>
      </c>
      <c r="X387" s="380">
        <v>0</v>
      </c>
      <c r="Y387" s="380">
        <v>0</v>
      </c>
      <c r="Z387" s="380">
        <v>0</v>
      </c>
      <c r="AA387" s="376" t="s">
        <v>1328</v>
      </c>
      <c r="AB387" s="376" t="s">
        <v>1329</v>
      </c>
      <c r="AC387" s="376" t="s">
        <v>1330</v>
      </c>
      <c r="AD387" s="376" t="s">
        <v>1331</v>
      </c>
      <c r="AE387" s="376" t="s">
        <v>1327</v>
      </c>
      <c r="AF387" s="376" t="s">
        <v>301</v>
      </c>
      <c r="AG387" s="376" t="s">
        <v>178</v>
      </c>
      <c r="AH387" s="381">
        <v>20.74</v>
      </c>
      <c r="AI387" s="381">
        <v>13518.6</v>
      </c>
      <c r="AJ387" s="376" t="s">
        <v>179</v>
      </c>
      <c r="AK387" s="376" t="s">
        <v>180</v>
      </c>
      <c r="AL387" s="376" t="s">
        <v>181</v>
      </c>
      <c r="AM387" s="376" t="s">
        <v>182</v>
      </c>
      <c r="AN387" s="376" t="s">
        <v>68</v>
      </c>
      <c r="AO387" s="379">
        <v>80</v>
      </c>
      <c r="AP387" s="385">
        <v>1</v>
      </c>
      <c r="AQ387" s="385">
        <v>0</v>
      </c>
      <c r="AR387" s="383" t="s">
        <v>183</v>
      </c>
      <c r="AS387" s="387">
        <f t="shared" ref="AS387:AS450" si="291">IF(((AO387/80)*AP387*P387)&gt;1,AQ387,((AO387/80)*AP387*P387))</f>
        <v>0</v>
      </c>
      <c r="AT387">
        <f t="shared" ref="AT387:AT450" si="292">IF(AND(M387="F",N387&lt;&gt;"NG",AS387&lt;&gt;0,AND(AR387&lt;&gt;6,AR387&lt;&gt;36,AR387&lt;&gt;56),AG387&lt;&gt;"A",OR(AG387="H",AJ387="FS")),1,IF(AND(M387="F",N387&lt;&gt;"NG",AS387&lt;&gt;0,AG387="A"),3,0))</f>
        <v>0</v>
      </c>
      <c r="AU387" s="387" t="str">
        <f>IF(AT387=0,"",IF(AND(AT387=1,M387="F",SUMIF(C2:C1334,C387,AS2:AS1334)&lt;=1),SUMIF(C2:C1334,C387,AS2:AS1334),IF(AND(AT387=1,M387="F",SUMIF(C2:C1334,C387,AS2:AS1334)&gt;1),1,"")))</f>
        <v/>
      </c>
      <c r="AV387" s="387" t="str">
        <f>IF(AT387=0,"",IF(AND(AT387=3,M387="F",SUMIF(C2:C1334,C387,AS2:AS1334)&lt;=1),SUMIF(C2:C1334,C387,AS2:AS1334),IF(AND(AT387=3,M387="F",SUMIF(C2:C1334,C387,AS2:AS1334)&gt;1),1,"")))</f>
        <v/>
      </c>
      <c r="AW387" s="387">
        <f>SUMIF(C2:C1334,C387,O2:O1334)</f>
        <v>2</v>
      </c>
      <c r="AX387" s="387">
        <f>IF(AND(M387="F",AS387&lt;&gt;0),SUMIF(C2:C1334,C387,W2:W1334),0)</f>
        <v>0</v>
      </c>
      <c r="AY387" s="387" t="str">
        <f t="shared" ref="AY387:AY450" si="293">IF(AT387=1,W387,"")</f>
        <v/>
      </c>
      <c r="AZ387" s="387" t="str">
        <f t="shared" ref="AZ387:AZ450" si="294">IF(AT387=3,W387,"")</f>
        <v/>
      </c>
      <c r="BA387" s="387">
        <f t="shared" ref="BA387:BA450" si="295">IF(AT387=1,Y387-W387,0)</f>
        <v>0</v>
      </c>
      <c r="BB387" s="387">
        <f t="shared" si="264"/>
        <v>0</v>
      </c>
      <c r="BC387" s="387">
        <f t="shared" si="265"/>
        <v>0</v>
      </c>
      <c r="BD387" s="387">
        <f t="shared" si="266"/>
        <v>0</v>
      </c>
      <c r="BE387" s="387">
        <f t="shared" si="267"/>
        <v>0</v>
      </c>
      <c r="BF387" s="387">
        <f t="shared" si="268"/>
        <v>0</v>
      </c>
      <c r="BG387" s="387">
        <f t="shared" si="269"/>
        <v>0</v>
      </c>
      <c r="BH387" s="387">
        <f t="shared" si="270"/>
        <v>0</v>
      </c>
      <c r="BI387" s="387">
        <f t="shared" si="271"/>
        <v>0</v>
      </c>
      <c r="BJ387" s="387">
        <f t="shared" si="272"/>
        <v>0</v>
      </c>
      <c r="BK387" s="387">
        <f t="shared" si="273"/>
        <v>0</v>
      </c>
      <c r="BL387" s="387">
        <f t="shared" ref="BL387:BL450" si="296">IF(AT387=1,SUM(BD387:BK387),0)</f>
        <v>0</v>
      </c>
      <c r="BM387" s="387">
        <f t="shared" ref="BM387:BM450" si="297">IF(AT387=3,SUM(BD387:BK387),0)</f>
        <v>0</v>
      </c>
      <c r="BN387" s="387">
        <f t="shared" si="274"/>
        <v>0</v>
      </c>
      <c r="BO387" s="387">
        <f t="shared" si="275"/>
        <v>0</v>
      </c>
      <c r="BP387" s="387">
        <f t="shared" si="276"/>
        <v>0</v>
      </c>
      <c r="BQ387" s="387">
        <f t="shared" si="277"/>
        <v>0</v>
      </c>
      <c r="BR387" s="387">
        <f t="shared" si="278"/>
        <v>0</v>
      </c>
      <c r="BS387" s="387">
        <f t="shared" si="279"/>
        <v>0</v>
      </c>
      <c r="BT387" s="387">
        <f t="shared" si="280"/>
        <v>0</v>
      </c>
      <c r="BU387" s="387">
        <f t="shared" si="281"/>
        <v>0</v>
      </c>
      <c r="BV387" s="387">
        <f t="shared" si="282"/>
        <v>0</v>
      </c>
      <c r="BW387" s="387">
        <f t="shared" si="283"/>
        <v>0</v>
      </c>
      <c r="BX387" s="387">
        <f t="shared" ref="BX387:BX450" si="298">IF(AT387=1,SUM(BP387:BW387),0)</f>
        <v>0</v>
      </c>
      <c r="BY387" s="387">
        <f t="shared" ref="BY387:BY450" si="299">IF(AT387=3,SUM(BP387:BW387),0)</f>
        <v>0</v>
      </c>
      <c r="BZ387" s="387">
        <f t="shared" ref="BZ387:BZ450" si="300">IF(AT387=1,BN387-BB387,0)</f>
        <v>0</v>
      </c>
      <c r="CA387" s="387">
        <f t="shared" ref="CA387:CA450" si="301">IF(AT387=3,BO387-BC387,0)</f>
        <v>0</v>
      </c>
      <c r="CB387" s="387">
        <f t="shared" ref="CB387:CB450" si="302">BP387-BD387</f>
        <v>0</v>
      </c>
      <c r="CC387" s="387">
        <f t="shared" si="284"/>
        <v>0</v>
      </c>
      <c r="CD387" s="387">
        <f t="shared" si="285"/>
        <v>0</v>
      </c>
      <c r="CE387" s="387">
        <f t="shared" si="286"/>
        <v>0</v>
      </c>
      <c r="CF387" s="387">
        <f t="shared" si="287"/>
        <v>0</v>
      </c>
      <c r="CG387" s="387">
        <f t="shared" si="288"/>
        <v>0</v>
      </c>
      <c r="CH387" s="387">
        <f t="shared" si="289"/>
        <v>0</v>
      </c>
      <c r="CI387" s="387">
        <f t="shared" si="290"/>
        <v>0</v>
      </c>
      <c r="CJ387" s="387">
        <f t="shared" ref="CJ387:CJ450" si="303">IF(AT387=1,SUM(CB387:CI387),0)</f>
        <v>0</v>
      </c>
      <c r="CK387" s="387" t="str">
        <f t="shared" ref="CK387:CK450" si="304">IF(AT387=3,SUM(CB387:CI387),"")</f>
        <v/>
      </c>
      <c r="CL387" s="387" t="str">
        <f t="shared" ref="CL387:CL450" si="305">IF(OR(N387="NG",AG387="D"),(T387+U387),"")</f>
        <v/>
      </c>
      <c r="CM387" s="387" t="str">
        <f t="shared" ref="CM387:CM450" si="306">IF(OR(N387="NG",AG387="D"),V387,"")</f>
        <v/>
      </c>
      <c r="CN387" s="387" t="str">
        <f t="shared" ref="CN387:CN450" si="307">E387 &amp; "-" &amp; F387</f>
        <v>0348-31</v>
      </c>
    </row>
    <row r="388" spans="1:92" ht="15.75" thickBot="1" x14ac:dyDescent="0.3">
      <c r="A388" s="376" t="s">
        <v>161</v>
      </c>
      <c r="B388" s="376" t="s">
        <v>162</v>
      </c>
      <c r="C388" s="376" t="s">
        <v>852</v>
      </c>
      <c r="D388" s="376" t="s">
        <v>786</v>
      </c>
      <c r="E388" s="376" t="s">
        <v>224</v>
      </c>
      <c r="F388" s="382" t="s">
        <v>225</v>
      </c>
      <c r="G388" s="376" t="s">
        <v>781</v>
      </c>
      <c r="H388" s="378"/>
      <c r="I388" s="378"/>
      <c r="J388" s="376" t="s">
        <v>239</v>
      </c>
      <c r="K388" s="376" t="s">
        <v>787</v>
      </c>
      <c r="L388" s="376" t="s">
        <v>181</v>
      </c>
      <c r="M388" s="376" t="s">
        <v>171</v>
      </c>
      <c r="N388" s="376" t="s">
        <v>172</v>
      </c>
      <c r="O388" s="379">
        <v>1</v>
      </c>
      <c r="P388" s="385">
        <v>0.8</v>
      </c>
      <c r="Q388" s="385">
        <v>0.8</v>
      </c>
      <c r="R388" s="380">
        <v>80</v>
      </c>
      <c r="S388" s="385">
        <v>0.8</v>
      </c>
      <c r="T388" s="380">
        <v>60363.519999999997</v>
      </c>
      <c r="U388" s="380">
        <v>0</v>
      </c>
      <c r="V388" s="380">
        <v>22672.89</v>
      </c>
      <c r="W388" s="380">
        <v>59820.800000000003</v>
      </c>
      <c r="X388" s="380">
        <v>22256.22</v>
      </c>
      <c r="Y388" s="380">
        <v>59820.800000000003</v>
      </c>
      <c r="Z388" s="380">
        <v>22004.97</v>
      </c>
      <c r="AA388" s="376" t="s">
        <v>853</v>
      </c>
      <c r="AB388" s="376" t="s">
        <v>854</v>
      </c>
      <c r="AC388" s="376" t="s">
        <v>855</v>
      </c>
      <c r="AD388" s="376" t="s">
        <v>856</v>
      </c>
      <c r="AE388" s="376" t="s">
        <v>787</v>
      </c>
      <c r="AF388" s="376" t="s">
        <v>211</v>
      </c>
      <c r="AG388" s="376" t="s">
        <v>178</v>
      </c>
      <c r="AH388" s="381">
        <v>35.950000000000003</v>
      </c>
      <c r="AI388" s="381">
        <v>23289.1</v>
      </c>
      <c r="AJ388" s="376" t="s">
        <v>179</v>
      </c>
      <c r="AK388" s="376" t="s">
        <v>180</v>
      </c>
      <c r="AL388" s="376" t="s">
        <v>181</v>
      </c>
      <c r="AM388" s="376" t="s">
        <v>182</v>
      </c>
      <c r="AN388" s="376" t="s">
        <v>68</v>
      </c>
      <c r="AO388" s="379">
        <v>80</v>
      </c>
      <c r="AP388" s="385">
        <v>1</v>
      </c>
      <c r="AQ388" s="385">
        <v>0.8</v>
      </c>
      <c r="AR388" s="383" t="s">
        <v>183</v>
      </c>
      <c r="AS388" s="387">
        <f t="shared" si="291"/>
        <v>0.8</v>
      </c>
      <c r="AT388">
        <f t="shared" si="292"/>
        <v>1</v>
      </c>
      <c r="AU388" s="387">
        <f>IF(AT388=0,"",IF(AND(AT388=1,M388="F",SUMIF(C2:C1334,C388,AS2:AS1334)&lt;=1),SUMIF(C2:C1334,C388,AS2:AS1334),IF(AND(AT388=1,M388="F",SUMIF(C2:C1334,C388,AS2:AS1334)&gt;1),1,"")))</f>
        <v>1</v>
      </c>
      <c r="AV388" s="387" t="str">
        <f>IF(AT388=0,"",IF(AND(AT388=3,M388="F",SUMIF(C2:C1334,C388,AS2:AS1334)&lt;=1),SUMIF(C2:C1334,C388,AS2:AS1334),IF(AND(AT388=3,M388="F",SUMIF(C2:C1334,C388,AS2:AS1334)&gt;1),1,"")))</f>
        <v/>
      </c>
      <c r="AW388" s="387">
        <f>SUMIF(C2:C1334,C388,O2:O1334)</f>
        <v>4</v>
      </c>
      <c r="AX388" s="387">
        <f>IF(AND(M388="F",AS388&lt;&gt;0),SUMIF(C2:C1334,C388,W2:W1334),0)</f>
        <v>74776</v>
      </c>
      <c r="AY388" s="387">
        <f t="shared" si="293"/>
        <v>59820.800000000003</v>
      </c>
      <c r="AZ388" s="387" t="str">
        <f t="shared" si="294"/>
        <v/>
      </c>
      <c r="BA388" s="387">
        <f t="shared" si="295"/>
        <v>0</v>
      </c>
      <c r="BB388" s="387">
        <f t="shared" si="264"/>
        <v>9320</v>
      </c>
      <c r="BC388" s="387">
        <f t="shared" si="265"/>
        <v>0</v>
      </c>
      <c r="BD388" s="387">
        <f t="shared" si="266"/>
        <v>3708.8896</v>
      </c>
      <c r="BE388" s="387">
        <f t="shared" si="267"/>
        <v>867.40160000000003</v>
      </c>
      <c r="BF388" s="387">
        <f t="shared" si="268"/>
        <v>7142.6035200000006</v>
      </c>
      <c r="BG388" s="387">
        <f t="shared" si="269"/>
        <v>431.30796800000002</v>
      </c>
      <c r="BH388" s="387">
        <f t="shared" si="270"/>
        <v>293.12191999999999</v>
      </c>
      <c r="BI388" s="387">
        <f t="shared" si="271"/>
        <v>331.10812800000002</v>
      </c>
      <c r="BJ388" s="387">
        <f t="shared" si="272"/>
        <v>161.51616000000001</v>
      </c>
      <c r="BK388" s="387">
        <f t="shared" si="273"/>
        <v>0</v>
      </c>
      <c r="BL388" s="387">
        <f t="shared" si="296"/>
        <v>12935.948895999998</v>
      </c>
      <c r="BM388" s="387">
        <f t="shared" si="297"/>
        <v>0</v>
      </c>
      <c r="BN388" s="387">
        <f t="shared" si="274"/>
        <v>9320</v>
      </c>
      <c r="BO388" s="387">
        <f t="shared" si="275"/>
        <v>0</v>
      </c>
      <c r="BP388" s="387">
        <f t="shared" si="276"/>
        <v>3708.8896</v>
      </c>
      <c r="BQ388" s="387">
        <f t="shared" si="277"/>
        <v>867.40160000000003</v>
      </c>
      <c r="BR388" s="387">
        <f t="shared" si="278"/>
        <v>7142.6035200000006</v>
      </c>
      <c r="BS388" s="387">
        <f t="shared" si="279"/>
        <v>431.30796800000002</v>
      </c>
      <c r="BT388" s="387">
        <f t="shared" si="280"/>
        <v>0</v>
      </c>
      <c r="BU388" s="387">
        <f t="shared" si="281"/>
        <v>331.10812800000002</v>
      </c>
      <c r="BV388" s="387">
        <f t="shared" si="282"/>
        <v>203.39071999999999</v>
      </c>
      <c r="BW388" s="387">
        <f t="shared" si="283"/>
        <v>0</v>
      </c>
      <c r="BX388" s="387">
        <f t="shared" si="298"/>
        <v>12684.701535999999</v>
      </c>
      <c r="BY388" s="387">
        <f t="shared" si="299"/>
        <v>0</v>
      </c>
      <c r="BZ388" s="387">
        <f t="shared" si="300"/>
        <v>0</v>
      </c>
      <c r="CA388" s="387">
        <f t="shared" si="301"/>
        <v>0</v>
      </c>
      <c r="CB388" s="387">
        <f t="shared" si="302"/>
        <v>0</v>
      </c>
      <c r="CC388" s="387">
        <f t="shared" si="284"/>
        <v>0</v>
      </c>
      <c r="CD388" s="387">
        <f t="shared" si="285"/>
        <v>0</v>
      </c>
      <c r="CE388" s="387">
        <f t="shared" si="286"/>
        <v>0</v>
      </c>
      <c r="CF388" s="387">
        <f t="shared" si="287"/>
        <v>-293.12191999999999</v>
      </c>
      <c r="CG388" s="387">
        <f t="shared" si="288"/>
        <v>0</v>
      </c>
      <c r="CH388" s="387">
        <f t="shared" si="289"/>
        <v>41.874559999999981</v>
      </c>
      <c r="CI388" s="387">
        <f t="shared" si="290"/>
        <v>0</v>
      </c>
      <c r="CJ388" s="387">
        <f t="shared" si="303"/>
        <v>-251.24736000000001</v>
      </c>
      <c r="CK388" s="387" t="str">
        <f t="shared" si="304"/>
        <v/>
      </c>
      <c r="CL388" s="387" t="str">
        <f t="shared" si="305"/>
        <v/>
      </c>
      <c r="CM388" s="387" t="str">
        <f t="shared" si="306"/>
        <v/>
      </c>
      <c r="CN388" s="387" t="str">
        <f t="shared" si="307"/>
        <v>0348-31</v>
      </c>
    </row>
    <row r="389" spans="1:92" ht="15.75" thickBot="1" x14ac:dyDescent="0.3">
      <c r="A389" s="376" t="s">
        <v>161</v>
      </c>
      <c r="B389" s="376" t="s">
        <v>162</v>
      </c>
      <c r="C389" s="376" t="s">
        <v>1332</v>
      </c>
      <c r="D389" s="376" t="s">
        <v>862</v>
      </c>
      <c r="E389" s="376" t="s">
        <v>224</v>
      </c>
      <c r="F389" s="382" t="s">
        <v>225</v>
      </c>
      <c r="G389" s="376" t="s">
        <v>781</v>
      </c>
      <c r="H389" s="378"/>
      <c r="I389" s="378"/>
      <c r="J389" s="376" t="s">
        <v>215</v>
      </c>
      <c r="K389" s="376" t="s">
        <v>863</v>
      </c>
      <c r="L389" s="376" t="s">
        <v>252</v>
      </c>
      <c r="M389" s="376" t="s">
        <v>171</v>
      </c>
      <c r="N389" s="376" t="s">
        <v>172</v>
      </c>
      <c r="O389" s="379">
        <v>1</v>
      </c>
      <c r="P389" s="385">
        <v>0</v>
      </c>
      <c r="Q389" s="385">
        <v>0</v>
      </c>
      <c r="R389" s="380">
        <v>80</v>
      </c>
      <c r="S389" s="385">
        <v>0</v>
      </c>
      <c r="T389" s="380">
        <v>694</v>
      </c>
      <c r="U389" s="380">
        <v>0</v>
      </c>
      <c r="V389" s="380">
        <v>393.83</v>
      </c>
      <c r="W389" s="380">
        <v>0</v>
      </c>
      <c r="X389" s="380">
        <v>0</v>
      </c>
      <c r="Y389" s="380">
        <v>0</v>
      </c>
      <c r="Z389" s="380">
        <v>0</v>
      </c>
      <c r="AA389" s="376" t="s">
        <v>1333</v>
      </c>
      <c r="AB389" s="376" t="s">
        <v>1334</v>
      </c>
      <c r="AC389" s="376" t="s">
        <v>1335</v>
      </c>
      <c r="AD389" s="376" t="s">
        <v>210</v>
      </c>
      <c r="AE389" s="376" t="s">
        <v>863</v>
      </c>
      <c r="AF389" s="376" t="s">
        <v>393</v>
      </c>
      <c r="AG389" s="376" t="s">
        <v>178</v>
      </c>
      <c r="AH389" s="381">
        <v>19.739999999999998</v>
      </c>
      <c r="AI389" s="379">
        <v>1671</v>
      </c>
      <c r="AJ389" s="376" t="s">
        <v>179</v>
      </c>
      <c r="AK389" s="376" t="s">
        <v>180</v>
      </c>
      <c r="AL389" s="376" t="s">
        <v>181</v>
      </c>
      <c r="AM389" s="376" t="s">
        <v>182</v>
      </c>
      <c r="AN389" s="376" t="s">
        <v>68</v>
      </c>
      <c r="AO389" s="379">
        <v>80</v>
      </c>
      <c r="AP389" s="385">
        <v>1</v>
      </c>
      <c r="AQ389" s="385">
        <v>0</v>
      </c>
      <c r="AR389" s="383" t="s">
        <v>183</v>
      </c>
      <c r="AS389" s="387">
        <f t="shared" si="291"/>
        <v>0</v>
      </c>
      <c r="AT389">
        <f t="shared" si="292"/>
        <v>0</v>
      </c>
      <c r="AU389" s="387" t="str">
        <f>IF(AT389=0,"",IF(AND(AT389=1,M389="F",SUMIF(C2:C1334,C389,AS2:AS1334)&lt;=1),SUMIF(C2:C1334,C389,AS2:AS1334),IF(AND(AT389=1,M389="F",SUMIF(C2:C1334,C389,AS2:AS1334)&gt;1),1,"")))</f>
        <v/>
      </c>
      <c r="AV389" s="387" t="str">
        <f>IF(AT389=0,"",IF(AND(AT389=3,M389="F",SUMIF(C2:C1334,C389,AS2:AS1334)&lt;=1),SUMIF(C2:C1334,C389,AS2:AS1334),IF(AND(AT389=3,M389="F",SUMIF(C2:C1334,C389,AS2:AS1334)&gt;1),1,"")))</f>
        <v/>
      </c>
      <c r="AW389" s="387">
        <f>SUMIF(C2:C1334,C389,O2:O1334)</f>
        <v>2</v>
      </c>
      <c r="AX389" s="387">
        <f>IF(AND(M389="F",AS389&lt;&gt;0),SUMIF(C2:C1334,C389,W2:W1334),0)</f>
        <v>0</v>
      </c>
      <c r="AY389" s="387" t="str">
        <f t="shared" si="293"/>
        <v/>
      </c>
      <c r="AZ389" s="387" t="str">
        <f t="shared" si="294"/>
        <v/>
      </c>
      <c r="BA389" s="387">
        <f t="shared" si="295"/>
        <v>0</v>
      </c>
      <c r="BB389" s="387">
        <f t="shared" si="264"/>
        <v>0</v>
      </c>
      <c r="BC389" s="387">
        <f t="shared" si="265"/>
        <v>0</v>
      </c>
      <c r="BD389" s="387">
        <f t="shared" si="266"/>
        <v>0</v>
      </c>
      <c r="BE389" s="387">
        <f t="shared" si="267"/>
        <v>0</v>
      </c>
      <c r="BF389" s="387">
        <f t="shared" si="268"/>
        <v>0</v>
      </c>
      <c r="BG389" s="387">
        <f t="shared" si="269"/>
        <v>0</v>
      </c>
      <c r="BH389" s="387">
        <f t="shared" si="270"/>
        <v>0</v>
      </c>
      <c r="BI389" s="387">
        <f t="shared" si="271"/>
        <v>0</v>
      </c>
      <c r="BJ389" s="387">
        <f t="shared" si="272"/>
        <v>0</v>
      </c>
      <c r="BK389" s="387">
        <f t="shared" si="273"/>
        <v>0</v>
      </c>
      <c r="BL389" s="387">
        <f t="shared" si="296"/>
        <v>0</v>
      </c>
      <c r="BM389" s="387">
        <f t="shared" si="297"/>
        <v>0</v>
      </c>
      <c r="BN389" s="387">
        <f t="shared" si="274"/>
        <v>0</v>
      </c>
      <c r="BO389" s="387">
        <f t="shared" si="275"/>
        <v>0</v>
      </c>
      <c r="BP389" s="387">
        <f t="shared" si="276"/>
        <v>0</v>
      </c>
      <c r="BQ389" s="387">
        <f t="shared" si="277"/>
        <v>0</v>
      </c>
      <c r="BR389" s="387">
        <f t="shared" si="278"/>
        <v>0</v>
      </c>
      <c r="BS389" s="387">
        <f t="shared" si="279"/>
        <v>0</v>
      </c>
      <c r="BT389" s="387">
        <f t="shared" si="280"/>
        <v>0</v>
      </c>
      <c r="BU389" s="387">
        <f t="shared" si="281"/>
        <v>0</v>
      </c>
      <c r="BV389" s="387">
        <f t="shared" si="282"/>
        <v>0</v>
      </c>
      <c r="BW389" s="387">
        <f t="shared" si="283"/>
        <v>0</v>
      </c>
      <c r="BX389" s="387">
        <f t="shared" si="298"/>
        <v>0</v>
      </c>
      <c r="BY389" s="387">
        <f t="shared" si="299"/>
        <v>0</v>
      </c>
      <c r="BZ389" s="387">
        <f t="shared" si="300"/>
        <v>0</v>
      </c>
      <c r="CA389" s="387">
        <f t="shared" si="301"/>
        <v>0</v>
      </c>
      <c r="CB389" s="387">
        <f t="shared" si="302"/>
        <v>0</v>
      </c>
      <c r="CC389" s="387">
        <f t="shared" si="284"/>
        <v>0</v>
      </c>
      <c r="CD389" s="387">
        <f t="shared" si="285"/>
        <v>0</v>
      </c>
      <c r="CE389" s="387">
        <f t="shared" si="286"/>
        <v>0</v>
      </c>
      <c r="CF389" s="387">
        <f t="shared" si="287"/>
        <v>0</v>
      </c>
      <c r="CG389" s="387">
        <f t="shared" si="288"/>
        <v>0</v>
      </c>
      <c r="CH389" s="387">
        <f t="shared" si="289"/>
        <v>0</v>
      </c>
      <c r="CI389" s="387">
        <f t="shared" si="290"/>
        <v>0</v>
      </c>
      <c r="CJ389" s="387">
        <f t="shared" si="303"/>
        <v>0</v>
      </c>
      <c r="CK389" s="387" t="str">
        <f t="shared" si="304"/>
        <v/>
      </c>
      <c r="CL389" s="387" t="str">
        <f t="shared" si="305"/>
        <v/>
      </c>
      <c r="CM389" s="387" t="str">
        <f t="shared" si="306"/>
        <v/>
      </c>
      <c r="CN389" s="387" t="str">
        <f t="shared" si="307"/>
        <v>0348-31</v>
      </c>
    </row>
    <row r="390" spans="1:92" ht="15.75" thickBot="1" x14ac:dyDescent="0.3">
      <c r="A390" s="376" t="s">
        <v>161</v>
      </c>
      <c r="B390" s="376" t="s">
        <v>162</v>
      </c>
      <c r="C390" s="376" t="s">
        <v>837</v>
      </c>
      <c r="D390" s="376" t="s">
        <v>786</v>
      </c>
      <c r="E390" s="376" t="s">
        <v>224</v>
      </c>
      <c r="F390" s="382" t="s">
        <v>225</v>
      </c>
      <c r="G390" s="376" t="s">
        <v>781</v>
      </c>
      <c r="H390" s="378"/>
      <c r="I390" s="378"/>
      <c r="J390" s="376" t="s">
        <v>239</v>
      </c>
      <c r="K390" s="376" t="s">
        <v>787</v>
      </c>
      <c r="L390" s="376" t="s">
        <v>181</v>
      </c>
      <c r="M390" s="376" t="s">
        <v>171</v>
      </c>
      <c r="N390" s="376" t="s">
        <v>172</v>
      </c>
      <c r="O390" s="379">
        <v>1</v>
      </c>
      <c r="P390" s="385">
        <v>1</v>
      </c>
      <c r="Q390" s="385">
        <v>1</v>
      </c>
      <c r="R390" s="380">
        <v>80</v>
      </c>
      <c r="S390" s="385">
        <v>1</v>
      </c>
      <c r="T390" s="380">
        <v>57232.55</v>
      </c>
      <c r="U390" s="380">
        <v>0</v>
      </c>
      <c r="V390" s="380">
        <v>23508.36</v>
      </c>
      <c r="W390" s="380">
        <v>61193.599999999999</v>
      </c>
      <c r="X390" s="380">
        <v>24883.08</v>
      </c>
      <c r="Y390" s="380">
        <v>61193.599999999999</v>
      </c>
      <c r="Z390" s="380">
        <v>24626.06</v>
      </c>
      <c r="AA390" s="376" t="s">
        <v>838</v>
      </c>
      <c r="AB390" s="376" t="s">
        <v>839</v>
      </c>
      <c r="AC390" s="376" t="s">
        <v>840</v>
      </c>
      <c r="AD390" s="376" t="s">
        <v>198</v>
      </c>
      <c r="AE390" s="376" t="s">
        <v>787</v>
      </c>
      <c r="AF390" s="376" t="s">
        <v>211</v>
      </c>
      <c r="AG390" s="376" t="s">
        <v>178</v>
      </c>
      <c r="AH390" s="381">
        <v>29.42</v>
      </c>
      <c r="AI390" s="379">
        <v>45062</v>
      </c>
      <c r="AJ390" s="376" t="s">
        <v>179</v>
      </c>
      <c r="AK390" s="376" t="s">
        <v>180</v>
      </c>
      <c r="AL390" s="376" t="s">
        <v>181</v>
      </c>
      <c r="AM390" s="376" t="s">
        <v>182</v>
      </c>
      <c r="AN390" s="376" t="s">
        <v>68</v>
      </c>
      <c r="AO390" s="379">
        <v>80</v>
      </c>
      <c r="AP390" s="385">
        <v>1</v>
      </c>
      <c r="AQ390" s="385">
        <v>1</v>
      </c>
      <c r="AR390" s="383" t="s">
        <v>183</v>
      </c>
      <c r="AS390" s="387">
        <f t="shared" si="291"/>
        <v>1</v>
      </c>
      <c r="AT390">
        <f t="shared" si="292"/>
        <v>1</v>
      </c>
      <c r="AU390" s="387">
        <f>IF(AT390=0,"",IF(AND(AT390=1,M390="F",SUMIF(C2:C1334,C390,AS2:AS1334)&lt;=1),SUMIF(C2:C1334,C390,AS2:AS1334),IF(AND(AT390=1,M390="F",SUMIF(C2:C1334,C390,AS2:AS1334)&gt;1),1,"")))</f>
        <v>1</v>
      </c>
      <c r="AV390" s="387" t="str">
        <f>IF(AT390=0,"",IF(AND(AT390=3,M390="F",SUMIF(C2:C1334,C390,AS2:AS1334)&lt;=1),SUMIF(C2:C1334,C390,AS2:AS1334),IF(AND(AT390=3,M390="F",SUMIF(C2:C1334,C390,AS2:AS1334)&gt;1),1,"")))</f>
        <v/>
      </c>
      <c r="AW390" s="387">
        <f>SUMIF(C2:C1334,C390,O2:O1334)</f>
        <v>4</v>
      </c>
      <c r="AX390" s="387">
        <f>IF(AND(M390="F",AS390&lt;&gt;0),SUMIF(C2:C1334,C390,W2:W1334),0)</f>
        <v>61193.599999999999</v>
      </c>
      <c r="AY390" s="387">
        <f t="shared" si="293"/>
        <v>61193.599999999999</v>
      </c>
      <c r="AZ390" s="387" t="str">
        <f t="shared" si="294"/>
        <v/>
      </c>
      <c r="BA390" s="387">
        <f t="shared" si="295"/>
        <v>0</v>
      </c>
      <c r="BB390" s="387">
        <f t="shared" si="264"/>
        <v>11650</v>
      </c>
      <c r="BC390" s="387">
        <f t="shared" si="265"/>
        <v>0</v>
      </c>
      <c r="BD390" s="387">
        <f t="shared" si="266"/>
        <v>3794.0032000000001</v>
      </c>
      <c r="BE390" s="387">
        <f t="shared" si="267"/>
        <v>887.30720000000008</v>
      </c>
      <c r="BF390" s="387">
        <f t="shared" si="268"/>
        <v>7306.51584</v>
      </c>
      <c r="BG390" s="387">
        <f t="shared" si="269"/>
        <v>441.20585599999998</v>
      </c>
      <c r="BH390" s="387">
        <f t="shared" si="270"/>
        <v>299.84863999999999</v>
      </c>
      <c r="BI390" s="387">
        <f t="shared" si="271"/>
        <v>338.70657599999998</v>
      </c>
      <c r="BJ390" s="387">
        <f t="shared" si="272"/>
        <v>165.22272000000001</v>
      </c>
      <c r="BK390" s="387">
        <f t="shared" si="273"/>
        <v>0</v>
      </c>
      <c r="BL390" s="387">
        <f t="shared" si="296"/>
        <v>13232.810032000001</v>
      </c>
      <c r="BM390" s="387">
        <f t="shared" si="297"/>
        <v>0</v>
      </c>
      <c r="BN390" s="387">
        <f t="shared" si="274"/>
        <v>11650</v>
      </c>
      <c r="BO390" s="387">
        <f t="shared" si="275"/>
        <v>0</v>
      </c>
      <c r="BP390" s="387">
        <f t="shared" si="276"/>
        <v>3794.0032000000001</v>
      </c>
      <c r="BQ390" s="387">
        <f t="shared" si="277"/>
        <v>887.30720000000008</v>
      </c>
      <c r="BR390" s="387">
        <f t="shared" si="278"/>
        <v>7306.51584</v>
      </c>
      <c r="BS390" s="387">
        <f t="shared" si="279"/>
        <v>441.20585599999998</v>
      </c>
      <c r="BT390" s="387">
        <f t="shared" si="280"/>
        <v>0</v>
      </c>
      <c r="BU390" s="387">
        <f t="shared" si="281"/>
        <v>338.70657599999998</v>
      </c>
      <c r="BV390" s="387">
        <f t="shared" si="282"/>
        <v>208.05823999999998</v>
      </c>
      <c r="BW390" s="387">
        <f t="shared" si="283"/>
        <v>0</v>
      </c>
      <c r="BX390" s="387">
        <f t="shared" si="298"/>
        <v>12975.796912000002</v>
      </c>
      <c r="BY390" s="387">
        <f t="shared" si="299"/>
        <v>0</v>
      </c>
      <c r="BZ390" s="387">
        <f t="shared" si="300"/>
        <v>0</v>
      </c>
      <c r="CA390" s="387">
        <f t="shared" si="301"/>
        <v>0</v>
      </c>
      <c r="CB390" s="387">
        <f t="shared" si="302"/>
        <v>0</v>
      </c>
      <c r="CC390" s="387">
        <f t="shared" si="284"/>
        <v>0</v>
      </c>
      <c r="CD390" s="387">
        <f t="shared" si="285"/>
        <v>0</v>
      </c>
      <c r="CE390" s="387">
        <f t="shared" si="286"/>
        <v>0</v>
      </c>
      <c r="CF390" s="387">
        <f t="shared" si="287"/>
        <v>-299.84863999999999</v>
      </c>
      <c r="CG390" s="387">
        <f t="shared" si="288"/>
        <v>0</v>
      </c>
      <c r="CH390" s="387">
        <f t="shared" si="289"/>
        <v>42.835519999999981</v>
      </c>
      <c r="CI390" s="387">
        <f t="shared" si="290"/>
        <v>0</v>
      </c>
      <c r="CJ390" s="387">
        <f t="shared" si="303"/>
        <v>-257.01312000000001</v>
      </c>
      <c r="CK390" s="387" t="str">
        <f t="shared" si="304"/>
        <v/>
      </c>
      <c r="CL390" s="387" t="str">
        <f t="shared" si="305"/>
        <v/>
      </c>
      <c r="CM390" s="387" t="str">
        <f t="shared" si="306"/>
        <v/>
      </c>
      <c r="CN390" s="387" t="str">
        <f t="shared" si="307"/>
        <v>0348-31</v>
      </c>
    </row>
    <row r="391" spans="1:92" ht="15.75" thickBot="1" x14ac:dyDescent="0.3">
      <c r="A391" s="376" t="s">
        <v>161</v>
      </c>
      <c r="B391" s="376" t="s">
        <v>162</v>
      </c>
      <c r="C391" s="376" t="s">
        <v>1336</v>
      </c>
      <c r="D391" s="376" t="s">
        <v>700</v>
      </c>
      <c r="E391" s="376" t="s">
        <v>224</v>
      </c>
      <c r="F391" s="382" t="s">
        <v>225</v>
      </c>
      <c r="G391" s="376" t="s">
        <v>781</v>
      </c>
      <c r="H391" s="378"/>
      <c r="I391" s="378"/>
      <c r="J391" s="376" t="s">
        <v>215</v>
      </c>
      <c r="K391" s="376" t="s">
        <v>701</v>
      </c>
      <c r="L391" s="376" t="s">
        <v>170</v>
      </c>
      <c r="M391" s="376" t="s">
        <v>171</v>
      </c>
      <c r="N391" s="376" t="s">
        <v>172</v>
      </c>
      <c r="O391" s="379">
        <v>1</v>
      </c>
      <c r="P391" s="385">
        <v>0</v>
      </c>
      <c r="Q391" s="385">
        <v>0</v>
      </c>
      <c r="R391" s="380">
        <v>80</v>
      </c>
      <c r="S391" s="385">
        <v>0</v>
      </c>
      <c r="T391" s="380">
        <v>876.8</v>
      </c>
      <c r="U391" s="380">
        <v>0</v>
      </c>
      <c r="V391" s="380">
        <v>190.61</v>
      </c>
      <c r="W391" s="380">
        <v>0</v>
      </c>
      <c r="X391" s="380">
        <v>0</v>
      </c>
      <c r="Y391" s="380">
        <v>0</v>
      </c>
      <c r="Z391" s="380">
        <v>0</v>
      </c>
      <c r="AA391" s="376" t="s">
        <v>1337</v>
      </c>
      <c r="AB391" s="376" t="s">
        <v>1338</v>
      </c>
      <c r="AC391" s="376" t="s">
        <v>1339</v>
      </c>
      <c r="AD391" s="376" t="s">
        <v>324</v>
      </c>
      <c r="AE391" s="376" t="s">
        <v>701</v>
      </c>
      <c r="AF391" s="376" t="s">
        <v>177</v>
      </c>
      <c r="AG391" s="376" t="s">
        <v>178</v>
      </c>
      <c r="AH391" s="381">
        <v>23.57</v>
      </c>
      <c r="AI391" s="381">
        <v>9719.2000000000007</v>
      </c>
      <c r="AJ391" s="376" t="s">
        <v>179</v>
      </c>
      <c r="AK391" s="376" t="s">
        <v>180</v>
      </c>
      <c r="AL391" s="376" t="s">
        <v>181</v>
      </c>
      <c r="AM391" s="376" t="s">
        <v>182</v>
      </c>
      <c r="AN391" s="376" t="s">
        <v>68</v>
      </c>
      <c r="AO391" s="379">
        <v>80</v>
      </c>
      <c r="AP391" s="385">
        <v>1</v>
      </c>
      <c r="AQ391" s="385">
        <v>0</v>
      </c>
      <c r="AR391" s="383" t="s">
        <v>183</v>
      </c>
      <c r="AS391" s="387">
        <f t="shared" si="291"/>
        <v>0</v>
      </c>
      <c r="AT391">
        <f t="shared" si="292"/>
        <v>0</v>
      </c>
      <c r="AU391" s="387" t="str">
        <f>IF(AT391=0,"",IF(AND(AT391=1,M391="F",SUMIF(C2:C1334,C391,AS2:AS1334)&lt;=1),SUMIF(C2:C1334,C391,AS2:AS1334),IF(AND(AT391=1,M391="F",SUMIF(C2:C1334,C391,AS2:AS1334)&gt;1),1,"")))</f>
        <v/>
      </c>
      <c r="AV391" s="387" t="str">
        <f>IF(AT391=0,"",IF(AND(AT391=3,M391="F",SUMIF(C2:C1334,C391,AS2:AS1334)&lt;=1),SUMIF(C2:C1334,C391,AS2:AS1334),IF(AND(AT391=3,M391="F",SUMIF(C2:C1334,C391,AS2:AS1334)&gt;1),1,"")))</f>
        <v/>
      </c>
      <c r="AW391" s="387">
        <f>SUMIF(C2:C1334,C391,O2:O1334)</f>
        <v>2</v>
      </c>
      <c r="AX391" s="387">
        <f>IF(AND(M391="F",AS391&lt;&gt;0),SUMIF(C2:C1334,C391,W2:W1334),0)</f>
        <v>0</v>
      </c>
      <c r="AY391" s="387" t="str">
        <f t="shared" si="293"/>
        <v/>
      </c>
      <c r="AZ391" s="387" t="str">
        <f t="shared" si="294"/>
        <v/>
      </c>
      <c r="BA391" s="387">
        <f t="shared" si="295"/>
        <v>0</v>
      </c>
      <c r="BB391" s="387">
        <f t="shared" si="264"/>
        <v>0</v>
      </c>
      <c r="BC391" s="387">
        <f t="shared" si="265"/>
        <v>0</v>
      </c>
      <c r="BD391" s="387">
        <f t="shared" si="266"/>
        <v>0</v>
      </c>
      <c r="BE391" s="387">
        <f t="shared" si="267"/>
        <v>0</v>
      </c>
      <c r="BF391" s="387">
        <f t="shared" si="268"/>
        <v>0</v>
      </c>
      <c r="BG391" s="387">
        <f t="shared" si="269"/>
        <v>0</v>
      </c>
      <c r="BH391" s="387">
        <f t="shared" si="270"/>
        <v>0</v>
      </c>
      <c r="BI391" s="387">
        <f t="shared" si="271"/>
        <v>0</v>
      </c>
      <c r="BJ391" s="387">
        <f t="shared" si="272"/>
        <v>0</v>
      </c>
      <c r="BK391" s="387">
        <f t="shared" si="273"/>
        <v>0</v>
      </c>
      <c r="BL391" s="387">
        <f t="shared" si="296"/>
        <v>0</v>
      </c>
      <c r="BM391" s="387">
        <f t="shared" si="297"/>
        <v>0</v>
      </c>
      <c r="BN391" s="387">
        <f t="shared" si="274"/>
        <v>0</v>
      </c>
      <c r="BO391" s="387">
        <f t="shared" si="275"/>
        <v>0</v>
      </c>
      <c r="BP391" s="387">
        <f t="shared" si="276"/>
        <v>0</v>
      </c>
      <c r="BQ391" s="387">
        <f t="shared" si="277"/>
        <v>0</v>
      </c>
      <c r="BR391" s="387">
        <f t="shared" si="278"/>
        <v>0</v>
      </c>
      <c r="BS391" s="387">
        <f t="shared" si="279"/>
        <v>0</v>
      </c>
      <c r="BT391" s="387">
        <f t="shared" si="280"/>
        <v>0</v>
      </c>
      <c r="BU391" s="387">
        <f t="shared" si="281"/>
        <v>0</v>
      </c>
      <c r="BV391" s="387">
        <f t="shared" si="282"/>
        <v>0</v>
      </c>
      <c r="BW391" s="387">
        <f t="shared" si="283"/>
        <v>0</v>
      </c>
      <c r="BX391" s="387">
        <f t="shared" si="298"/>
        <v>0</v>
      </c>
      <c r="BY391" s="387">
        <f t="shared" si="299"/>
        <v>0</v>
      </c>
      <c r="BZ391" s="387">
        <f t="shared" si="300"/>
        <v>0</v>
      </c>
      <c r="CA391" s="387">
        <f t="shared" si="301"/>
        <v>0</v>
      </c>
      <c r="CB391" s="387">
        <f t="shared" si="302"/>
        <v>0</v>
      </c>
      <c r="CC391" s="387">
        <f t="shared" si="284"/>
        <v>0</v>
      </c>
      <c r="CD391" s="387">
        <f t="shared" si="285"/>
        <v>0</v>
      </c>
      <c r="CE391" s="387">
        <f t="shared" si="286"/>
        <v>0</v>
      </c>
      <c r="CF391" s="387">
        <f t="shared" si="287"/>
        <v>0</v>
      </c>
      <c r="CG391" s="387">
        <f t="shared" si="288"/>
        <v>0</v>
      </c>
      <c r="CH391" s="387">
        <f t="shared" si="289"/>
        <v>0</v>
      </c>
      <c r="CI391" s="387">
        <f t="shared" si="290"/>
        <v>0</v>
      </c>
      <c r="CJ391" s="387">
        <f t="shared" si="303"/>
        <v>0</v>
      </c>
      <c r="CK391" s="387" t="str">
        <f t="shared" si="304"/>
        <v/>
      </c>
      <c r="CL391" s="387" t="str">
        <f t="shared" si="305"/>
        <v/>
      </c>
      <c r="CM391" s="387" t="str">
        <f t="shared" si="306"/>
        <v/>
      </c>
      <c r="CN391" s="387" t="str">
        <f t="shared" si="307"/>
        <v>0348-31</v>
      </c>
    </row>
    <row r="392" spans="1:92" ht="15.75" thickBot="1" x14ac:dyDescent="0.3">
      <c r="A392" s="376" t="s">
        <v>161</v>
      </c>
      <c r="B392" s="376" t="s">
        <v>162</v>
      </c>
      <c r="C392" s="376" t="s">
        <v>1340</v>
      </c>
      <c r="D392" s="376" t="s">
        <v>868</v>
      </c>
      <c r="E392" s="376" t="s">
        <v>224</v>
      </c>
      <c r="F392" s="382" t="s">
        <v>225</v>
      </c>
      <c r="G392" s="376" t="s">
        <v>781</v>
      </c>
      <c r="H392" s="378"/>
      <c r="I392" s="378"/>
      <c r="J392" s="376" t="s">
        <v>215</v>
      </c>
      <c r="K392" s="376" t="s">
        <v>869</v>
      </c>
      <c r="L392" s="376" t="s">
        <v>296</v>
      </c>
      <c r="M392" s="376" t="s">
        <v>171</v>
      </c>
      <c r="N392" s="376" t="s">
        <v>172</v>
      </c>
      <c r="O392" s="379">
        <v>1</v>
      </c>
      <c r="P392" s="385">
        <v>0</v>
      </c>
      <c r="Q392" s="385">
        <v>0</v>
      </c>
      <c r="R392" s="380">
        <v>80</v>
      </c>
      <c r="S392" s="385">
        <v>0</v>
      </c>
      <c r="T392" s="380">
        <v>50406.5</v>
      </c>
      <c r="U392" s="380">
        <v>405.39</v>
      </c>
      <c r="V392" s="380">
        <v>21836.93</v>
      </c>
      <c r="W392" s="380">
        <v>0</v>
      </c>
      <c r="X392" s="380">
        <v>0</v>
      </c>
      <c r="Y392" s="380">
        <v>0</v>
      </c>
      <c r="Z392" s="380">
        <v>0</v>
      </c>
      <c r="AA392" s="376" t="s">
        <v>1341</v>
      </c>
      <c r="AB392" s="376" t="s">
        <v>586</v>
      </c>
      <c r="AC392" s="376" t="s">
        <v>1342</v>
      </c>
      <c r="AD392" s="376" t="s">
        <v>210</v>
      </c>
      <c r="AE392" s="376" t="s">
        <v>869</v>
      </c>
      <c r="AF392" s="376" t="s">
        <v>301</v>
      </c>
      <c r="AG392" s="376" t="s">
        <v>178</v>
      </c>
      <c r="AH392" s="381">
        <v>25.03</v>
      </c>
      <c r="AI392" s="381">
        <v>16301.2</v>
      </c>
      <c r="AJ392" s="376" t="s">
        <v>179</v>
      </c>
      <c r="AK392" s="376" t="s">
        <v>180</v>
      </c>
      <c r="AL392" s="376" t="s">
        <v>181</v>
      </c>
      <c r="AM392" s="376" t="s">
        <v>182</v>
      </c>
      <c r="AN392" s="376" t="s">
        <v>68</v>
      </c>
      <c r="AO392" s="379">
        <v>80</v>
      </c>
      <c r="AP392" s="385">
        <v>1</v>
      </c>
      <c r="AQ392" s="385">
        <v>0</v>
      </c>
      <c r="AR392" s="383" t="s">
        <v>183</v>
      </c>
      <c r="AS392" s="387">
        <f t="shared" si="291"/>
        <v>0</v>
      </c>
      <c r="AT392">
        <f t="shared" si="292"/>
        <v>0</v>
      </c>
      <c r="AU392" s="387" t="str">
        <f>IF(AT392=0,"",IF(AND(AT392=1,M392="F",SUMIF(C2:C1334,C392,AS2:AS1334)&lt;=1),SUMIF(C2:C1334,C392,AS2:AS1334),IF(AND(AT392=1,M392="F",SUMIF(C2:C1334,C392,AS2:AS1334)&gt;1),1,"")))</f>
        <v/>
      </c>
      <c r="AV392" s="387" t="str">
        <f>IF(AT392=0,"",IF(AND(AT392=3,M392="F",SUMIF(C2:C1334,C392,AS2:AS1334)&lt;=1),SUMIF(C2:C1334,C392,AS2:AS1334),IF(AND(AT392=3,M392="F",SUMIF(C2:C1334,C392,AS2:AS1334)&gt;1),1,"")))</f>
        <v/>
      </c>
      <c r="AW392" s="387">
        <f>SUMIF(C2:C1334,C392,O2:O1334)</f>
        <v>2</v>
      </c>
      <c r="AX392" s="387">
        <f>IF(AND(M392="F",AS392&lt;&gt;0),SUMIF(C2:C1334,C392,W2:W1334),0)</f>
        <v>0</v>
      </c>
      <c r="AY392" s="387" t="str">
        <f t="shared" si="293"/>
        <v/>
      </c>
      <c r="AZ392" s="387" t="str">
        <f t="shared" si="294"/>
        <v/>
      </c>
      <c r="BA392" s="387">
        <f t="shared" si="295"/>
        <v>0</v>
      </c>
      <c r="BB392" s="387">
        <f t="shared" si="264"/>
        <v>0</v>
      </c>
      <c r="BC392" s="387">
        <f t="shared" si="265"/>
        <v>0</v>
      </c>
      <c r="BD392" s="387">
        <f t="shared" si="266"/>
        <v>0</v>
      </c>
      <c r="BE392" s="387">
        <f t="shared" si="267"/>
        <v>0</v>
      </c>
      <c r="BF392" s="387">
        <f t="shared" si="268"/>
        <v>0</v>
      </c>
      <c r="BG392" s="387">
        <f t="shared" si="269"/>
        <v>0</v>
      </c>
      <c r="BH392" s="387">
        <f t="shared" si="270"/>
        <v>0</v>
      </c>
      <c r="BI392" s="387">
        <f t="shared" si="271"/>
        <v>0</v>
      </c>
      <c r="BJ392" s="387">
        <f t="shared" si="272"/>
        <v>0</v>
      </c>
      <c r="BK392" s="387">
        <f t="shared" si="273"/>
        <v>0</v>
      </c>
      <c r="BL392" s="387">
        <f t="shared" si="296"/>
        <v>0</v>
      </c>
      <c r="BM392" s="387">
        <f t="shared" si="297"/>
        <v>0</v>
      </c>
      <c r="BN392" s="387">
        <f t="shared" si="274"/>
        <v>0</v>
      </c>
      <c r="BO392" s="387">
        <f t="shared" si="275"/>
        <v>0</v>
      </c>
      <c r="BP392" s="387">
        <f t="shared" si="276"/>
        <v>0</v>
      </c>
      <c r="BQ392" s="387">
        <f t="shared" si="277"/>
        <v>0</v>
      </c>
      <c r="BR392" s="387">
        <f t="shared" si="278"/>
        <v>0</v>
      </c>
      <c r="BS392" s="387">
        <f t="shared" si="279"/>
        <v>0</v>
      </c>
      <c r="BT392" s="387">
        <f t="shared" si="280"/>
        <v>0</v>
      </c>
      <c r="BU392" s="387">
        <f t="shared" si="281"/>
        <v>0</v>
      </c>
      <c r="BV392" s="387">
        <f t="shared" si="282"/>
        <v>0</v>
      </c>
      <c r="BW392" s="387">
        <f t="shared" si="283"/>
        <v>0</v>
      </c>
      <c r="BX392" s="387">
        <f t="shared" si="298"/>
        <v>0</v>
      </c>
      <c r="BY392" s="387">
        <f t="shared" si="299"/>
        <v>0</v>
      </c>
      <c r="BZ392" s="387">
        <f t="shared" si="300"/>
        <v>0</v>
      </c>
      <c r="CA392" s="387">
        <f t="shared" si="301"/>
        <v>0</v>
      </c>
      <c r="CB392" s="387">
        <f t="shared" si="302"/>
        <v>0</v>
      </c>
      <c r="CC392" s="387">
        <f t="shared" si="284"/>
        <v>0</v>
      </c>
      <c r="CD392" s="387">
        <f t="shared" si="285"/>
        <v>0</v>
      </c>
      <c r="CE392" s="387">
        <f t="shared" si="286"/>
        <v>0</v>
      </c>
      <c r="CF392" s="387">
        <f t="shared" si="287"/>
        <v>0</v>
      </c>
      <c r="CG392" s="387">
        <f t="shared" si="288"/>
        <v>0</v>
      </c>
      <c r="CH392" s="387">
        <f t="shared" si="289"/>
        <v>0</v>
      </c>
      <c r="CI392" s="387">
        <f t="shared" si="290"/>
        <v>0</v>
      </c>
      <c r="CJ392" s="387">
        <f t="shared" si="303"/>
        <v>0</v>
      </c>
      <c r="CK392" s="387" t="str">
        <f t="shared" si="304"/>
        <v/>
      </c>
      <c r="CL392" s="387" t="str">
        <f t="shared" si="305"/>
        <v/>
      </c>
      <c r="CM392" s="387" t="str">
        <f t="shared" si="306"/>
        <v/>
      </c>
      <c r="CN392" s="387" t="str">
        <f t="shared" si="307"/>
        <v>0348-31</v>
      </c>
    </row>
    <row r="393" spans="1:92" ht="15.75" thickBot="1" x14ac:dyDescent="0.3">
      <c r="A393" s="376" t="s">
        <v>161</v>
      </c>
      <c r="B393" s="376" t="s">
        <v>162</v>
      </c>
      <c r="C393" s="376" t="s">
        <v>1343</v>
      </c>
      <c r="D393" s="376" t="s">
        <v>1344</v>
      </c>
      <c r="E393" s="376" t="s">
        <v>224</v>
      </c>
      <c r="F393" s="382" t="s">
        <v>225</v>
      </c>
      <c r="G393" s="376" t="s">
        <v>781</v>
      </c>
      <c r="H393" s="378"/>
      <c r="I393" s="378"/>
      <c r="J393" s="376" t="s">
        <v>215</v>
      </c>
      <c r="K393" s="376" t="s">
        <v>1345</v>
      </c>
      <c r="L393" s="376" t="s">
        <v>252</v>
      </c>
      <c r="M393" s="376" t="s">
        <v>272</v>
      </c>
      <c r="N393" s="376" t="s">
        <v>172</v>
      </c>
      <c r="O393" s="379">
        <v>0</v>
      </c>
      <c r="P393" s="385">
        <v>0</v>
      </c>
      <c r="Q393" s="385">
        <v>0</v>
      </c>
      <c r="R393" s="380">
        <v>80</v>
      </c>
      <c r="S393" s="385">
        <v>0</v>
      </c>
      <c r="T393" s="380">
        <v>2387.21</v>
      </c>
      <c r="U393" s="380">
        <v>0</v>
      </c>
      <c r="V393" s="380">
        <v>221.14</v>
      </c>
      <c r="W393" s="380">
        <v>0</v>
      </c>
      <c r="X393" s="380">
        <v>0</v>
      </c>
      <c r="Y393" s="380">
        <v>0</v>
      </c>
      <c r="Z393" s="380">
        <v>0</v>
      </c>
      <c r="AA393" s="378"/>
      <c r="AB393" s="376" t="s">
        <v>45</v>
      </c>
      <c r="AC393" s="376" t="s">
        <v>45</v>
      </c>
      <c r="AD393" s="378"/>
      <c r="AE393" s="378"/>
      <c r="AF393" s="378"/>
      <c r="AG393" s="378"/>
      <c r="AH393" s="379">
        <v>0</v>
      </c>
      <c r="AI393" s="379">
        <v>0</v>
      </c>
      <c r="AJ393" s="378"/>
      <c r="AK393" s="378"/>
      <c r="AL393" s="376" t="s">
        <v>181</v>
      </c>
      <c r="AM393" s="378"/>
      <c r="AN393" s="378"/>
      <c r="AO393" s="379">
        <v>0</v>
      </c>
      <c r="AP393" s="385">
        <v>0</v>
      </c>
      <c r="AQ393" s="385">
        <v>0</v>
      </c>
      <c r="AR393" s="384"/>
      <c r="AS393" s="387">
        <f t="shared" si="291"/>
        <v>0</v>
      </c>
      <c r="AT393">
        <f t="shared" si="292"/>
        <v>0</v>
      </c>
      <c r="AU393" s="387" t="str">
        <f>IF(AT393=0,"",IF(AND(AT393=1,M393="F",SUMIF(C2:C1334,C393,AS2:AS1334)&lt;=1),SUMIF(C2:C1334,C393,AS2:AS1334),IF(AND(AT393=1,M393="F",SUMIF(C2:C1334,C393,AS2:AS1334)&gt;1),1,"")))</f>
        <v/>
      </c>
      <c r="AV393" s="387" t="str">
        <f>IF(AT393=0,"",IF(AND(AT393=3,M393="F",SUMIF(C2:C1334,C393,AS2:AS1334)&lt;=1),SUMIF(C2:C1334,C393,AS2:AS1334),IF(AND(AT393=3,M393="F",SUMIF(C2:C1334,C393,AS2:AS1334)&gt;1),1,"")))</f>
        <v/>
      </c>
      <c r="AW393" s="387">
        <f>SUMIF(C2:C1334,C393,O2:O1334)</f>
        <v>0</v>
      </c>
      <c r="AX393" s="387">
        <f>IF(AND(M393="F",AS393&lt;&gt;0),SUMIF(C2:C1334,C393,W2:W1334),0)</f>
        <v>0</v>
      </c>
      <c r="AY393" s="387" t="str">
        <f t="shared" si="293"/>
        <v/>
      </c>
      <c r="AZ393" s="387" t="str">
        <f t="shared" si="294"/>
        <v/>
      </c>
      <c r="BA393" s="387">
        <f t="shared" si="295"/>
        <v>0</v>
      </c>
      <c r="BB393" s="387">
        <f t="shared" si="264"/>
        <v>0</v>
      </c>
      <c r="BC393" s="387">
        <f t="shared" si="265"/>
        <v>0</v>
      </c>
      <c r="BD393" s="387">
        <f t="shared" si="266"/>
        <v>0</v>
      </c>
      <c r="BE393" s="387">
        <f t="shared" si="267"/>
        <v>0</v>
      </c>
      <c r="BF393" s="387">
        <f t="shared" si="268"/>
        <v>0</v>
      </c>
      <c r="BG393" s="387">
        <f t="shared" si="269"/>
        <v>0</v>
      </c>
      <c r="BH393" s="387">
        <f t="shared" si="270"/>
        <v>0</v>
      </c>
      <c r="BI393" s="387">
        <f t="shared" si="271"/>
        <v>0</v>
      </c>
      <c r="BJ393" s="387">
        <f t="shared" si="272"/>
        <v>0</v>
      </c>
      <c r="BK393" s="387">
        <f t="shared" si="273"/>
        <v>0</v>
      </c>
      <c r="BL393" s="387">
        <f t="shared" si="296"/>
        <v>0</v>
      </c>
      <c r="BM393" s="387">
        <f t="shared" si="297"/>
        <v>0</v>
      </c>
      <c r="BN393" s="387">
        <f t="shared" si="274"/>
        <v>0</v>
      </c>
      <c r="BO393" s="387">
        <f t="shared" si="275"/>
        <v>0</v>
      </c>
      <c r="BP393" s="387">
        <f t="shared" si="276"/>
        <v>0</v>
      </c>
      <c r="BQ393" s="387">
        <f t="shared" si="277"/>
        <v>0</v>
      </c>
      <c r="BR393" s="387">
        <f t="shared" si="278"/>
        <v>0</v>
      </c>
      <c r="BS393" s="387">
        <f t="shared" si="279"/>
        <v>0</v>
      </c>
      <c r="BT393" s="387">
        <f t="shared" si="280"/>
        <v>0</v>
      </c>
      <c r="BU393" s="387">
        <f t="shared" si="281"/>
        <v>0</v>
      </c>
      <c r="BV393" s="387">
        <f t="shared" si="282"/>
        <v>0</v>
      </c>
      <c r="BW393" s="387">
        <f t="shared" si="283"/>
        <v>0</v>
      </c>
      <c r="BX393" s="387">
        <f t="shared" si="298"/>
        <v>0</v>
      </c>
      <c r="BY393" s="387">
        <f t="shared" si="299"/>
        <v>0</v>
      </c>
      <c r="BZ393" s="387">
        <f t="shared" si="300"/>
        <v>0</v>
      </c>
      <c r="CA393" s="387">
        <f t="shared" si="301"/>
        <v>0</v>
      </c>
      <c r="CB393" s="387">
        <f t="shared" si="302"/>
        <v>0</v>
      </c>
      <c r="CC393" s="387">
        <f t="shared" si="284"/>
        <v>0</v>
      </c>
      <c r="CD393" s="387">
        <f t="shared" si="285"/>
        <v>0</v>
      </c>
      <c r="CE393" s="387">
        <f t="shared" si="286"/>
        <v>0</v>
      </c>
      <c r="CF393" s="387">
        <f t="shared" si="287"/>
        <v>0</v>
      </c>
      <c r="CG393" s="387">
        <f t="shared" si="288"/>
        <v>0</v>
      </c>
      <c r="CH393" s="387">
        <f t="shared" si="289"/>
        <v>0</v>
      </c>
      <c r="CI393" s="387">
        <f t="shared" si="290"/>
        <v>0</v>
      </c>
      <c r="CJ393" s="387">
        <f t="shared" si="303"/>
        <v>0</v>
      </c>
      <c r="CK393" s="387" t="str">
        <f t="shared" si="304"/>
        <v/>
      </c>
      <c r="CL393" s="387" t="str">
        <f t="shared" si="305"/>
        <v/>
      </c>
      <c r="CM393" s="387" t="str">
        <f t="shared" si="306"/>
        <v/>
      </c>
      <c r="CN393" s="387" t="str">
        <f t="shared" si="307"/>
        <v>0348-31</v>
      </c>
    </row>
    <row r="394" spans="1:92" ht="15.75" thickBot="1" x14ac:dyDescent="0.3">
      <c r="A394" s="376" t="s">
        <v>161</v>
      </c>
      <c r="B394" s="376" t="s">
        <v>162</v>
      </c>
      <c r="C394" s="376" t="s">
        <v>1346</v>
      </c>
      <c r="D394" s="376" t="s">
        <v>862</v>
      </c>
      <c r="E394" s="376" t="s">
        <v>224</v>
      </c>
      <c r="F394" s="382" t="s">
        <v>225</v>
      </c>
      <c r="G394" s="376" t="s">
        <v>781</v>
      </c>
      <c r="H394" s="378"/>
      <c r="I394" s="378"/>
      <c r="J394" s="376" t="s">
        <v>239</v>
      </c>
      <c r="K394" s="376" t="s">
        <v>863</v>
      </c>
      <c r="L394" s="376" t="s">
        <v>252</v>
      </c>
      <c r="M394" s="376" t="s">
        <v>171</v>
      </c>
      <c r="N394" s="376" t="s">
        <v>172</v>
      </c>
      <c r="O394" s="379">
        <v>1</v>
      </c>
      <c r="P394" s="385">
        <v>0.3</v>
      </c>
      <c r="Q394" s="385">
        <v>0.3</v>
      </c>
      <c r="R394" s="380">
        <v>80</v>
      </c>
      <c r="S394" s="385">
        <v>0.3</v>
      </c>
      <c r="T394" s="380">
        <v>10189.709999999999</v>
      </c>
      <c r="U394" s="380">
        <v>0</v>
      </c>
      <c r="V394" s="380">
        <v>4714.8900000000003</v>
      </c>
      <c r="W394" s="380">
        <v>13940.16</v>
      </c>
      <c r="X394" s="380">
        <v>6509.54</v>
      </c>
      <c r="Y394" s="380">
        <v>13940.16</v>
      </c>
      <c r="Z394" s="380">
        <v>6450.99</v>
      </c>
      <c r="AA394" s="376" t="s">
        <v>1347</v>
      </c>
      <c r="AB394" s="376" t="s">
        <v>1348</v>
      </c>
      <c r="AC394" s="376" t="s">
        <v>1242</v>
      </c>
      <c r="AD394" s="376" t="s">
        <v>300</v>
      </c>
      <c r="AE394" s="376" t="s">
        <v>863</v>
      </c>
      <c r="AF394" s="376" t="s">
        <v>393</v>
      </c>
      <c r="AG394" s="376" t="s">
        <v>178</v>
      </c>
      <c r="AH394" s="381">
        <v>22.34</v>
      </c>
      <c r="AI394" s="381">
        <v>25360.3</v>
      </c>
      <c r="AJ394" s="376" t="s">
        <v>179</v>
      </c>
      <c r="AK394" s="376" t="s">
        <v>180</v>
      </c>
      <c r="AL394" s="376" t="s">
        <v>181</v>
      </c>
      <c r="AM394" s="376" t="s">
        <v>182</v>
      </c>
      <c r="AN394" s="376" t="s">
        <v>68</v>
      </c>
      <c r="AO394" s="379">
        <v>80</v>
      </c>
      <c r="AP394" s="385">
        <v>1</v>
      </c>
      <c r="AQ394" s="385">
        <v>0.3</v>
      </c>
      <c r="AR394" s="383" t="s">
        <v>183</v>
      </c>
      <c r="AS394" s="387">
        <f t="shared" si="291"/>
        <v>0.3</v>
      </c>
      <c r="AT394">
        <f t="shared" si="292"/>
        <v>1</v>
      </c>
      <c r="AU394" s="387">
        <f>IF(AT394=0,"",IF(AND(AT394=1,M394="F",SUMIF(C2:C1334,C394,AS2:AS1334)&lt;=1),SUMIF(C2:C1334,C394,AS2:AS1334),IF(AND(AT394=1,M394="F",SUMIF(C2:C1334,C394,AS2:AS1334)&gt;1),1,"")))</f>
        <v>1</v>
      </c>
      <c r="AV394" s="387" t="str">
        <f>IF(AT394=0,"",IF(AND(AT394=3,M394="F",SUMIF(C2:C1334,C394,AS2:AS1334)&lt;=1),SUMIF(C2:C1334,C394,AS2:AS1334),IF(AND(AT394=3,M394="F",SUMIF(C2:C1334,C394,AS2:AS1334)&gt;1),1,"")))</f>
        <v/>
      </c>
      <c r="AW394" s="387">
        <f>SUMIF(C2:C1334,C394,O2:O1334)</f>
        <v>3</v>
      </c>
      <c r="AX394" s="387">
        <f>IF(AND(M394="F",AS394&lt;&gt;0),SUMIF(C2:C1334,C394,W2:W1334),0)</f>
        <v>46467.199999999997</v>
      </c>
      <c r="AY394" s="387">
        <f t="shared" si="293"/>
        <v>13940.16</v>
      </c>
      <c r="AZ394" s="387" t="str">
        <f t="shared" si="294"/>
        <v/>
      </c>
      <c r="BA394" s="387">
        <f t="shared" si="295"/>
        <v>0</v>
      </c>
      <c r="BB394" s="387">
        <f t="shared" si="264"/>
        <v>3495</v>
      </c>
      <c r="BC394" s="387">
        <f t="shared" si="265"/>
        <v>0</v>
      </c>
      <c r="BD394" s="387">
        <f t="shared" si="266"/>
        <v>864.28991999999994</v>
      </c>
      <c r="BE394" s="387">
        <f t="shared" si="267"/>
        <v>202.13232000000002</v>
      </c>
      <c r="BF394" s="387">
        <f t="shared" si="268"/>
        <v>1664.4551040000001</v>
      </c>
      <c r="BG394" s="387">
        <f t="shared" si="269"/>
        <v>100.5085536</v>
      </c>
      <c r="BH394" s="387">
        <f t="shared" si="270"/>
        <v>68.306783999999993</v>
      </c>
      <c r="BI394" s="387">
        <f t="shared" si="271"/>
        <v>77.158785600000002</v>
      </c>
      <c r="BJ394" s="387">
        <f t="shared" si="272"/>
        <v>37.638432000000002</v>
      </c>
      <c r="BK394" s="387">
        <f t="shared" si="273"/>
        <v>0</v>
      </c>
      <c r="BL394" s="387">
        <f t="shared" si="296"/>
        <v>3014.4898992000003</v>
      </c>
      <c r="BM394" s="387">
        <f t="shared" si="297"/>
        <v>0</v>
      </c>
      <c r="BN394" s="387">
        <f t="shared" si="274"/>
        <v>3495</v>
      </c>
      <c r="BO394" s="387">
        <f t="shared" si="275"/>
        <v>0</v>
      </c>
      <c r="BP394" s="387">
        <f t="shared" si="276"/>
        <v>864.28991999999994</v>
      </c>
      <c r="BQ394" s="387">
        <f t="shared" si="277"/>
        <v>202.13232000000002</v>
      </c>
      <c r="BR394" s="387">
        <f t="shared" si="278"/>
        <v>1664.4551040000001</v>
      </c>
      <c r="BS394" s="387">
        <f t="shared" si="279"/>
        <v>100.5085536</v>
      </c>
      <c r="BT394" s="387">
        <f t="shared" si="280"/>
        <v>0</v>
      </c>
      <c r="BU394" s="387">
        <f t="shared" si="281"/>
        <v>77.158785600000002</v>
      </c>
      <c r="BV394" s="387">
        <f t="shared" si="282"/>
        <v>47.396543999999999</v>
      </c>
      <c r="BW394" s="387">
        <f t="shared" si="283"/>
        <v>0</v>
      </c>
      <c r="BX394" s="387">
        <f t="shared" si="298"/>
        <v>2955.9412272000004</v>
      </c>
      <c r="BY394" s="387">
        <f t="shared" si="299"/>
        <v>0</v>
      </c>
      <c r="BZ394" s="387">
        <f t="shared" si="300"/>
        <v>0</v>
      </c>
      <c r="CA394" s="387">
        <f t="shared" si="301"/>
        <v>0</v>
      </c>
      <c r="CB394" s="387">
        <f t="shared" si="302"/>
        <v>0</v>
      </c>
      <c r="CC394" s="387">
        <f t="shared" si="284"/>
        <v>0</v>
      </c>
      <c r="CD394" s="387">
        <f t="shared" si="285"/>
        <v>0</v>
      </c>
      <c r="CE394" s="387">
        <f t="shared" si="286"/>
        <v>0</v>
      </c>
      <c r="CF394" s="387">
        <f t="shared" si="287"/>
        <v>-68.306783999999993</v>
      </c>
      <c r="CG394" s="387">
        <f t="shared" si="288"/>
        <v>0</v>
      </c>
      <c r="CH394" s="387">
        <f t="shared" si="289"/>
        <v>9.7581119999999952</v>
      </c>
      <c r="CI394" s="387">
        <f t="shared" si="290"/>
        <v>0</v>
      </c>
      <c r="CJ394" s="387">
        <f t="shared" si="303"/>
        <v>-58.548671999999996</v>
      </c>
      <c r="CK394" s="387" t="str">
        <f t="shared" si="304"/>
        <v/>
      </c>
      <c r="CL394" s="387" t="str">
        <f t="shared" si="305"/>
        <v/>
      </c>
      <c r="CM394" s="387" t="str">
        <f t="shared" si="306"/>
        <v/>
      </c>
      <c r="CN394" s="387" t="str">
        <f t="shared" si="307"/>
        <v>0348-31</v>
      </c>
    </row>
    <row r="395" spans="1:92" ht="15.75" thickBot="1" x14ac:dyDescent="0.3">
      <c r="A395" s="376" t="s">
        <v>161</v>
      </c>
      <c r="B395" s="376" t="s">
        <v>162</v>
      </c>
      <c r="C395" s="376" t="s">
        <v>230</v>
      </c>
      <c r="D395" s="376" t="s">
        <v>231</v>
      </c>
      <c r="E395" s="376" t="s">
        <v>224</v>
      </c>
      <c r="F395" s="382" t="s">
        <v>225</v>
      </c>
      <c r="G395" s="376" t="s">
        <v>781</v>
      </c>
      <c r="H395" s="378"/>
      <c r="I395" s="378"/>
      <c r="J395" s="376" t="s">
        <v>215</v>
      </c>
      <c r="K395" s="376" t="s">
        <v>232</v>
      </c>
      <c r="L395" s="376" t="s">
        <v>217</v>
      </c>
      <c r="M395" s="376" t="s">
        <v>171</v>
      </c>
      <c r="N395" s="376" t="s">
        <v>172</v>
      </c>
      <c r="O395" s="379">
        <v>1</v>
      </c>
      <c r="P395" s="385">
        <v>0</v>
      </c>
      <c r="Q395" s="385">
        <v>0</v>
      </c>
      <c r="R395" s="380">
        <v>80</v>
      </c>
      <c r="S395" s="385">
        <v>0</v>
      </c>
      <c r="T395" s="380">
        <v>42682.42</v>
      </c>
      <c r="U395" s="380">
        <v>0</v>
      </c>
      <c r="V395" s="380">
        <v>20560.09</v>
      </c>
      <c r="W395" s="380">
        <v>0</v>
      </c>
      <c r="X395" s="380">
        <v>0</v>
      </c>
      <c r="Y395" s="380">
        <v>0</v>
      </c>
      <c r="Z395" s="380">
        <v>0</v>
      </c>
      <c r="AA395" s="376" t="s">
        <v>233</v>
      </c>
      <c r="AB395" s="376" t="s">
        <v>234</v>
      </c>
      <c r="AC395" s="376" t="s">
        <v>235</v>
      </c>
      <c r="AD395" s="376" t="s">
        <v>236</v>
      </c>
      <c r="AE395" s="376" t="s">
        <v>232</v>
      </c>
      <c r="AF395" s="376" t="s">
        <v>221</v>
      </c>
      <c r="AG395" s="376" t="s">
        <v>178</v>
      </c>
      <c r="AH395" s="381">
        <v>21.29</v>
      </c>
      <c r="AI395" s="381">
        <v>77435.7</v>
      </c>
      <c r="AJ395" s="376" t="s">
        <v>179</v>
      </c>
      <c r="AK395" s="376" t="s">
        <v>180</v>
      </c>
      <c r="AL395" s="376" t="s">
        <v>181</v>
      </c>
      <c r="AM395" s="376" t="s">
        <v>182</v>
      </c>
      <c r="AN395" s="376" t="s">
        <v>68</v>
      </c>
      <c r="AO395" s="379">
        <v>80</v>
      </c>
      <c r="AP395" s="385">
        <v>1</v>
      </c>
      <c r="AQ395" s="385">
        <v>0</v>
      </c>
      <c r="AR395" s="383" t="s">
        <v>183</v>
      </c>
      <c r="AS395" s="387">
        <f t="shared" si="291"/>
        <v>0</v>
      </c>
      <c r="AT395">
        <f t="shared" si="292"/>
        <v>0</v>
      </c>
      <c r="AU395" s="387" t="str">
        <f>IF(AT395=0,"",IF(AND(AT395=1,M395="F",SUMIF(C2:C1334,C395,AS2:AS1334)&lt;=1),SUMIF(C2:C1334,C395,AS2:AS1334),IF(AND(AT395=1,M395="F",SUMIF(C2:C1334,C395,AS2:AS1334)&gt;1),1,"")))</f>
        <v/>
      </c>
      <c r="AV395" s="387" t="str">
        <f>IF(AT395=0,"",IF(AND(AT395=3,M395="F",SUMIF(C2:C1334,C395,AS2:AS1334)&lt;=1),SUMIF(C2:C1334,C395,AS2:AS1334),IF(AND(AT395=3,M395="F",SUMIF(C2:C1334,C395,AS2:AS1334)&gt;1),1,"")))</f>
        <v/>
      </c>
      <c r="AW395" s="387">
        <f>SUMIF(C2:C1334,C395,O2:O1334)</f>
        <v>2</v>
      </c>
      <c r="AX395" s="387">
        <f>IF(AND(M395="F",AS395&lt;&gt;0),SUMIF(C2:C1334,C395,W2:W1334),0)</f>
        <v>0</v>
      </c>
      <c r="AY395" s="387" t="str">
        <f t="shared" si="293"/>
        <v/>
      </c>
      <c r="AZ395" s="387" t="str">
        <f t="shared" si="294"/>
        <v/>
      </c>
      <c r="BA395" s="387">
        <f t="shared" si="295"/>
        <v>0</v>
      </c>
      <c r="BB395" s="387">
        <f t="shared" si="264"/>
        <v>0</v>
      </c>
      <c r="BC395" s="387">
        <f t="shared" si="265"/>
        <v>0</v>
      </c>
      <c r="BD395" s="387">
        <f t="shared" si="266"/>
        <v>0</v>
      </c>
      <c r="BE395" s="387">
        <f t="shared" si="267"/>
        <v>0</v>
      </c>
      <c r="BF395" s="387">
        <f t="shared" si="268"/>
        <v>0</v>
      </c>
      <c r="BG395" s="387">
        <f t="shared" si="269"/>
        <v>0</v>
      </c>
      <c r="BH395" s="387">
        <f t="shared" si="270"/>
        <v>0</v>
      </c>
      <c r="BI395" s="387">
        <f t="shared" si="271"/>
        <v>0</v>
      </c>
      <c r="BJ395" s="387">
        <f t="shared" si="272"/>
        <v>0</v>
      </c>
      <c r="BK395" s="387">
        <f t="shared" si="273"/>
        <v>0</v>
      </c>
      <c r="BL395" s="387">
        <f t="shared" si="296"/>
        <v>0</v>
      </c>
      <c r="BM395" s="387">
        <f t="shared" si="297"/>
        <v>0</v>
      </c>
      <c r="BN395" s="387">
        <f t="shared" si="274"/>
        <v>0</v>
      </c>
      <c r="BO395" s="387">
        <f t="shared" si="275"/>
        <v>0</v>
      </c>
      <c r="BP395" s="387">
        <f t="shared" si="276"/>
        <v>0</v>
      </c>
      <c r="BQ395" s="387">
        <f t="shared" si="277"/>
        <v>0</v>
      </c>
      <c r="BR395" s="387">
        <f t="shared" si="278"/>
        <v>0</v>
      </c>
      <c r="BS395" s="387">
        <f t="shared" si="279"/>
        <v>0</v>
      </c>
      <c r="BT395" s="387">
        <f t="shared" si="280"/>
        <v>0</v>
      </c>
      <c r="BU395" s="387">
        <f t="shared" si="281"/>
        <v>0</v>
      </c>
      <c r="BV395" s="387">
        <f t="shared" si="282"/>
        <v>0</v>
      </c>
      <c r="BW395" s="387">
        <f t="shared" si="283"/>
        <v>0</v>
      </c>
      <c r="BX395" s="387">
        <f t="shared" si="298"/>
        <v>0</v>
      </c>
      <c r="BY395" s="387">
        <f t="shared" si="299"/>
        <v>0</v>
      </c>
      <c r="BZ395" s="387">
        <f t="shared" si="300"/>
        <v>0</v>
      </c>
      <c r="CA395" s="387">
        <f t="shared" si="301"/>
        <v>0</v>
      </c>
      <c r="CB395" s="387">
        <f t="shared" si="302"/>
        <v>0</v>
      </c>
      <c r="CC395" s="387">
        <f t="shared" si="284"/>
        <v>0</v>
      </c>
      <c r="CD395" s="387">
        <f t="shared" si="285"/>
        <v>0</v>
      </c>
      <c r="CE395" s="387">
        <f t="shared" si="286"/>
        <v>0</v>
      </c>
      <c r="CF395" s="387">
        <f t="shared" si="287"/>
        <v>0</v>
      </c>
      <c r="CG395" s="387">
        <f t="shared" si="288"/>
        <v>0</v>
      </c>
      <c r="CH395" s="387">
        <f t="shared" si="289"/>
        <v>0</v>
      </c>
      <c r="CI395" s="387">
        <f t="shared" si="290"/>
        <v>0</v>
      </c>
      <c r="CJ395" s="387">
        <f t="shared" si="303"/>
        <v>0</v>
      </c>
      <c r="CK395" s="387" t="str">
        <f t="shared" si="304"/>
        <v/>
      </c>
      <c r="CL395" s="387" t="str">
        <f t="shared" si="305"/>
        <v/>
      </c>
      <c r="CM395" s="387" t="str">
        <f t="shared" si="306"/>
        <v/>
      </c>
      <c r="CN395" s="387" t="str">
        <f t="shared" si="307"/>
        <v>0348-31</v>
      </c>
    </row>
    <row r="396" spans="1:92" ht="15.75" thickBot="1" x14ac:dyDescent="0.3">
      <c r="A396" s="376" t="s">
        <v>161</v>
      </c>
      <c r="B396" s="376" t="s">
        <v>162</v>
      </c>
      <c r="C396" s="376" t="s">
        <v>1349</v>
      </c>
      <c r="D396" s="376" t="s">
        <v>868</v>
      </c>
      <c r="E396" s="376" t="s">
        <v>224</v>
      </c>
      <c r="F396" s="382" t="s">
        <v>225</v>
      </c>
      <c r="G396" s="376" t="s">
        <v>781</v>
      </c>
      <c r="H396" s="378"/>
      <c r="I396" s="378"/>
      <c r="J396" s="376" t="s">
        <v>215</v>
      </c>
      <c r="K396" s="376" t="s">
        <v>869</v>
      </c>
      <c r="L396" s="376" t="s">
        <v>296</v>
      </c>
      <c r="M396" s="376" t="s">
        <v>171</v>
      </c>
      <c r="N396" s="376" t="s">
        <v>172</v>
      </c>
      <c r="O396" s="379">
        <v>1</v>
      </c>
      <c r="P396" s="385">
        <v>0</v>
      </c>
      <c r="Q396" s="385">
        <v>0</v>
      </c>
      <c r="R396" s="380">
        <v>80</v>
      </c>
      <c r="S396" s="385">
        <v>0</v>
      </c>
      <c r="T396" s="380">
        <v>49425.599999999999</v>
      </c>
      <c r="U396" s="380">
        <v>0</v>
      </c>
      <c r="V396" s="380">
        <v>21170.15</v>
      </c>
      <c r="W396" s="380">
        <v>0</v>
      </c>
      <c r="X396" s="380">
        <v>0</v>
      </c>
      <c r="Y396" s="380">
        <v>0</v>
      </c>
      <c r="Z396" s="380">
        <v>0</v>
      </c>
      <c r="AA396" s="376" t="s">
        <v>1350</v>
      </c>
      <c r="AB396" s="376" t="s">
        <v>1351</v>
      </c>
      <c r="AC396" s="376" t="s">
        <v>412</v>
      </c>
      <c r="AD396" s="376" t="s">
        <v>260</v>
      </c>
      <c r="AE396" s="376" t="s">
        <v>869</v>
      </c>
      <c r="AF396" s="376" t="s">
        <v>301</v>
      </c>
      <c r="AG396" s="376" t="s">
        <v>178</v>
      </c>
      <c r="AH396" s="381">
        <v>24.7</v>
      </c>
      <c r="AI396" s="381">
        <v>12388.5</v>
      </c>
      <c r="AJ396" s="376" t="s">
        <v>179</v>
      </c>
      <c r="AK396" s="376" t="s">
        <v>180</v>
      </c>
      <c r="AL396" s="376" t="s">
        <v>181</v>
      </c>
      <c r="AM396" s="376" t="s">
        <v>182</v>
      </c>
      <c r="AN396" s="376" t="s">
        <v>68</v>
      </c>
      <c r="AO396" s="379">
        <v>80</v>
      </c>
      <c r="AP396" s="385">
        <v>1</v>
      </c>
      <c r="AQ396" s="385">
        <v>0</v>
      </c>
      <c r="AR396" s="383" t="s">
        <v>183</v>
      </c>
      <c r="AS396" s="387">
        <f t="shared" si="291"/>
        <v>0</v>
      </c>
      <c r="AT396">
        <f t="shared" si="292"/>
        <v>0</v>
      </c>
      <c r="AU396" s="387" t="str">
        <f>IF(AT396=0,"",IF(AND(AT396=1,M396="F",SUMIF(C2:C1334,C396,AS2:AS1334)&lt;=1),SUMIF(C2:C1334,C396,AS2:AS1334),IF(AND(AT396=1,M396="F",SUMIF(C2:C1334,C396,AS2:AS1334)&gt;1),1,"")))</f>
        <v/>
      </c>
      <c r="AV396" s="387" t="str">
        <f>IF(AT396=0,"",IF(AND(AT396=3,M396="F",SUMIF(C2:C1334,C396,AS2:AS1334)&lt;=1),SUMIF(C2:C1334,C396,AS2:AS1334),IF(AND(AT396=3,M396="F",SUMIF(C2:C1334,C396,AS2:AS1334)&gt;1),1,"")))</f>
        <v/>
      </c>
      <c r="AW396" s="387">
        <f>SUMIF(C2:C1334,C396,O2:O1334)</f>
        <v>2</v>
      </c>
      <c r="AX396" s="387">
        <f>IF(AND(M396="F",AS396&lt;&gt;0),SUMIF(C2:C1334,C396,W2:W1334),0)</f>
        <v>0</v>
      </c>
      <c r="AY396" s="387" t="str">
        <f t="shared" si="293"/>
        <v/>
      </c>
      <c r="AZ396" s="387" t="str">
        <f t="shared" si="294"/>
        <v/>
      </c>
      <c r="BA396" s="387">
        <f t="shared" si="295"/>
        <v>0</v>
      </c>
      <c r="BB396" s="387">
        <f t="shared" si="264"/>
        <v>0</v>
      </c>
      <c r="BC396" s="387">
        <f t="shared" si="265"/>
        <v>0</v>
      </c>
      <c r="BD396" s="387">
        <f t="shared" si="266"/>
        <v>0</v>
      </c>
      <c r="BE396" s="387">
        <f t="shared" si="267"/>
        <v>0</v>
      </c>
      <c r="BF396" s="387">
        <f t="shared" si="268"/>
        <v>0</v>
      </c>
      <c r="BG396" s="387">
        <f t="shared" si="269"/>
        <v>0</v>
      </c>
      <c r="BH396" s="387">
        <f t="shared" si="270"/>
        <v>0</v>
      </c>
      <c r="BI396" s="387">
        <f t="shared" si="271"/>
        <v>0</v>
      </c>
      <c r="BJ396" s="387">
        <f t="shared" si="272"/>
        <v>0</v>
      </c>
      <c r="BK396" s="387">
        <f t="shared" si="273"/>
        <v>0</v>
      </c>
      <c r="BL396" s="387">
        <f t="shared" si="296"/>
        <v>0</v>
      </c>
      <c r="BM396" s="387">
        <f t="shared" si="297"/>
        <v>0</v>
      </c>
      <c r="BN396" s="387">
        <f t="shared" si="274"/>
        <v>0</v>
      </c>
      <c r="BO396" s="387">
        <f t="shared" si="275"/>
        <v>0</v>
      </c>
      <c r="BP396" s="387">
        <f t="shared" si="276"/>
        <v>0</v>
      </c>
      <c r="BQ396" s="387">
        <f t="shared" si="277"/>
        <v>0</v>
      </c>
      <c r="BR396" s="387">
        <f t="shared" si="278"/>
        <v>0</v>
      </c>
      <c r="BS396" s="387">
        <f t="shared" si="279"/>
        <v>0</v>
      </c>
      <c r="BT396" s="387">
        <f t="shared" si="280"/>
        <v>0</v>
      </c>
      <c r="BU396" s="387">
        <f t="shared" si="281"/>
        <v>0</v>
      </c>
      <c r="BV396" s="387">
        <f t="shared" si="282"/>
        <v>0</v>
      </c>
      <c r="BW396" s="387">
        <f t="shared" si="283"/>
        <v>0</v>
      </c>
      <c r="BX396" s="387">
        <f t="shared" si="298"/>
        <v>0</v>
      </c>
      <c r="BY396" s="387">
        <f t="shared" si="299"/>
        <v>0</v>
      </c>
      <c r="BZ396" s="387">
        <f t="shared" si="300"/>
        <v>0</v>
      </c>
      <c r="CA396" s="387">
        <f t="shared" si="301"/>
        <v>0</v>
      </c>
      <c r="CB396" s="387">
        <f t="shared" si="302"/>
        <v>0</v>
      </c>
      <c r="CC396" s="387">
        <f t="shared" si="284"/>
        <v>0</v>
      </c>
      <c r="CD396" s="387">
        <f t="shared" si="285"/>
        <v>0</v>
      </c>
      <c r="CE396" s="387">
        <f t="shared" si="286"/>
        <v>0</v>
      </c>
      <c r="CF396" s="387">
        <f t="shared" si="287"/>
        <v>0</v>
      </c>
      <c r="CG396" s="387">
        <f t="shared" si="288"/>
        <v>0</v>
      </c>
      <c r="CH396" s="387">
        <f t="shared" si="289"/>
        <v>0</v>
      </c>
      <c r="CI396" s="387">
        <f t="shared" si="290"/>
        <v>0</v>
      </c>
      <c r="CJ396" s="387">
        <f t="shared" si="303"/>
        <v>0</v>
      </c>
      <c r="CK396" s="387" t="str">
        <f t="shared" si="304"/>
        <v/>
      </c>
      <c r="CL396" s="387" t="str">
        <f t="shared" si="305"/>
        <v/>
      </c>
      <c r="CM396" s="387" t="str">
        <f t="shared" si="306"/>
        <v/>
      </c>
      <c r="CN396" s="387" t="str">
        <f t="shared" si="307"/>
        <v>0348-31</v>
      </c>
    </row>
    <row r="397" spans="1:92" ht="15.75" thickBot="1" x14ac:dyDescent="0.3">
      <c r="A397" s="376" t="s">
        <v>161</v>
      </c>
      <c r="B397" s="376" t="s">
        <v>162</v>
      </c>
      <c r="C397" s="376" t="s">
        <v>1352</v>
      </c>
      <c r="D397" s="376" t="s">
        <v>1280</v>
      </c>
      <c r="E397" s="376" t="s">
        <v>224</v>
      </c>
      <c r="F397" s="382" t="s">
        <v>225</v>
      </c>
      <c r="G397" s="376" t="s">
        <v>781</v>
      </c>
      <c r="H397" s="378"/>
      <c r="I397" s="378"/>
      <c r="J397" s="376" t="s">
        <v>215</v>
      </c>
      <c r="K397" s="376" t="s">
        <v>1281</v>
      </c>
      <c r="L397" s="376" t="s">
        <v>178</v>
      </c>
      <c r="M397" s="376" t="s">
        <v>171</v>
      </c>
      <c r="N397" s="376" t="s">
        <v>877</v>
      </c>
      <c r="O397" s="379">
        <v>1</v>
      </c>
      <c r="P397" s="385">
        <v>1</v>
      </c>
      <c r="Q397" s="385">
        <v>1</v>
      </c>
      <c r="R397" s="380">
        <v>80</v>
      </c>
      <c r="S397" s="385">
        <v>1</v>
      </c>
      <c r="T397" s="380">
        <v>36676.11</v>
      </c>
      <c r="U397" s="380">
        <v>1283.5</v>
      </c>
      <c r="V397" s="380">
        <v>19222.53</v>
      </c>
      <c r="W397" s="380">
        <v>38700.480000000003</v>
      </c>
      <c r="X397" s="380">
        <v>20018.95</v>
      </c>
      <c r="Y397" s="380">
        <v>38700.480000000003</v>
      </c>
      <c r="Z397" s="380">
        <v>19856.41</v>
      </c>
      <c r="AA397" s="376" t="s">
        <v>1353</v>
      </c>
      <c r="AB397" s="376" t="s">
        <v>1354</v>
      </c>
      <c r="AC397" s="376" t="s">
        <v>472</v>
      </c>
      <c r="AD397" s="376" t="s">
        <v>1355</v>
      </c>
      <c r="AE397" s="376" t="s">
        <v>1281</v>
      </c>
      <c r="AF397" s="376" t="s">
        <v>253</v>
      </c>
      <c r="AG397" s="376" t="s">
        <v>178</v>
      </c>
      <c r="AH397" s="381">
        <v>17.72</v>
      </c>
      <c r="AI397" s="381">
        <v>7932.3</v>
      </c>
      <c r="AJ397" s="376" t="s">
        <v>179</v>
      </c>
      <c r="AK397" s="376" t="s">
        <v>180</v>
      </c>
      <c r="AL397" s="376" t="s">
        <v>181</v>
      </c>
      <c r="AM397" s="376" t="s">
        <v>182</v>
      </c>
      <c r="AN397" s="376" t="s">
        <v>68</v>
      </c>
      <c r="AO397" s="379">
        <v>80</v>
      </c>
      <c r="AP397" s="385">
        <v>1</v>
      </c>
      <c r="AQ397" s="385">
        <v>1</v>
      </c>
      <c r="AR397" s="383">
        <v>5</v>
      </c>
      <c r="AS397" s="387">
        <f t="shared" si="291"/>
        <v>1</v>
      </c>
      <c r="AT397">
        <f t="shared" si="292"/>
        <v>1</v>
      </c>
      <c r="AU397" s="387">
        <f>IF(AT397=0,"",IF(AND(AT397=1,M397="F",SUMIF(C2:C1334,C397,AS2:AS1334)&lt;=1),SUMIF(C2:C1334,C397,AS2:AS1334),IF(AND(AT397=1,M397="F",SUMIF(C2:C1334,C397,AS2:AS1334)&gt;1),1,"")))</f>
        <v>1</v>
      </c>
      <c r="AV397" s="387" t="str">
        <f>IF(AT397=0,"",IF(AND(AT397=3,M397="F",SUMIF(C2:C1334,C397,AS2:AS1334)&lt;=1),SUMIF(C2:C1334,C397,AS2:AS1334),IF(AND(AT397=3,M397="F",SUMIF(C2:C1334,C397,AS2:AS1334)&gt;1),1,"")))</f>
        <v/>
      </c>
      <c r="AW397" s="387">
        <f>SUMIF(C2:C1334,C397,O2:O1334)</f>
        <v>1</v>
      </c>
      <c r="AX397" s="387">
        <f>IF(AND(M397="F",AS397&lt;&gt;0),SUMIF(C2:C1334,C397,W2:W1334),0)</f>
        <v>38700.480000000003</v>
      </c>
      <c r="AY397" s="387">
        <f t="shared" si="293"/>
        <v>38700.480000000003</v>
      </c>
      <c r="AZ397" s="387" t="str">
        <f t="shared" si="294"/>
        <v/>
      </c>
      <c r="BA397" s="387">
        <f t="shared" si="295"/>
        <v>0</v>
      </c>
      <c r="BB397" s="387">
        <f t="shared" si="264"/>
        <v>11650</v>
      </c>
      <c r="BC397" s="387">
        <f t="shared" si="265"/>
        <v>0</v>
      </c>
      <c r="BD397" s="387">
        <f t="shared" si="266"/>
        <v>2399.42976</v>
      </c>
      <c r="BE397" s="387">
        <f t="shared" si="267"/>
        <v>561.15696000000003</v>
      </c>
      <c r="BF397" s="387">
        <f t="shared" si="268"/>
        <v>4620.8373120000006</v>
      </c>
      <c r="BG397" s="387">
        <f t="shared" si="269"/>
        <v>279.03046080000001</v>
      </c>
      <c r="BH397" s="387">
        <f t="shared" si="270"/>
        <v>189.632352</v>
      </c>
      <c r="BI397" s="387">
        <f t="shared" si="271"/>
        <v>214.20715680000001</v>
      </c>
      <c r="BJ397" s="387">
        <f t="shared" si="272"/>
        <v>104.49129600000002</v>
      </c>
      <c r="BK397" s="387">
        <f t="shared" si="273"/>
        <v>0</v>
      </c>
      <c r="BL397" s="387">
        <f t="shared" si="296"/>
        <v>8368.7852975999995</v>
      </c>
      <c r="BM397" s="387">
        <f t="shared" si="297"/>
        <v>0</v>
      </c>
      <c r="BN397" s="387">
        <f t="shared" si="274"/>
        <v>11650</v>
      </c>
      <c r="BO397" s="387">
        <f t="shared" si="275"/>
        <v>0</v>
      </c>
      <c r="BP397" s="387">
        <f t="shared" si="276"/>
        <v>2399.42976</v>
      </c>
      <c r="BQ397" s="387">
        <f t="shared" si="277"/>
        <v>561.15696000000003</v>
      </c>
      <c r="BR397" s="387">
        <f t="shared" si="278"/>
        <v>4620.8373120000006</v>
      </c>
      <c r="BS397" s="387">
        <f t="shared" si="279"/>
        <v>279.03046080000001</v>
      </c>
      <c r="BT397" s="387">
        <f t="shared" si="280"/>
        <v>0</v>
      </c>
      <c r="BU397" s="387">
        <f t="shared" si="281"/>
        <v>214.20715680000001</v>
      </c>
      <c r="BV397" s="387">
        <f t="shared" si="282"/>
        <v>131.58163200000001</v>
      </c>
      <c r="BW397" s="387">
        <f t="shared" si="283"/>
        <v>0</v>
      </c>
      <c r="BX397" s="387">
        <f t="shared" si="298"/>
        <v>8206.2432816</v>
      </c>
      <c r="BY397" s="387">
        <f t="shared" si="299"/>
        <v>0</v>
      </c>
      <c r="BZ397" s="387">
        <f t="shared" si="300"/>
        <v>0</v>
      </c>
      <c r="CA397" s="387">
        <f t="shared" si="301"/>
        <v>0</v>
      </c>
      <c r="CB397" s="387">
        <f t="shared" si="302"/>
        <v>0</v>
      </c>
      <c r="CC397" s="387">
        <f t="shared" si="284"/>
        <v>0</v>
      </c>
      <c r="CD397" s="387">
        <f t="shared" si="285"/>
        <v>0</v>
      </c>
      <c r="CE397" s="387">
        <f t="shared" si="286"/>
        <v>0</v>
      </c>
      <c r="CF397" s="387">
        <f t="shared" si="287"/>
        <v>-189.632352</v>
      </c>
      <c r="CG397" s="387">
        <f t="shared" si="288"/>
        <v>0</v>
      </c>
      <c r="CH397" s="387">
        <f t="shared" si="289"/>
        <v>27.09033599999999</v>
      </c>
      <c r="CI397" s="387">
        <f t="shared" si="290"/>
        <v>0</v>
      </c>
      <c r="CJ397" s="387">
        <f t="shared" si="303"/>
        <v>-162.54201600000002</v>
      </c>
      <c r="CK397" s="387" t="str">
        <f t="shared" si="304"/>
        <v/>
      </c>
      <c r="CL397" s="387" t="str">
        <f t="shared" si="305"/>
        <v/>
      </c>
      <c r="CM397" s="387" t="str">
        <f t="shared" si="306"/>
        <v/>
      </c>
      <c r="CN397" s="387" t="str">
        <f t="shared" si="307"/>
        <v>0348-31</v>
      </c>
    </row>
    <row r="398" spans="1:92" ht="15.75" thickBot="1" x14ac:dyDescent="0.3">
      <c r="A398" s="376" t="s">
        <v>161</v>
      </c>
      <c r="B398" s="376" t="s">
        <v>162</v>
      </c>
      <c r="C398" s="376" t="s">
        <v>1356</v>
      </c>
      <c r="D398" s="376" t="s">
        <v>862</v>
      </c>
      <c r="E398" s="376" t="s">
        <v>224</v>
      </c>
      <c r="F398" s="382" t="s">
        <v>225</v>
      </c>
      <c r="G398" s="376" t="s">
        <v>781</v>
      </c>
      <c r="H398" s="378"/>
      <c r="I398" s="378"/>
      <c r="J398" s="376" t="s">
        <v>168</v>
      </c>
      <c r="K398" s="376" t="s">
        <v>863</v>
      </c>
      <c r="L398" s="376" t="s">
        <v>252</v>
      </c>
      <c r="M398" s="376" t="s">
        <v>171</v>
      </c>
      <c r="N398" s="376" t="s">
        <v>172</v>
      </c>
      <c r="O398" s="379">
        <v>1</v>
      </c>
      <c r="P398" s="385">
        <v>0.75</v>
      </c>
      <c r="Q398" s="385">
        <v>0.75</v>
      </c>
      <c r="R398" s="380">
        <v>80</v>
      </c>
      <c r="S398" s="385">
        <v>0.75</v>
      </c>
      <c r="T398" s="380">
        <v>31631.98</v>
      </c>
      <c r="U398" s="380">
        <v>0</v>
      </c>
      <c r="V398" s="380">
        <v>15311.23</v>
      </c>
      <c r="W398" s="380">
        <v>34398</v>
      </c>
      <c r="X398" s="380">
        <v>16176.03</v>
      </c>
      <c r="Y398" s="380">
        <v>34398</v>
      </c>
      <c r="Z398" s="380">
        <v>16031.56</v>
      </c>
      <c r="AA398" s="376" t="s">
        <v>1357</v>
      </c>
      <c r="AB398" s="376" t="s">
        <v>1358</v>
      </c>
      <c r="AC398" s="376" t="s">
        <v>1359</v>
      </c>
      <c r="AD398" s="376" t="s">
        <v>351</v>
      </c>
      <c r="AE398" s="376" t="s">
        <v>863</v>
      </c>
      <c r="AF398" s="376" t="s">
        <v>393</v>
      </c>
      <c r="AG398" s="376" t="s">
        <v>178</v>
      </c>
      <c r="AH398" s="381">
        <v>22.05</v>
      </c>
      <c r="AI398" s="381">
        <v>18872.599999999999</v>
      </c>
      <c r="AJ398" s="376" t="s">
        <v>179</v>
      </c>
      <c r="AK398" s="376" t="s">
        <v>180</v>
      </c>
      <c r="AL398" s="376" t="s">
        <v>181</v>
      </c>
      <c r="AM398" s="376" t="s">
        <v>182</v>
      </c>
      <c r="AN398" s="376" t="s">
        <v>68</v>
      </c>
      <c r="AO398" s="379">
        <v>80</v>
      </c>
      <c r="AP398" s="385">
        <v>1</v>
      </c>
      <c r="AQ398" s="385">
        <v>0.75</v>
      </c>
      <c r="AR398" s="383" t="s">
        <v>183</v>
      </c>
      <c r="AS398" s="387">
        <f t="shared" si="291"/>
        <v>0.75</v>
      </c>
      <c r="AT398">
        <f t="shared" si="292"/>
        <v>1</v>
      </c>
      <c r="AU398" s="387">
        <f>IF(AT398=0,"",IF(AND(AT398=1,M398="F",SUMIF(C2:C1334,C398,AS2:AS1334)&lt;=1),SUMIF(C2:C1334,C398,AS2:AS1334),IF(AND(AT398=1,M398="F",SUMIF(C2:C1334,C398,AS2:AS1334)&gt;1),1,"")))</f>
        <v>1</v>
      </c>
      <c r="AV398" s="387" t="str">
        <f>IF(AT398=0,"",IF(AND(AT398=3,M398="F",SUMIF(C2:C1334,C398,AS2:AS1334)&lt;=1),SUMIF(C2:C1334,C398,AS2:AS1334),IF(AND(AT398=3,M398="F",SUMIF(C2:C1334,C398,AS2:AS1334)&gt;1),1,"")))</f>
        <v/>
      </c>
      <c r="AW398" s="387">
        <f>SUMIF(C2:C1334,C398,O2:O1334)</f>
        <v>3</v>
      </c>
      <c r="AX398" s="387">
        <f>IF(AND(M398="F",AS398&lt;&gt;0),SUMIF(C2:C1334,C398,W2:W1334),0)</f>
        <v>45864</v>
      </c>
      <c r="AY398" s="387">
        <f t="shared" si="293"/>
        <v>34398</v>
      </c>
      <c r="AZ398" s="387" t="str">
        <f t="shared" si="294"/>
        <v/>
      </c>
      <c r="BA398" s="387">
        <f t="shared" si="295"/>
        <v>0</v>
      </c>
      <c r="BB398" s="387">
        <f t="shared" si="264"/>
        <v>8737.5</v>
      </c>
      <c r="BC398" s="387">
        <f t="shared" si="265"/>
        <v>0</v>
      </c>
      <c r="BD398" s="387">
        <f t="shared" si="266"/>
        <v>2132.6759999999999</v>
      </c>
      <c r="BE398" s="387">
        <f t="shared" si="267"/>
        <v>498.77100000000002</v>
      </c>
      <c r="BF398" s="387">
        <f t="shared" si="268"/>
        <v>4107.1212000000005</v>
      </c>
      <c r="BG398" s="387">
        <f t="shared" si="269"/>
        <v>248.00958</v>
      </c>
      <c r="BH398" s="387">
        <f t="shared" si="270"/>
        <v>168.55019999999999</v>
      </c>
      <c r="BI398" s="387">
        <f t="shared" si="271"/>
        <v>190.39293000000001</v>
      </c>
      <c r="BJ398" s="387">
        <f t="shared" si="272"/>
        <v>92.874600000000001</v>
      </c>
      <c r="BK398" s="387">
        <f t="shared" si="273"/>
        <v>0</v>
      </c>
      <c r="BL398" s="387">
        <f t="shared" si="296"/>
        <v>7438.3955100000003</v>
      </c>
      <c r="BM398" s="387">
        <f t="shared" si="297"/>
        <v>0</v>
      </c>
      <c r="BN398" s="387">
        <f t="shared" si="274"/>
        <v>8737.5</v>
      </c>
      <c r="BO398" s="387">
        <f t="shared" si="275"/>
        <v>0</v>
      </c>
      <c r="BP398" s="387">
        <f t="shared" si="276"/>
        <v>2132.6759999999999</v>
      </c>
      <c r="BQ398" s="387">
        <f t="shared" si="277"/>
        <v>498.77100000000002</v>
      </c>
      <c r="BR398" s="387">
        <f t="shared" si="278"/>
        <v>4107.1212000000005</v>
      </c>
      <c r="BS398" s="387">
        <f t="shared" si="279"/>
        <v>248.00958</v>
      </c>
      <c r="BT398" s="387">
        <f t="shared" si="280"/>
        <v>0</v>
      </c>
      <c r="BU398" s="387">
        <f t="shared" si="281"/>
        <v>190.39293000000001</v>
      </c>
      <c r="BV398" s="387">
        <f t="shared" si="282"/>
        <v>116.9532</v>
      </c>
      <c r="BW398" s="387">
        <f t="shared" si="283"/>
        <v>0</v>
      </c>
      <c r="BX398" s="387">
        <f t="shared" si="298"/>
        <v>7293.9239100000004</v>
      </c>
      <c r="BY398" s="387">
        <f t="shared" si="299"/>
        <v>0</v>
      </c>
      <c r="BZ398" s="387">
        <f t="shared" si="300"/>
        <v>0</v>
      </c>
      <c r="CA398" s="387">
        <f t="shared" si="301"/>
        <v>0</v>
      </c>
      <c r="CB398" s="387">
        <f t="shared" si="302"/>
        <v>0</v>
      </c>
      <c r="CC398" s="387">
        <f t="shared" si="284"/>
        <v>0</v>
      </c>
      <c r="CD398" s="387">
        <f t="shared" si="285"/>
        <v>0</v>
      </c>
      <c r="CE398" s="387">
        <f t="shared" si="286"/>
        <v>0</v>
      </c>
      <c r="CF398" s="387">
        <f t="shared" si="287"/>
        <v>-168.55019999999999</v>
      </c>
      <c r="CG398" s="387">
        <f t="shared" si="288"/>
        <v>0</v>
      </c>
      <c r="CH398" s="387">
        <f t="shared" si="289"/>
        <v>24.078599999999987</v>
      </c>
      <c r="CI398" s="387">
        <f t="shared" si="290"/>
        <v>0</v>
      </c>
      <c r="CJ398" s="387">
        <f t="shared" si="303"/>
        <v>-144.4716</v>
      </c>
      <c r="CK398" s="387" t="str">
        <f t="shared" si="304"/>
        <v/>
      </c>
      <c r="CL398" s="387" t="str">
        <f t="shared" si="305"/>
        <v/>
      </c>
      <c r="CM398" s="387" t="str">
        <f t="shared" si="306"/>
        <v/>
      </c>
      <c r="CN398" s="387" t="str">
        <f t="shared" si="307"/>
        <v>0348-31</v>
      </c>
    </row>
    <row r="399" spans="1:92" ht="15.75" thickBot="1" x14ac:dyDescent="0.3">
      <c r="A399" s="376" t="s">
        <v>161</v>
      </c>
      <c r="B399" s="376" t="s">
        <v>162</v>
      </c>
      <c r="C399" s="376" t="s">
        <v>318</v>
      </c>
      <c r="D399" s="376" t="s">
        <v>319</v>
      </c>
      <c r="E399" s="376" t="s">
        <v>224</v>
      </c>
      <c r="F399" s="382" t="s">
        <v>225</v>
      </c>
      <c r="G399" s="376" t="s">
        <v>781</v>
      </c>
      <c r="H399" s="378"/>
      <c r="I399" s="378"/>
      <c r="J399" s="376" t="s">
        <v>168</v>
      </c>
      <c r="K399" s="376" t="s">
        <v>320</v>
      </c>
      <c r="L399" s="376" t="s">
        <v>178</v>
      </c>
      <c r="M399" s="376" t="s">
        <v>171</v>
      </c>
      <c r="N399" s="376" t="s">
        <v>172</v>
      </c>
      <c r="O399" s="379">
        <v>1</v>
      </c>
      <c r="P399" s="385">
        <v>0</v>
      </c>
      <c r="Q399" s="385">
        <v>0</v>
      </c>
      <c r="R399" s="380">
        <v>80</v>
      </c>
      <c r="S399" s="385">
        <v>0</v>
      </c>
      <c r="T399" s="380">
        <v>27413.77</v>
      </c>
      <c r="U399" s="380">
        <v>0</v>
      </c>
      <c r="V399" s="380">
        <v>14257.22</v>
      </c>
      <c r="W399" s="380">
        <v>0</v>
      </c>
      <c r="X399" s="380">
        <v>0</v>
      </c>
      <c r="Y399" s="380">
        <v>0</v>
      </c>
      <c r="Z399" s="380">
        <v>0</v>
      </c>
      <c r="AA399" s="376" t="s">
        <v>321</v>
      </c>
      <c r="AB399" s="376" t="s">
        <v>322</v>
      </c>
      <c r="AC399" s="376" t="s">
        <v>323</v>
      </c>
      <c r="AD399" s="376" t="s">
        <v>324</v>
      </c>
      <c r="AE399" s="376" t="s">
        <v>320</v>
      </c>
      <c r="AF399" s="376" t="s">
        <v>253</v>
      </c>
      <c r="AG399" s="376" t="s">
        <v>178</v>
      </c>
      <c r="AH399" s="381">
        <v>18.579999999999998</v>
      </c>
      <c r="AI399" s="381">
        <v>39867.300000000003</v>
      </c>
      <c r="AJ399" s="376" t="s">
        <v>179</v>
      </c>
      <c r="AK399" s="376" t="s">
        <v>180</v>
      </c>
      <c r="AL399" s="376" t="s">
        <v>181</v>
      </c>
      <c r="AM399" s="376" t="s">
        <v>182</v>
      </c>
      <c r="AN399" s="376" t="s">
        <v>68</v>
      </c>
      <c r="AO399" s="379">
        <v>80</v>
      </c>
      <c r="AP399" s="385">
        <v>1</v>
      </c>
      <c r="AQ399" s="385">
        <v>0</v>
      </c>
      <c r="AR399" s="383" t="s">
        <v>183</v>
      </c>
      <c r="AS399" s="387">
        <f t="shared" si="291"/>
        <v>0</v>
      </c>
      <c r="AT399">
        <f t="shared" si="292"/>
        <v>0</v>
      </c>
      <c r="AU399" s="387" t="str">
        <f>IF(AT399=0,"",IF(AND(AT399=1,M399="F",SUMIF(C2:C1334,C399,AS2:AS1334)&lt;=1),SUMIF(C2:C1334,C399,AS2:AS1334),IF(AND(AT399=1,M399="F",SUMIF(C2:C1334,C399,AS2:AS1334)&gt;1),1,"")))</f>
        <v/>
      </c>
      <c r="AV399" s="387" t="str">
        <f>IF(AT399=0,"",IF(AND(AT399=3,M399="F",SUMIF(C2:C1334,C399,AS2:AS1334)&lt;=1),SUMIF(C2:C1334,C399,AS2:AS1334),IF(AND(AT399=3,M399="F",SUMIF(C2:C1334,C399,AS2:AS1334)&gt;1),1,"")))</f>
        <v/>
      </c>
      <c r="AW399" s="387">
        <f>SUMIF(C2:C1334,C399,O2:O1334)</f>
        <v>5</v>
      </c>
      <c r="AX399" s="387">
        <f>IF(AND(M399="F",AS399&lt;&gt;0),SUMIF(C2:C1334,C399,W2:W1334),0)</f>
        <v>0</v>
      </c>
      <c r="AY399" s="387" t="str">
        <f t="shared" si="293"/>
        <v/>
      </c>
      <c r="AZ399" s="387" t="str">
        <f t="shared" si="294"/>
        <v/>
      </c>
      <c r="BA399" s="387">
        <f t="shared" si="295"/>
        <v>0</v>
      </c>
      <c r="BB399" s="387">
        <f t="shared" si="264"/>
        <v>0</v>
      </c>
      <c r="BC399" s="387">
        <f t="shared" si="265"/>
        <v>0</v>
      </c>
      <c r="BD399" s="387">
        <f t="shared" si="266"/>
        <v>0</v>
      </c>
      <c r="BE399" s="387">
        <f t="shared" si="267"/>
        <v>0</v>
      </c>
      <c r="BF399" s="387">
        <f t="shared" si="268"/>
        <v>0</v>
      </c>
      <c r="BG399" s="387">
        <f t="shared" si="269"/>
        <v>0</v>
      </c>
      <c r="BH399" s="387">
        <f t="shared" si="270"/>
        <v>0</v>
      </c>
      <c r="BI399" s="387">
        <f t="shared" si="271"/>
        <v>0</v>
      </c>
      <c r="BJ399" s="387">
        <f t="shared" si="272"/>
        <v>0</v>
      </c>
      <c r="BK399" s="387">
        <f t="shared" si="273"/>
        <v>0</v>
      </c>
      <c r="BL399" s="387">
        <f t="shared" si="296"/>
        <v>0</v>
      </c>
      <c r="BM399" s="387">
        <f t="shared" si="297"/>
        <v>0</v>
      </c>
      <c r="BN399" s="387">
        <f t="shared" si="274"/>
        <v>0</v>
      </c>
      <c r="BO399" s="387">
        <f t="shared" si="275"/>
        <v>0</v>
      </c>
      <c r="BP399" s="387">
        <f t="shared" si="276"/>
        <v>0</v>
      </c>
      <c r="BQ399" s="387">
        <f t="shared" si="277"/>
        <v>0</v>
      </c>
      <c r="BR399" s="387">
        <f t="shared" si="278"/>
        <v>0</v>
      </c>
      <c r="BS399" s="387">
        <f t="shared" si="279"/>
        <v>0</v>
      </c>
      <c r="BT399" s="387">
        <f t="shared" si="280"/>
        <v>0</v>
      </c>
      <c r="BU399" s="387">
        <f t="shared" si="281"/>
        <v>0</v>
      </c>
      <c r="BV399" s="387">
        <f t="shared" si="282"/>
        <v>0</v>
      </c>
      <c r="BW399" s="387">
        <f t="shared" si="283"/>
        <v>0</v>
      </c>
      <c r="BX399" s="387">
        <f t="shared" si="298"/>
        <v>0</v>
      </c>
      <c r="BY399" s="387">
        <f t="shared" si="299"/>
        <v>0</v>
      </c>
      <c r="BZ399" s="387">
        <f t="shared" si="300"/>
        <v>0</v>
      </c>
      <c r="CA399" s="387">
        <f t="shared" si="301"/>
        <v>0</v>
      </c>
      <c r="CB399" s="387">
        <f t="shared" si="302"/>
        <v>0</v>
      </c>
      <c r="CC399" s="387">
        <f t="shared" si="284"/>
        <v>0</v>
      </c>
      <c r="CD399" s="387">
        <f t="shared" si="285"/>
        <v>0</v>
      </c>
      <c r="CE399" s="387">
        <f t="shared" si="286"/>
        <v>0</v>
      </c>
      <c r="CF399" s="387">
        <f t="shared" si="287"/>
        <v>0</v>
      </c>
      <c r="CG399" s="387">
        <f t="shared" si="288"/>
        <v>0</v>
      </c>
      <c r="CH399" s="387">
        <f t="shared" si="289"/>
        <v>0</v>
      </c>
      <c r="CI399" s="387">
        <f t="shared" si="290"/>
        <v>0</v>
      </c>
      <c r="CJ399" s="387">
        <f t="shared" si="303"/>
        <v>0</v>
      </c>
      <c r="CK399" s="387" t="str">
        <f t="shared" si="304"/>
        <v/>
      </c>
      <c r="CL399" s="387" t="str">
        <f t="shared" si="305"/>
        <v/>
      </c>
      <c r="CM399" s="387" t="str">
        <f t="shared" si="306"/>
        <v/>
      </c>
      <c r="CN399" s="387" t="str">
        <f t="shared" si="307"/>
        <v>0348-31</v>
      </c>
    </row>
    <row r="400" spans="1:92" ht="15.75" thickBot="1" x14ac:dyDescent="0.3">
      <c r="A400" s="376" t="s">
        <v>161</v>
      </c>
      <c r="B400" s="376" t="s">
        <v>162</v>
      </c>
      <c r="C400" s="376" t="s">
        <v>1360</v>
      </c>
      <c r="D400" s="376" t="s">
        <v>862</v>
      </c>
      <c r="E400" s="376" t="s">
        <v>224</v>
      </c>
      <c r="F400" s="382" t="s">
        <v>225</v>
      </c>
      <c r="G400" s="376" t="s">
        <v>781</v>
      </c>
      <c r="H400" s="378"/>
      <c r="I400" s="378"/>
      <c r="J400" s="376" t="s">
        <v>215</v>
      </c>
      <c r="K400" s="376" t="s">
        <v>863</v>
      </c>
      <c r="L400" s="376" t="s">
        <v>252</v>
      </c>
      <c r="M400" s="376" t="s">
        <v>272</v>
      </c>
      <c r="N400" s="376" t="s">
        <v>172</v>
      </c>
      <c r="O400" s="379">
        <v>0</v>
      </c>
      <c r="P400" s="385">
        <v>0</v>
      </c>
      <c r="Q400" s="385">
        <v>0</v>
      </c>
      <c r="R400" s="380">
        <v>80</v>
      </c>
      <c r="S400" s="385">
        <v>0</v>
      </c>
      <c r="T400" s="380">
        <v>14813.38</v>
      </c>
      <c r="U400" s="380">
        <v>0</v>
      </c>
      <c r="V400" s="380">
        <v>8936.41</v>
      </c>
      <c r="W400" s="380">
        <v>0</v>
      </c>
      <c r="X400" s="380">
        <v>0</v>
      </c>
      <c r="Y400" s="380">
        <v>0</v>
      </c>
      <c r="Z400" s="380">
        <v>0</v>
      </c>
      <c r="AA400" s="378"/>
      <c r="AB400" s="376" t="s">
        <v>45</v>
      </c>
      <c r="AC400" s="376" t="s">
        <v>45</v>
      </c>
      <c r="AD400" s="378"/>
      <c r="AE400" s="378"/>
      <c r="AF400" s="378"/>
      <c r="AG400" s="378"/>
      <c r="AH400" s="379">
        <v>0</v>
      </c>
      <c r="AI400" s="379">
        <v>0</v>
      </c>
      <c r="AJ400" s="378"/>
      <c r="AK400" s="378"/>
      <c r="AL400" s="376" t="s">
        <v>181</v>
      </c>
      <c r="AM400" s="378"/>
      <c r="AN400" s="378"/>
      <c r="AO400" s="379">
        <v>0</v>
      </c>
      <c r="AP400" s="385">
        <v>0</v>
      </c>
      <c r="AQ400" s="385">
        <v>0</v>
      </c>
      <c r="AR400" s="384"/>
      <c r="AS400" s="387">
        <f t="shared" si="291"/>
        <v>0</v>
      </c>
      <c r="AT400">
        <f t="shared" si="292"/>
        <v>0</v>
      </c>
      <c r="AU400" s="387" t="str">
        <f>IF(AT400=0,"",IF(AND(AT400=1,M400="F",SUMIF(C2:C1334,C400,AS2:AS1334)&lt;=1),SUMIF(C2:C1334,C400,AS2:AS1334),IF(AND(AT400=1,M400="F",SUMIF(C2:C1334,C400,AS2:AS1334)&gt;1),1,"")))</f>
        <v/>
      </c>
      <c r="AV400" s="387" t="str">
        <f>IF(AT400=0,"",IF(AND(AT400=3,M400="F",SUMIF(C2:C1334,C400,AS2:AS1334)&lt;=1),SUMIF(C2:C1334,C400,AS2:AS1334),IF(AND(AT400=3,M400="F",SUMIF(C2:C1334,C400,AS2:AS1334)&gt;1),1,"")))</f>
        <v/>
      </c>
      <c r="AW400" s="387">
        <f>SUMIF(C2:C1334,C400,O2:O1334)</f>
        <v>0</v>
      </c>
      <c r="AX400" s="387">
        <f>IF(AND(M400="F",AS400&lt;&gt;0),SUMIF(C2:C1334,C400,W2:W1334),0)</f>
        <v>0</v>
      </c>
      <c r="AY400" s="387" t="str">
        <f t="shared" si="293"/>
        <v/>
      </c>
      <c r="AZ400" s="387" t="str">
        <f t="shared" si="294"/>
        <v/>
      </c>
      <c r="BA400" s="387">
        <f t="shared" si="295"/>
        <v>0</v>
      </c>
      <c r="BB400" s="387">
        <f t="shared" si="264"/>
        <v>0</v>
      </c>
      <c r="BC400" s="387">
        <f t="shared" si="265"/>
        <v>0</v>
      </c>
      <c r="BD400" s="387">
        <f t="shared" si="266"/>
        <v>0</v>
      </c>
      <c r="BE400" s="387">
        <f t="shared" si="267"/>
        <v>0</v>
      </c>
      <c r="BF400" s="387">
        <f t="shared" si="268"/>
        <v>0</v>
      </c>
      <c r="BG400" s="387">
        <f t="shared" si="269"/>
        <v>0</v>
      </c>
      <c r="BH400" s="387">
        <f t="shared" si="270"/>
        <v>0</v>
      </c>
      <c r="BI400" s="387">
        <f t="shared" si="271"/>
        <v>0</v>
      </c>
      <c r="BJ400" s="387">
        <f t="shared" si="272"/>
        <v>0</v>
      </c>
      <c r="BK400" s="387">
        <f t="shared" si="273"/>
        <v>0</v>
      </c>
      <c r="BL400" s="387">
        <f t="shared" si="296"/>
        <v>0</v>
      </c>
      <c r="BM400" s="387">
        <f t="shared" si="297"/>
        <v>0</v>
      </c>
      <c r="BN400" s="387">
        <f t="shared" si="274"/>
        <v>0</v>
      </c>
      <c r="BO400" s="387">
        <f t="shared" si="275"/>
        <v>0</v>
      </c>
      <c r="BP400" s="387">
        <f t="shared" si="276"/>
        <v>0</v>
      </c>
      <c r="BQ400" s="387">
        <f t="shared" si="277"/>
        <v>0</v>
      </c>
      <c r="BR400" s="387">
        <f t="shared" si="278"/>
        <v>0</v>
      </c>
      <c r="BS400" s="387">
        <f t="shared" si="279"/>
        <v>0</v>
      </c>
      <c r="BT400" s="387">
        <f t="shared" si="280"/>
        <v>0</v>
      </c>
      <c r="BU400" s="387">
        <f t="shared" si="281"/>
        <v>0</v>
      </c>
      <c r="BV400" s="387">
        <f t="shared" si="282"/>
        <v>0</v>
      </c>
      <c r="BW400" s="387">
        <f t="shared" si="283"/>
        <v>0</v>
      </c>
      <c r="BX400" s="387">
        <f t="shared" si="298"/>
        <v>0</v>
      </c>
      <c r="BY400" s="387">
        <f t="shared" si="299"/>
        <v>0</v>
      </c>
      <c r="BZ400" s="387">
        <f t="shared" si="300"/>
        <v>0</v>
      </c>
      <c r="CA400" s="387">
        <f t="shared" si="301"/>
        <v>0</v>
      </c>
      <c r="CB400" s="387">
        <f t="shared" si="302"/>
        <v>0</v>
      </c>
      <c r="CC400" s="387">
        <f t="shared" si="284"/>
        <v>0</v>
      </c>
      <c r="CD400" s="387">
        <f t="shared" si="285"/>
        <v>0</v>
      </c>
      <c r="CE400" s="387">
        <f t="shared" si="286"/>
        <v>0</v>
      </c>
      <c r="CF400" s="387">
        <f t="shared" si="287"/>
        <v>0</v>
      </c>
      <c r="CG400" s="387">
        <f t="shared" si="288"/>
        <v>0</v>
      </c>
      <c r="CH400" s="387">
        <f t="shared" si="289"/>
        <v>0</v>
      </c>
      <c r="CI400" s="387">
        <f t="shared" si="290"/>
        <v>0</v>
      </c>
      <c r="CJ400" s="387">
        <f t="shared" si="303"/>
        <v>0</v>
      </c>
      <c r="CK400" s="387" t="str">
        <f t="shared" si="304"/>
        <v/>
      </c>
      <c r="CL400" s="387" t="str">
        <f t="shared" si="305"/>
        <v/>
      </c>
      <c r="CM400" s="387" t="str">
        <f t="shared" si="306"/>
        <v/>
      </c>
      <c r="CN400" s="387" t="str">
        <f t="shared" si="307"/>
        <v>0348-31</v>
      </c>
    </row>
    <row r="401" spans="1:92" ht="15.75" thickBot="1" x14ac:dyDescent="0.3">
      <c r="A401" s="376" t="s">
        <v>161</v>
      </c>
      <c r="B401" s="376" t="s">
        <v>162</v>
      </c>
      <c r="C401" s="376" t="s">
        <v>1361</v>
      </c>
      <c r="D401" s="376" t="s">
        <v>792</v>
      </c>
      <c r="E401" s="376" t="s">
        <v>224</v>
      </c>
      <c r="F401" s="382" t="s">
        <v>225</v>
      </c>
      <c r="G401" s="376" t="s">
        <v>781</v>
      </c>
      <c r="H401" s="378"/>
      <c r="I401" s="378"/>
      <c r="J401" s="376" t="s">
        <v>215</v>
      </c>
      <c r="K401" s="376" t="s">
        <v>793</v>
      </c>
      <c r="L401" s="376" t="s">
        <v>170</v>
      </c>
      <c r="M401" s="376" t="s">
        <v>171</v>
      </c>
      <c r="N401" s="376" t="s">
        <v>172</v>
      </c>
      <c r="O401" s="379">
        <v>1</v>
      </c>
      <c r="P401" s="385">
        <v>1</v>
      </c>
      <c r="Q401" s="385">
        <v>1</v>
      </c>
      <c r="R401" s="380">
        <v>80</v>
      </c>
      <c r="S401" s="385">
        <v>1</v>
      </c>
      <c r="T401" s="380">
        <v>45620.85</v>
      </c>
      <c r="U401" s="380">
        <v>0</v>
      </c>
      <c r="V401" s="380">
        <v>20001.060000000001</v>
      </c>
      <c r="W401" s="380">
        <v>52728</v>
      </c>
      <c r="X401" s="380">
        <v>23052.39</v>
      </c>
      <c r="Y401" s="380">
        <v>52728</v>
      </c>
      <c r="Z401" s="380">
        <v>22830.94</v>
      </c>
      <c r="AA401" s="376" t="s">
        <v>1362</v>
      </c>
      <c r="AB401" s="376" t="s">
        <v>1363</v>
      </c>
      <c r="AC401" s="376" t="s">
        <v>1364</v>
      </c>
      <c r="AD401" s="376" t="s">
        <v>198</v>
      </c>
      <c r="AE401" s="376" t="s">
        <v>793</v>
      </c>
      <c r="AF401" s="376" t="s">
        <v>177</v>
      </c>
      <c r="AG401" s="376" t="s">
        <v>178</v>
      </c>
      <c r="AH401" s="381">
        <v>25.35</v>
      </c>
      <c r="AI401" s="379">
        <v>32696</v>
      </c>
      <c r="AJ401" s="376" t="s">
        <v>179</v>
      </c>
      <c r="AK401" s="376" t="s">
        <v>180</v>
      </c>
      <c r="AL401" s="376" t="s">
        <v>181</v>
      </c>
      <c r="AM401" s="376" t="s">
        <v>182</v>
      </c>
      <c r="AN401" s="376" t="s">
        <v>68</v>
      </c>
      <c r="AO401" s="379">
        <v>80</v>
      </c>
      <c r="AP401" s="385">
        <v>1</v>
      </c>
      <c r="AQ401" s="385">
        <v>1</v>
      </c>
      <c r="AR401" s="383" t="s">
        <v>183</v>
      </c>
      <c r="AS401" s="387">
        <f t="shared" si="291"/>
        <v>1</v>
      </c>
      <c r="AT401">
        <f t="shared" si="292"/>
        <v>1</v>
      </c>
      <c r="AU401" s="387">
        <f>IF(AT401=0,"",IF(AND(AT401=1,M401="F",SUMIF(C2:C1334,C401,AS2:AS1334)&lt;=1),SUMIF(C2:C1334,C401,AS2:AS1334),IF(AND(AT401=1,M401="F",SUMIF(C2:C1334,C401,AS2:AS1334)&gt;1),1,"")))</f>
        <v>1</v>
      </c>
      <c r="AV401" s="387" t="str">
        <f>IF(AT401=0,"",IF(AND(AT401=3,M401="F",SUMIF(C2:C1334,C401,AS2:AS1334)&lt;=1),SUMIF(C2:C1334,C401,AS2:AS1334),IF(AND(AT401=3,M401="F",SUMIF(C2:C1334,C401,AS2:AS1334)&gt;1),1,"")))</f>
        <v/>
      </c>
      <c r="AW401" s="387">
        <f>SUMIF(C2:C1334,C401,O2:O1334)</f>
        <v>3</v>
      </c>
      <c r="AX401" s="387">
        <f>IF(AND(M401="F",AS401&lt;&gt;0),SUMIF(C2:C1334,C401,W2:W1334),0)</f>
        <v>52728</v>
      </c>
      <c r="AY401" s="387">
        <f t="shared" si="293"/>
        <v>52728</v>
      </c>
      <c r="AZ401" s="387" t="str">
        <f t="shared" si="294"/>
        <v/>
      </c>
      <c r="BA401" s="387">
        <f t="shared" si="295"/>
        <v>0</v>
      </c>
      <c r="BB401" s="387">
        <f t="shared" si="264"/>
        <v>11650</v>
      </c>
      <c r="BC401" s="387">
        <f t="shared" si="265"/>
        <v>0</v>
      </c>
      <c r="BD401" s="387">
        <f t="shared" si="266"/>
        <v>3269.136</v>
      </c>
      <c r="BE401" s="387">
        <f t="shared" si="267"/>
        <v>764.55600000000004</v>
      </c>
      <c r="BF401" s="387">
        <f t="shared" si="268"/>
        <v>6295.7232000000004</v>
      </c>
      <c r="BG401" s="387">
        <f t="shared" si="269"/>
        <v>380.16888</v>
      </c>
      <c r="BH401" s="387">
        <f t="shared" si="270"/>
        <v>258.36719999999997</v>
      </c>
      <c r="BI401" s="387">
        <f t="shared" si="271"/>
        <v>291.84947999999997</v>
      </c>
      <c r="BJ401" s="387">
        <f t="shared" si="272"/>
        <v>142.3656</v>
      </c>
      <c r="BK401" s="387">
        <f t="shared" si="273"/>
        <v>0</v>
      </c>
      <c r="BL401" s="387">
        <f t="shared" si="296"/>
        <v>11402.166359999999</v>
      </c>
      <c r="BM401" s="387">
        <f t="shared" si="297"/>
        <v>0</v>
      </c>
      <c r="BN401" s="387">
        <f t="shared" si="274"/>
        <v>11650</v>
      </c>
      <c r="BO401" s="387">
        <f t="shared" si="275"/>
        <v>0</v>
      </c>
      <c r="BP401" s="387">
        <f t="shared" si="276"/>
        <v>3269.136</v>
      </c>
      <c r="BQ401" s="387">
        <f t="shared" si="277"/>
        <v>764.55600000000004</v>
      </c>
      <c r="BR401" s="387">
        <f t="shared" si="278"/>
        <v>6295.7232000000004</v>
      </c>
      <c r="BS401" s="387">
        <f t="shared" si="279"/>
        <v>380.16888</v>
      </c>
      <c r="BT401" s="387">
        <f t="shared" si="280"/>
        <v>0</v>
      </c>
      <c r="BU401" s="387">
        <f t="shared" si="281"/>
        <v>291.84947999999997</v>
      </c>
      <c r="BV401" s="387">
        <f t="shared" si="282"/>
        <v>179.27519999999998</v>
      </c>
      <c r="BW401" s="387">
        <f t="shared" si="283"/>
        <v>0</v>
      </c>
      <c r="BX401" s="387">
        <f t="shared" si="298"/>
        <v>11180.70876</v>
      </c>
      <c r="BY401" s="387">
        <f t="shared" si="299"/>
        <v>0</v>
      </c>
      <c r="BZ401" s="387">
        <f t="shared" si="300"/>
        <v>0</v>
      </c>
      <c r="CA401" s="387">
        <f t="shared" si="301"/>
        <v>0</v>
      </c>
      <c r="CB401" s="387">
        <f t="shared" si="302"/>
        <v>0</v>
      </c>
      <c r="CC401" s="387">
        <f t="shared" si="284"/>
        <v>0</v>
      </c>
      <c r="CD401" s="387">
        <f t="shared" si="285"/>
        <v>0</v>
      </c>
      <c r="CE401" s="387">
        <f t="shared" si="286"/>
        <v>0</v>
      </c>
      <c r="CF401" s="387">
        <f t="shared" si="287"/>
        <v>-258.36719999999997</v>
      </c>
      <c r="CG401" s="387">
        <f t="shared" si="288"/>
        <v>0</v>
      </c>
      <c r="CH401" s="387">
        <f t="shared" si="289"/>
        <v>36.909599999999983</v>
      </c>
      <c r="CI401" s="387">
        <f t="shared" si="290"/>
        <v>0</v>
      </c>
      <c r="CJ401" s="387">
        <f t="shared" si="303"/>
        <v>-221.45759999999999</v>
      </c>
      <c r="CK401" s="387" t="str">
        <f t="shared" si="304"/>
        <v/>
      </c>
      <c r="CL401" s="387" t="str">
        <f t="shared" si="305"/>
        <v/>
      </c>
      <c r="CM401" s="387" t="str">
        <f t="shared" si="306"/>
        <v/>
      </c>
      <c r="CN401" s="387" t="str">
        <f t="shared" si="307"/>
        <v>0348-31</v>
      </c>
    </row>
    <row r="402" spans="1:92" ht="15.75" thickBot="1" x14ac:dyDescent="0.3">
      <c r="A402" s="376" t="s">
        <v>161</v>
      </c>
      <c r="B402" s="376" t="s">
        <v>162</v>
      </c>
      <c r="C402" s="376" t="s">
        <v>1365</v>
      </c>
      <c r="D402" s="376" t="s">
        <v>862</v>
      </c>
      <c r="E402" s="376" t="s">
        <v>224</v>
      </c>
      <c r="F402" s="382" t="s">
        <v>225</v>
      </c>
      <c r="G402" s="376" t="s">
        <v>781</v>
      </c>
      <c r="H402" s="378"/>
      <c r="I402" s="378"/>
      <c r="J402" s="376" t="s">
        <v>239</v>
      </c>
      <c r="K402" s="376" t="s">
        <v>863</v>
      </c>
      <c r="L402" s="376" t="s">
        <v>252</v>
      </c>
      <c r="M402" s="376" t="s">
        <v>171</v>
      </c>
      <c r="N402" s="376" t="s">
        <v>172</v>
      </c>
      <c r="O402" s="379">
        <v>1</v>
      </c>
      <c r="P402" s="385">
        <v>0.25</v>
      </c>
      <c r="Q402" s="385">
        <v>0.25</v>
      </c>
      <c r="R402" s="380">
        <v>80</v>
      </c>
      <c r="S402" s="385">
        <v>0.25</v>
      </c>
      <c r="T402" s="380">
        <v>17681.310000000001</v>
      </c>
      <c r="U402" s="380">
        <v>0</v>
      </c>
      <c r="V402" s="380">
        <v>8973.5400000000009</v>
      </c>
      <c r="W402" s="380">
        <v>11819.6</v>
      </c>
      <c r="X402" s="380">
        <v>5468.48</v>
      </c>
      <c r="Y402" s="380">
        <v>11819.6</v>
      </c>
      <c r="Z402" s="380">
        <v>5418.84</v>
      </c>
      <c r="AA402" s="376" t="s">
        <v>1366</v>
      </c>
      <c r="AB402" s="376" t="s">
        <v>1367</v>
      </c>
      <c r="AC402" s="376" t="s">
        <v>1368</v>
      </c>
      <c r="AD402" s="376" t="s">
        <v>268</v>
      </c>
      <c r="AE402" s="376" t="s">
        <v>863</v>
      </c>
      <c r="AF402" s="376" t="s">
        <v>393</v>
      </c>
      <c r="AG402" s="376" t="s">
        <v>178</v>
      </c>
      <c r="AH402" s="381">
        <v>22.73</v>
      </c>
      <c r="AI402" s="379">
        <v>38069</v>
      </c>
      <c r="AJ402" s="376" t="s">
        <v>179</v>
      </c>
      <c r="AK402" s="376" t="s">
        <v>180</v>
      </c>
      <c r="AL402" s="376" t="s">
        <v>181</v>
      </c>
      <c r="AM402" s="376" t="s">
        <v>182</v>
      </c>
      <c r="AN402" s="376" t="s">
        <v>68</v>
      </c>
      <c r="AO402" s="379">
        <v>80</v>
      </c>
      <c r="AP402" s="385">
        <v>1</v>
      </c>
      <c r="AQ402" s="385">
        <v>0.25</v>
      </c>
      <c r="AR402" s="383" t="s">
        <v>183</v>
      </c>
      <c r="AS402" s="387">
        <f t="shared" si="291"/>
        <v>0.25</v>
      </c>
      <c r="AT402">
        <f t="shared" si="292"/>
        <v>1</v>
      </c>
      <c r="AU402" s="387">
        <f>IF(AT402=0,"",IF(AND(AT402=1,M402="F",SUMIF(C2:C1334,C402,AS2:AS1334)&lt;=1),SUMIF(C2:C1334,C402,AS2:AS1334),IF(AND(AT402=1,M402="F",SUMIF(C2:C1334,C402,AS2:AS1334)&gt;1),1,"")))</f>
        <v>1</v>
      </c>
      <c r="AV402" s="387" t="str">
        <f>IF(AT402=0,"",IF(AND(AT402=3,M402="F",SUMIF(C2:C1334,C402,AS2:AS1334)&lt;=1),SUMIF(C2:C1334,C402,AS2:AS1334),IF(AND(AT402=3,M402="F",SUMIF(C2:C1334,C402,AS2:AS1334)&gt;1),1,"")))</f>
        <v/>
      </c>
      <c r="AW402" s="387">
        <f>SUMIF(C2:C1334,C402,O2:O1334)</f>
        <v>3</v>
      </c>
      <c r="AX402" s="387">
        <f>IF(AND(M402="F",AS402&lt;&gt;0),SUMIF(C2:C1334,C402,W2:W1334),0)</f>
        <v>47278.400000000001</v>
      </c>
      <c r="AY402" s="387">
        <f t="shared" si="293"/>
        <v>11819.6</v>
      </c>
      <c r="AZ402" s="387" t="str">
        <f t="shared" si="294"/>
        <v/>
      </c>
      <c r="BA402" s="387">
        <f t="shared" si="295"/>
        <v>0</v>
      </c>
      <c r="BB402" s="387">
        <f t="shared" si="264"/>
        <v>2912.5</v>
      </c>
      <c r="BC402" s="387">
        <f t="shared" si="265"/>
        <v>0</v>
      </c>
      <c r="BD402" s="387">
        <f t="shared" si="266"/>
        <v>732.8152</v>
      </c>
      <c r="BE402" s="387">
        <f t="shared" si="267"/>
        <v>171.38420000000002</v>
      </c>
      <c r="BF402" s="387">
        <f t="shared" si="268"/>
        <v>1411.2602400000001</v>
      </c>
      <c r="BG402" s="387">
        <f t="shared" si="269"/>
        <v>85.219316000000006</v>
      </c>
      <c r="BH402" s="387">
        <f t="shared" si="270"/>
        <v>57.916040000000002</v>
      </c>
      <c r="BI402" s="387">
        <f t="shared" si="271"/>
        <v>65.421486000000002</v>
      </c>
      <c r="BJ402" s="387">
        <f t="shared" si="272"/>
        <v>31.912920000000003</v>
      </c>
      <c r="BK402" s="387">
        <f t="shared" si="273"/>
        <v>0</v>
      </c>
      <c r="BL402" s="387">
        <f t="shared" si="296"/>
        <v>2555.9294020000007</v>
      </c>
      <c r="BM402" s="387">
        <f t="shared" si="297"/>
        <v>0</v>
      </c>
      <c r="BN402" s="387">
        <f t="shared" si="274"/>
        <v>2912.5</v>
      </c>
      <c r="BO402" s="387">
        <f t="shared" si="275"/>
        <v>0</v>
      </c>
      <c r="BP402" s="387">
        <f t="shared" si="276"/>
        <v>732.8152</v>
      </c>
      <c r="BQ402" s="387">
        <f t="shared" si="277"/>
        <v>171.38420000000002</v>
      </c>
      <c r="BR402" s="387">
        <f t="shared" si="278"/>
        <v>1411.2602400000001</v>
      </c>
      <c r="BS402" s="387">
        <f t="shared" si="279"/>
        <v>85.219316000000006</v>
      </c>
      <c r="BT402" s="387">
        <f t="shared" si="280"/>
        <v>0</v>
      </c>
      <c r="BU402" s="387">
        <f t="shared" si="281"/>
        <v>65.421486000000002</v>
      </c>
      <c r="BV402" s="387">
        <f t="shared" si="282"/>
        <v>40.186639999999997</v>
      </c>
      <c r="BW402" s="387">
        <f t="shared" si="283"/>
        <v>0</v>
      </c>
      <c r="BX402" s="387">
        <f t="shared" si="298"/>
        <v>2506.2870820000003</v>
      </c>
      <c r="BY402" s="387">
        <f t="shared" si="299"/>
        <v>0</v>
      </c>
      <c r="BZ402" s="387">
        <f t="shared" si="300"/>
        <v>0</v>
      </c>
      <c r="CA402" s="387">
        <f t="shared" si="301"/>
        <v>0</v>
      </c>
      <c r="CB402" s="387">
        <f t="shared" si="302"/>
        <v>0</v>
      </c>
      <c r="CC402" s="387">
        <f t="shared" si="284"/>
        <v>0</v>
      </c>
      <c r="CD402" s="387">
        <f t="shared" si="285"/>
        <v>0</v>
      </c>
      <c r="CE402" s="387">
        <f t="shared" si="286"/>
        <v>0</v>
      </c>
      <c r="CF402" s="387">
        <f t="shared" si="287"/>
        <v>-57.916040000000002</v>
      </c>
      <c r="CG402" s="387">
        <f t="shared" si="288"/>
        <v>0</v>
      </c>
      <c r="CH402" s="387">
        <f t="shared" si="289"/>
        <v>8.2737199999999955</v>
      </c>
      <c r="CI402" s="387">
        <f t="shared" si="290"/>
        <v>0</v>
      </c>
      <c r="CJ402" s="387">
        <f t="shared" si="303"/>
        <v>-49.642320000000005</v>
      </c>
      <c r="CK402" s="387" t="str">
        <f t="shared" si="304"/>
        <v/>
      </c>
      <c r="CL402" s="387" t="str">
        <f t="shared" si="305"/>
        <v/>
      </c>
      <c r="CM402" s="387" t="str">
        <f t="shared" si="306"/>
        <v/>
      </c>
      <c r="CN402" s="387" t="str">
        <f t="shared" si="307"/>
        <v>0348-31</v>
      </c>
    </row>
    <row r="403" spans="1:92" ht="15.75" thickBot="1" x14ac:dyDescent="0.3">
      <c r="A403" s="376" t="s">
        <v>161</v>
      </c>
      <c r="B403" s="376" t="s">
        <v>162</v>
      </c>
      <c r="C403" s="376" t="s">
        <v>1369</v>
      </c>
      <c r="D403" s="376" t="s">
        <v>862</v>
      </c>
      <c r="E403" s="376" t="s">
        <v>224</v>
      </c>
      <c r="F403" s="382" t="s">
        <v>225</v>
      </c>
      <c r="G403" s="376" t="s">
        <v>781</v>
      </c>
      <c r="H403" s="378"/>
      <c r="I403" s="378"/>
      <c r="J403" s="376" t="s">
        <v>168</v>
      </c>
      <c r="K403" s="376" t="s">
        <v>863</v>
      </c>
      <c r="L403" s="376" t="s">
        <v>252</v>
      </c>
      <c r="M403" s="376" t="s">
        <v>171</v>
      </c>
      <c r="N403" s="376" t="s">
        <v>172</v>
      </c>
      <c r="O403" s="379">
        <v>1</v>
      </c>
      <c r="P403" s="385">
        <v>0.9</v>
      </c>
      <c r="Q403" s="385">
        <v>0.9</v>
      </c>
      <c r="R403" s="380">
        <v>80</v>
      </c>
      <c r="S403" s="385">
        <v>0.9</v>
      </c>
      <c r="T403" s="380">
        <v>35588.480000000003</v>
      </c>
      <c r="U403" s="380">
        <v>0</v>
      </c>
      <c r="V403" s="380">
        <v>18307.21</v>
      </c>
      <c r="W403" s="380">
        <v>40360.32</v>
      </c>
      <c r="X403" s="380">
        <v>19212.87</v>
      </c>
      <c r="Y403" s="380">
        <v>40360.32</v>
      </c>
      <c r="Z403" s="380">
        <v>19043.37</v>
      </c>
      <c r="AA403" s="376" t="s">
        <v>1370</v>
      </c>
      <c r="AB403" s="376" t="s">
        <v>1371</v>
      </c>
      <c r="AC403" s="376" t="s">
        <v>1372</v>
      </c>
      <c r="AD403" s="376" t="s">
        <v>292</v>
      </c>
      <c r="AE403" s="376" t="s">
        <v>863</v>
      </c>
      <c r="AF403" s="376" t="s">
        <v>393</v>
      </c>
      <c r="AG403" s="376" t="s">
        <v>178</v>
      </c>
      <c r="AH403" s="381">
        <v>21.56</v>
      </c>
      <c r="AI403" s="381">
        <v>20290.7</v>
      </c>
      <c r="AJ403" s="376" t="s">
        <v>179</v>
      </c>
      <c r="AK403" s="376" t="s">
        <v>180</v>
      </c>
      <c r="AL403" s="376" t="s">
        <v>181</v>
      </c>
      <c r="AM403" s="376" t="s">
        <v>182</v>
      </c>
      <c r="AN403" s="376" t="s">
        <v>68</v>
      </c>
      <c r="AO403" s="379">
        <v>80</v>
      </c>
      <c r="AP403" s="385">
        <v>1</v>
      </c>
      <c r="AQ403" s="385">
        <v>0.9</v>
      </c>
      <c r="AR403" s="383" t="s">
        <v>183</v>
      </c>
      <c r="AS403" s="387">
        <f t="shared" si="291"/>
        <v>0.9</v>
      </c>
      <c r="AT403">
        <f t="shared" si="292"/>
        <v>1</v>
      </c>
      <c r="AU403" s="387">
        <f>IF(AT403=0,"",IF(AND(AT403=1,M403="F",SUMIF(C2:C1334,C403,AS2:AS1334)&lt;=1),SUMIF(C2:C1334,C403,AS2:AS1334),IF(AND(AT403=1,M403="F",SUMIF(C2:C1334,C403,AS2:AS1334)&gt;1),1,"")))</f>
        <v>1</v>
      </c>
      <c r="AV403" s="387" t="str">
        <f>IF(AT403=0,"",IF(AND(AT403=3,M403="F",SUMIF(C2:C1334,C403,AS2:AS1334)&lt;=1),SUMIF(C2:C1334,C403,AS2:AS1334),IF(AND(AT403=3,M403="F",SUMIF(C2:C1334,C403,AS2:AS1334)&gt;1),1,"")))</f>
        <v/>
      </c>
      <c r="AW403" s="387">
        <f>SUMIF(C2:C1334,C403,O2:O1334)</f>
        <v>3</v>
      </c>
      <c r="AX403" s="387">
        <f>IF(AND(M403="F",AS403&lt;&gt;0),SUMIF(C2:C1334,C403,W2:W1334),0)</f>
        <v>44844.800000000003</v>
      </c>
      <c r="AY403" s="387">
        <f t="shared" si="293"/>
        <v>40360.32</v>
      </c>
      <c r="AZ403" s="387" t="str">
        <f t="shared" si="294"/>
        <v/>
      </c>
      <c r="BA403" s="387">
        <f t="shared" si="295"/>
        <v>0</v>
      </c>
      <c r="BB403" s="387">
        <f t="shared" si="264"/>
        <v>10485</v>
      </c>
      <c r="BC403" s="387">
        <f t="shared" si="265"/>
        <v>0</v>
      </c>
      <c r="BD403" s="387">
        <f t="shared" si="266"/>
        <v>2502.3398400000001</v>
      </c>
      <c r="BE403" s="387">
        <f t="shared" si="267"/>
        <v>585.22464000000002</v>
      </c>
      <c r="BF403" s="387">
        <f t="shared" si="268"/>
        <v>4819.0222080000003</v>
      </c>
      <c r="BG403" s="387">
        <f t="shared" si="269"/>
        <v>290.99790719999999</v>
      </c>
      <c r="BH403" s="387">
        <f t="shared" si="270"/>
        <v>197.765568</v>
      </c>
      <c r="BI403" s="387">
        <f t="shared" si="271"/>
        <v>223.39437119999999</v>
      </c>
      <c r="BJ403" s="387">
        <f t="shared" si="272"/>
        <v>108.972864</v>
      </c>
      <c r="BK403" s="387">
        <f t="shared" si="273"/>
        <v>0</v>
      </c>
      <c r="BL403" s="387">
        <f t="shared" si="296"/>
        <v>8727.7173984000001</v>
      </c>
      <c r="BM403" s="387">
        <f t="shared" si="297"/>
        <v>0</v>
      </c>
      <c r="BN403" s="387">
        <f t="shared" si="274"/>
        <v>10485</v>
      </c>
      <c r="BO403" s="387">
        <f t="shared" si="275"/>
        <v>0</v>
      </c>
      <c r="BP403" s="387">
        <f t="shared" si="276"/>
        <v>2502.3398400000001</v>
      </c>
      <c r="BQ403" s="387">
        <f t="shared" si="277"/>
        <v>585.22464000000002</v>
      </c>
      <c r="BR403" s="387">
        <f t="shared" si="278"/>
        <v>4819.0222080000003</v>
      </c>
      <c r="BS403" s="387">
        <f t="shared" si="279"/>
        <v>290.99790719999999</v>
      </c>
      <c r="BT403" s="387">
        <f t="shared" si="280"/>
        <v>0</v>
      </c>
      <c r="BU403" s="387">
        <f t="shared" si="281"/>
        <v>223.39437119999999</v>
      </c>
      <c r="BV403" s="387">
        <f t="shared" si="282"/>
        <v>137.225088</v>
      </c>
      <c r="BW403" s="387">
        <f t="shared" si="283"/>
        <v>0</v>
      </c>
      <c r="BX403" s="387">
        <f t="shared" si="298"/>
        <v>8558.2040543999992</v>
      </c>
      <c r="BY403" s="387">
        <f t="shared" si="299"/>
        <v>0</v>
      </c>
      <c r="BZ403" s="387">
        <f t="shared" si="300"/>
        <v>0</v>
      </c>
      <c r="CA403" s="387">
        <f t="shared" si="301"/>
        <v>0</v>
      </c>
      <c r="CB403" s="387">
        <f t="shared" si="302"/>
        <v>0</v>
      </c>
      <c r="CC403" s="387">
        <f t="shared" si="284"/>
        <v>0</v>
      </c>
      <c r="CD403" s="387">
        <f t="shared" si="285"/>
        <v>0</v>
      </c>
      <c r="CE403" s="387">
        <f t="shared" si="286"/>
        <v>0</v>
      </c>
      <c r="CF403" s="387">
        <f t="shared" si="287"/>
        <v>-197.765568</v>
      </c>
      <c r="CG403" s="387">
        <f t="shared" si="288"/>
        <v>0</v>
      </c>
      <c r="CH403" s="387">
        <f t="shared" si="289"/>
        <v>28.252223999999988</v>
      </c>
      <c r="CI403" s="387">
        <f t="shared" si="290"/>
        <v>0</v>
      </c>
      <c r="CJ403" s="387">
        <f t="shared" si="303"/>
        <v>-169.51334400000002</v>
      </c>
      <c r="CK403" s="387" t="str">
        <f t="shared" si="304"/>
        <v/>
      </c>
      <c r="CL403" s="387" t="str">
        <f t="shared" si="305"/>
        <v/>
      </c>
      <c r="CM403" s="387" t="str">
        <f t="shared" si="306"/>
        <v/>
      </c>
      <c r="CN403" s="387" t="str">
        <f t="shared" si="307"/>
        <v>0348-31</v>
      </c>
    </row>
    <row r="404" spans="1:92" ht="15.75" thickBot="1" x14ac:dyDescent="0.3">
      <c r="A404" s="376" t="s">
        <v>161</v>
      </c>
      <c r="B404" s="376" t="s">
        <v>162</v>
      </c>
      <c r="C404" s="376" t="s">
        <v>555</v>
      </c>
      <c r="D404" s="376" t="s">
        <v>556</v>
      </c>
      <c r="E404" s="376" t="s">
        <v>224</v>
      </c>
      <c r="F404" s="382" t="s">
        <v>225</v>
      </c>
      <c r="G404" s="376" t="s">
        <v>781</v>
      </c>
      <c r="H404" s="378"/>
      <c r="I404" s="378"/>
      <c r="J404" s="376" t="s">
        <v>215</v>
      </c>
      <c r="K404" s="376" t="s">
        <v>557</v>
      </c>
      <c r="L404" s="376" t="s">
        <v>406</v>
      </c>
      <c r="M404" s="376" t="s">
        <v>171</v>
      </c>
      <c r="N404" s="376" t="s">
        <v>172</v>
      </c>
      <c r="O404" s="379">
        <v>1</v>
      </c>
      <c r="P404" s="385">
        <v>0</v>
      </c>
      <c r="Q404" s="385">
        <v>0</v>
      </c>
      <c r="R404" s="380">
        <v>80</v>
      </c>
      <c r="S404" s="385">
        <v>0</v>
      </c>
      <c r="T404" s="380">
        <v>23616.49</v>
      </c>
      <c r="U404" s="380">
        <v>0</v>
      </c>
      <c r="V404" s="380">
        <v>15517.09</v>
      </c>
      <c r="W404" s="380">
        <v>0</v>
      </c>
      <c r="X404" s="380">
        <v>0</v>
      </c>
      <c r="Y404" s="380">
        <v>0</v>
      </c>
      <c r="Z404" s="380">
        <v>0</v>
      </c>
      <c r="AA404" s="376" t="s">
        <v>558</v>
      </c>
      <c r="AB404" s="376" t="s">
        <v>559</v>
      </c>
      <c r="AC404" s="376" t="s">
        <v>560</v>
      </c>
      <c r="AD404" s="376" t="s">
        <v>561</v>
      </c>
      <c r="AE404" s="376" t="s">
        <v>557</v>
      </c>
      <c r="AF404" s="376" t="s">
        <v>562</v>
      </c>
      <c r="AG404" s="376" t="s">
        <v>178</v>
      </c>
      <c r="AH404" s="381">
        <v>14.87</v>
      </c>
      <c r="AI404" s="379">
        <v>1719</v>
      </c>
      <c r="AJ404" s="376" t="s">
        <v>179</v>
      </c>
      <c r="AK404" s="376" t="s">
        <v>180</v>
      </c>
      <c r="AL404" s="376" t="s">
        <v>181</v>
      </c>
      <c r="AM404" s="376" t="s">
        <v>182</v>
      </c>
      <c r="AN404" s="376" t="s">
        <v>68</v>
      </c>
      <c r="AO404" s="379">
        <v>80</v>
      </c>
      <c r="AP404" s="385">
        <v>1</v>
      </c>
      <c r="AQ404" s="385">
        <v>0</v>
      </c>
      <c r="AR404" s="383" t="s">
        <v>183</v>
      </c>
      <c r="AS404" s="387">
        <f t="shared" si="291"/>
        <v>0</v>
      </c>
      <c r="AT404">
        <f t="shared" si="292"/>
        <v>0</v>
      </c>
      <c r="AU404" s="387" t="str">
        <f>IF(AT404=0,"",IF(AND(AT404=1,M404="F",SUMIF(C2:C1334,C404,AS2:AS1334)&lt;=1),SUMIF(C2:C1334,C404,AS2:AS1334),IF(AND(AT404=1,M404="F",SUMIF(C2:C1334,C404,AS2:AS1334)&gt;1),1,"")))</f>
        <v/>
      </c>
      <c r="AV404" s="387" t="str">
        <f>IF(AT404=0,"",IF(AND(AT404=3,M404="F",SUMIF(C2:C1334,C404,AS2:AS1334)&lt;=1),SUMIF(C2:C1334,C404,AS2:AS1334),IF(AND(AT404=3,M404="F",SUMIF(C2:C1334,C404,AS2:AS1334)&gt;1),1,"")))</f>
        <v/>
      </c>
      <c r="AW404" s="387">
        <f>SUMIF(C2:C1334,C404,O2:O1334)</f>
        <v>2</v>
      </c>
      <c r="AX404" s="387">
        <f>IF(AND(M404="F",AS404&lt;&gt;0),SUMIF(C2:C1334,C404,W2:W1334),0)</f>
        <v>0</v>
      </c>
      <c r="AY404" s="387" t="str">
        <f t="shared" si="293"/>
        <v/>
      </c>
      <c r="AZ404" s="387" t="str">
        <f t="shared" si="294"/>
        <v/>
      </c>
      <c r="BA404" s="387">
        <f t="shared" si="295"/>
        <v>0</v>
      </c>
      <c r="BB404" s="387">
        <f t="shared" si="264"/>
        <v>0</v>
      </c>
      <c r="BC404" s="387">
        <f t="shared" si="265"/>
        <v>0</v>
      </c>
      <c r="BD404" s="387">
        <f t="shared" si="266"/>
        <v>0</v>
      </c>
      <c r="BE404" s="387">
        <f t="shared" si="267"/>
        <v>0</v>
      </c>
      <c r="BF404" s="387">
        <f t="shared" si="268"/>
        <v>0</v>
      </c>
      <c r="BG404" s="387">
        <f t="shared" si="269"/>
        <v>0</v>
      </c>
      <c r="BH404" s="387">
        <f t="shared" si="270"/>
        <v>0</v>
      </c>
      <c r="BI404" s="387">
        <f t="shared" si="271"/>
        <v>0</v>
      </c>
      <c r="BJ404" s="387">
        <f t="shared" si="272"/>
        <v>0</v>
      </c>
      <c r="BK404" s="387">
        <f t="shared" si="273"/>
        <v>0</v>
      </c>
      <c r="BL404" s="387">
        <f t="shared" si="296"/>
        <v>0</v>
      </c>
      <c r="BM404" s="387">
        <f t="shared" si="297"/>
        <v>0</v>
      </c>
      <c r="BN404" s="387">
        <f t="shared" si="274"/>
        <v>0</v>
      </c>
      <c r="BO404" s="387">
        <f t="shared" si="275"/>
        <v>0</v>
      </c>
      <c r="BP404" s="387">
        <f t="shared" si="276"/>
        <v>0</v>
      </c>
      <c r="BQ404" s="387">
        <f t="shared" si="277"/>
        <v>0</v>
      </c>
      <c r="BR404" s="387">
        <f t="shared" si="278"/>
        <v>0</v>
      </c>
      <c r="BS404" s="387">
        <f t="shared" si="279"/>
        <v>0</v>
      </c>
      <c r="BT404" s="387">
        <f t="shared" si="280"/>
        <v>0</v>
      </c>
      <c r="BU404" s="387">
        <f t="shared" si="281"/>
        <v>0</v>
      </c>
      <c r="BV404" s="387">
        <f t="shared" si="282"/>
        <v>0</v>
      </c>
      <c r="BW404" s="387">
        <f t="shared" si="283"/>
        <v>0</v>
      </c>
      <c r="BX404" s="387">
        <f t="shared" si="298"/>
        <v>0</v>
      </c>
      <c r="BY404" s="387">
        <f t="shared" si="299"/>
        <v>0</v>
      </c>
      <c r="BZ404" s="387">
        <f t="shared" si="300"/>
        <v>0</v>
      </c>
      <c r="CA404" s="387">
        <f t="shared" si="301"/>
        <v>0</v>
      </c>
      <c r="CB404" s="387">
        <f t="shared" si="302"/>
        <v>0</v>
      </c>
      <c r="CC404" s="387">
        <f t="shared" si="284"/>
        <v>0</v>
      </c>
      <c r="CD404" s="387">
        <f t="shared" si="285"/>
        <v>0</v>
      </c>
      <c r="CE404" s="387">
        <f t="shared" si="286"/>
        <v>0</v>
      </c>
      <c r="CF404" s="387">
        <f t="shared" si="287"/>
        <v>0</v>
      </c>
      <c r="CG404" s="387">
        <f t="shared" si="288"/>
        <v>0</v>
      </c>
      <c r="CH404" s="387">
        <f t="shared" si="289"/>
        <v>0</v>
      </c>
      <c r="CI404" s="387">
        <f t="shared" si="290"/>
        <v>0</v>
      </c>
      <c r="CJ404" s="387">
        <f t="shared" si="303"/>
        <v>0</v>
      </c>
      <c r="CK404" s="387" t="str">
        <f t="shared" si="304"/>
        <v/>
      </c>
      <c r="CL404" s="387" t="str">
        <f t="shared" si="305"/>
        <v/>
      </c>
      <c r="CM404" s="387" t="str">
        <f t="shared" si="306"/>
        <v/>
      </c>
      <c r="CN404" s="387" t="str">
        <f t="shared" si="307"/>
        <v>0348-31</v>
      </c>
    </row>
    <row r="405" spans="1:92" ht="15.75" thickBot="1" x14ac:dyDescent="0.3">
      <c r="A405" s="376" t="s">
        <v>161</v>
      </c>
      <c r="B405" s="376" t="s">
        <v>162</v>
      </c>
      <c r="C405" s="376" t="s">
        <v>825</v>
      </c>
      <c r="D405" s="376" t="s">
        <v>804</v>
      </c>
      <c r="E405" s="376" t="s">
        <v>224</v>
      </c>
      <c r="F405" s="382" t="s">
        <v>225</v>
      </c>
      <c r="G405" s="376" t="s">
        <v>781</v>
      </c>
      <c r="H405" s="378"/>
      <c r="I405" s="378"/>
      <c r="J405" s="376" t="s">
        <v>239</v>
      </c>
      <c r="K405" s="376" t="s">
        <v>805</v>
      </c>
      <c r="L405" s="376" t="s">
        <v>351</v>
      </c>
      <c r="M405" s="376" t="s">
        <v>171</v>
      </c>
      <c r="N405" s="376" t="s">
        <v>172</v>
      </c>
      <c r="O405" s="379">
        <v>1</v>
      </c>
      <c r="P405" s="385">
        <v>0.5</v>
      </c>
      <c r="Q405" s="385">
        <v>0.5</v>
      </c>
      <c r="R405" s="380">
        <v>80</v>
      </c>
      <c r="S405" s="385">
        <v>0.5</v>
      </c>
      <c r="T405" s="380">
        <v>52782.69</v>
      </c>
      <c r="U405" s="380">
        <v>0</v>
      </c>
      <c r="V405" s="380">
        <v>18127.89</v>
      </c>
      <c r="W405" s="380">
        <v>46352.800000000003</v>
      </c>
      <c r="X405" s="380">
        <v>15848.77</v>
      </c>
      <c r="Y405" s="380">
        <v>46352.800000000003</v>
      </c>
      <c r="Z405" s="380">
        <v>15654.09</v>
      </c>
      <c r="AA405" s="376" t="s">
        <v>826</v>
      </c>
      <c r="AB405" s="376" t="s">
        <v>827</v>
      </c>
      <c r="AC405" s="376" t="s">
        <v>828</v>
      </c>
      <c r="AD405" s="376" t="s">
        <v>170</v>
      </c>
      <c r="AE405" s="376" t="s">
        <v>805</v>
      </c>
      <c r="AF405" s="376" t="s">
        <v>355</v>
      </c>
      <c r="AG405" s="376" t="s">
        <v>178</v>
      </c>
      <c r="AH405" s="381">
        <v>44.57</v>
      </c>
      <c r="AI405" s="379">
        <v>47552</v>
      </c>
      <c r="AJ405" s="376" t="s">
        <v>179</v>
      </c>
      <c r="AK405" s="376" t="s">
        <v>180</v>
      </c>
      <c r="AL405" s="376" t="s">
        <v>181</v>
      </c>
      <c r="AM405" s="376" t="s">
        <v>182</v>
      </c>
      <c r="AN405" s="376" t="s">
        <v>68</v>
      </c>
      <c r="AO405" s="379">
        <v>80</v>
      </c>
      <c r="AP405" s="385">
        <v>1</v>
      </c>
      <c r="AQ405" s="385">
        <v>0.5</v>
      </c>
      <c r="AR405" s="383" t="s">
        <v>183</v>
      </c>
      <c r="AS405" s="387">
        <f t="shared" si="291"/>
        <v>0.5</v>
      </c>
      <c r="AT405">
        <f t="shared" si="292"/>
        <v>1</v>
      </c>
      <c r="AU405" s="387">
        <f>IF(AT405=0,"",IF(AND(AT405=1,M405="F",SUMIF(C2:C1334,C405,AS2:AS1334)&lt;=1),SUMIF(C2:C1334,C405,AS2:AS1334),IF(AND(AT405=1,M405="F",SUMIF(C2:C1334,C405,AS2:AS1334)&gt;1),1,"")))</f>
        <v>1</v>
      </c>
      <c r="AV405" s="387" t="str">
        <f>IF(AT405=0,"",IF(AND(AT405=3,M405="F",SUMIF(C2:C1334,C405,AS2:AS1334)&lt;=1),SUMIF(C2:C1334,C405,AS2:AS1334),IF(AND(AT405=3,M405="F",SUMIF(C2:C1334,C405,AS2:AS1334)&gt;1),1,"")))</f>
        <v/>
      </c>
      <c r="AW405" s="387">
        <f>SUMIF(C2:C1334,C405,O2:O1334)</f>
        <v>4</v>
      </c>
      <c r="AX405" s="387">
        <f>IF(AND(M405="F",AS405&lt;&gt;0),SUMIF(C2:C1334,C405,W2:W1334),0)</f>
        <v>92705.600000000006</v>
      </c>
      <c r="AY405" s="387">
        <f t="shared" si="293"/>
        <v>46352.800000000003</v>
      </c>
      <c r="AZ405" s="387" t="str">
        <f t="shared" si="294"/>
        <v/>
      </c>
      <c r="BA405" s="387">
        <f t="shared" si="295"/>
        <v>0</v>
      </c>
      <c r="BB405" s="387">
        <f t="shared" si="264"/>
        <v>5825</v>
      </c>
      <c r="BC405" s="387">
        <f t="shared" si="265"/>
        <v>0</v>
      </c>
      <c r="BD405" s="387">
        <f t="shared" si="266"/>
        <v>2873.8736000000004</v>
      </c>
      <c r="BE405" s="387">
        <f t="shared" si="267"/>
        <v>672.11560000000009</v>
      </c>
      <c r="BF405" s="387">
        <f t="shared" si="268"/>
        <v>5534.5243200000004</v>
      </c>
      <c r="BG405" s="387">
        <f t="shared" si="269"/>
        <v>334.20368800000006</v>
      </c>
      <c r="BH405" s="387">
        <f t="shared" si="270"/>
        <v>227.12872000000002</v>
      </c>
      <c r="BI405" s="387">
        <f t="shared" si="271"/>
        <v>256.562748</v>
      </c>
      <c r="BJ405" s="387">
        <f t="shared" si="272"/>
        <v>125.15256000000001</v>
      </c>
      <c r="BK405" s="387">
        <f t="shared" si="273"/>
        <v>0</v>
      </c>
      <c r="BL405" s="387">
        <f t="shared" si="296"/>
        <v>10023.561236000001</v>
      </c>
      <c r="BM405" s="387">
        <f t="shared" si="297"/>
        <v>0</v>
      </c>
      <c r="BN405" s="387">
        <f t="shared" si="274"/>
        <v>5825</v>
      </c>
      <c r="BO405" s="387">
        <f t="shared" si="275"/>
        <v>0</v>
      </c>
      <c r="BP405" s="387">
        <f t="shared" si="276"/>
        <v>2873.8736000000004</v>
      </c>
      <c r="BQ405" s="387">
        <f t="shared" si="277"/>
        <v>672.11560000000009</v>
      </c>
      <c r="BR405" s="387">
        <f t="shared" si="278"/>
        <v>5534.5243200000004</v>
      </c>
      <c r="BS405" s="387">
        <f t="shared" si="279"/>
        <v>334.20368800000006</v>
      </c>
      <c r="BT405" s="387">
        <f t="shared" si="280"/>
        <v>0</v>
      </c>
      <c r="BU405" s="387">
        <f t="shared" si="281"/>
        <v>256.562748</v>
      </c>
      <c r="BV405" s="387">
        <f t="shared" si="282"/>
        <v>157.59952000000001</v>
      </c>
      <c r="BW405" s="387">
        <f t="shared" si="283"/>
        <v>0</v>
      </c>
      <c r="BX405" s="387">
        <f t="shared" si="298"/>
        <v>9828.8794760000001</v>
      </c>
      <c r="BY405" s="387">
        <f t="shared" si="299"/>
        <v>0</v>
      </c>
      <c r="BZ405" s="387">
        <f t="shared" si="300"/>
        <v>0</v>
      </c>
      <c r="CA405" s="387">
        <f t="shared" si="301"/>
        <v>0</v>
      </c>
      <c r="CB405" s="387">
        <f t="shared" si="302"/>
        <v>0</v>
      </c>
      <c r="CC405" s="387">
        <f t="shared" si="284"/>
        <v>0</v>
      </c>
      <c r="CD405" s="387">
        <f t="shared" si="285"/>
        <v>0</v>
      </c>
      <c r="CE405" s="387">
        <f t="shared" si="286"/>
        <v>0</v>
      </c>
      <c r="CF405" s="387">
        <f t="shared" si="287"/>
        <v>-227.12872000000002</v>
      </c>
      <c r="CG405" s="387">
        <f t="shared" si="288"/>
        <v>0</v>
      </c>
      <c r="CH405" s="387">
        <f t="shared" si="289"/>
        <v>32.44695999999999</v>
      </c>
      <c r="CI405" s="387">
        <f t="shared" si="290"/>
        <v>0</v>
      </c>
      <c r="CJ405" s="387">
        <f t="shared" si="303"/>
        <v>-194.68176000000003</v>
      </c>
      <c r="CK405" s="387" t="str">
        <f t="shared" si="304"/>
        <v/>
      </c>
      <c r="CL405" s="387" t="str">
        <f t="shared" si="305"/>
        <v/>
      </c>
      <c r="CM405" s="387" t="str">
        <f t="shared" si="306"/>
        <v/>
      </c>
      <c r="CN405" s="387" t="str">
        <f t="shared" si="307"/>
        <v>0348-31</v>
      </c>
    </row>
    <row r="406" spans="1:92" ht="15.75" thickBot="1" x14ac:dyDescent="0.3">
      <c r="A406" s="376" t="s">
        <v>161</v>
      </c>
      <c r="B406" s="376" t="s">
        <v>162</v>
      </c>
      <c r="C406" s="376" t="s">
        <v>246</v>
      </c>
      <c r="D406" s="376" t="s">
        <v>247</v>
      </c>
      <c r="E406" s="376" t="s">
        <v>224</v>
      </c>
      <c r="F406" s="382" t="s">
        <v>225</v>
      </c>
      <c r="G406" s="376" t="s">
        <v>781</v>
      </c>
      <c r="H406" s="378"/>
      <c r="I406" s="378"/>
      <c r="J406" s="376" t="s">
        <v>215</v>
      </c>
      <c r="K406" s="376" t="s">
        <v>248</v>
      </c>
      <c r="L406" s="376" t="s">
        <v>178</v>
      </c>
      <c r="M406" s="376" t="s">
        <v>171</v>
      </c>
      <c r="N406" s="376" t="s">
        <v>172</v>
      </c>
      <c r="O406" s="379">
        <v>1</v>
      </c>
      <c r="P406" s="385">
        <v>0</v>
      </c>
      <c r="Q406" s="385">
        <v>0</v>
      </c>
      <c r="R406" s="380">
        <v>80</v>
      </c>
      <c r="S406" s="385">
        <v>0</v>
      </c>
      <c r="T406" s="380">
        <v>19057.41</v>
      </c>
      <c r="U406" s="380">
        <v>270</v>
      </c>
      <c r="V406" s="380">
        <v>12778.8</v>
      </c>
      <c r="W406" s="380">
        <v>0</v>
      </c>
      <c r="X406" s="380">
        <v>0</v>
      </c>
      <c r="Y406" s="380">
        <v>0</v>
      </c>
      <c r="Z406" s="380">
        <v>0</v>
      </c>
      <c r="AA406" s="376" t="s">
        <v>249</v>
      </c>
      <c r="AB406" s="376" t="s">
        <v>250</v>
      </c>
      <c r="AC406" s="376" t="s">
        <v>251</v>
      </c>
      <c r="AD406" s="376" t="s">
        <v>252</v>
      </c>
      <c r="AE406" s="376" t="s">
        <v>248</v>
      </c>
      <c r="AF406" s="376" t="s">
        <v>253</v>
      </c>
      <c r="AG406" s="376" t="s">
        <v>178</v>
      </c>
      <c r="AH406" s="379">
        <v>15</v>
      </c>
      <c r="AI406" s="381">
        <v>1037.7</v>
      </c>
      <c r="AJ406" s="376" t="s">
        <v>179</v>
      </c>
      <c r="AK406" s="376" t="s">
        <v>180</v>
      </c>
      <c r="AL406" s="376" t="s">
        <v>181</v>
      </c>
      <c r="AM406" s="376" t="s">
        <v>182</v>
      </c>
      <c r="AN406" s="376" t="s">
        <v>68</v>
      </c>
      <c r="AO406" s="379">
        <v>80</v>
      </c>
      <c r="AP406" s="385">
        <v>1</v>
      </c>
      <c r="AQ406" s="385">
        <v>0</v>
      </c>
      <c r="AR406" s="383" t="s">
        <v>183</v>
      </c>
      <c r="AS406" s="387">
        <f t="shared" si="291"/>
        <v>0</v>
      </c>
      <c r="AT406">
        <f t="shared" si="292"/>
        <v>0</v>
      </c>
      <c r="AU406" s="387" t="str">
        <f>IF(AT406=0,"",IF(AND(AT406=1,M406="F",SUMIF(C2:C1334,C406,AS2:AS1334)&lt;=1),SUMIF(C2:C1334,C406,AS2:AS1334),IF(AND(AT406=1,M406="F",SUMIF(C2:C1334,C406,AS2:AS1334)&gt;1),1,"")))</f>
        <v/>
      </c>
      <c r="AV406" s="387" t="str">
        <f>IF(AT406=0,"",IF(AND(AT406=3,M406="F",SUMIF(C2:C1334,C406,AS2:AS1334)&lt;=1),SUMIF(C2:C1334,C406,AS2:AS1334),IF(AND(AT406=3,M406="F",SUMIF(C2:C1334,C406,AS2:AS1334)&gt;1),1,"")))</f>
        <v/>
      </c>
      <c r="AW406" s="387">
        <f>SUMIF(C2:C1334,C406,O2:O1334)</f>
        <v>2</v>
      </c>
      <c r="AX406" s="387">
        <f>IF(AND(M406="F",AS406&lt;&gt;0),SUMIF(C2:C1334,C406,W2:W1334),0)</f>
        <v>0</v>
      </c>
      <c r="AY406" s="387" t="str">
        <f t="shared" si="293"/>
        <v/>
      </c>
      <c r="AZ406" s="387" t="str">
        <f t="shared" si="294"/>
        <v/>
      </c>
      <c r="BA406" s="387">
        <f t="shared" si="295"/>
        <v>0</v>
      </c>
      <c r="BB406" s="387">
        <f t="shared" si="264"/>
        <v>0</v>
      </c>
      <c r="BC406" s="387">
        <f t="shared" si="265"/>
        <v>0</v>
      </c>
      <c r="BD406" s="387">
        <f t="shared" si="266"/>
        <v>0</v>
      </c>
      <c r="BE406" s="387">
        <f t="shared" si="267"/>
        <v>0</v>
      </c>
      <c r="BF406" s="387">
        <f t="shared" si="268"/>
        <v>0</v>
      </c>
      <c r="BG406" s="387">
        <f t="shared" si="269"/>
        <v>0</v>
      </c>
      <c r="BH406" s="387">
        <f t="shared" si="270"/>
        <v>0</v>
      </c>
      <c r="BI406" s="387">
        <f t="shared" si="271"/>
        <v>0</v>
      </c>
      <c r="BJ406" s="387">
        <f t="shared" si="272"/>
        <v>0</v>
      </c>
      <c r="BK406" s="387">
        <f t="shared" si="273"/>
        <v>0</v>
      </c>
      <c r="BL406" s="387">
        <f t="shared" si="296"/>
        <v>0</v>
      </c>
      <c r="BM406" s="387">
        <f t="shared" si="297"/>
        <v>0</v>
      </c>
      <c r="BN406" s="387">
        <f t="shared" si="274"/>
        <v>0</v>
      </c>
      <c r="BO406" s="387">
        <f t="shared" si="275"/>
        <v>0</v>
      </c>
      <c r="BP406" s="387">
        <f t="shared" si="276"/>
        <v>0</v>
      </c>
      <c r="BQ406" s="387">
        <f t="shared" si="277"/>
        <v>0</v>
      </c>
      <c r="BR406" s="387">
        <f t="shared" si="278"/>
        <v>0</v>
      </c>
      <c r="BS406" s="387">
        <f t="shared" si="279"/>
        <v>0</v>
      </c>
      <c r="BT406" s="387">
        <f t="shared" si="280"/>
        <v>0</v>
      </c>
      <c r="BU406" s="387">
        <f t="shared" si="281"/>
        <v>0</v>
      </c>
      <c r="BV406" s="387">
        <f t="shared" si="282"/>
        <v>0</v>
      </c>
      <c r="BW406" s="387">
        <f t="shared" si="283"/>
        <v>0</v>
      </c>
      <c r="BX406" s="387">
        <f t="shared" si="298"/>
        <v>0</v>
      </c>
      <c r="BY406" s="387">
        <f t="shared" si="299"/>
        <v>0</v>
      </c>
      <c r="BZ406" s="387">
        <f t="shared" si="300"/>
        <v>0</v>
      </c>
      <c r="CA406" s="387">
        <f t="shared" si="301"/>
        <v>0</v>
      </c>
      <c r="CB406" s="387">
        <f t="shared" si="302"/>
        <v>0</v>
      </c>
      <c r="CC406" s="387">
        <f t="shared" si="284"/>
        <v>0</v>
      </c>
      <c r="CD406" s="387">
        <f t="shared" si="285"/>
        <v>0</v>
      </c>
      <c r="CE406" s="387">
        <f t="shared" si="286"/>
        <v>0</v>
      </c>
      <c r="CF406" s="387">
        <f t="shared" si="287"/>
        <v>0</v>
      </c>
      <c r="CG406" s="387">
        <f t="shared" si="288"/>
        <v>0</v>
      </c>
      <c r="CH406" s="387">
        <f t="shared" si="289"/>
        <v>0</v>
      </c>
      <c r="CI406" s="387">
        <f t="shared" si="290"/>
        <v>0</v>
      </c>
      <c r="CJ406" s="387">
        <f t="shared" si="303"/>
        <v>0</v>
      </c>
      <c r="CK406" s="387" t="str">
        <f t="shared" si="304"/>
        <v/>
      </c>
      <c r="CL406" s="387" t="str">
        <f t="shared" si="305"/>
        <v/>
      </c>
      <c r="CM406" s="387" t="str">
        <f t="shared" si="306"/>
        <v/>
      </c>
      <c r="CN406" s="387" t="str">
        <f t="shared" si="307"/>
        <v>0348-31</v>
      </c>
    </row>
    <row r="407" spans="1:92" ht="15.75" thickBot="1" x14ac:dyDescent="0.3">
      <c r="A407" s="376" t="s">
        <v>161</v>
      </c>
      <c r="B407" s="376" t="s">
        <v>162</v>
      </c>
      <c r="C407" s="376" t="s">
        <v>1373</v>
      </c>
      <c r="D407" s="376" t="s">
        <v>868</v>
      </c>
      <c r="E407" s="376" t="s">
        <v>224</v>
      </c>
      <c r="F407" s="382" t="s">
        <v>225</v>
      </c>
      <c r="G407" s="376" t="s">
        <v>781</v>
      </c>
      <c r="H407" s="378"/>
      <c r="I407" s="378"/>
      <c r="J407" s="376" t="s">
        <v>215</v>
      </c>
      <c r="K407" s="376" t="s">
        <v>869</v>
      </c>
      <c r="L407" s="376" t="s">
        <v>296</v>
      </c>
      <c r="M407" s="376" t="s">
        <v>171</v>
      </c>
      <c r="N407" s="376" t="s">
        <v>172</v>
      </c>
      <c r="O407" s="379">
        <v>1</v>
      </c>
      <c r="P407" s="385">
        <v>0</v>
      </c>
      <c r="Q407" s="385">
        <v>0</v>
      </c>
      <c r="R407" s="380">
        <v>80</v>
      </c>
      <c r="S407" s="385">
        <v>0</v>
      </c>
      <c r="T407" s="380">
        <v>49236.82</v>
      </c>
      <c r="U407" s="380">
        <v>0</v>
      </c>
      <c r="V407" s="380">
        <v>21628.720000000001</v>
      </c>
      <c r="W407" s="380">
        <v>0</v>
      </c>
      <c r="X407" s="380">
        <v>0</v>
      </c>
      <c r="Y407" s="380">
        <v>0</v>
      </c>
      <c r="Z407" s="380">
        <v>0</v>
      </c>
      <c r="AA407" s="376" t="s">
        <v>1374</v>
      </c>
      <c r="AB407" s="376" t="s">
        <v>1375</v>
      </c>
      <c r="AC407" s="376" t="s">
        <v>1376</v>
      </c>
      <c r="AD407" s="376" t="s">
        <v>441</v>
      </c>
      <c r="AE407" s="376" t="s">
        <v>869</v>
      </c>
      <c r="AF407" s="376" t="s">
        <v>301</v>
      </c>
      <c r="AG407" s="376" t="s">
        <v>178</v>
      </c>
      <c r="AH407" s="381">
        <v>24.45</v>
      </c>
      <c r="AI407" s="381">
        <v>17800.599999999999</v>
      </c>
      <c r="AJ407" s="376" t="s">
        <v>179</v>
      </c>
      <c r="AK407" s="376" t="s">
        <v>180</v>
      </c>
      <c r="AL407" s="376" t="s">
        <v>181</v>
      </c>
      <c r="AM407" s="376" t="s">
        <v>182</v>
      </c>
      <c r="AN407" s="376" t="s">
        <v>68</v>
      </c>
      <c r="AO407" s="379">
        <v>80</v>
      </c>
      <c r="AP407" s="385">
        <v>1</v>
      </c>
      <c r="AQ407" s="385">
        <v>0</v>
      </c>
      <c r="AR407" s="383" t="s">
        <v>183</v>
      </c>
      <c r="AS407" s="387">
        <f t="shared" si="291"/>
        <v>0</v>
      </c>
      <c r="AT407">
        <f t="shared" si="292"/>
        <v>0</v>
      </c>
      <c r="AU407" s="387" t="str">
        <f>IF(AT407=0,"",IF(AND(AT407=1,M407="F",SUMIF(C2:C1334,C407,AS2:AS1334)&lt;=1),SUMIF(C2:C1334,C407,AS2:AS1334),IF(AND(AT407=1,M407="F",SUMIF(C2:C1334,C407,AS2:AS1334)&gt;1),1,"")))</f>
        <v/>
      </c>
      <c r="AV407" s="387" t="str">
        <f>IF(AT407=0,"",IF(AND(AT407=3,M407="F",SUMIF(C2:C1334,C407,AS2:AS1334)&lt;=1),SUMIF(C2:C1334,C407,AS2:AS1334),IF(AND(AT407=3,M407="F",SUMIF(C2:C1334,C407,AS2:AS1334)&gt;1),1,"")))</f>
        <v/>
      </c>
      <c r="AW407" s="387">
        <f>SUMIF(C2:C1334,C407,O2:O1334)</f>
        <v>2</v>
      </c>
      <c r="AX407" s="387">
        <f>IF(AND(M407="F",AS407&lt;&gt;0),SUMIF(C2:C1334,C407,W2:W1334),0)</f>
        <v>0</v>
      </c>
      <c r="AY407" s="387" t="str">
        <f t="shared" si="293"/>
        <v/>
      </c>
      <c r="AZ407" s="387" t="str">
        <f t="shared" si="294"/>
        <v/>
      </c>
      <c r="BA407" s="387">
        <f t="shared" si="295"/>
        <v>0</v>
      </c>
      <c r="BB407" s="387">
        <f t="shared" si="264"/>
        <v>0</v>
      </c>
      <c r="BC407" s="387">
        <f t="shared" si="265"/>
        <v>0</v>
      </c>
      <c r="BD407" s="387">
        <f t="shared" si="266"/>
        <v>0</v>
      </c>
      <c r="BE407" s="387">
        <f t="shared" si="267"/>
        <v>0</v>
      </c>
      <c r="BF407" s="387">
        <f t="shared" si="268"/>
        <v>0</v>
      </c>
      <c r="BG407" s="387">
        <f t="shared" si="269"/>
        <v>0</v>
      </c>
      <c r="BH407" s="387">
        <f t="shared" si="270"/>
        <v>0</v>
      </c>
      <c r="BI407" s="387">
        <f t="shared" si="271"/>
        <v>0</v>
      </c>
      <c r="BJ407" s="387">
        <f t="shared" si="272"/>
        <v>0</v>
      </c>
      <c r="BK407" s="387">
        <f t="shared" si="273"/>
        <v>0</v>
      </c>
      <c r="BL407" s="387">
        <f t="shared" si="296"/>
        <v>0</v>
      </c>
      <c r="BM407" s="387">
        <f t="shared" si="297"/>
        <v>0</v>
      </c>
      <c r="BN407" s="387">
        <f t="shared" si="274"/>
        <v>0</v>
      </c>
      <c r="BO407" s="387">
        <f t="shared" si="275"/>
        <v>0</v>
      </c>
      <c r="BP407" s="387">
        <f t="shared" si="276"/>
        <v>0</v>
      </c>
      <c r="BQ407" s="387">
        <f t="shared" si="277"/>
        <v>0</v>
      </c>
      <c r="BR407" s="387">
        <f t="shared" si="278"/>
        <v>0</v>
      </c>
      <c r="BS407" s="387">
        <f t="shared" si="279"/>
        <v>0</v>
      </c>
      <c r="BT407" s="387">
        <f t="shared" si="280"/>
        <v>0</v>
      </c>
      <c r="BU407" s="387">
        <f t="shared" si="281"/>
        <v>0</v>
      </c>
      <c r="BV407" s="387">
        <f t="shared" si="282"/>
        <v>0</v>
      </c>
      <c r="BW407" s="387">
        <f t="shared" si="283"/>
        <v>0</v>
      </c>
      <c r="BX407" s="387">
        <f t="shared" si="298"/>
        <v>0</v>
      </c>
      <c r="BY407" s="387">
        <f t="shared" si="299"/>
        <v>0</v>
      </c>
      <c r="BZ407" s="387">
        <f t="shared" si="300"/>
        <v>0</v>
      </c>
      <c r="CA407" s="387">
        <f t="shared" si="301"/>
        <v>0</v>
      </c>
      <c r="CB407" s="387">
        <f t="shared" si="302"/>
        <v>0</v>
      </c>
      <c r="CC407" s="387">
        <f t="shared" si="284"/>
        <v>0</v>
      </c>
      <c r="CD407" s="387">
        <f t="shared" si="285"/>
        <v>0</v>
      </c>
      <c r="CE407" s="387">
        <f t="shared" si="286"/>
        <v>0</v>
      </c>
      <c r="CF407" s="387">
        <f t="shared" si="287"/>
        <v>0</v>
      </c>
      <c r="CG407" s="387">
        <f t="shared" si="288"/>
        <v>0</v>
      </c>
      <c r="CH407" s="387">
        <f t="shared" si="289"/>
        <v>0</v>
      </c>
      <c r="CI407" s="387">
        <f t="shared" si="290"/>
        <v>0</v>
      </c>
      <c r="CJ407" s="387">
        <f t="shared" si="303"/>
        <v>0</v>
      </c>
      <c r="CK407" s="387" t="str">
        <f t="shared" si="304"/>
        <v/>
      </c>
      <c r="CL407" s="387" t="str">
        <f t="shared" si="305"/>
        <v/>
      </c>
      <c r="CM407" s="387" t="str">
        <f t="shared" si="306"/>
        <v/>
      </c>
      <c r="CN407" s="387" t="str">
        <f t="shared" si="307"/>
        <v>0348-31</v>
      </c>
    </row>
    <row r="408" spans="1:92" ht="15.75" thickBot="1" x14ac:dyDescent="0.3">
      <c r="A408" s="376" t="s">
        <v>161</v>
      </c>
      <c r="B408" s="376" t="s">
        <v>162</v>
      </c>
      <c r="C408" s="376" t="s">
        <v>1377</v>
      </c>
      <c r="D408" s="376" t="s">
        <v>1280</v>
      </c>
      <c r="E408" s="376" t="s">
        <v>224</v>
      </c>
      <c r="F408" s="382" t="s">
        <v>225</v>
      </c>
      <c r="G408" s="376" t="s">
        <v>781</v>
      </c>
      <c r="H408" s="378"/>
      <c r="I408" s="378"/>
      <c r="J408" s="376" t="s">
        <v>215</v>
      </c>
      <c r="K408" s="376" t="s">
        <v>1281</v>
      </c>
      <c r="L408" s="376" t="s">
        <v>178</v>
      </c>
      <c r="M408" s="376" t="s">
        <v>171</v>
      </c>
      <c r="N408" s="376" t="s">
        <v>877</v>
      </c>
      <c r="O408" s="379">
        <v>1</v>
      </c>
      <c r="P408" s="385">
        <v>1</v>
      </c>
      <c r="Q408" s="385">
        <v>1</v>
      </c>
      <c r="R408" s="380">
        <v>80</v>
      </c>
      <c r="S408" s="385">
        <v>1</v>
      </c>
      <c r="T408" s="380">
        <v>37273.35</v>
      </c>
      <c r="U408" s="380">
        <v>765</v>
      </c>
      <c r="V408" s="380">
        <v>19807.75</v>
      </c>
      <c r="W408" s="380">
        <v>38984.400000000001</v>
      </c>
      <c r="X408" s="380">
        <v>20080.34</v>
      </c>
      <c r="Y408" s="380">
        <v>38984.400000000001</v>
      </c>
      <c r="Z408" s="380">
        <v>19916.61</v>
      </c>
      <c r="AA408" s="376" t="s">
        <v>1378</v>
      </c>
      <c r="AB408" s="376" t="s">
        <v>1379</v>
      </c>
      <c r="AC408" s="376" t="s">
        <v>1380</v>
      </c>
      <c r="AD408" s="376" t="s">
        <v>324</v>
      </c>
      <c r="AE408" s="376" t="s">
        <v>1281</v>
      </c>
      <c r="AF408" s="376" t="s">
        <v>253</v>
      </c>
      <c r="AG408" s="376" t="s">
        <v>178</v>
      </c>
      <c r="AH408" s="381">
        <v>17.850000000000001</v>
      </c>
      <c r="AI408" s="381">
        <v>3322.6</v>
      </c>
      <c r="AJ408" s="376" t="s">
        <v>179</v>
      </c>
      <c r="AK408" s="376" t="s">
        <v>180</v>
      </c>
      <c r="AL408" s="376" t="s">
        <v>181</v>
      </c>
      <c r="AM408" s="376" t="s">
        <v>182</v>
      </c>
      <c r="AN408" s="376" t="s">
        <v>68</v>
      </c>
      <c r="AO408" s="379">
        <v>80</v>
      </c>
      <c r="AP408" s="385">
        <v>1</v>
      </c>
      <c r="AQ408" s="385">
        <v>1</v>
      </c>
      <c r="AR408" s="383">
        <v>5</v>
      </c>
      <c r="AS408" s="387">
        <f t="shared" si="291"/>
        <v>1</v>
      </c>
      <c r="AT408">
        <f t="shared" si="292"/>
        <v>1</v>
      </c>
      <c r="AU408" s="387">
        <f>IF(AT408=0,"",IF(AND(AT408=1,M408="F",SUMIF(C2:C1334,C408,AS2:AS1334)&lt;=1),SUMIF(C2:C1334,C408,AS2:AS1334),IF(AND(AT408=1,M408="F",SUMIF(C2:C1334,C408,AS2:AS1334)&gt;1),1,"")))</f>
        <v>1</v>
      </c>
      <c r="AV408" s="387" t="str">
        <f>IF(AT408=0,"",IF(AND(AT408=3,M408="F",SUMIF(C2:C1334,C408,AS2:AS1334)&lt;=1),SUMIF(C2:C1334,C408,AS2:AS1334),IF(AND(AT408=3,M408="F",SUMIF(C2:C1334,C408,AS2:AS1334)&gt;1),1,"")))</f>
        <v/>
      </c>
      <c r="AW408" s="387">
        <f>SUMIF(C2:C1334,C408,O2:O1334)</f>
        <v>1</v>
      </c>
      <c r="AX408" s="387">
        <f>IF(AND(M408="F",AS408&lt;&gt;0),SUMIF(C2:C1334,C408,W2:W1334),0)</f>
        <v>38984.400000000001</v>
      </c>
      <c r="AY408" s="387">
        <f t="shared" si="293"/>
        <v>38984.400000000001</v>
      </c>
      <c r="AZ408" s="387" t="str">
        <f t="shared" si="294"/>
        <v/>
      </c>
      <c r="BA408" s="387">
        <f t="shared" si="295"/>
        <v>0</v>
      </c>
      <c r="BB408" s="387">
        <f t="shared" si="264"/>
        <v>11650</v>
      </c>
      <c r="BC408" s="387">
        <f t="shared" si="265"/>
        <v>0</v>
      </c>
      <c r="BD408" s="387">
        <f t="shared" si="266"/>
        <v>2417.0328</v>
      </c>
      <c r="BE408" s="387">
        <f t="shared" si="267"/>
        <v>565.27380000000005</v>
      </c>
      <c r="BF408" s="387">
        <f t="shared" si="268"/>
        <v>4654.7373600000001</v>
      </c>
      <c r="BG408" s="387">
        <f t="shared" si="269"/>
        <v>281.07752400000004</v>
      </c>
      <c r="BH408" s="387">
        <f t="shared" si="270"/>
        <v>191.02356</v>
      </c>
      <c r="BI408" s="387">
        <f t="shared" si="271"/>
        <v>215.77865400000002</v>
      </c>
      <c r="BJ408" s="387">
        <f t="shared" si="272"/>
        <v>105.25788000000001</v>
      </c>
      <c r="BK408" s="387">
        <f t="shared" si="273"/>
        <v>0</v>
      </c>
      <c r="BL408" s="387">
        <f t="shared" si="296"/>
        <v>8430.1815779999997</v>
      </c>
      <c r="BM408" s="387">
        <f t="shared" si="297"/>
        <v>0</v>
      </c>
      <c r="BN408" s="387">
        <f t="shared" si="274"/>
        <v>11650</v>
      </c>
      <c r="BO408" s="387">
        <f t="shared" si="275"/>
        <v>0</v>
      </c>
      <c r="BP408" s="387">
        <f t="shared" si="276"/>
        <v>2417.0328</v>
      </c>
      <c r="BQ408" s="387">
        <f t="shared" si="277"/>
        <v>565.27380000000005</v>
      </c>
      <c r="BR408" s="387">
        <f t="shared" si="278"/>
        <v>4654.7373600000001</v>
      </c>
      <c r="BS408" s="387">
        <f t="shared" si="279"/>
        <v>281.07752400000004</v>
      </c>
      <c r="BT408" s="387">
        <f t="shared" si="280"/>
        <v>0</v>
      </c>
      <c r="BU408" s="387">
        <f t="shared" si="281"/>
        <v>215.77865400000002</v>
      </c>
      <c r="BV408" s="387">
        <f t="shared" si="282"/>
        <v>132.54695999999998</v>
      </c>
      <c r="BW408" s="387">
        <f t="shared" si="283"/>
        <v>0</v>
      </c>
      <c r="BX408" s="387">
        <f t="shared" si="298"/>
        <v>8266.4470980000006</v>
      </c>
      <c r="BY408" s="387">
        <f t="shared" si="299"/>
        <v>0</v>
      </c>
      <c r="BZ408" s="387">
        <f t="shared" si="300"/>
        <v>0</v>
      </c>
      <c r="CA408" s="387">
        <f t="shared" si="301"/>
        <v>0</v>
      </c>
      <c r="CB408" s="387">
        <f t="shared" si="302"/>
        <v>0</v>
      </c>
      <c r="CC408" s="387">
        <f t="shared" si="284"/>
        <v>0</v>
      </c>
      <c r="CD408" s="387">
        <f t="shared" si="285"/>
        <v>0</v>
      </c>
      <c r="CE408" s="387">
        <f t="shared" si="286"/>
        <v>0</v>
      </c>
      <c r="CF408" s="387">
        <f t="shared" si="287"/>
        <v>-191.02356</v>
      </c>
      <c r="CG408" s="387">
        <f t="shared" si="288"/>
        <v>0</v>
      </c>
      <c r="CH408" s="387">
        <f t="shared" si="289"/>
        <v>27.289079999999988</v>
      </c>
      <c r="CI408" s="387">
        <f t="shared" si="290"/>
        <v>0</v>
      </c>
      <c r="CJ408" s="387">
        <f t="shared" si="303"/>
        <v>-163.73448000000002</v>
      </c>
      <c r="CK408" s="387" t="str">
        <f t="shared" si="304"/>
        <v/>
      </c>
      <c r="CL408" s="387" t="str">
        <f t="shared" si="305"/>
        <v/>
      </c>
      <c r="CM408" s="387" t="str">
        <f t="shared" si="306"/>
        <v/>
      </c>
      <c r="CN408" s="387" t="str">
        <f t="shared" si="307"/>
        <v>0348-31</v>
      </c>
    </row>
    <row r="409" spans="1:92" ht="15.75" thickBot="1" x14ac:dyDescent="0.3">
      <c r="A409" s="376" t="s">
        <v>161</v>
      </c>
      <c r="B409" s="376" t="s">
        <v>162</v>
      </c>
      <c r="C409" s="376" t="s">
        <v>1381</v>
      </c>
      <c r="D409" s="376" t="s">
        <v>862</v>
      </c>
      <c r="E409" s="376" t="s">
        <v>224</v>
      </c>
      <c r="F409" s="382" t="s">
        <v>225</v>
      </c>
      <c r="G409" s="376" t="s">
        <v>781</v>
      </c>
      <c r="H409" s="378"/>
      <c r="I409" s="378"/>
      <c r="J409" s="376" t="s">
        <v>205</v>
      </c>
      <c r="K409" s="376" t="s">
        <v>863</v>
      </c>
      <c r="L409" s="376" t="s">
        <v>252</v>
      </c>
      <c r="M409" s="376" t="s">
        <v>171</v>
      </c>
      <c r="N409" s="376" t="s">
        <v>172</v>
      </c>
      <c r="O409" s="379">
        <v>1</v>
      </c>
      <c r="P409" s="385">
        <v>0.75</v>
      </c>
      <c r="Q409" s="385">
        <v>0.75</v>
      </c>
      <c r="R409" s="380">
        <v>80</v>
      </c>
      <c r="S409" s="385">
        <v>0.75</v>
      </c>
      <c r="T409" s="380">
        <v>38623.68</v>
      </c>
      <c r="U409" s="380">
        <v>0</v>
      </c>
      <c r="V409" s="380">
        <v>16863.93</v>
      </c>
      <c r="W409" s="380">
        <v>41106</v>
      </c>
      <c r="X409" s="380">
        <v>17626.62</v>
      </c>
      <c r="Y409" s="380">
        <v>41106</v>
      </c>
      <c r="Z409" s="380">
        <v>17454</v>
      </c>
      <c r="AA409" s="376" t="s">
        <v>1382</v>
      </c>
      <c r="AB409" s="376" t="s">
        <v>1383</v>
      </c>
      <c r="AC409" s="376" t="s">
        <v>1384</v>
      </c>
      <c r="AD409" s="376" t="s">
        <v>268</v>
      </c>
      <c r="AE409" s="376" t="s">
        <v>863</v>
      </c>
      <c r="AF409" s="376" t="s">
        <v>393</v>
      </c>
      <c r="AG409" s="376" t="s">
        <v>178</v>
      </c>
      <c r="AH409" s="381">
        <v>26.35</v>
      </c>
      <c r="AI409" s="381">
        <v>61864.3</v>
      </c>
      <c r="AJ409" s="376" t="s">
        <v>179</v>
      </c>
      <c r="AK409" s="376" t="s">
        <v>180</v>
      </c>
      <c r="AL409" s="376" t="s">
        <v>181</v>
      </c>
      <c r="AM409" s="376" t="s">
        <v>182</v>
      </c>
      <c r="AN409" s="376" t="s">
        <v>68</v>
      </c>
      <c r="AO409" s="379">
        <v>80</v>
      </c>
      <c r="AP409" s="385">
        <v>1</v>
      </c>
      <c r="AQ409" s="385">
        <v>0.75</v>
      </c>
      <c r="AR409" s="383" t="s">
        <v>183</v>
      </c>
      <c r="AS409" s="387">
        <f t="shared" si="291"/>
        <v>0.75</v>
      </c>
      <c r="AT409">
        <f t="shared" si="292"/>
        <v>1</v>
      </c>
      <c r="AU409" s="387">
        <f>IF(AT409=0,"",IF(AND(AT409=1,M409="F",SUMIF(C2:C1334,C409,AS2:AS1334)&lt;=1),SUMIF(C2:C1334,C409,AS2:AS1334),IF(AND(AT409=1,M409="F",SUMIF(C2:C1334,C409,AS2:AS1334)&gt;1),1,"")))</f>
        <v>1</v>
      </c>
      <c r="AV409" s="387" t="str">
        <f>IF(AT409=0,"",IF(AND(AT409=3,M409="F",SUMIF(C2:C1334,C409,AS2:AS1334)&lt;=1),SUMIF(C2:C1334,C409,AS2:AS1334),IF(AND(AT409=3,M409="F",SUMIF(C2:C1334,C409,AS2:AS1334)&gt;1),1,"")))</f>
        <v/>
      </c>
      <c r="AW409" s="387">
        <f>SUMIF(C2:C1334,C409,O2:O1334)</f>
        <v>3</v>
      </c>
      <c r="AX409" s="387">
        <f>IF(AND(M409="F",AS409&lt;&gt;0),SUMIF(C2:C1334,C409,W2:W1334),0)</f>
        <v>54808</v>
      </c>
      <c r="AY409" s="387">
        <f t="shared" si="293"/>
        <v>41106</v>
      </c>
      <c r="AZ409" s="387" t="str">
        <f t="shared" si="294"/>
        <v/>
      </c>
      <c r="BA409" s="387">
        <f t="shared" si="295"/>
        <v>0</v>
      </c>
      <c r="BB409" s="387">
        <f t="shared" si="264"/>
        <v>8737.5</v>
      </c>
      <c r="BC409" s="387">
        <f t="shared" si="265"/>
        <v>0</v>
      </c>
      <c r="BD409" s="387">
        <f t="shared" si="266"/>
        <v>2548.5720000000001</v>
      </c>
      <c r="BE409" s="387">
        <f t="shared" si="267"/>
        <v>596.03700000000003</v>
      </c>
      <c r="BF409" s="387">
        <f t="shared" si="268"/>
        <v>4908.0564000000004</v>
      </c>
      <c r="BG409" s="387">
        <f t="shared" si="269"/>
        <v>296.37425999999999</v>
      </c>
      <c r="BH409" s="387">
        <f t="shared" si="270"/>
        <v>201.4194</v>
      </c>
      <c r="BI409" s="387">
        <f t="shared" si="271"/>
        <v>227.52171000000001</v>
      </c>
      <c r="BJ409" s="387">
        <f t="shared" si="272"/>
        <v>110.98620000000001</v>
      </c>
      <c r="BK409" s="387">
        <f t="shared" si="273"/>
        <v>0</v>
      </c>
      <c r="BL409" s="387">
        <f t="shared" si="296"/>
        <v>8888.9669700000013</v>
      </c>
      <c r="BM409" s="387">
        <f t="shared" si="297"/>
        <v>0</v>
      </c>
      <c r="BN409" s="387">
        <f t="shared" si="274"/>
        <v>8737.5</v>
      </c>
      <c r="BO409" s="387">
        <f t="shared" si="275"/>
        <v>0</v>
      </c>
      <c r="BP409" s="387">
        <f t="shared" si="276"/>
        <v>2548.5720000000001</v>
      </c>
      <c r="BQ409" s="387">
        <f t="shared" si="277"/>
        <v>596.03700000000003</v>
      </c>
      <c r="BR409" s="387">
        <f t="shared" si="278"/>
        <v>4908.0564000000004</v>
      </c>
      <c r="BS409" s="387">
        <f t="shared" si="279"/>
        <v>296.37425999999999</v>
      </c>
      <c r="BT409" s="387">
        <f t="shared" si="280"/>
        <v>0</v>
      </c>
      <c r="BU409" s="387">
        <f t="shared" si="281"/>
        <v>227.52171000000001</v>
      </c>
      <c r="BV409" s="387">
        <f t="shared" si="282"/>
        <v>139.7604</v>
      </c>
      <c r="BW409" s="387">
        <f t="shared" si="283"/>
        <v>0</v>
      </c>
      <c r="BX409" s="387">
        <f t="shared" si="298"/>
        <v>8716.3217700000005</v>
      </c>
      <c r="BY409" s="387">
        <f t="shared" si="299"/>
        <v>0</v>
      </c>
      <c r="BZ409" s="387">
        <f t="shared" si="300"/>
        <v>0</v>
      </c>
      <c r="CA409" s="387">
        <f t="shared" si="301"/>
        <v>0</v>
      </c>
      <c r="CB409" s="387">
        <f t="shared" si="302"/>
        <v>0</v>
      </c>
      <c r="CC409" s="387">
        <f t="shared" si="284"/>
        <v>0</v>
      </c>
      <c r="CD409" s="387">
        <f t="shared" si="285"/>
        <v>0</v>
      </c>
      <c r="CE409" s="387">
        <f t="shared" si="286"/>
        <v>0</v>
      </c>
      <c r="CF409" s="387">
        <f t="shared" si="287"/>
        <v>-201.4194</v>
      </c>
      <c r="CG409" s="387">
        <f t="shared" si="288"/>
        <v>0</v>
      </c>
      <c r="CH409" s="387">
        <f t="shared" si="289"/>
        <v>28.774199999999986</v>
      </c>
      <c r="CI409" s="387">
        <f t="shared" si="290"/>
        <v>0</v>
      </c>
      <c r="CJ409" s="387">
        <f t="shared" si="303"/>
        <v>-172.64520000000002</v>
      </c>
      <c r="CK409" s="387" t="str">
        <f t="shared" si="304"/>
        <v/>
      </c>
      <c r="CL409" s="387" t="str">
        <f t="shared" si="305"/>
        <v/>
      </c>
      <c r="CM409" s="387" t="str">
        <f t="shared" si="306"/>
        <v/>
      </c>
      <c r="CN409" s="387" t="str">
        <f t="shared" si="307"/>
        <v>0348-31</v>
      </c>
    </row>
    <row r="410" spans="1:92" ht="15.75" thickBot="1" x14ac:dyDescent="0.3">
      <c r="A410" s="376" t="s">
        <v>161</v>
      </c>
      <c r="B410" s="376" t="s">
        <v>162</v>
      </c>
      <c r="C410" s="376" t="s">
        <v>342</v>
      </c>
      <c r="D410" s="376" t="s">
        <v>238</v>
      </c>
      <c r="E410" s="376" t="s">
        <v>224</v>
      </c>
      <c r="F410" s="382" t="s">
        <v>225</v>
      </c>
      <c r="G410" s="376" t="s">
        <v>781</v>
      </c>
      <c r="H410" s="378"/>
      <c r="I410" s="378"/>
      <c r="J410" s="376" t="s">
        <v>215</v>
      </c>
      <c r="K410" s="376" t="s">
        <v>343</v>
      </c>
      <c r="L410" s="376" t="s">
        <v>296</v>
      </c>
      <c r="M410" s="376" t="s">
        <v>171</v>
      </c>
      <c r="N410" s="376" t="s">
        <v>172</v>
      </c>
      <c r="O410" s="379">
        <v>1</v>
      </c>
      <c r="P410" s="385">
        <v>0</v>
      </c>
      <c r="Q410" s="385">
        <v>0</v>
      </c>
      <c r="R410" s="380">
        <v>80</v>
      </c>
      <c r="S410" s="385">
        <v>0</v>
      </c>
      <c r="T410" s="380">
        <v>31029.39</v>
      </c>
      <c r="U410" s="380">
        <v>0</v>
      </c>
      <c r="V410" s="380">
        <v>14761.64</v>
      </c>
      <c r="W410" s="380">
        <v>0</v>
      </c>
      <c r="X410" s="380">
        <v>0</v>
      </c>
      <c r="Y410" s="380">
        <v>0</v>
      </c>
      <c r="Z410" s="380">
        <v>0</v>
      </c>
      <c r="AA410" s="376" t="s">
        <v>344</v>
      </c>
      <c r="AB410" s="376" t="s">
        <v>345</v>
      </c>
      <c r="AC410" s="376" t="s">
        <v>346</v>
      </c>
      <c r="AD410" s="376" t="s">
        <v>347</v>
      </c>
      <c r="AE410" s="376" t="s">
        <v>343</v>
      </c>
      <c r="AF410" s="376" t="s">
        <v>301</v>
      </c>
      <c r="AG410" s="376" t="s">
        <v>178</v>
      </c>
      <c r="AH410" s="381">
        <v>21.52</v>
      </c>
      <c r="AI410" s="379">
        <v>26299</v>
      </c>
      <c r="AJ410" s="376" t="s">
        <v>179</v>
      </c>
      <c r="AK410" s="376" t="s">
        <v>180</v>
      </c>
      <c r="AL410" s="376" t="s">
        <v>181</v>
      </c>
      <c r="AM410" s="376" t="s">
        <v>182</v>
      </c>
      <c r="AN410" s="376" t="s">
        <v>68</v>
      </c>
      <c r="AO410" s="379">
        <v>80</v>
      </c>
      <c r="AP410" s="385">
        <v>1</v>
      </c>
      <c r="AQ410" s="385">
        <v>0</v>
      </c>
      <c r="AR410" s="383" t="s">
        <v>183</v>
      </c>
      <c r="AS410" s="387">
        <f t="shared" si="291"/>
        <v>0</v>
      </c>
      <c r="AT410">
        <f t="shared" si="292"/>
        <v>0</v>
      </c>
      <c r="AU410" s="387" t="str">
        <f>IF(AT410=0,"",IF(AND(AT410=1,M410="F",SUMIF(C2:C1334,C410,AS2:AS1334)&lt;=1),SUMIF(C2:C1334,C410,AS2:AS1334),IF(AND(AT410=1,M410="F",SUMIF(C2:C1334,C410,AS2:AS1334)&gt;1),1,"")))</f>
        <v/>
      </c>
      <c r="AV410" s="387" t="str">
        <f>IF(AT410=0,"",IF(AND(AT410=3,M410="F",SUMIF(C2:C1334,C410,AS2:AS1334)&lt;=1),SUMIF(C2:C1334,C410,AS2:AS1334),IF(AND(AT410=3,M410="F",SUMIF(C2:C1334,C410,AS2:AS1334)&gt;1),1,"")))</f>
        <v/>
      </c>
      <c r="AW410" s="387">
        <f>SUMIF(C2:C1334,C410,O2:O1334)</f>
        <v>4</v>
      </c>
      <c r="AX410" s="387">
        <f>IF(AND(M410="F",AS410&lt;&gt;0),SUMIF(C2:C1334,C410,W2:W1334),0)</f>
        <v>0</v>
      </c>
      <c r="AY410" s="387" t="str">
        <f t="shared" si="293"/>
        <v/>
      </c>
      <c r="AZ410" s="387" t="str">
        <f t="shared" si="294"/>
        <v/>
      </c>
      <c r="BA410" s="387">
        <f t="shared" si="295"/>
        <v>0</v>
      </c>
      <c r="BB410" s="387">
        <f t="shared" si="264"/>
        <v>0</v>
      </c>
      <c r="BC410" s="387">
        <f t="shared" si="265"/>
        <v>0</v>
      </c>
      <c r="BD410" s="387">
        <f t="shared" si="266"/>
        <v>0</v>
      </c>
      <c r="BE410" s="387">
        <f t="shared" si="267"/>
        <v>0</v>
      </c>
      <c r="BF410" s="387">
        <f t="shared" si="268"/>
        <v>0</v>
      </c>
      <c r="BG410" s="387">
        <f t="shared" si="269"/>
        <v>0</v>
      </c>
      <c r="BH410" s="387">
        <f t="shared" si="270"/>
        <v>0</v>
      </c>
      <c r="BI410" s="387">
        <f t="shared" si="271"/>
        <v>0</v>
      </c>
      <c r="BJ410" s="387">
        <f t="shared" si="272"/>
        <v>0</v>
      </c>
      <c r="BK410" s="387">
        <f t="shared" si="273"/>
        <v>0</v>
      </c>
      <c r="BL410" s="387">
        <f t="shared" si="296"/>
        <v>0</v>
      </c>
      <c r="BM410" s="387">
        <f t="shared" si="297"/>
        <v>0</v>
      </c>
      <c r="BN410" s="387">
        <f t="shared" si="274"/>
        <v>0</v>
      </c>
      <c r="BO410" s="387">
        <f t="shared" si="275"/>
        <v>0</v>
      </c>
      <c r="BP410" s="387">
        <f t="shared" si="276"/>
        <v>0</v>
      </c>
      <c r="BQ410" s="387">
        <f t="shared" si="277"/>
        <v>0</v>
      </c>
      <c r="BR410" s="387">
        <f t="shared" si="278"/>
        <v>0</v>
      </c>
      <c r="BS410" s="387">
        <f t="shared" si="279"/>
        <v>0</v>
      </c>
      <c r="BT410" s="387">
        <f t="shared" si="280"/>
        <v>0</v>
      </c>
      <c r="BU410" s="387">
        <f t="shared" si="281"/>
        <v>0</v>
      </c>
      <c r="BV410" s="387">
        <f t="shared" si="282"/>
        <v>0</v>
      </c>
      <c r="BW410" s="387">
        <f t="shared" si="283"/>
        <v>0</v>
      </c>
      <c r="BX410" s="387">
        <f t="shared" si="298"/>
        <v>0</v>
      </c>
      <c r="BY410" s="387">
        <f t="shared" si="299"/>
        <v>0</v>
      </c>
      <c r="BZ410" s="387">
        <f t="shared" si="300"/>
        <v>0</v>
      </c>
      <c r="CA410" s="387">
        <f t="shared" si="301"/>
        <v>0</v>
      </c>
      <c r="CB410" s="387">
        <f t="shared" si="302"/>
        <v>0</v>
      </c>
      <c r="CC410" s="387">
        <f t="shared" si="284"/>
        <v>0</v>
      </c>
      <c r="CD410" s="387">
        <f t="shared" si="285"/>
        <v>0</v>
      </c>
      <c r="CE410" s="387">
        <f t="shared" si="286"/>
        <v>0</v>
      </c>
      <c r="CF410" s="387">
        <f t="shared" si="287"/>
        <v>0</v>
      </c>
      <c r="CG410" s="387">
        <f t="shared" si="288"/>
        <v>0</v>
      </c>
      <c r="CH410" s="387">
        <f t="shared" si="289"/>
        <v>0</v>
      </c>
      <c r="CI410" s="387">
        <f t="shared" si="290"/>
        <v>0</v>
      </c>
      <c r="CJ410" s="387">
        <f t="shared" si="303"/>
        <v>0</v>
      </c>
      <c r="CK410" s="387" t="str">
        <f t="shared" si="304"/>
        <v/>
      </c>
      <c r="CL410" s="387" t="str">
        <f t="shared" si="305"/>
        <v/>
      </c>
      <c r="CM410" s="387" t="str">
        <f t="shared" si="306"/>
        <v/>
      </c>
      <c r="CN410" s="387" t="str">
        <f t="shared" si="307"/>
        <v>0348-31</v>
      </c>
    </row>
    <row r="411" spans="1:92" ht="15.75" thickBot="1" x14ac:dyDescent="0.3">
      <c r="A411" s="376" t="s">
        <v>161</v>
      </c>
      <c r="B411" s="376" t="s">
        <v>162</v>
      </c>
      <c r="C411" s="376" t="s">
        <v>1385</v>
      </c>
      <c r="D411" s="376" t="s">
        <v>792</v>
      </c>
      <c r="E411" s="376" t="s">
        <v>224</v>
      </c>
      <c r="F411" s="382" t="s">
        <v>225</v>
      </c>
      <c r="G411" s="376" t="s">
        <v>781</v>
      </c>
      <c r="H411" s="378"/>
      <c r="I411" s="378"/>
      <c r="J411" s="376" t="s">
        <v>215</v>
      </c>
      <c r="K411" s="376" t="s">
        <v>793</v>
      </c>
      <c r="L411" s="376" t="s">
        <v>170</v>
      </c>
      <c r="M411" s="376" t="s">
        <v>272</v>
      </c>
      <c r="N411" s="376" t="s">
        <v>172</v>
      </c>
      <c r="O411" s="379">
        <v>0</v>
      </c>
      <c r="P411" s="385">
        <v>0</v>
      </c>
      <c r="Q411" s="385">
        <v>0</v>
      </c>
      <c r="R411" s="380">
        <v>80</v>
      </c>
      <c r="S411" s="385">
        <v>0</v>
      </c>
      <c r="T411" s="380">
        <v>22364.080000000002</v>
      </c>
      <c r="U411" s="380">
        <v>0</v>
      </c>
      <c r="V411" s="380">
        <v>9489.9</v>
      </c>
      <c r="W411" s="380">
        <v>0</v>
      </c>
      <c r="X411" s="380">
        <v>0</v>
      </c>
      <c r="Y411" s="380">
        <v>0</v>
      </c>
      <c r="Z411" s="380">
        <v>0</v>
      </c>
      <c r="AA411" s="378"/>
      <c r="AB411" s="376" t="s">
        <v>45</v>
      </c>
      <c r="AC411" s="376" t="s">
        <v>45</v>
      </c>
      <c r="AD411" s="378"/>
      <c r="AE411" s="378"/>
      <c r="AF411" s="378"/>
      <c r="AG411" s="378"/>
      <c r="AH411" s="379">
        <v>0</v>
      </c>
      <c r="AI411" s="379">
        <v>0</v>
      </c>
      <c r="AJ411" s="378"/>
      <c r="AK411" s="378"/>
      <c r="AL411" s="376" t="s">
        <v>181</v>
      </c>
      <c r="AM411" s="378"/>
      <c r="AN411" s="378"/>
      <c r="AO411" s="379">
        <v>0</v>
      </c>
      <c r="AP411" s="385">
        <v>0</v>
      </c>
      <c r="AQ411" s="385">
        <v>0</v>
      </c>
      <c r="AR411" s="384"/>
      <c r="AS411" s="387">
        <f t="shared" si="291"/>
        <v>0</v>
      </c>
      <c r="AT411">
        <f t="shared" si="292"/>
        <v>0</v>
      </c>
      <c r="AU411" s="387" t="str">
        <f>IF(AT411=0,"",IF(AND(AT411=1,M411="F",SUMIF(C2:C1334,C411,AS2:AS1334)&lt;=1),SUMIF(C2:C1334,C411,AS2:AS1334),IF(AND(AT411=1,M411="F",SUMIF(C2:C1334,C411,AS2:AS1334)&gt;1),1,"")))</f>
        <v/>
      </c>
      <c r="AV411" s="387" t="str">
        <f>IF(AT411=0,"",IF(AND(AT411=3,M411="F",SUMIF(C2:C1334,C411,AS2:AS1334)&lt;=1),SUMIF(C2:C1334,C411,AS2:AS1334),IF(AND(AT411=3,M411="F",SUMIF(C2:C1334,C411,AS2:AS1334)&gt;1),1,"")))</f>
        <v/>
      </c>
      <c r="AW411" s="387">
        <f>SUMIF(C2:C1334,C411,O2:O1334)</f>
        <v>0</v>
      </c>
      <c r="AX411" s="387">
        <f>IF(AND(M411="F",AS411&lt;&gt;0),SUMIF(C2:C1334,C411,W2:W1334),0)</f>
        <v>0</v>
      </c>
      <c r="AY411" s="387" t="str">
        <f t="shared" si="293"/>
        <v/>
      </c>
      <c r="AZ411" s="387" t="str">
        <f t="shared" si="294"/>
        <v/>
      </c>
      <c r="BA411" s="387">
        <f t="shared" si="295"/>
        <v>0</v>
      </c>
      <c r="BB411" s="387">
        <f t="shared" si="264"/>
        <v>0</v>
      </c>
      <c r="BC411" s="387">
        <f t="shared" si="265"/>
        <v>0</v>
      </c>
      <c r="BD411" s="387">
        <f t="shared" si="266"/>
        <v>0</v>
      </c>
      <c r="BE411" s="387">
        <f t="shared" si="267"/>
        <v>0</v>
      </c>
      <c r="BF411" s="387">
        <f t="shared" si="268"/>
        <v>0</v>
      </c>
      <c r="BG411" s="387">
        <f t="shared" si="269"/>
        <v>0</v>
      </c>
      <c r="BH411" s="387">
        <f t="shared" si="270"/>
        <v>0</v>
      </c>
      <c r="BI411" s="387">
        <f t="shared" si="271"/>
        <v>0</v>
      </c>
      <c r="BJ411" s="387">
        <f t="shared" si="272"/>
        <v>0</v>
      </c>
      <c r="BK411" s="387">
        <f t="shared" si="273"/>
        <v>0</v>
      </c>
      <c r="BL411" s="387">
        <f t="shared" si="296"/>
        <v>0</v>
      </c>
      <c r="BM411" s="387">
        <f t="shared" si="297"/>
        <v>0</v>
      </c>
      <c r="BN411" s="387">
        <f t="shared" si="274"/>
        <v>0</v>
      </c>
      <c r="BO411" s="387">
        <f t="shared" si="275"/>
        <v>0</v>
      </c>
      <c r="BP411" s="387">
        <f t="shared" si="276"/>
        <v>0</v>
      </c>
      <c r="BQ411" s="387">
        <f t="shared" si="277"/>
        <v>0</v>
      </c>
      <c r="BR411" s="387">
        <f t="shared" si="278"/>
        <v>0</v>
      </c>
      <c r="BS411" s="387">
        <f t="shared" si="279"/>
        <v>0</v>
      </c>
      <c r="BT411" s="387">
        <f t="shared" si="280"/>
        <v>0</v>
      </c>
      <c r="BU411" s="387">
        <f t="shared" si="281"/>
        <v>0</v>
      </c>
      <c r="BV411" s="387">
        <f t="shared" si="282"/>
        <v>0</v>
      </c>
      <c r="BW411" s="387">
        <f t="shared" si="283"/>
        <v>0</v>
      </c>
      <c r="BX411" s="387">
        <f t="shared" si="298"/>
        <v>0</v>
      </c>
      <c r="BY411" s="387">
        <f t="shared" si="299"/>
        <v>0</v>
      </c>
      <c r="BZ411" s="387">
        <f t="shared" si="300"/>
        <v>0</v>
      </c>
      <c r="CA411" s="387">
        <f t="shared" si="301"/>
        <v>0</v>
      </c>
      <c r="CB411" s="387">
        <f t="shared" si="302"/>
        <v>0</v>
      </c>
      <c r="CC411" s="387">
        <f t="shared" si="284"/>
        <v>0</v>
      </c>
      <c r="CD411" s="387">
        <f t="shared" si="285"/>
        <v>0</v>
      </c>
      <c r="CE411" s="387">
        <f t="shared" si="286"/>
        <v>0</v>
      </c>
      <c r="CF411" s="387">
        <f t="shared" si="287"/>
        <v>0</v>
      </c>
      <c r="CG411" s="387">
        <f t="shared" si="288"/>
        <v>0</v>
      </c>
      <c r="CH411" s="387">
        <f t="shared" si="289"/>
        <v>0</v>
      </c>
      <c r="CI411" s="387">
        <f t="shared" si="290"/>
        <v>0</v>
      </c>
      <c r="CJ411" s="387">
        <f t="shared" si="303"/>
        <v>0</v>
      </c>
      <c r="CK411" s="387" t="str">
        <f t="shared" si="304"/>
        <v/>
      </c>
      <c r="CL411" s="387" t="str">
        <f t="shared" si="305"/>
        <v/>
      </c>
      <c r="CM411" s="387" t="str">
        <f t="shared" si="306"/>
        <v/>
      </c>
      <c r="CN411" s="387" t="str">
        <f t="shared" si="307"/>
        <v>0348-31</v>
      </c>
    </row>
    <row r="412" spans="1:92" ht="15.75" thickBot="1" x14ac:dyDescent="0.3">
      <c r="A412" s="376" t="s">
        <v>161</v>
      </c>
      <c r="B412" s="376" t="s">
        <v>162</v>
      </c>
      <c r="C412" s="376" t="s">
        <v>503</v>
      </c>
      <c r="D412" s="376" t="s">
        <v>504</v>
      </c>
      <c r="E412" s="376" t="s">
        <v>224</v>
      </c>
      <c r="F412" s="382" t="s">
        <v>225</v>
      </c>
      <c r="G412" s="376" t="s">
        <v>781</v>
      </c>
      <c r="H412" s="378"/>
      <c r="I412" s="378"/>
      <c r="J412" s="376" t="s">
        <v>239</v>
      </c>
      <c r="K412" s="376" t="s">
        <v>505</v>
      </c>
      <c r="L412" s="376" t="s">
        <v>432</v>
      </c>
      <c r="M412" s="376" t="s">
        <v>171</v>
      </c>
      <c r="N412" s="376" t="s">
        <v>172</v>
      </c>
      <c r="O412" s="379">
        <v>1</v>
      </c>
      <c r="P412" s="385">
        <v>0</v>
      </c>
      <c r="Q412" s="385">
        <v>0</v>
      </c>
      <c r="R412" s="380">
        <v>80</v>
      </c>
      <c r="S412" s="385">
        <v>0</v>
      </c>
      <c r="T412" s="380">
        <v>60700.37</v>
      </c>
      <c r="U412" s="380">
        <v>0</v>
      </c>
      <c r="V412" s="380">
        <v>19492.8</v>
      </c>
      <c r="W412" s="380">
        <v>0</v>
      </c>
      <c r="X412" s="380">
        <v>0</v>
      </c>
      <c r="Y412" s="380">
        <v>0</v>
      </c>
      <c r="Z412" s="380">
        <v>0</v>
      </c>
      <c r="AA412" s="376" t="s">
        <v>506</v>
      </c>
      <c r="AB412" s="376" t="s">
        <v>507</v>
      </c>
      <c r="AC412" s="376" t="s">
        <v>508</v>
      </c>
      <c r="AD412" s="376" t="s">
        <v>324</v>
      </c>
      <c r="AE412" s="376" t="s">
        <v>505</v>
      </c>
      <c r="AF412" s="376" t="s">
        <v>436</v>
      </c>
      <c r="AG412" s="376" t="s">
        <v>178</v>
      </c>
      <c r="AH412" s="381">
        <v>52.94</v>
      </c>
      <c r="AI412" s="381">
        <v>18153.5</v>
      </c>
      <c r="AJ412" s="376" t="s">
        <v>179</v>
      </c>
      <c r="AK412" s="376" t="s">
        <v>180</v>
      </c>
      <c r="AL412" s="376" t="s">
        <v>181</v>
      </c>
      <c r="AM412" s="376" t="s">
        <v>182</v>
      </c>
      <c r="AN412" s="376" t="s">
        <v>68</v>
      </c>
      <c r="AO412" s="379">
        <v>80</v>
      </c>
      <c r="AP412" s="385">
        <v>1</v>
      </c>
      <c r="AQ412" s="385">
        <v>0</v>
      </c>
      <c r="AR412" s="383" t="s">
        <v>183</v>
      </c>
      <c r="AS412" s="387">
        <f t="shared" si="291"/>
        <v>0</v>
      </c>
      <c r="AT412">
        <f t="shared" si="292"/>
        <v>0</v>
      </c>
      <c r="AU412" s="387" t="str">
        <f>IF(AT412=0,"",IF(AND(AT412=1,M412="F",SUMIF(C2:C1334,C412,AS2:AS1334)&lt;=1),SUMIF(C2:C1334,C412,AS2:AS1334),IF(AND(AT412=1,M412="F",SUMIF(C2:C1334,C412,AS2:AS1334)&gt;1),1,"")))</f>
        <v/>
      </c>
      <c r="AV412" s="387" t="str">
        <f>IF(AT412=0,"",IF(AND(AT412=3,M412="F",SUMIF(C2:C1334,C412,AS2:AS1334)&lt;=1),SUMIF(C2:C1334,C412,AS2:AS1334),IF(AND(AT412=3,M412="F",SUMIF(C2:C1334,C412,AS2:AS1334)&gt;1),1,"")))</f>
        <v/>
      </c>
      <c r="AW412" s="387">
        <f>SUMIF(C2:C1334,C412,O2:O1334)</f>
        <v>3</v>
      </c>
      <c r="AX412" s="387">
        <f>IF(AND(M412="F",AS412&lt;&gt;0),SUMIF(C2:C1334,C412,W2:W1334),0)</f>
        <v>0</v>
      </c>
      <c r="AY412" s="387" t="str">
        <f t="shared" si="293"/>
        <v/>
      </c>
      <c r="AZ412" s="387" t="str">
        <f t="shared" si="294"/>
        <v/>
      </c>
      <c r="BA412" s="387">
        <f t="shared" si="295"/>
        <v>0</v>
      </c>
      <c r="BB412" s="387">
        <f t="shared" si="264"/>
        <v>0</v>
      </c>
      <c r="BC412" s="387">
        <f t="shared" si="265"/>
        <v>0</v>
      </c>
      <c r="BD412" s="387">
        <f t="shared" si="266"/>
        <v>0</v>
      </c>
      <c r="BE412" s="387">
        <f t="shared" si="267"/>
        <v>0</v>
      </c>
      <c r="BF412" s="387">
        <f t="shared" si="268"/>
        <v>0</v>
      </c>
      <c r="BG412" s="387">
        <f t="shared" si="269"/>
        <v>0</v>
      </c>
      <c r="BH412" s="387">
        <f t="shared" si="270"/>
        <v>0</v>
      </c>
      <c r="BI412" s="387">
        <f t="shared" si="271"/>
        <v>0</v>
      </c>
      <c r="BJ412" s="387">
        <f t="shared" si="272"/>
        <v>0</v>
      </c>
      <c r="BK412" s="387">
        <f t="shared" si="273"/>
        <v>0</v>
      </c>
      <c r="BL412" s="387">
        <f t="shared" si="296"/>
        <v>0</v>
      </c>
      <c r="BM412" s="387">
        <f t="shared" si="297"/>
        <v>0</v>
      </c>
      <c r="BN412" s="387">
        <f t="shared" si="274"/>
        <v>0</v>
      </c>
      <c r="BO412" s="387">
        <f t="shared" si="275"/>
        <v>0</v>
      </c>
      <c r="BP412" s="387">
        <f t="shared" si="276"/>
        <v>0</v>
      </c>
      <c r="BQ412" s="387">
        <f t="shared" si="277"/>
        <v>0</v>
      </c>
      <c r="BR412" s="387">
        <f t="shared" si="278"/>
        <v>0</v>
      </c>
      <c r="BS412" s="387">
        <f t="shared" si="279"/>
        <v>0</v>
      </c>
      <c r="BT412" s="387">
        <f t="shared" si="280"/>
        <v>0</v>
      </c>
      <c r="BU412" s="387">
        <f t="shared" si="281"/>
        <v>0</v>
      </c>
      <c r="BV412" s="387">
        <f t="shared" si="282"/>
        <v>0</v>
      </c>
      <c r="BW412" s="387">
        <f t="shared" si="283"/>
        <v>0</v>
      </c>
      <c r="BX412" s="387">
        <f t="shared" si="298"/>
        <v>0</v>
      </c>
      <c r="BY412" s="387">
        <f t="shared" si="299"/>
        <v>0</v>
      </c>
      <c r="BZ412" s="387">
        <f t="shared" si="300"/>
        <v>0</v>
      </c>
      <c r="CA412" s="387">
        <f t="shared" si="301"/>
        <v>0</v>
      </c>
      <c r="CB412" s="387">
        <f t="shared" si="302"/>
        <v>0</v>
      </c>
      <c r="CC412" s="387">
        <f t="shared" si="284"/>
        <v>0</v>
      </c>
      <c r="CD412" s="387">
        <f t="shared" si="285"/>
        <v>0</v>
      </c>
      <c r="CE412" s="387">
        <f t="shared" si="286"/>
        <v>0</v>
      </c>
      <c r="CF412" s="387">
        <f t="shared" si="287"/>
        <v>0</v>
      </c>
      <c r="CG412" s="387">
        <f t="shared" si="288"/>
        <v>0</v>
      </c>
      <c r="CH412" s="387">
        <f t="shared" si="289"/>
        <v>0</v>
      </c>
      <c r="CI412" s="387">
        <f t="shared" si="290"/>
        <v>0</v>
      </c>
      <c r="CJ412" s="387">
        <f t="shared" si="303"/>
        <v>0</v>
      </c>
      <c r="CK412" s="387" t="str">
        <f t="shared" si="304"/>
        <v/>
      </c>
      <c r="CL412" s="387" t="str">
        <f t="shared" si="305"/>
        <v/>
      </c>
      <c r="CM412" s="387" t="str">
        <f t="shared" si="306"/>
        <v/>
      </c>
      <c r="CN412" s="387" t="str">
        <f t="shared" si="307"/>
        <v>0348-31</v>
      </c>
    </row>
    <row r="413" spans="1:92" ht="15.75" thickBot="1" x14ac:dyDescent="0.3">
      <c r="A413" s="376" t="s">
        <v>161</v>
      </c>
      <c r="B413" s="376" t="s">
        <v>162</v>
      </c>
      <c r="C413" s="376" t="s">
        <v>1386</v>
      </c>
      <c r="D413" s="376" t="s">
        <v>862</v>
      </c>
      <c r="E413" s="376" t="s">
        <v>224</v>
      </c>
      <c r="F413" s="382" t="s">
        <v>225</v>
      </c>
      <c r="G413" s="376" t="s">
        <v>781</v>
      </c>
      <c r="H413" s="378"/>
      <c r="I413" s="378"/>
      <c r="J413" s="376" t="s">
        <v>215</v>
      </c>
      <c r="K413" s="376" t="s">
        <v>863</v>
      </c>
      <c r="L413" s="376" t="s">
        <v>252</v>
      </c>
      <c r="M413" s="376" t="s">
        <v>171</v>
      </c>
      <c r="N413" s="376" t="s">
        <v>172</v>
      </c>
      <c r="O413" s="379">
        <v>1</v>
      </c>
      <c r="P413" s="385">
        <v>0</v>
      </c>
      <c r="Q413" s="385">
        <v>0</v>
      </c>
      <c r="R413" s="380">
        <v>80</v>
      </c>
      <c r="S413" s="385">
        <v>0</v>
      </c>
      <c r="T413" s="380">
        <v>17051.310000000001</v>
      </c>
      <c r="U413" s="380">
        <v>0</v>
      </c>
      <c r="V413" s="380">
        <v>9297.5499999999993</v>
      </c>
      <c r="W413" s="380">
        <v>0</v>
      </c>
      <c r="X413" s="380">
        <v>0</v>
      </c>
      <c r="Y413" s="380">
        <v>0</v>
      </c>
      <c r="Z413" s="380">
        <v>0</v>
      </c>
      <c r="AA413" s="376" t="s">
        <v>1387</v>
      </c>
      <c r="AB413" s="376" t="s">
        <v>1388</v>
      </c>
      <c r="AC413" s="376" t="s">
        <v>738</v>
      </c>
      <c r="AD413" s="376" t="s">
        <v>176</v>
      </c>
      <c r="AE413" s="376" t="s">
        <v>863</v>
      </c>
      <c r="AF413" s="376" t="s">
        <v>393</v>
      </c>
      <c r="AG413" s="376" t="s">
        <v>178</v>
      </c>
      <c r="AH413" s="381">
        <v>17.7</v>
      </c>
      <c r="AI413" s="381">
        <v>329.2</v>
      </c>
      <c r="AJ413" s="376" t="s">
        <v>179</v>
      </c>
      <c r="AK413" s="376" t="s">
        <v>180</v>
      </c>
      <c r="AL413" s="376" t="s">
        <v>181</v>
      </c>
      <c r="AM413" s="376" t="s">
        <v>182</v>
      </c>
      <c r="AN413" s="376" t="s">
        <v>68</v>
      </c>
      <c r="AO413" s="379">
        <v>80</v>
      </c>
      <c r="AP413" s="385">
        <v>1</v>
      </c>
      <c r="AQ413" s="385">
        <v>0</v>
      </c>
      <c r="AR413" s="383" t="s">
        <v>183</v>
      </c>
      <c r="AS413" s="387">
        <f t="shared" si="291"/>
        <v>0</v>
      </c>
      <c r="AT413">
        <f t="shared" si="292"/>
        <v>0</v>
      </c>
      <c r="AU413" s="387" t="str">
        <f>IF(AT413=0,"",IF(AND(AT413=1,M413="F",SUMIF(C2:C1334,C413,AS2:AS1334)&lt;=1),SUMIF(C2:C1334,C413,AS2:AS1334),IF(AND(AT413=1,M413="F",SUMIF(C2:C1334,C413,AS2:AS1334)&gt;1),1,"")))</f>
        <v/>
      </c>
      <c r="AV413" s="387" t="str">
        <f>IF(AT413=0,"",IF(AND(AT413=3,M413="F",SUMIF(C2:C1334,C413,AS2:AS1334)&lt;=1),SUMIF(C2:C1334,C413,AS2:AS1334),IF(AND(AT413=3,M413="F",SUMIF(C2:C1334,C413,AS2:AS1334)&gt;1),1,"")))</f>
        <v/>
      </c>
      <c r="AW413" s="387">
        <f>SUMIF(C2:C1334,C413,O2:O1334)</f>
        <v>3</v>
      </c>
      <c r="AX413" s="387">
        <f>IF(AND(M413="F",AS413&lt;&gt;0),SUMIF(C2:C1334,C413,W2:W1334),0)</f>
        <v>0</v>
      </c>
      <c r="AY413" s="387" t="str">
        <f t="shared" si="293"/>
        <v/>
      </c>
      <c r="AZ413" s="387" t="str">
        <f t="shared" si="294"/>
        <v/>
      </c>
      <c r="BA413" s="387">
        <f t="shared" si="295"/>
        <v>0</v>
      </c>
      <c r="BB413" s="387">
        <f t="shared" si="264"/>
        <v>0</v>
      </c>
      <c r="BC413" s="387">
        <f t="shared" si="265"/>
        <v>0</v>
      </c>
      <c r="BD413" s="387">
        <f t="shared" si="266"/>
        <v>0</v>
      </c>
      <c r="BE413" s="387">
        <f t="shared" si="267"/>
        <v>0</v>
      </c>
      <c r="BF413" s="387">
        <f t="shared" si="268"/>
        <v>0</v>
      </c>
      <c r="BG413" s="387">
        <f t="shared" si="269"/>
        <v>0</v>
      </c>
      <c r="BH413" s="387">
        <f t="shared" si="270"/>
        <v>0</v>
      </c>
      <c r="BI413" s="387">
        <f t="shared" si="271"/>
        <v>0</v>
      </c>
      <c r="BJ413" s="387">
        <f t="shared" si="272"/>
        <v>0</v>
      </c>
      <c r="BK413" s="387">
        <f t="shared" si="273"/>
        <v>0</v>
      </c>
      <c r="BL413" s="387">
        <f t="shared" si="296"/>
        <v>0</v>
      </c>
      <c r="BM413" s="387">
        <f t="shared" si="297"/>
        <v>0</v>
      </c>
      <c r="BN413" s="387">
        <f t="shared" si="274"/>
        <v>0</v>
      </c>
      <c r="BO413" s="387">
        <f t="shared" si="275"/>
        <v>0</v>
      </c>
      <c r="BP413" s="387">
        <f t="shared" si="276"/>
        <v>0</v>
      </c>
      <c r="BQ413" s="387">
        <f t="shared" si="277"/>
        <v>0</v>
      </c>
      <c r="BR413" s="387">
        <f t="shared" si="278"/>
        <v>0</v>
      </c>
      <c r="BS413" s="387">
        <f t="shared" si="279"/>
        <v>0</v>
      </c>
      <c r="BT413" s="387">
        <f t="shared" si="280"/>
        <v>0</v>
      </c>
      <c r="BU413" s="387">
        <f t="shared" si="281"/>
        <v>0</v>
      </c>
      <c r="BV413" s="387">
        <f t="shared" si="282"/>
        <v>0</v>
      </c>
      <c r="BW413" s="387">
        <f t="shared" si="283"/>
        <v>0</v>
      </c>
      <c r="BX413" s="387">
        <f t="shared" si="298"/>
        <v>0</v>
      </c>
      <c r="BY413" s="387">
        <f t="shared" si="299"/>
        <v>0</v>
      </c>
      <c r="BZ413" s="387">
        <f t="shared" si="300"/>
        <v>0</v>
      </c>
      <c r="CA413" s="387">
        <f t="shared" si="301"/>
        <v>0</v>
      </c>
      <c r="CB413" s="387">
        <f t="shared" si="302"/>
        <v>0</v>
      </c>
      <c r="CC413" s="387">
        <f t="shared" si="284"/>
        <v>0</v>
      </c>
      <c r="CD413" s="387">
        <f t="shared" si="285"/>
        <v>0</v>
      </c>
      <c r="CE413" s="387">
        <f t="shared" si="286"/>
        <v>0</v>
      </c>
      <c r="CF413" s="387">
        <f t="shared" si="287"/>
        <v>0</v>
      </c>
      <c r="CG413" s="387">
        <f t="shared" si="288"/>
        <v>0</v>
      </c>
      <c r="CH413" s="387">
        <f t="shared" si="289"/>
        <v>0</v>
      </c>
      <c r="CI413" s="387">
        <f t="shared" si="290"/>
        <v>0</v>
      </c>
      <c r="CJ413" s="387">
        <f t="shared" si="303"/>
        <v>0</v>
      </c>
      <c r="CK413" s="387" t="str">
        <f t="shared" si="304"/>
        <v/>
      </c>
      <c r="CL413" s="387" t="str">
        <f t="shared" si="305"/>
        <v/>
      </c>
      <c r="CM413" s="387" t="str">
        <f t="shared" si="306"/>
        <v/>
      </c>
      <c r="CN413" s="387" t="str">
        <f t="shared" si="307"/>
        <v>0348-31</v>
      </c>
    </row>
    <row r="414" spans="1:92" ht="15.75" thickBot="1" x14ac:dyDescent="0.3">
      <c r="A414" s="376" t="s">
        <v>161</v>
      </c>
      <c r="B414" s="376" t="s">
        <v>162</v>
      </c>
      <c r="C414" s="376" t="s">
        <v>1389</v>
      </c>
      <c r="D414" s="376" t="s">
        <v>862</v>
      </c>
      <c r="E414" s="376" t="s">
        <v>224</v>
      </c>
      <c r="F414" s="382" t="s">
        <v>225</v>
      </c>
      <c r="G414" s="376" t="s">
        <v>781</v>
      </c>
      <c r="H414" s="378"/>
      <c r="I414" s="378"/>
      <c r="J414" s="376" t="s">
        <v>215</v>
      </c>
      <c r="K414" s="376" t="s">
        <v>863</v>
      </c>
      <c r="L414" s="376" t="s">
        <v>252</v>
      </c>
      <c r="M414" s="376" t="s">
        <v>272</v>
      </c>
      <c r="N414" s="376" t="s">
        <v>877</v>
      </c>
      <c r="O414" s="379">
        <v>0</v>
      </c>
      <c r="P414" s="385">
        <v>0</v>
      </c>
      <c r="Q414" s="385">
        <v>0</v>
      </c>
      <c r="R414" s="380">
        <v>80</v>
      </c>
      <c r="S414" s="385">
        <v>0</v>
      </c>
      <c r="T414" s="380">
        <v>15137.91</v>
      </c>
      <c r="U414" s="380">
        <v>0</v>
      </c>
      <c r="V414" s="380">
        <v>9533.4500000000007</v>
      </c>
      <c r="W414" s="380">
        <v>0</v>
      </c>
      <c r="X414" s="380">
        <v>0</v>
      </c>
      <c r="Y414" s="380">
        <v>0</v>
      </c>
      <c r="Z414" s="380">
        <v>0</v>
      </c>
      <c r="AA414" s="378"/>
      <c r="AB414" s="376" t="s">
        <v>45</v>
      </c>
      <c r="AC414" s="376" t="s">
        <v>45</v>
      </c>
      <c r="AD414" s="378"/>
      <c r="AE414" s="378"/>
      <c r="AF414" s="378"/>
      <c r="AG414" s="378"/>
      <c r="AH414" s="379">
        <v>0</v>
      </c>
      <c r="AI414" s="379">
        <v>0</v>
      </c>
      <c r="AJ414" s="378"/>
      <c r="AK414" s="378"/>
      <c r="AL414" s="376" t="s">
        <v>181</v>
      </c>
      <c r="AM414" s="378"/>
      <c r="AN414" s="378"/>
      <c r="AO414" s="379">
        <v>0</v>
      </c>
      <c r="AP414" s="385">
        <v>0</v>
      </c>
      <c r="AQ414" s="385">
        <v>0</v>
      </c>
      <c r="AR414" s="384"/>
      <c r="AS414" s="387">
        <f t="shared" si="291"/>
        <v>0</v>
      </c>
      <c r="AT414">
        <f t="shared" si="292"/>
        <v>0</v>
      </c>
      <c r="AU414" s="387" t="str">
        <f>IF(AT414=0,"",IF(AND(AT414=1,M414="F",SUMIF(C2:C1334,C414,AS2:AS1334)&lt;=1),SUMIF(C2:C1334,C414,AS2:AS1334),IF(AND(AT414=1,M414="F",SUMIF(C2:C1334,C414,AS2:AS1334)&gt;1),1,"")))</f>
        <v/>
      </c>
      <c r="AV414" s="387" t="str">
        <f>IF(AT414=0,"",IF(AND(AT414=3,M414="F",SUMIF(C2:C1334,C414,AS2:AS1334)&lt;=1),SUMIF(C2:C1334,C414,AS2:AS1334),IF(AND(AT414=3,M414="F",SUMIF(C2:C1334,C414,AS2:AS1334)&gt;1),1,"")))</f>
        <v/>
      </c>
      <c r="AW414" s="387">
        <f>SUMIF(C2:C1334,C414,O2:O1334)</f>
        <v>0</v>
      </c>
      <c r="AX414" s="387">
        <f>IF(AND(M414="F",AS414&lt;&gt;0),SUMIF(C2:C1334,C414,W2:W1334),0)</f>
        <v>0</v>
      </c>
      <c r="AY414" s="387" t="str">
        <f t="shared" si="293"/>
        <v/>
      </c>
      <c r="AZ414" s="387" t="str">
        <f t="shared" si="294"/>
        <v/>
      </c>
      <c r="BA414" s="387">
        <f t="shared" si="295"/>
        <v>0</v>
      </c>
      <c r="BB414" s="387">
        <f t="shared" si="264"/>
        <v>0</v>
      </c>
      <c r="BC414" s="387">
        <f t="shared" si="265"/>
        <v>0</v>
      </c>
      <c r="BD414" s="387">
        <f t="shared" si="266"/>
        <v>0</v>
      </c>
      <c r="BE414" s="387">
        <f t="shared" si="267"/>
        <v>0</v>
      </c>
      <c r="BF414" s="387">
        <f t="shared" si="268"/>
        <v>0</v>
      </c>
      <c r="BG414" s="387">
        <f t="shared" si="269"/>
        <v>0</v>
      </c>
      <c r="BH414" s="387">
        <f t="shared" si="270"/>
        <v>0</v>
      </c>
      <c r="BI414" s="387">
        <f t="shared" si="271"/>
        <v>0</v>
      </c>
      <c r="BJ414" s="387">
        <f t="shared" si="272"/>
        <v>0</v>
      </c>
      <c r="BK414" s="387">
        <f t="shared" si="273"/>
        <v>0</v>
      </c>
      <c r="BL414" s="387">
        <f t="shared" si="296"/>
        <v>0</v>
      </c>
      <c r="BM414" s="387">
        <f t="shared" si="297"/>
        <v>0</v>
      </c>
      <c r="BN414" s="387">
        <f t="shared" si="274"/>
        <v>0</v>
      </c>
      <c r="BO414" s="387">
        <f t="shared" si="275"/>
        <v>0</v>
      </c>
      <c r="BP414" s="387">
        <f t="shared" si="276"/>
        <v>0</v>
      </c>
      <c r="BQ414" s="387">
        <f t="shared" si="277"/>
        <v>0</v>
      </c>
      <c r="BR414" s="387">
        <f t="shared" si="278"/>
        <v>0</v>
      </c>
      <c r="BS414" s="387">
        <f t="shared" si="279"/>
        <v>0</v>
      </c>
      <c r="BT414" s="387">
        <f t="shared" si="280"/>
        <v>0</v>
      </c>
      <c r="BU414" s="387">
        <f t="shared" si="281"/>
        <v>0</v>
      </c>
      <c r="BV414" s="387">
        <f t="shared" si="282"/>
        <v>0</v>
      </c>
      <c r="BW414" s="387">
        <f t="shared" si="283"/>
        <v>0</v>
      </c>
      <c r="BX414" s="387">
        <f t="shared" si="298"/>
        <v>0</v>
      </c>
      <c r="BY414" s="387">
        <f t="shared" si="299"/>
        <v>0</v>
      </c>
      <c r="BZ414" s="387">
        <f t="shared" si="300"/>
        <v>0</v>
      </c>
      <c r="CA414" s="387">
        <f t="shared" si="301"/>
        <v>0</v>
      </c>
      <c r="CB414" s="387">
        <f t="shared" si="302"/>
        <v>0</v>
      </c>
      <c r="CC414" s="387">
        <f t="shared" si="284"/>
        <v>0</v>
      </c>
      <c r="CD414" s="387">
        <f t="shared" si="285"/>
        <v>0</v>
      </c>
      <c r="CE414" s="387">
        <f t="shared" si="286"/>
        <v>0</v>
      </c>
      <c r="CF414" s="387">
        <f t="shared" si="287"/>
        <v>0</v>
      </c>
      <c r="CG414" s="387">
        <f t="shared" si="288"/>
        <v>0</v>
      </c>
      <c r="CH414" s="387">
        <f t="shared" si="289"/>
        <v>0</v>
      </c>
      <c r="CI414" s="387">
        <f t="shared" si="290"/>
        <v>0</v>
      </c>
      <c r="CJ414" s="387">
        <f t="shared" si="303"/>
        <v>0</v>
      </c>
      <c r="CK414" s="387" t="str">
        <f t="shared" si="304"/>
        <v/>
      </c>
      <c r="CL414" s="387" t="str">
        <f t="shared" si="305"/>
        <v/>
      </c>
      <c r="CM414" s="387" t="str">
        <f t="shared" si="306"/>
        <v/>
      </c>
      <c r="CN414" s="387" t="str">
        <f t="shared" si="307"/>
        <v>0348-31</v>
      </c>
    </row>
    <row r="415" spans="1:92" ht="15.75" thickBot="1" x14ac:dyDescent="0.3">
      <c r="A415" s="376" t="s">
        <v>161</v>
      </c>
      <c r="B415" s="376" t="s">
        <v>162</v>
      </c>
      <c r="C415" s="376" t="s">
        <v>1390</v>
      </c>
      <c r="D415" s="376" t="s">
        <v>862</v>
      </c>
      <c r="E415" s="376" t="s">
        <v>224</v>
      </c>
      <c r="F415" s="382" t="s">
        <v>225</v>
      </c>
      <c r="G415" s="376" t="s">
        <v>781</v>
      </c>
      <c r="H415" s="378"/>
      <c r="I415" s="378"/>
      <c r="J415" s="376" t="s">
        <v>215</v>
      </c>
      <c r="K415" s="376" t="s">
        <v>863</v>
      </c>
      <c r="L415" s="376" t="s">
        <v>252</v>
      </c>
      <c r="M415" s="376" t="s">
        <v>272</v>
      </c>
      <c r="N415" s="376" t="s">
        <v>172</v>
      </c>
      <c r="O415" s="379">
        <v>0</v>
      </c>
      <c r="P415" s="385">
        <v>1</v>
      </c>
      <c r="Q415" s="385">
        <v>1</v>
      </c>
      <c r="R415" s="380">
        <v>80</v>
      </c>
      <c r="S415" s="385">
        <v>1</v>
      </c>
      <c r="T415" s="380">
        <v>21290.28</v>
      </c>
      <c r="U415" s="380">
        <v>0</v>
      </c>
      <c r="V415" s="380">
        <v>11568.7</v>
      </c>
      <c r="W415" s="380">
        <v>42328</v>
      </c>
      <c r="X415" s="380">
        <v>18539.66</v>
      </c>
      <c r="Y415" s="380">
        <v>42328</v>
      </c>
      <c r="Z415" s="380">
        <v>18328.02</v>
      </c>
      <c r="AA415" s="378"/>
      <c r="AB415" s="376" t="s">
        <v>45</v>
      </c>
      <c r="AC415" s="376" t="s">
        <v>45</v>
      </c>
      <c r="AD415" s="378"/>
      <c r="AE415" s="378"/>
      <c r="AF415" s="378"/>
      <c r="AG415" s="378"/>
      <c r="AH415" s="379">
        <v>0</v>
      </c>
      <c r="AI415" s="379">
        <v>0</v>
      </c>
      <c r="AJ415" s="378"/>
      <c r="AK415" s="378"/>
      <c r="AL415" s="376" t="s">
        <v>181</v>
      </c>
      <c r="AM415" s="378"/>
      <c r="AN415" s="378"/>
      <c r="AO415" s="379">
        <v>0</v>
      </c>
      <c r="AP415" s="385">
        <v>0</v>
      </c>
      <c r="AQ415" s="385">
        <v>0</v>
      </c>
      <c r="AR415" s="384"/>
      <c r="AS415" s="387">
        <f t="shared" si="291"/>
        <v>0</v>
      </c>
      <c r="AT415">
        <f t="shared" si="292"/>
        <v>0</v>
      </c>
      <c r="AU415" s="387" t="str">
        <f>IF(AT415=0,"",IF(AND(AT415=1,M415="F",SUMIF(C2:C1334,C415,AS2:AS1334)&lt;=1),SUMIF(C2:C1334,C415,AS2:AS1334),IF(AND(AT415=1,M415="F",SUMIF(C2:C1334,C415,AS2:AS1334)&gt;1),1,"")))</f>
        <v/>
      </c>
      <c r="AV415" s="387" t="str">
        <f>IF(AT415=0,"",IF(AND(AT415=3,M415="F",SUMIF(C2:C1334,C415,AS2:AS1334)&lt;=1),SUMIF(C2:C1334,C415,AS2:AS1334),IF(AND(AT415=3,M415="F",SUMIF(C2:C1334,C415,AS2:AS1334)&gt;1),1,"")))</f>
        <v/>
      </c>
      <c r="AW415" s="387">
        <f>SUMIF(C2:C1334,C415,O2:O1334)</f>
        <v>0</v>
      </c>
      <c r="AX415" s="387">
        <f>IF(AND(M415="F",AS415&lt;&gt;0),SUMIF(C2:C1334,C415,W2:W1334),0)</f>
        <v>0</v>
      </c>
      <c r="AY415" s="387" t="str">
        <f t="shared" si="293"/>
        <v/>
      </c>
      <c r="AZ415" s="387" t="str">
        <f t="shared" si="294"/>
        <v/>
      </c>
      <c r="BA415" s="387">
        <f t="shared" si="295"/>
        <v>0</v>
      </c>
      <c r="BB415" s="387">
        <f t="shared" si="264"/>
        <v>0</v>
      </c>
      <c r="BC415" s="387">
        <f t="shared" si="265"/>
        <v>0</v>
      </c>
      <c r="BD415" s="387">
        <f t="shared" si="266"/>
        <v>0</v>
      </c>
      <c r="BE415" s="387">
        <f t="shared" si="267"/>
        <v>0</v>
      </c>
      <c r="BF415" s="387">
        <f t="shared" si="268"/>
        <v>0</v>
      </c>
      <c r="BG415" s="387">
        <f t="shared" si="269"/>
        <v>0</v>
      </c>
      <c r="BH415" s="387">
        <f t="shared" si="270"/>
        <v>0</v>
      </c>
      <c r="BI415" s="387">
        <f t="shared" si="271"/>
        <v>0</v>
      </c>
      <c r="BJ415" s="387">
        <f t="shared" si="272"/>
        <v>0</v>
      </c>
      <c r="BK415" s="387">
        <f t="shared" si="273"/>
        <v>0</v>
      </c>
      <c r="BL415" s="387">
        <f t="shared" si="296"/>
        <v>0</v>
      </c>
      <c r="BM415" s="387">
        <f t="shared" si="297"/>
        <v>0</v>
      </c>
      <c r="BN415" s="387">
        <f t="shared" si="274"/>
        <v>0</v>
      </c>
      <c r="BO415" s="387">
        <f t="shared" si="275"/>
        <v>0</v>
      </c>
      <c r="BP415" s="387">
        <f t="shared" si="276"/>
        <v>0</v>
      </c>
      <c r="BQ415" s="387">
        <f t="shared" si="277"/>
        <v>0</v>
      </c>
      <c r="BR415" s="387">
        <f t="shared" si="278"/>
        <v>0</v>
      </c>
      <c r="BS415" s="387">
        <f t="shared" si="279"/>
        <v>0</v>
      </c>
      <c r="BT415" s="387">
        <f t="shared" si="280"/>
        <v>0</v>
      </c>
      <c r="BU415" s="387">
        <f t="shared" si="281"/>
        <v>0</v>
      </c>
      <c r="BV415" s="387">
        <f t="shared" si="282"/>
        <v>0</v>
      </c>
      <c r="BW415" s="387">
        <f t="shared" si="283"/>
        <v>0</v>
      </c>
      <c r="BX415" s="387">
        <f t="shared" si="298"/>
        <v>0</v>
      </c>
      <c r="BY415" s="387">
        <f t="shared" si="299"/>
        <v>0</v>
      </c>
      <c r="BZ415" s="387">
        <f t="shared" si="300"/>
        <v>0</v>
      </c>
      <c r="CA415" s="387">
        <f t="shared" si="301"/>
        <v>0</v>
      </c>
      <c r="CB415" s="387">
        <f t="shared" si="302"/>
        <v>0</v>
      </c>
      <c r="CC415" s="387">
        <f t="shared" si="284"/>
        <v>0</v>
      </c>
      <c r="CD415" s="387">
        <f t="shared" si="285"/>
        <v>0</v>
      </c>
      <c r="CE415" s="387">
        <f t="shared" si="286"/>
        <v>0</v>
      </c>
      <c r="CF415" s="387">
        <f t="shared" si="287"/>
        <v>0</v>
      </c>
      <c r="CG415" s="387">
        <f t="shared" si="288"/>
        <v>0</v>
      </c>
      <c r="CH415" s="387">
        <f t="shared" si="289"/>
        <v>0</v>
      </c>
      <c r="CI415" s="387">
        <f t="shared" si="290"/>
        <v>0</v>
      </c>
      <c r="CJ415" s="387">
        <f t="shared" si="303"/>
        <v>0</v>
      </c>
      <c r="CK415" s="387" t="str">
        <f t="shared" si="304"/>
        <v/>
      </c>
      <c r="CL415" s="387" t="str">
        <f t="shared" si="305"/>
        <v/>
      </c>
      <c r="CM415" s="387" t="str">
        <f t="shared" si="306"/>
        <v/>
      </c>
      <c r="CN415" s="387" t="str">
        <f t="shared" si="307"/>
        <v>0348-31</v>
      </c>
    </row>
    <row r="416" spans="1:92" ht="15.75" thickBot="1" x14ac:dyDescent="0.3">
      <c r="A416" s="376" t="s">
        <v>161</v>
      </c>
      <c r="B416" s="376" t="s">
        <v>162</v>
      </c>
      <c r="C416" s="376" t="s">
        <v>1391</v>
      </c>
      <c r="D416" s="376" t="s">
        <v>862</v>
      </c>
      <c r="E416" s="376" t="s">
        <v>224</v>
      </c>
      <c r="F416" s="382" t="s">
        <v>225</v>
      </c>
      <c r="G416" s="376" t="s">
        <v>781</v>
      </c>
      <c r="H416" s="378"/>
      <c r="I416" s="378"/>
      <c r="J416" s="376" t="s">
        <v>239</v>
      </c>
      <c r="K416" s="376" t="s">
        <v>863</v>
      </c>
      <c r="L416" s="376" t="s">
        <v>252</v>
      </c>
      <c r="M416" s="376" t="s">
        <v>171</v>
      </c>
      <c r="N416" s="376" t="s">
        <v>172</v>
      </c>
      <c r="O416" s="379">
        <v>1</v>
      </c>
      <c r="P416" s="385">
        <v>0.7</v>
      </c>
      <c r="Q416" s="385">
        <v>0.7</v>
      </c>
      <c r="R416" s="380">
        <v>80</v>
      </c>
      <c r="S416" s="385">
        <v>0.7</v>
      </c>
      <c r="T416" s="380">
        <v>10229.129999999999</v>
      </c>
      <c r="U416" s="380">
        <v>0</v>
      </c>
      <c r="V416" s="380">
        <v>5078.59</v>
      </c>
      <c r="W416" s="380">
        <v>28843.360000000001</v>
      </c>
      <c r="X416" s="380">
        <v>14392.35</v>
      </c>
      <c r="Y416" s="380">
        <v>28843.360000000001</v>
      </c>
      <c r="Z416" s="380">
        <v>14271.2</v>
      </c>
      <c r="AA416" s="376" t="s">
        <v>1392</v>
      </c>
      <c r="AB416" s="376" t="s">
        <v>1393</v>
      </c>
      <c r="AC416" s="376" t="s">
        <v>1394</v>
      </c>
      <c r="AD416" s="376" t="s">
        <v>1395</v>
      </c>
      <c r="AE416" s="376" t="s">
        <v>863</v>
      </c>
      <c r="AF416" s="376" t="s">
        <v>393</v>
      </c>
      <c r="AG416" s="376" t="s">
        <v>178</v>
      </c>
      <c r="AH416" s="381">
        <v>19.809999999999999</v>
      </c>
      <c r="AI416" s="381">
        <v>11462.3</v>
      </c>
      <c r="AJ416" s="376" t="s">
        <v>179</v>
      </c>
      <c r="AK416" s="376" t="s">
        <v>180</v>
      </c>
      <c r="AL416" s="376" t="s">
        <v>181</v>
      </c>
      <c r="AM416" s="376" t="s">
        <v>182</v>
      </c>
      <c r="AN416" s="376" t="s">
        <v>68</v>
      </c>
      <c r="AO416" s="379">
        <v>80</v>
      </c>
      <c r="AP416" s="385">
        <v>1</v>
      </c>
      <c r="AQ416" s="385">
        <v>0.7</v>
      </c>
      <c r="AR416" s="383" t="s">
        <v>183</v>
      </c>
      <c r="AS416" s="387">
        <f t="shared" si="291"/>
        <v>0.7</v>
      </c>
      <c r="AT416">
        <f t="shared" si="292"/>
        <v>1</v>
      </c>
      <c r="AU416" s="387">
        <f>IF(AT416=0,"",IF(AND(AT416=1,M416="F",SUMIF(C2:C1334,C416,AS2:AS1334)&lt;=1),SUMIF(C2:C1334,C416,AS2:AS1334),IF(AND(AT416=1,M416="F",SUMIF(C2:C1334,C416,AS2:AS1334)&gt;1),1,"")))</f>
        <v>1</v>
      </c>
      <c r="AV416" s="387" t="str">
        <f>IF(AT416=0,"",IF(AND(AT416=3,M416="F",SUMIF(C2:C1334,C416,AS2:AS1334)&lt;=1),SUMIF(C2:C1334,C416,AS2:AS1334),IF(AND(AT416=3,M416="F",SUMIF(C2:C1334,C416,AS2:AS1334)&gt;1),1,"")))</f>
        <v/>
      </c>
      <c r="AW416" s="387">
        <f>SUMIF(C2:C1334,C416,O2:O1334)</f>
        <v>2</v>
      </c>
      <c r="AX416" s="387">
        <f>IF(AND(M416="F",AS416&lt;&gt;0),SUMIF(C2:C1334,C416,W2:W1334),0)</f>
        <v>41204.800000000003</v>
      </c>
      <c r="AY416" s="387">
        <f t="shared" si="293"/>
        <v>28843.360000000001</v>
      </c>
      <c r="AZ416" s="387" t="str">
        <f t="shared" si="294"/>
        <v/>
      </c>
      <c r="BA416" s="387">
        <f t="shared" si="295"/>
        <v>0</v>
      </c>
      <c r="BB416" s="387">
        <f t="shared" si="264"/>
        <v>8154.9999999999991</v>
      </c>
      <c r="BC416" s="387">
        <f t="shared" si="265"/>
        <v>0</v>
      </c>
      <c r="BD416" s="387">
        <f t="shared" si="266"/>
        <v>1788.2883200000001</v>
      </c>
      <c r="BE416" s="387">
        <f t="shared" si="267"/>
        <v>418.22872000000001</v>
      </c>
      <c r="BF416" s="387">
        <f t="shared" si="268"/>
        <v>3443.8971840000004</v>
      </c>
      <c r="BG416" s="387">
        <f t="shared" si="269"/>
        <v>207.96062560000001</v>
      </c>
      <c r="BH416" s="387">
        <f t="shared" si="270"/>
        <v>141.33246399999999</v>
      </c>
      <c r="BI416" s="387">
        <f t="shared" si="271"/>
        <v>159.6479976</v>
      </c>
      <c r="BJ416" s="387">
        <f t="shared" si="272"/>
        <v>77.877072000000013</v>
      </c>
      <c r="BK416" s="387">
        <f t="shared" si="273"/>
        <v>0</v>
      </c>
      <c r="BL416" s="387">
        <f t="shared" si="296"/>
        <v>6237.2323832000002</v>
      </c>
      <c r="BM416" s="387">
        <f t="shared" si="297"/>
        <v>0</v>
      </c>
      <c r="BN416" s="387">
        <f t="shared" si="274"/>
        <v>8154.9999999999991</v>
      </c>
      <c r="BO416" s="387">
        <f t="shared" si="275"/>
        <v>0</v>
      </c>
      <c r="BP416" s="387">
        <f t="shared" si="276"/>
        <v>1788.2883200000001</v>
      </c>
      <c r="BQ416" s="387">
        <f t="shared" si="277"/>
        <v>418.22872000000001</v>
      </c>
      <c r="BR416" s="387">
        <f t="shared" si="278"/>
        <v>3443.8971840000004</v>
      </c>
      <c r="BS416" s="387">
        <f t="shared" si="279"/>
        <v>207.96062560000001</v>
      </c>
      <c r="BT416" s="387">
        <f t="shared" si="280"/>
        <v>0</v>
      </c>
      <c r="BU416" s="387">
        <f t="shared" si="281"/>
        <v>159.6479976</v>
      </c>
      <c r="BV416" s="387">
        <f t="shared" si="282"/>
        <v>98.067424000000003</v>
      </c>
      <c r="BW416" s="387">
        <f t="shared" si="283"/>
        <v>0</v>
      </c>
      <c r="BX416" s="387">
        <f t="shared" si="298"/>
        <v>6116.0902711999997</v>
      </c>
      <c r="BY416" s="387">
        <f t="shared" si="299"/>
        <v>0</v>
      </c>
      <c r="BZ416" s="387">
        <f t="shared" si="300"/>
        <v>0</v>
      </c>
      <c r="CA416" s="387">
        <f t="shared" si="301"/>
        <v>0</v>
      </c>
      <c r="CB416" s="387">
        <f t="shared" si="302"/>
        <v>0</v>
      </c>
      <c r="CC416" s="387">
        <f t="shared" si="284"/>
        <v>0</v>
      </c>
      <c r="CD416" s="387">
        <f t="shared" si="285"/>
        <v>0</v>
      </c>
      <c r="CE416" s="387">
        <f t="shared" si="286"/>
        <v>0</v>
      </c>
      <c r="CF416" s="387">
        <f t="shared" si="287"/>
        <v>-141.33246399999999</v>
      </c>
      <c r="CG416" s="387">
        <f t="shared" si="288"/>
        <v>0</v>
      </c>
      <c r="CH416" s="387">
        <f t="shared" si="289"/>
        <v>20.19035199999999</v>
      </c>
      <c r="CI416" s="387">
        <f t="shared" si="290"/>
        <v>0</v>
      </c>
      <c r="CJ416" s="387">
        <f t="shared" si="303"/>
        <v>-121.142112</v>
      </c>
      <c r="CK416" s="387" t="str">
        <f t="shared" si="304"/>
        <v/>
      </c>
      <c r="CL416" s="387" t="str">
        <f t="shared" si="305"/>
        <v/>
      </c>
      <c r="CM416" s="387" t="str">
        <f t="shared" si="306"/>
        <v/>
      </c>
      <c r="CN416" s="387" t="str">
        <f t="shared" si="307"/>
        <v>0348-31</v>
      </c>
    </row>
    <row r="417" spans="1:92" ht="15.75" thickBot="1" x14ac:dyDescent="0.3">
      <c r="A417" s="376" t="s">
        <v>161</v>
      </c>
      <c r="B417" s="376" t="s">
        <v>162</v>
      </c>
      <c r="C417" s="376" t="s">
        <v>567</v>
      </c>
      <c r="D417" s="376" t="s">
        <v>568</v>
      </c>
      <c r="E417" s="376" t="s">
        <v>224</v>
      </c>
      <c r="F417" s="382" t="s">
        <v>225</v>
      </c>
      <c r="G417" s="376" t="s">
        <v>781</v>
      </c>
      <c r="H417" s="378"/>
      <c r="I417" s="378"/>
      <c r="J417" s="376" t="s">
        <v>215</v>
      </c>
      <c r="K417" s="376" t="s">
        <v>569</v>
      </c>
      <c r="L417" s="376" t="s">
        <v>210</v>
      </c>
      <c r="M417" s="376" t="s">
        <v>171</v>
      </c>
      <c r="N417" s="376" t="s">
        <v>172</v>
      </c>
      <c r="O417" s="379">
        <v>1</v>
      </c>
      <c r="P417" s="385">
        <v>0</v>
      </c>
      <c r="Q417" s="385">
        <v>0</v>
      </c>
      <c r="R417" s="380">
        <v>80</v>
      </c>
      <c r="S417" s="385">
        <v>0</v>
      </c>
      <c r="T417" s="380">
        <v>3960</v>
      </c>
      <c r="U417" s="380">
        <v>0</v>
      </c>
      <c r="V417" s="380">
        <v>2745.69</v>
      </c>
      <c r="W417" s="380">
        <v>0</v>
      </c>
      <c r="X417" s="380">
        <v>0</v>
      </c>
      <c r="Y417" s="380">
        <v>0</v>
      </c>
      <c r="Z417" s="380">
        <v>0</v>
      </c>
      <c r="AA417" s="376" t="s">
        <v>570</v>
      </c>
      <c r="AB417" s="376" t="s">
        <v>571</v>
      </c>
      <c r="AC417" s="376" t="s">
        <v>572</v>
      </c>
      <c r="AD417" s="376" t="s">
        <v>296</v>
      </c>
      <c r="AE417" s="376" t="s">
        <v>569</v>
      </c>
      <c r="AF417" s="376" t="s">
        <v>245</v>
      </c>
      <c r="AG417" s="376" t="s">
        <v>178</v>
      </c>
      <c r="AH417" s="379">
        <v>33</v>
      </c>
      <c r="AI417" s="379">
        <v>203</v>
      </c>
      <c r="AJ417" s="376" t="s">
        <v>179</v>
      </c>
      <c r="AK417" s="376" t="s">
        <v>180</v>
      </c>
      <c r="AL417" s="376" t="s">
        <v>181</v>
      </c>
      <c r="AM417" s="376" t="s">
        <v>182</v>
      </c>
      <c r="AN417" s="376" t="s">
        <v>68</v>
      </c>
      <c r="AO417" s="379">
        <v>80</v>
      </c>
      <c r="AP417" s="385">
        <v>1</v>
      </c>
      <c r="AQ417" s="385">
        <v>0</v>
      </c>
      <c r="AR417" s="383" t="s">
        <v>183</v>
      </c>
      <c r="AS417" s="387">
        <f t="shared" si="291"/>
        <v>0</v>
      </c>
      <c r="AT417">
        <f t="shared" si="292"/>
        <v>0</v>
      </c>
      <c r="AU417" s="387" t="str">
        <f>IF(AT417=0,"",IF(AND(AT417=1,M417="F",SUMIF(C2:C1334,C417,AS2:AS1334)&lt;=1),SUMIF(C2:C1334,C417,AS2:AS1334),IF(AND(AT417=1,M417="F",SUMIF(C2:C1334,C417,AS2:AS1334)&gt;1),1,"")))</f>
        <v/>
      </c>
      <c r="AV417" s="387" t="str">
        <f>IF(AT417=0,"",IF(AND(AT417=3,M417="F",SUMIF(C2:C1334,C417,AS2:AS1334)&lt;=1),SUMIF(C2:C1334,C417,AS2:AS1334),IF(AND(AT417=3,M417="F",SUMIF(C2:C1334,C417,AS2:AS1334)&gt;1),1,"")))</f>
        <v/>
      </c>
      <c r="AW417" s="387">
        <f>SUMIF(C2:C1334,C417,O2:O1334)</f>
        <v>2</v>
      </c>
      <c r="AX417" s="387">
        <f>IF(AND(M417="F",AS417&lt;&gt;0),SUMIF(C2:C1334,C417,W2:W1334),0)</f>
        <v>0</v>
      </c>
      <c r="AY417" s="387" t="str">
        <f t="shared" si="293"/>
        <v/>
      </c>
      <c r="AZ417" s="387" t="str">
        <f t="shared" si="294"/>
        <v/>
      </c>
      <c r="BA417" s="387">
        <f t="shared" si="295"/>
        <v>0</v>
      </c>
      <c r="BB417" s="387">
        <f t="shared" si="264"/>
        <v>0</v>
      </c>
      <c r="BC417" s="387">
        <f t="shared" si="265"/>
        <v>0</v>
      </c>
      <c r="BD417" s="387">
        <f t="shared" si="266"/>
        <v>0</v>
      </c>
      <c r="BE417" s="387">
        <f t="shared" si="267"/>
        <v>0</v>
      </c>
      <c r="BF417" s="387">
        <f t="shared" si="268"/>
        <v>0</v>
      </c>
      <c r="BG417" s="387">
        <f t="shared" si="269"/>
        <v>0</v>
      </c>
      <c r="BH417" s="387">
        <f t="shared" si="270"/>
        <v>0</v>
      </c>
      <c r="BI417" s="387">
        <f t="shared" si="271"/>
        <v>0</v>
      </c>
      <c r="BJ417" s="387">
        <f t="shared" si="272"/>
        <v>0</v>
      </c>
      <c r="BK417" s="387">
        <f t="shared" si="273"/>
        <v>0</v>
      </c>
      <c r="BL417" s="387">
        <f t="shared" si="296"/>
        <v>0</v>
      </c>
      <c r="BM417" s="387">
        <f t="shared" si="297"/>
        <v>0</v>
      </c>
      <c r="BN417" s="387">
        <f t="shared" si="274"/>
        <v>0</v>
      </c>
      <c r="BO417" s="387">
        <f t="shared" si="275"/>
        <v>0</v>
      </c>
      <c r="BP417" s="387">
        <f t="shared" si="276"/>
        <v>0</v>
      </c>
      <c r="BQ417" s="387">
        <f t="shared" si="277"/>
        <v>0</v>
      </c>
      <c r="BR417" s="387">
        <f t="shared" si="278"/>
        <v>0</v>
      </c>
      <c r="BS417" s="387">
        <f t="shared" si="279"/>
        <v>0</v>
      </c>
      <c r="BT417" s="387">
        <f t="shared" si="280"/>
        <v>0</v>
      </c>
      <c r="BU417" s="387">
        <f t="shared" si="281"/>
        <v>0</v>
      </c>
      <c r="BV417" s="387">
        <f t="shared" si="282"/>
        <v>0</v>
      </c>
      <c r="BW417" s="387">
        <f t="shared" si="283"/>
        <v>0</v>
      </c>
      <c r="BX417" s="387">
        <f t="shared" si="298"/>
        <v>0</v>
      </c>
      <c r="BY417" s="387">
        <f t="shared" si="299"/>
        <v>0</v>
      </c>
      <c r="BZ417" s="387">
        <f t="shared" si="300"/>
        <v>0</v>
      </c>
      <c r="CA417" s="387">
        <f t="shared" si="301"/>
        <v>0</v>
      </c>
      <c r="CB417" s="387">
        <f t="shared" si="302"/>
        <v>0</v>
      </c>
      <c r="CC417" s="387">
        <f t="shared" si="284"/>
        <v>0</v>
      </c>
      <c r="CD417" s="387">
        <f t="shared" si="285"/>
        <v>0</v>
      </c>
      <c r="CE417" s="387">
        <f t="shared" si="286"/>
        <v>0</v>
      </c>
      <c r="CF417" s="387">
        <f t="shared" si="287"/>
        <v>0</v>
      </c>
      <c r="CG417" s="387">
        <f t="shared" si="288"/>
        <v>0</v>
      </c>
      <c r="CH417" s="387">
        <f t="shared" si="289"/>
        <v>0</v>
      </c>
      <c r="CI417" s="387">
        <f t="shared" si="290"/>
        <v>0</v>
      </c>
      <c r="CJ417" s="387">
        <f t="shared" si="303"/>
        <v>0</v>
      </c>
      <c r="CK417" s="387" t="str">
        <f t="shared" si="304"/>
        <v/>
      </c>
      <c r="CL417" s="387" t="str">
        <f t="shared" si="305"/>
        <v/>
      </c>
      <c r="CM417" s="387" t="str">
        <f t="shared" si="306"/>
        <v/>
      </c>
      <c r="CN417" s="387" t="str">
        <f t="shared" si="307"/>
        <v>0348-31</v>
      </c>
    </row>
    <row r="418" spans="1:92" ht="15.75" thickBot="1" x14ac:dyDescent="0.3">
      <c r="A418" s="376" t="s">
        <v>161</v>
      </c>
      <c r="B418" s="376" t="s">
        <v>162</v>
      </c>
      <c r="C418" s="376" t="s">
        <v>1396</v>
      </c>
      <c r="D418" s="376" t="s">
        <v>294</v>
      </c>
      <c r="E418" s="376" t="s">
        <v>224</v>
      </c>
      <c r="F418" s="382" t="s">
        <v>225</v>
      </c>
      <c r="G418" s="376" t="s">
        <v>781</v>
      </c>
      <c r="H418" s="378"/>
      <c r="I418" s="378"/>
      <c r="J418" s="376" t="s">
        <v>215</v>
      </c>
      <c r="K418" s="376" t="s">
        <v>295</v>
      </c>
      <c r="L418" s="376" t="s">
        <v>296</v>
      </c>
      <c r="M418" s="376" t="s">
        <v>171</v>
      </c>
      <c r="N418" s="376" t="s">
        <v>172</v>
      </c>
      <c r="O418" s="379">
        <v>1</v>
      </c>
      <c r="P418" s="385">
        <v>0</v>
      </c>
      <c r="Q418" s="385">
        <v>0</v>
      </c>
      <c r="R418" s="380">
        <v>80</v>
      </c>
      <c r="S418" s="385">
        <v>0</v>
      </c>
      <c r="T418" s="380">
        <v>61660.05</v>
      </c>
      <c r="U418" s="380">
        <v>0</v>
      </c>
      <c r="V418" s="380">
        <v>23998.89</v>
      </c>
      <c r="W418" s="380">
        <v>0</v>
      </c>
      <c r="X418" s="380">
        <v>0</v>
      </c>
      <c r="Y418" s="380">
        <v>0</v>
      </c>
      <c r="Z418" s="380">
        <v>0</v>
      </c>
      <c r="AA418" s="376" t="s">
        <v>1397</v>
      </c>
      <c r="AB418" s="376" t="s">
        <v>1398</v>
      </c>
      <c r="AC418" s="376" t="s">
        <v>176</v>
      </c>
      <c r="AD418" s="376" t="s">
        <v>260</v>
      </c>
      <c r="AE418" s="376" t="s">
        <v>295</v>
      </c>
      <c r="AF418" s="376" t="s">
        <v>301</v>
      </c>
      <c r="AG418" s="376" t="s">
        <v>178</v>
      </c>
      <c r="AH418" s="381">
        <v>31.75</v>
      </c>
      <c r="AI418" s="381">
        <v>10116.200000000001</v>
      </c>
      <c r="AJ418" s="376" t="s">
        <v>179</v>
      </c>
      <c r="AK418" s="376" t="s">
        <v>180</v>
      </c>
      <c r="AL418" s="376" t="s">
        <v>181</v>
      </c>
      <c r="AM418" s="376" t="s">
        <v>182</v>
      </c>
      <c r="AN418" s="376" t="s">
        <v>68</v>
      </c>
      <c r="AO418" s="379">
        <v>80</v>
      </c>
      <c r="AP418" s="385">
        <v>1</v>
      </c>
      <c r="AQ418" s="385">
        <v>0</v>
      </c>
      <c r="AR418" s="383" t="s">
        <v>183</v>
      </c>
      <c r="AS418" s="387">
        <f t="shared" si="291"/>
        <v>0</v>
      </c>
      <c r="AT418">
        <f t="shared" si="292"/>
        <v>0</v>
      </c>
      <c r="AU418" s="387" t="str">
        <f>IF(AT418=0,"",IF(AND(AT418=1,M418="F",SUMIF(C2:C1334,C418,AS2:AS1334)&lt;=1),SUMIF(C2:C1334,C418,AS2:AS1334),IF(AND(AT418=1,M418="F",SUMIF(C2:C1334,C418,AS2:AS1334)&gt;1),1,"")))</f>
        <v/>
      </c>
      <c r="AV418" s="387" t="str">
        <f>IF(AT418=0,"",IF(AND(AT418=3,M418="F",SUMIF(C2:C1334,C418,AS2:AS1334)&lt;=1),SUMIF(C2:C1334,C418,AS2:AS1334),IF(AND(AT418=3,M418="F",SUMIF(C2:C1334,C418,AS2:AS1334)&gt;1),1,"")))</f>
        <v/>
      </c>
      <c r="AW418" s="387">
        <f>SUMIF(C2:C1334,C418,O2:O1334)</f>
        <v>2</v>
      </c>
      <c r="AX418" s="387">
        <f>IF(AND(M418="F",AS418&lt;&gt;0),SUMIF(C2:C1334,C418,W2:W1334),0)</f>
        <v>0</v>
      </c>
      <c r="AY418" s="387" t="str">
        <f t="shared" si="293"/>
        <v/>
      </c>
      <c r="AZ418" s="387" t="str">
        <f t="shared" si="294"/>
        <v/>
      </c>
      <c r="BA418" s="387">
        <f t="shared" si="295"/>
        <v>0</v>
      </c>
      <c r="BB418" s="387">
        <f t="shared" si="264"/>
        <v>0</v>
      </c>
      <c r="BC418" s="387">
        <f t="shared" si="265"/>
        <v>0</v>
      </c>
      <c r="BD418" s="387">
        <f t="shared" si="266"/>
        <v>0</v>
      </c>
      <c r="BE418" s="387">
        <f t="shared" si="267"/>
        <v>0</v>
      </c>
      <c r="BF418" s="387">
        <f t="shared" si="268"/>
        <v>0</v>
      </c>
      <c r="BG418" s="387">
        <f t="shared" si="269"/>
        <v>0</v>
      </c>
      <c r="BH418" s="387">
        <f t="shared" si="270"/>
        <v>0</v>
      </c>
      <c r="BI418" s="387">
        <f t="shared" si="271"/>
        <v>0</v>
      </c>
      <c r="BJ418" s="387">
        <f t="shared" si="272"/>
        <v>0</v>
      </c>
      <c r="BK418" s="387">
        <f t="shared" si="273"/>
        <v>0</v>
      </c>
      <c r="BL418" s="387">
        <f t="shared" si="296"/>
        <v>0</v>
      </c>
      <c r="BM418" s="387">
        <f t="shared" si="297"/>
        <v>0</v>
      </c>
      <c r="BN418" s="387">
        <f t="shared" si="274"/>
        <v>0</v>
      </c>
      <c r="BO418" s="387">
        <f t="shared" si="275"/>
        <v>0</v>
      </c>
      <c r="BP418" s="387">
        <f t="shared" si="276"/>
        <v>0</v>
      </c>
      <c r="BQ418" s="387">
        <f t="shared" si="277"/>
        <v>0</v>
      </c>
      <c r="BR418" s="387">
        <f t="shared" si="278"/>
        <v>0</v>
      </c>
      <c r="BS418" s="387">
        <f t="shared" si="279"/>
        <v>0</v>
      </c>
      <c r="BT418" s="387">
        <f t="shared" si="280"/>
        <v>0</v>
      </c>
      <c r="BU418" s="387">
        <f t="shared" si="281"/>
        <v>0</v>
      </c>
      <c r="BV418" s="387">
        <f t="shared" si="282"/>
        <v>0</v>
      </c>
      <c r="BW418" s="387">
        <f t="shared" si="283"/>
        <v>0</v>
      </c>
      <c r="BX418" s="387">
        <f t="shared" si="298"/>
        <v>0</v>
      </c>
      <c r="BY418" s="387">
        <f t="shared" si="299"/>
        <v>0</v>
      </c>
      <c r="BZ418" s="387">
        <f t="shared" si="300"/>
        <v>0</v>
      </c>
      <c r="CA418" s="387">
        <f t="shared" si="301"/>
        <v>0</v>
      </c>
      <c r="CB418" s="387">
        <f t="shared" si="302"/>
        <v>0</v>
      </c>
      <c r="CC418" s="387">
        <f t="shared" si="284"/>
        <v>0</v>
      </c>
      <c r="CD418" s="387">
        <f t="shared" si="285"/>
        <v>0</v>
      </c>
      <c r="CE418" s="387">
        <f t="shared" si="286"/>
        <v>0</v>
      </c>
      <c r="CF418" s="387">
        <f t="shared" si="287"/>
        <v>0</v>
      </c>
      <c r="CG418" s="387">
        <f t="shared" si="288"/>
        <v>0</v>
      </c>
      <c r="CH418" s="387">
        <f t="shared" si="289"/>
        <v>0</v>
      </c>
      <c r="CI418" s="387">
        <f t="shared" si="290"/>
        <v>0</v>
      </c>
      <c r="CJ418" s="387">
        <f t="shared" si="303"/>
        <v>0</v>
      </c>
      <c r="CK418" s="387" t="str">
        <f t="shared" si="304"/>
        <v/>
      </c>
      <c r="CL418" s="387" t="str">
        <f t="shared" si="305"/>
        <v/>
      </c>
      <c r="CM418" s="387" t="str">
        <f t="shared" si="306"/>
        <v/>
      </c>
      <c r="CN418" s="387" t="str">
        <f t="shared" si="307"/>
        <v>0348-31</v>
      </c>
    </row>
    <row r="419" spans="1:92" ht="15.75" thickBot="1" x14ac:dyDescent="0.3">
      <c r="A419" s="376" t="s">
        <v>161</v>
      </c>
      <c r="B419" s="376" t="s">
        <v>162</v>
      </c>
      <c r="C419" s="376" t="s">
        <v>1399</v>
      </c>
      <c r="D419" s="376" t="s">
        <v>726</v>
      </c>
      <c r="E419" s="376" t="s">
        <v>224</v>
      </c>
      <c r="F419" s="382" t="s">
        <v>225</v>
      </c>
      <c r="G419" s="376" t="s">
        <v>781</v>
      </c>
      <c r="H419" s="378"/>
      <c r="I419" s="378"/>
      <c r="J419" s="376" t="s">
        <v>215</v>
      </c>
      <c r="K419" s="376" t="s">
        <v>727</v>
      </c>
      <c r="L419" s="376" t="s">
        <v>170</v>
      </c>
      <c r="M419" s="376" t="s">
        <v>171</v>
      </c>
      <c r="N419" s="376" t="s">
        <v>172</v>
      </c>
      <c r="O419" s="379">
        <v>1</v>
      </c>
      <c r="P419" s="385">
        <v>1</v>
      </c>
      <c r="Q419" s="385">
        <v>1</v>
      </c>
      <c r="R419" s="380">
        <v>80</v>
      </c>
      <c r="S419" s="385">
        <v>1</v>
      </c>
      <c r="T419" s="380">
        <v>51073.440000000002</v>
      </c>
      <c r="U419" s="380">
        <v>0</v>
      </c>
      <c r="V419" s="380">
        <v>22212.42</v>
      </c>
      <c r="W419" s="380">
        <v>53102.400000000001</v>
      </c>
      <c r="X419" s="380">
        <v>23133.35</v>
      </c>
      <c r="Y419" s="380">
        <v>53102.400000000001</v>
      </c>
      <c r="Z419" s="380">
        <v>22910.32</v>
      </c>
      <c r="AA419" s="376" t="s">
        <v>1400</v>
      </c>
      <c r="AB419" s="376" t="s">
        <v>1401</v>
      </c>
      <c r="AC419" s="376" t="s">
        <v>1402</v>
      </c>
      <c r="AD419" s="376" t="s">
        <v>198</v>
      </c>
      <c r="AE419" s="376" t="s">
        <v>727</v>
      </c>
      <c r="AF419" s="376" t="s">
        <v>177</v>
      </c>
      <c r="AG419" s="376" t="s">
        <v>178</v>
      </c>
      <c r="AH419" s="381">
        <v>25.53</v>
      </c>
      <c r="AI419" s="381">
        <v>33316.800000000003</v>
      </c>
      <c r="AJ419" s="376" t="s">
        <v>179</v>
      </c>
      <c r="AK419" s="376" t="s">
        <v>180</v>
      </c>
      <c r="AL419" s="376" t="s">
        <v>181</v>
      </c>
      <c r="AM419" s="376" t="s">
        <v>182</v>
      </c>
      <c r="AN419" s="376" t="s">
        <v>68</v>
      </c>
      <c r="AO419" s="379">
        <v>80</v>
      </c>
      <c r="AP419" s="385">
        <v>1</v>
      </c>
      <c r="AQ419" s="385">
        <v>1</v>
      </c>
      <c r="AR419" s="383" t="s">
        <v>183</v>
      </c>
      <c r="AS419" s="387">
        <f t="shared" si="291"/>
        <v>1</v>
      </c>
      <c r="AT419">
        <f t="shared" si="292"/>
        <v>1</v>
      </c>
      <c r="AU419" s="387">
        <f>IF(AT419=0,"",IF(AND(AT419=1,M419="F",SUMIF(C2:C1334,C419,AS2:AS1334)&lt;=1),SUMIF(C2:C1334,C419,AS2:AS1334),IF(AND(AT419=1,M419="F",SUMIF(C2:C1334,C419,AS2:AS1334)&gt;1),1,"")))</f>
        <v>1</v>
      </c>
      <c r="AV419" s="387" t="str">
        <f>IF(AT419=0,"",IF(AND(AT419=3,M419="F",SUMIF(C2:C1334,C419,AS2:AS1334)&lt;=1),SUMIF(C2:C1334,C419,AS2:AS1334),IF(AND(AT419=3,M419="F",SUMIF(C2:C1334,C419,AS2:AS1334)&gt;1),1,"")))</f>
        <v/>
      </c>
      <c r="AW419" s="387">
        <f>SUMIF(C2:C1334,C419,O2:O1334)</f>
        <v>1</v>
      </c>
      <c r="AX419" s="387">
        <f>IF(AND(M419="F",AS419&lt;&gt;0),SUMIF(C2:C1334,C419,W2:W1334),0)</f>
        <v>53102.400000000001</v>
      </c>
      <c r="AY419" s="387">
        <f t="shared" si="293"/>
        <v>53102.400000000001</v>
      </c>
      <c r="AZ419" s="387" t="str">
        <f t="shared" si="294"/>
        <v/>
      </c>
      <c r="BA419" s="387">
        <f t="shared" si="295"/>
        <v>0</v>
      </c>
      <c r="BB419" s="387">
        <f t="shared" si="264"/>
        <v>11650</v>
      </c>
      <c r="BC419" s="387">
        <f t="shared" si="265"/>
        <v>0</v>
      </c>
      <c r="BD419" s="387">
        <f t="shared" si="266"/>
        <v>3292.3488000000002</v>
      </c>
      <c r="BE419" s="387">
        <f t="shared" si="267"/>
        <v>769.98480000000006</v>
      </c>
      <c r="BF419" s="387">
        <f t="shared" si="268"/>
        <v>6340.4265600000008</v>
      </c>
      <c r="BG419" s="387">
        <f t="shared" si="269"/>
        <v>382.86830400000002</v>
      </c>
      <c r="BH419" s="387">
        <f t="shared" si="270"/>
        <v>260.20175999999998</v>
      </c>
      <c r="BI419" s="387">
        <f t="shared" si="271"/>
        <v>293.921784</v>
      </c>
      <c r="BJ419" s="387">
        <f t="shared" si="272"/>
        <v>143.37648000000002</v>
      </c>
      <c r="BK419" s="387">
        <f t="shared" si="273"/>
        <v>0</v>
      </c>
      <c r="BL419" s="387">
        <f t="shared" si="296"/>
        <v>11483.128488000002</v>
      </c>
      <c r="BM419" s="387">
        <f t="shared" si="297"/>
        <v>0</v>
      </c>
      <c r="BN419" s="387">
        <f t="shared" si="274"/>
        <v>11650</v>
      </c>
      <c r="BO419" s="387">
        <f t="shared" si="275"/>
        <v>0</v>
      </c>
      <c r="BP419" s="387">
        <f t="shared" si="276"/>
        <v>3292.3488000000002</v>
      </c>
      <c r="BQ419" s="387">
        <f t="shared" si="277"/>
        <v>769.98480000000006</v>
      </c>
      <c r="BR419" s="387">
        <f t="shared" si="278"/>
        <v>6340.4265600000008</v>
      </c>
      <c r="BS419" s="387">
        <f t="shared" si="279"/>
        <v>382.86830400000002</v>
      </c>
      <c r="BT419" s="387">
        <f t="shared" si="280"/>
        <v>0</v>
      </c>
      <c r="BU419" s="387">
        <f t="shared" si="281"/>
        <v>293.921784</v>
      </c>
      <c r="BV419" s="387">
        <f t="shared" si="282"/>
        <v>180.54816</v>
      </c>
      <c r="BW419" s="387">
        <f t="shared" si="283"/>
        <v>0</v>
      </c>
      <c r="BX419" s="387">
        <f t="shared" si="298"/>
        <v>11260.098408000002</v>
      </c>
      <c r="BY419" s="387">
        <f t="shared" si="299"/>
        <v>0</v>
      </c>
      <c r="BZ419" s="387">
        <f t="shared" si="300"/>
        <v>0</v>
      </c>
      <c r="CA419" s="387">
        <f t="shared" si="301"/>
        <v>0</v>
      </c>
      <c r="CB419" s="387">
        <f t="shared" si="302"/>
        <v>0</v>
      </c>
      <c r="CC419" s="387">
        <f t="shared" si="284"/>
        <v>0</v>
      </c>
      <c r="CD419" s="387">
        <f t="shared" si="285"/>
        <v>0</v>
      </c>
      <c r="CE419" s="387">
        <f t="shared" si="286"/>
        <v>0</v>
      </c>
      <c r="CF419" s="387">
        <f t="shared" si="287"/>
        <v>-260.20175999999998</v>
      </c>
      <c r="CG419" s="387">
        <f t="shared" si="288"/>
        <v>0</v>
      </c>
      <c r="CH419" s="387">
        <f t="shared" si="289"/>
        <v>37.171679999999981</v>
      </c>
      <c r="CI419" s="387">
        <f t="shared" si="290"/>
        <v>0</v>
      </c>
      <c r="CJ419" s="387">
        <f t="shared" si="303"/>
        <v>-223.03008</v>
      </c>
      <c r="CK419" s="387" t="str">
        <f t="shared" si="304"/>
        <v/>
      </c>
      <c r="CL419" s="387" t="str">
        <f t="shared" si="305"/>
        <v/>
      </c>
      <c r="CM419" s="387" t="str">
        <f t="shared" si="306"/>
        <v/>
      </c>
      <c r="CN419" s="387" t="str">
        <f t="shared" si="307"/>
        <v>0348-31</v>
      </c>
    </row>
    <row r="420" spans="1:92" ht="15.75" thickBot="1" x14ac:dyDescent="0.3">
      <c r="A420" s="376" t="s">
        <v>161</v>
      </c>
      <c r="B420" s="376" t="s">
        <v>162</v>
      </c>
      <c r="C420" s="376" t="s">
        <v>273</v>
      </c>
      <c r="D420" s="376" t="s">
        <v>274</v>
      </c>
      <c r="E420" s="376" t="s">
        <v>224</v>
      </c>
      <c r="F420" s="382" t="s">
        <v>225</v>
      </c>
      <c r="G420" s="376" t="s">
        <v>781</v>
      </c>
      <c r="H420" s="378"/>
      <c r="I420" s="378"/>
      <c r="J420" s="376" t="s">
        <v>215</v>
      </c>
      <c r="K420" s="376" t="s">
        <v>275</v>
      </c>
      <c r="L420" s="376" t="s">
        <v>178</v>
      </c>
      <c r="M420" s="376" t="s">
        <v>171</v>
      </c>
      <c r="N420" s="376" t="s">
        <v>172</v>
      </c>
      <c r="O420" s="379">
        <v>1</v>
      </c>
      <c r="P420" s="385">
        <v>0</v>
      </c>
      <c r="Q420" s="385">
        <v>0</v>
      </c>
      <c r="R420" s="380">
        <v>80</v>
      </c>
      <c r="S420" s="385">
        <v>0</v>
      </c>
      <c r="T420" s="380">
        <v>31846.14</v>
      </c>
      <c r="U420" s="380">
        <v>0</v>
      </c>
      <c r="V420" s="380">
        <v>18043.13</v>
      </c>
      <c r="W420" s="380">
        <v>0</v>
      </c>
      <c r="X420" s="380">
        <v>0</v>
      </c>
      <c r="Y420" s="380">
        <v>0</v>
      </c>
      <c r="Z420" s="380">
        <v>0</v>
      </c>
      <c r="AA420" s="376" t="s">
        <v>276</v>
      </c>
      <c r="AB420" s="376" t="s">
        <v>277</v>
      </c>
      <c r="AC420" s="376" t="s">
        <v>278</v>
      </c>
      <c r="AD420" s="376" t="s">
        <v>279</v>
      </c>
      <c r="AE420" s="376" t="s">
        <v>275</v>
      </c>
      <c r="AF420" s="376" t="s">
        <v>253</v>
      </c>
      <c r="AG420" s="376" t="s">
        <v>178</v>
      </c>
      <c r="AH420" s="381">
        <v>17.739999999999998</v>
      </c>
      <c r="AI420" s="381">
        <v>21550.1</v>
      </c>
      <c r="AJ420" s="376" t="s">
        <v>179</v>
      </c>
      <c r="AK420" s="376" t="s">
        <v>180</v>
      </c>
      <c r="AL420" s="376" t="s">
        <v>181</v>
      </c>
      <c r="AM420" s="376" t="s">
        <v>182</v>
      </c>
      <c r="AN420" s="376" t="s">
        <v>68</v>
      </c>
      <c r="AO420" s="379">
        <v>80</v>
      </c>
      <c r="AP420" s="385">
        <v>1</v>
      </c>
      <c r="AQ420" s="385">
        <v>0</v>
      </c>
      <c r="AR420" s="383" t="s">
        <v>183</v>
      </c>
      <c r="AS420" s="387">
        <f t="shared" si="291"/>
        <v>0</v>
      </c>
      <c r="AT420">
        <f t="shared" si="292"/>
        <v>0</v>
      </c>
      <c r="AU420" s="387" t="str">
        <f>IF(AT420=0,"",IF(AND(AT420=1,M420="F",SUMIF(C2:C1334,C420,AS2:AS1334)&lt;=1),SUMIF(C2:C1334,C420,AS2:AS1334),IF(AND(AT420=1,M420="F",SUMIF(C2:C1334,C420,AS2:AS1334)&gt;1),1,"")))</f>
        <v/>
      </c>
      <c r="AV420" s="387" t="str">
        <f>IF(AT420=0,"",IF(AND(AT420=3,M420="F",SUMIF(C2:C1334,C420,AS2:AS1334)&lt;=1),SUMIF(C2:C1334,C420,AS2:AS1334),IF(AND(AT420=3,M420="F",SUMIF(C2:C1334,C420,AS2:AS1334)&gt;1),1,"")))</f>
        <v/>
      </c>
      <c r="AW420" s="387">
        <f>SUMIF(C2:C1334,C420,O2:O1334)</f>
        <v>2</v>
      </c>
      <c r="AX420" s="387">
        <f>IF(AND(M420="F",AS420&lt;&gt;0),SUMIF(C2:C1334,C420,W2:W1334),0)</f>
        <v>0</v>
      </c>
      <c r="AY420" s="387" t="str">
        <f t="shared" si="293"/>
        <v/>
      </c>
      <c r="AZ420" s="387" t="str">
        <f t="shared" si="294"/>
        <v/>
      </c>
      <c r="BA420" s="387">
        <f t="shared" si="295"/>
        <v>0</v>
      </c>
      <c r="BB420" s="387">
        <f t="shared" si="264"/>
        <v>0</v>
      </c>
      <c r="BC420" s="387">
        <f t="shared" si="265"/>
        <v>0</v>
      </c>
      <c r="BD420" s="387">
        <f t="shared" si="266"/>
        <v>0</v>
      </c>
      <c r="BE420" s="387">
        <f t="shared" si="267"/>
        <v>0</v>
      </c>
      <c r="BF420" s="387">
        <f t="shared" si="268"/>
        <v>0</v>
      </c>
      <c r="BG420" s="387">
        <f t="shared" si="269"/>
        <v>0</v>
      </c>
      <c r="BH420" s="387">
        <f t="shared" si="270"/>
        <v>0</v>
      </c>
      <c r="BI420" s="387">
        <f t="shared" si="271"/>
        <v>0</v>
      </c>
      <c r="BJ420" s="387">
        <f t="shared" si="272"/>
        <v>0</v>
      </c>
      <c r="BK420" s="387">
        <f t="shared" si="273"/>
        <v>0</v>
      </c>
      <c r="BL420" s="387">
        <f t="shared" si="296"/>
        <v>0</v>
      </c>
      <c r="BM420" s="387">
        <f t="shared" si="297"/>
        <v>0</v>
      </c>
      <c r="BN420" s="387">
        <f t="shared" si="274"/>
        <v>0</v>
      </c>
      <c r="BO420" s="387">
        <f t="shared" si="275"/>
        <v>0</v>
      </c>
      <c r="BP420" s="387">
        <f t="shared" si="276"/>
        <v>0</v>
      </c>
      <c r="BQ420" s="387">
        <f t="shared" si="277"/>
        <v>0</v>
      </c>
      <c r="BR420" s="387">
        <f t="shared" si="278"/>
        <v>0</v>
      </c>
      <c r="BS420" s="387">
        <f t="shared" si="279"/>
        <v>0</v>
      </c>
      <c r="BT420" s="387">
        <f t="shared" si="280"/>
        <v>0</v>
      </c>
      <c r="BU420" s="387">
        <f t="shared" si="281"/>
        <v>0</v>
      </c>
      <c r="BV420" s="387">
        <f t="shared" si="282"/>
        <v>0</v>
      </c>
      <c r="BW420" s="387">
        <f t="shared" si="283"/>
        <v>0</v>
      </c>
      <c r="BX420" s="387">
        <f t="shared" si="298"/>
        <v>0</v>
      </c>
      <c r="BY420" s="387">
        <f t="shared" si="299"/>
        <v>0</v>
      </c>
      <c r="BZ420" s="387">
        <f t="shared" si="300"/>
        <v>0</v>
      </c>
      <c r="CA420" s="387">
        <f t="shared" si="301"/>
        <v>0</v>
      </c>
      <c r="CB420" s="387">
        <f t="shared" si="302"/>
        <v>0</v>
      </c>
      <c r="CC420" s="387">
        <f t="shared" si="284"/>
        <v>0</v>
      </c>
      <c r="CD420" s="387">
        <f t="shared" si="285"/>
        <v>0</v>
      </c>
      <c r="CE420" s="387">
        <f t="shared" si="286"/>
        <v>0</v>
      </c>
      <c r="CF420" s="387">
        <f t="shared" si="287"/>
        <v>0</v>
      </c>
      <c r="CG420" s="387">
        <f t="shared" si="288"/>
        <v>0</v>
      </c>
      <c r="CH420" s="387">
        <f t="shared" si="289"/>
        <v>0</v>
      </c>
      <c r="CI420" s="387">
        <f t="shared" si="290"/>
        <v>0</v>
      </c>
      <c r="CJ420" s="387">
        <f t="shared" si="303"/>
        <v>0</v>
      </c>
      <c r="CK420" s="387" t="str">
        <f t="shared" si="304"/>
        <v/>
      </c>
      <c r="CL420" s="387" t="str">
        <f t="shared" si="305"/>
        <v/>
      </c>
      <c r="CM420" s="387" t="str">
        <f t="shared" si="306"/>
        <v/>
      </c>
      <c r="CN420" s="387" t="str">
        <f t="shared" si="307"/>
        <v>0348-31</v>
      </c>
    </row>
    <row r="421" spans="1:92" ht="15.75" thickBot="1" x14ac:dyDescent="0.3">
      <c r="A421" s="376" t="s">
        <v>161</v>
      </c>
      <c r="B421" s="376" t="s">
        <v>162</v>
      </c>
      <c r="C421" s="376" t="s">
        <v>1403</v>
      </c>
      <c r="D421" s="376" t="s">
        <v>247</v>
      </c>
      <c r="E421" s="376" t="s">
        <v>224</v>
      </c>
      <c r="F421" s="382" t="s">
        <v>225</v>
      </c>
      <c r="G421" s="376" t="s">
        <v>781</v>
      </c>
      <c r="H421" s="378"/>
      <c r="I421" s="378"/>
      <c r="J421" s="376" t="s">
        <v>215</v>
      </c>
      <c r="K421" s="376" t="s">
        <v>248</v>
      </c>
      <c r="L421" s="376" t="s">
        <v>178</v>
      </c>
      <c r="M421" s="376" t="s">
        <v>171</v>
      </c>
      <c r="N421" s="376" t="s">
        <v>172</v>
      </c>
      <c r="O421" s="379">
        <v>1</v>
      </c>
      <c r="P421" s="385">
        <v>0</v>
      </c>
      <c r="Q421" s="385">
        <v>0</v>
      </c>
      <c r="R421" s="380">
        <v>80</v>
      </c>
      <c r="S421" s="385">
        <v>0</v>
      </c>
      <c r="T421" s="380">
        <v>36348.910000000003</v>
      </c>
      <c r="U421" s="380">
        <v>0</v>
      </c>
      <c r="V421" s="380">
        <v>19251.560000000001</v>
      </c>
      <c r="W421" s="380">
        <v>0</v>
      </c>
      <c r="X421" s="380">
        <v>0</v>
      </c>
      <c r="Y421" s="380">
        <v>0</v>
      </c>
      <c r="Z421" s="380">
        <v>0</v>
      </c>
      <c r="AA421" s="376" t="s">
        <v>1404</v>
      </c>
      <c r="AB421" s="376" t="s">
        <v>1405</v>
      </c>
      <c r="AC421" s="376" t="s">
        <v>1406</v>
      </c>
      <c r="AD421" s="376" t="s">
        <v>686</v>
      </c>
      <c r="AE421" s="376" t="s">
        <v>248</v>
      </c>
      <c r="AF421" s="376" t="s">
        <v>253</v>
      </c>
      <c r="AG421" s="376" t="s">
        <v>178</v>
      </c>
      <c r="AH421" s="381">
        <v>18.13</v>
      </c>
      <c r="AI421" s="381">
        <v>39771.300000000003</v>
      </c>
      <c r="AJ421" s="376" t="s">
        <v>179</v>
      </c>
      <c r="AK421" s="376" t="s">
        <v>180</v>
      </c>
      <c r="AL421" s="376" t="s">
        <v>181</v>
      </c>
      <c r="AM421" s="376" t="s">
        <v>182</v>
      </c>
      <c r="AN421" s="376" t="s">
        <v>68</v>
      </c>
      <c r="AO421" s="379">
        <v>80</v>
      </c>
      <c r="AP421" s="385">
        <v>1</v>
      </c>
      <c r="AQ421" s="385">
        <v>0</v>
      </c>
      <c r="AR421" s="383" t="s">
        <v>183</v>
      </c>
      <c r="AS421" s="387">
        <f t="shared" si="291"/>
        <v>0</v>
      </c>
      <c r="AT421">
        <f t="shared" si="292"/>
        <v>0</v>
      </c>
      <c r="AU421" s="387" t="str">
        <f>IF(AT421=0,"",IF(AND(AT421=1,M421="F",SUMIF(C2:C1334,C421,AS2:AS1334)&lt;=1),SUMIF(C2:C1334,C421,AS2:AS1334),IF(AND(AT421=1,M421="F",SUMIF(C2:C1334,C421,AS2:AS1334)&gt;1),1,"")))</f>
        <v/>
      </c>
      <c r="AV421" s="387" t="str">
        <f>IF(AT421=0,"",IF(AND(AT421=3,M421="F",SUMIF(C2:C1334,C421,AS2:AS1334)&lt;=1),SUMIF(C2:C1334,C421,AS2:AS1334),IF(AND(AT421=3,M421="F",SUMIF(C2:C1334,C421,AS2:AS1334)&gt;1),1,"")))</f>
        <v/>
      </c>
      <c r="AW421" s="387">
        <f>SUMIF(C2:C1334,C421,O2:O1334)</f>
        <v>2</v>
      </c>
      <c r="AX421" s="387">
        <f>IF(AND(M421="F",AS421&lt;&gt;0),SUMIF(C2:C1334,C421,W2:W1334),0)</f>
        <v>0</v>
      </c>
      <c r="AY421" s="387" t="str">
        <f t="shared" si="293"/>
        <v/>
      </c>
      <c r="AZ421" s="387" t="str">
        <f t="shared" si="294"/>
        <v/>
      </c>
      <c r="BA421" s="387">
        <f t="shared" si="295"/>
        <v>0</v>
      </c>
      <c r="BB421" s="387">
        <f t="shared" si="264"/>
        <v>0</v>
      </c>
      <c r="BC421" s="387">
        <f t="shared" si="265"/>
        <v>0</v>
      </c>
      <c r="BD421" s="387">
        <f t="shared" si="266"/>
        <v>0</v>
      </c>
      <c r="BE421" s="387">
        <f t="shared" si="267"/>
        <v>0</v>
      </c>
      <c r="BF421" s="387">
        <f t="shared" si="268"/>
        <v>0</v>
      </c>
      <c r="BG421" s="387">
        <f t="shared" si="269"/>
        <v>0</v>
      </c>
      <c r="BH421" s="387">
        <f t="shared" si="270"/>
        <v>0</v>
      </c>
      <c r="BI421" s="387">
        <f t="shared" si="271"/>
        <v>0</v>
      </c>
      <c r="BJ421" s="387">
        <f t="shared" si="272"/>
        <v>0</v>
      </c>
      <c r="BK421" s="387">
        <f t="shared" si="273"/>
        <v>0</v>
      </c>
      <c r="BL421" s="387">
        <f t="shared" si="296"/>
        <v>0</v>
      </c>
      <c r="BM421" s="387">
        <f t="shared" si="297"/>
        <v>0</v>
      </c>
      <c r="BN421" s="387">
        <f t="shared" si="274"/>
        <v>0</v>
      </c>
      <c r="BO421" s="387">
        <f t="shared" si="275"/>
        <v>0</v>
      </c>
      <c r="BP421" s="387">
        <f t="shared" si="276"/>
        <v>0</v>
      </c>
      <c r="BQ421" s="387">
        <f t="shared" si="277"/>
        <v>0</v>
      </c>
      <c r="BR421" s="387">
        <f t="shared" si="278"/>
        <v>0</v>
      </c>
      <c r="BS421" s="387">
        <f t="shared" si="279"/>
        <v>0</v>
      </c>
      <c r="BT421" s="387">
        <f t="shared" si="280"/>
        <v>0</v>
      </c>
      <c r="BU421" s="387">
        <f t="shared" si="281"/>
        <v>0</v>
      </c>
      <c r="BV421" s="387">
        <f t="shared" si="282"/>
        <v>0</v>
      </c>
      <c r="BW421" s="387">
        <f t="shared" si="283"/>
        <v>0</v>
      </c>
      <c r="BX421" s="387">
        <f t="shared" si="298"/>
        <v>0</v>
      </c>
      <c r="BY421" s="387">
        <f t="shared" si="299"/>
        <v>0</v>
      </c>
      <c r="BZ421" s="387">
        <f t="shared" si="300"/>
        <v>0</v>
      </c>
      <c r="CA421" s="387">
        <f t="shared" si="301"/>
        <v>0</v>
      </c>
      <c r="CB421" s="387">
        <f t="shared" si="302"/>
        <v>0</v>
      </c>
      <c r="CC421" s="387">
        <f t="shared" si="284"/>
        <v>0</v>
      </c>
      <c r="CD421" s="387">
        <f t="shared" si="285"/>
        <v>0</v>
      </c>
      <c r="CE421" s="387">
        <f t="shared" si="286"/>
        <v>0</v>
      </c>
      <c r="CF421" s="387">
        <f t="shared" si="287"/>
        <v>0</v>
      </c>
      <c r="CG421" s="387">
        <f t="shared" si="288"/>
        <v>0</v>
      </c>
      <c r="CH421" s="387">
        <f t="shared" si="289"/>
        <v>0</v>
      </c>
      <c r="CI421" s="387">
        <f t="shared" si="290"/>
        <v>0</v>
      </c>
      <c r="CJ421" s="387">
        <f t="shared" si="303"/>
        <v>0</v>
      </c>
      <c r="CK421" s="387" t="str">
        <f t="shared" si="304"/>
        <v/>
      </c>
      <c r="CL421" s="387" t="str">
        <f t="shared" si="305"/>
        <v/>
      </c>
      <c r="CM421" s="387" t="str">
        <f t="shared" si="306"/>
        <v/>
      </c>
      <c r="CN421" s="387" t="str">
        <f t="shared" si="307"/>
        <v>0348-31</v>
      </c>
    </row>
    <row r="422" spans="1:92" ht="15.75" thickBot="1" x14ac:dyDescent="0.3">
      <c r="A422" s="376" t="s">
        <v>161</v>
      </c>
      <c r="B422" s="376" t="s">
        <v>162</v>
      </c>
      <c r="C422" s="376" t="s">
        <v>1407</v>
      </c>
      <c r="D422" s="376" t="s">
        <v>706</v>
      </c>
      <c r="E422" s="376" t="s">
        <v>224</v>
      </c>
      <c r="F422" s="382" t="s">
        <v>225</v>
      </c>
      <c r="G422" s="376" t="s">
        <v>781</v>
      </c>
      <c r="H422" s="378"/>
      <c r="I422" s="378"/>
      <c r="J422" s="376" t="s">
        <v>215</v>
      </c>
      <c r="K422" s="376" t="s">
        <v>707</v>
      </c>
      <c r="L422" s="376" t="s">
        <v>210</v>
      </c>
      <c r="M422" s="376" t="s">
        <v>171</v>
      </c>
      <c r="N422" s="376" t="s">
        <v>877</v>
      </c>
      <c r="O422" s="379">
        <v>1</v>
      </c>
      <c r="P422" s="385">
        <v>1</v>
      </c>
      <c r="Q422" s="385">
        <v>1</v>
      </c>
      <c r="R422" s="380">
        <v>80</v>
      </c>
      <c r="S422" s="385">
        <v>1</v>
      </c>
      <c r="T422" s="380">
        <v>66226.53</v>
      </c>
      <c r="U422" s="380">
        <v>0</v>
      </c>
      <c r="V422" s="380">
        <v>25611.64</v>
      </c>
      <c r="W422" s="380">
        <v>68468.399999999994</v>
      </c>
      <c r="X422" s="380">
        <v>26456.26</v>
      </c>
      <c r="Y422" s="380">
        <v>68468.399999999994</v>
      </c>
      <c r="Z422" s="380">
        <v>26168.7</v>
      </c>
      <c r="AA422" s="376" t="s">
        <v>1408</v>
      </c>
      <c r="AB422" s="376" t="s">
        <v>1409</v>
      </c>
      <c r="AC422" s="376" t="s">
        <v>1410</v>
      </c>
      <c r="AD422" s="376" t="s">
        <v>1411</v>
      </c>
      <c r="AE422" s="376" t="s">
        <v>707</v>
      </c>
      <c r="AF422" s="376" t="s">
        <v>245</v>
      </c>
      <c r="AG422" s="376" t="s">
        <v>178</v>
      </c>
      <c r="AH422" s="381">
        <v>31.35</v>
      </c>
      <c r="AI422" s="381">
        <v>3062.5</v>
      </c>
      <c r="AJ422" s="376" t="s">
        <v>179</v>
      </c>
      <c r="AK422" s="376" t="s">
        <v>180</v>
      </c>
      <c r="AL422" s="376" t="s">
        <v>181</v>
      </c>
      <c r="AM422" s="376" t="s">
        <v>182</v>
      </c>
      <c r="AN422" s="376" t="s">
        <v>68</v>
      </c>
      <c r="AO422" s="379">
        <v>80</v>
      </c>
      <c r="AP422" s="385">
        <v>1</v>
      </c>
      <c r="AQ422" s="385">
        <v>1</v>
      </c>
      <c r="AR422" s="383">
        <v>5</v>
      </c>
      <c r="AS422" s="387">
        <f t="shared" si="291"/>
        <v>1</v>
      </c>
      <c r="AT422">
        <f t="shared" si="292"/>
        <v>1</v>
      </c>
      <c r="AU422" s="387">
        <f>IF(AT422=0,"",IF(AND(AT422=1,M422="F",SUMIF(C2:C1334,C422,AS2:AS1334)&lt;=1),SUMIF(C2:C1334,C422,AS2:AS1334),IF(AND(AT422=1,M422="F",SUMIF(C2:C1334,C422,AS2:AS1334)&gt;1),1,"")))</f>
        <v>1</v>
      </c>
      <c r="AV422" s="387" t="str">
        <f>IF(AT422=0,"",IF(AND(AT422=3,M422="F",SUMIF(C2:C1334,C422,AS2:AS1334)&lt;=1),SUMIF(C2:C1334,C422,AS2:AS1334),IF(AND(AT422=3,M422="F",SUMIF(C2:C1334,C422,AS2:AS1334)&gt;1),1,"")))</f>
        <v/>
      </c>
      <c r="AW422" s="387">
        <f>SUMIF(C2:C1334,C422,O2:O1334)</f>
        <v>1</v>
      </c>
      <c r="AX422" s="387">
        <f>IF(AND(M422="F",AS422&lt;&gt;0),SUMIF(C2:C1334,C422,W2:W1334),0)</f>
        <v>68468.399999999994</v>
      </c>
      <c r="AY422" s="387">
        <f t="shared" si="293"/>
        <v>68468.399999999994</v>
      </c>
      <c r="AZ422" s="387" t="str">
        <f t="shared" si="294"/>
        <v/>
      </c>
      <c r="BA422" s="387">
        <f t="shared" si="295"/>
        <v>0</v>
      </c>
      <c r="BB422" s="387">
        <f t="shared" si="264"/>
        <v>11650</v>
      </c>
      <c r="BC422" s="387">
        <f t="shared" si="265"/>
        <v>0</v>
      </c>
      <c r="BD422" s="387">
        <f t="shared" si="266"/>
        <v>4245.0407999999998</v>
      </c>
      <c r="BE422" s="387">
        <f t="shared" si="267"/>
        <v>992.79179999999997</v>
      </c>
      <c r="BF422" s="387">
        <f t="shared" si="268"/>
        <v>8175.1269599999996</v>
      </c>
      <c r="BG422" s="387">
        <f t="shared" si="269"/>
        <v>493.65716399999997</v>
      </c>
      <c r="BH422" s="387">
        <f t="shared" si="270"/>
        <v>335.49515999999994</v>
      </c>
      <c r="BI422" s="387">
        <f t="shared" si="271"/>
        <v>378.97259399999996</v>
      </c>
      <c r="BJ422" s="387">
        <f t="shared" si="272"/>
        <v>184.86467999999999</v>
      </c>
      <c r="BK422" s="387">
        <f t="shared" si="273"/>
        <v>0</v>
      </c>
      <c r="BL422" s="387">
        <f t="shared" si="296"/>
        <v>14805.949158000001</v>
      </c>
      <c r="BM422" s="387">
        <f t="shared" si="297"/>
        <v>0</v>
      </c>
      <c r="BN422" s="387">
        <f t="shared" si="274"/>
        <v>11650</v>
      </c>
      <c r="BO422" s="387">
        <f t="shared" si="275"/>
        <v>0</v>
      </c>
      <c r="BP422" s="387">
        <f t="shared" si="276"/>
        <v>4245.0407999999998</v>
      </c>
      <c r="BQ422" s="387">
        <f t="shared" si="277"/>
        <v>992.79179999999997</v>
      </c>
      <c r="BR422" s="387">
        <f t="shared" si="278"/>
        <v>8175.1269599999996</v>
      </c>
      <c r="BS422" s="387">
        <f t="shared" si="279"/>
        <v>493.65716399999997</v>
      </c>
      <c r="BT422" s="387">
        <f t="shared" si="280"/>
        <v>0</v>
      </c>
      <c r="BU422" s="387">
        <f t="shared" si="281"/>
        <v>378.97259399999996</v>
      </c>
      <c r="BV422" s="387">
        <f t="shared" si="282"/>
        <v>232.79255999999998</v>
      </c>
      <c r="BW422" s="387">
        <f t="shared" si="283"/>
        <v>0</v>
      </c>
      <c r="BX422" s="387">
        <f t="shared" si="298"/>
        <v>14518.381878</v>
      </c>
      <c r="BY422" s="387">
        <f t="shared" si="299"/>
        <v>0</v>
      </c>
      <c r="BZ422" s="387">
        <f t="shared" si="300"/>
        <v>0</v>
      </c>
      <c r="CA422" s="387">
        <f t="shared" si="301"/>
        <v>0</v>
      </c>
      <c r="CB422" s="387">
        <f t="shared" si="302"/>
        <v>0</v>
      </c>
      <c r="CC422" s="387">
        <f t="shared" si="284"/>
        <v>0</v>
      </c>
      <c r="CD422" s="387">
        <f t="shared" si="285"/>
        <v>0</v>
      </c>
      <c r="CE422" s="387">
        <f t="shared" si="286"/>
        <v>0</v>
      </c>
      <c r="CF422" s="387">
        <f t="shared" si="287"/>
        <v>-335.49515999999994</v>
      </c>
      <c r="CG422" s="387">
        <f t="shared" si="288"/>
        <v>0</v>
      </c>
      <c r="CH422" s="387">
        <f t="shared" si="289"/>
        <v>47.927879999999973</v>
      </c>
      <c r="CI422" s="387">
        <f t="shared" si="290"/>
        <v>0</v>
      </c>
      <c r="CJ422" s="387">
        <f t="shared" si="303"/>
        <v>-287.56727999999998</v>
      </c>
      <c r="CK422" s="387" t="str">
        <f t="shared" si="304"/>
        <v/>
      </c>
      <c r="CL422" s="387" t="str">
        <f t="shared" si="305"/>
        <v/>
      </c>
      <c r="CM422" s="387" t="str">
        <f t="shared" si="306"/>
        <v/>
      </c>
      <c r="CN422" s="387" t="str">
        <f t="shared" si="307"/>
        <v>0348-31</v>
      </c>
    </row>
    <row r="423" spans="1:92" ht="15.75" thickBot="1" x14ac:dyDescent="0.3">
      <c r="A423" s="376" t="s">
        <v>161</v>
      </c>
      <c r="B423" s="376" t="s">
        <v>162</v>
      </c>
      <c r="C423" s="376" t="s">
        <v>1412</v>
      </c>
      <c r="D423" s="376" t="s">
        <v>862</v>
      </c>
      <c r="E423" s="376" t="s">
        <v>224</v>
      </c>
      <c r="F423" s="382" t="s">
        <v>225</v>
      </c>
      <c r="G423" s="376" t="s">
        <v>781</v>
      </c>
      <c r="H423" s="378"/>
      <c r="I423" s="378"/>
      <c r="J423" s="376" t="s">
        <v>168</v>
      </c>
      <c r="K423" s="376" t="s">
        <v>863</v>
      </c>
      <c r="L423" s="376" t="s">
        <v>252</v>
      </c>
      <c r="M423" s="376" t="s">
        <v>171</v>
      </c>
      <c r="N423" s="376" t="s">
        <v>172</v>
      </c>
      <c r="O423" s="379">
        <v>1</v>
      </c>
      <c r="P423" s="385">
        <v>0.7</v>
      </c>
      <c r="Q423" s="385">
        <v>0.7</v>
      </c>
      <c r="R423" s="380">
        <v>80</v>
      </c>
      <c r="S423" s="385">
        <v>0.7</v>
      </c>
      <c r="T423" s="380">
        <v>33037.1</v>
      </c>
      <c r="U423" s="380">
        <v>0</v>
      </c>
      <c r="V423" s="380">
        <v>15713.45</v>
      </c>
      <c r="W423" s="380">
        <v>34114.080000000002</v>
      </c>
      <c r="X423" s="380">
        <v>15532.13</v>
      </c>
      <c r="Y423" s="380">
        <v>34114.080000000002</v>
      </c>
      <c r="Z423" s="380">
        <v>15388.86</v>
      </c>
      <c r="AA423" s="376" t="s">
        <v>1413</v>
      </c>
      <c r="AB423" s="376" t="s">
        <v>1414</v>
      </c>
      <c r="AC423" s="376" t="s">
        <v>1415</v>
      </c>
      <c r="AD423" s="376" t="s">
        <v>686</v>
      </c>
      <c r="AE423" s="376" t="s">
        <v>863</v>
      </c>
      <c r="AF423" s="376" t="s">
        <v>393</v>
      </c>
      <c r="AG423" s="376" t="s">
        <v>178</v>
      </c>
      <c r="AH423" s="381">
        <v>23.43</v>
      </c>
      <c r="AI423" s="381">
        <v>32862.1</v>
      </c>
      <c r="AJ423" s="376" t="s">
        <v>179</v>
      </c>
      <c r="AK423" s="376" t="s">
        <v>180</v>
      </c>
      <c r="AL423" s="376" t="s">
        <v>181</v>
      </c>
      <c r="AM423" s="376" t="s">
        <v>182</v>
      </c>
      <c r="AN423" s="376" t="s">
        <v>68</v>
      </c>
      <c r="AO423" s="379">
        <v>80</v>
      </c>
      <c r="AP423" s="385">
        <v>1</v>
      </c>
      <c r="AQ423" s="385">
        <v>0.7</v>
      </c>
      <c r="AR423" s="383" t="s">
        <v>183</v>
      </c>
      <c r="AS423" s="387">
        <f t="shared" si="291"/>
        <v>0.7</v>
      </c>
      <c r="AT423">
        <f t="shared" si="292"/>
        <v>1</v>
      </c>
      <c r="AU423" s="387">
        <f>IF(AT423=0,"",IF(AND(AT423=1,M423="F",SUMIF(C2:C1334,C423,AS2:AS1334)&lt;=1),SUMIF(C2:C1334,C423,AS2:AS1334),IF(AND(AT423=1,M423="F",SUMIF(C2:C1334,C423,AS2:AS1334)&gt;1),1,"")))</f>
        <v>1</v>
      </c>
      <c r="AV423" s="387" t="str">
        <f>IF(AT423=0,"",IF(AND(AT423=3,M423="F",SUMIF(C2:C1334,C423,AS2:AS1334)&lt;=1),SUMIF(C2:C1334,C423,AS2:AS1334),IF(AND(AT423=3,M423="F",SUMIF(C2:C1334,C423,AS2:AS1334)&gt;1),1,"")))</f>
        <v/>
      </c>
      <c r="AW423" s="387">
        <f>SUMIF(C2:C1334,C423,O2:O1334)</f>
        <v>3</v>
      </c>
      <c r="AX423" s="387">
        <f>IF(AND(M423="F",AS423&lt;&gt;0),SUMIF(C2:C1334,C423,W2:W1334),0)</f>
        <v>48734.400000000001</v>
      </c>
      <c r="AY423" s="387">
        <f t="shared" si="293"/>
        <v>34114.080000000002</v>
      </c>
      <c r="AZ423" s="387" t="str">
        <f t="shared" si="294"/>
        <v/>
      </c>
      <c r="BA423" s="387">
        <f t="shared" si="295"/>
        <v>0</v>
      </c>
      <c r="BB423" s="387">
        <f t="shared" si="264"/>
        <v>8154.9999999999991</v>
      </c>
      <c r="BC423" s="387">
        <f t="shared" si="265"/>
        <v>0</v>
      </c>
      <c r="BD423" s="387">
        <f t="shared" si="266"/>
        <v>2115.07296</v>
      </c>
      <c r="BE423" s="387">
        <f t="shared" si="267"/>
        <v>494.65416000000005</v>
      </c>
      <c r="BF423" s="387">
        <f t="shared" si="268"/>
        <v>4073.2211520000005</v>
      </c>
      <c r="BG423" s="387">
        <f t="shared" si="269"/>
        <v>245.96251680000003</v>
      </c>
      <c r="BH423" s="387">
        <f t="shared" si="270"/>
        <v>167.15899200000001</v>
      </c>
      <c r="BI423" s="387">
        <f t="shared" si="271"/>
        <v>188.8214328</v>
      </c>
      <c r="BJ423" s="387">
        <f t="shared" si="272"/>
        <v>92.108016000000006</v>
      </c>
      <c r="BK423" s="387">
        <f t="shared" si="273"/>
        <v>0</v>
      </c>
      <c r="BL423" s="387">
        <f t="shared" si="296"/>
        <v>7376.9992296000009</v>
      </c>
      <c r="BM423" s="387">
        <f t="shared" si="297"/>
        <v>0</v>
      </c>
      <c r="BN423" s="387">
        <f t="shared" si="274"/>
        <v>8154.9999999999991</v>
      </c>
      <c r="BO423" s="387">
        <f t="shared" si="275"/>
        <v>0</v>
      </c>
      <c r="BP423" s="387">
        <f t="shared" si="276"/>
        <v>2115.07296</v>
      </c>
      <c r="BQ423" s="387">
        <f t="shared" si="277"/>
        <v>494.65416000000005</v>
      </c>
      <c r="BR423" s="387">
        <f t="shared" si="278"/>
        <v>4073.2211520000005</v>
      </c>
      <c r="BS423" s="387">
        <f t="shared" si="279"/>
        <v>245.96251680000003</v>
      </c>
      <c r="BT423" s="387">
        <f t="shared" si="280"/>
        <v>0</v>
      </c>
      <c r="BU423" s="387">
        <f t="shared" si="281"/>
        <v>188.8214328</v>
      </c>
      <c r="BV423" s="387">
        <f t="shared" si="282"/>
        <v>115.987872</v>
      </c>
      <c r="BW423" s="387">
        <f t="shared" si="283"/>
        <v>0</v>
      </c>
      <c r="BX423" s="387">
        <f t="shared" si="298"/>
        <v>7233.7200936000008</v>
      </c>
      <c r="BY423" s="387">
        <f t="shared" si="299"/>
        <v>0</v>
      </c>
      <c r="BZ423" s="387">
        <f t="shared" si="300"/>
        <v>0</v>
      </c>
      <c r="CA423" s="387">
        <f t="shared" si="301"/>
        <v>0</v>
      </c>
      <c r="CB423" s="387">
        <f t="shared" si="302"/>
        <v>0</v>
      </c>
      <c r="CC423" s="387">
        <f t="shared" si="284"/>
        <v>0</v>
      </c>
      <c r="CD423" s="387">
        <f t="shared" si="285"/>
        <v>0</v>
      </c>
      <c r="CE423" s="387">
        <f t="shared" si="286"/>
        <v>0</v>
      </c>
      <c r="CF423" s="387">
        <f t="shared" si="287"/>
        <v>-167.15899200000001</v>
      </c>
      <c r="CG423" s="387">
        <f t="shared" si="288"/>
        <v>0</v>
      </c>
      <c r="CH423" s="387">
        <f t="shared" si="289"/>
        <v>23.87985599999999</v>
      </c>
      <c r="CI423" s="387">
        <f t="shared" si="290"/>
        <v>0</v>
      </c>
      <c r="CJ423" s="387">
        <f t="shared" si="303"/>
        <v>-143.27913600000002</v>
      </c>
      <c r="CK423" s="387" t="str">
        <f t="shared" si="304"/>
        <v/>
      </c>
      <c r="CL423" s="387" t="str">
        <f t="shared" si="305"/>
        <v/>
      </c>
      <c r="CM423" s="387" t="str">
        <f t="shared" si="306"/>
        <v/>
      </c>
      <c r="CN423" s="387" t="str">
        <f t="shared" si="307"/>
        <v>0348-31</v>
      </c>
    </row>
    <row r="424" spans="1:92" ht="15.75" thickBot="1" x14ac:dyDescent="0.3">
      <c r="A424" s="376" t="s">
        <v>161</v>
      </c>
      <c r="B424" s="376" t="s">
        <v>162</v>
      </c>
      <c r="C424" s="376" t="s">
        <v>362</v>
      </c>
      <c r="D424" s="376" t="s">
        <v>204</v>
      </c>
      <c r="E424" s="376" t="s">
        <v>224</v>
      </c>
      <c r="F424" s="382" t="s">
        <v>225</v>
      </c>
      <c r="G424" s="376" t="s">
        <v>781</v>
      </c>
      <c r="H424" s="378"/>
      <c r="I424" s="378"/>
      <c r="J424" s="376" t="s">
        <v>215</v>
      </c>
      <c r="K424" s="376" t="s">
        <v>206</v>
      </c>
      <c r="L424" s="376" t="s">
        <v>181</v>
      </c>
      <c r="M424" s="376" t="s">
        <v>171</v>
      </c>
      <c r="N424" s="376" t="s">
        <v>172</v>
      </c>
      <c r="O424" s="379">
        <v>1</v>
      </c>
      <c r="P424" s="385">
        <v>0</v>
      </c>
      <c r="Q424" s="385">
        <v>0</v>
      </c>
      <c r="R424" s="380">
        <v>80</v>
      </c>
      <c r="S424" s="385">
        <v>0</v>
      </c>
      <c r="T424" s="380">
        <v>35178.480000000003</v>
      </c>
      <c r="U424" s="380">
        <v>0</v>
      </c>
      <c r="V424" s="380">
        <v>11530.49</v>
      </c>
      <c r="W424" s="380">
        <v>0</v>
      </c>
      <c r="X424" s="380">
        <v>0</v>
      </c>
      <c r="Y424" s="380">
        <v>0</v>
      </c>
      <c r="Z424" s="380">
        <v>0</v>
      </c>
      <c r="AA424" s="376" t="s">
        <v>363</v>
      </c>
      <c r="AB424" s="376" t="s">
        <v>364</v>
      </c>
      <c r="AC424" s="376" t="s">
        <v>365</v>
      </c>
      <c r="AD424" s="376" t="s">
        <v>366</v>
      </c>
      <c r="AE424" s="376" t="s">
        <v>206</v>
      </c>
      <c r="AF424" s="376" t="s">
        <v>211</v>
      </c>
      <c r="AG424" s="376" t="s">
        <v>178</v>
      </c>
      <c r="AH424" s="381">
        <v>33.83</v>
      </c>
      <c r="AI424" s="381">
        <v>24806.5</v>
      </c>
      <c r="AJ424" s="376" t="s">
        <v>179</v>
      </c>
      <c r="AK424" s="376" t="s">
        <v>180</v>
      </c>
      <c r="AL424" s="376" t="s">
        <v>181</v>
      </c>
      <c r="AM424" s="376" t="s">
        <v>182</v>
      </c>
      <c r="AN424" s="376" t="s">
        <v>68</v>
      </c>
      <c r="AO424" s="379">
        <v>80</v>
      </c>
      <c r="AP424" s="385">
        <v>1</v>
      </c>
      <c r="AQ424" s="385">
        <v>0</v>
      </c>
      <c r="AR424" s="383" t="s">
        <v>183</v>
      </c>
      <c r="AS424" s="387">
        <f t="shared" si="291"/>
        <v>0</v>
      </c>
      <c r="AT424">
        <f t="shared" si="292"/>
        <v>0</v>
      </c>
      <c r="AU424" s="387" t="str">
        <f>IF(AT424=0,"",IF(AND(AT424=1,M424="F",SUMIF(C2:C1334,C424,AS2:AS1334)&lt;=1),SUMIF(C2:C1334,C424,AS2:AS1334),IF(AND(AT424=1,M424="F",SUMIF(C2:C1334,C424,AS2:AS1334)&gt;1),1,"")))</f>
        <v/>
      </c>
      <c r="AV424" s="387" t="str">
        <f>IF(AT424=0,"",IF(AND(AT424=3,M424="F",SUMIF(C2:C1334,C424,AS2:AS1334)&lt;=1),SUMIF(C2:C1334,C424,AS2:AS1334),IF(AND(AT424=3,M424="F",SUMIF(C2:C1334,C424,AS2:AS1334)&gt;1),1,"")))</f>
        <v/>
      </c>
      <c r="AW424" s="387">
        <f>SUMIF(C2:C1334,C424,O2:O1334)</f>
        <v>3</v>
      </c>
      <c r="AX424" s="387">
        <f>IF(AND(M424="F",AS424&lt;&gt;0),SUMIF(C2:C1334,C424,W2:W1334),0)</f>
        <v>0</v>
      </c>
      <c r="AY424" s="387" t="str">
        <f t="shared" si="293"/>
        <v/>
      </c>
      <c r="AZ424" s="387" t="str">
        <f t="shared" si="294"/>
        <v/>
      </c>
      <c r="BA424" s="387">
        <f t="shared" si="295"/>
        <v>0</v>
      </c>
      <c r="BB424" s="387">
        <f t="shared" si="264"/>
        <v>0</v>
      </c>
      <c r="BC424" s="387">
        <f t="shared" si="265"/>
        <v>0</v>
      </c>
      <c r="BD424" s="387">
        <f t="shared" si="266"/>
        <v>0</v>
      </c>
      <c r="BE424" s="387">
        <f t="shared" si="267"/>
        <v>0</v>
      </c>
      <c r="BF424" s="387">
        <f t="shared" si="268"/>
        <v>0</v>
      </c>
      <c r="BG424" s="387">
        <f t="shared" si="269"/>
        <v>0</v>
      </c>
      <c r="BH424" s="387">
        <f t="shared" si="270"/>
        <v>0</v>
      </c>
      <c r="BI424" s="387">
        <f t="shared" si="271"/>
        <v>0</v>
      </c>
      <c r="BJ424" s="387">
        <f t="shared" si="272"/>
        <v>0</v>
      </c>
      <c r="BK424" s="387">
        <f t="shared" si="273"/>
        <v>0</v>
      </c>
      <c r="BL424" s="387">
        <f t="shared" si="296"/>
        <v>0</v>
      </c>
      <c r="BM424" s="387">
        <f t="shared" si="297"/>
        <v>0</v>
      </c>
      <c r="BN424" s="387">
        <f t="shared" si="274"/>
        <v>0</v>
      </c>
      <c r="BO424" s="387">
        <f t="shared" si="275"/>
        <v>0</v>
      </c>
      <c r="BP424" s="387">
        <f t="shared" si="276"/>
        <v>0</v>
      </c>
      <c r="BQ424" s="387">
        <f t="shared" si="277"/>
        <v>0</v>
      </c>
      <c r="BR424" s="387">
        <f t="shared" si="278"/>
        <v>0</v>
      </c>
      <c r="BS424" s="387">
        <f t="shared" si="279"/>
        <v>0</v>
      </c>
      <c r="BT424" s="387">
        <f t="shared" si="280"/>
        <v>0</v>
      </c>
      <c r="BU424" s="387">
        <f t="shared" si="281"/>
        <v>0</v>
      </c>
      <c r="BV424" s="387">
        <f t="shared" si="282"/>
        <v>0</v>
      </c>
      <c r="BW424" s="387">
        <f t="shared" si="283"/>
        <v>0</v>
      </c>
      <c r="BX424" s="387">
        <f t="shared" si="298"/>
        <v>0</v>
      </c>
      <c r="BY424" s="387">
        <f t="shared" si="299"/>
        <v>0</v>
      </c>
      <c r="BZ424" s="387">
        <f t="shared" si="300"/>
        <v>0</v>
      </c>
      <c r="CA424" s="387">
        <f t="shared" si="301"/>
        <v>0</v>
      </c>
      <c r="CB424" s="387">
        <f t="shared" si="302"/>
        <v>0</v>
      </c>
      <c r="CC424" s="387">
        <f t="shared" si="284"/>
        <v>0</v>
      </c>
      <c r="CD424" s="387">
        <f t="shared" si="285"/>
        <v>0</v>
      </c>
      <c r="CE424" s="387">
        <f t="shared" si="286"/>
        <v>0</v>
      </c>
      <c r="CF424" s="387">
        <f t="shared" si="287"/>
        <v>0</v>
      </c>
      <c r="CG424" s="387">
        <f t="shared" si="288"/>
        <v>0</v>
      </c>
      <c r="CH424" s="387">
        <f t="shared" si="289"/>
        <v>0</v>
      </c>
      <c r="CI424" s="387">
        <f t="shared" si="290"/>
        <v>0</v>
      </c>
      <c r="CJ424" s="387">
        <f t="shared" si="303"/>
        <v>0</v>
      </c>
      <c r="CK424" s="387" t="str">
        <f t="shared" si="304"/>
        <v/>
      </c>
      <c r="CL424" s="387" t="str">
        <f t="shared" si="305"/>
        <v/>
      </c>
      <c r="CM424" s="387" t="str">
        <f t="shared" si="306"/>
        <v/>
      </c>
      <c r="CN424" s="387" t="str">
        <f t="shared" si="307"/>
        <v>0348-31</v>
      </c>
    </row>
    <row r="425" spans="1:92" ht="15.75" thickBot="1" x14ac:dyDescent="0.3">
      <c r="A425" s="376" t="s">
        <v>161</v>
      </c>
      <c r="B425" s="376" t="s">
        <v>162</v>
      </c>
      <c r="C425" s="376" t="s">
        <v>529</v>
      </c>
      <c r="D425" s="376" t="s">
        <v>485</v>
      </c>
      <c r="E425" s="376" t="s">
        <v>224</v>
      </c>
      <c r="F425" s="382" t="s">
        <v>225</v>
      </c>
      <c r="G425" s="376" t="s">
        <v>781</v>
      </c>
      <c r="H425" s="378"/>
      <c r="I425" s="378"/>
      <c r="J425" s="376" t="s">
        <v>239</v>
      </c>
      <c r="K425" s="376" t="s">
        <v>530</v>
      </c>
      <c r="L425" s="376" t="s">
        <v>181</v>
      </c>
      <c r="M425" s="376" t="s">
        <v>171</v>
      </c>
      <c r="N425" s="376" t="s">
        <v>172</v>
      </c>
      <c r="O425" s="379">
        <v>1</v>
      </c>
      <c r="P425" s="385">
        <v>0</v>
      </c>
      <c r="Q425" s="385">
        <v>0</v>
      </c>
      <c r="R425" s="380">
        <v>80</v>
      </c>
      <c r="S425" s="385">
        <v>0</v>
      </c>
      <c r="T425" s="380">
        <v>58439.6</v>
      </c>
      <c r="U425" s="380">
        <v>0</v>
      </c>
      <c r="V425" s="380">
        <v>18312.419999999998</v>
      </c>
      <c r="W425" s="380">
        <v>0</v>
      </c>
      <c r="X425" s="380">
        <v>0</v>
      </c>
      <c r="Y425" s="380">
        <v>0</v>
      </c>
      <c r="Z425" s="380">
        <v>0</v>
      </c>
      <c r="AA425" s="376" t="s">
        <v>531</v>
      </c>
      <c r="AB425" s="376" t="s">
        <v>532</v>
      </c>
      <c r="AC425" s="376" t="s">
        <v>533</v>
      </c>
      <c r="AD425" s="376" t="s">
        <v>534</v>
      </c>
      <c r="AE425" s="376" t="s">
        <v>530</v>
      </c>
      <c r="AF425" s="376" t="s">
        <v>211</v>
      </c>
      <c r="AG425" s="376" t="s">
        <v>178</v>
      </c>
      <c r="AH425" s="381">
        <v>49.87</v>
      </c>
      <c r="AI425" s="381">
        <v>41301.5</v>
      </c>
      <c r="AJ425" s="376" t="s">
        <v>179</v>
      </c>
      <c r="AK425" s="376" t="s">
        <v>180</v>
      </c>
      <c r="AL425" s="376" t="s">
        <v>181</v>
      </c>
      <c r="AM425" s="376" t="s">
        <v>182</v>
      </c>
      <c r="AN425" s="376" t="s">
        <v>68</v>
      </c>
      <c r="AO425" s="379">
        <v>80</v>
      </c>
      <c r="AP425" s="385">
        <v>1</v>
      </c>
      <c r="AQ425" s="385">
        <v>0</v>
      </c>
      <c r="AR425" s="383" t="s">
        <v>183</v>
      </c>
      <c r="AS425" s="387">
        <f t="shared" si="291"/>
        <v>0</v>
      </c>
      <c r="AT425">
        <f t="shared" si="292"/>
        <v>0</v>
      </c>
      <c r="AU425" s="387" t="str">
        <f>IF(AT425=0,"",IF(AND(AT425=1,M425="F",SUMIF(C2:C1334,C425,AS2:AS1334)&lt;=1),SUMIF(C2:C1334,C425,AS2:AS1334),IF(AND(AT425=1,M425="F",SUMIF(C2:C1334,C425,AS2:AS1334)&gt;1),1,"")))</f>
        <v/>
      </c>
      <c r="AV425" s="387" t="str">
        <f>IF(AT425=0,"",IF(AND(AT425=3,M425="F",SUMIF(C2:C1334,C425,AS2:AS1334)&lt;=1),SUMIF(C2:C1334,C425,AS2:AS1334),IF(AND(AT425=3,M425="F",SUMIF(C2:C1334,C425,AS2:AS1334)&gt;1),1,"")))</f>
        <v/>
      </c>
      <c r="AW425" s="387">
        <f>SUMIF(C2:C1334,C425,O2:O1334)</f>
        <v>4</v>
      </c>
      <c r="AX425" s="387">
        <f>IF(AND(M425="F",AS425&lt;&gt;0),SUMIF(C2:C1334,C425,W2:W1334),0)</f>
        <v>0</v>
      </c>
      <c r="AY425" s="387" t="str">
        <f t="shared" si="293"/>
        <v/>
      </c>
      <c r="AZ425" s="387" t="str">
        <f t="shared" si="294"/>
        <v/>
      </c>
      <c r="BA425" s="387">
        <f t="shared" si="295"/>
        <v>0</v>
      </c>
      <c r="BB425" s="387">
        <f t="shared" si="264"/>
        <v>0</v>
      </c>
      <c r="BC425" s="387">
        <f t="shared" si="265"/>
        <v>0</v>
      </c>
      <c r="BD425" s="387">
        <f t="shared" si="266"/>
        <v>0</v>
      </c>
      <c r="BE425" s="387">
        <f t="shared" si="267"/>
        <v>0</v>
      </c>
      <c r="BF425" s="387">
        <f t="shared" si="268"/>
        <v>0</v>
      </c>
      <c r="BG425" s="387">
        <f t="shared" si="269"/>
        <v>0</v>
      </c>
      <c r="BH425" s="387">
        <f t="shared" si="270"/>
        <v>0</v>
      </c>
      <c r="BI425" s="387">
        <f t="shared" si="271"/>
        <v>0</v>
      </c>
      <c r="BJ425" s="387">
        <f t="shared" si="272"/>
        <v>0</v>
      </c>
      <c r="BK425" s="387">
        <f t="shared" si="273"/>
        <v>0</v>
      </c>
      <c r="BL425" s="387">
        <f t="shared" si="296"/>
        <v>0</v>
      </c>
      <c r="BM425" s="387">
        <f t="shared" si="297"/>
        <v>0</v>
      </c>
      <c r="BN425" s="387">
        <f t="shared" si="274"/>
        <v>0</v>
      </c>
      <c r="BO425" s="387">
        <f t="shared" si="275"/>
        <v>0</v>
      </c>
      <c r="BP425" s="387">
        <f t="shared" si="276"/>
        <v>0</v>
      </c>
      <c r="BQ425" s="387">
        <f t="shared" si="277"/>
        <v>0</v>
      </c>
      <c r="BR425" s="387">
        <f t="shared" si="278"/>
        <v>0</v>
      </c>
      <c r="BS425" s="387">
        <f t="shared" si="279"/>
        <v>0</v>
      </c>
      <c r="BT425" s="387">
        <f t="shared" si="280"/>
        <v>0</v>
      </c>
      <c r="BU425" s="387">
        <f t="shared" si="281"/>
        <v>0</v>
      </c>
      <c r="BV425" s="387">
        <f t="shared" si="282"/>
        <v>0</v>
      </c>
      <c r="BW425" s="387">
        <f t="shared" si="283"/>
        <v>0</v>
      </c>
      <c r="BX425" s="387">
        <f t="shared" si="298"/>
        <v>0</v>
      </c>
      <c r="BY425" s="387">
        <f t="shared" si="299"/>
        <v>0</v>
      </c>
      <c r="BZ425" s="387">
        <f t="shared" si="300"/>
        <v>0</v>
      </c>
      <c r="CA425" s="387">
        <f t="shared" si="301"/>
        <v>0</v>
      </c>
      <c r="CB425" s="387">
        <f t="shared" si="302"/>
        <v>0</v>
      </c>
      <c r="CC425" s="387">
        <f t="shared" si="284"/>
        <v>0</v>
      </c>
      <c r="CD425" s="387">
        <f t="shared" si="285"/>
        <v>0</v>
      </c>
      <c r="CE425" s="387">
        <f t="shared" si="286"/>
        <v>0</v>
      </c>
      <c r="CF425" s="387">
        <f t="shared" si="287"/>
        <v>0</v>
      </c>
      <c r="CG425" s="387">
        <f t="shared" si="288"/>
        <v>0</v>
      </c>
      <c r="CH425" s="387">
        <f t="shared" si="289"/>
        <v>0</v>
      </c>
      <c r="CI425" s="387">
        <f t="shared" si="290"/>
        <v>0</v>
      </c>
      <c r="CJ425" s="387">
        <f t="shared" si="303"/>
        <v>0</v>
      </c>
      <c r="CK425" s="387" t="str">
        <f t="shared" si="304"/>
        <v/>
      </c>
      <c r="CL425" s="387" t="str">
        <f t="shared" si="305"/>
        <v/>
      </c>
      <c r="CM425" s="387" t="str">
        <f t="shared" si="306"/>
        <v/>
      </c>
      <c r="CN425" s="387" t="str">
        <f t="shared" si="307"/>
        <v>0348-31</v>
      </c>
    </row>
    <row r="426" spans="1:92" ht="15.75" thickBot="1" x14ac:dyDescent="0.3">
      <c r="A426" s="376" t="s">
        <v>161</v>
      </c>
      <c r="B426" s="376" t="s">
        <v>162</v>
      </c>
      <c r="C426" s="376" t="s">
        <v>1416</v>
      </c>
      <c r="D426" s="376" t="s">
        <v>862</v>
      </c>
      <c r="E426" s="376" t="s">
        <v>224</v>
      </c>
      <c r="F426" s="382" t="s">
        <v>225</v>
      </c>
      <c r="G426" s="376" t="s">
        <v>781</v>
      </c>
      <c r="H426" s="378"/>
      <c r="I426" s="378"/>
      <c r="J426" s="376" t="s">
        <v>239</v>
      </c>
      <c r="K426" s="376" t="s">
        <v>863</v>
      </c>
      <c r="L426" s="376" t="s">
        <v>252</v>
      </c>
      <c r="M426" s="376" t="s">
        <v>171</v>
      </c>
      <c r="N426" s="376" t="s">
        <v>172</v>
      </c>
      <c r="O426" s="379">
        <v>1</v>
      </c>
      <c r="P426" s="385">
        <v>0.65</v>
      </c>
      <c r="Q426" s="385">
        <v>0.65</v>
      </c>
      <c r="R426" s="380">
        <v>80</v>
      </c>
      <c r="S426" s="385">
        <v>0.65</v>
      </c>
      <c r="T426" s="380">
        <v>31504.63</v>
      </c>
      <c r="U426" s="380">
        <v>0</v>
      </c>
      <c r="V426" s="380">
        <v>14593.62</v>
      </c>
      <c r="W426" s="380">
        <v>33002.32</v>
      </c>
      <c r="X426" s="380">
        <v>14709.23</v>
      </c>
      <c r="Y426" s="380">
        <v>33002.32</v>
      </c>
      <c r="Z426" s="380">
        <v>14570.62</v>
      </c>
      <c r="AA426" s="376" t="s">
        <v>1417</v>
      </c>
      <c r="AB426" s="376" t="s">
        <v>1418</v>
      </c>
      <c r="AC426" s="376" t="s">
        <v>1419</v>
      </c>
      <c r="AD426" s="376" t="s">
        <v>210</v>
      </c>
      <c r="AE426" s="376" t="s">
        <v>863</v>
      </c>
      <c r="AF426" s="376" t="s">
        <v>393</v>
      </c>
      <c r="AG426" s="376" t="s">
        <v>178</v>
      </c>
      <c r="AH426" s="381">
        <v>24.41</v>
      </c>
      <c r="AI426" s="379">
        <v>38067</v>
      </c>
      <c r="AJ426" s="376" t="s">
        <v>179</v>
      </c>
      <c r="AK426" s="376" t="s">
        <v>180</v>
      </c>
      <c r="AL426" s="376" t="s">
        <v>181</v>
      </c>
      <c r="AM426" s="376" t="s">
        <v>182</v>
      </c>
      <c r="AN426" s="376" t="s">
        <v>68</v>
      </c>
      <c r="AO426" s="379">
        <v>80</v>
      </c>
      <c r="AP426" s="385">
        <v>1</v>
      </c>
      <c r="AQ426" s="385">
        <v>0.65</v>
      </c>
      <c r="AR426" s="383" t="s">
        <v>183</v>
      </c>
      <c r="AS426" s="387">
        <f t="shared" si="291"/>
        <v>0.65</v>
      </c>
      <c r="AT426">
        <f t="shared" si="292"/>
        <v>1</v>
      </c>
      <c r="AU426" s="387">
        <f>IF(AT426=0,"",IF(AND(AT426=1,M426="F",SUMIF(C2:C1334,C426,AS2:AS1334)&lt;=1),SUMIF(C2:C1334,C426,AS2:AS1334),IF(AND(AT426=1,M426="F",SUMIF(C2:C1334,C426,AS2:AS1334)&gt;1),1,"")))</f>
        <v>1</v>
      </c>
      <c r="AV426" s="387" t="str">
        <f>IF(AT426=0,"",IF(AND(AT426=3,M426="F",SUMIF(C2:C1334,C426,AS2:AS1334)&lt;=1),SUMIF(C2:C1334,C426,AS2:AS1334),IF(AND(AT426=3,M426="F",SUMIF(C2:C1334,C426,AS2:AS1334)&gt;1),1,"")))</f>
        <v/>
      </c>
      <c r="AW426" s="387">
        <f>SUMIF(C2:C1334,C426,O2:O1334)</f>
        <v>3</v>
      </c>
      <c r="AX426" s="387">
        <f>IF(AND(M426="F",AS426&lt;&gt;0),SUMIF(C2:C1334,C426,W2:W1334),0)</f>
        <v>50772.800000000003</v>
      </c>
      <c r="AY426" s="387">
        <f t="shared" si="293"/>
        <v>33002.32</v>
      </c>
      <c r="AZ426" s="387" t="str">
        <f t="shared" si="294"/>
        <v/>
      </c>
      <c r="BA426" s="387">
        <f t="shared" si="295"/>
        <v>0</v>
      </c>
      <c r="BB426" s="387">
        <f t="shared" si="264"/>
        <v>7572.5</v>
      </c>
      <c r="BC426" s="387">
        <f t="shared" si="265"/>
        <v>0</v>
      </c>
      <c r="BD426" s="387">
        <f t="shared" si="266"/>
        <v>2046.14384</v>
      </c>
      <c r="BE426" s="387">
        <f t="shared" si="267"/>
        <v>478.53364000000005</v>
      </c>
      <c r="BF426" s="387">
        <f t="shared" si="268"/>
        <v>3940.4770080000003</v>
      </c>
      <c r="BG426" s="387">
        <f t="shared" si="269"/>
        <v>237.9467272</v>
      </c>
      <c r="BH426" s="387">
        <f t="shared" si="270"/>
        <v>161.71136799999999</v>
      </c>
      <c r="BI426" s="387">
        <f t="shared" si="271"/>
        <v>182.6678412</v>
      </c>
      <c r="BJ426" s="387">
        <f t="shared" si="272"/>
        <v>89.10626400000001</v>
      </c>
      <c r="BK426" s="387">
        <f t="shared" si="273"/>
        <v>0</v>
      </c>
      <c r="BL426" s="387">
        <f t="shared" si="296"/>
        <v>7136.5866884000006</v>
      </c>
      <c r="BM426" s="387">
        <f t="shared" si="297"/>
        <v>0</v>
      </c>
      <c r="BN426" s="387">
        <f t="shared" si="274"/>
        <v>7572.5</v>
      </c>
      <c r="BO426" s="387">
        <f t="shared" si="275"/>
        <v>0</v>
      </c>
      <c r="BP426" s="387">
        <f t="shared" si="276"/>
        <v>2046.14384</v>
      </c>
      <c r="BQ426" s="387">
        <f t="shared" si="277"/>
        <v>478.53364000000005</v>
      </c>
      <c r="BR426" s="387">
        <f t="shared" si="278"/>
        <v>3940.4770080000003</v>
      </c>
      <c r="BS426" s="387">
        <f t="shared" si="279"/>
        <v>237.9467272</v>
      </c>
      <c r="BT426" s="387">
        <f t="shared" si="280"/>
        <v>0</v>
      </c>
      <c r="BU426" s="387">
        <f t="shared" si="281"/>
        <v>182.6678412</v>
      </c>
      <c r="BV426" s="387">
        <f t="shared" si="282"/>
        <v>112.207888</v>
      </c>
      <c r="BW426" s="387">
        <f t="shared" si="283"/>
        <v>0</v>
      </c>
      <c r="BX426" s="387">
        <f t="shared" si="298"/>
        <v>6997.9769444000003</v>
      </c>
      <c r="BY426" s="387">
        <f t="shared" si="299"/>
        <v>0</v>
      </c>
      <c r="BZ426" s="387">
        <f t="shared" si="300"/>
        <v>0</v>
      </c>
      <c r="CA426" s="387">
        <f t="shared" si="301"/>
        <v>0</v>
      </c>
      <c r="CB426" s="387">
        <f t="shared" si="302"/>
        <v>0</v>
      </c>
      <c r="CC426" s="387">
        <f t="shared" si="284"/>
        <v>0</v>
      </c>
      <c r="CD426" s="387">
        <f t="shared" si="285"/>
        <v>0</v>
      </c>
      <c r="CE426" s="387">
        <f t="shared" si="286"/>
        <v>0</v>
      </c>
      <c r="CF426" s="387">
        <f t="shared" si="287"/>
        <v>-161.71136799999999</v>
      </c>
      <c r="CG426" s="387">
        <f t="shared" si="288"/>
        <v>0</v>
      </c>
      <c r="CH426" s="387">
        <f t="shared" si="289"/>
        <v>23.10162399999999</v>
      </c>
      <c r="CI426" s="387">
        <f t="shared" si="290"/>
        <v>0</v>
      </c>
      <c r="CJ426" s="387">
        <f t="shared" si="303"/>
        <v>-138.60974400000001</v>
      </c>
      <c r="CK426" s="387" t="str">
        <f t="shared" si="304"/>
        <v/>
      </c>
      <c r="CL426" s="387" t="str">
        <f t="shared" si="305"/>
        <v/>
      </c>
      <c r="CM426" s="387" t="str">
        <f t="shared" si="306"/>
        <v/>
      </c>
      <c r="CN426" s="387" t="str">
        <f t="shared" si="307"/>
        <v>0348-31</v>
      </c>
    </row>
    <row r="427" spans="1:92" ht="15.75" thickBot="1" x14ac:dyDescent="0.3">
      <c r="A427" s="376" t="s">
        <v>161</v>
      </c>
      <c r="B427" s="376" t="s">
        <v>162</v>
      </c>
      <c r="C427" s="376" t="s">
        <v>1420</v>
      </c>
      <c r="D427" s="376" t="s">
        <v>862</v>
      </c>
      <c r="E427" s="376" t="s">
        <v>224</v>
      </c>
      <c r="F427" s="382" t="s">
        <v>225</v>
      </c>
      <c r="G427" s="376" t="s">
        <v>781</v>
      </c>
      <c r="H427" s="378"/>
      <c r="I427" s="378"/>
      <c r="J427" s="376" t="s">
        <v>239</v>
      </c>
      <c r="K427" s="376" t="s">
        <v>863</v>
      </c>
      <c r="L427" s="376" t="s">
        <v>252</v>
      </c>
      <c r="M427" s="376" t="s">
        <v>171</v>
      </c>
      <c r="N427" s="376" t="s">
        <v>172</v>
      </c>
      <c r="O427" s="379">
        <v>1</v>
      </c>
      <c r="P427" s="385">
        <v>0.7</v>
      </c>
      <c r="Q427" s="385">
        <v>0.7</v>
      </c>
      <c r="R427" s="380">
        <v>80</v>
      </c>
      <c r="S427" s="385">
        <v>0.7</v>
      </c>
      <c r="T427" s="380">
        <v>22346.16</v>
      </c>
      <c r="U427" s="380">
        <v>0</v>
      </c>
      <c r="V427" s="380">
        <v>12181.2</v>
      </c>
      <c r="W427" s="380">
        <v>26994.240000000002</v>
      </c>
      <c r="X427" s="380">
        <v>13992.48</v>
      </c>
      <c r="Y427" s="380">
        <v>26994.240000000002</v>
      </c>
      <c r="Z427" s="380">
        <v>13879.11</v>
      </c>
      <c r="AA427" s="376" t="s">
        <v>1421</v>
      </c>
      <c r="AB427" s="376" t="s">
        <v>1422</v>
      </c>
      <c r="AC427" s="376" t="s">
        <v>1423</v>
      </c>
      <c r="AD427" s="376" t="s">
        <v>1424</v>
      </c>
      <c r="AE427" s="376" t="s">
        <v>863</v>
      </c>
      <c r="AF427" s="376" t="s">
        <v>393</v>
      </c>
      <c r="AG427" s="376" t="s">
        <v>178</v>
      </c>
      <c r="AH427" s="381">
        <v>18.54</v>
      </c>
      <c r="AI427" s="379">
        <v>1520</v>
      </c>
      <c r="AJ427" s="376" t="s">
        <v>179</v>
      </c>
      <c r="AK427" s="376" t="s">
        <v>180</v>
      </c>
      <c r="AL427" s="376" t="s">
        <v>181</v>
      </c>
      <c r="AM427" s="376" t="s">
        <v>182</v>
      </c>
      <c r="AN427" s="376" t="s">
        <v>68</v>
      </c>
      <c r="AO427" s="379">
        <v>80</v>
      </c>
      <c r="AP427" s="385">
        <v>1</v>
      </c>
      <c r="AQ427" s="385">
        <v>0.7</v>
      </c>
      <c r="AR427" s="383" t="s">
        <v>183</v>
      </c>
      <c r="AS427" s="387">
        <f t="shared" si="291"/>
        <v>0.7</v>
      </c>
      <c r="AT427">
        <f t="shared" si="292"/>
        <v>1</v>
      </c>
      <c r="AU427" s="387">
        <f>IF(AT427=0,"",IF(AND(AT427=1,M427="F",SUMIF(C2:C1334,C427,AS2:AS1334)&lt;=1),SUMIF(C2:C1334,C427,AS2:AS1334),IF(AND(AT427=1,M427="F",SUMIF(C2:C1334,C427,AS2:AS1334)&gt;1),1,"")))</f>
        <v>1</v>
      </c>
      <c r="AV427" s="387" t="str">
        <f>IF(AT427=0,"",IF(AND(AT427=3,M427="F",SUMIF(C2:C1334,C427,AS2:AS1334)&lt;=1),SUMIF(C2:C1334,C427,AS2:AS1334),IF(AND(AT427=3,M427="F",SUMIF(C2:C1334,C427,AS2:AS1334)&gt;1),1,"")))</f>
        <v/>
      </c>
      <c r="AW427" s="387">
        <f>SUMIF(C2:C1334,C427,O2:O1334)</f>
        <v>3</v>
      </c>
      <c r="AX427" s="387">
        <f>IF(AND(M427="F",AS427&lt;&gt;0),SUMIF(C2:C1334,C427,W2:W1334),0)</f>
        <v>38563.199999999997</v>
      </c>
      <c r="AY427" s="387">
        <f t="shared" si="293"/>
        <v>26994.240000000002</v>
      </c>
      <c r="AZ427" s="387" t="str">
        <f t="shared" si="294"/>
        <v/>
      </c>
      <c r="BA427" s="387">
        <f t="shared" si="295"/>
        <v>0</v>
      </c>
      <c r="BB427" s="387">
        <f t="shared" si="264"/>
        <v>8154.9999999999991</v>
      </c>
      <c r="BC427" s="387">
        <f t="shared" si="265"/>
        <v>0</v>
      </c>
      <c r="BD427" s="387">
        <f t="shared" si="266"/>
        <v>1673.6428800000001</v>
      </c>
      <c r="BE427" s="387">
        <f t="shared" si="267"/>
        <v>391.41648000000004</v>
      </c>
      <c r="BF427" s="387">
        <f t="shared" si="268"/>
        <v>3223.1122560000003</v>
      </c>
      <c r="BG427" s="387">
        <f t="shared" si="269"/>
        <v>194.62847040000003</v>
      </c>
      <c r="BH427" s="387">
        <f t="shared" si="270"/>
        <v>132.27177600000002</v>
      </c>
      <c r="BI427" s="387">
        <f t="shared" si="271"/>
        <v>149.4131184</v>
      </c>
      <c r="BJ427" s="387">
        <f t="shared" si="272"/>
        <v>72.884448000000006</v>
      </c>
      <c r="BK427" s="387">
        <f t="shared" si="273"/>
        <v>0</v>
      </c>
      <c r="BL427" s="387">
        <f t="shared" si="296"/>
        <v>5837.3694287999997</v>
      </c>
      <c r="BM427" s="387">
        <f t="shared" si="297"/>
        <v>0</v>
      </c>
      <c r="BN427" s="387">
        <f t="shared" si="274"/>
        <v>8154.9999999999991</v>
      </c>
      <c r="BO427" s="387">
        <f t="shared" si="275"/>
        <v>0</v>
      </c>
      <c r="BP427" s="387">
        <f t="shared" si="276"/>
        <v>1673.6428800000001</v>
      </c>
      <c r="BQ427" s="387">
        <f t="shared" si="277"/>
        <v>391.41648000000004</v>
      </c>
      <c r="BR427" s="387">
        <f t="shared" si="278"/>
        <v>3223.1122560000003</v>
      </c>
      <c r="BS427" s="387">
        <f t="shared" si="279"/>
        <v>194.62847040000003</v>
      </c>
      <c r="BT427" s="387">
        <f t="shared" si="280"/>
        <v>0</v>
      </c>
      <c r="BU427" s="387">
        <f t="shared" si="281"/>
        <v>149.4131184</v>
      </c>
      <c r="BV427" s="387">
        <f t="shared" si="282"/>
        <v>91.780416000000002</v>
      </c>
      <c r="BW427" s="387">
        <f t="shared" si="283"/>
        <v>0</v>
      </c>
      <c r="BX427" s="387">
        <f t="shared" si="298"/>
        <v>5723.9936207999999</v>
      </c>
      <c r="BY427" s="387">
        <f t="shared" si="299"/>
        <v>0</v>
      </c>
      <c r="BZ427" s="387">
        <f t="shared" si="300"/>
        <v>0</v>
      </c>
      <c r="CA427" s="387">
        <f t="shared" si="301"/>
        <v>0</v>
      </c>
      <c r="CB427" s="387">
        <f t="shared" si="302"/>
        <v>0</v>
      </c>
      <c r="CC427" s="387">
        <f t="shared" si="284"/>
        <v>0</v>
      </c>
      <c r="CD427" s="387">
        <f t="shared" si="285"/>
        <v>0</v>
      </c>
      <c r="CE427" s="387">
        <f t="shared" si="286"/>
        <v>0</v>
      </c>
      <c r="CF427" s="387">
        <f t="shared" si="287"/>
        <v>-132.27177600000002</v>
      </c>
      <c r="CG427" s="387">
        <f t="shared" si="288"/>
        <v>0</v>
      </c>
      <c r="CH427" s="387">
        <f t="shared" si="289"/>
        <v>18.895967999999993</v>
      </c>
      <c r="CI427" s="387">
        <f t="shared" si="290"/>
        <v>0</v>
      </c>
      <c r="CJ427" s="387">
        <f t="shared" si="303"/>
        <v>-113.37580800000002</v>
      </c>
      <c r="CK427" s="387" t="str">
        <f t="shared" si="304"/>
        <v/>
      </c>
      <c r="CL427" s="387" t="str">
        <f t="shared" si="305"/>
        <v/>
      </c>
      <c r="CM427" s="387" t="str">
        <f t="shared" si="306"/>
        <v/>
      </c>
      <c r="CN427" s="387" t="str">
        <f t="shared" si="307"/>
        <v>0348-31</v>
      </c>
    </row>
    <row r="428" spans="1:92" ht="15.75" thickBot="1" x14ac:dyDescent="0.3">
      <c r="A428" s="376" t="s">
        <v>161</v>
      </c>
      <c r="B428" s="376" t="s">
        <v>162</v>
      </c>
      <c r="C428" s="376" t="s">
        <v>1425</v>
      </c>
      <c r="D428" s="376" t="s">
        <v>270</v>
      </c>
      <c r="E428" s="376" t="s">
        <v>224</v>
      </c>
      <c r="F428" s="382" t="s">
        <v>225</v>
      </c>
      <c r="G428" s="376" t="s">
        <v>781</v>
      </c>
      <c r="H428" s="378"/>
      <c r="I428" s="378"/>
      <c r="J428" s="376" t="s">
        <v>215</v>
      </c>
      <c r="K428" s="376" t="s">
        <v>271</v>
      </c>
      <c r="L428" s="376" t="s">
        <v>217</v>
      </c>
      <c r="M428" s="376" t="s">
        <v>171</v>
      </c>
      <c r="N428" s="376" t="s">
        <v>172</v>
      </c>
      <c r="O428" s="379">
        <v>1</v>
      </c>
      <c r="P428" s="385">
        <v>0</v>
      </c>
      <c r="Q428" s="385">
        <v>0</v>
      </c>
      <c r="R428" s="380">
        <v>80</v>
      </c>
      <c r="S428" s="385">
        <v>0</v>
      </c>
      <c r="T428" s="380">
        <v>614.79999999999995</v>
      </c>
      <c r="U428" s="380">
        <v>0</v>
      </c>
      <c r="V428" s="380">
        <v>361.25</v>
      </c>
      <c r="W428" s="380">
        <v>0</v>
      </c>
      <c r="X428" s="380">
        <v>0</v>
      </c>
      <c r="Y428" s="380">
        <v>0</v>
      </c>
      <c r="Z428" s="380">
        <v>0</v>
      </c>
      <c r="AA428" s="376" t="s">
        <v>1426</v>
      </c>
      <c r="AB428" s="376" t="s">
        <v>1427</v>
      </c>
      <c r="AC428" s="376" t="s">
        <v>392</v>
      </c>
      <c r="AD428" s="376" t="s">
        <v>279</v>
      </c>
      <c r="AE428" s="376" t="s">
        <v>271</v>
      </c>
      <c r="AF428" s="376" t="s">
        <v>221</v>
      </c>
      <c r="AG428" s="376" t="s">
        <v>178</v>
      </c>
      <c r="AH428" s="381">
        <v>16.41</v>
      </c>
      <c r="AI428" s="379">
        <v>1400</v>
      </c>
      <c r="AJ428" s="376" t="s">
        <v>179</v>
      </c>
      <c r="AK428" s="376" t="s">
        <v>180</v>
      </c>
      <c r="AL428" s="376" t="s">
        <v>181</v>
      </c>
      <c r="AM428" s="376" t="s">
        <v>182</v>
      </c>
      <c r="AN428" s="376" t="s">
        <v>68</v>
      </c>
      <c r="AO428" s="379">
        <v>80</v>
      </c>
      <c r="AP428" s="385">
        <v>1</v>
      </c>
      <c r="AQ428" s="385">
        <v>0</v>
      </c>
      <c r="AR428" s="383" t="s">
        <v>183</v>
      </c>
      <c r="AS428" s="387">
        <f t="shared" si="291"/>
        <v>0</v>
      </c>
      <c r="AT428">
        <f t="shared" si="292"/>
        <v>0</v>
      </c>
      <c r="AU428" s="387" t="str">
        <f>IF(AT428=0,"",IF(AND(AT428=1,M428="F",SUMIF(C2:C1334,C428,AS2:AS1334)&lt;=1),SUMIF(C2:C1334,C428,AS2:AS1334),IF(AND(AT428=1,M428="F",SUMIF(C2:C1334,C428,AS2:AS1334)&gt;1),1,"")))</f>
        <v/>
      </c>
      <c r="AV428" s="387" t="str">
        <f>IF(AT428=0,"",IF(AND(AT428=3,M428="F",SUMIF(C2:C1334,C428,AS2:AS1334)&lt;=1),SUMIF(C2:C1334,C428,AS2:AS1334),IF(AND(AT428=3,M428="F",SUMIF(C2:C1334,C428,AS2:AS1334)&gt;1),1,"")))</f>
        <v/>
      </c>
      <c r="AW428" s="387">
        <f>SUMIF(C2:C1334,C428,O2:O1334)</f>
        <v>2</v>
      </c>
      <c r="AX428" s="387">
        <f>IF(AND(M428="F",AS428&lt;&gt;0),SUMIF(C2:C1334,C428,W2:W1334),0)</f>
        <v>0</v>
      </c>
      <c r="AY428" s="387" t="str">
        <f t="shared" si="293"/>
        <v/>
      </c>
      <c r="AZ428" s="387" t="str">
        <f t="shared" si="294"/>
        <v/>
      </c>
      <c r="BA428" s="387">
        <f t="shared" si="295"/>
        <v>0</v>
      </c>
      <c r="BB428" s="387">
        <f t="shared" si="264"/>
        <v>0</v>
      </c>
      <c r="BC428" s="387">
        <f t="shared" si="265"/>
        <v>0</v>
      </c>
      <c r="BD428" s="387">
        <f t="shared" si="266"/>
        <v>0</v>
      </c>
      <c r="BE428" s="387">
        <f t="shared" si="267"/>
        <v>0</v>
      </c>
      <c r="BF428" s="387">
        <f t="shared" si="268"/>
        <v>0</v>
      </c>
      <c r="BG428" s="387">
        <f t="shared" si="269"/>
        <v>0</v>
      </c>
      <c r="BH428" s="387">
        <f t="shared" si="270"/>
        <v>0</v>
      </c>
      <c r="BI428" s="387">
        <f t="shared" si="271"/>
        <v>0</v>
      </c>
      <c r="BJ428" s="387">
        <f t="shared" si="272"/>
        <v>0</v>
      </c>
      <c r="BK428" s="387">
        <f t="shared" si="273"/>
        <v>0</v>
      </c>
      <c r="BL428" s="387">
        <f t="shared" si="296"/>
        <v>0</v>
      </c>
      <c r="BM428" s="387">
        <f t="shared" si="297"/>
        <v>0</v>
      </c>
      <c r="BN428" s="387">
        <f t="shared" si="274"/>
        <v>0</v>
      </c>
      <c r="BO428" s="387">
        <f t="shared" si="275"/>
        <v>0</v>
      </c>
      <c r="BP428" s="387">
        <f t="shared" si="276"/>
        <v>0</v>
      </c>
      <c r="BQ428" s="387">
        <f t="shared" si="277"/>
        <v>0</v>
      </c>
      <c r="BR428" s="387">
        <f t="shared" si="278"/>
        <v>0</v>
      </c>
      <c r="BS428" s="387">
        <f t="shared" si="279"/>
        <v>0</v>
      </c>
      <c r="BT428" s="387">
        <f t="shared" si="280"/>
        <v>0</v>
      </c>
      <c r="BU428" s="387">
        <f t="shared" si="281"/>
        <v>0</v>
      </c>
      <c r="BV428" s="387">
        <f t="shared" si="282"/>
        <v>0</v>
      </c>
      <c r="BW428" s="387">
        <f t="shared" si="283"/>
        <v>0</v>
      </c>
      <c r="BX428" s="387">
        <f t="shared" si="298"/>
        <v>0</v>
      </c>
      <c r="BY428" s="387">
        <f t="shared" si="299"/>
        <v>0</v>
      </c>
      <c r="BZ428" s="387">
        <f t="shared" si="300"/>
        <v>0</v>
      </c>
      <c r="CA428" s="387">
        <f t="shared" si="301"/>
        <v>0</v>
      </c>
      <c r="CB428" s="387">
        <f t="shared" si="302"/>
        <v>0</v>
      </c>
      <c r="CC428" s="387">
        <f t="shared" si="284"/>
        <v>0</v>
      </c>
      <c r="CD428" s="387">
        <f t="shared" si="285"/>
        <v>0</v>
      </c>
      <c r="CE428" s="387">
        <f t="shared" si="286"/>
        <v>0</v>
      </c>
      <c r="CF428" s="387">
        <f t="shared" si="287"/>
        <v>0</v>
      </c>
      <c r="CG428" s="387">
        <f t="shared" si="288"/>
        <v>0</v>
      </c>
      <c r="CH428" s="387">
        <f t="shared" si="289"/>
        <v>0</v>
      </c>
      <c r="CI428" s="387">
        <f t="shared" si="290"/>
        <v>0</v>
      </c>
      <c r="CJ428" s="387">
        <f t="shared" si="303"/>
        <v>0</v>
      </c>
      <c r="CK428" s="387" t="str">
        <f t="shared" si="304"/>
        <v/>
      </c>
      <c r="CL428" s="387" t="str">
        <f t="shared" si="305"/>
        <v/>
      </c>
      <c r="CM428" s="387" t="str">
        <f t="shared" si="306"/>
        <v/>
      </c>
      <c r="CN428" s="387" t="str">
        <f t="shared" si="307"/>
        <v>0348-31</v>
      </c>
    </row>
    <row r="429" spans="1:92" ht="15.75" thickBot="1" x14ac:dyDescent="0.3">
      <c r="A429" s="376" t="s">
        <v>161</v>
      </c>
      <c r="B429" s="376" t="s">
        <v>162</v>
      </c>
      <c r="C429" s="376" t="s">
        <v>1428</v>
      </c>
      <c r="D429" s="376" t="s">
        <v>868</v>
      </c>
      <c r="E429" s="376" t="s">
        <v>224</v>
      </c>
      <c r="F429" s="382" t="s">
        <v>225</v>
      </c>
      <c r="G429" s="376" t="s">
        <v>781</v>
      </c>
      <c r="H429" s="378"/>
      <c r="I429" s="378"/>
      <c r="J429" s="376" t="s">
        <v>215</v>
      </c>
      <c r="K429" s="376" t="s">
        <v>869</v>
      </c>
      <c r="L429" s="376" t="s">
        <v>296</v>
      </c>
      <c r="M429" s="376" t="s">
        <v>171</v>
      </c>
      <c r="N429" s="376" t="s">
        <v>172</v>
      </c>
      <c r="O429" s="379">
        <v>1</v>
      </c>
      <c r="P429" s="385">
        <v>0</v>
      </c>
      <c r="Q429" s="385">
        <v>0</v>
      </c>
      <c r="R429" s="380">
        <v>80</v>
      </c>
      <c r="S429" s="385">
        <v>0</v>
      </c>
      <c r="T429" s="380">
        <v>4944</v>
      </c>
      <c r="U429" s="380">
        <v>0</v>
      </c>
      <c r="V429" s="380">
        <v>2512.6999999999998</v>
      </c>
      <c r="W429" s="380">
        <v>0</v>
      </c>
      <c r="X429" s="380">
        <v>0</v>
      </c>
      <c r="Y429" s="380">
        <v>0</v>
      </c>
      <c r="Z429" s="380">
        <v>0</v>
      </c>
      <c r="AA429" s="376" t="s">
        <v>1429</v>
      </c>
      <c r="AB429" s="376" t="s">
        <v>1430</v>
      </c>
      <c r="AC429" s="376" t="s">
        <v>1431</v>
      </c>
      <c r="AD429" s="376" t="s">
        <v>1432</v>
      </c>
      <c r="AE429" s="376" t="s">
        <v>873</v>
      </c>
      <c r="AF429" s="376" t="s">
        <v>393</v>
      </c>
      <c r="AG429" s="376" t="s">
        <v>178</v>
      </c>
      <c r="AH429" s="381">
        <v>20.6</v>
      </c>
      <c r="AI429" s="379">
        <v>320</v>
      </c>
      <c r="AJ429" s="376" t="s">
        <v>179</v>
      </c>
      <c r="AK429" s="376" t="s">
        <v>180</v>
      </c>
      <c r="AL429" s="376" t="s">
        <v>181</v>
      </c>
      <c r="AM429" s="376" t="s">
        <v>182</v>
      </c>
      <c r="AN429" s="376" t="s">
        <v>68</v>
      </c>
      <c r="AO429" s="379">
        <v>80</v>
      </c>
      <c r="AP429" s="385">
        <v>1</v>
      </c>
      <c r="AQ429" s="385">
        <v>0</v>
      </c>
      <c r="AR429" s="383">
        <v>3</v>
      </c>
      <c r="AS429" s="387">
        <f t="shared" si="291"/>
        <v>0</v>
      </c>
      <c r="AT429">
        <f t="shared" si="292"/>
        <v>0</v>
      </c>
      <c r="AU429" s="387" t="str">
        <f>IF(AT429=0,"",IF(AND(AT429=1,M429="F",SUMIF(C2:C1334,C429,AS2:AS1334)&lt;=1),SUMIF(C2:C1334,C429,AS2:AS1334),IF(AND(AT429=1,M429="F",SUMIF(C2:C1334,C429,AS2:AS1334)&gt;1),1,"")))</f>
        <v/>
      </c>
      <c r="AV429" s="387" t="str">
        <f>IF(AT429=0,"",IF(AND(AT429=3,M429="F",SUMIF(C2:C1334,C429,AS2:AS1334)&lt;=1),SUMIF(C2:C1334,C429,AS2:AS1334),IF(AND(AT429=3,M429="F",SUMIF(C2:C1334,C429,AS2:AS1334)&gt;1),1,"")))</f>
        <v/>
      </c>
      <c r="AW429" s="387">
        <f>SUMIF(C2:C1334,C429,O2:O1334)</f>
        <v>2</v>
      </c>
      <c r="AX429" s="387">
        <f>IF(AND(M429="F",AS429&lt;&gt;0),SUMIF(C2:C1334,C429,W2:W1334),0)</f>
        <v>0</v>
      </c>
      <c r="AY429" s="387" t="str">
        <f t="shared" si="293"/>
        <v/>
      </c>
      <c r="AZ429" s="387" t="str">
        <f t="shared" si="294"/>
        <v/>
      </c>
      <c r="BA429" s="387">
        <f t="shared" si="295"/>
        <v>0</v>
      </c>
      <c r="BB429" s="387">
        <f t="shared" si="264"/>
        <v>0</v>
      </c>
      <c r="BC429" s="387">
        <f t="shared" si="265"/>
        <v>0</v>
      </c>
      <c r="BD429" s="387">
        <f t="shared" si="266"/>
        <v>0</v>
      </c>
      <c r="BE429" s="387">
        <f t="shared" si="267"/>
        <v>0</v>
      </c>
      <c r="BF429" s="387">
        <f t="shared" si="268"/>
        <v>0</v>
      </c>
      <c r="BG429" s="387">
        <f t="shared" si="269"/>
        <v>0</v>
      </c>
      <c r="BH429" s="387">
        <f t="shared" si="270"/>
        <v>0</v>
      </c>
      <c r="BI429" s="387">
        <f t="shared" si="271"/>
        <v>0</v>
      </c>
      <c r="BJ429" s="387">
        <f t="shared" si="272"/>
        <v>0</v>
      </c>
      <c r="BK429" s="387">
        <f t="shared" si="273"/>
        <v>0</v>
      </c>
      <c r="BL429" s="387">
        <f t="shared" si="296"/>
        <v>0</v>
      </c>
      <c r="BM429" s="387">
        <f t="shared" si="297"/>
        <v>0</v>
      </c>
      <c r="BN429" s="387">
        <f t="shared" si="274"/>
        <v>0</v>
      </c>
      <c r="BO429" s="387">
        <f t="shared" si="275"/>
        <v>0</v>
      </c>
      <c r="BP429" s="387">
        <f t="shared" si="276"/>
        <v>0</v>
      </c>
      <c r="BQ429" s="387">
        <f t="shared" si="277"/>
        <v>0</v>
      </c>
      <c r="BR429" s="387">
        <f t="shared" si="278"/>
        <v>0</v>
      </c>
      <c r="BS429" s="387">
        <f t="shared" si="279"/>
        <v>0</v>
      </c>
      <c r="BT429" s="387">
        <f t="shared" si="280"/>
        <v>0</v>
      </c>
      <c r="BU429" s="387">
        <f t="shared" si="281"/>
        <v>0</v>
      </c>
      <c r="BV429" s="387">
        <f t="shared" si="282"/>
        <v>0</v>
      </c>
      <c r="BW429" s="387">
        <f t="shared" si="283"/>
        <v>0</v>
      </c>
      <c r="BX429" s="387">
        <f t="shared" si="298"/>
        <v>0</v>
      </c>
      <c r="BY429" s="387">
        <f t="shared" si="299"/>
        <v>0</v>
      </c>
      <c r="BZ429" s="387">
        <f t="shared" si="300"/>
        <v>0</v>
      </c>
      <c r="CA429" s="387">
        <f t="shared" si="301"/>
        <v>0</v>
      </c>
      <c r="CB429" s="387">
        <f t="shared" si="302"/>
        <v>0</v>
      </c>
      <c r="CC429" s="387">
        <f t="shared" si="284"/>
        <v>0</v>
      </c>
      <c r="CD429" s="387">
        <f t="shared" si="285"/>
        <v>0</v>
      </c>
      <c r="CE429" s="387">
        <f t="shared" si="286"/>
        <v>0</v>
      </c>
      <c r="CF429" s="387">
        <f t="shared" si="287"/>
        <v>0</v>
      </c>
      <c r="CG429" s="387">
        <f t="shared" si="288"/>
        <v>0</v>
      </c>
      <c r="CH429" s="387">
        <f t="shared" si="289"/>
        <v>0</v>
      </c>
      <c r="CI429" s="387">
        <f t="shared" si="290"/>
        <v>0</v>
      </c>
      <c r="CJ429" s="387">
        <f t="shared" si="303"/>
        <v>0</v>
      </c>
      <c r="CK429" s="387" t="str">
        <f t="shared" si="304"/>
        <v/>
      </c>
      <c r="CL429" s="387" t="str">
        <f t="shared" si="305"/>
        <v/>
      </c>
      <c r="CM429" s="387" t="str">
        <f t="shared" si="306"/>
        <v/>
      </c>
      <c r="CN429" s="387" t="str">
        <f t="shared" si="307"/>
        <v>0348-31</v>
      </c>
    </row>
    <row r="430" spans="1:92" ht="15.75" thickBot="1" x14ac:dyDescent="0.3">
      <c r="A430" s="376" t="s">
        <v>161</v>
      </c>
      <c r="B430" s="376" t="s">
        <v>162</v>
      </c>
      <c r="C430" s="376" t="s">
        <v>1433</v>
      </c>
      <c r="D430" s="376" t="s">
        <v>862</v>
      </c>
      <c r="E430" s="376" t="s">
        <v>224</v>
      </c>
      <c r="F430" s="382" t="s">
        <v>225</v>
      </c>
      <c r="G430" s="376" t="s">
        <v>781</v>
      </c>
      <c r="H430" s="378"/>
      <c r="I430" s="378"/>
      <c r="J430" s="376" t="s">
        <v>168</v>
      </c>
      <c r="K430" s="376" t="s">
        <v>863</v>
      </c>
      <c r="L430" s="376" t="s">
        <v>252</v>
      </c>
      <c r="M430" s="376" t="s">
        <v>171</v>
      </c>
      <c r="N430" s="376" t="s">
        <v>172</v>
      </c>
      <c r="O430" s="379">
        <v>1</v>
      </c>
      <c r="P430" s="385">
        <v>0.65</v>
      </c>
      <c r="Q430" s="385">
        <v>0.65</v>
      </c>
      <c r="R430" s="380">
        <v>80</v>
      </c>
      <c r="S430" s="385">
        <v>0.65</v>
      </c>
      <c r="T430" s="380">
        <v>39313.11</v>
      </c>
      <c r="U430" s="380">
        <v>0</v>
      </c>
      <c r="V430" s="380">
        <v>15879.62</v>
      </c>
      <c r="W430" s="380">
        <v>37518</v>
      </c>
      <c r="X430" s="380">
        <v>15685.74</v>
      </c>
      <c r="Y430" s="380">
        <v>37518</v>
      </c>
      <c r="Z430" s="380">
        <v>15528.17</v>
      </c>
      <c r="AA430" s="376" t="s">
        <v>1434</v>
      </c>
      <c r="AB430" s="376" t="s">
        <v>1435</v>
      </c>
      <c r="AC430" s="376" t="s">
        <v>1436</v>
      </c>
      <c r="AD430" s="376" t="s">
        <v>170</v>
      </c>
      <c r="AE430" s="376" t="s">
        <v>863</v>
      </c>
      <c r="AF430" s="376" t="s">
        <v>393</v>
      </c>
      <c r="AG430" s="376" t="s">
        <v>178</v>
      </c>
      <c r="AH430" s="381">
        <v>27.75</v>
      </c>
      <c r="AI430" s="381">
        <v>37920.5</v>
      </c>
      <c r="AJ430" s="376" t="s">
        <v>179</v>
      </c>
      <c r="AK430" s="376" t="s">
        <v>180</v>
      </c>
      <c r="AL430" s="376" t="s">
        <v>181</v>
      </c>
      <c r="AM430" s="376" t="s">
        <v>182</v>
      </c>
      <c r="AN430" s="376" t="s">
        <v>68</v>
      </c>
      <c r="AO430" s="379">
        <v>80</v>
      </c>
      <c r="AP430" s="385">
        <v>1</v>
      </c>
      <c r="AQ430" s="385">
        <v>0.65</v>
      </c>
      <c r="AR430" s="383" t="s">
        <v>183</v>
      </c>
      <c r="AS430" s="387">
        <f t="shared" si="291"/>
        <v>0.65</v>
      </c>
      <c r="AT430">
        <f t="shared" si="292"/>
        <v>1</v>
      </c>
      <c r="AU430" s="387">
        <f>IF(AT430=0,"",IF(AND(AT430=1,M430="F",SUMIF(C2:C1334,C430,AS2:AS1334)&lt;=1),SUMIF(C2:C1334,C430,AS2:AS1334),IF(AND(AT430=1,M430="F",SUMIF(C2:C1334,C430,AS2:AS1334)&gt;1),1,"")))</f>
        <v>1</v>
      </c>
      <c r="AV430" s="387" t="str">
        <f>IF(AT430=0,"",IF(AND(AT430=3,M430="F",SUMIF(C2:C1334,C430,AS2:AS1334)&lt;=1),SUMIF(C2:C1334,C430,AS2:AS1334),IF(AND(AT430=3,M430="F",SUMIF(C2:C1334,C430,AS2:AS1334)&gt;1),1,"")))</f>
        <v/>
      </c>
      <c r="AW430" s="387">
        <f>SUMIF(C2:C1334,C430,O2:O1334)</f>
        <v>3</v>
      </c>
      <c r="AX430" s="387">
        <f>IF(AND(M430="F",AS430&lt;&gt;0),SUMIF(C2:C1334,C430,W2:W1334),0)</f>
        <v>57720</v>
      </c>
      <c r="AY430" s="387">
        <f t="shared" si="293"/>
        <v>37518</v>
      </c>
      <c r="AZ430" s="387" t="str">
        <f t="shared" si="294"/>
        <v/>
      </c>
      <c r="BA430" s="387">
        <f t="shared" si="295"/>
        <v>0</v>
      </c>
      <c r="BB430" s="387">
        <f t="shared" si="264"/>
        <v>7572.5</v>
      </c>
      <c r="BC430" s="387">
        <f t="shared" si="265"/>
        <v>0</v>
      </c>
      <c r="BD430" s="387">
        <f t="shared" si="266"/>
        <v>2326.116</v>
      </c>
      <c r="BE430" s="387">
        <f t="shared" si="267"/>
        <v>544.01100000000008</v>
      </c>
      <c r="BF430" s="387">
        <f t="shared" si="268"/>
        <v>4479.6491999999998</v>
      </c>
      <c r="BG430" s="387">
        <f t="shared" si="269"/>
        <v>270.50477999999998</v>
      </c>
      <c r="BH430" s="387">
        <f t="shared" si="270"/>
        <v>183.8382</v>
      </c>
      <c r="BI430" s="387">
        <f t="shared" si="271"/>
        <v>207.66212999999999</v>
      </c>
      <c r="BJ430" s="387">
        <f t="shared" si="272"/>
        <v>101.29860000000001</v>
      </c>
      <c r="BK430" s="387">
        <f t="shared" si="273"/>
        <v>0</v>
      </c>
      <c r="BL430" s="387">
        <f t="shared" si="296"/>
        <v>8113.0799100000004</v>
      </c>
      <c r="BM430" s="387">
        <f t="shared" si="297"/>
        <v>0</v>
      </c>
      <c r="BN430" s="387">
        <f t="shared" si="274"/>
        <v>7572.5</v>
      </c>
      <c r="BO430" s="387">
        <f t="shared" si="275"/>
        <v>0</v>
      </c>
      <c r="BP430" s="387">
        <f t="shared" si="276"/>
        <v>2326.116</v>
      </c>
      <c r="BQ430" s="387">
        <f t="shared" si="277"/>
        <v>544.01100000000008</v>
      </c>
      <c r="BR430" s="387">
        <f t="shared" si="278"/>
        <v>4479.6491999999998</v>
      </c>
      <c r="BS430" s="387">
        <f t="shared" si="279"/>
        <v>270.50477999999998</v>
      </c>
      <c r="BT430" s="387">
        <f t="shared" si="280"/>
        <v>0</v>
      </c>
      <c r="BU430" s="387">
        <f t="shared" si="281"/>
        <v>207.66212999999999</v>
      </c>
      <c r="BV430" s="387">
        <f t="shared" si="282"/>
        <v>127.5612</v>
      </c>
      <c r="BW430" s="387">
        <f t="shared" si="283"/>
        <v>0</v>
      </c>
      <c r="BX430" s="387">
        <f t="shared" si="298"/>
        <v>7955.5043100000003</v>
      </c>
      <c r="BY430" s="387">
        <f t="shared" si="299"/>
        <v>0</v>
      </c>
      <c r="BZ430" s="387">
        <f t="shared" si="300"/>
        <v>0</v>
      </c>
      <c r="CA430" s="387">
        <f t="shared" si="301"/>
        <v>0</v>
      </c>
      <c r="CB430" s="387">
        <f t="shared" si="302"/>
        <v>0</v>
      </c>
      <c r="CC430" s="387">
        <f t="shared" si="284"/>
        <v>0</v>
      </c>
      <c r="CD430" s="387">
        <f t="shared" si="285"/>
        <v>0</v>
      </c>
      <c r="CE430" s="387">
        <f t="shared" si="286"/>
        <v>0</v>
      </c>
      <c r="CF430" s="387">
        <f t="shared" si="287"/>
        <v>-183.8382</v>
      </c>
      <c r="CG430" s="387">
        <f t="shared" si="288"/>
        <v>0</v>
      </c>
      <c r="CH430" s="387">
        <f t="shared" si="289"/>
        <v>26.262599999999988</v>
      </c>
      <c r="CI430" s="387">
        <f t="shared" si="290"/>
        <v>0</v>
      </c>
      <c r="CJ430" s="387">
        <f t="shared" si="303"/>
        <v>-157.57560000000001</v>
      </c>
      <c r="CK430" s="387" t="str">
        <f t="shared" si="304"/>
        <v/>
      </c>
      <c r="CL430" s="387" t="str">
        <f t="shared" si="305"/>
        <v/>
      </c>
      <c r="CM430" s="387" t="str">
        <f t="shared" si="306"/>
        <v/>
      </c>
      <c r="CN430" s="387" t="str">
        <f t="shared" si="307"/>
        <v>0348-31</v>
      </c>
    </row>
    <row r="431" spans="1:92" ht="15.75" thickBot="1" x14ac:dyDescent="0.3">
      <c r="A431" s="376" t="s">
        <v>161</v>
      </c>
      <c r="B431" s="376" t="s">
        <v>162</v>
      </c>
      <c r="C431" s="376" t="s">
        <v>293</v>
      </c>
      <c r="D431" s="376" t="s">
        <v>294</v>
      </c>
      <c r="E431" s="376" t="s">
        <v>224</v>
      </c>
      <c r="F431" s="382" t="s">
        <v>225</v>
      </c>
      <c r="G431" s="376" t="s">
        <v>781</v>
      </c>
      <c r="H431" s="378"/>
      <c r="I431" s="378"/>
      <c r="J431" s="376" t="s">
        <v>215</v>
      </c>
      <c r="K431" s="376" t="s">
        <v>295</v>
      </c>
      <c r="L431" s="376" t="s">
        <v>296</v>
      </c>
      <c r="M431" s="376" t="s">
        <v>171</v>
      </c>
      <c r="N431" s="376" t="s">
        <v>172</v>
      </c>
      <c r="O431" s="379">
        <v>1</v>
      </c>
      <c r="P431" s="385">
        <v>0</v>
      </c>
      <c r="Q431" s="385">
        <v>0</v>
      </c>
      <c r="R431" s="380">
        <v>80</v>
      </c>
      <c r="S431" s="385">
        <v>0</v>
      </c>
      <c r="T431" s="380">
        <v>54767.83</v>
      </c>
      <c r="U431" s="380">
        <v>339.53</v>
      </c>
      <c r="V431" s="380">
        <v>23053.55</v>
      </c>
      <c r="W431" s="380">
        <v>0</v>
      </c>
      <c r="X431" s="380">
        <v>0</v>
      </c>
      <c r="Y431" s="380">
        <v>0</v>
      </c>
      <c r="Z431" s="380">
        <v>0</v>
      </c>
      <c r="AA431" s="376" t="s">
        <v>297</v>
      </c>
      <c r="AB431" s="376" t="s">
        <v>298</v>
      </c>
      <c r="AC431" s="376" t="s">
        <v>299</v>
      </c>
      <c r="AD431" s="376" t="s">
        <v>300</v>
      </c>
      <c r="AE431" s="376" t="s">
        <v>295</v>
      </c>
      <c r="AF431" s="376" t="s">
        <v>301</v>
      </c>
      <c r="AG431" s="376" t="s">
        <v>178</v>
      </c>
      <c r="AH431" s="381">
        <v>27.3</v>
      </c>
      <c r="AI431" s="381">
        <v>32463.9</v>
      </c>
      <c r="AJ431" s="376" t="s">
        <v>179</v>
      </c>
      <c r="AK431" s="376" t="s">
        <v>180</v>
      </c>
      <c r="AL431" s="376" t="s">
        <v>181</v>
      </c>
      <c r="AM431" s="376" t="s">
        <v>182</v>
      </c>
      <c r="AN431" s="376" t="s">
        <v>68</v>
      </c>
      <c r="AO431" s="379">
        <v>80</v>
      </c>
      <c r="AP431" s="385">
        <v>1</v>
      </c>
      <c r="AQ431" s="385">
        <v>0</v>
      </c>
      <c r="AR431" s="383" t="s">
        <v>183</v>
      </c>
      <c r="AS431" s="387">
        <f t="shared" si="291"/>
        <v>0</v>
      </c>
      <c r="AT431">
        <f t="shared" si="292"/>
        <v>0</v>
      </c>
      <c r="AU431" s="387" t="str">
        <f>IF(AT431=0,"",IF(AND(AT431=1,M431="F",SUMIF(C2:C1334,C431,AS2:AS1334)&lt;=1),SUMIF(C2:C1334,C431,AS2:AS1334),IF(AND(AT431=1,M431="F",SUMIF(C2:C1334,C431,AS2:AS1334)&gt;1),1,"")))</f>
        <v/>
      </c>
      <c r="AV431" s="387" t="str">
        <f>IF(AT431=0,"",IF(AND(AT431=3,M431="F",SUMIF(C2:C1334,C431,AS2:AS1334)&lt;=1),SUMIF(C2:C1334,C431,AS2:AS1334),IF(AND(AT431=3,M431="F",SUMIF(C2:C1334,C431,AS2:AS1334)&gt;1),1,"")))</f>
        <v/>
      </c>
      <c r="AW431" s="387">
        <f>SUMIF(C2:C1334,C431,O2:O1334)</f>
        <v>2</v>
      </c>
      <c r="AX431" s="387">
        <f>IF(AND(M431="F",AS431&lt;&gt;0),SUMIF(C2:C1334,C431,W2:W1334),0)</f>
        <v>0</v>
      </c>
      <c r="AY431" s="387" t="str">
        <f t="shared" si="293"/>
        <v/>
      </c>
      <c r="AZ431" s="387" t="str">
        <f t="shared" si="294"/>
        <v/>
      </c>
      <c r="BA431" s="387">
        <f t="shared" si="295"/>
        <v>0</v>
      </c>
      <c r="BB431" s="387">
        <f t="shared" si="264"/>
        <v>0</v>
      </c>
      <c r="BC431" s="387">
        <f t="shared" si="265"/>
        <v>0</v>
      </c>
      <c r="BD431" s="387">
        <f t="shared" si="266"/>
        <v>0</v>
      </c>
      <c r="BE431" s="387">
        <f t="shared" si="267"/>
        <v>0</v>
      </c>
      <c r="BF431" s="387">
        <f t="shared" si="268"/>
        <v>0</v>
      </c>
      <c r="BG431" s="387">
        <f t="shared" si="269"/>
        <v>0</v>
      </c>
      <c r="BH431" s="387">
        <f t="shared" si="270"/>
        <v>0</v>
      </c>
      <c r="BI431" s="387">
        <f t="shared" si="271"/>
        <v>0</v>
      </c>
      <c r="BJ431" s="387">
        <f t="shared" si="272"/>
        <v>0</v>
      </c>
      <c r="BK431" s="387">
        <f t="shared" si="273"/>
        <v>0</v>
      </c>
      <c r="BL431" s="387">
        <f t="shared" si="296"/>
        <v>0</v>
      </c>
      <c r="BM431" s="387">
        <f t="shared" si="297"/>
        <v>0</v>
      </c>
      <c r="BN431" s="387">
        <f t="shared" si="274"/>
        <v>0</v>
      </c>
      <c r="BO431" s="387">
        <f t="shared" si="275"/>
        <v>0</v>
      </c>
      <c r="BP431" s="387">
        <f t="shared" si="276"/>
        <v>0</v>
      </c>
      <c r="BQ431" s="387">
        <f t="shared" si="277"/>
        <v>0</v>
      </c>
      <c r="BR431" s="387">
        <f t="shared" si="278"/>
        <v>0</v>
      </c>
      <c r="BS431" s="387">
        <f t="shared" si="279"/>
        <v>0</v>
      </c>
      <c r="BT431" s="387">
        <f t="shared" si="280"/>
        <v>0</v>
      </c>
      <c r="BU431" s="387">
        <f t="shared" si="281"/>
        <v>0</v>
      </c>
      <c r="BV431" s="387">
        <f t="shared" si="282"/>
        <v>0</v>
      </c>
      <c r="BW431" s="387">
        <f t="shared" si="283"/>
        <v>0</v>
      </c>
      <c r="BX431" s="387">
        <f t="shared" si="298"/>
        <v>0</v>
      </c>
      <c r="BY431" s="387">
        <f t="shared" si="299"/>
        <v>0</v>
      </c>
      <c r="BZ431" s="387">
        <f t="shared" si="300"/>
        <v>0</v>
      </c>
      <c r="CA431" s="387">
        <f t="shared" si="301"/>
        <v>0</v>
      </c>
      <c r="CB431" s="387">
        <f t="shared" si="302"/>
        <v>0</v>
      </c>
      <c r="CC431" s="387">
        <f t="shared" si="284"/>
        <v>0</v>
      </c>
      <c r="CD431" s="387">
        <f t="shared" si="285"/>
        <v>0</v>
      </c>
      <c r="CE431" s="387">
        <f t="shared" si="286"/>
        <v>0</v>
      </c>
      <c r="CF431" s="387">
        <f t="shared" si="287"/>
        <v>0</v>
      </c>
      <c r="CG431" s="387">
        <f t="shared" si="288"/>
        <v>0</v>
      </c>
      <c r="CH431" s="387">
        <f t="shared" si="289"/>
        <v>0</v>
      </c>
      <c r="CI431" s="387">
        <f t="shared" si="290"/>
        <v>0</v>
      </c>
      <c r="CJ431" s="387">
        <f t="shared" si="303"/>
        <v>0</v>
      </c>
      <c r="CK431" s="387" t="str">
        <f t="shared" si="304"/>
        <v/>
      </c>
      <c r="CL431" s="387" t="str">
        <f t="shared" si="305"/>
        <v/>
      </c>
      <c r="CM431" s="387" t="str">
        <f t="shared" si="306"/>
        <v/>
      </c>
      <c r="CN431" s="387" t="str">
        <f t="shared" si="307"/>
        <v>0348-31</v>
      </c>
    </row>
    <row r="432" spans="1:92" ht="15.75" thickBot="1" x14ac:dyDescent="0.3">
      <c r="A432" s="376" t="s">
        <v>161</v>
      </c>
      <c r="B432" s="376" t="s">
        <v>162</v>
      </c>
      <c r="C432" s="376" t="s">
        <v>1437</v>
      </c>
      <c r="D432" s="376" t="s">
        <v>992</v>
      </c>
      <c r="E432" s="376" t="s">
        <v>224</v>
      </c>
      <c r="F432" s="382" t="s">
        <v>225</v>
      </c>
      <c r="G432" s="376" t="s">
        <v>781</v>
      </c>
      <c r="H432" s="378"/>
      <c r="I432" s="378"/>
      <c r="J432" s="376" t="s">
        <v>215</v>
      </c>
      <c r="K432" s="376" t="s">
        <v>993</v>
      </c>
      <c r="L432" s="376" t="s">
        <v>210</v>
      </c>
      <c r="M432" s="376" t="s">
        <v>171</v>
      </c>
      <c r="N432" s="376" t="s">
        <v>172</v>
      </c>
      <c r="O432" s="379">
        <v>1</v>
      </c>
      <c r="P432" s="385">
        <v>0</v>
      </c>
      <c r="Q432" s="385">
        <v>0</v>
      </c>
      <c r="R432" s="380">
        <v>80</v>
      </c>
      <c r="S432" s="385">
        <v>0</v>
      </c>
      <c r="T432" s="380">
        <v>55304.95</v>
      </c>
      <c r="U432" s="380">
        <v>0</v>
      </c>
      <c r="V432" s="380">
        <v>21578.74</v>
      </c>
      <c r="W432" s="380">
        <v>0</v>
      </c>
      <c r="X432" s="380">
        <v>0</v>
      </c>
      <c r="Y432" s="380">
        <v>0</v>
      </c>
      <c r="Z432" s="380">
        <v>0</v>
      </c>
      <c r="AA432" s="376" t="s">
        <v>1438</v>
      </c>
      <c r="AB432" s="376" t="s">
        <v>1439</v>
      </c>
      <c r="AC432" s="376" t="s">
        <v>1440</v>
      </c>
      <c r="AD432" s="376" t="s">
        <v>1441</v>
      </c>
      <c r="AE432" s="376" t="s">
        <v>993</v>
      </c>
      <c r="AF432" s="376" t="s">
        <v>245</v>
      </c>
      <c r="AG432" s="376" t="s">
        <v>178</v>
      </c>
      <c r="AH432" s="381">
        <v>31.74</v>
      </c>
      <c r="AI432" s="381">
        <v>4566.6000000000004</v>
      </c>
      <c r="AJ432" s="376" t="s">
        <v>179</v>
      </c>
      <c r="AK432" s="376" t="s">
        <v>180</v>
      </c>
      <c r="AL432" s="376" t="s">
        <v>181</v>
      </c>
      <c r="AM432" s="376" t="s">
        <v>182</v>
      </c>
      <c r="AN432" s="376" t="s">
        <v>68</v>
      </c>
      <c r="AO432" s="379">
        <v>80</v>
      </c>
      <c r="AP432" s="385">
        <v>1</v>
      </c>
      <c r="AQ432" s="385">
        <v>0</v>
      </c>
      <c r="AR432" s="383" t="s">
        <v>183</v>
      </c>
      <c r="AS432" s="387">
        <f t="shared" si="291"/>
        <v>0</v>
      </c>
      <c r="AT432">
        <f t="shared" si="292"/>
        <v>0</v>
      </c>
      <c r="AU432" s="387" t="str">
        <f>IF(AT432=0,"",IF(AND(AT432=1,M432="F",SUMIF(C2:C1334,C432,AS2:AS1334)&lt;=1),SUMIF(C2:C1334,C432,AS2:AS1334),IF(AND(AT432=1,M432="F",SUMIF(C2:C1334,C432,AS2:AS1334)&gt;1),1,"")))</f>
        <v/>
      </c>
      <c r="AV432" s="387" t="str">
        <f>IF(AT432=0,"",IF(AND(AT432=3,M432="F",SUMIF(C2:C1334,C432,AS2:AS1334)&lt;=1),SUMIF(C2:C1334,C432,AS2:AS1334),IF(AND(AT432=3,M432="F",SUMIF(C2:C1334,C432,AS2:AS1334)&gt;1),1,"")))</f>
        <v/>
      </c>
      <c r="AW432" s="387">
        <f>SUMIF(C2:C1334,C432,O2:O1334)</f>
        <v>2</v>
      </c>
      <c r="AX432" s="387">
        <f>IF(AND(M432="F",AS432&lt;&gt;0),SUMIF(C2:C1334,C432,W2:W1334),0)</f>
        <v>0</v>
      </c>
      <c r="AY432" s="387" t="str">
        <f t="shared" si="293"/>
        <v/>
      </c>
      <c r="AZ432" s="387" t="str">
        <f t="shared" si="294"/>
        <v/>
      </c>
      <c r="BA432" s="387">
        <f t="shared" si="295"/>
        <v>0</v>
      </c>
      <c r="BB432" s="387">
        <f t="shared" si="264"/>
        <v>0</v>
      </c>
      <c r="BC432" s="387">
        <f t="shared" si="265"/>
        <v>0</v>
      </c>
      <c r="BD432" s="387">
        <f t="shared" si="266"/>
        <v>0</v>
      </c>
      <c r="BE432" s="387">
        <f t="shared" si="267"/>
        <v>0</v>
      </c>
      <c r="BF432" s="387">
        <f t="shared" si="268"/>
        <v>0</v>
      </c>
      <c r="BG432" s="387">
        <f t="shared" si="269"/>
        <v>0</v>
      </c>
      <c r="BH432" s="387">
        <f t="shared" si="270"/>
        <v>0</v>
      </c>
      <c r="BI432" s="387">
        <f t="shared" si="271"/>
        <v>0</v>
      </c>
      <c r="BJ432" s="387">
        <f t="shared" si="272"/>
        <v>0</v>
      </c>
      <c r="BK432" s="387">
        <f t="shared" si="273"/>
        <v>0</v>
      </c>
      <c r="BL432" s="387">
        <f t="shared" si="296"/>
        <v>0</v>
      </c>
      <c r="BM432" s="387">
        <f t="shared" si="297"/>
        <v>0</v>
      </c>
      <c r="BN432" s="387">
        <f t="shared" si="274"/>
        <v>0</v>
      </c>
      <c r="BO432" s="387">
        <f t="shared" si="275"/>
        <v>0</v>
      </c>
      <c r="BP432" s="387">
        <f t="shared" si="276"/>
        <v>0</v>
      </c>
      <c r="BQ432" s="387">
        <f t="shared" si="277"/>
        <v>0</v>
      </c>
      <c r="BR432" s="387">
        <f t="shared" si="278"/>
        <v>0</v>
      </c>
      <c r="BS432" s="387">
        <f t="shared" si="279"/>
        <v>0</v>
      </c>
      <c r="BT432" s="387">
        <f t="shared" si="280"/>
        <v>0</v>
      </c>
      <c r="BU432" s="387">
        <f t="shared" si="281"/>
        <v>0</v>
      </c>
      <c r="BV432" s="387">
        <f t="shared" si="282"/>
        <v>0</v>
      </c>
      <c r="BW432" s="387">
        <f t="shared" si="283"/>
        <v>0</v>
      </c>
      <c r="BX432" s="387">
        <f t="shared" si="298"/>
        <v>0</v>
      </c>
      <c r="BY432" s="387">
        <f t="shared" si="299"/>
        <v>0</v>
      </c>
      <c r="BZ432" s="387">
        <f t="shared" si="300"/>
        <v>0</v>
      </c>
      <c r="CA432" s="387">
        <f t="shared" si="301"/>
        <v>0</v>
      </c>
      <c r="CB432" s="387">
        <f t="shared" si="302"/>
        <v>0</v>
      </c>
      <c r="CC432" s="387">
        <f t="shared" si="284"/>
        <v>0</v>
      </c>
      <c r="CD432" s="387">
        <f t="shared" si="285"/>
        <v>0</v>
      </c>
      <c r="CE432" s="387">
        <f t="shared" si="286"/>
        <v>0</v>
      </c>
      <c r="CF432" s="387">
        <f t="shared" si="287"/>
        <v>0</v>
      </c>
      <c r="CG432" s="387">
        <f t="shared" si="288"/>
        <v>0</v>
      </c>
      <c r="CH432" s="387">
        <f t="shared" si="289"/>
        <v>0</v>
      </c>
      <c r="CI432" s="387">
        <f t="shared" si="290"/>
        <v>0</v>
      </c>
      <c r="CJ432" s="387">
        <f t="shared" si="303"/>
        <v>0</v>
      </c>
      <c r="CK432" s="387" t="str">
        <f t="shared" si="304"/>
        <v/>
      </c>
      <c r="CL432" s="387" t="str">
        <f t="shared" si="305"/>
        <v/>
      </c>
      <c r="CM432" s="387" t="str">
        <f t="shared" si="306"/>
        <v/>
      </c>
      <c r="CN432" s="387" t="str">
        <f t="shared" si="307"/>
        <v>0348-31</v>
      </c>
    </row>
    <row r="433" spans="1:92" ht="15.75" thickBot="1" x14ac:dyDescent="0.3">
      <c r="A433" s="376" t="s">
        <v>161</v>
      </c>
      <c r="B433" s="376" t="s">
        <v>162</v>
      </c>
      <c r="C433" s="376" t="s">
        <v>1442</v>
      </c>
      <c r="D433" s="376" t="s">
        <v>862</v>
      </c>
      <c r="E433" s="376" t="s">
        <v>224</v>
      </c>
      <c r="F433" s="382" t="s">
        <v>225</v>
      </c>
      <c r="G433" s="376" t="s">
        <v>781</v>
      </c>
      <c r="H433" s="378"/>
      <c r="I433" s="378"/>
      <c r="J433" s="376" t="s">
        <v>215</v>
      </c>
      <c r="K433" s="376" t="s">
        <v>863</v>
      </c>
      <c r="L433" s="376" t="s">
        <v>252</v>
      </c>
      <c r="M433" s="376" t="s">
        <v>272</v>
      </c>
      <c r="N433" s="376" t="s">
        <v>172</v>
      </c>
      <c r="O433" s="379">
        <v>0</v>
      </c>
      <c r="P433" s="385">
        <v>0</v>
      </c>
      <c r="Q433" s="385">
        <v>0</v>
      </c>
      <c r="R433" s="380">
        <v>80</v>
      </c>
      <c r="S433" s="385">
        <v>0</v>
      </c>
      <c r="T433" s="380">
        <v>978.56</v>
      </c>
      <c r="U433" s="380">
        <v>0</v>
      </c>
      <c r="V433" s="380">
        <v>512.79</v>
      </c>
      <c r="W433" s="380">
        <v>0</v>
      </c>
      <c r="X433" s="380">
        <v>0</v>
      </c>
      <c r="Y433" s="380">
        <v>0</v>
      </c>
      <c r="Z433" s="380">
        <v>0</v>
      </c>
      <c r="AA433" s="378"/>
      <c r="AB433" s="376" t="s">
        <v>45</v>
      </c>
      <c r="AC433" s="376" t="s">
        <v>45</v>
      </c>
      <c r="AD433" s="378"/>
      <c r="AE433" s="378"/>
      <c r="AF433" s="378"/>
      <c r="AG433" s="378"/>
      <c r="AH433" s="379">
        <v>0</v>
      </c>
      <c r="AI433" s="379">
        <v>0</v>
      </c>
      <c r="AJ433" s="378"/>
      <c r="AK433" s="378"/>
      <c r="AL433" s="376" t="s">
        <v>181</v>
      </c>
      <c r="AM433" s="378"/>
      <c r="AN433" s="378"/>
      <c r="AO433" s="379">
        <v>0</v>
      </c>
      <c r="AP433" s="385">
        <v>0</v>
      </c>
      <c r="AQ433" s="385">
        <v>0</v>
      </c>
      <c r="AR433" s="384"/>
      <c r="AS433" s="387">
        <f t="shared" si="291"/>
        <v>0</v>
      </c>
      <c r="AT433">
        <f t="shared" si="292"/>
        <v>0</v>
      </c>
      <c r="AU433" s="387" t="str">
        <f>IF(AT433=0,"",IF(AND(AT433=1,M433="F",SUMIF(C2:C1334,C433,AS2:AS1334)&lt;=1),SUMIF(C2:C1334,C433,AS2:AS1334),IF(AND(AT433=1,M433="F",SUMIF(C2:C1334,C433,AS2:AS1334)&gt;1),1,"")))</f>
        <v/>
      </c>
      <c r="AV433" s="387" t="str">
        <f>IF(AT433=0,"",IF(AND(AT433=3,M433="F",SUMIF(C2:C1334,C433,AS2:AS1334)&lt;=1),SUMIF(C2:C1334,C433,AS2:AS1334),IF(AND(AT433=3,M433="F",SUMIF(C2:C1334,C433,AS2:AS1334)&gt;1),1,"")))</f>
        <v/>
      </c>
      <c r="AW433" s="387">
        <f>SUMIF(C2:C1334,C433,O2:O1334)</f>
        <v>0</v>
      </c>
      <c r="AX433" s="387">
        <f>IF(AND(M433="F",AS433&lt;&gt;0),SUMIF(C2:C1334,C433,W2:W1334),0)</f>
        <v>0</v>
      </c>
      <c r="AY433" s="387" t="str">
        <f t="shared" si="293"/>
        <v/>
      </c>
      <c r="AZ433" s="387" t="str">
        <f t="shared" si="294"/>
        <v/>
      </c>
      <c r="BA433" s="387">
        <f t="shared" si="295"/>
        <v>0</v>
      </c>
      <c r="BB433" s="387">
        <f t="shared" si="264"/>
        <v>0</v>
      </c>
      <c r="BC433" s="387">
        <f t="shared" si="265"/>
        <v>0</v>
      </c>
      <c r="BD433" s="387">
        <f t="shared" si="266"/>
        <v>0</v>
      </c>
      <c r="BE433" s="387">
        <f t="shared" si="267"/>
        <v>0</v>
      </c>
      <c r="BF433" s="387">
        <f t="shared" si="268"/>
        <v>0</v>
      </c>
      <c r="BG433" s="387">
        <f t="shared" si="269"/>
        <v>0</v>
      </c>
      <c r="BH433" s="387">
        <f t="shared" si="270"/>
        <v>0</v>
      </c>
      <c r="BI433" s="387">
        <f t="shared" si="271"/>
        <v>0</v>
      </c>
      <c r="BJ433" s="387">
        <f t="shared" si="272"/>
        <v>0</v>
      </c>
      <c r="BK433" s="387">
        <f t="shared" si="273"/>
        <v>0</v>
      </c>
      <c r="BL433" s="387">
        <f t="shared" si="296"/>
        <v>0</v>
      </c>
      <c r="BM433" s="387">
        <f t="shared" si="297"/>
        <v>0</v>
      </c>
      <c r="BN433" s="387">
        <f t="shared" si="274"/>
        <v>0</v>
      </c>
      <c r="BO433" s="387">
        <f t="shared" si="275"/>
        <v>0</v>
      </c>
      <c r="BP433" s="387">
        <f t="shared" si="276"/>
        <v>0</v>
      </c>
      <c r="BQ433" s="387">
        <f t="shared" si="277"/>
        <v>0</v>
      </c>
      <c r="BR433" s="387">
        <f t="shared" si="278"/>
        <v>0</v>
      </c>
      <c r="BS433" s="387">
        <f t="shared" si="279"/>
        <v>0</v>
      </c>
      <c r="BT433" s="387">
        <f t="shared" si="280"/>
        <v>0</v>
      </c>
      <c r="BU433" s="387">
        <f t="shared" si="281"/>
        <v>0</v>
      </c>
      <c r="BV433" s="387">
        <f t="shared" si="282"/>
        <v>0</v>
      </c>
      <c r="BW433" s="387">
        <f t="shared" si="283"/>
        <v>0</v>
      </c>
      <c r="BX433" s="387">
        <f t="shared" si="298"/>
        <v>0</v>
      </c>
      <c r="BY433" s="387">
        <f t="shared" si="299"/>
        <v>0</v>
      </c>
      <c r="BZ433" s="387">
        <f t="shared" si="300"/>
        <v>0</v>
      </c>
      <c r="CA433" s="387">
        <f t="shared" si="301"/>
        <v>0</v>
      </c>
      <c r="CB433" s="387">
        <f t="shared" si="302"/>
        <v>0</v>
      </c>
      <c r="CC433" s="387">
        <f t="shared" si="284"/>
        <v>0</v>
      </c>
      <c r="CD433" s="387">
        <f t="shared" si="285"/>
        <v>0</v>
      </c>
      <c r="CE433" s="387">
        <f t="shared" si="286"/>
        <v>0</v>
      </c>
      <c r="CF433" s="387">
        <f t="shared" si="287"/>
        <v>0</v>
      </c>
      <c r="CG433" s="387">
        <f t="shared" si="288"/>
        <v>0</v>
      </c>
      <c r="CH433" s="387">
        <f t="shared" si="289"/>
        <v>0</v>
      </c>
      <c r="CI433" s="387">
        <f t="shared" si="290"/>
        <v>0</v>
      </c>
      <c r="CJ433" s="387">
        <f t="shared" si="303"/>
        <v>0</v>
      </c>
      <c r="CK433" s="387" t="str">
        <f t="shared" si="304"/>
        <v/>
      </c>
      <c r="CL433" s="387" t="str">
        <f t="shared" si="305"/>
        <v/>
      </c>
      <c r="CM433" s="387" t="str">
        <f t="shared" si="306"/>
        <v/>
      </c>
      <c r="CN433" s="387" t="str">
        <f t="shared" si="307"/>
        <v>0348-31</v>
      </c>
    </row>
    <row r="434" spans="1:92" ht="15.75" thickBot="1" x14ac:dyDescent="0.3">
      <c r="A434" s="376" t="s">
        <v>161</v>
      </c>
      <c r="B434" s="376" t="s">
        <v>162</v>
      </c>
      <c r="C434" s="376" t="s">
        <v>1443</v>
      </c>
      <c r="D434" s="376" t="s">
        <v>1444</v>
      </c>
      <c r="E434" s="376" t="s">
        <v>224</v>
      </c>
      <c r="F434" s="382" t="s">
        <v>225</v>
      </c>
      <c r="G434" s="376" t="s">
        <v>781</v>
      </c>
      <c r="H434" s="378"/>
      <c r="I434" s="378"/>
      <c r="J434" s="376" t="s">
        <v>215</v>
      </c>
      <c r="K434" s="376" t="s">
        <v>1445</v>
      </c>
      <c r="L434" s="376" t="s">
        <v>170</v>
      </c>
      <c r="M434" s="376" t="s">
        <v>171</v>
      </c>
      <c r="N434" s="376" t="s">
        <v>877</v>
      </c>
      <c r="O434" s="379">
        <v>1</v>
      </c>
      <c r="P434" s="385">
        <v>1</v>
      </c>
      <c r="Q434" s="385">
        <v>1</v>
      </c>
      <c r="R434" s="380">
        <v>80</v>
      </c>
      <c r="S434" s="385">
        <v>1</v>
      </c>
      <c r="T434" s="380">
        <v>60690.16</v>
      </c>
      <c r="U434" s="380">
        <v>0</v>
      </c>
      <c r="V434" s="380">
        <v>24245.97</v>
      </c>
      <c r="W434" s="380">
        <v>62878.400000000001</v>
      </c>
      <c r="X434" s="380">
        <v>25247.43</v>
      </c>
      <c r="Y434" s="380">
        <v>62878.400000000001</v>
      </c>
      <c r="Z434" s="380">
        <v>24983.34</v>
      </c>
      <c r="AA434" s="376" t="s">
        <v>1446</v>
      </c>
      <c r="AB434" s="376" t="s">
        <v>1447</v>
      </c>
      <c r="AC434" s="376" t="s">
        <v>1448</v>
      </c>
      <c r="AD434" s="376" t="s">
        <v>1449</v>
      </c>
      <c r="AE434" s="376" t="s">
        <v>1445</v>
      </c>
      <c r="AF434" s="376" t="s">
        <v>177</v>
      </c>
      <c r="AG434" s="376" t="s">
        <v>178</v>
      </c>
      <c r="AH434" s="381">
        <v>30.23</v>
      </c>
      <c r="AI434" s="381">
        <v>4334.2</v>
      </c>
      <c r="AJ434" s="376" t="s">
        <v>179</v>
      </c>
      <c r="AK434" s="376" t="s">
        <v>180</v>
      </c>
      <c r="AL434" s="376" t="s">
        <v>181</v>
      </c>
      <c r="AM434" s="376" t="s">
        <v>182</v>
      </c>
      <c r="AN434" s="376" t="s">
        <v>68</v>
      </c>
      <c r="AO434" s="379">
        <v>80</v>
      </c>
      <c r="AP434" s="385">
        <v>1</v>
      </c>
      <c r="AQ434" s="385">
        <v>1</v>
      </c>
      <c r="AR434" s="383" t="s">
        <v>183</v>
      </c>
      <c r="AS434" s="387">
        <f t="shared" si="291"/>
        <v>1</v>
      </c>
      <c r="AT434">
        <f t="shared" si="292"/>
        <v>1</v>
      </c>
      <c r="AU434" s="387">
        <f>IF(AT434=0,"",IF(AND(AT434=1,M434="F",SUMIF(C2:C1334,C434,AS2:AS1334)&lt;=1),SUMIF(C2:C1334,C434,AS2:AS1334),IF(AND(AT434=1,M434="F",SUMIF(C2:C1334,C434,AS2:AS1334)&gt;1),1,"")))</f>
        <v>1</v>
      </c>
      <c r="AV434" s="387" t="str">
        <f>IF(AT434=0,"",IF(AND(AT434=3,M434="F",SUMIF(C2:C1334,C434,AS2:AS1334)&lt;=1),SUMIF(C2:C1334,C434,AS2:AS1334),IF(AND(AT434=3,M434="F",SUMIF(C2:C1334,C434,AS2:AS1334)&gt;1),1,"")))</f>
        <v/>
      </c>
      <c r="AW434" s="387">
        <f>SUMIF(C2:C1334,C434,O2:O1334)</f>
        <v>1</v>
      </c>
      <c r="AX434" s="387">
        <f>IF(AND(M434="F",AS434&lt;&gt;0),SUMIF(C2:C1334,C434,W2:W1334),0)</f>
        <v>62878.400000000001</v>
      </c>
      <c r="AY434" s="387">
        <f t="shared" si="293"/>
        <v>62878.400000000001</v>
      </c>
      <c r="AZ434" s="387" t="str">
        <f t="shared" si="294"/>
        <v/>
      </c>
      <c r="BA434" s="387">
        <f t="shared" si="295"/>
        <v>0</v>
      </c>
      <c r="BB434" s="387">
        <f t="shared" si="264"/>
        <v>11650</v>
      </c>
      <c r="BC434" s="387">
        <f t="shared" si="265"/>
        <v>0</v>
      </c>
      <c r="BD434" s="387">
        <f t="shared" si="266"/>
        <v>3898.4607999999998</v>
      </c>
      <c r="BE434" s="387">
        <f t="shared" si="267"/>
        <v>911.73680000000002</v>
      </c>
      <c r="BF434" s="387">
        <f t="shared" si="268"/>
        <v>7507.6809600000006</v>
      </c>
      <c r="BG434" s="387">
        <f t="shared" si="269"/>
        <v>453.35326400000002</v>
      </c>
      <c r="BH434" s="387">
        <f t="shared" si="270"/>
        <v>308.10415999999998</v>
      </c>
      <c r="BI434" s="387">
        <f t="shared" si="271"/>
        <v>348.03194400000001</v>
      </c>
      <c r="BJ434" s="387">
        <f t="shared" si="272"/>
        <v>169.77168</v>
      </c>
      <c r="BK434" s="387">
        <f t="shared" si="273"/>
        <v>0</v>
      </c>
      <c r="BL434" s="387">
        <f t="shared" si="296"/>
        <v>13597.139608000001</v>
      </c>
      <c r="BM434" s="387">
        <f t="shared" si="297"/>
        <v>0</v>
      </c>
      <c r="BN434" s="387">
        <f t="shared" si="274"/>
        <v>11650</v>
      </c>
      <c r="BO434" s="387">
        <f t="shared" si="275"/>
        <v>0</v>
      </c>
      <c r="BP434" s="387">
        <f t="shared" si="276"/>
        <v>3898.4607999999998</v>
      </c>
      <c r="BQ434" s="387">
        <f t="shared" si="277"/>
        <v>911.73680000000002</v>
      </c>
      <c r="BR434" s="387">
        <f t="shared" si="278"/>
        <v>7507.6809600000006</v>
      </c>
      <c r="BS434" s="387">
        <f t="shared" si="279"/>
        <v>453.35326400000002</v>
      </c>
      <c r="BT434" s="387">
        <f t="shared" si="280"/>
        <v>0</v>
      </c>
      <c r="BU434" s="387">
        <f t="shared" si="281"/>
        <v>348.03194400000001</v>
      </c>
      <c r="BV434" s="387">
        <f t="shared" si="282"/>
        <v>213.78655999999998</v>
      </c>
      <c r="BW434" s="387">
        <f t="shared" si="283"/>
        <v>0</v>
      </c>
      <c r="BX434" s="387">
        <f t="shared" si="298"/>
        <v>13333.050328000001</v>
      </c>
      <c r="BY434" s="387">
        <f t="shared" si="299"/>
        <v>0</v>
      </c>
      <c r="BZ434" s="387">
        <f t="shared" si="300"/>
        <v>0</v>
      </c>
      <c r="CA434" s="387">
        <f t="shared" si="301"/>
        <v>0</v>
      </c>
      <c r="CB434" s="387">
        <f t="shared" si="302"/>
        <v>0</v>
      </c>
      <c r="CC434" s="387">
        <f t="shared" si="284"/>
        <v>0</v>
      </c>
      <c r="CD434" s="387">
        <f t="shared" si="285"/>
        <v>0</v>
      </c>
      <c r="CE434" s="387">
        <f t="shared" si="286"/>
        <v>0</v>
      </c>
      <c r="CF434" s="387">
        <f t="shared" si="287"/>
        <v>-308.10415999999998</v>
      </c>
      <c r="CG434" s="387">
        <f t="shared" si="288"/>
        <v>0</v>
      </c>
      <c r="CH434" s="387">
        <f t="shared" si="289"/>
        <v>44.014879999999977</v>
      </c>
      <c r="CI434" s="387">
        <f t="shared" si="290"/>
        <v>0</v>
      </c>
      <c r="CJ434" s="387">
        <f t="shared" si="303"/>
        <v>-264.08928000000003</v>
      </c>
      <c r="CK434" s="387" t="str">
        <f t="shared" si="304"/>
        <v/>
      </c>
      <c r="CL434" s="387" t="str">
        <f t="shared" si="305"/>
        <v/>
      </c>
      <c r="CM434" s="387" t="str">
        <f t="shared" si="306"/>
        <v/>
      </c>
      <c r="CN434" s="387" t="str">
        <f t="shared" si="307"/>
        <v>0348-31</v>
      </c>
    </row>
    <row r="435" spans="1:92" ht="15.75" thickBot="1" x14ac:dyDescent="0.3">
      <c r="A435" s="376" t="s">
        <v>161</v>
      </c>
      <c r="B435" s="376" t="s">
        <v>162</v>
      </c>
      <c r="C435" s="376" t="s">
        <v>161</v>
      </c>
      <c r="D435" s="376" t="s">
        <v>862</v>
      </c>
      <c r="E435" s="376" t="s">
        <v>224</v>
      </c>
      <c r="F435" s="382" t="s">
        <v>225</v>
      </c>
      <c r="G435" s="376" t="s">
        <v>781</v>
      </c>
      <c r="H435" s="378"/>
      <c r="I435" s="378"/>
      <c r="J435" s="376" t="s">
        <v>168</v>
      </c>
      <c r="K435" s="376" t="s">
        <v>863</v>
      </c>
      <c r="L435" s="376" t="s">
        <v>252</v>
      </c>
      <c r="M435" s="376" t="s">
        <v>171</v>
      </c>
      <c r="N435" s="376" t="s">
        <v>172</v>
      </c>
      <c r="O435" s="379">
        <v>1</v>
      </c>
      <c r="P435" s="385">
        <v>0.85</v>
      </c>
      <c r="Q435" s="385">
        <v>0.85</v>
      </c>
      <c r="R435" s="380">
        <v>80</v>
      </c>
      <c r="S435" s="385">
        <v>0.85</v>
      </c>
      <c r="T435" s="380">
        <v>34689.620000000003</v>
      </c>
      <c r="U435" s="380">
        <v>0</v>
      </c>
      <c r="V435" s="380">
        <v>17154.78</v>
      </c>
      <c r="W435" s="380">
        <v>38560.080000000002</v>
      </c>
      <c r="X435" s="380">
        <v>18241.080000000002</v>
      </c>
      <c r="Y435" s="380">
        <v>38560.080000000002</v>
      </c>
      <c r="Z435" s="380">
        <v>18079.13</v>
      </c>
      <c r="AA435" s="376" t="s">
        <v>1450</v>
      </c>
      <c r="AB435" s="376" t="s">
        <v>1451</v>
      </c>
      <c r="AC435" s="376" t="s">
        <v>1452</v>
      </c>
      <c r="AD435" s="376" t="s">
        <v>252</v>
      </c>
      <c r="AE435" s="376" t="s">
        <v>863</v>
      </c>
      <c r="AF435" s="376" t="s">
        <v>393</v>
      </c>
      <c r="AG435" s="376" t="s">
        <v>178</v>
      </c>
      <c r="AH435" s="381">
        <v>21.81</v>
      </c>
      <c r="AI435" s="381">
        <v>26769.1</v>
      </c>
      <c r="AJ435" s="376" t="s">
        <v>179</v>
      </c>
      <c r="AK435" s="376" t="s">
        <v>180</v>
      </c>
      <c r="AL435" s="376" t="s">
        <v>181</v>
      </c>
      <c r="AM435" s="376" t="s">
        <v>182</v>
      </c>
      <c r="AN435" s="376" t="s">
        <v>68</v>
      </c>
      <c r="AO435" s="379">
        <v>80</v>
      </c>
      <c r="AP435" s="385">
        <v>1</v>
      </c>
      <c r="AQ435" s="385">
        <v>0.85</v>
      </c>
      <c r="AR435" s="383" t="s">
        <v>183</v>
      </c>
      <c r="AS435" s="387">
        <f t="shared" si="291"/>
        <v>0.85</v>
      </c>
      <c r="AT435">
        <f t="shared" si="292"/>
        <v>1</v>
      </c>
      <c r="AU435" s="387">
        <f>IF(AT435=0,"",IF(AND(AT435=1,M435="F",SUMIF(C2:C1334,C435,AS2:AS1334)&lt;=1),SUMIF(C2:C1334,C435,AS2:AS1334),IF(AND(AT435=1,M435="F",SUMIF(C2:C1334,C435,AS2:AS1334)&gt;1),1,"")))</f>
        <v>1</v>
      </c>
      <c r="AV435" s="387" t="str">
        <f>IF(AT435=0,"",IF(AND(AT435=3,M435="F",SUMIF(C2:C1334,C435,AS2:AS1334)&lt;=1),SUMIF(C2:C1334,C435,AS2:AS1334),IF(AND(AT435=3,M435="F",SUMIF(C2:C1334,C435,AS2:AS1334)&gt;1),1,"")))</f>
        <v/>
      </c>
      <c r="AW435" s="387">
        <f>SUMIF(C2:C1334,C435,O2:O1334)</f>
        <v>3</v>
      </c>
      <c r="AX435" s="387">
        <f>IF(AND(M435="F",AS435&lt;&gt;0),SUMIF(C2:C1334,C435,W2:W1334),0)</f>
        <v>45364.800000000003</v>
      </c>
      <c r="AY435" s="387">
        <f t="shared" si="293"/>
        <v>38560.080000000002</v>
      </c>
      <c r="AZ435" s="387" t="str">
        <f t="shared" si="294"/>
        <v/>
      </c>
      <c r="BA435" s="387">
        <f t="shared" si="295"/>
        <v>0</v>
      </c>
      <c r="BB435" s="387">
        <f t="shared" si="264"/>
        <v>9902.5</v>
      </c>
      <c r="BC435" s="387">
        <f t="shared" si="265"/>
        <v>0</v>
      </c>
      <c r="BD435" s="387">
        <f t="shared" si="266"/>
        <v>2390.72496</v>
      </c>
      <c r="BE435" s="387">
        <f t="shared" si="267"/>
        <v>559.12116000000003</v>
      </c>
      <c r="BF435" s="387">
        <f t="shared" si="268"/>
        <v>4604.0735520000007</v>
      </c>
      <c r="BG435" s="387">
        <f t="shared" si="269"/>
        <v>278.01817680000005</v>
      </c>
      <c r="BH435" s="387">
        <f t="shared" si="270"/>
        <v>188.94439199999999</v>
      </c>
      <c r="BI435" s="387">
        <f t="shared" si="271"/>
        <v>213.4300428</v>
      </c>
      <c r="BJ435" s="387">
        <f t="shared" si="272"/>
        <v>104.112216</v>
      </c>
      <c r="BK435" s="387">
        <f t="shared" si="273"/>
        <v>0</v>
      </c>
      <c r="BL435" s="387">
        <f t="shared" si="296"/>
        <v>8338.4244996000016</v>
      </c>
      <c r="BM435" s="387">
        <f t="shared" si="297"/>
        <v>0</v>
      </c>
      <c r="BN435" s="387">
        <f t="shared" si="274"/>
        <v>9902.5</v>
      </c>
      <c r="BO435" s="387">
        <f t="shared" si="275"/>
        <v>0</v>
      </c>
      <c r="BP435" s="387">
        <f t="shared" si="276"/>
        <v>2390.72496</v>
      </c>
      <c r="BQ435" s="387">
        <f t="shared" si="277"/>
        <v>559.12116000000003</v>
      </c>
      <c r="BR435" s="387">
        <f t="shared" si="278"/>
        <v>4604.0735520000007</v>
      </c>
      <c r="BS435" s="387">
        <f t="shared" si="279"/>
        <v>278.01817680000005</v>
      </c>
      <c r="BT435" s="387">
        <f t="shared" si="280"/>
        <v>0</v>
      </c>
      <c r="BU435" s="387">
        <f t="shared" si="281"/>
        <v>213.4300428</v>
      </c>
      <c r="BV435" s="387">
        <f t="shared" si="282"/>
        <v>131.10427200000001</v>
      </c>
      <c r="BW435" s="387">
        <f t="shared" si="283"/>
        <v>0</v>
      </c>
      <c r="BX435" s="387">
        <f t="shared" si="298"/>
        <v>8176.4721636000004</v>
      </c>
      <c r="BY435" s="387">
        <f t="shared" si="299"/>
        <v>0</v>
      </c>
      <c r="BZ435" s="387">
        <f t="shared" si="300"/>
        <v>0</v>
      </c>
      <c r="CA435" s="387">
        <f t="shared" si="301"/>
        <v>0</v>
      </c>
      <c r="CB435" s="387">
        <f t="shared" si="302"/>
        <v>0</v>
      </c>
      <c r="CC435" s="387">
        <f t="shared" si="284"/>
        <v>0</v>
      </c>
      <c r="CD435" s="387">
        <f t="shared" si="285"/>
        <v>0</v>
      </c>
      <c r="CE435" s="387">
        <f t="shared" si="286"/>
        <v>0</v>
      </c>
      <c r="CF435" s="387">
        <f t="shared" si="287"/>
        <v>-188.94439199999999</v>
      </c>
      <c r="CG435" s="387">
        <f t="shared" si="288"/>
        <v>0</v>
      </c>
      <c r="CH435" s="387">
        <f t="shared" si="289"/>
        <v>26.992055999999987</v>
      </c>
      <c r="CI435" s="387">
        <f t="shared" si="290"/>
        <v>0</v>
      </c>
      <c r="CJ435" s="387">
        <f t="shared" si="303"/>
        <v>-161.952336</v>
      </c>
      <c r="CK435" s="387" t="str">
        <f t="shared" si="304"/>
        <v/>
      </c>
      <c r="CL435" s="387" t="str">
        <f t="shared" si="305"/>
        <v/>
      </c>
      <c r="CM435" s="387" t="str">
        <f t="shared" si="306"/>
        <v/>
      </c>
      <c r="CN435" s="387" t="str">
        <f t="shared" si="307"/>
        <v>0348-31</v>
      </c>
    </row>
    <row r="436" spans="1:92" ht="15.75" thickBot="1" x14ac:dyDescent="0.3">
      <c r="A436" s="376" t="s">
        <v>161</v>
      </c>
      <c r="B436" s="376" t="s">
        <v>162</v>
      </c>
      <c r="C436" s="376" t="s">
        <v>381</v>
      </c>
      <c r="D436" s="376" t="s">
        <v>368</v>
      </c>
      <c r="E436" s="376" t="s">
        <v>224</v>
      </c>
      <c r="F436" s="382" t="s">
        <v>225</v>
      </c>
      <c r="G436" s="376" t="s">
        <v>781</v>
      </c>
      <c r="H436" s="378"/>
      <c r="I436" s="378"/>
      <c r="J436" s="376" t="s">
        <v>239</v>
      </c>
      <c r="K436" s="376" t="s">
        <v>382</v>
      </c>
      <c r="L436" s="376" t="s">
        <v>296</v>
      </c>
      <c r="M436" s="376" t="s">
        <v>171</v>
      </c>
      <c r="N436" s="376" t="s">
        <v>172</v>
      </c>
      <c r="O436" s="379">
        <v>1</v>
      </c>
      <c r="P436" s="385">
        <v>0</v>
      </c>
      <c r="Q436" s="385">
        <v>0</v>
      </c>
      <c r="R436" s="380">
        <v>80</v>
      </c>
      <c r="S436" s="385">
        <v>0</v>
      </c>
      <c r="T436" s="380">
        <v>45091.45</v>
      </c>
      <c r="U436" s="380">
        <v>0</v>
      </c>
      <c r="V436" s="380">
        <v>18506.79</v>
      </c>
      <c r="W436" s="380">
        <v>0</v>
      </c>
      <c r="X436" s="380">
        <v>0</v>
      </c>
      <c r="Y436" s="380">
        <v>0</v>
      </c>
      <c r="Z436" s="380">
        <v>0</v>
      </c>
      <c r="AA436" s="376" t="s">
        <v>383</v>
      </c>
      <c r="AB436" s="376" t="s">
        <v>384</v>
      </c>
      <c r="AC436" s="376" t="s">
        <v>385</v>
      </c>
      <c r="AD436" s="376" t="s">
        <v>386</v>
      </c>
      <c r="AE436" s="376" t="s">
        <v>382</v>
      </c>
      <c r="AF436" s="376" t="s">
        <v>301</v>
      </c>
      <c r="AG436" s="376" t="s">
        <v>178</v>
      </c>
      <c r="AH436" s="381">
        <v>28.44</v>
      </c>
      <c r="AI436" s="379">
        <v>8925</v>
      </c>
      <c r="AJ436" s="376" t="s">
        <v>179</v>
      </c>
      <c r="AK436" s="376" t="s">
        <v>180</v>
      </c>
      <c r="AL436" s="376" t="s">
        <v>181</v>
      </c>
      <c r="AM436" s="376" t="s">
        <v>182</v>
      </c>
      <c r="AN436" s="376" t="s">
        <v>68</v>
      </c>
      <c r="AO436" s="379">
        <v>80</v>
      </c>
      <c r="AP436" s="385">
        <v>1</v>
      </c>
      <c r="AQ436" s="385">
        <v>0</v>
      </c>
      <c r="AR436" s="383" t="s">
        <v>183</v>
      </c>
      <c r="AS436" s="387">
        <f t="shared" si="291"/>
        <v>0</v>
      </c>
      <c r="AT436">
        <f t="shared" si="292"/>
        <v>0</v>
      </c>
      <c r="AU436" s="387" t="str">
        <f>IF(AT436=0,"",IF(AND(AT436=1,M436="F",SUMIF(C2:C1334,C436,AS2:AS1334)&lt;=1),SUMIF(C2:C1334,C436,AS2:AS1334),IF(AND(AT436=1,M436="F",SUMIF(C2:C1334,C436,AS2:AS1334)&gt;1),1,"")))</f>
        <v/>
      </c>
      <c r="AV436" s="387" t="str">
        <f>IF(AT436=0,"",IF(AND(AT436=3,M436="F",SUMIF(C2:C1334,C436,AS2:AS1334)&lt;=1),SUMIF(C2:C1334,C436,AS2:AS1334),IF(AND(AT436=3,M436="F",SUMIF(C2:C1334,C436,AS2:AS1334)&gt;1),1,"")))</f>
        <v/>
      </c>
      <c r="AW436" s="387">
        <f>SUMIF(C2:C1334,C436,O2:O1334)</f>
        <v>6</v>
      </c>
      <c r="AX436" s="387">
        <f>IF(AND(M436="F",AS436&lt;&gt;0),SUMIF(C2:C1334,C436,W2:W1334),0)</f>
        <v>0</v>
      </c>
      <c r="AY436" s="387" t="str">
        <f t="shared" si="293"/>
        <v/>
      </c>
      <c r="AZ436" s="387" t="str">
        <f t="shared" si="294"/>
        <v/>
      </c>
      <c r="BA436" s="387">
        <f t="shared" si="295"/>
        <v>0</v>
      </c>
      <c r="BB436" s="387">
        <f t="shared" si="264"/>
        <v>0</v>
      </c>
      <c r="BC436" s="387">
        <f t="shared" si="265"/>
        <v>0</v>
      </c>
      <c r="BD436" s="387">
        <f t="shared" si="266"/>
        <v>0</v>
      </c>
      <c r="BE436" s="387">
        <f t="shared" si="267"/>
        <v>0</v>
      </c>
      <c r="BF436" s="387">
        <f t="shared" si="268"/>
        <v>0</v>
      </c>
      <c r="BG436" s="387">
        <f t="shared" si="269"/>
        <v>0</v>
      </c>
      <c r="BH436" s="387">
        <f t="shared" si="270"/>
        <v>0</v>
      </c>
      <c r="BI436" s="387">
        <f t="shared" si="271"/>
        <v>0</v>
      </c>
      <c r="BJ436" s="387">
        <f t="shared" si="272"/>
        <v>0</v>
      </c>
      <c r="BK436" s="387">
        <f t="shared" si="273"/>
        <v>0</v>
      </c>
      <c r="BL436" s="387">
        <f t="shared" si="296"/>
        <v>0</v>
      </c>
      <c r="BM436" s="387">
        <f t="shared" si="297"/>
        <v>0</v>
      </c>
      <c r="BN436" s="387">
        <f t="shared" si="274"/>
        <v>0</v>
      </c>
      <c r="BO436" s="387">
        <f t="shared" si="275"/>
        <v>0</v>
      </c>
      <c r="BP436" s="387">
        <f t="shared" si="276"/>
        <v>0</v>
      </c>
      <c r="BQ436" s="387">
        <f t="shared" si="277"/>
        <v>0</v>
      </c>
      <c r="BR436" s="387">
        <f t="shared" si="278"/>
        <v>0</v>
      </c>
      <c r="BS436" s="387">
        <f t="shared" si="279"/>
        <v>0</v>
      </c>
      <c r="BT436" s="387">
        <f t="shared" si="280"/>
        <v>0</v>
      </c>
      <c r="BU436" s="387">
        <f t="shared" si="281"/>
        <v>0</v>
      </c>
      <c r="BV436" s="387">
        <f t="shared" si="282"/>
        <v>0</v>
      </c>
      <c r="BW436" s="387">
        <f t="shared" si="283"/>
        <v>0</v>
      </c>
      <c r="BX436" s="387">
        <f t="shared" si="298"/>
        <v>0</v>
      </c>
      <c r="BY436" s="387">
        <f t="shared" si="299"/>
        <v>0</v>
      </c>
      <c r="BZ436" s="387">
        <f t="shared" si="300"/>
        <v>0</v>
      </c>
      <c r="CA436" s="387">
        <f t="shared" si="301"/>
        <v>0</v>
      </c>
      <c r="CB436" s="387">
        <f t="shared" si="302"/>
        <v>0</v>
      </c>
      <c r="CC436" s="387">
        <f t="shared" si="284"/>
        <v>0</v>
      </c>
      <c r="CD436" s="387">
        <f t="shared" si="285"/>
        <v>0</v>
      </c>
      <c r="CE436" s="387">
        <f t="shared" si="286"/>
        <v>0</v>
      </c>
      <c r="CF436" s="387">
        <f t="shared" si="287"/>
        <v>0</v>
      </c>
      <c r="CG436" s="387">
        <f t="shared" si="288"/>
        <v>0</v>
      </c>
      <c r="CH436" s="387">
        <f t="shared" si="289"/>
        <v>0</v>
      </c>
      <c r="CI436" s="387">
        <f t="shared" si="290"/>
        <v>0</v>
      </c>
      <c r="CJ436" s="387">
        <f t="shared" si="303"/>
        <v>0</v>
      </c>
      <c r="CK436" s="387" t="str">
        <f t="shared" si="304"/>
        <v/>
      </c>
      <c r="CL436" s="387" t="str">
        <f t="shared" si="305"/>
        <v/>
      </c>
      <c r="CM436" s="387" t="str">
        <f t="shared" si="306"/>
        <v/>
      </c>
      <c r="CN436" s="387" t="str">
        <f t="shared" si="307"/>
        <v>0348-31</v>
      </c>
    </row>
    <row r="437" spans="1:92" ht="15.75" thickBot="1" x14ac:dyDescent="0.3">
      <c r="A437" s="376" t="s">
        <v>161</v>
      </c>
      <c r="B437" s="376" t="s">
        <v>162</v>
      </c>
      <c r="C437" s="376" t="s">
        <v>857</v>
      </c>
      <c r="D437" s="376" t="s">
        <v>786</v>
      </c>
      <c r="E437" s="376" t="s">
        <v>224</v>
      </c>
      <c r="F437" s="382" t="s">
        <v>225</v>
      </c>
      <c r="G437" s="376" t="s">
        <v>781</v>
      </c>
      <c r="H437" s="378"/>
      <c r="I437" s="378"/>
      <c r="J437" s="376" t="s">
        <v>168</v>
      </c>
      <c r="K437" s="376" t="s">
        <v>787</v>
      </c>
      <c r="L437" s="376" t="s">
        <v>181</v>
      </c>
      <c r="M437" s="376" t="s">
        <v>171</v>
      </c>
      <c r="N437" s="376" t="s">
        <v>172</v>
      </c>
      <c r="O437" s="379">
        <v>1</v>
      </c>
      <c r="P437" s="385">
        <v>0.8</v>
      </c>
      <c r="Q437" s="385">
        <v>0.8</v>
      </c>
      <c r="R437" s="380">
        <v>80</v>
      </c>
      <c r="S437" s="385">
        <v>0.8</v>
      </c>
      <c r="T437" s="380">
        <v>63916.62</v>
      </c>
      <c r="U437" s="380">
        <v>0</v>
      </c>
      <c r="V437" s="380">
        <v>23628.27</v>
      </c>
      <c r="W437" s="380">
        <v>48688.639999999999</v>
      </c>
      <c r="X437" s="380">
        <v>19848.88</v>
      </c>
      <c r="Y437" s="380">
        <v>48688.639999999999</v>
      </c>
      <c r="Z437" s="380">
        <v>19644.38</v>
      </c>
      <c r="AA437" s="376" t="s">
        <v>858</v>
      </c>
      <c r="AB437" s="376" t="s">
        <v>859</v>
      </c>
      <c r="AC437" s="376" t="s">
        <v>860</v>
      </c>
      <c r="AD437" s="376" t="s">
        <v>300</v>
      </c>
      <c r="AE437" s="376" t="s">
        <v>787</v>
      </c>
      <c r="AF437" s="376" t="s">
        <v>211</v>
      </c>
      <c r="AG437" s="376" t="s">
        <v>178</v>
      </c>
      <c r="AH437" s="381">
        <v>29.26</v>
      </c>
      <c r="AI437" s="381">
        <v>7042.3</v>
      </c>
      <c r="AJ437" s="376" t="s">
        <v>179</v>
      </c>
      <c r="AK437" s="376" t="s">
        <v>180</v>
      </c>
      <c r="AL437" s="376" t="s">
        <v>181</v>
      </c>
      <c r="AM437" s="376" t="s">
        <v>182</v>
      </c>
      <c r="AN437" s="376" t="s">
        <v>68</v>
      </c>
      <c r="AO437" s="379">
        <v>80</v>
      </c>
      <c r="AP437" s="385">
        <v>1</v>
      </c>
      <c r="AQ437" s="385">
        <v>0.8</v>
      </c>
      <c r="AR437" s="383" t="s">
        <v>183</v>
      </c>
      <c r="AS437" s="387">
        <f t="shared" si="291"/>
        <v>0.8</v>
      </c>
      <c r="AT437">
        <f t="shared" si="292"/>
        <v>1</v>
      </c>
      <c r="AU437" s="387">
        <f>IF(AT437=0,"",IF(AND(AT437=1,M437="F",SUMIF(C2:C1334,C437,AS2:AS1334)&lt;=1),SUMIF(C2:C1334,C437,AS2:AS1334),IF(AND(AT437=1,M437="F",SUMIF(C2:C1334,C437,AS2:AS1334)&gt;1),1,"")))</f>
        <v>1</v>
      </c>
      <c r="AV437" s="387" t="str">
        <f>IF(AT437=0,"",IF(AND(AT437=3,M437="F",SUMIF(C2:C1334,C437,AS2:AS1334)&lt;=1),SUMIF(C2:C1334,C437,AS2:AS1334),IF(AND(AT437=3,M437="F",SUMIF(C2:C1334,C437,AS2:AS1334)&gt;1),1,"")))</f>
        <v/>
      </c>
      <c r="AW437" s="387">
        <f>SUMIF(C2:C1334,C437,O2:O1334)</f>
        <v>4</v>
      </c>
      <c r="AX437" s="387">
        <f>IF(AND(M437="F",AS437&lt;&gt;0),SUMIF(C2:C1334,C437,W2:W1334),0)</f>
        <v>60860.800000000003</v>
      </c>
      <c r="AY437" s="387">
        <f t="shared" si="293"/>
        <v>48688.639999999999</v>
      </c>
      <c r="AZ437" s="387" t="str">
        <f t="shared" si="294"/>
        <v/>
      </c>
      <c r="BA437" s="387">
        <f t="shared" si="295"/>
        <v>0</v>
      </c>
      <c r="BB437" s="387">
        <f t="shared" si="264"/>
        <v>9320</v>
      </c>
      <c r="BC437" s="387">
        <f t="shared" si="265"/>
        <v>0</v>
      </c>
      <c r="BD437" s="387">
        <f t="shared" si="266"/>
        <v>3018.6956799999998</v>
      </c>
      <c r="BE437" s="387">
        <f t="shared" si="267"/>
        <v>705.98527999999999</v>
      </c>
      <c r="BF437" s="387">
        <f t="shared" si="268"/>
        <v>5813.423616</v>
      </c>
      <c r="BG437" s="387">
        <f t="shared" si="269"/>
        <v>351.04509439999998</v>
      </c>
      <c r="BH437" s="387">
        <f t="shared" si="270"/>
        <v>238.57433599999999</v>
      </c>
      <c r="BI437" s="387">
        <f t="shared" si="271"/>
        <v>269.49162239999998</v>
      </c>
      <c r="BJ437" s="387">
        <f t="shared" si="272"/>
        <v>131.459328</v>
      </c>
      <c r="BK437" s="387">
        <f t="shared" si="273"/>
        <v>0</v>
      </c>
      <c r="BL437" s="387">
        <f t="shared" si="296"/>
        <v>10528.674956800001</v>
      </c>
      <c r="BM437" s="387">
        <f t="shared" si="297"/>
        <v>0</v>
      </c>
      <c r="BN437" s="387">
        <f t="shared" si="274"/>
        <v>9320</v>
      </c>
      <c r="BO437" s="387">
        <f t="shared" si="275"/>
        <v>0</v>
      </c>
      <c r="BP437" s="387">
        <f t="shared" si="276"/>
        <v>3018.6956799999998</v>
      </c>
      <c r="BQ437" s="387">
        <f t="shared" si="277"/>
        <v>705.98527999999999</v>
      </c>
      <c r="BR437" s="387">
        <f t="shared" si="278"/>
        <v>5813.423616</v>
      </c>
      <c r="BS437" s="387">
        <f t="shared" si="279"/>
        <v>351.04509439999998</v>
      </c>
      <c r="BT437" s="387">
        <f t="shared" si="280"/>
        <v>0</v>
      </c>
      <c r="BU437" s="387">
        <f t="shared" si="281"/>
        <v>269.49162239999998</v>
      </c>
      <c r="BV437" s="387">
        <f t="shared" si="282"/>
        <v>165.54137599999999</v>
      </c>
      <c r="BW437" s="387">
        <f t="shared" si="283"/>
        <v>0</v>
      </c>
      <c r="BX437" s="387">
        <f t="shared" si="298"/>
        <v>10324.1826688</v>
      </c>
      <c r="BY437" s="387">
        <f t="shared" si="299"/>
        <v>0</v>
      </c>
      <c r="BZ437" s="387">
        <f t="shared" si="300"/>
        <v>0</v>
      </c>
      <c r="CA437" s="387">
        <f t="shared" si="301"/>
        <v>0</v>
      </c>
      <c r="CB437" s="387">
        <f t="shared" si="302"/>
        <v>0</v>
      </c>
      <c r="CC437" s="387">
        <f t="shared" si="284"/>
        <v>0</v>
      </c>
      <c r="CD437" s="387">
        <f t="shared" si="285"/>
        <v>0</v>
      </c>
      <c r="CE437" s="387">
        <f t="shared" si="286"/>
        <v>0</v>
      </c>
      <c r="CF437" s="387">
        <f t="shared" si="287"/>
        <v>-238.57433599999999</v>
      </c>
      <c r="CG437" s="387">
        <f t="shared" si="288"/>
        <v>0</v>
      </c>
      <c r="CH437" s="387">
        <f t="shared" si="289"/>
        <v>34.082047999999986</v>
      </c>
      <c r="CI437" s="387">
        <f t="shared" si="290"/>
        <v>0</v>
      </c>
      <c r="CJ437" s="387">
        <f t="shared" si="303"/>
        <v>-204.492288</v>
      </c>
      <c r="CK437" s="387" t="str">
        <f t="shared" si="304"/>
        <v/>
      </c>
      <c r="CL437" s="387" t="str">
        <f t="shared" si="305"/>
        <v/>
      </c>
      <c r="CM437" s="387" t="str">
        <f t="shared" si="306"/>
        <v/>
      </c>
      <c r="CN437" s="387" t="str">
        <f t="shared" si="307"/>
        <v>0348-31</v>
      </c>
    </row>
    <row r="438" spans="1:92" ht="15.75" thickBot="1" x14ac:dyDescent="0.3">
      <c r="A438" s="376" t="s">
        <v>161</v>
      </c>
      <c r="B438" s="376" t="s">
        <v>162</v>
      </c>
      <c r="C438" s="376" t="s">
        <v>1453</v>
      </c>
      <c r="D438" s="376" t="s">
        <v>862</v>
      </c>
      <c r="E438" s="376" t="s">
        <v>224</v>
      </c>
      <c r="F438" s="382" t="s">
        <v>225</v>
      </c>
      <c r="G438" s="376" t="s">
        <v>781</v>
      </c>
      <c r="H438" s="378"/>
      <c r="I438" s="378"/>
      <c r="J438" s="376" t="s">
        <v>239</v>
      </c>
      <c r="K438" s="376" t="s">
        <v>863</v>
      </c>
      <c r="L438" s="376" t="s">
        <v>252</v>
      </c>
      <c r="M438" s="376" t="s">
        <v>171</v>
      </c>
      <c r="N438" s="376" t="s">
        <v>172</v>
      </c>
      <c r="O438" s="379">
        <v>1</v>
      </c>
      <c r="P438" s="385">
        <v>1</v>
      </c>
      <c r="Q438" s="385">
        <v>1</v>
      </c>
      <c r="R438" s="380">
        <v>80</v>
      </c>
      <c r="S438" s="385">
        <v>1</v>
      </c>
      <c r="T438" s="380">
        <v>41812.04</v>
      </c>
      <c r="U438" s="380">
        <v>0</v>
      </c>
      <c r="V438" s="380">
        <v>20305.87</v>
      </c>
      <c r="W438" s="380">
        <v>48131.199999999997</v>
      </c>
      <c r="X438" s="380">
        <v>22058.33</v>
      </c>
      <c r="Y438" s="380">
        <v>48131.199999999997</v>
      </c>
      <c r="Z438" s="380">
        <v>21856.18</v>
      </c>
      <c r="AA438" s="376" t="s">
        <v>1454</v>
      </c>
      <c r="AB438" s="376" t="s">
        <v>1455</v>
      </c>
      <c r="AC438" s="376" t="s">
        <v>1456</v>
      </c>
      <c r="AD438" s="376" t="s">
        <v>583</v>
      </c>
      <c r="AE438" s="376" t="s">
        <v>863</v>
      </c>
      <c r="AF438" s="376" t="s">
        <v>393</v>
      </c>
      <c r="AG438" s="376" t="s">
        <v>178</v>
      </c>
      <c r="AH438" s="381">
        <v>23.14</v>
      </c>
      <c r="AI438" s="381">
        <v>31636.2</v>
      </c>
      <c r="AJ438" s="376" t="s">
        <v>179</v>
      </c>
      <c r="AK438" s="376" t="s">
        <v>180</v>
      </c>
      <c r="AL438" s="376" t="s">
        <v>181</v>
      </c>
      <c r="AM438" s="376" t="s">
        <v>182</v>
      </c>
      <c r="AN438" s="376" t="s">
        <v>68</v>
      </c>
      <c r="AO438" s="379">
        <v>80</v>
      </c>
      <c r="AP438" s="385">
        <v>1</v>
      </c>
      <c r="AQ438" s="385">
        <v>1</v>
      </c>
      <c r="AR438" s="383" t="s">
        <v>183</v>
      </c>
      <c r="AS438" s="387">
        <f t="shared" si="291"/>
        <v>1</v>
      </c>
      <c r="AT438">
        <f t="shared" si="292"/>
        <v>1</v>
      </c>
      <c r="AU438" s="387">
        <f>IF(AT438=0,"",IF(AND(AT438=1,M438="F",SUMIF(C2:C1334,C438,AS2:AS1334)&lt;=1),SUMIF(C2:C1334,C438,AS2:AS1334),IF(AND(AT438=1,M438="F",SUMIF(C2:C1334,C438,AS2:AS1334)&gt;1),1,"")))</f>
        <v>1</v>
      </c>
      <c r="AV438" s="387" t="str">
        <f>IF(AT438=0,"",IF(AND(AT438=3,M438="F",SUMIF(C2:C1334,C438,AS2:AS1334)&lt;=1),SUMIF(C2:C1334,C438,AS2:AS1334),IF(AND(AT438=3,M438="F",SUMIF(C2:C1334,C438,AS2:AS1334)&gt;1),1,"")))</f>
        <v/>
      </c>
      <c r="AW438" s="387">
        <f>SUMIF(C2:C1334,C438,O2:O1334)</f>
        <v>2</v>
      </c>
      <c r="AX438" s="387">
        <f>IF(AND(M438="F",AS438&lt;&gt;0),SUMIF(C2:C1334,C438,W2:W1334),0)</f>
        <v>48131.199999999997</v>
      </c>
      <c r="AY438" s="387">
        <f t="shared" si="293"/>
        <v>48131.199999999997</v>
      </c>
      <c r="AZ438" s="387" t="str">
        <f t="shared" si="294"/>
        <v/>
      </c>
      <c r="BA438" s="387">
        <f t="shared" si="295"/>
        <v>0</v>
      </c>
      <c r="BB438" s="387">
        <f t="shared" si="264"/>
        <v>11650</v>
      </c>
      <c r="BC438" s="387">
        <f t="shared" si="265"/>
        <v>0</v>
      </c>
      <c r="BD438" s="387">
        <f t="shared" si="266"/>
        <v>2984.1343999999999</v>
      </c>
      <c r="BE438" s="387">
        <f t="shared" si="267"/>
        <v>697.90239999999994</v>
      </c>
      <c r="BF438" s="387">
        <f t="shared" si="268"/>
        <v>5746.86528</v>
      </c>
      <c r="BG438" s="387">
        <f t="shared" si="269"/>
        <v>347.02595200000002</v>
      </c>
      <c r="BH438" s="387">
        <f t="shared" si="270"/>
        <v>235.84287999999998</v>
      </c>
      <c r="BI438" s="387">
        <f t="shared" si="271"/>
        <v>266.40619199999998</v>
      </c>
      <c r="BJ438" s="387">
        <f t="shared" si="272"/>
        <v>129.95424</v>
      </c>
      <c r="BK438" s="387">
        <f t="shared" si="273"/>
        <v>0</v>
      </c>
      <c r="BL438" s="387">
        <f t="shared" si="296"/>
        <v>10408.131343999999</v>
      </c>
      <c r="BM438" s="387">
        <f t="shared" si="297"/>
        <v>0</v>
      </c>
      <c r="BN438" s="387">
        <f t="shared" si="274"/>
        <v>11650</v>
      </c>
      <c r="BO438" s="387">
        <f t="shared" si="275"/>
        <v>0</v>
      </c>
      <c r="BP438" s="387">
        <f t="shared" si="276"/>
        <v>2984.1343999999999</v>
      </c>
      <c r="BQ438" s="387">
        <f t="shared" si="277"/>
        <v>697.90239999999994</v>
      </c>
      <c r="BR438" s="387">
        <f t="shared" si="278"/>
        <v>5746.86528</v>
      </c>
      <c r="BS438" s="387">
        <f t="shared" si="279"/>
        <v>347.02595200000002</v>
      </c>
      <c r="BT438" s="387">
        <f t="shared" si="280"/>
        <v>0</v>
      </c>
      <c r="BU438" s="387">
        <f t="shared" si="281"/>
        <v>266.40619199999998</v>
      </c>
      <c r="BV438" s="387">
        <f t="shared" si="282"/>
        <v>163.64607999999998</v>
      </c>
      <c r="BW438" s="387">
        <f t="shared" si="283"/>
        <v>0</v>
      </c>
      <c r="BX438" s="387">
        <f t="shared" si="298"/>
        <v>10205.980304000001</v>
      </c>
      <c r="BY438" s="387">
        <f t="shared" si="299"/>
        <v>0</v>
      </c>
      <c r="BZ438" s="387">
        <f t="shared" si="300"/>
        <v>0</v>
      </c>
      <c r="CA438" s="387">
        <f t="shared" si="301"/>
        <v>0</v>
      </c>
      <c r="CB438" s="387">
        <f t="shared" si="302"/>
        <v>0</v>
      </c>
      <c r="CC438" s="387">
        <f t="shared" si="284"/>
        <v>0</v>
      </c>
      <c r="CD438" s="387">
        <f t="shared" si="285"/>
        <v>0</v>
      </c>
      <c r="CE438" s="387">
        <f t="shared" si="286"/>
        <v>0</v>
      </c>
      <c r="CF438" s="387">
        <f t="shared" si="287"/>
        <v>-235.84287999999998</v>
      </c>
      <c r="CG438" s="387">
        <f t="shared" si="288"/>
        <v>0</v>
      </c>
      <c r="CH438" s="387">
        <f t="shared" si="289"/>
        <v>33.691839999999985</v>
      </c>
      <c r="CI438" s="387">
        <f t="shared" si="290"/>
        <v>0</v>
      </c>
      <c r="CJ438" s="387">
        <f t="shared" si="303"/>
        <v>-202.15103999999999</v>
      </c>
      <c r="CK438" s="387" t="str">
        <f t="shared" si="304"/>
        <v/>
      </c>
      <c r="CL438" s="387" t="str">
        <f t="shared" si="305"/>
        <v/>
      </c>
      <c r="CM438" s="387" t="str">
        <f t="shared" si="306"/>
        <v/>
      </c>
      <c r="CN438" s="387" t="str">
        <f t="shared" si="307"/>
        <v>0348-31</v>
      </c>
    </row>
    <row r="439" spans="1:92" ht="15.75" thickBot="1" x14ac:dyDescent="0.3">
      <c r="A439" s="376" t="s">
        <v>161</v>
      </c>
      <c r="B439" s="376" t="s">
        <v>162</v>
      </c>
      <c r="C439" s="376" t="s">
        <v>1457</v>
      </c>
      <c r="D439" s="376" t="s">
        <v>862</v>
      </c>
      <c r="E439" s="376" t="s">
        <v>224</v>
      </c>
      <c r="F439" s="382" t="s">
        <v>225</v>
      </c>
      <c r="G439" s="376" t="s">
        <v>781</v>
      </c>
      <c r="H439" s="378"/>
      <c r="I439" s="378"/>
      <c r="J439" s="376" t="s">
        <v>215</v>
      </c>
      <c r="K439" s="376" t="s">
        <v>863</v>
      </c>
      <c r="L439" s="376" t="s">
        <v>252</v>
      </c>
      <c r="M439" s="376" t="s">
        <v>272</v>
      </c>
      <c r="N439" s="376" t="s">
        <v>172</v>
      </c>
      <c r="O439" s="379">
        <v>0</v>
      </c>
      <c r="P439" s="385">
        <v>0</v>
      </c>
      <c r="Q439" s="385">
        <v>0</v>
      </c>
      <c r="R439" s="380">
        <v>80</v>
      </c>
      <c r="S439" s="385">
        <v>0</v>
      </c>
      <c r="T439" s="380">
        <v>225.18</v>
      </c>
      <c r="U439" s="380">
        <v>0</v>
      </c>
      <c r="V439" s="380">
        <v>119.49</v>
      </c>
      <c r="W439" s="380">
        <v>0</v>
      </c>
      <c r="X439" s="380">
        <v>0</v>
      </c>
      <c r="Y439" s="380">
        <v>0</v>
      </c>
      <c r="Z439" s="380">
        <v>0</v>
      </c>
      <c r="AA439" s="378"/>
      <c r="AB439" s="376" t="s">
        <v>45</v>
      </c>
      <c r="AC439" s="376" t="s">
        <v>45</v>
      </c>
      <c r="AD439" s="378"/>
      <c r="AE439" s="378"/>
      <c r="AF439" s="378"/>
      <c r="AG439" s="378"/>
      <c r="AH439" s="379">
        <v>0</v>
      </c>
      <c r="AI439" s="379">
        <v>0</v>
      </c>
      <c r="AJ439" s="378"/>
      <c r="AK439" s="378"/>
      <c r="AL439" s="376" t="s">
        <v>181</v>
      </c>
      <c r="AM439" s="378"/>
      <c r="AN439" s="378"/>
      <c r="AO439" s="379">
        <v>0</v>
      </c>
      <c r="AP439" s="385">
        <v>0</v>
      </c>
      <c r="AQ439" s="385">
        <v>0</v>
      </c>
      <c r="AR439" s="384"/>
      <c r="AS439" s="387">
        <f t="shared" si="291"/>
        <v>0</v>
      </c>
      <c r="AT439">
        <f t="shared" si="292"/>
        <v>0</v>
      </c>
      <c r="AU439" s="387" t="str">
        <f>IF(AT439=0,"",IF(AND(AT439=1,M439="F",SUMIF(C2:C1334,C439,AS2:AS1334)&lt;=1),SUMIF(C2:C1334,C439,AS2:AS1334),IF(AND(AT439=1,M439="F",SUMIF(C2:C1334,C439,AS2:AS1334)&gt;1),1,"")))</f>
        <v/>
      </c>
      <c r="AV439" s="387" t="str">
        <f>IF(AT439=0,"",IF(AND(AT439=3,M439="F",SUMIF(C2:C1334,C439,AS2:AS1334)&lt;=1),SUMIF(C2:C1334,C439,AS2:AS1334),IF(AND(AT439=3,M439="F",SUMIF(C2:C1334,C439,AS2:AS1334)&gt;1),1,"")))</f>
        <v/>
      </c>
      <c r="AW439" s="387">
        <f>SUMIF(C2:C1334,C439,O2:O1334)</f>
        <v>0</v>
      </c>
      <c r="AX439" s="387">
        <f>IF(AND(M439="F",AS439&lt;&gt;0),SUMIF(C2:C1334,C439,W2:W1334),0)</f>
        <v>0</v>
      </c>
      <c r="AY439" s="387" t="str">
        <f t="shared" si="293"/>
        <v/>
      </c>
      <c r="AZ439" s="387" t="str">
        <f t="shared" si="294"/>
        <v/>
      </c>
      <c r="BA439" s="387">
        <f t="shared" si="295"/>
        <v>0</v>
      </c>
      <c r="BB439" s="387">
        <f t="shared" si="264"/>
        <v>0</v>
      </c>
      <c r="BC439" s="387">
        <f t="shared" si="265"/>
        <v>0</v>
      </c>
      <c r="BD439" s="387">
        <f t="shared" si="266"/>
        <v>0</v>
      </c>
      <c r="BE439" s="387">
        <f t="shared" si="267"/>
        <v>0</v>
      </c>
      <c r="BF439" s="387">
        <f t="shared" si="268"/>
        <v>0</v>
      </c>
      <c r="BG439" s="387">
        <f t="shared" si="269"/>
        <v>0</v>
      </c>
      <c r="BH439" s="387">
        <f t="shared" si="270"/>
        <v>0</v>
      </c>
      <c r="BI439" s="387">
        <f t="shared" si="271"/>
        <v>0</v>
      </c>
      <c r="BJ439" s="387">
        <f t="shared" si="272"/>
        <v>0</v>
      </c>
      <c r="BK439" s="387">
        <f t="shared" si="273"/>
        <v>0</v>
      </c>
      <c r="BL439" s="387">
        <f t="shared" si="296"/>
        <v>0</v>
      </c>
      <c r="BM439" s="387">
        <f t="shared" si="297"/>
        <v>0</v>
      </c>
      <c r="BN439" s="387">
        <f t="shared" si="274"/>
        <v>0</v>
      </c>
      <c r="BO439" s="387">
        <f t="shared" si="275"/>
        <v>0</v>
      </c>
      <c r="BP439" s="387">
        <f t="shared" si="276"/>
        <v>0</v>
      </c>
      <c r="BQ439" s="387">
        <f t="shared" si="277"/>
        <v>0</v>
      </c>
      <c r="BR439" s="387">
        <f t="shared" si="278"/>
        <v>0</v>
      </c>
      <c r="BS439" s="387">
        <f t="shared" si="279"/>
        <v>0</v>
      </c>
      <c r="BT439" s="387">
        <f t="shared" si="280"/>
        <v>0</v>
      </c>
      <c r="BU439" s="387">
        <f t="shared" si="281"/>
        <v>0</v>
      </c>
      <c r="BV439" s="387">
        <f t="shared" si="282"/>
        <v>0</v>
      </c>
      <c r="BW439" s="387">
        <f t="shared" si="283"/>
        <v>0</v>
      </c>
      <c r="BX439" s="387">
        <f t="shared" si="298"/>
        <v>0</v>
      </c>
      <c r="BY439" s="387">
        <f t="shared" si="299"/>
        <v>0</v>
      </c>
      <c r="BZ439" s="387">
        <f t="shared" si="300"/>
        <v>0</v>
      </c>
      <c r="CA439" s="387">
        <f t="shared" si="301"/>
        <v>0</v>
      </c>
      <c r="CB439" s="387">
        <f t="shared" si="302"/>
        <v>0</v>
      </c>
      <c r="CC439" s="387">
        <f t="shared" si="284"/>
        <v>0</v>
      </c>
      <c r="CD439" s="387">
        <f t="shared" si="285"/>
        <v>0</v>
      </c>
      <c r="CE439" s="387">
        <f t="shared" si="286"/>
        <v>0</v>
      </c>
      <c r="CF439" s="387">
        <f t="shared" si="287"/>
        <v>0</v>
      </c>
      <c r="CG439" s="387">
        <f t="shared" si="288"/>
        <v>0</v>
      </c>
      <c r="CH439" s="387">
        <f t="shared" si="289"/>
        <v>0</v>
      </c>
      <c r="CI439" s="387">
        <f t="shared" si="290"/>
        <v>0</v>
      </c>
      <c r="CJ439" s="387">
        <f t="shared" si="303"/>
        <v>0</v>
      </c>
      <c r="CK439" s="387" t="str">
        <f t="shared" si="304"/>
        <v/>
      </c>
      <c r="CL439" s="387" t="str">
        <f t="shared" si="305"/>
        <v/>
      </c>
      <c r="CM439" s="387" t="str">
        <f t="shared" si="306"/>
        <v/>
      </c>
      <c r="CN439" s="387" t="str">
        <f t="shared" si="307"/>
        <v>0348-31</v>
      </c>
    </row>
    <row r="440" spans="1:92" ht="15.75" thickBot="1" x14ac:dyDescent="0.3">
      <c r="A440" s="376" t="s">
        <v>161</v>
      </c>
      <c r="B440" s="376" t="s">
        <v>162</v>
      </c>
      <c r="C440" s="376" t="s">
        <v>1458</v>
      </c>
      <c r="D440" s="376" t="s">
        <v>862</v>
      </c>
      <c r="E440" s="376" t="s">
        <v>224</v>
      </c>
      <c r="F440" s="382" t="s">
        <v>225</v>
      </c>
      <c r="G440" s="376" t="s">
        <v>781</v>
      </c>
      <c r="H440" s="378"/>
      <c r="I440" s="378"/>
      <c r="J440" s="376" t="s">
        <v>239</v>
      </c>
      <c r="K440" s="376" t="s">
        <v>863</v>
      </c>
      <c r="L440" s="376" t="s">
        <v>252</v>
      </c>
      <c r="M440" s="376" t="s">
        <v>171</v>
      </c>
      <c r="N440" s="376" t="s">
        <v>172</v>
      </c>
      <c r="O440" s="379">
        <v>1</v>
      </c>
      <c r="P440" s="385">
        <v>0.8</v>
      </c>
      <c r="Q440" s="385">
        <v>0.8</v>
      </c>
      <c r="R440" s="380">
        <v>80</v>
      </c>
      <c r="S440" s="385">
        <v>0.8</v>
      </c>
      <c r="T440" s="380">
        <v>18525.98</v>
      </c>
      <c r="U440" s="380">
        <v>0</v>
      </c>
      <c r="V440" s="380">
        <v>10841.01</v>
      </c>
      <c r="W440" s="380">
        <v>30833.919999999998</v>
      </c>
      <c r="X440" s="380">
        <v>15987.8</v>
      </c>
      <c r="Y440" s="380">
        <v>30833.919999999998</v>
      </c>
      <c r="Z440" s="380">
        <v>15858.31</v>
      </c>
      <c r="AA440" s="376" t="s">
        <v>1459</v>
      </c>
      <c r="AB440" s="376" t="s">
        <v>1460</v>
      </c>
      <c r="AC440" s="376" t="s">
        <v>1461</v>
      </c>
      <c r="AD440" s="376" t="s">
        <v>889</v>
      </c>
      <c r="AE440" s="376" t="s">
        <v>863</v>
      </c>
      <c r="AF440" s="376" t="s">
        <v>393</v>
      </c>
      <c r="AG440" s="376" t="s">
        <v>178</v>
      </c>
      <c r="AH440" s="381">
        <v>18.53</v>
      </c>
      <c r="AI440" s="379">
        <v>1400</v>
      </c>
      <c r="AJ440" s="376" t="s">
        <v>179</v>
      </c>
      <c r="AK440" s="376" t="s">
        <v>180</v>
      </c>
      <c r="AL440" s="376" t="s">
        <v>181</v>
      </c>
      <c r="AM440" s="376" t="s">
        <v>182</v>
      </c>
      <c r="AN440" s="376" t="s">
        <v>68</v>
      </c>
      <c r="AO440" s="379">
        <v>80</v>
      </c>
      <c r="AP440" s="385">
        <v>1</v>
      </c>
      <c r="AQ440" s="385">
        <v>0.8</v>
      </c>
      <c r="AR440" s="383" t="s">
        <v>183</v>
      </c>
      <c r="AS440" s="387">
        <f t="shared" si="291"/>
        <v>0.8</v>
      </c>
      <c r="AT440">
        <f t="shared" si="292"/>
        <v>1</v>
      </c>
      <c r="AU440" s="387">
        <f>IF(AT440=0,"",IF(AND(AT440=1,M440="F",SUMIF(C2:C1334,C440,AS2:AS1334)&lt;=1),SUMIF(C2:C1334,C440,AS2:AS1334),IF(AND(AT440=1,M440="F",SUMIF(C2:C1334,C440,AS2:AS1334)&gt;1),1,"")))</f>
        <v>1</v>
      </c>
      <c r="AV440" s="387" t="str">
        <f>IF(AT440=0,"",IF(AND(AT440=3,M440="F",SUMIF(C2:C1334,C440,AS2:AS1334)&lt;=1),SUMIF(C2:C1334,C440,AS2:AS1334),IF(AND(AT440=3,M440="F",SUMIF(C2:C1334,C440,AS2:AS1334)&gt;1),1,"")))</f>
        <v/>
      </c>
      <c r="AW440" s="387">
        <f>SUMIF(C2:C1334,C440,O2:O1334)</f>
        <v>2</v>
      </c>
      <c r="AX440" s="387">
        <f>IF(AND(M440="F",AS440&lt;&gt;0),SUMIF(C2:C1334,C440,W2:W1334),0)</f>
        <v>38542.399999999994</v>
      </c>
      <c r="AY440" s="387">
        <f t="shared" si="293"/>
        <v>30833.919999999998</v>
      </c>
      <c r="AZ440" s="387" t="str">
        <f t="shared" si="294"/>
        <v/>
      </c>
      <c r="BA440" s="387">
        <f t="shared" si="295"/>
        <v>0</v>
      </c>
      <c r="BB440" s="387">
        <f t="shared" si="264"/>
        <v>9320</v>
      </c>
      <c r="BC440" s="387">
        <f t="shared" si="265"/>
        <v>0</v>
      </c>
      <c r="BD440" s="387">
        <f t="shared" si="266"/>
        <v>1911.7030399999999</v>
      </c>
      <c r="BE440" s="387">
        <f t="shared" si="267"/>
        <v>447.09183999999999</v>
      </c>
      <c r="BF440" s="387">
        <f t="shared" si="268"/>
        <v>3681.570048</v>
      </c>
      <c r="BG440" s="387">
        <f t="shared" si="269"/>
        <v>222.3125632</v>
      </c>
      <c r="BH440" s="387">
        <f t="shared" si="270"/>
        <v>151.086208</v>
      </c>
      <c r="BI440" s="387">
        <f t="shared" si="271"/>
        <v>170.6657472</v>
      </c>
      <c r="BJ440" s="387">
        <f t="shared" si="272"/>
        <v>83.251583999999994</v>
      </c>
      <c r="BK440" s="387">
        <f t="shared" si="273"/>
        <v>0</v>
      </c>
      <c r="BL440" s="387">
        <f t="shared" si="296"/>
        <v>6667.6810303999991</v>
      </c>
      <c r="BM440" s="387">
        <f t="shared" si="297"/>
        <v>0</v>
      </c>
      <c r="BN440" s="387">
        <f t="shared" si="274"/>
        <v>9320</v>
      </c>
      <c r="BO440" s="387">
        <f t="shared" si="275"/>
        <v>0</v>
      </c>
      <c r="BP440" s="387">
        <f t="shared" si="276"/>
        <v>1911.7030399999999</v>
      </c>
      <c r="BQ440" s="387">
        <f t="shared" si="277"/>
        <v>447.09183999999999</v>
      </c>
      <c r="BR440" s="387">
        <f t="shared" si="278"/>
        <v>3681.570048</v>
      </c>
      <c r="BS440" s="387">
        <f t="shared" si="279"/>
        <v>222.3125632</v>
      </c>
      <c r="BT440" s="387">
        <f t="shared" si="280"/>
        <v>0</v>
      </c>
      <c r="BU440" s="387">
        <f t="shared" si="281"/>
        <v>170.6657472</v>
      </c>
      <c r="BV440" s="387">
        <f t="shared" si="282"/>
        <v>104.83532799999999</v>
      </c>
      <c r="BW440" s="387">
        <f t="shared" si="283"/>
        <v>0</v>
      </c>
      <c r="BX440" s="387">
        <f t="shared" si="298"/>
        <v>6538.1785663999999</v>
      </c>
      <c r="BY440" s="387">
        <f t="shared" si="299"/>
        <v>0</v>
      </c>
      <c r="BZ440" s="387">
        <f t="shared" si="300"/>
        <v>0</v>
      </c>
      <c r="CA440" s="387">
        <f t="shared" si="301"/>
        <v>0</v>
      </c>
      <c r="CB440" s="387">
        <f t="shared" si="302"/>
        <v>0</v>
      </c>
      <c r="CC440" s="387">
        <f t="shared" si="284"/>
        <v>0</v>
      </c>
      <c r="CD440" s="387">
        <f t="shared" si="285"/>
        <v>0</v>
      </c>
      <c r="CE440" s="387">
        <f t="shared" si="286"/>
        <v>0</v>
      </c>
      <c r="CF440" s="387">
        <f t="shared" si="287"/>
        <v>-151.086208</v>
      </c>
      <c r="CG440" s="387">
        <f t="shared" si="288"/>
        <v>0</v>
      </c>
      <c r="CH440" s="387">
        <f t="shared" si="289"/>
        <v>21.583743999999989</v>
      </c>
      <c r="CI440" s="387">
        <f t="shared" si="290"/>
        <v>0</v>
      </c>
      <c r="CJ440" s="387">
        <f t="shared" si="303"/>
        <v>-129.502464</v>
      </c>
      <c r="CK440" s="387" t="str">
        <f t="shared" si="304"/>
        <v/>
      </c>
      <c r="CL440" s="387" t="str">
        <f t="shared" si="305"/>
        <v/>
      </c>
      <c r="CM440" s="387" t="str">
        <f t="shared" si="306"/>
        <v/>
      </c>
      <c r="CN440" s="387" t="str">
        <f t="shared" si="307"/>
        <v>0348-31</v>
      </c>
    </row>
    <row r="441" spans="1:92" ht="15.75" thickBot="1" x14ac:dyDescent="0.3">
      <c r="A441" s="376" t="s">
        <v>161</v>
      </c>
      <c r="B441" s="376" t="s">
        <v>162</v>
      </c>
      <c r="C441" s="376" t="s">
        <v>1462</v>
      </c>
      <c r="D441" s="376" t="s">
        <v>270</v>
      </c>
      <c r="E441" s="376" t="s">
        <v>224</v>
      </c>
      <c r="F441" s="382" t="s">
        <v>225</v>
      </c>
      <c r="G441" s="376" t="s">
        <v>781</v>
      </c>
      <c r="H441" s="378"/>
      <c r="I441" s="378"/>
      <c r="J441" s="376" t="s">
        <v>215</v>
      </c>
      <c r="K441" s="376" t="s">
        <v>271</v>
      </c>
      <c r="L441" s="376" t="s">
        <v>217</v>
      </c>
      <c r="M441" s="376" t="s">
        <v>171</v>
      </c>
      <c r="N441" s="376" t="s">
        <v>172</v>
      </c>
      <c r="O441" s="379">
        <v>1</v>
      </c>
      <c r="P441" s="385">
        <v>0</v>
      </c>
      <c r="Q441" s="385">
        <v>0</v>
      </c>
      <c r="R441" s="380">
        <v>80</v>
      </c>
      <c r="S441" s="385">
        <v>0</v>
      </c>
      <c r="T441" s="380">
        <v>27.67</v>
      </c>
      <c r="U441" s="380">
        <v>0</v>
      </c>
      <c r="V441" s="380">
        <v>26.48</v>
      </c>
      <c r="W441" s="380">
        <v>0</v>
      </c>
      <c r="X441" s="380">
        <v>0</v>
      </c>
      <c r="Y441" s="380">
        <v>0</v>
      </c>
      <c r="Z441" s="380">
        <v>0</v>
      </c>
      <c r="AA441" s="376" t="s">
        <v>1463</v>
      </c>
      <c r="AB441" s="376" t="s">
        <v>1464</v>
      </c>
      <c r="AC441" s="376" t="s">
        <v>1465</v>
      </c>
      <c r="AD441" s="376" t="s">
        <v>279</v>
      </c>
      <c r="AE441" s="376" t="s">
        <v>271</v>
      </c>
      <c r="AF441" s="376" t="s">
        <v>221</v>
      </c>
      <c r="AG441" s="376" t="s">
        <v>178</v>
      </c>
      <c r="AH441" s="381">
        <v>15.68</v>
      </c>
      <c r="AI441" s="381">
        <v>268.3</v>
      </c>
      <c r="AJ441" s="376" t="s">
        <v>179</v>
      </c>
      <c r="AK441" s="376" t="s">
        <v>180</v>
      </c>
      <c r="AL441" s="376" t="s">
        <v>181</v>
      </c>
      <c r="AM441" s="376" t="s">
        <v>182</v>
      </c>
      <c r="AN441" s="376" t="s">
        <v>68</v>
      </c>
      <c r="AO441" s="379">
        <v>80</v>
      </c>
      <c r="AP441" s="385">
        <v>1</v>
      </c>
      <c r="AQ441" s="385">
        <v>0</v>
      </c>
      <c r="AR441" s="383" t="s">
        <v>183</v>
      </c>
      <c r="AS441" s="387">
        <f t="shared" si="291"/>
        <v>0</v>
      </c>
      <c r="AT441">
        <f t="shared" si="292"/>
        <v>0</v>
      </c>
      <c r="AU441" s="387" t="str">
        <f>IF(AT441=0,"",IF(AND(AT441=1,M441="F",SUMIF(C2:C1334,C441,AS2:AS1334)&lt;=1),SUMIF(C2:C1334,C441,AS2:AS1334),IF(AND(AT441=1,M441="F",SUMIF(C2:C1334,C441,AS2:AS1334)&gt;1),1,"")))</f>
        <v/>
      </c>
      <c r="AV441" s="387" t="str">
        <f>IF(AT441=0,"",IF(AND(AT441=3,M441="F",SUMIF(C2:C1334,C441,AS2:AS1334)&lt;=1),SUMIF(C2:C1334,C441,AS2:AS1334),IF(AND(AT441=3,M441="F",SUMIF(C2:C1334,C441,AS2:AS1334)&gt;1),1,"")))</f>
        <v/>
      </c>
      <c r="AW441" s="387">
        <f>SUMIF(C2:C1334,C441,O2:O1334)</f>
        <v>2</v>
      </c>
      <c r="AX441" s="387">
        <f>IF(AND(M441="F",AS441&lt;&gt;0),SUMIF(C2:C1334,C441,W2:W1334),0)</f>
        <v>0</v>
      </c>
      <c r="AY441" s="387" t="str">
        <f t="shared" si="293"/>
        <v/>
      </c>
      <c r="AZ441" s="387" t="str">
        <f t="shared" si="294"/>
        <v/>
      </c>
      <c r="BA441" s="387">
        <f t="shared" si="295"/>
        <v>0</v>
      </c>
      <c r="BB441" s="387">
        <f t="shared" si="264"/>
        <v>0</v>
      </c>
      <c r="BC441" s="387">
        <f t="shared" si="265"/>
        <v>0</v>
      </c>
      <c r="BD441" s="387">
        <f t="shared" si="266"/>
        <v>0</v>
      </c>
      <c r="BE441" s="387">
        <f t="shared" si="267"/>
        <v>0</v>
      </c>
      <c r="BF441" s="387">
        <f t="shared" si="268"/>
        <v>0</v>
      </c>
      <c r="BG441" s="387">
        <f t="shared" si="269"/>
        <v>0</v>
      </c>
      <c r="BH441" s="387">
        <f t="shared" si="270"/>
        <v>0</v>
      </c>
      <c r="BI441" s="387">
        <f t="shared" si="271"/>
        <v>0</v>
      </c>
      <c r="BJ441" s="387">
        <f t="shared" si="272"/>
        <v>0</v>
      </c>
      <c r="BK441" s="387">
        <f t="shared" si="273"/>
        <v>0</v>
      </c>
      <c r="BL441" s="387">
        <f t="shared" si="296"/>
        <v>0</v>
      </c>
      <c r="BM441" s="387">
        <f t="shared" si="297"/>
        <v>0</v>
      </c>
      <c r="BN441" s="387">
        <f t="shared" si="274"/>
        <v>0</v>
      </c>
      <c r="BO441" s="387">
        <f t="shared" si="275"/>
        <v>0</v>
      </c>
      <c r="BP441" s="387">
        <f t="shared" si="276"/>
        <v>0</v>
      </c>
      <c r="BQ441" s="387">
        <f t="shared" si="277"/>
        <v>0</v>
      </c>
      <c r="BR441" s="387">
        <f t="shared" si="278"/>
        <v>0</v>
      </c>
      <c r="BS441" s="387">
        <f t="shared" si="279"/>
        <v>0</v>
      </c>
      <c r="BT441" s="387">
        <f t="shared" si="280"/>
        <v>0</v>
      </c>
      <c r="BU441" s="387">
        <f t="shared" si="281"/>
        <v>0</v>
      </c>
      <c r="BV441" s="387">
        <f t="shared" si="282"/>
        <v>0</v>
      </c>
      <c r="BW441" s="387">
        <f t="shared" si="283"/>
        <v>0</v>
      </c>
      <c r="BX441" s="387">
        <f t="shared" si="298"/>
        <v>0</v>
      </c>
      <c r="BY441" s="387">
        <f t="shared" si="299"/>
        <v>0</v>
      </c>
      <c r="BZ441" s="387">
        <f t="shared" si="300"/>
        <v>0</v>
      </c>
      <c r="CA441" s="387">
        <f t="shared" si="301"/>
        <v>0</v>
      </c>
      <c r="CB441" s="387">
        <f t="shared" si="302"/>
        <v>0</v>
      </c>
      <c r="CC441" s="387">
        <f t="shared" si="284"/>
        <v>0</v>
      </c>
      <c r="CD441" s="387">
        <f t="shared" si="285"/>
        <v>0</v>
      </c>
      <c r="CE441" s="387">
        <f t="shared" si="286"/>
        <v>0</v>
      </c>
      <c r="CF441" s="387">
        <f t="shared" si="287"/>
        <v>0</v>
      </c>
      <c r="CG441" s="387">
        <f t="shared" si="288"/>
        <v>0</v>
      </c>
      <c r="CH441" s="387">
        <f t="shared" si="289"/>
        <v>0</v>
      </c>
      <c r="CI441" s="387">
        <f t="shared" si="290"/>
        <v>0</v>
      </c>
      <c r="CJ441" s="387">
        <f t="shared" si="303"/>
        <v>0</v>
      </c>
      <c r="CK441" s="387" t="str">
        <f t="shared" si="304"/>
        <v/>
      </c>
      <c r="CL441" s="387" t="str">
        <f t="shared" si="305"/>
        <v/>
      </c>
      <c r="CM441" s="387" t="str">
        <f t="shared" si="306"/>
        <v/>
      </c>
      <c r="CN441" s="387" t="str">
        <f t="shared" si="307"/>
        <v>0348-31</v>
      </c>
    </row>
    <row r="442" spans="1:92" ht="15.75" thickBot="1" x14ac:dyDescent="0.3">
      <c r="A442" s="376" t="s">
        <v>161</v>
      </c>
      <c r="B442" s="376" t="s">
        <v>162</v>
      </c>
      <c r="C442" s="376" t="s">
        <v>1466</v>
      </c>
      <c r="D442" s="376" t="s">
        <v>247</v>
      </c>
      <c r="E442" s="376" t="s">
        <v>224</v>
      </c>
      <c r="F442" s="382" t="s">
        <v>225</v>
      </c>
      <c r="G442" s="376" t="s">
        <v>781</v>
      </c>
      <c r="H442" s="378"/>
      <c r="I442" s="378"/>
      <c r="J442" s="376" t="s">
        <v>215</v>
      </c>
      <c r="K442" s="376" t="s">
        <v>248</v>
      </c>
      <c r="L442" s="376" t="s">
        <v>178</v>
      </c>
      <c r="M442" s="376" t="s">
        <v>171</v>
      </c>
      <c r="N442" s="376" t="s">
        <v>172</v>
      </c>
      <c r="O442" s="379">
        <v>1</v>
      </c>
      <c r="P442" s="385">
        <v>0</v>
      </c>
      <c r="Q442" s="385">
        <v>0</v>
      </c>
      <c r="R442" s="380">
        <v>80</v>
      </c>
      <c r="S442" s="385">
        <v>0</v>
      </c>
      <c r="T442" s="380">
        <v>13298.04</v>
      </c>
      <c r="U442" s="380">
        <v>0</v>
      </c>
      <c r="V442" s="380">
        <v>8102</v>
      </c>
      <c r="W442" s="380">
        <v>0</v>
      </c>
      <c r="X442" s="380">
        <v>0</v>
      </c>
      <c r="Y442" s="380">
        <v>0</v>
      </c>
      <c r="Z442" s="380">
        <v>0</v>
      </c>
      <c r="AA442" s="376" t="s">
        <v>1467</v>
      </c>
      <c r="AB442" s="376" t="s">
        <v>1468</v>
      </c>
      <c r="AC442" s="376" t="s">
        <v>176</v>
      </c>
      <c r="AD442" s="376" t="s">
        <v>583</v>
      </c>
      <c r="AE442" s="376" t="s">
        <v>248</v>
      </c>
      <c r="AF442" s="376" t="s">
        <v>253</v>
      </c>
      <c r="AG442" s="376" t="s">
        <v>178</v>
      </c>
      <c r="AH442" s="381">
        <v>15.25</v>
      </c>
      <c r="AI442" s="381">
        <v>6219.7</v>
      </c>
      <c r="AJ442" s="376" t="s">
        <v>179</v>
      </c>
      <c r="AK442" s="376" t="s">
        <v>180</v>
      </c>
      <c r="AL442" s="376" t="s">
        <v>181</v>
      </c>
      <c r="AM442" s="376" t="s">
        <v>182</v>
      </c>
      <c r="AN442" s="376" t="s">
        <v>68</v>
      </c>
      <c r="AO442" s="379">
        <v>80</v>
      </c>
      <c r="AP442" s="385">
        <v>1</v>
      </c>
      <c r="AQ442" s="385">
        <v>0</v>
      </c>
      <c r="AR442" s="383" t="s">
        <v>183</v>
      </c>
      <c r="AS442" s="387">
        <f t="shared" si="291"/>
        <v>0</v>
      </c>
      <c r="AT442">
        <f t="shared" si="292"/>
        <v>0</v>
      </c>
      <c r="AU442" s="387" t="str">
        <f>IF(AT442=0,"",IF(AND(AT442=1,M442="F",SUMIF(C2:C1334,C442,AS2:AS1334)&lt;=1),SUMIF(C2:C1334,C442,AS2:AS1334),IF(AND(AT442=1,M442="F",SUMIF(C2:C1334,C442,AS2:AS1334)&gt;1),1,"")))</f>
        <v/>
      </c>
      <c r="AV442" s="387" t="str">
        <f>IF(AT442=0,"",IF(AND(AT442=3,M442="F",SUMIF(C2:C1334,C442,AS2:AS1334)&lt;=1),SUMIF(C2:C1334,C442,AS2:AS1334),IF(AND(AT442=3,M442="F",SUMIF(C2:C1334,C442,AS2:AS1334)&gt;1),1,"")))</f>
        <v/>
      </c>
      <c r="AW442" s="387">
        <f>SUMIF(C2:C1334,C442,O2:O1334)</f>
        <v>2</v>
      </c>
      <c r="AX442" s="387">
        <f>IF(AND(M442="F",AS442&lt;&gt;0),SUMIF(C2:C1334,C442,W2:W1334),0)</f>
        <v>0</v>
      </c>
      <c r="AY442" s="387" t="str">
        <f t="shared" si="293"/>
        <v/>
      </c>
      <c r="AZ442" s="387" t="str">
        <f t="shared" si="294"/>
        <v/>
      </c>
      <c r="BA442" s="387">
        <f t="shared" si="295"/>
        <v>0</v>
      </c>
      <c r="BB442" s="387">
        <f t="shared" si="264"/>
        <v>0</v>
      </c>
      <c r="BC442" s="387">
        <f t="shared" si="265"/>
        <v>0</v>
      </c>
      <c r="BD442" s="387">
        <f t="shared" si="266"/>
        <v>0</v>
      </c>
      <c r="BE442" s="387">
        <f t="shared" si="267"/>
        <v>0</v>
      </c>
      <c r="BF442" s="387">
        <f t="shared" si="268"/>
        <v>0</v>
      </c>
      <c r="BG442" s="387">
        <f t="shared" si="269"/>
        <v>0</v>
      </c>
      <c r="BH442" s="387">
        <f t="shared" si="270"/>
        <v>0</v>
      </c>
      <c r="BI442" s="387">
        <f t="shared" si="271"/>
        <v>0</v>
      </c>
      <c r="BJ442" s="387">
        <f t="shared" si="272"/>
        <v>0</v>
      </c>
      <c r="BK442" s="387">
        <f t="shared" si="273"/>
        <v>0</v>
      </c>
      <c r="BL442" s="387">
        <f t="shared" si="296"/>
        <v>0</v>
      </c>
      <c r="BM442" s="387">
        <f t="shared" si="297"/>
        <v>0</v>
      </c>
      <c r="BN442" s="387">
        <f t="shared" si="274"/>
        <v>0</v>
      </c>
      <c r="BO442" s="387">
        <f t="shared" si="275"/>
        <v>0</v>
      </c>
      <c r="BP442" s="387">
        <f t="shared" si="276"/>
        <v>0</v>
      </c>
      <c r="BQ442" s="387">
        <f t="shared" si="277"/>
        <v>0</v>
      </c>
      <c r="BR442" s="387">
        <f t="shared" si="278"/>
        <v>0</v>
      </c>
      <c r="BS442" s="387">
        <f t="shared" si="279"/>
        <v>0</v>
      </c>
      <c r="BT442" s="387">
        <f t="shared" si="280"/>
        <v>0</v>
      </c>
      <c r="BU442" s="387">
        <f t="shared" si="281"/>
        <v>0</v>
      </c>
      <c r="BV442" s="387">
        <f t="shared" si="282"/>
        <v>0</v>
      </c>
      <c r="BW442" s="387">
        <f t="shared" si="283"/>
        <v>0</v>
      </c>
      <c r="BX442" s="387">
        <f t="shared" si="298"/>
        <v>0</v>
      </c>
      <c r="BY442" s="387">
        <f t="shared" si="299"/>
        <v>0</v>
      </c>
      <c r="BZ442" s="387">
        <f t="shared" si="300"/>
        <v>0</v>
      </c>
      <c r="CA442" s="387">
        <f t="shared" si="301"/>
        <v>0</v>
      </c>
      <c r="CB442" s="387">
        <f t="shared" si="302"/>
        <v>0</v>
      </c>
      <c r="CC442" s="387">
        <f t="shared" si="284"/>
        <v>0</v>
      </c>
      <c r="CD442" s="387">
        <f t="shared" si="285"/>
        <v>0</v>
      </c>
      <c r="CE442" s="387">
        <f t="shared" si="286"/>
        <v>0</v>
      </c>
      <c r="CF442" s="387">
        <f t="shared" si="287"/>
        <v>0</v>
      </c>
      <c r="CG442" s="387">
        <f t="shared" si="288"/>
        <v>0</v>
      </c>
      <c r="CH442" s="387">
        <f t="shared" si="289"/>
        <v>0</v>
      </c>
      <c r="CI442" s="387">
        <f t="shared" si="290"/>
        <v>0</v>
      </c>
      <c r="CJ442" s="387">
        <f t="shared" si="303"/>
        <v>0</v>
      </c>
      <c r="CK442" s="387" t="str">
        <f t="shared" si="304"/>
        <v/>
      </c>
      <c r="CL442" s="387" t="str">
        <f t="shared" si="305"/>
        <v/>
      </c>
      <c r="CM442" s="387" t="str">
        <f t="shared" si="306"/>
        <v/>
      </c>
      <c r="CN442" s="387" t="str">
        <f t="shared" si="307"/>
        <v>0348-31</v>
      </c>
    </row>
    <row r="443" spans="1:92" ht="15.75" thickBot="1" x14ac:dyDescent="0.3">
      <c r="A443" s="376" t="s">
        <v>161</v>
      </c>
      <c r="B443" s="376" t="s">
        <v>162</v>
      </c>
      <c r="C443" s="376" t="s">
        <v>394</v>
      </c>
      <c r="D443" s="376" t="s">
        <v>238</v>
      </c>
      <c r="E443" s="376" t="s">
        <v>224</v>
      </c>
      <c r="F443" s="382" t="s">
        <v>225</v>
      </c>
      <c r="G443" s="376" t="s">
        <v>781</v>
      </c>
      <c r="H443" s="378"/>
      <c r="I443" s="378"/>
      <c r="J443" s="376" t="s">
        <v>239</v>
      </c>
      <c r="K443" s="376" t="s">
        <v>240</v>
      </c>
      <c r="L443" s="376" t="s">
        <v>210</v>
      </c>
      <c r="M443" s="376" t="s">
        <v>171</v>
      </c>
      <c r="N443" s="376" t="s">
        <v>172</v>
      </c>
      <c r="O443" s="379">
        <v>1</v>
      </c>
      <c r="P443" s="385">
        <v>0</v>
      </c>
      <c r="Q443" s="385">
        <v>0</v>
      </c>
      <c r="R443" s="380">
        <v>80</v>
      </c>
      <c r="S443" s="385">
        <v>0</v>
      </c>
      <c r="T443" s="380">
        <v>49150.14</v>
      </c>
      <c r="U443" s="380">
        <v>0</v>
      </c>
      <c r="V443" s="380">
        <v>18743.060000000001</v>
      </c>
      <c r="W443" s="380">
        <v>0</v>
      </c>
      <c r="X443" s="380">
        <v>0</v>
      </c>
      <c r="Y443" s="380">
        <v>0</v>
      </c>
      <c r="Z443" s="380">
        <v>0</v>
      </c>
      <c r="AA443" s="376" t="s">
        <v>395</v>
      </c>
      <c r="AB443" s="376" t="s">
        <v>396</v>
      </c>
      <c r="AC443" s="376" t="s">
        <v>260</v>
      </c>
      <c r="AD443" s="376" t="s">
        <v>397</v>
      </c>
      <c r="AE443" s="376" t="s">
        <v>240</v>
      </c>
      <c r="AF443" s="376" t="s">
        <v>245</v>
      </c>
      <c r="AG443" s="376" t="s">
        <v>178</v>
      </c>
      <c r="AH443" s="379">
        <v>31</v>
      </c>
      <c r="AI443" s="381">
        <v>39495.5</v>
      </c>
      <c r="AJ443" s="376" t="s">
        <v>179</v>
      </c>
      <c r="AK443" s="376" t="s">
        <v>180</v>
      </c>
      <c r="AL443" s="376" t="s">
        <v>181</v>
      </c>
      <c r="AM443" s="376" t="s">
        <v>182</v>
      </c>
      <c r="AN443" s="376" t="s">
        <v>68</v>
      </c>
      <c r="AO443" s="379">
        <v>80</v>
      </c>
      <c r="AP443" s="385">
        <v>1</v>
      </c>
      <c r="AQ443" s="385">
        <v>0</v>
      </c>
      <c r="AR443" s="383" t="s">
        <v>183</v>
      </c>
      <c r="AS443" s="387">
        <f t="shared" si="291"/>
        <v>0</v>
      </c>
      <c r="AT443">
        <f t="shared" si="292"/>
        <v>0</v>
      </c>
      <c r="AU443" s="387" t="str">
        <f>IF(AT443=0,"",IF(AND(AT443=1,M443="F",SUMIF(C2:C1334,C443,AS2:AS1334)&lt;=1),SUMIF(C2:C1334,C443,AS2:AS1334),IF(AND(AT443=1,M443="F",SUMIF(C2:C1334,C443,AS2:AS1334)&gt;1),1,"")))</f>
        <v/>
      </c>
      <c r="AV443" s="387" t="str">
        <f>IF(AT443=0,"",IF(AND(AT443=3,M443="F",SUMIF(C2:C1334,C443,AS2:AS1334)&lt;=1),SUMIF(C2:C1334,C443,AS2:AS1334),IF(AND(AT443=3,M443="F",SUMIF(C2:C1334,C443,AS2:AS1334)&gt;1),1,"")))</f>
        <v/>
      </c>
      <c r="AW443" s="387">
        <f>SUMIF(C2:C1334,C443,O2:O1334)</f>
        <v>3</v>
      </c>
      <c r="AX443" s="387">
        <f>IF(AND(M443="F",AS443&lt;&gt;0),SUMIF(C2:C1334,C443,W2:W1334),0)</f>
        <v>0</v>
      </c>
      <c r="AY443" s="387" t="str">
        <f t="shared" si="293"/>
        <v/>
      </c>
      <c r="AZ443" s="387" t="str">
        <f t="shared" si="294"/>
        <v/>
      </c>
      <c r="BA443" s="387">
        <f t="shared" si="295"/>
        <v>0</v>
      </c>
      <c r="BB443" s="387">
        <f t="shared" si="264"/>
        <v>0</v>
      </c>
      <c r="BC443" s="387">
        <f t="shared" si="265"/>
        <v>0</v>
      </c>
      <c r="BD443" s="387">
        <f t="shared" si="266"/>
        <v>0</v>
      </c>
      <c r="BE443" s="387">
        <f t="shared" si="267"/>
        <v>0</v>
      </c>
      <c r="BF443" s="387">
        <f t="shared" si="268"/>
        <v>0</v>
      </c>
      <c r="BG443" s="387">
        <f t="shared" si="269"/>
        <v>0</v>
      </c>
      <c r="BH443" s="387">
        <f t="shared" si="270"/>
        <v>0</v>
      </c>
      <c r="BI443" s="387">
        <f t="shared" si="271"/>
        <v>0</v>
      </c>
      <c r="BJ443" s="387">
        <f t="shared" si="272"/>
        <v>0</v>
      </c>
      <c r="BK443" s="387">
        <f t="shared" si="273"/>
        <v>0</v>
      </c>
      <c r="BL443" s="387">
        <f t="shared" si="296"/>
        <v>0</v>
      </c>
      <c r="BM443" s="387">
        <f t="shared" si="297"/>
        <v>0</v>
      </c>
      <c r="BN443" s="387">
        <f t="shared" si="274"/>
        <v>0</v>
      </c>
      <c r="BO443" s="387">
        <f t="shared" si="275"/>
        <v>0</v>
      </c>
      <c r="BP443" s="387">
        <f t="shared" si="276"/>
        <v>0</v>
      </c>
      <c r="BQ443" s="387">
        <f t="shared" si="277"/>
        <v>0</v>
      </c>
      <c r="BR443" s="387">
        <f t="shared" si="278"/>
        <v>0</v>
      </c>
      <c r="BS443" s="387">
        <f t="shared" si="279"/>
        <v>0</v>
      </c>
      <c r="BT443" s="387">
        <f t="shared" si="280"/>
        <v>0</v>
      </c>
      <c r="BU443" s="387">
        <f t="shared" si="281"/>
        <v>0</v>
      </c>
      <c r="BV443" s="387">
        <f t="shared" si="282"/>
        <v>0</v>
      </c>
      <c r="BW443" s="387">
        <f t="shared" si="283"/>
        <v>0</v>
      </c>
      <c r="BX443" s="387">
        <f t="shared" si="298"/>
        <v>0</v>
      </c>
      <c r="BY443" s="387">
        <f t="shared" si="299"/>
        <v>0</v>
      </c>
      <c r="BZ443" s="387">
        <f t="shared" si="300"/>
        <v>0</v>
      </c>
      <c r="CA443" s="387">
        <f t="shared" si="301"/>
        <v>0</v>
      </c>
      <c r="CB443" s="387">
        <f t="shared" si="302"/>
        <v>0</v>
      </c>
      <c r="CC443" s="387">
        <f t="shared" si="284"/>
        <v>0</v>
      </c>
      <c r="CD443" s="387">
        <f t="shared" si="285"/>
        <v>0</v>
      </c>
      <c r="CE443" s="387">
        <f t="shared" si="286"/>
        <v>0</v>
      </c>
      <c r="CF443" s="387">
        <f t="shared" si="287"/>
        <v>0</v>
      </c>
      <c r="CG443" s="387">
        <f t="shared" si="288"/>
        <v>0</v>
      </c>
      <c r="CH443" s="387">
        <f t="shared" si="289"/>
        <v>0</v>
      </c>
      <c r="CI443" s="387">
        <f t="shared" si="290"/>
        <v>0</v>
      </c>
      <c r="CJ443" s="387">
        <f t="shared" si="303"/>
        <v>0</v>
      </c>
      <c r="CK443" s="387" t="str">
        <f t="shared" si="304"/>
        <v/>
      </c>
      <c r="CL443" s="387" t="str">
        <f t="shared" si="305"/>
        <v/>
      </c>
      <c r="CM443" s="387" t="str">
        <f t="shared" si="306"/>
        <v/>
      </c>
      <c r="CN443" s="387" t="str">
        <f t="shared" si="307"/>
        <v>0348-31</v>
      </c>
    </row>
    <row r="444" spans="1:92" ht="15.75" thickBot="1" x14ac:dyDescent="0.3">
      <c r="A444" s="376" t="s">
        <v>161</v>
      </c>
      <c r="B444" s="376" t="s">
        <v>162</v>
      </c>
      <c r="C444" s="376" t="s">
        <v>306</v>
      </c>
      <c r="D444" s="376" t="s">
        <v>294</v>
      </c>
      <c r="E444" s="376" t="s">
        <v>224</v>
      </c>
      <c r="F444" s="382" t="s">
        <v>225</v>
      </c>
      <c r="G444" s="376" t="s">
        <v>781</v>
      </c>
      <c r="H444" s="378"/>
      <c r="I444" s="378"/>
      <c r="J444" s="376" t="s">
        <v>215</v>
      </c>
      <c r="K444" s="376" t="s">
        <v>295</v>
      </c>
      <c r="L444" s="376" t="s">
        <v>296</v>
      </c>
      <c r="M444" s="376" t="s">
        <v>171</v>
      </c>
      <c r="N444" s="376" t="s">
        <v>172</v>
      </c>
      <c r="O444" s="379">
        <v>1</v>
      </c>
      <c r="P444" s="385">
        <v>0</v>
      </c>
      <c r="Q444" s="385">
        <v>0</v>
      </c>
      <c r="R444" s="380">
        <v>80</v>
      </c>
      <c r="S444" s="385">
        <v>0</v>
      </c>
      <c r="T444" s="380">
        <v>40908.76</v>
      </c>
      <c r="U444" s="380">
        <v>296.39999999999998</v>
      </c>
      <c r="V444" s="380">
        <v>20207.310000000001</v>
      </c>
      <c r="W444" s="380">
        <v>0</v>
      </c>
      <c r="X444" s="380">
        <v>0</v>
      </c>
      <c r="Y444" s="380">
        <v>0</v>
      </c>
      <c r="Z444" s="380">
        <v>0</v>
      </c>
      <c r="AA444" s="376" t="s">
        <v>307</v>
      </c>
      <c r="AB444" s="376" t="s">
        <v>308</v>
      </c>
      <c r="AC444" s="376" t="s">
        <v>309</v>
      </c>
      <c r="AD444" s="376" t="s">
        <v>310</v>
      </c>
      <c r="AE444" s="376" t="s">
        <v>295</v>
      </c>
      <c r="AF444" s="376" t="s">
        <v>301</v>
      </c>
      <c r="AG444" s="376" t="s">
        <v>178</v>
      </c>
      <c r="AH444" s="381">
        <v>20.75</v>
      </c>
      <c r="AI444" s="381">
        <v>18502.5</v>
      </c>
      <c r="AJ444" s="376" t="s">
        <v>179</v>
      </c>
      <c r="AK444" s="376" t="s">
        <v>180</v>
      </c>
      <c r="AL444" s="376" t="s">
        <v>181</v>
      </c>
      <c r="AM444" s="376" t="s">
        <v>182</v>
      </c>
      <c r="AN444" s="376" t="s">
        <v>68</v>
      </c>
      <c r="AO444" s="379">
        <v>80</v>
      </c>
      <c r="AP444" s="385">
        <v>1</v>
      </c>
      <c r="AQ444" s="385">
        <v>0</v>
      </c>
      <c r="AR444" s="383" t="s">
        <v>183</v>
      </c>
      <c r="AS444" s="387">
        <f t="shared" si="291"/>
        <v>0</v>
      </c>
      <c r="AT444">
        <f t="shared" si="292"/>
        <v>0</v>
      </c>
      <c r="AU444" s="387" t="str">
        <f>IF(AT444=0,"",IF(AND(AT444=1,M444="F",SUMIF(C2:C1334,C444,AS2:AS1334)&lt;=1),SUMIF(C2:C1334,C444,AS2:AS1334),IF(AND(AT444=1,M444="F",SUMIF(C2:C1334,C444,AS2:AS1334)&gt;1),1,"")))</f>
        <v/>
      </c>
      <c r="AV444" s="387" t="str">
        <f>IF(AT444=0,"",IF(AND(AT444=3,M444="F",SUMIF(C2:C1334,C444,AS2:AS1334)&lt;=1),SUMIF(C2:C1334,C444,AS2:AS1334),IF(AND(AT444=3,M444="F",SUMIF(C2:C1334,C444,AS2:AS1334)&gt;1),1,"")))</f>
        <v/>
      </c>
      <c r="AW444" s="387">
        <f>SUMIF(C2:C1334,C444,O2:O1334)</f>
        <v>2</v>
      </c>
      <c r="AX444" s="387">
        <f>IF(AND(M444="F",AS444&lt;&gt;0),SUMIF(C2:C1334,C444,W2:W1334),0)</f>
        <v>0</v>
      </c>
      <c r="AY444" s="387" t="str">
        <f t="shared" si="293"/>
        <v/>
      </c>
      <c r="AZ444" s="387" t="str">
        <f t="shared" si="294"/>
        <v/>
      </c>
      <c r="BA444" s="387">
        <f t="shared" si="295"/>
        <v>0</v>
      </c>
      <c r="BB444" s="387">
        <f t="shared" si="264"/>
        <v>0</v>
      </c>
      <c r="BC444" s="387">
        <f t="shared" si="265"/>
        <v>0</v>
      </c>
      <c r="BD444" s="387">
        <f t="shared" si="266"/>
        <v>0</v>
      </c>
      <c r="BE444" s="387">
        <f t="shared" si="267"/>
        <v>0</v>
      </c>
      <c r="BF444" s="387">
        <f t="shared" si="268"/>
        <v>0</v>
      </c>
      <c r="BG444" s="387">
        <f t="shared" si="269"/>
        <v>0</v>
      </c>
      <c r="BH444" s="387">
        <f t="shared" si="270"/>
        <v>0</v>
      </c>
      <c r="BI444" s="387">
        <f t="shared" si="271"/>
        <v>0</v>
      </c>
      <c r="BJ444" s="387">
        <f t="shared" si="272"/>
        <v>0</v>
      </c>
      <c r="BK444" s="387">
        <f t="shared" si="273"/>
        <v>0</v>
      </c>
      <c r="BL444" s="387">
        <f t="shared" si="296"/>
        <v>0</v>
      </c>
      <c r="BM444" s="387">
        <f t="shared" si="297"/>
        <v>0</v>
      </c>
      <c r="BN444" s="387">
        <f t="shared" si="274"/>
        <v>0</v>
      </c>
      <c r="BO444" s="387">
        <f t="shared" si="275"/>
        <v>0</v>
      </c>
      <c r="BP444" s="387">
        <f t="shared" si="276"/>
        <v>0</v>
      </c>
      <c r="BQ444" s="387">
        <f t="shared" si="277"/>
        <v>0</v>
      </c>
      <c r="BR444" s="387">
        <f t="shared" si="278"/>
        <v>0</v>
      </c>
      <c r="BS444" s="387">
        <f t="shared" si="279"/>
        <v>0</v>
      </c>
      <c r="BT444" s="387">
        <f t="shared" si="280"/>
        <v>0</v>
      </c>
      <c r="BU444" s="387">
        <f t="shared" si="281"/>
        <v>0</v>
      </c>
      <c r="BV444" s="387">
        <f t="shared" si="282"/>
        <v>0</v>
      </c>
      <c r="BW444" s="387">
        <f t="shared" si="283"/>
        <v>0</v>
      </c>
      <c r="BX444" s="387">
        <f t="shared" si="298"/>
        <v>0</v>
      </c>
      <c r="BY444" s="387">
        <f t="shared" si="299"/>
        <v>0</v>
      </c>
      <c r="BZ444" s="387">
        <f t="shared" si="300"/>
        <v>0</v>
      </c>
      <c r="CA444" s="387">
        <f t="shared" si="301"/>
        <v>0</v>
      </c>
      <c r="CB444" s="387">
        <f t="shared" si="302"/>
        <v>0</v>
      </c>
      <c r="CC444" s="387">
        <f t="shared" si="284"/>
        <v>0</v>
      </c>
      <c r="CD444" s="387">
        <f t="shared" si="285"/>
        <v>0</v>
      </c>
      <c r="CE444" s="387">
        <f t="shared" si="286"/>
        <v>0</v>
      </c>
      <c r="CF444" s="387">
        <f t="shared" si="287"/>
        <v>0</v>
      </c>
      <c r="CG444" s="387">
        <f t="shared" si="288"/>
        <v>0</v>
      </c>
      <c r="CH444" s="387">
        <f t="shared" si="289"/>
        <v>0</v>
      </c>
      <c r="CI444" s="387">
        <f t="shared" si="290"/>
        <v>0</v>
      </c>
      <c r="CJ444" s="387">
        <f t="shared" si="303"/>
        <v>0</v>
      </c>
      <c r="CK444" s="387" t="str">
        <f t="shared" si="304"/>
        <v/>
      </c>
      <c r="CL444" s="387" t="str">
        <f t="shared" si="305"/>
        <v/>
      </c>
      <c r="CM444" s="387" t="str">
        <f t="shared" si="306"/>
        <v/>
      </c>
      <c r="CN444" s="387" t="str">
        <f t="shared" si="307"/>
        <v>0348-31</v>
      </c>
    </row>
    <row r="445" spans="1:92" ht="15.75" thickBot="1" x14ac:dyDescent="0.3">
      <c r="A445" s="376" t="s">
        <v>161</v>
      </c>
      <c r="B445" s="376" t="s">
        <v>162</v>
      </c>
      <c r="C445" s="376" t="s">
        <v>1469</v>
      </c>
      <c r="D445" s="376" t="s">
        <v>294</v>
      </c>
      <c r="E445" s="376" t="s">
        <v>224</v>
      </c>
      <c r="F445" s="382" t="s">
        <v>225</v>
      </c>
      <c r="G445" s="376" t="s">
        <v>781</v>
      </c>
      <c r="H445" s="378"/>
      <c r="I445" s="378"/>
      <c r="J445" s="376" t="s">
        <v>215</v>
      </c>
      <c r="K445" s="376" t="s">
        <v>1470</v>
      </c>
      <c r="L445" s="376" t="s">
        <v>170</v>
      </c>
      <c r="M445" s="376" t="s">
        <v>171</v>
      </c>
      <c r="N445" s="376" t="s">
        <v>172</v>
      </c>
      <c r="O445" s="379">
        <v>1</v>
      </c>
      <c r="P445" s="385">
        <v>0</v>
      </c>
      <c r="Q445" s="385">
        <v>0</v>
      </c>
      <c r="R445" s="380">
        <v>80</v>
      </c>
      <c r="S445" s="385">
        <v>0</v>
      </c>
      <c r="T445" s="380">
        <v>81722.460000000006</v>
      </c>
      <c r="U445" s="380">
        <v>0</v>
      </c>
      <c r="V445" s="380">
        <v>28526.91</v>
      </c>
      <c r="W445" s="380">
        <v>0</v>
      </c>
      <c r="X445" s="380">
        <v>0</v>
      </c>
      <c r="Y445" s="380">
        <v>0</v>
      </c>
      <c r="Z445" s="380">
        <v>0</v>
      </c>
      <c r="AA445" s="376" t="s">
        <v>1471</v>
      </c>
      <c r="AB445" s="376" t="s">
        <v>1472</v>
      </c>
      <c r="AC445" s="376" t="s">
        <v>1473</v>
      </c>
      <c r="AD445" s="376" t="s">
        <v>1474</v>
      </c>
      <c r="AE445" s="376" t="s">
        <v>1470</v>
      </c>
      <c r="AF445" s="376" t="s">
        <v>177</v>
      </c>
      <c r="AG445" s="376" t="s">
        <v>178</v>
      </c>
      <c r="AH445" s="381">
        <v>39.93</v>
      </c>
      <c r="AI445" s="381">
        <v>39293.800000000003</v>
      </c>
      <c r="AJ445" s="376" t="s">
        <v>179</v>
      </c>
      <c r="AK445" s="376" t="s">
        <v>180</v>
      </c>
      <c r="AL445" s="376" t="s">
        <v>181</v>
      </c>
      <c r="AM445" s="376" t="s">
        <v>182</v>
      </c>
      <c r="AN445" s="376" t="s">
        <v>68</v>
      </c>
      <c r="AO445" s="379">
        <v>80</v>
      </c>
      <c r="AP445" s="385">
        <v>1</v>
      </c>
      <c r="AQ445" s="385">
        <v>0</v>
      </c>
      <c r="AR445" s="383" t="s">
        <v>183</v>
      </c>
      <c r="AS445" s="387">
        <f t="shared" si="291"/>
        <v>0</v>
      </c>
      <c r="AT445">
        <f t="shared" si="292"/>
        <v>0</v>
      </c>
      <c r="AU445" s="387" t="str">
        <f>IF(AT445=0,"",IF(AND(AT445=1,M445="F",SUMIF(C2:C1334,C445,AS2:AS1334)&lt;=1),SUMIF(C2:C1334,C445,AS2:AS1334),IF(AND(AT445=1,M445="F",SUMIF(C2:C1334,C445,AS2:AS1334)&gt;1),1,"")))</f>
        <v/>
      </c>
      <c r="AV445" s="387" t="str">
        <f>IF(AT445=0,"",IF(AND(AT445=3,M445="F",SUMIF(C2:C1334,C445,AS2:AS1334)&lt;=1),SUMIF(C2:C1334,C445,AS2:AS1334),IF(AND(AT445=3,M445="F",SUMIF(C2:C1334,C445,AS2:AS1334)&gt;1),1,"")))</f>
        <v/>
      </c>
      <c r="AW445" s="387">
        <f>SUMIF(C2:C1334,C445,O2:O1334)</f>
        <v>2</v>
      </c>
      <c r="AX445" s="387">
        <f>IF(AND(M445="F",AS445&lt;&gt;0),SUMIF(C2:C1334,C445,W2:W1334),0)</f>
        <v>0</v>
      </c>
      <c r="AY445" s="387" t="str">
        <f t="shared" si="293"/>
        <v/>
      </c>
      <c r="AZ445" s="387" t="str">
        <f t="shared" si="294"/>
        <v/>
      </c>
      <c r="BA445" s="387">
        <f t="shared" si="295"/>
        <v>0</v>
      </c>
      <c r="BB445" s="387">
        <f t="shared" si="264"/>
        <v>0</v>
      </c>
      <c r="BC445" s="387">
        <f t="shared" si="265"/>
        <v>0</v>
      </c>
      <c r="BD445" s="387">
        <f t="shared" si="266"/>
        <v>0</v>
      </c>
      <c r="BE445" s="387">
        <f t="shared" si="267"/>
        <v>0</v>
      </c>
      <c r="BF445" s="387">
        <f t="shared" si="268"/>
        <v>0</v>
      </c>
      <c r="BG445" s="387">
        <f t="shared" si="269"/>
        <v>0</v>
      </c>
      <c r="BH445" s="387">
        <f t="shared" si="270"/>
        <v>0</v>
      </c>
      <c r="BI445" s="387">
        <f t="shared" si="271"/>
        <v>0</v>
      </c>
      <c r="BJ445" s="387">
        <f t="shared" si="272"/>
        <v>0</v>
      </c>
      <c r="BK445" s="387">
        <f t="shared" si="273"/>
        <v>0</v>
      </c>
      <c r="BL445" s="387">
        <f t="shared" si="296"/>
        <v>0</v>
      </c>
      <c r="BM445" s="387">
        <f t="shared" si="297"/>
        <v>0</v>
      </c>
      <c r="BN445" s="387">
        <f t="shared" si="274"/>
        <v>0</v>
      </c>
      <c r="BO445" s="387">
        <f t="shared" si="275"/>
        <v>0</v>
      </c>
      <c r="BP445" s="387">
        <f t="shared" si="276"/>
        <v>0</v>
      </c>
      <c r="BQ445" s="387">
        <f t="shared" si="277"/>
        <v>0</v>
      </c>
      <c r="BR445" s="387">
        <f t="shared" si="278"/>
        <v>0</v>
      </c>
      <c r="BS445" s="387">
        <f t="shared" si="279"/>
        <v>0</v>
      </c>
      <c r="BT445" s="387">
        <f t="shared" si="280"/>
        <v>0</v>
      </c>
      <c r="BU445" s="387">
        <f t="shared" si="281"/>
        <v>0</v>
      </c>
      <c r="BV445" s="387">
        <f t="shared" si="282"/>
        <v>0</v>
      </c>
      <c r="BW445" s="387">
        <f t="shared" si="283"/>
        <v>0</v>
      </c>
      <c r="BX445" s="387">
        <f t="shared" si="298"/>
        <v>0</v>
      </c>
      <c r="BY445" s="387">
        <f t="shared" si="299"/>
        <v>0</v>
      </c>
      <c r="BZ445" s="387">
        <f t="shared" si="300"/>
        <v>0</v>
      </c>
      <c r="CA445" s="387">
        <f t="shared" si="301"/>
        <v>0</v>
      </c>
      <c r="CB445" s="387">
        <f t="shared" si="302"/>
        <v>0</v>
      </c>
      <c r="CC445" s="387">
        <f t="shared" si="284"/>
        <v>0</v>
      </c>
      <c r="CD445" s="387">
        <f t="shared" si="285"/>
        <v>0</v>
      </c>
      <c r="CE445" s="387">
        <f t="shared" si="286"/>
        <v>0</v>
      </c>
      <c r="CF445" s="387">
        <f t="shared" si="287"/>
        <v>0</v>
      </c>
      <c r="CG445" s="387">
        <f t="shared" si="288"/>
        <v>0</v>
      </c>
      <c r="CH445" s="387">
        <f t="shared" si="289"/>
        <v>0</v>
      </c>
      <c r="CI445" s="387">
        <f t="shared" si="290"/>
        <v>0</v>
      </c>
      <c r="CJ445" s="387">
        <f t="shared" si="303"/>
        <v>0</v>
      </c>
      <c r="CK445" s="387" t="str">
        <f t="shared" si="304"/>
        <v/>
      </c>
      <c r="CL445" s="387" t="str">
        <f t="shared" si="305"/>
        <v/>
      </c>
      <c r="CM445" s="387" t="str">
        <f t="shared" si="306"/>
        <v/>
      </c>
      <c r="CN445" s="387" t="str">
        <f t="shared" si="307"/>
        <v>0348-31</v>
      </c>
    </row>
    <row r="446" spans="1:92" ht="15.75" thickBot="1" x14ac:dyDescent="0.3">
      <c r="A446" s="376" t="s">
        <v>161</v>
      </c>
      <c r="B446" s="376" t="s">
        <v>162</v>
      </c>
      <c r="C446" s="376" t="s">
        <v>543</v>
      </c>
      <c r="D446" s="376" t="s">
        <v>326</v>
      </c>
      <c r="E446" s="376" t="s">
        <v>224</v>
      </c>
      <c r="F446" s="382" t="s">
        <v>225</v>
      </c>
      <c r="G446" s="376" t="s">
        <v>781</v>
      </c>
      <c r="H446" s="378"/>
      <c r="I446" s="378"/>
      <c r="J446" s="376" t="s">
        <v>215</v>
      </c>
      <c r="K446" s="376" t="s">
        <v>327</v>
      </c>
      <c r="L446" s="376" t="s">
        <v>170</v>
      </c>
      <c r="M446" s="376" t="s">
        <v>272</v>
      </c>
      <c r="N446" s="376" t="s">
        <v>172</v>
      </c>
      <c r="O446" s="379">
        <v>0</v>
      </c>
      <c r="P446" s="385">
        <v>0</v>
      </c>
      <c r="Q446" s="385">
        <v>0</v>
      </c>
      <c r="R446" s="380">
        <v>80</v>
      </c>
      <c r="S446" s="385">
        <v>0</v>
      </c>
      <c r="T446" s="380">
        <v>35004.5</v>
      </c>
      <c r="U446" s="380">
        <v>0</v>
      </c>
      <c r="V446" s="380">
        <v>8566.6299999999992</v>
      </c>
      <c r="W446" s="380">
        <v>0</v>
      </c>
      <c r="X446" s="380">
        <v>0</v>
      </c>
      <c r="Y446" s="380">
        <v>0</v>
      </c>
      <c r="Z446" s="380">
        <v>0</v>
      </c>
      <c r="AA446" s="378"/>
      <c r="AB446" s="376" t="s">
        <v>45</v>
      </c>
      <c r="AC446" s="376" t="s">
        <v>45</v>
      </c>
      <c r="AD446" s="378"/>
      <c r="AE446" s="378"/>
      <c r="AF446" s="378"/>
      <c r="AG446" s="378"/>
      <c r="AH446" s="379">
        <v>0</v>
      </c>
      <c r="AI446" s="379">
        <v>0</v>
      </c>
      <c r="AJ446" s="378"/>
      <c r="AK446" s="378"/>
      <c r="AL446" s="376" t="s">
        <v>181</v>
      </c>
      <c r="AM446" s="378"/>
      <c r="AN446" s="378"/>
      <c r="AO446" s="379">
        <v>0</v>
      </c>
      <c r="AP446" s="385">
        <v>0</v>
      </c>
      <c r="AQ446" s="385">
        <v>0</v>
      </c>
      <c r="AR446" s="384"/>
      <c r="AS446" s="387">
        <f t="shared" si="291"/>
        <v>0</v>
      </c>
      <c r="AT446">
        <f t="shared" si="292"/>
        <v>0</v>
      </c>
      <c r="AU446" s="387" t="str">
        <f>IF(AT446=0,"",IF(AND(AT446=1,M446="F",SUMIF(C2:C1334,C446,AS2:AS1334)&lt;=1),SUMIF(C2:C1334,C446,AS2:AS1334),IF(AND(AT446=1,M446="F",SUMIF(C2:C1334,C446,AS2:AS1334)&gt;1),1,"")))</f>
        <v/>
      </c>
      <c r="AV446" s="387" t="str">
        <f>IF(AT446=0,"",IF(AND(AT446=3,M446="F",SUMIF(C2:C1334,C446,AS2:AS1334)&lt;=1),SUMIF(C2:C1334,C446,AS2:AS1334),IF(AND(AT446=3,M446="F",SUMIF(C2:C1334,C446,AS2:AS1334)&gt;1),1,"")))</f>
        <v/>
      </c>
      <c r="AW446" s="387">
        <f>SUMIF(C2:C1334,C446,O2:O1334)</f>
        <v>0</v>
      </c>
      <c r="AX446" s="387">
        <f>IF(AND(M446="F",AS446&lt;&gt;0),SUMIF(C2:C1334,C446,W2:W1334),0)</f>
        <v>0</v>
      </c>
      <c r="AY446" s="387" t="str">
        <f t="shared" si="293"/>
        <v/>
      </c>
      <c r="AZ446" s="387" t="str">
        <f t="shared" si="294"/>
        <v/>
      </c>
      <c r="BA446" s="387">
        <f t="shared" si="295"/>
        <v>0</v>
      </c>
      <c r="BB446" s="387">
        <f t="shared" si="264"/>
        <v>0</v>
      </c>
      <c r="BC446" s="387">
        <f t="shared" si="265"/>
        <v>0</v>
      </c>
      <c r="BD446" s="387">
        <f t="shared" si="266"/>
        <v>0</v>
      </c>
      <c r="BE446" s="387">
        <f t="shared" si="267"/>
        <v>0</v>
      </c>
      <c r="BF446" s="387">
        <f t="shared" si="268"/>
        <v>0</v>
      </c>
      <c r="BG446" s="387">
        <f t="shared" si="269"/>
        <v>0</v>
      </c>
      <c r="BH446" s="387">
        <f t="shared" si="270"/>
        <v>0</v>
      </c>
      <c r="BI446" s="387">
        <f t="shared" si="271"/>
        <v>0</v>
      </c>
      <c r="BJ446" s="387">
        <f t="shared" si="272"/>
        <v>0</v>
      </c>
      <c r="BK446" s="387">
        <f t="shared" si="273"/>
        <v>0</v>
      </c>
      <c r="BL446" s="387">
        <f t="shared" si="296"/>
        <v>0</v>
      </c>
      <c r="BM446" s="387">
        <f t="shared" si="297"/>
        <v>0</v>
      </c>
      <c r="BN446" s="387">
        <f t="shared" si="274"/>
        <v>0</v>
      </c>
      <c r="BO446" s="387">
        <f t="shared" si="275"/>
        <v>0</v>
      </c>
      <c r="BP446" s="387">
        <f t="shared" si="276"/>
        <v>0</v>
      </c>
      <c r="BQ446" s="387">
        <f t="shared" si="277"/>
        <v>0</v>
      </c>
      <c r="BR446" s="387">
        <f t="shared" si="278"/>
        <v>0</v>
      </c>
      <c r="BS446" s="387">
        <f t="shared" si="279"/>
        <v>0</v>
      </c>
      <c r="BT446" s="387">
        <f t="shared" si="280"/>
        <v>0</v>
      </c>
      <c r="BU446" s="387">
        <f t="shared" si="281"/>
        <v>0</v>
      </c>
      <c r="BV446" s="387">
        <f t="shared" si="282"/>
        <v>0</v>
      </c>
      <c r="BW446" s="387">
        <f t="shared" si="283"/>
        <v>0</v>
      </c>
      <c r="BX446" s="387">
        <f t="shared" si="298"/>
        <v>0</v>
      </c>
      <c r="BY446" s="387">
        <f t="shared" si="299"/>
        <v>0</v>
      </c>
      <c r="BZ446" s="387">
        <f t="shared" si="300"/>
        <v>0</v>
      </c>
      <c r="CA446" s="387">
        <f t="shared" si="301"/>
        <v>0</v>
      </c>
      <c r="CB446" s="387">
        <f t="shared" si="302"/>
        <v>0</v>
      </c>
      <c r="CC446" s="387">
        <f t="shared" si="284"/>
        <v>0</v>
      </c>
      <c r="CD446" s="387">
        <f t="shared" si="285"/>
        <v>0</v>
      </c>
      <c r="CE446" s="387">
        <f t="shared" si="286"/>
        <v>0</v>
      </c>
      <c r="CF446" s="387">
        <f t="shared" si="287"/>
        <v>0</v>
      </c>
      <c r="CG446" s="387">
        <f t="shared" si="288"/>
        <v>0</v>
      </c>
      <c r="CH446" s="387">
        <f t="shared" si="289"/>
        <v>0</v>
      </c>
      <c r="CI446" s="387">
        <f t="shared" si="290"/>
        <v>0</v>
      </c>
      <c r="CJ446" s="387">
        <f t="shared" si="303"/>
        <v>0</v>
      </c>
      <c r="CK446" s="387" t="str">
        <f t="shared" si="304"/>
        <v/>
      </c>
      <c r="CL446" s="387" t="str">
        <f t="shared" si="305"/>
        <v/>
      </c>
      <c r="CM446" s="387" t="str">
        <f t="shared" si="306"/>
        <v/>
      </c>
      <c r="CN446" s="387" t="str">
        <f t="shared" si="307"/>
        <v>0348-31</v>
      </c>
    </row>
    <row r="447" spans="1:92" ht="15.75" thickBot="1" x14ac:dyDescent="0.3">
      <c r="A447" s="376" t="s">
        <v>161</v>
      </c>
      <c r="B447" s="376" t="s">
        <v>162</v>
      </c>
      <c r="C447" s="376" t="s">
        <v>1475</v>
      </c>
      <c r="D447" s="376" t="s">
        <v>1476</v>
      </c>
      <c r="E447" s="376" t="s">
        <v>224</v>
      </c>
      <c r="F447" s="382" t="s">
        <v>225</v>
      </c>
      <c r="G447" s="376" t="s">
        <v>781</v>
      </c>
      <c r="H447" s="378"/>
      <c r="I447" s="378"/>
      <c r="J447" s="376" t="s">
        <v>215</v>
      </c>
      <c r="K447" s="376" t="s">
        <v>1477</v>
      </c>
      <c r="L447" s="376" t="s">
        <v>296</v>
      </c>
      <c r="M447" s="376" t="s">
        <v>171</v>
      </c>
      <c r="N447" s="376" t="s">
        <v>877</v>
      </c>
      <c r="O447" s="379">
        <v>1</v>
      </c>
      <c r="P447" s="385">
        <v>1</v>
      </c>
      <c r="Q447" s="385">
        <v>1</v>
      </c>
      <c r="R447" s="380">
        <v>80</v>
      </c>
      <c r="S447" s="385">
        <v>1</v>
      </c>
      <c r="T447" s="380">
        <v>48324.08</v>
      </c>
      <c r="U447" s="380">
        <v>0</v>
      </c>
      <c r="V447" s="380">
        <v>21892.95</v>
      </c>
      <c r="W447" s="380">
        <v>50356.800000000003</v>
      </c>
      <c r="X447" s="380">
        <v>22539.63</v>
      </c>
      <c r="Y447" s="380">
        <v>50356.800000000003</v>
      </c>
      <c r="Z447" s="380">
        <v>22328.14</v>
      </c>
      <c r="AA447" s="376" t="s">
        <v>1478</v>
      </c>
      <c r="AB447" s="376" t="s">
        <v>843</v>
      </c>
      <c r="AC447" s="376" t="s">
        <v>1479</v>
      </c>
      <c r="AD447" s="376" t="s">
        <v>198</v>
      </c>
      <c r="AE447" s="376" t="s">
        <v>1477</v>
      </c>
      <c r="AF447" s="376" t="s">
        <v>301</v>
      </c>
      <c r="AG447" s="376" t="s">
        <v>178</v>
      </c>
      <c r="AH447" s="381">
        <v>24.21</v>
      </c>
      <c r="AI447" s="381">
        <v>3633.5</v>
      </c>
      <c r="AJ447" s="376" t="s">
        <v>179</v>
      </c>
      <c r="AK447" s="376" t="s">
        <v>180</v>
      </c>
      <c r="AL447" s="376" t="s">
        <v>181</v>
      </c>
      <c r="AM447" s="376" t="s">
        <v>182</v>
      </c>
      <c r="AN447" s="376" t="s">
        <v>68</v>
      </c>
      <c r="AO447" s="379">
        <v>80</v>
      </c>
      <c r="AP447" s="385">
        <v>1</v>
      </c>
      <c r="AQ447" s="385">
        <v>1</v>
      </c>
      <c r="AR447" s="383" t="s">
        <v>183</v>
      </c>
      <c r="AS447" s="387">
        <f t="shared" si="291"/>
        <v>1</v>
      </c>
      <c r="AT447">
        <f t="shared" si="292"/>
        <v>1</v>
      </c>
      <c r="AU447" s="387">
        <f>IF(AT447=0,"",IF(AND(AT447=1,M447="F",SUMIF(C2:C1334,C447,AS2:AS1334)&lt;=1),SUMIF(C2:C1334,C447,AS2:AS1334),IF(AND(AT447=1,M447="F",SUMIF(C2:C1334,C447,AS2:AS1334)&gt;1),1,"")))</f>
        <v>1</v>
      </c>
      <c r="AV447" s="387" t="str">
        <f>IF(AT447=0,"",IF(AND(AT447=3,M447="F",SUMIF(C2:C1334,C447,AS2:AS1334)&lt;=1),SUMIF(C2:C1334,C447,AS2:AS1334),IF(AND(AT447=3,M447="F",SUMIF(C2:C1334,C447,AS2:AS1334)&gt;1),1,"")))</f>
        <v/>
      </c>
      <c r="AW447" s="387">
        <f>SUMIF(C2:C1334,C447,O2:O1334)</f>
        <v>1</v>
      </c>
      <c r="AX447" s="387">
        <f>IF(AND(M447="F",AS447&lt;&gt;0),SUMIF(C2:C1334,C447,W2:W1334),0)</f>
        <v>50356.800000000003</v>
      </c>
      <c r="AY447" s="387">
        <f t="shared" si="293"/>
        <v>50356.800000000003</v>
      </c>
      <c r="AZ447" s="387" t="str">
        <f t="shared" si="294"/>
        <v/>
      </c>
      <c r="BA447" s="387">
        <f t="shared" si="295"/>
        <v>0</v>
      </c>
      <c r="BB447" s="387">
        <f t="shared" si="264"/>
        <v>11650</v>
      </c>
      <c r="BC447" s="387">
        <f t="shared" si="265"/>
        <v>0</v>
      </c>
      <c r="BD447" s="387">
        <f t="shared" si="266"/>
        <v>3122.1215999999999</v>
      </c>
      <c r="BE447" s="387">
        <f t="shared" si="267"/>
        <v>730.17360000000008</v>
      </c>
      <c r="BF447" s="387">
        <f t="shared" si="268"/>
        <v>6012.601920000001</v>
      </c>
      <c r="BG447" s="387">
        <f t="shared" si="269"/>
        <v>363.07252800000003</v>
      </c>
      <c r="BH447" s="387">
        <f t="shared" si="270"/>
        <v>246.74832000000001</v>
      </c>
      <c r="BI447" s="387">
        <f t="shared" si="271"/>
        <v>278.72488800000002</v>
      </c>
      <c r="BJ447" s="387">
        <f t="shared" si="272"/>
        <v>135.96336000000002</v>
      </c>
      <c r="BK447" s="387">
        <f t="shared" si="273"/>
        <v>0</v>
      </c>
      <c r="BL447" s="387">
        <f t="shared" si="296"/>
        <v>10889.406216000003</v>
      </c>
      <c r="BM447" s="387">
        <f t="shared" si="297"/>
        <v>0</v>
      </c>
      <c r="BN447" s="387">
        <f t="shared" si="274"/>
        <v>11650</v>
      </c>
      <c r="BO447" s="387">
        <f t="shared" si="275"/>
        <v>0</v>
      </c>
      <c r="BP447" s="387">
        <f t="shared" si="276"/>
        <v>3122.1215999999999</v>
      </c>
      <c r="BQ447" s="387">
        <f t="shared" si="277"/>
        <v>730.17360000000008</v>
      </c>
      <c r="BR447" s="387">
        <f t="shared" si="278"/>
        <v>6012.601920000001</v>
      </c>
      <c r="BS447" s="387">
        <f t="shared" si="279"/>
        <v>363.07252800000003</v>
      </c>
      <c r="BT447" s="387">
        <f t="shared" si="280"/>
        <v>0</v>
      </c>
      <c r="BU447" s="387">
        <f t="shared" si="281"/>
        <v>278.72488800000002</v>
      </c>
      <c r="BV447" s="387">
        <f t="shared" si="282"/>
        <v>171.21312</v>
      </c>
      <c r="BW447" s="387">
        <f t="shared" si="283"/>
        <v>0</v>
      </c>
      <c r="BX447" s="387">
        <f t="shared" si="298"/>
        <v>10677.907656000003</v>
      </c>
      <c r="BY447" s="387">
        <f t="shared" si="299"/>
        <v>0</v>
      </c>
      <c r="BZ447" s="387">
        <f t="shared" si="300"/>
        <v>0</v>
      </c>
      <c r="CA447" s="387">
        <f t="shared" si="301"/>
        <v>0</v>
      </c>
      <c r="CB447" s="387">
        <f t="shared" si="302"/>
        <v>0</v>
      </c>
      <c r="CC447" s="387">
        <f t="shared" si="284"/>
        <v>0</v>
      </c>
      <c r="CD447" s="387">
        <f t="shared" si="285"/>
        <v>0</v>
      </c>
      <c r="CE447" s="387">
        <f t="shared" si="286"/>
        <v>0</v>
      </c>
      <c r="CF447" s="387">
        <f t="shared" si="287"/>
        <v>-246.74832000000001</v>
      </c>
      <c r="CG447" s="387">
        <f t="shared" si="288"/>
        <v>0</v>
      </c>
      <c r="CH447" s="387">
        <f t="shared" si="289"/>
        <v>35.249759999999988</v>
      </c>
      <c r="CI447" s="387">
        <f t="shared" si="290"/>
        <v>0</v>
      </c>
      <c r="CJ447" s="387">
        <f t="shared" si="303"/>
        <v>-211.49856000000003</v>
      </c>
      <c r="CK447" s="387" t="str">
        <f t="shared" si="304"/>
        <v/>
      </c>
      <c r="CL447" s="387" t="str">
        <f t="shared" si="305"/>
        <v/>
      </c>
      <c r="CM447" s="387" t="str">
        <f t="shared" si="306"/>
        <v/>
      </c>
      <c r="CN447" s="387" t="str">
        <f t="shared" si="307"/>
        <v>0348-31</v>
      </c>
    </row>
    <row r="448" spans="1:92" ht="15.75" thickBot="1" x14ac:dyDescent="0.3">
      <c r="A448" s="376" t="s">
        <v>161</v>
      </c>
      <c r="B448" s="376" t="s">
        <v>162</v>
      </c>
      <c r="C448" s="376" t="s">
        <v>1480</v>
      </c>
      <c r="D448" s="376" t="s">
        <v>862</v>
      </c>
      <c r="E448" s="376" t="s">
        <v>224</v>
      </c>
      <c r="F448" s="382" t="s">
        <v>225</v>
      </c>
      <c r="G448" s="376" t="s">
        <v>781</v>
      </c>
      <c r="H448" s="378"/>
      <c r="I448" s="378"/>
      <c r="J448" s="376" t="s">
        <v>215</v>
      </c>
      <c r="K448" s="376" t="s">
        <v>863</v>
      </c>
      <c r="L448" s="376" t="s">
        <v>252</v>
      </c>
      <c r="M448" s="376" t="s">
        <v>171</v>
      </c>
      <c r="N448" s="376" t="s">
        <v>172</v>
      </c>
      <c r="O448" s="379">
        <v>1</v>
      </c>
      <c r="P448" s="385">
        <v>1</v>
      </c>
      <c r="Q448" s="385">
        <v>1</v>
      </c>
      <c r="R448" s="380">
        <v>80</v>
      </c>
      <c r="S448" s="385">
        <v>1</v>
      </c>
      <c r="T448" s="380">
        <v>41711.43</v>
      </c>
      <c r="U448" s="380">
        <v>0</v>
      </c>
      <c r="V448" s="380">
        <v>19724.060000000001</v>
      </c>
      <c r="W448" s="380">
        <v>49899.199999999997</v>
      </c>
      <c r="X448" s="380">
        <v>22440.67</v>
      </c>
      <c r="Y448" s="380">
        <v>49899.199999999997</v>
      </c>
      <c r="Z448" s="380">
        <v>22231.1</v>
      </c>
      <c r="AA448" s="376" t="s">
        <v>1481</v>
      </c>
      <c r="AB448" s="376" t="s">
        <v>1482</v>
      </c>
      <c r="AC448" s="376" t="s">
        <v>916</v>
      </c>
      <c r="AD448" s="376" t="s">
        <v>170</v>
      </c>
      <c r="AE448" s="376" t="s">
        <v>863</v>
      </c>
      <c r="AF448" s="376" t="s">
        <v>393</v>
      </c>
      <c r="AG448" s="376" t="s">
        <v>178</v>
      </c>
      <c r="AH448" s="381">
        <v>23.99</v>
      </c>
      <c r="AI448" s="381">
        <v>38284.9</v>
      </c>
      <c r="AJ448" s="376" t="s">
        <v>179</v>
      </c>
      <c r="AK448" s="376" t="s">
        <v>180</v>
      </c>
      <c r="AL448" s="376" t="s">
        <v>181</v>
      </c>
      <c r="AM448" s="376" t="s">
        <v>182</v>
      </c>
      <c r="AN448" s="376" t="s">
        <v>68</v>
      </c>
      <c r="AO448" s="379">
        <v>80</v>
      </c>
      <c r="AP448" s="385">
        <v>1</v>
      </c>
      <c r="AQ448" s="385">
        <v>1</v>
      </c>
      <c r="AR448" s="383" t="s">
        <v>183</v>
      </c>
      <c r="AS448" s="387">
        <f t="shared" si="291"/>
        <v>1</v>
      </c>
      <c r="AT448">
        <f t="shared" si="292"/>
        <v>1</v>
      </c>
      <c r="AU448" s="387">
        <f>IF(AT448=0,"",IF(AND(AT448=1,M448="F",SUMIF(C2:C1334,C448,AS2:AS1334)&lt;=1),SUMIF(C2:C1334,C448,AS2:AS1334),IF(AND(AT448=1,M448="F",SUMIF(C2:C1334,C448,AS2:AS1334)&gt;1),1,"")))</f>
        <v>1</v>
      </c>
      <c r="AV448" s="387" t="str">
        <f>IF(AT448=0,"",IF(AND(AT448=3,M448="F",SUMIF(C2:C1334,C448,AS2:AS1334)&lt;=1),SUMIF(C2:C1334,C448,AS2:AS1334),IF(AND(AT448=3,M448="F",SUMIF(C2:C1334,C448,AS2:AS1334)&gt;1),1,"")))</f>
        <v/>
      </c>
      <c r="AW448" s="387">
        <f>SUMIF(C2:C1334,C448,O2:O1334)</f>
        <v>3</v>
      </c>
      <c r="AX448" s="387">
        <f>IF(AND(M448="F",AS448&lt;&gt;0),SUMIF(C2:C1334,C448,W2:W1334),0)</f>
        <v>49899.199999999997</v>
      </c>
      <c r="AY448" s="387">
        <f t="shared" si="293"/>
        <v>49899.199999999997</v>
      </c>
      <c r="AZ448" s="387" t="str">
        <f t="shared" si="294"/>
        <v/>
      </c>
      <c r="BA448" s="387">
        <f t="shared" si="295"/>
        <v>0</v>
      </c>
      <c r="BB448" s="387">
        <f t="shared" si="264"/>
        <v>11650</v>
      </c>
      <c r="BC448" s="387">
        <f t="shared" si="265"/>
        <v>0</v>
      </c>
      <c r="BD448" s="387">
        <f t="shared" si="266"/>
        <v>3093.7503999999999</v>
      </c>
      <c r="BE448" s="387">
        <f t="shared" si="267"/>
        <v>723.53840000000002</v>
      </c>
      <c r="BF448" s="387">
        <f t="shared" si="268"/>
        <v>5957.9644799999996</v>
      </c>
      <c r="BG448" s="387">
        <f t="shared" si="269"/>
        <v>359.77323200000001</v>
      </c>
      <c r="BH448" s="387">
        <f t="shared" si="270"/>
        <v>244.50607999999997</v>
      </c>
      <c r="BI448" s="387">
        <f t="shared" si="271"/>
        <v>276.192072</v>
      </c>
      <c r="BJ448" s="387">
        <f t="shared" si="272"/>
        <v>134.72783999999999</v>
      </c>
      <c r="BK448" s="387">
        <f t="shared" si="273"/>
        <v>0</v>
      </c>
      <c r="BL448" s="387">
        <f t="shared" si="296"/>
        <v>10790.452503999997</v>
      </c>
      <c r="BM448" s="387">
        <f t="shared" si="297"/>
        <v>0</v>
      </c>
      <c r="BN448" s="387">
        <f t="shared" si="274"/>
        <v>11650</v>
      </c>
      <c r="BO448" s="387">
        <f t="shared" si="275"/>
        <v>0</v>
      </c>
      <c r="BP448" s="387">
        <f t="shared" si="276"/>
        <v>3093.7503999999999</v>
      </c>
      <c r="BQ448" s="387">
        <f t="shared" si="277"/>
        <v>723.53840000000002</v>
      </c>
      <c r="BR448" s="387">
        <f t="shared" si="278"/>
        <v>5957.9644799999996</v>
      </c>
      <c r="BS448" s="387">
        <f t="shared" si="279"/>
        <v>359.77323200000001</v>
      </c>
      <c r="BT448" s="387">
        <f t="shared" si="280"/>
        <v>0</v>
      </c>
      <c r="BU448" s="387">
        <f t="shared" si="281"/>
        <v>276.192072</v>
      </c>
      <c r="BV448" s="387">
        <f t="shared" si="282"/>
        <v>169.65727999999999</v>
      </c>
      <c r="BW448" s="387">
        <f t="shared" si="283"/>
        <v>0</v>
      </c>
      <c r="BX448" s="387">
        <f t="shared" si="298"/>
        <v>10580.875863999998</v>
      </c>
      <c r="BY448" s="387">
        <f t="shared" si="299"/>
        <v>0</v>
      </c>
      <c r="BZ448" s="387">
        <f t="shared" si="300"/>
        <v>0</v>
      </c>
      <c r="CA448" s="387">
        <f t="shared" si="301"/>
        <v>0</v>
      </c>
      <c r="CB448" s="387">
        <f t="shared" si="302"/>
        <v>0</v>
      </c>
      <c r="CC448" s="387">
        <f t="shared" si="284"/>
        <v>0</v>
      </c>
      <c r="CD448" s="387">
        <f t="shared" si="285"/>
        <v>0</v>
      </c>
      <c r="CE448" s="387">
        <f t="shared" si="286"/>
        <v>0</v>
      </c>
      <c r="CF448" s="387">
        <f t="shared" si="287"/>
        <v>-244.50607999999997</v>
      </c>
      <c r="CG448" s="387">
        <f t="shared" si="288"/>
        <v>0</v>
      </c>
      <c r="CH448" s="387">
        <f t="shared" si="289"/>
        <v>34.929439999999978</v>
      </c>
      <c r="CI448" s="387">
        <f t="shared" si="290"/>
        <v>0</v>
      </c>
      <c r="CJ448" s="387">
        <f t="shared" si="303"/>
        <v>-209.57664</v>
      </c>
      <c r="CK448" s="387" t="str">
        <f t="shared" si="304"/>
        <v/>
      </c>
      <c r="CL448" s="387" t="str">
        <f t="shared" si="305"/>
        <v/>
      </c>
      <c r="CM448" s="387" t="str">
        <f t="shared" si="306"/>
        <v/>
      </c>
      <c r="CN448" s="387" t="str">
        <f t="shared" si="307"/>
        <v>0348-31</v>
      </c>
    </row>
    <row r="449" spans="1:92" ht="15.75" thickBot="1" x14ac:dyDescent="0.3">
      <c r="A449" s="376" t="s">
        <v>161</v>
      </c>
      <c r="B449" s="376" t="s">
        <v>162</v>
      </c>
      <c r="C449" s="376" t="s">
        <v>1483</v>
      </c>
      <c r="D449" s="376" t="s">
        <v>862</v>
      </c>
      <c r="E449" s="376" t="s">
        <v>224</v>
      </c>
      <c r="F449" s="382" t="s">
        <v>225</v>
      </c>
      <c r="G449" s="376" t="s">
        <v>781</v>
      </c>
      <c r="H449" s="378"/>
      <c r="I449" s="378"/>
      <c r="J449" s="376" t="s">
        <v>215</v>
      </c>
      <c r="K449" s="376" t="s">
        <v>863</v>
      </c>
      <c r="L449" s="376" t="s">
        <v>252</v>
      </c>
      <c r="M449" s="376" t="s">
        <v>171</v>
      </c>
      <c r="N449" s="376" t="s">
        <v>172</v>
      </c>
      <c r="O449" s="379">
        <v>1</v>
      </c>
      <c r="P449" s="385">
        <v>1</v>
      </c>
      <c r="Q449" s="385">
        <v>1</v>
      </c>
      <c r="R449" s="380">
        <v>80</v>
      </c>
      <c r="S449" s="385">
        <v>1</v>
      </c>
      <c r="T449" s="380">
        <v>22127.51</v>
      </c>
      <c r="U449" s="380">
        <v>0</v>
      </c>
      <c r="V449" s="380">
        <v>11766.13</v>
      </c>
      <c r="W449" s="380">
        <v>38833.599999999999</v>
      </c>
      <c r="X449" s="380">
        <v>20047.740000000002</v>
      </c>
      <c r="Y449" s="380">
        <v>38833.599999999999</v>
      </c>
      <c r="Z449" s="380">
        <v>19884.64</v>
      </c>
      <c r="AA449" s="376" t="s">
        <v>1484</v>
      </c>
      <c r="AB449" s="376" t="s">
        <v>1485</v>
      </c>
      <c r="AC449" s="376" t="s">
        <v>851</v>
      </c>
      <c r="AD449" s="376" t="s">
        <v>170</v>
      </c>
      <c r="AE449" s="376" t="s">
        <v>863</v>
      </c>
      <c r="AF449" s="376" t="s">
        <v>393</v>
      </c>
      <c r="AG449" s="376" t="s">
        <v>178</v>
      </c>
      <c r="AH449" s="381">
        <v>18.670000000000002</v>
      </c>
      <c r="AI449" s="381">
        <v>25136.6</v>
      </c>
      <c r="AJ449" s="376" t="s">
        <v>179</v>
      </c>
      <c r="AK449" s="376" t="s">
        <v>180</v>
      </c>
      <c r="AL449" s="376" t="s">
        <v>181</v>
      </c>
      <c r="AM449" s="376" t="s">
        <v>182</v>
      </c>
      <c r="AN449" s="376" t="s">
        <v>68</v>
      </c>
      <c r="AO449" s="379">
        <v>80</v>
      </c>
      <c r="AP449" s="385">
        <v>1</v>
      </c>
      <c r="AQ449" s="385">
        <v>1</v>
      </c>
      <c r="AR449" s="383" t="s">
        <v>183</v>
      </c>
      <c r="AS449" s="387">
        <f t="shared" si="291"/>
        <v>1</v>
      </c>
      <c r="AT449">
        <f t="shared" si="292"/>
        <v>1</v>
      </c>
      <c r="AU449" s="387">
        <f>IF(AT449=0,"",IF(AND(AT449=1,M449="F",SUMIF(C2:C1334,C449,AS2:AS1334)&lt;=1),SUMIF(C2:C1334,C449,AS2:AS1334),IF(AND(AT449=1,M449="F",SUMIF(C2:C1334,C449,AS2:AS1334)&gt;1),1,"")))</f>
        <v>1</v>
      </c>
      <c r="AV449" s="387" t="str">
        <f>IF(AT449=0,"",IF(AND(AT449=3,M449="F",SUMIF(C2:C1334,C449,AS2:AS1334)&lt;=1),SUMIF(C2:C1334,C449,AS2:AS1334),IF(AND(AT449=3,M449="F",SUMIF(C2:C1334,C449,AS2:AS1334)&gt;1),1,"")))</f>
        <v/>
      </c>
      <c r="AW449" s="387">
        <f>SUMIF(C2:C1334,C449,O2:O1334)</f>
        <v>3</v>
      </c>
      <c r="AX449" s="387">
        <f>IF(AND(M449="F",AS449&lt;&gt;0),SUMIF(C2:C1334,C449,W2:W1334),0)</f>
        <v>38833.599999999999</v>
      </c>
      <c r="AY449" s="387">
        <f t="shared" si="293"/>
        <v>38833.599999999999</v>
      </c>
      <c r="AZ449" s="387" t="str">
        <f t="shared" si="294"/>
        <v/>
      </c>
      <c r="BA449" s="387">
        <f t="shared" si="295"/>
        <v>0</v>
      </c>
      <c r="BB449" s="387">
        <f t="shared" si="264"/>
        <v>11650</v>
      </c>
      <c r="BC449" s="387">
        <f t="shared" si="265"/>
        <v>0</v>
      </c>
      <c r="BD449" s="387">
        <f t="shared" si="266"/>
        <v>2407.6831999999999</v>
      </c>
      <c r="BE449" s="387">
        <f t="shared" si="267"/>
        <v>563.08720000000005</v>
      </c>
      <c r="BF449" s="387">
        <f t="shared" si="268"/>
        <v>4636.7318400000004</v>
      </c>
      <c r="BG449" s="387">
        <f t="shared" si="269"/>
        <v>279.99025599999999</v>
      </c>
      <c r="BH449" s="387">
        <f t="shared" si="270"/>
        <v>190.28464</v>
      </c>
      <c r="BI449" s="387">
        <f t="shared" si="271"/>
        <v>214.94397599999999</v>
      </c>
      <c r="BJ449" s="387">
        <f t="shared" si="272"/>
        <v>104.85072</v>
      </c>
      <c r="BK449" s="387">
        <f t="shared" si="273"/>
        <v>0</v>
      </c>
      <c r="BL449" s="387">
        <f t="shared" si="296"/>
        <v>8397.5718319999996</v>
      </c>
      <c r="BM449" s="387">
        <f t="shared" si="297"/>
        <v>0</v>
      </c>
      <c r="BN449" s="387">
        <f t="shared" si="274"/>
        <v>11650</v>
      </c>
      <c r="BO449" s="387">
        <f t="shared" si="275"/>
        <v>0</v>
      </c>
      <c r="BP449" s="387">
        <f t="shared" si="276"/>
        <v>2407.6831999999999</v>
      </c>
      <c r="BQ449" s="387">
        <f t="shared" si="277"/>
        <v>563.08720000000005</v>
      </c>
      <c r="BR449" s="387">
        <f t="shared" si="278"/>
        <v>4636.7318400000004</v>
      </c>
      <c r="BS449" s="387">
        <f t="shared" si="279"/>
        <v>279.99025599999999</v>
      </c>
      <c r="BT449" s="387">
        <f t="shared" si="280"/>
        <v>0</v>
      </c>
      <c r="BU449" s="387">
        <f t="shared" si="281"/>
        <v>214.94397599999999</v>
      </c>
      <c r="BV449" s="387">
        <f t="shared" si="282"/>
        <v>132.03423999999998</v>
      </c>
      <c r="BW449" s="387">
        <f t="shared" si="283"/>
        <v>0</v>
      </c>
      <c r="BX449" s="387">
        <f t="shared" si="298"/>
        <v>8234.4707120000003</v>
      </c>
      <c r="BY449" s="387">
        <f t="shared" si="299"/>
        <v>0</v>
      </c>
      <c r="BZ449" s="387">
        <f t="shared" si="300"/>
        <v>0</v>
      </c>
      <c r="CA449" s="387">
        <f t="shared" si="301"/>
        <v>0</v>
      </c>
      <c r="CB449" s="387">
        <f t="shared" si="302"/>
        <v>0</v>
      </c>
      <c r="CC449" s="387">
        <f t="shared" si="284"/>
        <v>0</v>
      </c>
      <c r="CD449" s="387">
        <f t="shared" si="285"/>
        <v>0</v>
      </c>
      <c r="CE449" s="387">
        <f t="shared" si="286"/>
        <v>0</v>
      </c>
      <c r="CF449" s="387">
        <f t="shared" si="287"/>
        <v>-190.28464</v>
      </c>
      <c r="CG449" s="387">
        <f t="shared" si="288"/>
        <v>0</v>
      </c>
      <c r="CH449" s="387">
        <f t="shared" si="289"/>
        <v>27.183519999999987</v>
      </c>
      <c r="CI449" s="387">
        <f t="shared" si="290"/>
        <v>0</v>
      </c>
      <c r="CJ449" s="387">
        <f t="shared" si="303"/>
        <v>-163.10112000000001</v>
      </c>
      <c r="CK449" s="387" t="str">
        <f t="shared" si="304"/>
        <v/>
      </c>
      <c r="CL449" s="387" t="str">
        <f t="shared" si="305"/>
        <v/>
      </c>
      <c r="CM449" s="387" t="str">
        <f t="shared" si="306"/>
        <v/>
      </c>
      <c r="CN449" s="387" t="str">
        <f t="shared" si="307"/>
        <v>0348-31</v>
      </c>
    </row>
    <row r="450" spans="1:92" ht="15.75" thickBot="1" x14ac:dyDescent="0.3">
      <c r="A450" s="376" t="s">
        <v>161</v>
      </c>
      <c r="B450" s="376" t="s">
        <v>162</v>
      </c>
      <c r="C450" s="376" t="s">
        <v>1486</v>
      </c>
      <c r="D450" s="376" t="s">
        <v>862</v>
      </c>
      <c r="E450" s="376" t="s">
        <v>224</v>
      </c>
      <c r="F450" s="382" t="s">
        <v>225</v>
      </c>
      <c r="G450" s="376" t="s">
        <v>781</v>
      </c>
      <c r="H450" s="378"/>
      <c r="I450" s="378"/>
      <c r="J450" s="376" t="s">
        <v>215</v>
      </c>
      <c r="K450" s="376" t="s">
        <v>863</v>
      </c>
      <c r="L450" s="376" t="s">
        <v>252</v>
      </c>
      <c r="M450" s="376" t="s">
        <v>272</v>
      </c>
      <c r="N450" s="376" t="s">
        <v>172</v>
      </c>
      <c r="O450" s="379">
        <v>0</v>
      </c>
      <c r="P450" s="385">
        <v>0</v>
      </c>
      <c r="Q450" s="385">
        <v>0</v>
      </c>
      <c r="R450" s="380">
        <v>80</v>
      </c>
      <c r="S450" s="385">
        <v>0</v>
      </c>
      <c r="T450" s="380">
        <v>25763.79</v>
      </c>
      <c r="U450" s="380">
        <v>0</v>
      </c>
      <c r="V450" s="380">
        <v>13056.78</v>
      </c>
      <c r="W450" s="380">
        <v>0</v>
      </c>
      <c r="X450" s="380">
        <v>0</v>
      </c>
      <c r="Y450" s="380">
        <v>0</v>
      </c>
      <c r="Z450" s="380">
        <v>0</v>
      </c>
      <c r="AA450" s="378"/>
      <c r="AB450" s="376" t="s">
        <v>45</v>
      </c>
      <c r="AC450" s="376" t="s">
        <v>45</v>
      </c>
      <c r="AD450" s="378"/>
      <c r="AE450" s="378"/>
      <c r="AF450" s="378"/>
      <c r="AG450" s="378"/>
      <c r="AH450" s="379">
        <v>0</v>
      </c>
      <c r="AI450" s="379">
        <v>0</v>
      </c>
      <c r="AJ450" s="378"/>
      <c r="AK450" s="378"/>
      <c r="AL450" s="376" t="s">
        <v>181</v>
      </c>
      <c r="AM450" s="378"/>
      <c r="AN450" s="378"/>
      <c r="AO450" s="379">
        <v>0</v>
      </c>
      <c r="AP450" s="385">
        <v>0</v>
      </c>
      <c r="AQ450" s="385">
        <v>0</v>
      </c>
      <c r="AR450" s="384"/>
      <c r="AS450" s="387">
        <f t="shared" si="291"/>
        <v>0</v>
      </c>
      <c r="AT450">
        <f t="shared" si="292"/>
        <v>0</v>
      </c>
      <c r="AU450" s="387" t="str">
        <f>IF(AT450=0,"",IF(AND(AT450=1,M450="F",SUMIF(C2:C1334,C450,AS2:AS1334)&lt;=1),SUMIF(C2:C1334,C450,AS2:AS1334),IF(AND(AT450=1,M450="F",SUMIF(C2:C1334,C450,AS2:AS1334)&gt;1),1,"")))</f>
        <v/>
      </c>
      <c r="AV450" s="387" t="str">
        <f>IF(AT450=0,"",IF(AND(AT450=3,M450="F",SUMIF(C2:C1334,C450,AS2:AS1334)&lt;=1),SUMIF(C2:C1334,C450,AS2:AS1334),IF(AND(AT450=3,M450="F",SUMIF(C2:C1334,C450,AS2:AS1334)&gt;1),1,"")))</f>
        <v/>
      </c>
      <c r="AW450" s="387">
        <f>SUMIF(C2:C1334,C450,O2:O1334)</f>
        <v>0</v>
      </c>
      <c r="AX450" s="387">
        <f>IF(AND(M450="F",AS450&lt;&gt;0),SUMIF(C2:C1334,C450,W2:W1334),0)</f>
        <v>0</v>
      </c>
      <c r="AY450" s="387" t="str">
        <f t="shared" si="293"/>
        <v/>
      </c>
      <c r="AZ450" s="387" t="str">
        <f t="shared" si="294"/>
        <v/>
      </c>
      <c r="BA450" s="387">
        <f t="shared" si="295"/>
        <v>0</v>
      </c>
      <c r="BB450" s="387">
        <f t="shared" ref="BB450:BB513" si="308">IF(AND(AT450=1,AK450="E",AU450&gt;=0.75,AW450=1),Health,IF(AND(AT450=1,AK450="E",AU450&gt;=0.75),Health*P450,IF(AND(AT450=1,AK450="E",AU450&gt;=0.5,AW450=1),PTHealth,IF(AND(AT450=1,AK450="E",AU450&gt;=0.5),PTHealth*P450,0))))</f>
        <v>0</v>
      </c>
      <c r="BC450" s="387">
        <f t="shared" ref="BC450:BC513" si="309">IF(AND(AT450=3,AK450="E",AV450&gt;=0.75,AW450=1),Health,IF(AND(AT450=3,AK450="E",AV450&gt;=0.75),Health*P450,IF(AND(AT450=3,AK450="E",AV450&gt;=0.5,AW450=1),PTHealth,IF(AND(AT450=3,AK450="E",AV450&gt;=0.5),PTHealth*P450,0))))</f>
        <v>0</v>
      </c>
      <c r="BD450" s="387">
        <f t="shared" ref="BD450:BD513" si="310">IF(AND(AT450&lt;&gt;0,AX450&gt;=MAXSSDI),SSDI*MAXSSDI*P450,IF(AT450&lt;&gt;0,SSDI*W450,0))</f>
        <v>0</v>
      </c>
      <c r="BE450" s="387">
        <f t="shared" ref="BE450:BE513" si="311">IF(AT450&lt;&gt;0,SSHI*W450,0)</f>
        <v>0</v>
      </c>
      <c r="BF450" s="387">
        <f t="shared" ref="BF450:BF513" si="312">IF(AND(AT450&lt;&gt;0,AN450&lt;&gt;"NE"),VLOOKUP(AN450,Retirement_Rates,3,FALSE)*W450,0)</f>
        <v>0</v>
      </c>
      <c r="BG450" s="387">
        <f t="shared" ref="BG450:BG513" si="313">IF(AND(AT450&lt;&gt;0,AJ450&lt;&gt;"PF"),Life*W450,0)</f>
        <v>0</v>
      </c>
      <c r="BH450" s="387">
        <f t="shared" ref="BH450:BH513" si="314">IF(AND(AT450&lt;&gt;0,AM450="Y"),UI*W450,0)</f>
        <v>0</v>
      </c>
      <c r="BI450" s="387">
        <f t="shared" ref="BI450:BI513" si="315">IF(AND(AT450&lt;&gt;0,N450&lt;&gt;"NR"),DHR*W450,0)</f>
        <v>0</v>
      </c>
      <c r="BJ450" s="387">
        <f t="shared" ref="BJ450:BJ513" si="316">IF(AT450&lt;&gt;0,WC*W450,0)</f>
        <v>0</v>
      </c>
      <c r="BK450" s="387">
        <f t="shared" ref="BK450:BK513" si="317">IF(OR(AND(AT450&lt;&gt;0,AJ450&lt;&gt;"PF",AN450&lt;&gt;"NE",AG450&lt;&gt;"A"),AND(AL450="E",OR(AT450=1,AT450=3))),Sick*W450,0)</f>
        <v>0</v>
      </c>
      <c r="BL450" s="387">
        <f t="shared" si="296"/>
        <v>0</v>
      </c>
      <c r="BM450" s="387">
        <f t="shared" si="297"/>
        <v>0</v>
      </c>
      <c r="BN450" s="387">
        <f t="shared" ref="BN450:BN513" si="318">IF(AND(AT450=1,AK450="E",AU450&gt;=0.75,AW450=1),HealthBY,IF(AND(AT450=1,AK450="E",AU450&gt;=0.75),HealthBY*P450,IF(AND(AT450=1,AK450="E",AU450&gt;=0.5,AW450=1),PTHealthBY,IF(AND(AT450=1,AK450="E",AU450&gt;=0.5),PTHealthBY*P450,0))))</f>
        <v>0</v>
      </c>
      <c r="BO450" s="387">
        <f t="shared" ref="BO450:BO513" si="319">IF(AND(AT450=3,AK450="E",AV450&gt;=0.75,AW450=1),HealthBY,IF(AND(AT450=3,AK450="E",AV450&gt;=0.75),HealthBY*P450,IF(AND(AT450=3,AK450="E",AV450&gt;=0.5,AW450=1),PTHealthBY,IF(AND(AT450=3,AK450="E",AV450&gt;=0.5),PTHealthBY*P450,0))))</f>
        <v>0</v>
      </c>
      <c r="BP450" s="387">
        <f t="shared" ref="BP450:BP513" si="320">IF(AND(AT450&lt;&gt;0,(AX450+BA450)&gt;=MAXSSDIBY),SSDIBY*MAXSSDIBY*P450,IF(AT450&lt;&gt;0,SSDIBY*W450,0))</f>
        <v>0</v>
      </c>
      <c r="BQ450" s="387">
        <f t="shared" ref="BQ450:BQ513" si="321">IF(AT450&lt;&gt;0,SSHIBY*W450,0)</f>
        <v>0</v>
      </c>
      <c r="BR450" s="387">
        <f t="shared" ref="BR450:BR513" si="322">IF(AND(AT450&lt;&gt;0,AN450&lt;&gt;"NE"),VLOOKUP(AN450,Retirement_Rates,4,FALSE)*W450,0)</f>
        <v>0</v>
      </c>
      <c r="BS450" s="387">
        <f t="shared" ref="BS450:BS513" si="323">IF(AND(AT450&lt;&gt;0,AJ450&lt;&gt;"PF"),LifeBY*W450,0)</f>
        <v>0</v>
      </c>
      <c r="BT450" s="387">
        <f t="shared" ref="BT450:BT513" si="324">IF(AND(AT450&lt;&gt;0,AM450="Y"),UIBY*W450,0)</f>
        <v>0</v>
      </c>
      <c r="BU450" s="387">
        <f t="shared" ref="BU450:BU513" si="325">IF(AND(AT450&lt;&gt;0,N450&lt;&gt;"NR"),DHRBY*W450,0)</f>
        <v>0</v>
      </c>
      <c r="BV450" s="387">
        <f t="shared" ref="BV450:BV513" si="326">IF(AT450&lt;&gt;0,WCBY*W450,0)</f>
        <v>0</v>
      </c>
      <c r="BW450" s="387">
        <f t="shared" ref="BW450:BW513" si="327">IF(OR(AND(AT450&lt;&gt;0,AJ450&lt;&gt;"PF",AN450&lt;&gt;"NE",AG450&lt;&gt;"A"),AND(AL450="E",OR(AT450=1,AT450=3))),SickBY*W450,0)</f>
        <v>0</v>
      </c>
      <c r="BX450" s="387">
        <f t="shared" si="298"/>
        <v>0</v>
      </c>
      <c r="BY450" s="387">
        <f t="shared" si="299"/>
        <v>0</v>
      </c>
      <c r="BZ450" s="387">
        <f t="shared" si="300"/>
        <v>0</v>
      </c>
      <c r="CA450" s="387">
        <f t="shared" si="301"/>
        <v>0</v>
      </c>
      <c r="CB450" s="387">
        <f t="shared" si="302"/>
        <v>0</v>
      </c>
      <c r="CC450" s="387">
        <f t="shared" ref="CC450:CC513" si="328">IF(AT450&lt;&gt;0,SSHICHG*Y450,0)</f>
        <v>0</v>
      </c>
      <c r="CD450" s="387">
        <f t="shared" ref="CD450:CD513" si="329">IF(AND(AT450&lt;&gt;0,AN450&lt;&gt;"NE"),VLOOKUP(AN450,Retirement_Rates,5,FALSE)*Y450,0)</f>
        <v>0</v>
      </c>
      <c r="CE450" s="387">
        <f t="shared" ref="CE450:CE513" si="330">IF(AND(AT450&lt;&gt;0,AJ450&lt;&gt;"PF"),LifeCHG*Y450,0)</f>
        <v>0</v>
      </c>
      <c r="CF450" s="387">
        <f t="shared" ref="CF450:CF513" si="331">IF(AND(AT450&lt;&gt;0,AM450="Y"),UICHG*Y450,0)</f>
        <v>0</v>
      </c>
      <c r="CG450" s="387">
        <f t="shared" ref="CG450:CG513" si="332">IF(AND(AT450&lt;&gt;0,N450&lt;&gt;"NR"),DHRCHG*Y450,0)</f>
        <v>0</v>
      </c>
      <c r="CH450" s="387">
        <f t="shared" ref="CH450:CH513" si="333">IF(AT450&lt;&gt;0,WCCHG*Y450,0)</f>
        <v>0</v>
      </c>
      <c r="CI450" s="387">
        <f t="shared" ref="CI450:CI513" si="334">IF(OR(AND(AT450&lt;&gt;0,AJ450&lt;&gt;"PF",AN450&lt;&gt;"NE",AG450&lt;&gt;"A"),AND(AL450="E",OR(AT450=1,AT450=3))),SickCHG*Y450,0)</f>
        <v>0</v>
      </c>
      <c r="CJ450" s="387">
        <f t="shared" si="303"/>
        <v>0</v>
      </c>
      <c r="CK450" s="387" t="str">
        <f t="shared" si="304"/>
        <v/>
      </c>
      <c r="CL450" s="387" t="str">
        <f t="shared" si="305"/>
        <v/>
      </c>
      <c r="CM450" s="387" t="str">
        <f t="shared" si="306"/>
        <v/>
      </c>
      <c r="CN450" s="387" t="str">
        <f t="shared" si="307"/>
        <v>0348-31</v>
      </c>
    </row>
    <row r="451" spans="1:92" ht="15.75" thickBot="1" x14ac:dyDescent="0.3">
      <c r="A451" s="376" t="s">
        <v>161</v>
      </c>
      <c r="B451" s="376" t="s">
        <v>162</v>
      </c>
      <c r="C451" s="376" t="s">
        <v>1487</v>
      </c>
      <c r="D451" s="376" t="s">
        <v>238</v>
      </c>
      <c r="E451" s="376" t="s">
        <v>224</v>
      </c>
      <c r="F451" s="382" t="s">
        <v>225</v>
      </c>
      <c r="G451" s="376" t="s">
        <v>781</v>
      </c>
      <c r="H451" s="378"/>
      <c r="I451" s="378"/>
      <c r="J451" s="376" t="s">
        <v>215</v>
      </c>
      <c r="K451" s="376" t="s">
        <v>285</v>
      </c>
      <c r="L451" s="376" t="s">
        <v>170</v>
      </c>
      <c r="M451" s="376" t="s">
        <v>272</v>
      </c>
      <c r="N451" s="376" t="s">
        <v>172</v>
      </c>
      <c r="O451" s="379">
        <v>0</v>
      </c>
      <c r="P451" s="385">
        <v>0</v>
      </c>
      <c r="Q451" s="385">
        <v>0</v>
      </c>
      <c r="R451" s="380">
        <v>80</v>
      </c>
      <c r="S451" s="385">
        <v>0</v>
      </c>
      <c r="T451" s="380">
        <v>3150.4</v>
      </c>
      <c r="U451" s="380">
        <v>0</v>
      </c>
      <c r="V451" s="380">
        <v>417.6</v>
      </c>
      <c r="W451" s="380">
        <v>0</v>
      </c>
      <c r="X451" s="380">
        <v>0</v>
      </c>
      <c r="Y451" s="380">
        <v>0</v>
      </c>
      <c r="Z451" s="380">
        <v>0</v>
      </c>
      <c r="AA451" s="378"/>
      <c r="AB451" s="376" t="s">
        <v>45</v>
      </c>
      <c r="AC451" s="376" t="s">
        <v>45</v>
      </c>
      <c r="AD451" s="378"/>
      <c r="AE451" s="378"/>
      <c r="AF451" s="378"/>
      <c r="AG451" s="378"/>
      <c r="AH451" s="379">
        <v>0</v>
      </c>
      <c r="AI451" s="379">
        <v>0</v>
      </c>
      <c r="AJ451" s="378"/>
      <c r="AK451" s="378"/>
      <c r="AL451" s="376" t="s">
        <v>181</v>
      </c>
      <c r="AM451" s="378"/>
      <c r="AN451" s="378"/>
      <c r="AO451" s="379">
        <v>0</v>
      </c>
      <c r="AP451" s="385">
        <v>0</v>
      </c>
      <c r="AQ451" s="385">
        <v>0</v>
      </c>
      <c r="AR451" s="384"/>
      <c r="AS451" s="387">
        <f t="shared" ref="AS451:AS514" si="335">IF(((AO451/80)*AP451*P451)&gt;1,AQ451,((AO451/80)*AP451*P451))</f>
        <v>0</v>
      </c>
      <c r="AT451">
        <f t="shared" ref="AT451:AT514" si="336">IF(AND(M451="F",N451&lt;&gt;"NG",AS451&lt;&gt;0,AND(AR451&lt;&gt;6,AR451&lt;&gt;36,AR451&lt;&gt;56),AG451&lt;&gt;"A",OR(AG451="H",AJ451="FS")),1,IF(AND(M451="F",N451&lt;&gt;"NG",AS451&lt;&gt;0,AG451="A"),3,0))</f>
        <v>0</v>
      </c>
      <c r="AU451" s="387" t="str">
        <f>IF(AT451=0,"",IF(AND(AT451=1,M451="F",SUMIF(C2:C1334,C451,AS2:AS1334)&lt;=1),SUMIF(C2:C1334,C451,AS2:AS1334),IF(AND(AT451=1,M451="F",SUMIF(C2:C1334,C451,AS2:AS1334)&gt;1),1,"")))</f>
        <v/>
      </c>
      <c r="AV451" s="387" t="str">
        <f>IF(AT451=0,"",IF(AND(AT451=3,M451="F",SUMIF(C2:C1334,C451,AS2:AS1334)&lt;=1),SUMIF(C2:C1334,C451,AS2:AS1334),IF(AND(AT451=3,M451="F",SUMIF(C2:C1334,C451,AS2:AS1334)&gt;1),1,"")))</f>
        <v/>
      </c>
      <c r="AW451" s="387">
        <f>SUMIF(C2:C1334,C451,O2:O1334)</f>
        <v>0</v>
      </c>
      <c r="AX451" s="387">
        <f>IF(AND(M451="F",AS451&lt;&gt;0),SUMIF(C2:C1334,C451,W2:W1334),0)</f>
        <v>0</v>
      </c>
      <c r="AY451" s="387" t="str">
        <f t="shared" ref="AY451:AY514" si="337">IF(AT451=1,W451,"")</f>
        <v/>
      </c>
      <c r="AZ451" s="387" t="str">
        <f t="shared" ref="AZ451:AZ514" si="338">IF(AT451=3,W451,"")</f>
        <v/>
      </c>
      <c r="BA451" s="387">
        <f t="shared" ref="BA451:BA514" si="339">IF(AT451=1,Y451-W451,0)</f>
        <v>0</v>
      </c>
      <c r="BB451" s="387">
        <f t="shared" si="308"/>
        <v>0</v>
      </c>
      <c r="BC451" s="387">
        <f t="shared" si="309"/>
        <v>0</v>
      </c>
      <c r="BD451" s="387">
        <f t="shared" si="310"/>
        <v>0</v>
      </c>
      <c r="BE451" s="387">
        <f t="shared" si="311"/>
        <v>0</v>
      </c>
      <c r="BF451" s="387">
        <f t="shared" si="312"/>
        <v>0</v>
      </c>
      <c r="BG451" s="387">
        <f t="shared" si="313"/>
        <v>0</v>
      </c>
      <c r="BH451" s="387">
        <f t="shared" si="314"/>
        <v>0</v>
      </c>
      <c r="BI451" s="387">
        <f t="shared" si="315"/>
        <v>0</v>
      </c>
      <c r="BJ451" s="387">
        <f t="shared" si="316"/>
        <v>0</v>
      </c>
      <c r="BK451" s="387">
        <f t="shared" si="317"/>
        <v>0</v>
      </c>
      <c r="BL451" s="387">
        <f t="shared" ref="BL451:BL514" si="340">IF(AT451=1,SUM(BD451:BK451),0)</f>
        <v>0</v>
      </c>
      <c r="BM451" s="387">
        <f t="shared" ref="BM451:BM514" si="341">IF(AT451=3,SUM(BD451:BK451),0)</f>
        <v>0</v>
      </c>
      <c r="BN451" s="387">
        <f t="shared" si="318"/>
        <v>0</v>
      </c>
      <c r="BO451" s="387">
        <f t="shared" si="319"/>
        <v>0</v>
      </c>
      <c r="BP451" s="387">
        <f t="shared" si="320"/>
        <v>0</v>
      </c>
      <c r="BQ451" s="387">
        <f t="shared" si="321"/>
        <v>0</v>
      </c>
      <c r="BR451" s="387">
        <f t="shared" si="322"/>
        <v>0</v>
      </c>
      <c r="BS451" s="387">
        <f t="shared" si="323"/>
        <v>0</v>
      </c>
      <c r="BT451" s="387">
        <f t="shared" si="324"/>
        <v>0</v>
      </c>
      <c r="BU451" s="387">
        <f t="shared" si="325"/>
        <v>0</v>
      </c>
      <c r="BV451" s="387">
        <f t="shared" si="326"/>
        <v>0</v>
      </c>
      <c r="BW451" s="387">
        <f t="shared" si="327"/>
        <v>0</v>
      </c>
      <c r="BX451" s="387">
        <f t="shared" ref="BX451:BX514" si="342">IF(AT451=1,SUM(BP451:BW451),0)</f>
        <v>0</v>
      </c>
      <c r="BY451" s="387">
        <f t="shared" ref="BY451:BY514" si="343">IF(AT451=3,SUM(BP451:BW451),0)</f>
        <v>0</v>
      </c>
      <c r="BZ451" s="387">
        <f t="shared" ref="BZ451:BZ514" si="344">IF(AT451=1,BN451-BB451,0)</f>
        <v>0</v>
      </c>
      <c r="CA451" s="387">
        <f t="shared" ref="CA451:CA514" si="345">IF(AT451=3,BO451-BC451,0)</f>
        <v>0</v>
      </c>
      <c r="CB451" s="387">
        <f t="shared" ref="CB451:CB514" si="346">BP451-BD451</f>
        <v>0</v>
      </c>
      <c r="CC451" s="387">
        <f t="shared" si="328"/>
        <v>0</v>
      </c>
      <c r="CD451" s="387">
        <f t="shared" si="329"/>
        <v>0</v>
      </c>
      <c r="CE451" s="387">
        <f t="shared" si="330"/>
        <v>0</v>
      </c>
      <c r="CF451" s="387">
        <f t="shared" si="331"/>
        <v>0</v>
      </c>
      <c r="CG451" s="387">
        <f t="shared" si="332"/>
        <v>0</v>
      </c>
      <c r="CH451" s="387">
        <f t="shared" si="333"/>
        <v>0</v>
      </c>
      <c r="CI451" s="387">
        <f t="shared" si="334"/>
        <v>0</v>
      </c>
      <c r="CJ451" s="387">
        <f t="shared" ref="CJ451:CJ514" si="347">IF(AT451=1,SUM(CB451:CI451),0)</f>
        <v>0</v>
      </c>
      <c r="CK451" s="387" t="str">
        <f t="shared" ref="CK451:CK514" si="348">IF(AT451=3,SUM(CB451:CI451),"")</f>
        <v/>
      </c>
      <c r="CL451" s="387" t="str">
        <f t="shared" ref="CL451:CL514" si="349">IF(OR(N451="NG",AG451="D"),(T451+U451),"")</f>
        <v/>
      </c>
      <c r="CM451" s="387" t="str">
        <f t="shared" ref="CM451:CM514" si="350">IF(OR(N451="NG",AG451="D"),V451,"")</f>
        <v/>
      </c>
      <c r="CN451" s="387" t="str">
        <f t="shared" ref="CN451:CN514" si="351">E451 &amp; "-" &amp; F451</f>
        <v>0348-31</v>
      </c>
    </row>
    <row r="452" spans="1:92" ht="15.75" thickBot="1" x14ac:dyDescent="0.3">
      <c r="A452" s="376" t="s">
        <v>161</v>
      </c>
      <c r="B452" s="376" t="s">
        <v>162</v>
      </c>
      <c r="C452" s="376" t="s">
        <v>785</v>
      </c>
      <c r="D452" s="376" t="s">
        <v>786</v>
      </c>
      <c r="E452" s="376" t="s">
        <v>224</v>
      </c>
      <c r="F452" s="382" t="s">
        <v>225</v>
      </c>
      <c r="G452" s="376" t="s">
        <v>781</v>
      </c>
      <c r="H452" s="378"/>
      <c r="I452" s="378"/>
      <c r="J452" s="376" t="s">
        <v>215</v>
      </c>
      <c r="K452" s="376" t="s">
        <v>787</v>
      </c>
      <c r="L452" s="376" t="s">
        <v>181</v>
      </c>
      <c r="M452" s="376" t="s">
        <v>171</v>
      </c>
      <c r="N452" s="376" t="s">
        <v>172</v>
      </c>
      <c r="O452" s="379">
        <v>1</v>
      </c>
      <c r="P452" s="385">
        <v>1</v>
      </c>
      <c r="Q452" s="385">
        <v>1</v>
      </c>
      <c r="R452" s="380">
        <v>80</v>
      </c>
      <c r="S452" s="385">
        <v>1</v>
      </c>
      <c r="T452" s="380">
        <v>83613.58</v>
      </c>
      <c r="U452" s="380">
        <v>0</v>
      </c>
      <c r="V452" s="380">
        <v>28815.82</v>
      </c>
      <c r="W452" s="380">
        <v>87443.199999999997</v>
      </c>
      <c r="X452" s="380">
        <v>30559.55</v>
      </c>
      <c r="Y452" s="380">
        <v>87443.199999999997</v>
      </c>
      <c r="Z452" s="380">
        <v>30192.29</v>
      </c>
      <c r="AA452" s="376" t="s">
        <v>788</v>
      </c>
      <c r="AB452" s="376" t="s">
        <v>789</v>
      </c>
      <c r="AC452" s="376" t="s">
        <v>790</v>
      </c>
      <c r="AD452" s="376" t="s">
        <v>252</v>
      </c>
      <c r="AE452" s="376" t="s">
        <v>787</v>
      </c>
      <c r="AF452" s="376" t="s">
        <v>211</v>
      </c>
      <c r="AG452" s="376" t="s">
        <v>178</v>
      </c>
      <c r="AH452" s="381">
        <v>42.04</v>
      </c>
      <c r="AI452" s="381">
        <v>73560.800000000003</v>
      </c>
      <c r="AJ452" s="376" t="s">
        <v>179</v>
      </c>
      <c r="AK452" s="376" t="s">
        <v>180</v>
      </c>
      <c r="AL452" s="376" t="s">
        <v>181</v>
      </c>
      <c r="AM452" s="376" t="s">
        <v>182</v>
      </c>
      <c r="AN452" s="376" t="s">
        <v>68</v>
      </c>
      <c r="AO452" s="379">
        <v>80</v>
      </c>
      <c r="AP452" s="385">
        <v>1</v>
      </c>
      <c r="AQ452" s="385">
        <v>1</v>
      </c>
      <c r="AR452" s="383" t="s">
        <v>183</v>
      </c>
      <c r="AS452" s="387">
        <f t="shared" si="335"/>
        <v>1</v>
      </c>
      <c r="AT452">
        <f t="shared" si="336"/>
        <v>1</v>
      </c>
      <c r="AU452" s="387">
        <f>IF(AT452=0,"",IF(AND(AT452=1,M452="F",SUMIF(C2:C1334,C452,AS2:AS1334)&lt;=1),SUMIF(C2:C1334,C452,AS2:AS1334),IF(AND(AT452=1,M452="F",SUMIF(C2:C1334,C452,AS2:AS1334)&gt;1),1,"")))</f>
        <v>1</v>
      </c>
      <c r="AV452" s="387" t="str">
        <f>IF(AT452=0,"",IF(AND(AT452=3,M452="F",SUMIF(C2:C1334,C452,AS2:AS1334)&lt;=1),SUMIF(C2:C1334,C452,AS2:AS1334),IF(AND(AT452=3,M452="F",SUMIF(C2:C1334,C452,AS2:AS1334)&gt;1),1,"")))</f>
        <v/>
      </c>
      <c r="AW452" s="387">
        <f>SUMIF(C2:C1334,C452,O2:O1334)</f>
        <v>3</v>
      </c>
      <c r="AX452" s="387">
        <f>IF(AND(M452="F",AS452&lt;&gt;0),SUMIF(C2:C1334,C452,W2:W1334),0)</f>
        <v>87443.199999999997</v>
      </c>
      <c r="AY452" s="387">
        <f t="shared" si="337"/>
        <v>87443.199999999997</v>
      </c>
      <c r="AZ452" s="387" t="str">
        <f t="shared" si="338"/>
        <v/>
      </c>
      <c r="BA452" s="387">
        <f t="shared" si="339"/>
        <v>0</v>
      </c>
      <c r="BB452" s="387">
        <f t="shared" si="308"/>
        <v>11650</v>
      </c>
      <c r="BC452" s="387">
        <f t="shared" si="309"/>
        <v>0</v>
      </c>
      <c r="BD452" s="387">
        <f t="shared" si="310"/>
        <v>5421.4784</v>
      </c>
      <c r="BE452" s="387">
        <f t="shared" si="311"/>
        <v>1267.9264000000001</v>
      </c>
      <c r="BF452" s="387">
        <f t="shared" si="312"/>
        <v>10440.718080000001</v>
      </c>
      <c r="BG452" s="387">
        <f t="shared" si="313"/>
        <v>630.46547199999998</v>
      </c>
      <c r="BH452" s="387">
        <f t="shared" si="314"/>
        <v>428.47167999999999</v>
      </c>
      <c r="BI452" s="387">
        <f t="shared" si="315"/>
        <v>483.99811199999999</v>
      </c>
      <c r="BJ452" s="387">
        <f t="shared" si="316"/>
        <v>236.09664000000001</v>
      </c>
      <c r="BK452" s="387">
        <f t="shared" si="317"/>
        <v>0</v>
      </c>
      <c r="BL452" s="387">
        <f t="shared" si="340"/>
        <v>18909.154784000002</v>
      </c>
      <c r="BM452" s="387">
        <f t="shared" si="341"/>
        <v>0</v>
      </c>
      <c r="BN452" s="387">
        <f t="shared" si="318"/>
        <v>11650</v>
      </c>
      <c r="BO452" s="387">
        <f t="shared" si="319"/>
        <v>0</v>
      </c>
      <c r="BP452" s="387">
        <f t="shared" si="320"/>
        <v>5421.4784</v>
      </c>
      <c r="BQ452" s="387">
        <f t="shared" si="321"/>
        <v>1267.9264000000001</v>
      </c>
      <c r="BR452" s="387">
        <f t="shared" si="322"/>
        <v>10440.718080000001</v>
      </c>
      <c r="BS452" s="387">
        <f t="shared" si="323"/>
        <v>630.46547199999998</v>
      </c>
      <c r="BT452" s="387">
        <f t="shared" si="324"/>
        <v>0</v>
      </c>
      <c r="BU452" s="387">
        <f t="shared" si="325"/>
        <v>483.99811199999999</v>
      </c>
      <c r="BV452" s="387">
        <f t="shared" si="326"/>
        <v>297.30687999999998</v>
      </c>
      <c r="BW452" s="387">
        <f t="shared" si="327"/>
        <v>0</v>
      </c>
      <c r="BX452" s="387">
        <f t="shared" si="342"/>
        <v>18541.893344000004</v>
      </c>
      <c r="BY452" s="387">
        <f t="shared" si="343"/>
        <v>0</v>
      </c>
      <c r="BZ452" s="387">
        <f t="shared" si="344"/>
        <v>0</v>
      </c>
      <c r="CA452" s="387">
        <f t="shared" si="345"/>
        <v>0</v>
      </c>
      <c r="CB452" s="387">
        <f t="shared" si="346"/>
        <v>0</v>
      </c>
      <c r="CC452" s="387">
        <f t="shared" si="328"/>
        <v>0</v>
      </c>
      <c r="CD452" s="387">
        <f t="shared" si="329"/>
        <v>0</v>
      </c>
      <c r="CE452" s="387">
        <f t="shared" si="330"/>
        <v>0</v>
      </c>
      <c r="CF452" s="387">
        <f t="shared" si="331"/>
        <v>-428.47167999999999</v>
      </c>
      <c r="CG452" s="387">
        <f t="shared" si="332"/>
        <v>0</v>
      </c>
      <c r="CH452" s="387">
        <f t="shared" si="333"/>
        <v>61.21023999999997</v>
      </c>
      <c r="CI452" s="387">
        <f t="shared" si="334"/>
        <v>0</v>
      </c>
      <c r="CJ452" s="387">
        <f t="shared" si="347"/>
        <v>-367.26143999999999</v>
      </c>
      <c r="CK452" s="387" t="str">
        <f t="shared" si="348"/>
        <v/>
      </c>
      <c r="CL452" s="387" t="str">
        <f t="shared" si="349"/>
        <v/>
      </c>
      <c r="CM452" s="387" t="str">
        <f t="shared" si="350"/>
        <v/>
      </c>
      <c r="CN452" s="387" t="str">
        <f t="shared" si="351"/>
        <v>0348-31</v>
      </c>
    </row>
    <row r="453" spans="1:92" ht="15.75" thickBot="1" x14ac:dyDescent="0.3">
      <c r="A453" s="376" t="s">
        <v>161</v>
      </c>
      <c r="B453" s="376" t="s">
        <v>162</v>
      </c>
      <c r="C453" s="376" t="s">
        <v>1488</v>
      </c>
      <c r="D453" s="376" t="s">
        <v>862</v>
      </c>
      <c r="E453" s="376" t="s">
        <v>224</v>
      </c>
      <c r="F453" s="382" t="s">
        <v>225</v>
      </c>
      <c r="G453" s="376" t="s">
        <v>781</v>
      </c>
      <c r="H453" s="378"/>
      <c r="I453" s="378"/>
      <c r="J453" s="376" t="s">
        <v>168</v>
      </c>
      <c r="K453" s="376" t="s">
        <v>863</v>
      </c>
      <c r="L453" s="376" t="s">
        <v>252</v>
      </c>
      <c r="M453" s="376" t="s">
        <v>171</v>
      </c>
      <c r="N453" s="376" t="s">
        <v>172</v>
      </c>
      <c r="O453" s="379">
        <v>1</v>
      </c>
      <c r="P453" s="385">
        <v>0.95</v>
      </c>
      <c r="Q453" s="385">
        <v>0.95</v>
      </c>
      <c r="R453" s="380">
        <v>80</v>
      </c>
      <c r="S453" s="385">
        <v>0.95</v>
      </c>
      <c r="T453" s="380">
        <v>34331.11</v>
      </c>
      <c r="U453" s="380">
        <v>0</v>
      </c>
      <c r="V453" s="380">
        <v>17727.12</v>
      </c>
      <c r="W453" s="380">
        <v>41160.080000000002</v>
      </c>
      <c r="X453" s="380">
        <v>19968.330000000002</v>
      </c>
      <c r="Y453" s="380">
        <v>41160.080000000002</v>
      </c>
      <c r="Z453" s="380">
        <v>19795.45</v>
      </c>
      <c r="AA453" s="376" t="s">
        <v>1489</v>
      </c>
      <c r="AB453" s="376" t="s">
        <v>1490</v>
      </c>
      <c r="AC453" s="376" t="s">
        <v>366</v>
      </c>
      <c r="AD453" s="376" t="s">
        <v>324</v>
      </c>
      <c r="AE453" s="376" t="s">
        <v>863</v>
      </c>
      <c r="AF453" s="376" t="s">
        <v>393</v>
      </c>
      <c r="AG453" s="376" t="s">
        <v>178</v>
      </c>
      <c r="AH453" s="381">
        <v>20.83</v>
      </c>
      <c r="AI453" s="381">
        <v>18094.3</v>
      </c>
      <c r="AJ453" s="376" t="s">
        <v>179</v>
      </c>
      <c r="AK453" s="376" t="s">
        <v>180</v>
      </c>
      <c r="AL453" s="376" t="s">
        <v>181</v>
      </c>
      <c r="AM453" s="376" t="s">
        <v>182</v>
      </c>
      <c r="AN453" s="376" t="s">
        <v>68</v>
      </c>
      <c r="AO453" s="379">
        <v>80</v>
      </c>
      <c r="AP453" s="385">
        <v>1</v>
      </c>
      <c r="AQ453" s="385">
        <v>0.95</v>
      </c>
      <c r="AR453" s="383" t="s">
        <v>183</v>
      </c>
      <c r="AS453" s="387">
        <f t="shared" si="335"/>
        <v>0.95</v>
      </c>
      <c r="AT453">
        <f t="shared" si="336"/>
        <v>1</v>
      </c>
      <c r="AU453" s="387">
        <f>IF(AT453=0,"",IF(AND(AT453=1,M453="F",SUMIF(C2:C1334,C453,AS2:AS1334)&lt;=1),SUMIF(C2:C1334,C453,AS2:AS1334),IF(AND(AT453=1,M453="F",SUMIF(C2:C1334,C453,AS2:AS1334)&gt;1),1,"")))</f>
        <v>1</v>
      </c>
      <c r="AV453" s="387" t="str">
        <f>IF(AT453=0,"",IF(AND(AT453=3,M453="F",SUMIF(C2:C1334,C453,AS2:AS1334)&lt;=1),SUMIF(C2:C1334,C453,AS2:AS1334),IF(AND(AT453=3,M453="F",SUMIF(C2:C1334,C453,AS2:AS1334)&gt;1),1,"")))</f>
        <v/>
      </c>
      <c r="AW453" s="387">
        <f>SUMIF(C2:C1334,C453,O2:O1334)</f>
        <v>3</v>
      </c>
      <c r="AX453" s="387">
        <f>IF(AND(M453="F",AS453&lt;&gt;0),SUMIF(C2:C1334,C453,W2:W1334),0)</f>
        <v>43326.400000000001</v>
      </c>
      <c r="AY453" s="387">
        <f t="shared" si="337"/>
        <v>41160.080000000002</v>
      </c>
      <c r="AZ453" s="387" t="str">
        <f t="shared" si="338"/>
        <v/>
      </c>
      <c r="BA453" s="387">
        <f t="shared" si="339"/>
        <v>0</v>
      </c>
      <c r="BB453" s="387">
        <f t="shared" si="308"/>
        <v>11067.5</v>
      </c>
      <c r="BC453" s="387">
        <f t="shared" si="309"/>
        <v>0</v>
      </c>
      <c r="BD453" s="387">
        <f t="shared" si="310"/>
        <v>2551.9249600000003</v>
      </c>
      <c r="BE453" s="387">
        <f t="shared" si="311"/>
        <v>596.82116000000008</v>
      </c>
      <c r="BF453" s="387">
        <f t="shared" si="312"/>
        <v>4914.5135520000003</v>
      </c>
      <c r="BG453" s="387">
        <f t="shared" si="313"/>
        <v>296.76417680000003</v>
      </c>
      <c r="BH453" s="387">
        <f t="shared" si="314"/>
        <v>201.684392</v>
      </c>
      <c r="BI453" s="387">
        <f t="shared" si="315"/>
        <v>227.82104280000001</v>
      </c>
      <c r="BJ453" s="387">
        <f t="shared" si="316"/>
        <v>111.13221600000001</v>
      </c>
      <c r="BK453" s="387">
        <f t="shared" si="317"/>
        <v>0</v>
      </c>
      <c r="BL453" s="387">
        <f t="shared" si="340"/>
        <v>8900.6614995999989</v>
      </c>
      <c r="BM453" s="387">
        <f t="shared" si="341"/>
        <v>0</v>
      </c>
      <c r="BN453" s="387">
        <f t="shared" si="318"/>
        <v>11067.5</v>
      </c>
      <c r="BO453" s="387">
        <f t="shared" si="319"/>
        <v>0</v>
      </c>
      <c r="BP453" s="387">
        <f t="shared" si="320"/>
        <v>2551.9249600000003</v>
      </c>
      <c r="BQ453" s="387">
        <f t="shared" si="321"/>
        <v>596.82116000000008</v>
      </c>
      <c r="BR453" s="387">
        <f t="shared" si="322"/>
        <v>4914.5135520000003</v>
      </c>
      <c r="BS453" s="387">
        <f t="shared" si="323"/>
        <v>296.76417680000003</v>
      </c>
      <c r="BT453" s="387">
        <f t="shared" si="324"/>
        <v>0</v>
      </c>
      <c r="BU453" s="387">
        <f t="shared" si="325"/>
        <v>227.82104280000001</v>
      </c>
      <c r="BV453" s="387">
        <f t="shared" si="326"/>
        <v>139.94427200000001</v>
      </c>
      <c r="BW453" s="387">
        <f t="shared" si="327"/>
        <v>0</v>
      </c>
      <c r="BX453" s="387">
        <f t="shared" si="342"/>
        <v>8727.7891636000004</v>
      </c>
      <c r="BY453" s="387">
        <f t="shared" si="343"/>
        <v>0</v>
      </c>
      <c r="BZ453" s="387">
        <f t="shared" si="344"/>
        <v>0</v>
      </c>
      <c r="CA453" s="387">
        <f t="shared" si="345"/>
        <v>0</v>
      </c>
      <c r="CB453" s="387">
        <f t="shared" si="346"/>
        <v>0</v>
      </c>
      <c r="CC453" s="387">
        <f t="shared" si="328"/>
        <v>0</v>
      </c>
      <c r="CD453" s="387">
        <f t="shared" si="329"/>
        <v>0</v>
      </c>
      <c r="CE453" s="387">
        <f t="shared" si="330"/>
        <v>0</v>
      </c>
      <c r="CF453" s="387">
        <f t="shared" si="331"/>
        <v>-201.684392</v>
      </c>
      <c r="CG453" s="387">
        <f t="shared" si="332"/>
        <v>0</v>
      </c>
      <c r="CH453" s="387">
        <f t="shared" si="333"/>
        <v>28.812055999999988</v>
      </c>
      <c r="CI453" s="387">
        <f t="shared" si="334"/>
        <v>0</v>
      </c>
      <c r="CJ453" s="387">
        <f t="shared" si="347"/>
        <v>-172.87233600000002</v>
      </c>
      <c r="CK453" s="387" t="str">
        <f t="shared" si="348"/>
        <v/>
      </c>
      <c r="CL453" s="387" t="str">
        <f t="shared" si="349"/>
        <v/>
      </c>
      <c r="CM453" s="387" t="str">
        <f t="shared" si="350"/>
        <v/>
      </c>
      <c r="CN453" s="387" t="str">
        <f t="shared" si="351"/>
        <v>0348-31</v>
      </c>
    </row>
    <row r="454" spans="1:92" ht="15.75" thickBot="1" x14ac:dyDescent="0.3">
      <c r="A454" s="376" t="s">
        <v>161</v>
      </c>
      <c r="B454" s="376" t="s">
        <v>162</v>
      </c>
      <c r="C454" s="376" t="s">
        <v>1491</v>
      </c>
      <c r="D454" s="376" t="s">
        <v>862</v>
      </c>
      <c r="E454" s="376" t="s">
        <v>224</v>
      </c>
      <c r="F454" s="382" t="s">
        <v>225</v>
      </c>
      <c r="G454" s="376" t="s">
        <v>781</v>
      </c>
      <c r="H454" s="378"/>
      <c r="I454" s="378"/>
      <c r="J454" s="376" t="s">
        <v>168</v>
      </c>
      <c r="K454" s="376" t="s">
        <v>863</v>
      </c>
      <c r="L454" s="376" t="s">
        <v>252</v>
      </c>
      <c r="M454" s="376" t="s">
        <v>171</v>
      </c>
      <c r="N454" s="376" t="s">
        <v>172</v>
      </c>
      <c r="O454" s="379">
        <v>1</v>
      </c>
      <c r="P454" s="385">
        <v>0.7</v>
      </c>
      <c r="Q454" s="385">
        <v>0.7</v>
      </c>
      <c r="R454" s="380">
        <v>80</v>
      </c>
      <c r="S454" s="385">
        <v>0.7</v>
      </c>
      <c r="T454" s="380">
        <v>26760.880000000001</v>
      </c>
      <c r="U454" s="380">
        <v>0</v>
      </c>
      <c r="V454" s="380">
        <v>14251.94</v>
      </c>
      <c r="W454" s="380">
        <v>27343.68</v>
      </c>
      <c r="X454" s="380">
        <v>14068.04</v>
      </c>
      <c r="Y454" s="380">
        <v>27343.68</v>
      </c>
      <c r="Z454" s="380">
        <v>13953.2</v>
      </c>
      <c r="AA454" s="376" t="s">
        <v>1492</v>
      </c>
      <c r="AB454" s="376" t="s">
        <v>1493</v>
      </c>
      <c r="AC454" s="376" t="s">
        <v>1494</v>
      </c>
      <c r="AD454" s="376" t="s">
        <v>170</v>
      </c>
      <c r="AE454" s="376" t="s">
        <v>863</v>
      </c>
      <c r="AF454" s="376" t="s">
        <v>393</v>
      </c>
      <c r="AG454" s="376" t="s">
        <v>178</v>
      </c>
      <c r="AH454" s="381">
        <v>18.78</v>
      </c>
      <c r="AI454" s="381">
        <v>3356.8</v>
      </c>
      <c r="AJ454" s="376" t="s">
        <v>179</v>
      </c>
      <c r="AK454" s="376" t="s">
        <v>180</v>
      </c>
      <c r="AL454" s="376" t="s">
        <v>181</v>
      </c>
      <c r="AM454" s="376" t="s">
        <v>182</v>
      </c>
      <c r="AN454" s="376" t="s">
        <v>68</v>
      </c>
      <c r="AO454" s="379">
        <v>80</v>
      </c>
      <c r="AP454" s="385">
        <v>1</v>
      </c>
      <c r="AQ454" s="385">
        <v>0.7</v>
      </c>
      <c r="AR454" s="383" t="s">
        <v>183</v>
      </c>
      <c r="AS454" s="387">
        <f t="shared" si="335"/>
        <v>0.7</v>
      </c>
      <c r="AT454">
        <f t="shared" si="336"/>
        <v>1</v>
      </c>
      <c r="AU454" s="387">
        <f>IF(AT454=0,"",IF(AND(AT454=1,M454="F",SUMIF(C2:C1334,C454,AS2:AS1334)&lt;=1),SUMIF(C2:C1334,C454,AS2:AS1334),IF(AND(AT454=1,M454="F",SUMIF(C2:C1334,C454,AS2:AS1334)&gt;1),1,"")))</f>
        <v>1</v>
      </c>
      <c r="AV454" s="387" t="str">
        <f>IF(AT454=0,"",IF(AND(AT454=3,M454="F",SUMIF(C2:C1334,C454,AS2:AS1334)&lt;=1),SUMIF(C2:C1334,C454,AS2:AS1334),IF(AND(AT454=3,M454="F",SUMIF(C2:C1334,C454,AS2:AS1334)&gt;1),1,"")))</f>
        <v/>
      </c>
      <c r="AW454" s="387">
        <f>SUMIF(C2:C1334,C454,O2:O1334)</f>
        <v>3</v>
      </c>
      <c r="AX454" s="387">
        <f>IF(AND(M454="F",AS454&lt;&gt;0),SUMIF(C2:C1334,C454,W2:W1334),0)</f>
        <v>39062.400000000001</v>
      </c>
      <c r="AY454" s="387">
        <f t="shared" si="337"/>
        <v>27343.68</v>
      </c>
      <c r="AZ454" s="387" t="str">
        <f t="shared" si="338"/>
        <v/>
      </c>
      <c r="BA454" s="387">
        <f t="shared" si="339"/>
        <v>0</v>
      </c>
      <c r="BB454" s="387">
        <f t="shared" si="308"/>
        <v>8154.9999999999991</v>
      </c>
      <c r="BC454" s="387">
        <f t="shared" si="309"/>
        <v>0</v>
      </c>
      <c r="BD454" s="387">
        <f t="shared" si="310"/>
        <v>1695.30816</v>
      </c>
      <c r="BE454" s="387">
        <f t="shared" si="311"/>
        <v>396.48336</v>
      </c>
      <c r="BF454" s="387">
        <f t="shared" si="312"/>
        <v>3264.8353920000004</v>
      </c>
      <c r="BG454" s="387">
        <f t="shared" si="313"/>
        <v>197.14793280000001</v>
      </c>
      <c r="BH454" s="387">
        <f t="shared" si="314"/>
        <v>133.98403199999998</v>
      </c>
      <c r="BI454" s="387">
        <f t="shared" si="315"/>
        <v>151.34726879999999</v>
      </c>
      <c r="BJ454" s="387">
        <f t="shared" si="316"/>
        <v>73.827936000000008</v>
      </c>
      <c r="BK454" s="387">
        <f t="shared" si="317"/>
        <v>0</v>
      </c>
      <c r="BL454" s="387">
        <f t="shared" si="340"/>
        <v>5912.9340816000004</v>
      </c>
      <c r="BM454" s="387">
        <f t="shared" si="341"/>
        <v>0</v>
      </c>
      <c r="BN454" s="387">
        <f t="shared" si="318"/>
        <v>8154.9999999999991</v>
      </c>
      <c r="BO454" s="387">
        <f t="shared" si="319"/>
        <v>0</v>
      </c>
      <c r="BP454" s="387">
        <f t="shared" si="320"/>
        <v>1695.30816</v>
      </c>
      <c r="BQ454" s="387">
        <f t="shared" si="321"/>
        <v>396.48336</v>
      </c>
      <c r="BR454" s="387">
        <f t="shared" si="322"/>
        <v>3264.8353920000004</v>
      </c>
      <c r="BS454" s="387">
        <f t="shared" si="323"/>
        <v>197.14793280000001</v>
      </c>
      <c r="BT454" s="387">
        <f t="shared" si="324"/>
        <v>0</v>
      </c>
      <c r="BU454" s="387">
        <f t="shared" si="325"/>
        <v>151.34726879999999</v>
      </c>
      <c r="BV454" s="387">
        <f t="shared" si="326"/>
        <v>92.96851199999999</v>
      </c>
      <c r="BW454" s="387">
        <f t="shared" si="327"/>
        <v>0</v>
      </c>
      <c r="BX454" s="387">
        <f t="shared" si="342"/>
        <v>5798.0906256000007</v>
      </c>
      <c r="BY454" s="387">
        <f t="shared" si="343"/>
        <v>0</v>
      </c>
      <c r="BZ454" s="387">
        <f t="shared" si="344"/>
        <v>0</v>
      </c>
      <c r="CA454" s="387">
        <f t="shared" si="345"/>
        <v>0</v>
      </c>
      <c r="CB454" s="387">
        <f t="shared" si="346"/>
        <v>0</v>
      </c>
      <c r="CC454" s="387">
        <f t="shared" si="328"/>
        <v>0</v>
      </c>
      <c r="CD454" s="387">
        <f t="shared" si="329"/>
        <v>0</v>
      </c>
      <c r="CE454" s="387">
        <f t="shared" si="330"/>
        <v>0</v>
      </c>
      <c r="CF454" s="387">
        <f t="shared" si="331"/>
        <v>-133.98403199999998</v>
      </c>
      <c r="CG454" s="387">
        <f t="shared" si="332"/>
        <v>0</v>
      </c>
      <c r="CH454" s="387">
        <f t="shared" si="333"/>
        <v>19.140575999999992</v>
      </c>
      <c r="CI454" s="387">
        <f t="shared" si="334"/>
        <v>0</v>
      </c>
      <c r="CJ454" s="387">
        <f t="shared" si="347"/>
        <v>-114.84345599999999</v>
      </c>
      <c r="CK454" s="387" t="str">
        <f t="shared" si="348"/>
        <v/>
      </c>
      <c r="CL454" s="387" t="str">
        <f t="shared" si="349"/>
        <v/>
      </c>
      <c r="CM454" s="387" t="str">
        <f t="shared" si="350"/>
        <v/>
      </c>
      <c r="CN454" s="387" t="str">
        <f t="shared" si="351"/>
        <v>0348-31</v>
      </c>
    </row>
    <row r="455" spans="1:92" ht="15.75" thickBot="1" x14ac:dyDescent="0.3">
      <c r="A455" s="376" t="s">
        <v>161</v>
      </c>
      <c r="B455" s="376" t="s">
        <v>162</v>
      </c>
      <c r="C455" s="376" t="s">
        <v>1495</v>
      </c>
      <c r="D455" s="376" t="s">
        <v>270</v>
      </c>
      <c r="E455" s="376" t="s">
        <v>224</v>
      </c>
      <c r="F455" s="382" t="s">
        <v>225</v>
      </c>
      <c r="G455" s="376" t="s">
        <v>781</v>
      </c>
      <c r="H455" s="378"/>
      <c r="I455" s="378"/>
      <c r="J455" s="376" t="s">
        <v>215</v>
      </c>
      <c r="K455" s="376" t="s">
        <v>271</v>
      </c>
      <c r="L455" s="376" t="s">
        <v>217</v>
      </c>
      <c r="M455" s="376" t="s">
        <v>171</v>
      </c>
      <c r="N455" s="376" t="s">
        <v>172</v>
      </c>
      <c r="O455" s="379">
        <v>1</v>
      </c>
      <c r="P455" s="385">
        <v>0</v>
      </c>
      <c r="Q455" s="385">
        <v>0</v>
      </c>
      <c r="R455" s="380">
        <v>80</v>
      </c>
      <c r="S455" s="385">
        <v>0</v>
      </c>
      <c r="T455" s="380">
        <v>2156.33</v>
      </c>
      <c r="U455" s="380">
        <v>61.48</v>
      </c>
      <c r="V455" s="380">
        <v>861.92</v>
      </c>
      <c r="W455" s="380">
        <v>0</v>
      </c>
      <c r="X455" s="380">
        <v>0</v>
      </c>
      <c r="Y455" s="380">
        <v>0</v>
      </c>
      <c r="Z455" s="380">
        <v>0</v>
      </c>
      <c r="AA455" s="376" t="s">
        <v>1496</v>
      </c>
      <c r="AB455" s="376" t="s">
        <v>1497</v>
      </c>
      <c r="AC455" s="376" t="s">
        <v>916</v>
      </c>
      <c r="AD455" s="376" t="s">
        <v>1498</v>
      </c>
      <c r="AE455" s="376" t="s">
        <v>271</v>
      </c>
      <c r="AF455" s="376" t="s">
        <v>221</v>
      </c>
      <c r="AG455" s="376" t="s">
        <v>178</v>
      </c>
      <c r="AH455" s="381">
        <v>15.68</v>
      </c>
      <c r="AI455" s="381">
        <v>478.9</v>
      </c>
      <c r="AJ455" s="376" t="s">
        <v>179</v>
      </c>
      <c r="AK455" s="376" t="s">
        <v>180</v>
      </c>
      <c r="AL455" s="376" t="s">
        <v>181</v>
      </c>
      <c r="AM455" s="376" t="s">
        <v>182</v>
      </c>
      <c r="AN455" s="376" t="s">
        <v>68</v>
      </c>
      <c r="AO455" s="379">
        <v>80</v>
      </c>
      <c r="AP455" s="385">
        <v>1</v>
      </c>
      <c r="AQ455" s="385">
        <v>0</v>
      </c>
      <c r="AR455" s="383" t="s">
        <v>183</v>
      </c>
      <c r="AS455" s="387">
        <f t="shared" si="335"/>
        <v>0</v>
      </c>
      <c r="AT455">
        <f t="shared" si="336"/>
        <v>0</v>
      </c>
      <c r="AU455" s="387" t="str">
        <f>IF(AT455=0,"",IF(AND(AT455=1,M455="F",SUMIF(C2:C1334,C455,AS2:AS1334)&lt;=1),SUMIF(C2:C1334,C455,AS2:AS1334),IF(AND(AT455=1,M455="F",SUMIF(C2:C1334,C455,AS2:AS1334)&gt;1),1,"")))</f>
        <v/>
      </c>
      <c r="AV455" s="387" t="str">
        <f>IF(AT455=0,"",IF(AND(AT455=3,M455="F",SUMIF(C2:C1334,C455,AS2:AS1334)&lt;=1),SUMIF(C2:C1334,C455,AS2:AS1334),IF(AND(AT455=3,M455="F",SUMIF(C2:C1334,C455,AS2:AS1334)&gt;1),1,"")))</f>
        <v/>
      </c>
      <c r="AW455" s="387">
        <f>SUMIF(C2:C1334,C455,O2:O1334)</f>
        <v>2</v>
      </c>
      <c r="AX455" s="387">
        <f>IF(AND(M455="F",AS455&lt;&gt;0),SUMIF(C2:C1334,C455,W2:W1334),0)</f>
        <v>0</v>
      </c>
      <c r="AY455" s="387" t="str">
        <f t="shared" si="337"/>
        <v/>
      </c>
      <c r="AZ455" s="387" t="str">
        <f t="shared" si="338"/>
        <v/>
      </c>
      <c r="BA455" s="387">
        <f t="shared" si="339"/>
        <v>0</v>
      </c>
      <c r="BB455" s="387">
        <f t="shared" si="308"/>
        <v>0</v>
      </c>
      <c r="BC455" s="387">
        <f t="shared" si="309"/>
        <v>0</v>
      </c>
      <c r="BD455" s="387">
        <f t="shared" si="310"/>
        <v>0</v>
      </c>
      <c r="BE455" s="387">
        <f t="shared" si="311"/>
        <v>0</v>
      </c>
      <c r="BF455" s="387">
        <f t="shared" si="312"/>
        <v>0</v>
      </c>
      <c r="BG455" s="387">
        <f t="shared" si="313"/>
        <v>0</v>
      </c>
      <c r="BH455" s="387">
        <f t="shared" si="314"/>
        <v>0</v>
      </c>
      <c r="BI455" s="387">
        <f t="shared" si="315"/>
        <v>0</v>
      </c>
      <c r="BJ455" s="387">
        <f t="shared" si="316"/>
        <v>0</v>
      </c>
      <c r="BK455" s="387">
        <f t="shared" si="317"/>
        <v>0</v>
      </c>
      <c r="BL455" s="387">
        <f t="shared" si="340"/>
        <v>0</v>
      </c>
      <c r="BM455" s="387">
        <f t="shared" si="341"/>
        <v>0</v>
      </c>
      <c r="BN455" s="387">
        <f t="shared" si="318"/>
        <v>0</v>
      </c>
      <c r="BO455" s="387">
        <f t="shared" si="319"/>
        <v>0</v>
      </c>
      <c r="BP455" s="387">
        <f t="shared" si="320"/>
        <v>0</v>
      </c>
      <c r="BQ455" s="387">
        <f t="shared" si="321"/>
        <v>0</v>
      </c>
      <c r="BR455" s="387">
        <f t="shared" si="322"/>
        <v>0</v>
      </c>
      <c r="BS455" s="387">
        <f t="shared" si="323"/>
        <v>0</v>
      </c>
      <c r="BT455" s="387">
        <f t="shared" si="324"/>
        <v>0</v>
      </c>
      <c r="BU455" s="387">
        <f t="shared" si="325"/>
        <v>0</v>
      </c>
      <c r="BV455" s="387">
        <f t="shared" si="326"/>
        <v>0</v>
      </c>
      <c r="BW455" s="387">
        <f t="shared" si="327"/>
        <v>0</v>
      </c>
      <c r="BX455" s="387">
        <f t="shared" si="342"/>
        <v>0</v>
      </c>
      <c r="BY455" s="387">
        <f t="shared" si="343"/>
        <v>0</v>
      </c>
      <c r="BZ455" s="387">
        <f t="shared" si="344"/>
        <v>0</v>
      </c>
      <c r="CA455" s="387">
        <f t="shared" si="345"/>
        <v>0</v>
      </c>
      <c r="CB455" s="387">
        <f t="shared" si="346"/>
        <v>0</v>
      </c>
      <c r="CC455" s="387">
        <f t="shared" si="328"/>
        <v>0</v>
      </c>
      <c r="CD455" s="387">
        <f t="shared" si="329"/>
        <v>0</v>
      </c>
      <c r="CE455" s="387">
        <f t="shared" si="330"/>
        <v>0</v>
      </c>
      <c r="CF455" s="387">
        <f t="shared" si="331"/>
        <v>0</v>
      </c>
      <c r="CG455" s="387">
        <f t="shared" si="332"/>
        <v>0</v>
      </c>
      <c r="CH455" s="387">
        <f t="shared" si="333"/>
        <v>0</v>
      </c>
      <c r="CI455" s="387">
        <f t="shared" si="334"/>
        <v>0</v>
      </c>
      <c r="CJ455" s="387">
        <f t="shared" si="347"/>
        <v>0</v>
      </c>
      <c r="CK455" s="387" t="str">
        <f t="shared" si="348"/>
        <v/>
      </c>
      <c r="CL455" s="387" t="str">
        <f t="shared" si="349"/>
        <v/>
      </c>
      <c r="CM455" s="387" t="str">
        <f t="shared" si="350"/>
        <v/>
      </c>
      <c r="CN455" s="387" t="str">
        <f t="shared" si="351"/>
        <v>0348-31</v>
      </c>
    </row>
    <row r="456" spans="1:92" ht="15.75" thickBot="1" x14ac:dyDescent="0.3">
      <c r="A456" s="376" t="s">
        <v>161</v>
      </c>
      <c r="B456" s="376" t="s">
        <v>162</v>
      </c>
      <c r="C456" s="376" t="s">
        <v>1499</v>
      </c>
      <c r="D456" s="376" t="s">
        <v>868</v>
      </c>
      <c r="E456" s="376" t="s">
        <v>224</v>
      </c>
      <c r="F456" s="382" t="s">
        <v>225</v>
      </c>
      <c r="G456" s="376" t="s">
        <v>781</v>
      </c>
      <c r="H456" s="378"/>
      <c r="I456" s="378"/>
      <c r="J456" s="376" t="s">
        <v>215</v>
      </c>
      <c r="K456" s="376" t="s">
        <v>869</v>
      </c>
      <c r="L456" s="376" t="s">
        <v>296</v>
      </c>
      <c r="M456" s="376" t="s">
        <v>171</v>
      </c>
      <c r="N456" s="376" t="s">
        <v>172</v>
      </c>
      <c r="O456" s="379">
        <v>1</v>
      </c>
      <c r="P456" s="385">
        <v>0</v>
      </c>
      <c r="Q456" s="385">
        <v>0</v>
      </c>
      <c r="R456" s="380">
        <v>80</v>
      </c>
      <c r="S456" s="385">
        <v>0</v>
      </c>
      <c r="T456" s="380">
        <v>30704</v>
      </c>
      <c r="U456" s="380">
        <v>0</v>
      </c>
      <c r="V456" s="380">
        <v>15742.14</v>
      </c>
      <c r="W456" s="380">
        <v>0</v>
      </c>
      <c r="X456" s="380">
        <v>0</v>
      </c>
      <c r="Y456" s="380">
        <v>0</v>
      </c>
      <c r="Z456" s="380">
        <v>0</v>
      </c>
      <c r="AA456" s="376" t="s">
        <v>1500</v>
      </c>
      <c r="AB456" s="376" t="s">
        <v>1501</v>
      </c>
      <c r="AC456" s="376" t="s">
        <v>412</v>
      </c>
      <c r="AD456" s="376" t="s">
        <v>1502</v>
      </c>
      <c r="AE456" s="376" t="s">
        <v>873</v>
      </c>
      <c r="AF456" s="376" t="s">
        <v>393</v>
      </c>
      <c r="AG456" s="376" t="s">
        <v>178</v>
      </c>
      <c r="AH456" s="381">
        <v>20.2</v>
      </c>
      <c r="AI456" s="379">
        <v>1600</v>
      </c>
      <c r="AJ456" s="376" t="s">
        <v>179</v>
      </c>
      <c r="AK456" s="376" t="s">
        <v>180</v>
      </c>
      <c r="AL456" s="376" t="s">
        <v>181</v>
      </c>
      <c r="AM456" s="376" t="s">
        <v>182</v>
      </c>
      <c r="AN456" s="376" t="s">
        <v>68</v>
      </c>
      <c r="AO456" s="379">
        <v>80</v>
      </c>
      <c r="AP456" s="385">
        <v>1</v>
      </c>
      <c r="AQ456" s="385">
        <v>0</v>
      </c>
      <c r="AR456" s="383">
        <v>3</v>
      </c>
      <c r="AS456" s="387">
        <f t="shared" si="335"/>
        <v>0</v>
      </c>
      <c r="AT456">
        <f t="shared" si="336"/>
        <v>0</v>
      </c>
      <c r="AU456" s="387" t="str">
        <f>IF(AT456=0,"",IF(AND(AT456=1,M456="F",SUMIF(C2:C1334,C456,AS2:AS1334)&lt;=1),SUMIF(C2:C1334,C456,AS2:AS1334),IF(AND(AT456=1,M456="F",SUMIF(C2:C1334,C456,AS2:AS1334)&gt;1),1,"")))</f>
        <v/>
      </c>
      <c r="AV456" s="387" t="str">
        <f>IF(AT456=0,"",IF(AND(AT456=3,M456="F",SUMIF(C2:C1334,C456,AS2:AS1334)&lt;=1),SUMIF(C2:C1334,C456,AS2:AS1334),IF(AND(AT456=3,M456="F",SUMIF(C2:C1334,C456,AS2:AS1334)&gt;1),1,"")))</f>
        <v/>
      </c>
      <c r="AW456" s="387">
        <f>SUMIF(C2:C1334,C456,O2:O1334)</f>
        <v>2</v>
      </c>
      <c r="AX456" s="387">
        <f>IF(AND(M456="F",AS456&lt;&gt;0),SUMIF(C2:C1334,C456,W2:W1334),0)</f>
        <v>0</v>
      </c>
      <c r="AY456" s="387" t="str">
        <f t="shared" si="337"/>
        <v/>
      </c>
      <c r="AZ456" s="387" t="str">
        <f t="shared" si="338"/>
        <v/>
      </c>
      <c r="BA456" s="387">
        <f t="shared" si="339"/>
        <v>0</v>
      </c>
      <c r="BB456" s="387">
        <f t="shared" si="308"/>
        <v>0</v>
      </c>
      <c r="BC456" s="387">
        <f t="shared" si="309"/>
        <v>0</v>
      </c>
      <c r="BD456" s="387">
        <f t="shared" si="310"/>
        <v>0</v>
      </c>
      <c r="BE456" s="387">
        <f t="shared" si="311"/>
        <v>0</v>
      </c>
      <c r="BF456" s="387">
        <f t="shared" si="312"/>
        <v>0</v>
      </c>
      <c r="BG456" s="387">
        <f t="shared" si="313"/>
        <v>0</v>
      </c>
      <c r="BH456" s="387">
        <f t="shared" si="314"/>
        <v>0</v>
      </c>
      <c r="BI456" s="387">
        <f t="shared" si="315"/>
        <v>0</v>
      </c>
      <c r="BJ456" s="387">
        <f t="shared" si="316"/>
        <v>0</v>
      </c>
      <c r="BK456" s="387">
        <f t="shared" si="317"/>
        <v>0</v>
      </c>
      <c r="BL456" s="387">
        <f t="shared" si="340"/>
        <v>0</v>
      </c>
      <c r="BM456" s="387">
        <f t="shared" si="341"/>
        <v>0</v>
      </c>
      <c r="BN456" s="387">
        <f t="shared" si="318"/>
        <v>0</v>
      </c>
      <c r="BO456" s="387">
        <f t="shared" si="319"/>
        <v>0</v>
      </c>
      <c r="BP456" s="387">
        <f t="shared" si="320"/>
        <v>0</v>
      </c>
      <c r="BQ456" s="387">
        <f t="shared" si="321"/>
        <v>0</v>
      </c>
      <c r="BR456" s="387">
        <f t="shared" si="322"/>
        <v>0</v>
      </c>
      <c r="BS456" s="387">
        <f t="shared" si="323"/>
        <v>0</v>
      </c>
      <c r="BT456" s="387">
        <f t="shared" si="324"/>
        <v>0</v>
      </c>
      <c r="BU456" s="387">
        <f t="shared" si="325"/>
        <v>0</v>
      </c>
      <c r="BV456" s="387">
        <f t="shared" si="326"/>
        <v>0</v>
      </c>
      <c r="BW456" s="387">
        <f t="shared" si="327"/>
        <v>0</v>
      </c>
      <c r="BX456" s="387">
        <f t="shared" si="342"/>
        <v>0</v>
      </c>
      <c r="BY456" s="387">
        <f t="shared" si="343"/>
        <v>0</v>
      </c>
      <c r="BZ456" s="387">
        <f t="shared" si="344"/>
        <v>0</v>
      </c>
      <c r="CA456" s="387">
        <f t="shared" si="345"/>
        <v>0</v>
      </c>
      <c r="CB456" s="387">
        <f t="shared" si="346"/>
        <v>0</v>
      </c>
      <c r="CC456" s="387">
        <f t="shared" si="328"/>
        <v>0</v>
      </c>
      <c r="CD456" s="387">
        <f t="shared" si="329"/>
        <v>0</v>
      </c>
      <c r="CE456" s="387">
        <f t="shared" si="330"/>
        <v>0</v>
      </c>
      <c r="CF456" s="387">
        <f t="shared" si="331"/>
        <v>0</v>
      </c>
      <c r="CG456" s="387">
        <f t="shared" si="332"/>
        <v>0</v>
      </c>
      <c r="CH456" s="387">
        <f t="shared" si="333"/>
        <v>0</v>
      </c>
      <c r="CI456" s="387">
        <f t="shared" si="334"/>
        <v>0</v>
      </c>
      <c r="CJ456" s="387">
        <f t="shared" si="347"/>
        <v>0</v>
      </c>
      <c r="CK456" s="387" t="str">
        <f t="shared" si="348"/>
        <v/>
      </c>
      <c r="CL456" s="387" t="str">
        <f t="shared" si="349"/>
        <v/>
      </c>
      <c r="CM456" s="387" t="str">
        <f t="shared" si="350"/>
        <v/>
      </c>
      <c r="CN456" s="387" t="str">
        <f t="shared" si="351"/>
        <v>0348-31</v>
      </c>
    </row>
    <row r="457" spans="1:92" ht="15.75" thickBot="1" x14ac:dyDescent="0.3">
      <c r="A457" s="376" t="s">
        <v>161</v>
      </c>
      <c r="B457" s="376" t="s">
        <v>162</v>
      </c>
      <c r="C457" s="376" t="s">
        <v>1503</v>
      </c>
      <c r="D457" s="376" t="s">
        <v>862</v>
      </c>
      <c r="E457" s="376" t="s">
        <v>224</v>
      </c>
      <c r="F457" s="382" t="s">
        <v>225</v>
      </c>
      <c r="G457" s="376" t="s">
        <v>781</v>
      </c>
      <c r="H457" s="378"/>
      <c r="I457" s="378"/>
      <c r="J457" s="376" t="s">
        <v>215</v>
      </c>
      <c r="K457" s="376" t="s">
        <v>863</v>
      </c>
      <c r="L457" s="376" t="s">
        <v>252</v>
      </c>
      <c r="M457" s="376" t="s">
        <v>272</v>
      </c>
      <c r="N457" s="376" t="s">
        <v>172</v>
      </c>
      <c r="O457" s="379">
        <v>0</v>
      </c>
      <c r="P457" s="385">
        <v>0</v>
      </c>
      <c r="Q457" s="385">
        <v>0</v>
      </c>
      <c r="R457" s="380">
        <v>80</v>
      </c>
      <c r="S457" s="385">
        <v>0</v>
      </c>
      <c r="T457" s="380">
        <v>800</v>
      </c>
      <c r="U457" s="380">
        <v>0</v>
      </c>
      <c r="V457" s="380">
        <v>355.84</v>
      </c>
      <c r="W457" s="380">
        <v>0</v>
      </c>
      <c r="X457" s="380">
        <v>0</v>
      </c>
      <c r="Y457" s="380">
        <v>0</v>
      </c>
      <c r="Z457" s="380">
        <v>0</v>
      </c>
      <c r="AA457" s="378"/>
      <c r="AB457" s="376" t="s">
        <v>45</v>
      </c>
      <c r="AC457" s="376" t="s">
        <v>45</v>
      </c>
      <c r="AD457" s="378"/>
      <c r="AE457" s="378"/>
      <c r="AF457" s="378"/>
      <c r="AG457" s="378"/>
      <c r="AH457" s="379">
        <v>0</v>
      </c>
      <c r="AI457" s="379">
        <v>0</v>
      </c>
      <c r="AJ457" s="378"/>
      <c r="AK457" s="378"/>
      <c r="AL457" s="376" t="s">
        <v>181</v>
      </c>
      <c r="AM457" s="378"/>
      <c r="AN457" s="378"/>
      <c r="AO457" s="379">
        <v>0</v>
      </c>
      <c r="AP457" s="385">
        <v>0</v>
      </c>
      <c r="AQ457" s="385">
        <v>0</v>
      </c>
      <c r="AR457" s="384"/>
      <c r="AS457" s="387">
        <f t="shared" si="335"/>
        <v>0</v>
      </c>
      <c r="AT457">
        <f t="shared" si="336"/>
        <v>0</v>
      </c>
      <c r="AU457" s="387" t="str">
        <f>IF(AT457=0,"",IF(AND(AT457=1,M457="F",SUMIF(C2:C1334,C457,AS2:AS1334)&lt;=1),SUMIF(C2:C1334,C457,AS2:AS1334),IF(AND(AT457=1,M457="F",SUMIF(C2:C1334,C457,AS2:AS1334)&gt;1),1,"")))</f>
        <v/>
      </c>
      <c r="AV457" s="387" t="str">
        <f>IF(AT457=0,"",IF(AND(AT457=3,M457="F",SUMIF(C2:C1334,C457,AS2:AS1334)&lt;=1),SUMIF(C2:C1334,C457,AS2:AS1334),IF(AND(AT457=3,M457="F",SUMIF(C2:C1334,C457,AS2:AS1334)&gt;1),1,"")))</f>
        <v/>
      </c>
      <c r="AW457" s="387">
        <f>SUMIF(C2:C1334,C457,O2:O1334)</f>
        <v>0</v>
      </c>
      <c r="AX457" s="387">
        <f>IF(AND(M457="F",AS457&lt;&gt;0),SUMIF(C2:C1334,C457,W2:W1334),0)</f>
        <v>0</v>
      </c>
      <c r="AY457" s="387" t="str">
        <f t="shared" si="337"/>
        <v/>
      </c>
      <c r="AZ457" s="387" t="str">
        <f t="shared" si="338"/>
        <v/>
      </c>
      <c r="BA457" s="387">
        <f t="shared" si="339"/>
        <v>0</v>
      </c>
      <c r="BB457" s="387">
        <f t="shared" si="308"/>
        <v>0</v>
      </c>
      <c r="BC457" s="387">
        <f t="shared" si="309"/>
        <v>0</v>
      </c>
      <c r="BD457" s="387">
        <f t="shared" si="310"/>
        <v>0</v>
      </c>
      <c r="BE457" s="387">
        <f t="shared" si="311"/>
        <v>0</v>
      </c>
      <c r="BF457" s="387">
        <f t="shared" si="312"/>
        <v>0</v>
      </c>
      <c r="BG457" s="387">
        <f t="shared" si="313"/>
        <v>0</v>
      </c>
      <c r="BH457" s="387">
        <f t="shared" si="314"/>
        <v>0</v>
      </c>
      <c r="BI457" s="387">
        <f t="shared" si="315"/>
        <v>0</v>
      </c>
      <c r="BJ457" s="387">
        <f t="shared" si="316"/>
        <v>0</v>
      </c>
      <c r="BK457" s="387">
        <f t="shared" si="317"/>
        <v>0</v>
      </c>
      <c r="BL457" s="387">
        <f t="shared" si="340"/>
        <v>0</v>
      </c>
      <c r="BM457" s="387">
        <f t="shared" si="341"/>
        <v>0</v>
      </c>
      <c r="BN457" s="387">
        <f t="shared" si="318"/>
        <v>0</v>
      </c>
      <c r="BO457" s="387">
        <f t="shared" si="319"/>
        <v>0</v>
      </c>
      <c r="BP457" s="387">
        <f t="shared" si="320"/>
        <v>0</v>
      </c>
      <c r="BQ457" s="387">
        <f t="shared" si="321"/>
        <v>0</v>
      </c>
      <c r="BR457" s="387">
        <f t="shared" si="322"/>
        <v>0</v>
      </c>
      <c r="BS457" s="387">
        <f t="shared" si="323"/>
        <v>0</v>
      </c>
      <c r="BT457" s="387">
        <f t="shared" si="324"/>
        <v>0</v>
      </c>
      <c r="BU457" s="387">
        <f t="shared" si="325"/>
        <v>0</v>
      </c>
      <c r="BV457" s="387">
        <f t="shared" si="326"/>
        <v>0</v>
      </c>
      <c r="BW457" s="387">
        <f t="shared" si="327"/>
        <v>0</v>
      </c>
      <c r="BX457" s="387">
        <f t="shared" si="342"/>
        <v>0</v>
      </c>
      <c r="BY457" s="387">
        <f t="shared" si="343"/>
        <v>0</v>
      </c>
      <c r="BZ457" s="387">
        <f t="shared" si="344"/>
        <v>0</v>
      </c>
      <c r="CA457" s="387">
        <f t="shared" si="345"/>
        <v>0</v>
      </c>
      <c r="CB457" s="387">
        <f t="shared" si="346"/>
        <v>0</v>
      </c>
      <c r="CC457" s="387">
        <f t="shared" si="328"/>
        <v>0</v>
      </c>
      <c r="CD457" s="387">
        <f t="shared" si="329"/>
        <v>0</v>
      </c>
      <c r="CE457" s="387">
        <f t="shared" si="330"/>
        <v>0</v>
      </c>
      <c r="CF457" s="387">
        <f t="shared" si="331"/>
        <v>0</v>
      </c>
      <c r="CG457" s="387">
        <f t="shared" si="332"/>
        <v>0</v>
      </c>
      <c r="CH457" s="387">
        <f t="shared" si="333"/>
        <v>0</v>
      </c>
      <c r="CI457" s="387">
        <f t="shared" si="334"/>
        <v>0</v>
      </c>
      <c r="CJ457" s="387">
        <f t="shared" si="347"/>
        <v>0</v>
      </c>
      <c r="CK457" s="387" t="str">
        <f t="shared" si="348"/>
        <v/>
      </c>
      <c r="CL457" s="387" t="str">
        <f t="shared" si="349"/>
        <v/>
      </c>
      <c r="CM457" s="387" t="str">
        <f t="shared" si="350"/>
        <v/>
      </c>
      <c r="CN457" s="387" t="str">
        <f t="shared" si="351"/>
        <v>0348-31</v>
      </c>
    </row>
    <row r="458" spans="1:92" ht="15.75" thickBot="1" x14ac:dyDescent="0.3">
      <c r="A458" s="376" t="s">
        <v>161</v>
      </c>
      <c r="B458" s="376" t="s">
        <v>162</v>
      </c>
      <c r="C458" s="376" t="s">
        <v>407</v>
      </c>
      <c r="D458" s="376" t="s">
        <v>408</v>
      </c>
      <c r="E458" s="376" t="s">
        <v>224</v>
      </c>
      <c r="F458" s="382" t="s">
        <v>225</v>
      </c>
      <c r="G458" s="376" t="s">
        <v>781</v>
      </c>
      <c r="H458" s="378"/>
      <c r="I458" s="378"/>
      <c r="J458" s="376" t="s">
        <v>215</v>
      </c>
      <c r="K458" s="376" t="s">
        <v>409</v>
      </c>
      <c r="L458" s="376" t="s">
        <v>181</v>
      </c>
      <c r="M458" s="376" t="s">
        <v>171</v>
      </c>
      <c r="N458" s="376" t="s">
        <v>172</v>
      </c>
      <c r="O458" s="379">
        <v>1</v>
      </c>
      <c r="P458" s="385">
        <v>0</v>
      </c>
      <c r="Q458" s="385">
        <v>0</v>
      </c>
      <c r="R458" s="380">
        <v>80</v>
      </c>
      <c r="S458" s="385">
        <v>0</v>
      </c>
      <c r="T458" s="380">
        <v>4621.9399999999996</v>
      </c>
      <c r="U458" s="380">
        <v>385</v>
      </c>
      <c r="V458" s="380">
        <v>1671.2</v>
      </c>
      <c r="W458" s="380">
        <v>0</v>
      </c>
      <c r="X458" s="380">
        <v>0</v>
      </c>
      <c r="Y458" s="380">
        <v>0</v>
      </c>
      <c r="Z458" s="380">
        <v>0</v>
      </c>
      <c r="AA458" s="376" t="s">
        <v>410</v>
      </c>
      <c r="AB458" s="376" t="s">
        <v>411</v>
      </c>
      <c r="AC458" s="376" t="s">
        <v>412</v>
      </c>
      <c r="AD458" s="376" t="s">
        <v>198</v>
      </c>
      <c r="AE458" s="376" t="s">
        <v>409</v>
      </c>
      <c r="AF458" s="376" t="s">
        <v>211</v>
      </c>
      <c r="AG458" s="376" t="s">
        <v>178</v>
      </c>
      <c r="AH458" s="381">
        <v>36.840000000000003</v>
      </c>
      <c r="AI458" s="381">
        <v>38589.1</v>
      </c>
      <c r="AJ458" s="376" t="s">
        <v>179</v>
      </c>
      <c r="AK458" s="376" t="s">
        <v>180</v>
      </c>
      <c r="AL458" s="376" t="s">
        <v>181</v>
      </c>
      <c r="AM458" s="376" t="s">
        <v>182</v>
      </c>
      <c r="AN458" s="376" t="s">
        <v>68</v>
      </c>
      <c r="AO458" s="379">
        <v>80</v>
      </c>
      <c r="AP458" s="385">
        <v>1</v>
      </c>
      <c r="AQ458" s="385">
        <v>0</v>
      </c>
      <c r="AR458" s="383" t="s">
        <v>183</v>
      </c>
      <c r="AS458" s="387">
        <f t="shared" si="335"/>
        <v>0</v>
      </c>
      <c r="AT458">
        <f t="shared" si="336"/>
        <v>0</v>
      </c>
      <c r="AU458" s="387" t="str">
        <f>IF(AT458=0,"",IF(AND(AT458=1,M458="F",SUMIF(C2:C1334,C458,AS2:AS1334)&lt;=1),SUMIF(C2:C1334,C458,AS2:AS1334),IF(AND(AT458=1,M458="F",SUMIF(C2:C1334,C458,AS2:AS1334)&gt;1),1,"")))</f>
        <v/>
      </c>
      <c r="AV458" s="387" t="str">
        <f>IF(AT458=0,"",IF(AND(AT458=3,M458="F",SUMIF(C2:C1334,C458,AS2:AS1334)&lt;=1),SUMIF(C2:C1334,C458,AS2:AS1334),IF(AND(AT458=3,M458="F",SUMIF(C2:C1334,C458,AS2:AS1334)&gt;1),1,"")))</f>
        <v/>
      </c>
      <c r="AW458" s="387">
        <f>SUMIF(C2:C1334,C458,O2:O1334)</f>
        <v>4</v>
      </c>
      <c r="AX458" s="387">
        <f>IF(AND(M458="F",AS458&lt;&gt;0),SUMIF(C2:C1334,C458,W2:W1334),0)</f>
        <v>0</v>
      </c>
      <c r="AY458" s="387" t="str">
        <f t="shared" si="337"/>
        <v/>
      </c>
      <c r="AZ458" s="387" t="str">
        <f t="shared" si="338"/>
        <v/>
      </c>
      <c r="BA458" s="387">
        <f t="shared" si="339"/>
        <v>0</v>
      </c>
      <c r="BB458" s="387">
        <f t="shared" si="308"/>
        <v>0</v>
      </c>
      <c r="BC458" s="387">
        <f t="shared" si="309"/>
        <v>0</v>
      </c>
      <c r="BD458" s="387">
        <f t="shared" si="310"/>
        <v>0</v>
      </c>
      <c r="BE458" s="387">
        <f t="shared" si="311"/>
        <v>0</v>
      </c>
      <c r="BF458" s="387">
        <f t="shared" si="312"/>
        <v>0</v>
      </c>
      <c r="BG458" s="387">
        <f t="shared" si="313"/>
        <v>0</v>
      </c>
      <c r="BH458" s="387">
        <f t="shared" si="314"/>
        <v>0</v>
      </c>
      <c r="BI458" s="387">
        <f t="shared" si="315"/>
        <v>0</v>
      </c>
      <c r="BJ458" s="387">
        <f t="shared" si="316"/>
        <v>0</v>
      </c>
      <c r="BK458" s="387">
        <f t="shared" si="317"/>
        <v>0</v>
      </c>
      <c r="BL458" s="387">
        <f t="shared" si="340"/>
        <v>0</v>
      </c>
      <c r="BM458" s="387">
        <f t="shared" si="341"/>
        <v>0</v>
      </c>
      <c r="BN458" s="387">
        <f t="shared" si="318"/>
        <v>0</v>
      </c>
      <c r="BO458" s="387">
        <f t="shared" si="319"/>
        <v>0</v>
      </c>
      <c r="BP458" s="387">
        <f t="shared" si="320"/>
        <v>0</v>
      </c>
      <c r="BQ458" s="387">
        <f t="shared" si="321"/>
        <v>0</v>
      </c>
      <c r="BR458" s="387">
        <f t="shared" si="322"/>
        <v>0</v>
      </c>
      <c r="BS458" s="387">
        <f t="shared" si="323"/>
        <v>0</v>
      </c>
      <c r="BT458" s="387">
        <f t="shared" si="324"/>
        <v>0</v>
      </c>
      <c r="BU458" s="387">
        <f t="shared" si="325"/>
        <v>0</v>
      </c>
      <c r="BV458" s="387">
        <f t="shared" si="326"/>
        <v>0</v>
      </c>
      <c r="BW458" s="387">
        <f t="shared" si="327"/>
        <v>0</v>
      </c>
      <c r="BX458" s="387">
        <f t="shared" si="342"/>
        <v>0</v>
      </c>
      <c r="BY458" s="387">
        <f t="shared" si="343"/>
        <v>0</v>
      </c>
      <c r="BZ458" s="387">
        <f t="shared" si="344"/>
        <v>0</v>
      </c>
      <c r="CA458" s="387">
        <f t="shared" si="345"/>
        <v>0</v>
      </c>
      <c r="CB458" s="387">
        <f t="shared" si="346"/>
        <v>0</v>
      </c>
      <c r="CC458" s="387">
        <f t="shared" si="328"/>
        <v>0</v>
      </c>
      <c r="CD458" s="387">
        <f t="shared" si="329"/>
        <v>0</v>
      </c>
      <c r="CE458" s="387">
        <f t="shared" si="330"/>
        <v>0</v>
      </c>
      <c r="CF458" s="387">
        <f t="shared" si="331"/>
        <v>0</v>
      </c>
      <c r="CG458" s="387">
        <f t="shared" si="332"/>
        <v>0</v>
      </c>
      <c r="CH458" s="387">
        <f t="shared" si="333"/>
        <v>0</v>
      </c>
      <c r="CI458" s="387">
        <f t="shared" si="334"/>
        <v>0</v>
      </c>
      <c r="CJ458" s="387">
        <f t="shared" si="347"/>
        <v>0</v>
      </c>
      <c r="CK458" s="387" t="str">
        <f t="shared" si="348"/>
        <v/>
      </c>
      <c r="CL458" s="387" t="str">
        <f t="shared" si="349"/>
        <v/>
      </c>
      <c r="CM458" s="387" t="str">
        <f t="shared" si="350"/>
        <v/>
      </c>
      <c r="CN458" s="387" t="str">
        <f t="shared" si="351"/>
        <v>0348-31</v>
      </c>
    </row>
    <row r="459" spans="1:92" ht="15.75" thickBot="1" x14ac:dyDescent="0.3">
      <c r="A459" s="376" t="s">
        <v>161</v>
      </c>
      <c r="B459" s="376" t="s">
        <v>162</v>
      </c>
      <c r="C459" s="376" t="s">
        <v>328</v>
      </c>
      <c r="D459" s="376" t="s">
        <v>329</v>
      </c>
      <c r="E459" s="376" t="s">
        <v>224</v>
      </c>
      <c r="F459" s="382" t="s">
        <v>225</v>
      </c>
      <c r="G459" s="376" t="s">
        <v>781</v>
      </c>
      <c r="H459" s="378"/>
      <c r="I459" s="378"/>
      <c r="J459" s="376" t="s">
        <v>239</v>
      </c>
      <c r="K459" s="376" t="s">
        <v>330</v>
      </c>
      <c r="L459" s="376" t="s">
        <v>210</v>
      </c>
      <c r="M459" s="376" t="s">
        <v>171</v>
      </c>
      <c r="N459" s="376" t="s">
        <v>172</v>
      </c>
      <c r="O459" s="379">
        <v>1</v>
      </c>
      <c r="P459" s="385">
        <v>0</v>
      </c>
      <c r="Q459" s="385">
        <v>0</v>
      </c>
      <c r="R459" s="380">
        <v>80</v>
      </c>
      <c r="S459" s="385">
        <v>0</v>
      </c>
      <c r="T459" s="380">
        <v>62670.46</v>
      </c>
      <c r="U459" s="380">
        <v>0</v>
      </c>
      <c r="V459" s="380">
        <v>24468.32</v>
      </c>
      <c r="W459" s="380">
        <v>0</v>
      </c>
      <c r="X459" s="380">
        <v>0</v>
      </c>
      <c r="Y459" s="380">
        <v>0</v>
      </c>
      <c r="Z459" s="380">
        <v>0</v>
      </c>
      <c r="AA459" s="376" t="s">
        <v>331</v>
      </c>
      <c r="AB459" s="376" t="s">
        <v>332</v>
      </c>
      <c r="AC459" s="376" t="s">
        <v>251</v>
      </c>
      <c r="AD459" s="376" t="s">
        <v>170</v>
      </c>
      <c r="AE459" s="376" t="s">
        <v>330</v>
      </c>
      <c r="AF459" s="376" t="s">
        <v>245</v>
      </c>
      <c r="AG459" s="376" t="s">
        <v>178</v>
      </c>
      <c r="AH459" s="379">
        <v>32</v>
      </c>
      <c r="AI459" s="381">
        <v>66344.5</v>
      </c>
      <c r="AJ459" s="376" t="s">
        <v>179</v>
      </c>
      <c r="AK459" s="376" t="s">
        <v>180</v>
      </c>
      <c r="AL459" s="376" t="s">
        <v>181</v>
      </c>
      <c r="AM459" s="376" t="s">
        <v>182</v>
      </c>
      <c r="AN459" s="376" t="s">
        <v>68</v>
      </c>
      <c r="AO459" s="379">
        <v>80</v>
      </c>
      <c r="AP459" s="385">
        <v>1</v>
      </c>
      <c r="AQ459" s="385">
        <v>0</v>
      </c>
      <c r="AR459" s="383" t="s">
        <v>183</v>
      </c>
      <c r="AS459" s="387">
        <f t="shared" si="335"/>
        <v>0</v>
      </c>
      <c r="AT459">
        <f t="shared" si="336"/>
        <v>0</v>
      </c>
      <c r="AU459" s="387" t="str">
        <f>IF(AT459=0,"",IF(AND(AT459=1,M459="F",SUMIF(C2:C1334,C459,AS2:AS1334)&lt;=1),SUMIF(C2:C1334,C459,AS2:AS1334),IF(AND(AT459=1,M459="F",SUMIF(C2:C1334,C459,AS2:AS1334)&gt;1),1,"")))</f>
        <v/>
      </c>
      <c r="AV459" s="387" t="str">
        <f>IF(AT459=0,"",IF(AND(AT459=3,M459="F",SUMIF(C2:C1334,C459,AS2:AS1334)&lt;=1),SUMIF(C2:C1334,C459,AS2:AS1334),IF(AND(AT459=3,M459="F",SUMIF(C2:C1334,C459,AS2:AS1334)&gt;1),1,"")))</f>
        <v/>
      </c>
      <c r="AW459" s="387">
        <f>SUMIF(C2:C1334,C459,O2:O1334)</f>
        <v>4</v>
      </c>
      <c r="AX459" s="387">
        <f>IF(AND(M459="F",AS459&lt;&gt;0),SUMIF(C2:C1334,C459,W2:W1334),0)</f>
        <v>0</v>
      </c>
      <c r="AY459" s="387" t="str">
        <f t="shared" si="337"/>
        <v/>
      </c>
      <c r="AZ459" s="387" t="str">
        <f t="shared" si="338"/>
        <v/>
      </c>
      <c r="BA459" s="387">
        <f t="shared" si="339"/>
        <v>0</v>
      </c>
      <c r="BB459" s="387">
        <f t="shared" si="308"/>
        <v>0</v>
      </c>
      <c r="BC459" s="387">
        <f t="shared" si="309"/>
        <v>0</v>
      </c>
      <c r="BD459" s="387">
        <f t="shared" si="310"/>
        <v>0</v>
      </c>
      <c r="BE459" s="387">
        <f t="shared" si="311"/>
        <v>0</v>
      </c>
      <c r="BF459" s="387">
        <f t="shared" si="312"/>
        <v>0</v>
      </c>
      <c r="BG459" s="387">
        <f t="shared" si="313"/>
        <v>0</v>
      </c>
      <c r="BH459" s="387">
        <f t="shared" si="314"/>
        <v>0</v>
      </c>
      <c r="BI459" s="387">
        <f t="shared" si="315"/>
        <v>0</v>
      </c>
      <c r="BJ459" s="387">
        <f t="shared" si="316"/>
        <v>0</v>
      </c>
      <c r="BK459" s="387">
        <f t="shared" si="317"/>
        <v>0</v>
      </c>
      <c r="BL459" s="387">
        <f t="shared" si="340"/>
        <v>0</v>
      </c>
      <c r="BM459" s="387">
        <f t="shared" si="341"/>
        <v>0</v>
      </c>
      <c r="BN459" s="387">
        <f t="shared" si="318"/>
        <v>0</v>
      </c>
      <c r="BO459" s="387">
        <f t="shared" si="319"/>
        <v>0</v>
      </c>
      <c r="BP459" s="387">
        <f t="shared" si="320"/>
        <v>0</v>
      </c>
      <c r="BQ459" s="387">
        <f t="shared" si="321"/>
        <v>0</v>
      </c>
      <c r="BR459" s="387">
        <f t="shared" si="322"/>
        <v>0</v>
      </c>
      <c r="BS459" s="387">
        <f t="shared" si="323"/>
        <v>0</v>
      </c>
      <c r="BT459" s="387">
        <f t="shared" si="324"/>
        <v>0</v>
      </c>
      <c r="BU459" s="387">
        <f t="shared" si="325"/>
        <v>0</v>
      </c>
      <c r="BV459" s="387">
        <f t="shared" si="326"/>
        <v>0</v>
      </c>
      <c r="BW459" s="387">
        <f t="shared" si="327"/>
        <v>0</v>
      </c>
      <c r="BX459" s="387">
        <f t="shared" si="342"/>
        <v>0</v>
      </c>
      <c r="BY459" s="387">
        <f t="shared" si="343"/>
        <v>0</v>
      </c>
      <c r="BZ459" s="387">
        <f t="shared" si="344"/>
        <v>0</v>
      </c>
      <c r="CA459" s="387">
        <f t="shared" si="345"/>
        <v>0</v>
      </c>
      <c r="CB459" s="387">
        <f t="shared" si="346"/>
        <v>0</v>
      </c>
      <c r="CC459" s="387">
        <f t="shared" si="328"/>
        <v>0</v>
      </c>
      <c r="CD459" s="387">
        <f t="shared" si="329"/>
        <v>0</v>
      </c>
      <c r="CE459" s="387">
        <f t="shared" si="330"/>
        <v>0</v>
      </c>
      <c r="CF459" s="387">
        <f t="shared" si="331"/>
        <v>0</v>
      </c>
      <c r="CG459" s="387">
        <f t="shared" si="332"/>
        <v>0</v>
      </c>
      <c r="CH459" s="387">
        <f t="shared" si="333"/>
        <v>0</v>
      </c>
      <c r="CI459" s="387">
        <f t="shared" si="334"/>
        <v>0</v>
      </c>
      <c r="CJ459" s="387">
        <f t="shared" si="347"/>
        <v>0</v>
      </c>
      <c r="CK459" s="387" t="str">
        <f t="shared" si="348"/>
        <v/>
      </c>
      <c r="CL459" s="387" t="str">
        <f t="shared" si="349"/>
        <v/>
      </c>
      <c r="CM459" s="387" t="str">
        <f t="shared" si="350"/>
        <v/>
      </c>
      <c r="CN459" s="387" t="str">
        <f t="shared" si="351"/>
        <v>0348-31</v>
      </c>
    </row>
    <row r="460" spans="1:92" ht="15.75" thickBot="1" x14ac:dyDescent="0.3">
      <c r="A460" s="376" t="s">
        <v>161</v>
      </c>
      <c r="B460" s="376" t="s">
        <v>162</v>
      </c>
      <c r="C460" s="376" t="s">
        <v>1504</v>
      </c>
      <c r="D460" s="376" t="s">
        <v>868</v>
      </c>
      <c r="E460" s="376" t="s">
        <v>224</v>
      </c>
      <c r="F460" s="382" t="s">
        <v>225</v>
      </c>
      <c r="G460" s="376" t="s">
        <v>781</v>
      </c>
      <c r="H460" s="378"/>
      <c r="I460" s="378"/>
      <c r="J460" s="376" t="s">
        <v>215</v>
      </c>
      <c r="K460" s="376" t="s">
        <v>894</v>
      </c>
      <c r="L460" s="376" t="s">
        <v>170</v>
      </c>
      <c r="M460" s="376" t="s">
        <v>171</v>
      </c>
      <c r="N460" s="376" t="s">
        <v>172</v>
      </c>
      <c r="O460" s="379">
        <v>1</v>
      </c>
      <c r="P460" s="385">
        <v>0</v>
      </c>
      <c r="Q460" s="385">
        <v>0</v>
      </c>
      <c r="R460" s="380">
        <v>80</v>
      </c>
      <c r="S460" s="385">
        <v>0</v>
      </c>
      <c r="T460" s="380">
        <v>66324.02</v>
      </c>
      <c r="U460" s="380">
        <v>0</v>
      </c>
      <c r="V460" s="380">
        <v>25446.05</v>
      </c>
      <c r="W460" s="380">
        <v>0</v>
      </c>
      <c r="X460" s="380">
        <v>0</v>
      </c>
      <c r="Y460" s="380">
        <v>0</v>
      </c>
      <c r="Z460" s="380">
        <v>0</v>
      </c>
      <c r="AA460" s="376" t="s">
        <v>1505</v>
      </c>
      <c r="AB460" s="376" t="s">
        <v>1506</v>
      </c>
      <c r="AC460" s="376" t="s">
        <v>673</v>
      </c>
      <c r="AD460" s="376" t="s">
        <v>170</v>
      </c>
      <c r="AE460" s="376" t="s">
        <v>894</v>
      </c>
      <c r="AF460" s="376" t="s">
        <v>177</v>
      </c>
      <c r="AG460" s="376" t="s">
        <v>178</v>
      </c>
      <c r="AH460" s="381">
        <v>33.01</v>
      </c>
      <c r="AI460" s="381">
        <v>49495.1</v>
      </c>
      <c r="AJ460" s="376" t="s">
        <v>179</v>
      </c>
      <c r="AK460" s="376" t="s">
        <v>180</v>
      </c>
      <c r="AL460" s="376" t="s">
        <v>181</v>
      </c>
      <c r="AM460" s="376" t="s">
        <v>182</v>
      </c>
      <c r="AN460" s="376" t="s">
        <v>68</v>
      </c>
      <c r="AO460" s="379">
        <v>80</v>
      </c>
      <c r="AP460" s="385">
        <v>1</v>
      </c>
      <c r="AQ460" s="385">
        <v>0</v>
      </c>
      <c r="AR460" s="383" t="s">
        <v>183</v>
      </c>
      <c r="AS460" s="387">
        <f t="shared" si="335"/>
        <v>0</v>
      </c>
      <c r="AT460">
        <f t="shared" si="336"/>
        <v>0</v>
      </c>
      <c r="AU460" s="387" t="str">
        <f>IF(AT460=0,"",IF(AND(AT460=1,M460="F",SUMIF(C2:C1334,C460,AS2:AS1334)&lt;=1),SUMIF(C2:C1334,C460,AS2:AS1334),IF(AND(AT460=1,M460="F",SUMIF(C2:C1334,C460,AS2:AS1334)&gt;1),1,"")))</f>
        <v/>
      </c>
      <c r="AV460" s="387" t="str">
        <f>IF(AT460=0,"",IF(AND(AT460=3,M460="F",SUMIF(C2:C1334,C460,AS2:AS1334)&lt;=1),SUMIF(C2:C1334,C460,AS2:AS1334),IF(AND(AT460=3,M460="F",SUMIF(C2:C1334,C460,AS2:AS1334)&gt;1),1,"")))</f>
        <v/>
      </c>
      <c r="AW460" s="387">
        <f>SUMIF(C2:C1334,C460,O2:O1334)</f>
        <v>2</v>
      </c>
      <c r="AX460" s="387">
        <f>IF(AND(M460="F",AS460&lt;&gt;0),SUMIF(C2:C1334,C460,W2:W1334),0)</f>
        <v>0</v>
      </c>
      <c r="AY460" s="387" t="str">
        <f t="shared" si="337"/>
        <v/>
      </c>
      <c r="AZ460" s="387" t="str">
        <f t="shared" si="338"/>
        <v/>
      </c>
      <c r="BA460" s="387">
        <f t="shared" si="339"/>
        <v>0</v>
      </c>
      <c r="BB460" s="387">
        <f t="shared" si="308"/>
        <v>0</v>
      </c>
      <c r="BC460" s="387">
        <f t="shared" si="309"/>
        <v>0</v>
      </c>
      <c r="BD460" s="387">
        <f t="shared" si="310"/>
        <v>0</v>
      </c>
      <c r="BE460" s="387">
        <f t="shared" si="311"/>
        <v>0</v>
      </c>
      <c r="BF460" s="387">
        <f t="shared" si="312"/>
        <v>0</v>
      </c>
      <c r="BG460" s="387">
        <f t="shared" si="313"/>
        <v>0</v>
      </c>
      <c r="BH460" s="387">
        <f t="shared" si="314"/>
        <v>0</v>
      </c>
      <c r="BI460" s="387">
        <f t="shared" si="315"/>
        <v>0</v>
      </c>
      <c r="BJ460" s="387">
        <f t="shared" si="316"/>
        <v>0</v>
      </c>
      <c r="BK460" s="387">
        <f t="shared" si="317"/>
        <v>0</v>
      </c>
      <c r="BL460" s="387">
        <f t="shared" si="340"/>
        <v>0</v>
      </c>
      <c r="BM460" s="387">
        <f t="shared" si="341"/>
        <v>0</v>
      </c>
      <c r="BN460" s="387">
        <f t="shared" si="318"/>
        <v>0</v>
      </c>
      <c r="BO460" s="387">
        <f t="shared" si="319"/>
        <v>0</v>
      </c>
      <c r="BP460" s="387">
        <f t="shared" si="320"/>
        <v>0</v>
      </c>
      <c r="BQ460" s="387">
        <f t="shared" si="321"/>
        <v>0</v>
      </c>
      <c r="BR460" s="387">
        <f t="shared" si="322"/>
        <v>0</v>
      </c>
      <c r="BS460" s="387">
        <f t="shared" si="323"/>
        <v>0</v>
      </c>
      <c r="BT460" s="387">
        <f t="shared" si="324"/>
        <v>0</v>
      </c>
      <c r="BU460" s="387">
        <f t="shared" si="325"/>
        <v>0</v>
      </c>
      <c r="BV460" s="387">
        <f t="shared" si="326"/>
        <v>0</v>
      </c>
      <c r="BW460" s="387">
        <f t="shared" si="327"/>
        <v>0</v>
      </c>
      <c r="BX460" s="387">
        <f t="shared" si="342"/>
        <v>0</v>
      </c>
      <c r="BY460" s="387">
        <f t="shared" si="343"/>
        <v>0</v>
      </c>
      <c r="BZ460" s="387">
        <f t="shared" si="344"/>
        <v>0</v>
      </c>
      <c r="CA460" s="387">
        <f t="shared" si="345"/>
        <v>0</v>
      </c>
      <c r="CB460" s="387">
        <f t="shared" si="346"/>
        <v>0</v>
      </c>
      <c r="CC460" s="387">
        <f t="shared" si="328"/>
        <v>0</v>
      </c>
      <c r="CD460" s="387">
        <f t="shared" si="329"/>
        <v>0</v>
      </c>
      <c r="CE460" s="387">
        <f t="shared" si="330"/>
        <v>0</v>
      </c>
      <c r="CF460" s="387">
        <f t="shared" si="331"/>
        <v>0</v>
      </c>
      <c r="CG460" s="387">
        <f t="shared" si="332"/>
        <v>0</v>
      </c>
      <c r="CH460" s="387">
        <f t="shared" si="333"/>
        <v>0</v>
      </c>
      <c r="CI460" s="387">
        <f t="shared" si="334"/>
        <v>0</v>
      </c>
      <c r="CJ460" s="387">
        <f t="shared" si="347"/>
        <v>0</v>
      </c>
      <c r="CK460" s="387" t="str">
        <f t="shared" si="348"/>
        <v/>
      </c>
      <c r="CL460" s="387" t="str">
        <f t="shared" si="349"/>
        <v/>
      </c>
      <c r="CM460" s="387" t="str">
        <f t="shared" si="350"/>
        <v/>
      </c>
      <c r="CN460" s="387" t="str">
        <f t="shared" si="351"/>
        <v>0348-31</v>
      </c>
    </row>
    <row r="461" spans="1:92" ht="15.75" thickBot="1" x14ac:dyDescent="0.3">
      <c r="A461" s="376" t="s">
        <v>161</v>
      </c>
      <c r="B461" s="376" t="s">
        <v>162</v>
      </c>
      <c r="C461" s="376" t="s">
        <v>1507</v>
      </c>
      <c r="D461" s="376" t="s">
        <v>1508</v>
      </c>
      <c r="E461" s="376" t="s">
        <v>224</v>
      </c>
      <c r="F461" s="382" t="s">
        <v>225</v>
      </c>
      <c r="G461" s="376" t="s">
        <v>781</v>
      </c>
      <c r="H461" s="378"/>
      <c r="I461" s="378"/>
      <c r="J461" s="376" t="s">
        <v>215</v>
      </c>
      <c r="K461" s="376" t="s">
        <v>1509</v>
      </c>
      <c r="L461" s="376" t="s">
        <v>178</v>
      </c>
      <c r="M461" s="376" t="s">
        <v>171</v>
      </c>
      <c r="N461" s="376" t="s">
        <v>877</v>
      </c>
      <c r="O461" s="379">
        <v>1</v>
      </c>
      <c r="P461" s="385">
        <v>1</v>
      </c>
      <c r="Q461" s="385">
        <v>1</v>
      </c>
      <c r="R461" s="380">
        <v>80</v>
      </c>
      <c r="S461" s="385">
        <v>1</v>
      </c>
      <c r="T461" s="380">
        <v>8425.84</v>
      </c>
      <c r="U461" s="380">
        <v>0</v>
      </c>
      <c r="V461" s="380">
        <v>3728.39</v>
      </c>
      <c r="W461" s="380">
        <v>36857.599999999999</v>
      </c>
      <c r="X461" s="380">
        <v>19620.43</v>
      </c>
      <c r="Y461" s="380">
        <v>36857.599999999999</v>
      </c>
      <c r="Z461" s="380">
        <v>19465.63</v>
      </c>
      <c r="AA461" s="376" t="s">
        <v>1510</v>
      </c>
      <c r="AB461" s="376" t="s">
        <v>1511</v>
      </c>
      <c r="AC461" s="376" t="s">
        <v>1512</v>
      </c>
      <c r="AD461" s="376" t="s">
        <v>1513</v>
      </c>
      <c r="AE461" s="376" t="s">
        <v>1509</v>
      </c>
      <c r="AF461" s="376" t="s">
        <v>253</v>
      </c>
      <c r="AG461" s="376" t="s">
        <v>178</v>
      </c>
      <c r="AH461" s="381">
        <v>17.72</v>
      </c>
      <c r="AI461" s="381">
        <v>19683.7</v>
      </c>
      <c r="AJ461" s="376" t="s">
        <v>179</v>
      </c>
      <c r="AK461" s="376" t="s">
        <v>180</v>
      </c>
      <c r="AL461" s="376" t="s">
        <v>181</v>
      </c>
      <c r="AM461" s="376" t="s">
        <v>182</v>
      </c>
      <c r="AN461" s="376" t="s">
        <v>68</v>
      </c>
      <c r="AO461" s="379">
        <v>80</v>
      </c>
      <c r="AP461" s="385">
        <v>1</v>
      </c>
      <c r="AQ461" s="385">
        <v>1</v>
      </c>
      <c r="AR461" s="383" t="s">
        <v>183</v>
      </c>
      <c r="AS461" s="387">
        <f t="shared" si="335"/>
        <v>1</v>
      </c>
      <c r="AT461">
        <f t="shared" si="336"/>
        <v>1</v>
      </c>
      <c r="AU461" s="387">
        <f>IF(AT461=0,"",IF(AND(AT461=1,M461="F",SUMIF(C2:C1334,C461,AS2:AS1334)&lt;=1),SUMIF(C2:C1334,C461,AS2:AS1334),IF(AND(AT461=1,M461="F",SUMIF(C2:C1334,C461,AS2:AS1334)&gt;1),1,"")))</f>
        <v>1</v>
      </c>
      <c r="AV461" s="387" t="str">
        <f>IF(AT461=0,"",IF(AND(AT461=3,M461="F",SUMIF(C2:C1334,C461,AS2:AS1334)&lt;=1),SUMIF(C2:C1334,C461,AS2:AS1334),IF(AND(AT461=3,M461="F",SUMIF(C2:C1334,C461,AS2:AS1334)&gt;1),1,"")))</f>
        <v/>
      </c>
      <c r="AW461" s="387">
        <f>SUMIF(C2:C1334,C461,O2:O1334)</f>
        <v>1</v>
      </c>
      <c r="AX461" s="387">
        <f>IF(AND(M461="F",AS461&lt;&gt;0),SUMIF(C2:C1334,C461,W2:W1334),0)</f>
        <v>36857.599999999999</v>
      </c>
      <c r="AY461" s="387">
        <f t="shared" si="337"/>
        <v>36857.599999999999</v>
      </c>
      <c r="AZ461" s="387" t="str">
        <f t="shared" si="338"/>
        <v/>
      </c>
      <c r="BA461" s="387">
        <f t="shared" si="339"/>
        <v>0</v>
      </c>
      <c r="BB461" s="387">
        <f t="shared" si="308"/>
        <v>11650</v>
      </c>
      <c r="BC461" s="387">
        <f t="shared" si="309"/>
        <v>0</v>
      </c>
      <c r="BD461" s="387">
        <f t="shared" si="310"/>
        <v>2285.1711999999998</v>
      </c>
      <c r="BE461" s="387">
        <f t="shared" si="311"/>
        <v>534.43520000000001</v>
      </c>
      <c r="BF461" s="387">
        <f t="shared" si="312"/>
        <v>4400.7974400000003</v>
      </c>
      <c r="BG461" s="387">
        <f t="shared" si="313"/>
        <v>265.74329599999999</v>
      </c>
      <c r="BH461" s="387">
        <f t="shared" si="314"/>
        <v>180.60223999999999</v>
      </c>
      <c r="BI461" s="387">
        <f t="shared" si="315"/>
        <v>204.00681599999999</v>
      </c>
      <c r="BJ461" s="387">
        <f t="shared" si="316"/>
        <v>99.515519999999995</v>
      </c>
      <c r="BK461" s="387">
        <f t="shared" si="317"/>
        <v>0</v>
      </c>
      <c r="BL461" s="387">
        <f t="shared" si="340"/>
        <v>7970.2717119999998</v>
      </c>
      <c r="BM461" s="387">
        <f t="shared" si="341"/>
        <v>0</v>
      </c>
      <c r="BN461" s="387">
        <f t="shared" si="318"/>
        <v>11650</v>
      </c>
      <c r="BO461" s="387">
        <f t="shared" si="319"/>
        <v>0</v>
      </c>
      <c r="BP461" s="387">
        <f t="shared" si="320"/>
        <v>2285.1711999999998</v>
      </c>
      <c r="BQ461" s="387">
        <f t="shared" si="321"/>
        <v>534.43520000000001</v>
      </c>
      <c r="BR461" s="387">
        <f t="shared" si="322"/>
        <v>4400.7974400000003</v>
      </c>
      <c r="BS461" s="387">
        <f t="shared" si="323"/>
        <v>265.74329599999999</v>
      </c>
      <c r="BT461" s="387">
        <f t="shared" si="324"/>
        <v>0</v>
      </c>
      <c r="BU461" s="387">
        <f t="shared" si="325"/>
        <v>204.00681599999999</v>
      </c>
      <c r="BV461" s="387">
        <f t="shared" si="326"/>
        <v>125.31583999999999</v>
      </c>
      <c r="BW461" s="387">
        <f t="shared" si="327"/>
        <v>0</v>
      </c>
      <c r="BX461" s="387">
        <f t="shared" si="342"/>
        <v>7815.4697919999999</v>
      </c>
      <c r="BY461" s="387">
        <f t="shared" si="343"/>
        <v>0</v>
      </c>
      <c r="BZ461" s="387">
        <f t="shared" si="344"/>
        <v>0</v>
      </c>
      <c r="CA461" s="387">
        <f t="shared" si="345"/>
        <v>0</v>
      </c>
      <c r="CB461" s="387">
        <f t="shared" si="346"/>
        <v>0</v>
      </c>
      <c r="CC461" s="387">
        <f t="shared" si="328"/>
        <v>0</v>
      </c>
      <c r="CD461" s="387">
        <f t="shared" si="329"/>
        <v>0</v>
      </c>
      <c r="CE461" s="387">
        <f t="shared" si="330"/>
        <v>0</v>
      </c>
      <c r="CF461" s="387">
        <f t="shared" si="331"/>
        <v>-180.60223999999999</v>
      </c>
      <c r="CG461" s="387">
        <f t="shared" si="332"/>
        <v>0</v>
      </c>
      <c r="CH461" s="387">
        <f t="shared" si="333"/>
        <v>25.800319999999985</v>
      </c>
      <c r="CI461" s="387">
        <f t="shared" si="334"/>
        <v>0</v>
      </c>
      <c r="CJ461" s="387">
        <f t="shared" si="347"/>
        <v>-154.80192</v>
      </c>
      <c r="CK461" s="387" t="str">
        <f t="shared" si="348"/>
        <v/>
      </c>
      <c r="CL461" s="387" t="str">
        <f t="shared" si="349"/>
        <v/>
      </c>
      <c r="CM461" s="387" t="str">
        <f t="shared" si="350"/>
        <v/>
      </c>
      <c r="CN461" s="387" t="str">
        <f t="shared" si="351"/>
        <v>0348-31</v>
      </c>
    </row>
    <row r="462" spans="1:92" ht="15.75" thickBot="1" x14ac:dyDescent="0.3">
      <c r="A462" s="376" t="s">
        <v>161</v>
      </c>
      <c r="B462" s="376" t="s">
        <v>162</v>
      </c>
      <c r="C462" s="376" t="s">
        <v>1514</v>
      </c>
      <c r="D462" s="376" t="s">
        <v>862</v>
      </c>
      <c r="E462" s="376" t="s">
        <v>224</v>
      </c>
      <c r="F462" s="382" t="s">
        <v>225</v>
      </c>
      <c r="G462" s="376" t="s">
        <v>781</v>
      </c>
      <c r="H462" s="378"/>
      <c r="I462" s="378"/>
      <c r="J462" s="376" t="s">
        <v>215</v>
      </c>
      <c r="K462" s="376" t="s">
        <v>863</v>
      </c>
      <c r="L462" s="376" t="s">
        <v>252</v>
      </c>
      <c r="M462" s="376" t="s">
        <v>171</v>
      </c>
      <c r="N462" s="376" t="s">
        <v>172</v>
      </c>
      <c r="O462" s="379">
        <v>1</v>
      </c>
      <c r="P462" s="385">
        <v>1</v>
      </c>
      <c r="Q462" s="385">
        <v>1</v>
      </c>
      <c r="R462" s="380">
        <v>80</v>
      </c>
      <c r="S462" s="385">
        <v>1</v>
      </c>
      <c r="T462" s="380">
        <v>25764.880000000001</v>
      </c>
      <c r="U462" s="380">
        <v>0</v>
      </c>
      <c r="V462" s="380">
        <v>13551.94</v>
      </c>
      <c r="W462" s="380">
        <v>38854.400000000001</v>
      </c>
      <c r="X462" s="380">
        <v>20052.23</v>
      </c>
      <c r="Y462" s="380">
        <v>38854.400000000001</v>
      </c>
      <c r="Z462" s="380">
        <v>19889.05</v>
      </c>
      <c r="AA462" s="376" t="s">
        <v>1515</v>
      </c>
      <c r="AB462" s="376" t="s">
        <v>1516</v>
      </c>
      <c r="AC462" s="376" t="s">
        <v>1517</v>
      </c>
      <c r="AD462" s="376" t="s">
        <v>1518</v>
      </c>
      <c r="AE462" s="376" t="s">
        <v>863</v>
      </c>
      <c r="AF462" s="376" t="s">
        <v>393</v>
      </c>
      <c r="AG462" s="376" t="s">
        <v>178</v>
      </c>
      <c r="AH462" s="381">
        <v>18.68</v>
      </c>
      <c r="AI462" s="379">
        <v>1560</v>
      </c>
      <c r="AJ462" s="376" t="s">
        <v>179</v>
      </c>
      <c r="AK462" s="376" t="s">
        <v>180</v>
      </c>
      <c r="AL462" s="376" t="s">
        <v>181</v>
      </c>
      <c r="AM462" s="376" t="s">
        <v>182</v>
      </c>
      <c r="AN462" s="376" t="s">
        <v>68</v>
      </c>
      <c r="AO462" s="379">
        <v>80</v>
      </c>
      <c r="AP462" s="385">
        <v>1</v>
      </c>
      <c r="AQ462" s="385">
        <v>1</v>
      </c>
      <c r="AR462" s="383" t="s">
        <v>183</v>
      </c>
      <c r="AS462" s="387">
        <f t="shared" si="335"/>
        <v>1</v>
      </c>
      <c r="AT462">
        <f t="shared" si="336"/>
        <v>1</v>
      </c>
      <c r="AU462" s="387">
        <f>IF(AT462=0,"",IF(AND(AT462=1,M462="F",SUMIF(C2:C1334,C462,AS2:AS1334)&lt;=1),SUMIF(C2:C1334,C462,AS2:AS1334),IF(AND(AT462=1,M462="F",SUMIF(C2:C1334,C462,AS2:AS1334)&gt;1),1,"")))</f>
        <v>1</v>
      </c>
      <c r="AV462" s="387" t="str">
        <f>IF(AT462=0,"",IF(AND(AT462=3,M462="F",SUMIF(C2:C1334,C462,AS2:AS1334)&lt;=1),SUMIF(C2:C1334,C462,AS2:AS1334),IF(AND(AT462=3,M462="F",SUMIF(C2:C1334,C462,AS2:AS1334)&gt;1),1,"")))</f>
        <v/>
      </c>
      <c r="AW462" s="387">
        <f>SUMIF(C2:C1334,C462,O2:O1334)</f>
        <v>3</v>
      </c>
      <c r="AX462" s="387">
        <f>IF(AND(M462="F",AS462&lt;&gt;0),SUMIF(C2:C1334,C462,W2:W1334),0)</f>
        <v>38854.400000000001</v>
      </c>
      <c r="AY462" s="387">
        <f t="shared" si="337"/>
        <v>38854.400000000001</v>
      </c>
      <c r="AZ462" s="387" t="str">
        <f t="shared" si="338"/>
        <v/>
      </c>
      <c r="BA462" s="387">
        <f t="shared" si="339"/>
        <v>0</v>
      </c>
      <c r="BB462" s="387">
        <f t="shared" si="308"/>
        <v>11650</v>
      </c>
      <c r="BC462" s="387">
        <f t="shared" si="309"/>
        <v>0</v>
      </c>
      <c r="BD462" s="387">
        <f t="shared" si="310"/>
        <v>2408.9728</v>
      </c>
      <c r="BE462" s="387">
        <f t="shared" si="311"/>
        <v>563.38880000000006</v>
      </c>
      <c r="BF462" s="387">
        <f t="shared" si="312"/>
        <v>4639.2153600000001</v>
      </c>
      <c r="BG462" s="387">
        <f t="shared" si="313"/>
        <v>280.14022400000005</v>
      </c>
      <c r="BH462" s="387">
        <f t="shared" si="314"/>
        <v>190.38656</v>
      </c>
      <c r="BI462" s="387">
        <f t="shared" si="315"/>
        <v>215.05910400000002</v>
      </c>
      <c r="BJ462" s="387">
        <f t="shared" si="316"/>
        <v>104.90688000000002</v>
      </c>
      <c r="BK462" s="387">
        <f t="shared" si="317"/>
        <v>0</v>
      </c>
      <c r="BL462" s="387">
        <f t="shared" si="340"/>
        <v>8402.0697280000004</v>
      </c>
      <c r="BM462" s="387">
        <f t="shared" si="341"/>
        <v>0</v>
      </c>
      <c r="BN462" s="387">
        <f t="shared" si="318"/>
        <v>11650</v>
      </c>
      <c r="BO462" s="387">
        <f t="shared" si="319"/>
        <v>0</v>
      </c>
      <c r="BP462" s="387">
        <f t="shared" si="320"/>
        <v>2408.9728</v>
      </c>
      <c r="BQ462" s="387">
        <f t="shared" si="321"/>
        <v>563.38880000000006</v>
      </c>
      <c r="BR462" s="387">
        <f t="shared" si="322"/>
        <v>4639.2153600000001</v>
      </c>
      <c r="BS462" s="387">
        <f t="shared" si="323"/>
        <v>280.14022400000005</v>
      </c>
      <c r="BT462" s="387">
        <f t="shared" si="324"/>
        <v>0</v>
      </c>
      <c r="BU462" s="387">
        <f t="shared" si="325"/>
        <v>215.05910400000002</v>
      </c>
      <c r="BV462" s="387">
        <f t="shared" si="326"/>
        <v>132.10496000000001</v>
      </c>
      <c r="BW462" s="387">
        <f t="shared" si="327"/>
        <v>0</v>
      </c>
      <c r="BX462" s="387">
        <f t="shared" si="342"/>
        <v>8238.8812479999997</v>
      </c>
      <c r="BY462" s="387">
        <f t="shared" si="343"/>
        <v>0</v>
      </c>
      <c r="BZ462" s="387">
        <f t="shared" si="344"/>
        <v>0</v>
      </c>
      <c r="CA462" s="387">
        <f t="shared" si="345"/>
        <v>0</v>
      </c>
      <c r="CB462" s="387">
        <f t="shared" si="346"/>
        <v>0</v>
      </c>
      <c r="CC462" s="387">
        <f t="shared" si="328"/>
        <v>0</v>
      </c>
      <c r="CD462" s="387">
        <f t="shared" si="329"/>
        <v>0</v>
      </c>
      <c r="CE462" s="387">
        <f t="shared" si="330"/>
        <v>0</v>
      </c>
      <c r="CF462" s="387">
        <f t="shared" si="331"/>
        <v>-190.38656</v>
      </c>
      <c r="CG462" s="387">
        <f t="shared" si="332"/>
        <v>0</v>
      </c>
      <c r="CH462" s="387">
        <f t="shared" si="333"/>
        <v>27.198079999999987</v>
      </c>
      <c r="CI462" s="387">
        <f t="shared" si="334"/>
        <v>0</v>
      </c>
      <c r="CJ462" s="387">
        <f t="shared" si="347"/>
        <v>-163.18848000000003</v>
      </c>
      <c r="CK462" s="387" t="str">
        <f t="shared" si="348"/>
        <v/>
      </c>
      <c r="CL462" s="387" t="str">
        <f t="shared" si="349"/>
        <v/>
      </c>
      <c r="CM462" s="387" t="str">
        <f t="shared" si="350"/>
        <v/>
      </c>
      <c r="CN462" s="387" t="str">
        <f t="shared" si="351"/>
        <v>0348-31</v>
      </c>
    </row>
    <row r="463" spans="1:92" ht="15.75" thickBot="1" x14ac:dyDescent="0.3">
      <c r="A463" s="376" t="s">
        <v>161</v>
      </c>
      <c r="B463" s="376" t="s">
        <v>162</v>
      </c>
      <c r="C463" s="376" t="s">
        <v>398</v>
      </c>
      <c r="D463" s="376" t="s">
        <v>375</v>
      </c>
      <c r="E463" s="376" t="s">
        <v>224</v>
      </c>
      <c r="F463" s="382" t="s">
        <v>225</v>
      </c>
      <c r="G463" s="376" t="s">
        <v>781</v>
      </c>
      <c r="H463" s="378"/>
      <c r="I463" s="378"/>
      <c r="J463" s="376" t="s">
        <v>239</v>
      </c>
      <c r="K463" s="376" t="s">
        <v>376</v>
      </c>
      <c r="L463" s="376" t="s">
        <v>178</v>
      </c>
      <c r="M463" s="376" t="s">
        <v>171</v>
      </c>
      <c r="N463" s="376" t="s">
        <v>172</v>
      </c>
      <c r="O463" s="379">
        <v>1</v>
      </c>
      <c r="P463" s="385">
        <v>0</v>
      </c>
      <c r="Q463" s="385">
        <v>0</v>
      </c>
      <c r="R463" s="380">
        <v>80</v>
      </c>
      <c r="S463" s="385">
        <v>0</v>
      </c>
      <c r="T463" s="380">
        <v>3770.68</v>
      </c>
      <c r="U463" s="380">
        <v>0</v>
      </c>
      <c r="V463" s="380">
        <v>2207.2399999999998</v>
      </c>
      <c r="W463" s="380">
        <v>0</v>
      </c>
      <c r="X463" s="380">
        <v>0</v>
      </c>
      <c r="Y463" s="380">
        <v>0</v>
      </c>
      <c r="Z463" s="380">
        <v>0</v>
      </c>
      <c r="AA463" s="376" t="s">
        <v>399</v>
      </c>
      <c r="AB463" s="376" t="s">
        <v>400</v>
      </c>
      <c r="AC463" s="376" t="s">
        <v>401</v>
      </c>
      <c r="AD463" s="376" t="s">
        <v>402</v>
      </c>
      <c r="AE463" s="376" t="s">
        <v>376</v>
      </c>
      <c r="AF463" s="376" t="s">
        <v>253</v>
      </c>
      <c r="AG463" s="376" t="s">
        <v>178</v>
      </c>
      <c r="AH463" s="381">
        <v>15.21</v>
      </c>
      <c r="AI463" s="381">
        <v>13084.3</v>
      </c>
      <c r="AJ463" s="376" t="s">
        <v>179</v>
      </c>
      <c r="AK463" s="376" t="s">
        <v>180</v>
      </c>
      <c r="AL463" s="376" t="s">
        <v>181</v>
      </c>
      <c r="AM463" s="376" t="s">
        <v>182</v>
      </c>
      <c r="AN463" s="376" t="s">
        <v>68</v>
      </c>
      <c r="AO463" s="379">
        <v>80</v>
      </c>
      <c r="AP463" s="385">
        <v>1</v>
      </c>
      <c r="AQ463" s="385">
        <v>0</v>
      </c>
      <c r="AR463" s="383" t="s">
        <v>183</v>
      </c>
      <c r="AS463" s="387">
        <f t="shared" si="335"/>
        <v>0</v>
      </c>
      <c r="AT463">
        <f t="shared" si="336"/>
        <v>0</v>
      </c>
      <c r="AU463" s="387" t="str">
        <f>IF(AT463=0,"",IF(AND(AT463=1,M463="F",SUMIF(C2:C1334,C463,AS2:AS1334)&lt;=1),SUMIF(C2:C1334,C463,AS2:AS1334),IF(AND(AT463=1,M463="F",SUMIF(C2:C1334,C463,AS2:AS1334)&gt;1),1,"")))</f>
        <v/>
      </c>
      <c r="AV463" s="387" t="str">
        <f>IF(AT463=0,"",IF(AND(AT463=3,M463="F",SUMIF(C2:C1334,C463,AS2:AS1334)&lt;=1),SUMIF(C2:C1334,C463,AS2:AS1334),IF(AND(AT463=3,M463="F",SUMIF(C2:C1334,C463,AS2:AS1334)&gt;1),1,"")))</f>
        <v/>
      </c>
      <c r="AW463" s="387">
        <f>SUMIF(C2:C1334,C463,O2:O1334)</f>
        <v>6</v>
      </c>
      <c r="AX463" s="387">
        <f>IF(AND(M463="F",AS463&lt;&gt;0),SUMIF(C2:C1334,C463,W2:W1334),0)</f>
        <v>0</v>
      </c>
      <c r="AY463" s="387" t="str">
        <f t="shared" si="337"/>
        <v/>
      </c>
      <c r="AZ463" s="387" t="str">
        <f t="shared" si="338"/>
        <v/>
      </c>
      <c r="BA463" s="387">
        <f t="shared" si="339"/>
        <v>0</v>
      </c>
      <c r="BB463" s="387">
        <f t="shared" si="308"/>
        <v>0</v>
      </c>
      <c r="BC463" s="387">
        <f t="shared" si="309"/>
        <v>0</v>
      </c>
      <c r="BD463" s="387">
        <f t="shared" si="310"/>
        <v>0</v>
      </c>
      <c r="BE463" s="387">
        <f t="shared" si="311"/>
        <v>0</v>
      </c>
      <c r="BF463" s="387">
        <f t="shared" si="312"/>
        <v>0</v>
      </c>
      <c r="BG463" s="387">
        <f t="shared" si="313"/>
        <v>0</v>
      </c>
      <c r="BH463" s="387">
        <f t="shared" si="314"/>
        <v>0</v>
      </c>
      <c r="BI463" s="387">
        <f t="shared" si="315"/>
        <v>0</v>
      </c>
      <c r="BJ463" s="387">
        <f t="shared" si="316"/>
        <v>0</v>
      </c>
      <c r="BK463" s="387">
        <f t="shared" si="317"/>
        <v>0</v>
      </c>
      <c r="BL463" s="387">
        <f t="shared" si="340"/>
        <v>0</v>
      </c>
      <c r="BM463" s="387">
        <f t="shared" si="341"/>
        <v>0</v>
      </c>
      <c r="BN463" s="387">
        <f t="shared" si="318"/>
        <v>0</v>
      </c>
      <c r="BO463" s="387">
        <f t="shared" si="319"/>
        <v>0</v>
      </c>
      <c r="BP463" s="387">
        <f t="shared" si="320"/>
        <v>0</v>
      </c>
      <c r="BQ463" s="387">
        <f t="shared" si="321"/>
        <v>0</v>
      </c>
      <c r="BR463" s="387">
        <f t="shared" si="322"/>
        <v>0</v>
      </c>
      <c r="BS463" s="387">
        <f t="shared" si="323"/>
        <v>0</v>
      </c>
      <c r="BT463" s="387">
        <f t="shared" si="324"/>
        <v>0</v>
      </c>
      <c r="BU463" s="387">
        <f t="shared" si="325"/>
        <v>0</v>
      </c>
      <c r="BV463" s="387">
        <f t="shared" si="326"/>
        <v>0</v>
      </c>
      <c r="BW463" s="387">
        <f t="shared" si="327"/>
        <v>0</v>
      </c>
      <c r="BX463" s="387">
        <f t="shared" si="342"/>
        <v>0</v>
      </c>
      <c r="BY463" s="387">
        <f t="shared" si="343"/>
        <v>0</v>
      </c>
      <c r="BZ463" s="387">
        <f t="shared" si="344"/>
        <v>0</v>
      </c>
      <c r="CA463" s="387">
        <f t="shared" si="345"/>
        <v>0</v>
      </c>
      <c r="CB463" s="387">
        <f t="shared" si="346"/>
        <v>0</v>
      </c>
      <c r="CC463" s="387">
        <f t="shared" si="328"/>
        <v>0</v>
      </c>
      <c r="CD463" s="387">
        <f t="shared" si="329"/>
        <v>0</v>
      </c>
      <c r="CE463" s="387">
        <f t="shared" si="330"/>
        <v>0</v>
      </c>
      <c r="CF463" s="387">
        <f t="shared" si="331"/>
        <v>0</v>
      </c>
      <c r="CG463" s="387">
        <f t="shared" si="332"/>
        <v>0</v>
      </c>
      <c r="CH463" s="387">
        <f t="shared" si="333"/>
        <v>0</v>
      </c>
      <c r="CI463" s="387">
        <f t="shared" si="334"/>
        <v>0</v>
      </c>
      <c r="CJ463" s="387">
        <f t="shared" si="347"/>
        <v>0</v>
      </c>
      <c r="CK463" s="387" t="str">
        <f t="shared" si="348"/>
        <v/>
      </c>
      <c r="CL463" s="387" t="str">
        <f t="shared" si="349"/>
        <v/>
      </c>
      <c r="CM463" s="387" t="str">
        <f t="shared" si="350"/>
        <v/>
      </c>
      <c r="CN463" s="387" t="str">
        <f t="shared" si="351"/>
        <v>0348-31</v>
      </c>
    </row>
    <row r="464" spans="1:92" ht="15.75" thickBot="1" x14ac:dyDescent="0.3">
      <c r="A464" s="376" t="s">
        <v>161</v>
      </c>
      <c r="B464" s="376" t="s">
        <v>162</v>
      </c>
      <c r="C464" s="376" t="s">
        <v>1519</v>
      </c>
      <c r="D464" s="376" t="s">
        <v>862</v>
      </c>
      <c r="E464" s="376" t="s">
        <v>224</v>
      </c>
      <c r="F464" s="382" t="s">
        <v>225</v>
      </c>
      <c r="G464" s="376" t="s">
        <v>781</v>
      </c>
      <c r="H464" s="378"/>
      <c r="I464" s="378"/>
      <c r="J464" s="376" t="s">
        <v>239</v>
      </c>
      <c r="K464" s="376" t="s">
        <v>863</v>
      </c>
      <c r="L464" s="376" t="s">
        <v>252</v>
      </c>
      <c r="M464" s="376" t="s">
        <v>171</v>
      </c>
      <c r="N464" s="376" t="s">
        <v>172</v>
      </c>
      <c r="O464" s="379">
        <v>1</v>
      </c>
      <c r="P464" s="385">
        <v>1</v>
      </c>
      <c r="Q464" s="385">
        <v>1</v>
      </c>
      <c r="R464" s="380">
        <v>80</v>
      </c>
      <c r="S464" s="385">
        <v>1</v>
      </c>
      <c r="T464" s="380">
        <v>27079.66</v>
      </c>
      <c r="U464" s="380">
        <v>0</v>
      </c>
      <c r="V464" s="380">
        <v>15496.73</v>
      </c>
      <c r="W464" s="380">
        <v>38792</v>
      </c>
      <c r="X464" s="380">
        <v>20038.740000000002</v>
      </c>
      <c r="Y464" s="380">
        <v>38792</v>
      </c>
      <c r="Z464" s="380">
        <v>19875.82</v>
      </c>
      <c r="AA464" s="376" t="s">
        <v>1520</v>
      </c>
      <c r="AB464" s="376" t="s">
        <v>1521</v>
      </c>
      <c r="AC464" s="376" t="s">
        <v>1522</v>
      </c>
      <c r="AD464" s="376" t="s">
        <v>912</v>
      </c>
      <c r="AE464" s="376" t="s">
        <v>863</v>
      </c>
      <c r="AF464" s="376" t="s">
        <v>393</v>
      </c>
      <c r="AG464" s="376" t="s">
        <v>178</v>
      </c>
      <c r="AH464" s="381">
        <v>18.649999999999999</v>
      </c>
      <c r="AI464" s="381">
        <v>1242.7</v>
      </c>
      <c r="AJ464" s="376" t="s">
        <v>179</v>
      </c>
      <c r="AK464" s="376" t="s">
        <v>180</v>
      </c>
      <c r="AL464" s="376" t="s">
        <v>181</v>
      </c>
      <c r="AM464" s="376" t="s">
        <v>182</v>
      </c>
      <c r="AN464" s="376" t="s">
        <v>68</v>
      </c>
      <c r="AO464" s="379">
        <v>80</v>
      </c>
      <c r="AP464" s="385">
        <v>1</v>
      </c>
      <c r="AQ464" s="385">
        <v>1</v>
      </c>
      <c r="AR464" s="383" t="s">
        <v>183</v>
      </c>
      <c r="AS464" s="387">
        <f t="shared" si="335"/>
        <v>1</v>
      </c>
      <c r="AT464">
        <f t="shared" si="336"/>
        <v>1</v>
      </c>
      <c r="AU464" s="387">
        <f>IF(AT464=0,"",IF(AND(AT464=1,M464="F",SUMIF(C2:C1334,C464,AS2:AS1334)&lt;=1),SUMIF(C2:C1334,C464,AS2:AS1334),IF(AND(AT464=1,M464="F",SUMIF(C2:C1334,C464,AS2:AS1334)&gt;1),1,"")))</f>
        <v>1</v>
      </c>
      <c r="AV464" s="387" t="str">
        <f>IF(AT464=0,"",IF(AND(AT464=3,M464="F",SUMIF(C2:C1334,C464,AS2:AS1334)&lt;=1),SUMIF(C2:C1334,C464,AS2:AS1334),IF(AND(AT464=3,M464="F",SUMIF(C2:C1334,C464,AS2:AS1334)&gt;1),1,"")))</f>
        <v/>
      </c>
      <c r="AW464" s="387">
        <f>SUMIF(C2:C1334,C464,O2:O1334)</f>
        <v>2</v>
      </c>
      <c r="AX464" s="387">
        <f>IF(AND(M464="F",AS464&lt;&gt;0),SUMIF(C2:C1334,C464,W2:W1334),0)</f>
        <v>38792</v>
      </c>
      <c r="AY464" s="387">
        <f t="shared" si="337"/>
        <v>38792</v>
      </c>
      <c r="AZ464" s="387" t="str">
        <f t="shared" si="338"/>
        <v/>
      </c>
      <c r="BA464" s="387">
        <f t="shared" si="339"/>
        <v>0</v>
      </c>
      <c r="BB464" s="387">
        <f t="shared" si="308"/>
        <v>11650</v>
      </c>
      <c r="BC464" s="387">
        <f t="shared" si="309"/>
        <v>0</v>
      </c>
      <c r="BD464" s="387">
        <f t="shared" si="310"/>
        <v>2405.1039999999998</v>
      </c>
      <c r="BE464" s="387">
        <f t="shared" si="311"/>
        <v>562.48400000000004</v>
      </c>
      <c r="BF464" s="387">
        <f t="shared" si="312"/>
        <v>4631.7647999999999</v>
      </c>
      <c r="BG464" s="387">
        <f t="shared" si="313"/>
        <v>279.69031999999999</v>
      </c>
      <c r="BH464" s="387">
        <f t="shared" si="314"/>
        <v>190.08079999999998</v>
      </c>
      <c r="BI464" s="387">
        <f t="shared" si="315"/>
        <v>214.71372</v>
      </c>
      <c r="BJ464" s="387">
        <f t="shared" si="316"/>
        <v>104.7384</v>
      </c>
      <c r="BK464" s="387">
        <f t="shared" si="317"/>
        <v>0</v>
      </c>
      <c r="BL464" s="387">
        <f t="shared" si="340"/>
        <v>8388.5760399999999</v>
      </c>
      <c r="BM464" s="387">
        <f t="shared" si="341"/>
        <v>0</v>
      </c>
      <c r="BN464" s="387">
        <f t="shared" si="318"/>
        <v>11650</v>
      </c>
      <c r="BO464" s="387">
        <f t="shared" si="319"/>
        <v>0</v>
      </c>
      <c r="BP464" s="387">
        <f t="shared" si="320"/>
        <v>2405.1039999999998</v>
      </c>
      <c r="BQ464" s="387">
        <f t="shared" si="321"/>
        <v>562.48400000000004</v>
      </c>
      <c r="BR464" s="387">
        <f t="shared" si="322"/>
        <v>4631.7647999999999</v>
      </c>
      <c r="BS464" s="387">
        <f t="shared" si="323"/>
        <v>279.69031999999999</v>
      </c>
      <c r="BT464" s="387">
        <f t="shared" si="324"/>
        <v>0</v>
      </c>
      <c r="BU464" s="387">
        <f t="shared" si="325"/>
        <v>214.71372</v>
      </c>
      <c r="BV464" s="387">
        <f t="shared" si="326"/>
        <v>131.89279999999999</v>
      </c>
      <c r="BW464" s="387">
        <f t="shared" si="327"/>
        <v>0</v>
      </c>
      <c r="BX464" s="387">
        <f t="shared" si="342"/>
        <v>8225.6496399999996</v>
      </c>
      <c r="BY464" s="387">
        <f t="shared" si="343"/>
        <v>0</v>
      </c>
      <c r="BZ464" s="387">
        <f t="shared" si="344"/>
        <v>0</v>
      </c>
      <c r="CA464" s="387">
        <f t="shared" si="345"/>
        <v>0</v>
      </c>
      <c r="CB464" s="387">
        <f t="shared" si="346"/>
        <v>0</v>
      </c>
      <c r="CC464" s="387">
        <f t="shared" si="328"/>
        <v>0</v>
      </c>
      <c r="CD464" s="387">
        <f t="shared" si="329"/>
        <v>0</v>
      </c>
      <c r="CE464" s="387">
        <f t="shared" si="330"/>
        <v>0</v>
      </c>
      <c r="CF464" s="387">
        <f t="shared" si="331"/>
        <v>-190.08079999999998</v>
      </c>
      <c r="CG464" s="387">
        <f t="shared" si="332"/>
        <v>0</v>
      </c>
      <c r="CH464" s="387">
        <f t="shared" si="333"/>
        <v>27.154399999999988</v>
      </c>
      <c r="CI464" s="387">
        <f t="shared" si="334"/>
        <v>0</v>
      </c>
      <c r="CJ464" s="387">
        <f t="shared" si="347"/>
        <v>-162.9264</v>
      </c>
      <c r="CK464" s="387" t="str">
        <f t="shared" si="348"/>
        <v/>
      </c>
      <c r="CL464" s="387" t="str">
        <f t="shared" si="349"/>
        <v/>
      </c>
      <c r="CM464" s="387" t="str">
        <f t="shared" si="350"/>
        <v/>
      </c>
      <c r="CN464" s="387" t="str">
        <f t="shared" si="351"/>
        <v>0348-31</v>
      </c>
    </row>
    <row r="465" spans="1:92" ht="15.75" thickBot="1" x14ac:dyDescent="0.3">
      <c r="A465" s="376" t="s">
        <v>161</v>
      </c>
      <c r="B465" s="376" t="s">
        <v>162</v>
      </c>
      <c r="C465" s="376" t="s">
        <v>588</v>
      </c>
      <c r="D465" s="376" t="s">
        <v>270</v>
      </c>
      <c r="E465" s="376" t="s">
        <v>224</v>
      </c>
      <c r="F465" s="382" t="s">
        <v>225</v>
      </c>
      <c r="G465" s="376" t="s">
        <v>781</v>
      </c>
      <c r="H465" s="378"/>
      <c r="I465" s="378"/>
      <c r="J465" s="376" t="s">
        <v>215</v>
      </c>
      <c r="K465" s="376" t="s">
        <v>271</v>
      </c>
      <c r="L465" s="376" t="s">
        <v>217</v>
      </c>
      <c r="M465" s="376" t="s">
        <v>171</v>
      </c>
      <c r="N465" s="376" t="s">
        <v>172</v>
      </c>
      <c r="O465" s="379">
        <v>1</v>
      </c>
      <c r="P465" s="385">
        <v>0</v>
      </c>
      <c r="Q465" s="385">
        <v>0</v>
      </c>
      <c r="R465" s="380">
        <v>80</v>
      </c>
      <c r="S465" s="385">
        <v>0</v>
      </c>
      <c r="T465" s="380">
        <v>18970.21</v>
      </c>
      <c r="U465" s="380">
        <v>0</v>
      </c>
      <c r="V465" s="380">
        <v>13374.21</v>
      </c>
      <c r="W465" s="380">
        <v>0</v>
      </c>
      <c r="X465" s="380">
        <v>0</v>
      </c>
      <c r="Y465" s="380">
        <v>0</v>
      </c>
      <c r="Z465" s="380">
        <v>0</v>
      </c>
      <c r="AA465" s="376" t="s">
        <v>589</v>
      </c>
      <c r="AB465" s="376" t="s">
        <v>590</v>
      </c>
      <c r="AC465" s="376" t="s">
        <v>591</v>
      </c>
      <c r="AD465" s="376" t="s">
        <v>279</v>
      </c>
      <c r="AE465" s="376" t="s">
        <v>271</v>
      </c>
      <c r="AF465" s="376" t="s">
        <v>221</v>
      </c>
      <c r="AG465" s="376" t="s">
        <v>178</v>
      </c>
      <c r="AH465" s="381">
        <v>18.22</v>
      </c>
      <c r="AI465" s="381">
        <v>13846.6</v>
      </c>
      <c r="AJ465" s="376" t="s">
        <v>473</v>
      </c>
      <c r="AK465" s="376" t="s">
        <v>180</v>
      </c>
      <c r="AL465" s="376" t="s">
        <v>181</v>
      </c>
      <c r="AM465" s="376" t="s">
        <v>182</v>
      </c>
      <c r="AN465" s="376" t="s">
        <v>68</v>
      </c>
      <c r="AO465" s="379">
        <v>50</v>
      </c>
      <c r="AP465" s="385">
        <v>1</v>
      </c>
      <c r="AQ465" s="385">
        <v>0</v>
      </c>
      <c r="AR465" s="383" t="s">
        <v>183</v>
      </c>
      <c r="AS465" s="387">
        <f t="shared" si="335"/>
        <v>0</v>
      </c>
      <c r="AT465">
        <f t="shared" si="336"/>
        <v>0</v>
      </c>
      <c r="AU465" s="387" t="str">
        <f>IF(AT465=0,"",IF(AND(AT465=1,M465="F",SUMIF(C2:C1334,C465,AS2:AS1334)&lt;=1),SUMIF(C2:C1334,C465,AS2:AS1334),IF(AND(AT465=1,M465="F",SUMIF(C2:C1334,C465,AS2:AS1334)&gt;1),1,"")))</f>
        <v/>
      </c>
      <c r="AV465" s="387" t="str">
        <f>IF(AT465=0,"",IF(AND(AT465=3,M465="F",SUMIF(C2:C1334,C465,AS2:AS1334)&lt;=1),SUMIF(C2:C1334,C465,AS2:AS1334),IF(AND(AT465=3,M465="F",SUMIF(C2:C1334,C465,AS2:AS1334)&gt;1),1,"")))</f>
        <v/>
      </c>
      <c r="AW465" s="387">
        <f>SUMIF(C2:C1334,C465,O2:O1334)</f>
        <v>2</v>
      </c>
      <c r="AX465" s="387">
        <f>IF(AND(M465="F",AS465&lt;&gt;0),SUMIF(C2:C1334,C465,W2:W1334),0)</f>
        <v>0</v>
      </c>
      <c r="AY465" s="387" t="str">
        <f t="shared" si="337"/>
        <v/>
      </c>
      <c r="AZ465" s="387" t="str">
        <f t="shared" si="338"/>
        <v/>
      </c>
      <c r="BA465" s="387">
        <f t="shared" si="339"/>
        <v>0</v>
      </c>
      <c r="BB465" s="387">
        <f t="shared" si="308"/>
        <v>0</v>
      </c>
      <c r="BC465" s="387">
        <f t="shared" si="309"/>
        <v>0</v>
      </c>
      <c r="BD465" s="387">
        <f t="shared" si="310"/>
        <v>0</v>
      </c>
      <c r="BE465" s="387">
        <f t="shared" si="311"/>
        <v>0</v>
      </c>
      <c r="BF465" s="387">
        <f t="shared" si="312"/>
        <v>0</v>
      </c>
      <c r="BG465" s="387">
        <f t="shared" si="313"/>
        <v>0</v>
      </c>
      <c r="BH465" s="387">
        <f t="shared" si="314"/>
        <v>0</v>
      </c>
      <c r="BI465" s="387">
        <f t="shared" si="315"/>
        <v>0</v>
      </c>
      <c r="BJ465" s="387">
        <f t="shared" si="316"/>
        <v>0</v>
      </c>
      <c r="BK465" s="387">
        <f t="shared" si="317"/>
        <v>0</v>
      </c>
      <c r="BL465" s="387">
        <f t="shared" si="340"/>
        <v>0</v>
      </c>
      <c r="BM465" s="387">
        <f t="shared" si="341"/>
        <v>0</v>
      </c>
      <c r="BN465" s="387">
        <f t="shared" si="318"/>
        <v>0</v>
      </c>
      <c r="BO465" s="387">
        <f t="shared" si="319"/>
        <v>0</v>
      </c>
      <c r="BP465" s="387">
        <f t="shared" si="320"/>
        <v>0</v>
      </c>
      <c r="BQ465" s="387">
        <f t="shared" si="321"/>
        <v>0</v>
      </c>
      <c r="BR465" s="387">
        <f t="shared" si="322"/>
        <v>0</v>
      </c>
      <c r="BS465" s="387">
        <f t="shared" si="323"/>
        <v>0</v>
      </c>
      <c r="BT465" s="387">
        <f t="shared" si="324"/>
        <v>0</v>
      </c>
      <c r="BU465" s="387">
        <f t="shared" si="325"/>
        <v>0</v>
      </c>
      <c r="BV465" s="387">
        <f t="shared" si="326"/>
        <v>0</v>
      </c>
      <c r="BW465" s="387">
        <f t="shared" si="327"/>
        <v>0</v>
      </c>
      <c r="BX465" s="387">
        <f t="shared" si="342"/>
        <v>0</v>
      </c>
      <c r="BY465" s="387">
        <f t="shared" si="343"/>
        <v>0</v>
      </c>
      <c r="BZ465" s="387">
        <f t="shared" si="344"/>
        <v>0</v>
      </c>
      <c r="CA465" s="387">
        <f t="shared" si="345"/>
        <v>0</v>
      </c>
      <c r="CB465" s="387">
        <f t="shared" si="346"/>
        <v>0</v>
      </c>
      <c r="CC465" s="387">
        <f t="shared" si="328"/>
        <v>0</v>
      </c>
      <c r="CD465" s="387">
        <f t="shared" si="329"/>
        <v>0</v>
      </c>
      <c r="CE465" s="387">
        <f t="shared" si="330"/>
        <v>0</v>
      </c>
      <c r="CF465" s="387">
        <f t="shared" si="331"/>
        <v>0</v>
      </c>
      <c r="CG465" s="387">
        <f t="shared" si="332"/>
        <v>0</v>
      </c>
      <c r="CH465" s="387">
        <f t="shared" si="333"/>
        <v>0</v>
      </c>
      <c r="CI465" s="387">
        <f t="shared" si="334"/>
        <v>0</v>
      </c>
      <c r="CJ465" s="387">
        <f t="shared" si="347"/>
        <v>0</v>
      </c>
      <c r="CK465" s="387" t="str">
        <f t="shared" si="348"/>
        <v/>
      </c>
      <c r="CL465" s="387" t="str">
        <f t="shared" si="349"/>
        <v/>
      </c>
      <c r="CM465" s="387" t="str">
        <f t="shared" si="350"/>
        <v/>
      </c>
      <c r="CN465" s="387" t="str">
        <f t="shared" si="351"/>
        <v>0348-31</v>
      </c>
    </row>
    <row r="466" spans="1:92" ht="15.75" thickBot="1" x14ac:dyDescent="0.3">
      <c r="A466" s="376" t="s">
        <v>161</v>
      </c>
      <c r="B466" s="376" t="s">
        <v>162</v>
      </c>
      <c r="C466" s="376" t="s">
        <v>1523</v>
      </c>
      <c r="D466" s="376" t="s">
        <v>524</v>
      </c>
      <c r="E466" s="376" t="s">
        <v>224</v>
      </c>
      <c r="F466" s="382" t="s">
        <v>225</v>
      </c>
      <c r="G466" s="376" t="s">
        <v>781</v>
      </c>
      <c r="H466" s="378"/>
      <c r="I466" s="378"/>
      <c r="J466" s="376" t="s">
        <v>239</v>
      </c>
      <c r="K466" s="376" t="s">
        <v>525</v>
      </c>
      <c r="L466" s="376" t="s">
        <v>170</v>
      </c>
      <c r="M466" s="376" t="s">
        <v>566</v>
      </c>
      <c r="N466" s="376" t="s">
        <v>877</v>
      </c>
      <c r="O466" s="379">
        <v>0</v>
      </c>
      <c r="P466" s="385">
        <v>0</v>
      </c>
      <c r="Q466" s="385">
        <v>0</v>
      </c>
      <c r="R466" s="380">
        <v>80</v>
      </c>
      <c r="S466" s="385">
        <v>0</v>
      </c>
      <c r="T466" s="380">
        <v>78.44</v>
      </c>
      <c r="U466" s="380">
        <v>0</v>
      </c>
      <c r="V466" s="380">
        <v>35.46</v>
      </c>
      <c r="W466" s="380">
        <v>0</v>
      </c>
      <c r="X466" s="380">
        <v>0</v>
      </c>
      <c r="Y466" s="380">
        <v>0</v>
      </c>
      <c r="Z466" s="380">
        <v>0</v>
      </c>
      <c r="AA466" s="378"/>
      <c r="AB466" s="376" t="s">
        <v>45</v>
      </c>
      <c r="AC466" s="376" t="s">
        <v>45</v>
      </c>
      <c r="AD466" s="378"/>
      <c r="AE466" s="378"/>
      <c r="AF466" s="378"/>
      <c r="AG466" s="378"/>
      <c r="AH466" s="379">
        <v>0</v>
      </c>
      <c r="AI466" s="379">
        <v>0</v>
      </c>
      <c r="AJ466" s="378"/>
      <c r="AK466" s="378"/>
      <c r="AL466" s="376" t="s">
        <v>181</v>
      </c>
      <c r="AM466" s="378"/>
      <c r="AN466" s="378"/>
      <c r="AO466" s="379">
        <v>0</v>
      </c>
      <c r="AP466" s="385">
        <v>0</v>
      </c>
      <c r="AQ466" s="385">
        <v>0</v>
      </c>
      <c r="AR466" s="384"/>
      <c r="AS466" s="387">
        <f t="shared" si="335"/>
        <v>0</v>
      </c>
      <c r="AT466">
        <f t="shared" si="336"/>
        <v>0</v>
      </c>
      <c r="AU466" s="387" t="str">
        <f>IF(AT466=0,"",IF(AND(AT466=1,M466="F",SUMIF(C2:C1334,C466,AS2:AS1334)&lt;=1),SUMIF(C2:C1334,C466,AS2:AS1334),IF(AND(AT466=1,M466="F",SUMIF(C2:C1334,C466,AS2:AS1334)&gt;1),1,"")))</f>
        <v/>
      </c>
      <c r="AV466" s="387" t="str">
        <f>IF(AT466=0,"",IF(AND(AT466=3,M466="F",SUMIF(C2:C1334,C466,AS2:AS1334)&lt;=1),SUMIF(C2:C1334,C466,AS2:AS1334),IF(AND(AT466=3,M466="F",SUMIF(C2:C1334,C466,AS2:AS1334)&gt;1),1,"")))</f>
        <v/>
      </c>
      <c r="AW466" s="387">
        <f>SUMIF(C2:C1334,C466,O2:O1334)</f>
        <v>0</v>
      </c>
      <c r="AX466" s="387">
        <f>IF(AND(M466="F",AS466&lt;&gt;0),SUMIF(C2:C1334,C466,W2:W1334),0)</f>
        <v>0</v>
      </c>
      <c r="AY466" s="387" t="str">
        <f t="shared" si="337"/>
        <v/>
      </c>
      <c r="AZ466" s="387" t="str">
        <f t="shared" si="338"/>
        <v/>
      </c>
      <c r="BA466" s="387">
        <f t="shared" si="339"/>
        <v>0</v>
      </c>
      <c r="BB466" s="387">
        <f t="shared" si="308"/>
        <v>0</v>
      </c>
      <c r="BC466" s="387">
        <f t="shared" si="309"/>
        <v>0</v>
      </c>
      <c r="BD466" s="387">
        <f t="shared" si="310"/>
        <v>0</v>
      </c>
      <c r="BE466" s="387">
        <f t="shared" si="311"/>
        <v>0</v>
      </c>
      <c r="BF466" s="387">
        <f t="shared" si="312"/>
        <v>0</v>
      </c>
      <c r="BG466" s="387">
        <f t="shared" si="313"/>
        <v>0</v>
      </c>
      <c r="BH466" s="387">
        <f t="shared" si="314"/>
        <v>0</v>
      </c>
      <c r="BI466" s="387">
        <f t="shared" si="315"/>
        <v>0</v>
      </c>
      <c r="BJ466" s="387">
        <f t="shared" si="316"/>
        <v>0</v>
      </c>
      <c r="BK466" s="387">
        <f t="shared" si="317"/>
        <v>0</v>
      </c>
      <c r="BL466" s="387">
        <f t="shared" si="340"/>
        <v>0</v>
      </c>
      <c r="BM466" s="387">
        <f t="shared" si="341"/>
        <v>0</v>
      </c>
      <c r="BN466" s="387">
        <f t="shared" si="318"/>
        <v>0</v>
      </c>
      <c r="BO466" s="387">
        <f t="shared" si="319"/>
        <v>0</v>
      </c>
      <c r="BP466" s="387">
        <f t="shared" si="320"/>
        <v>0</v>
      </c>
      <c r="BQ466" s="387">
        <f t="shared" si="321"/>
        <v>0</v>
      </c>
      <c r="BR466" s="387">
        <f t="shared" si="322"/>
        <v>0</v>
      </c>
      <c r="BS466" s="387">
        <f t="shared" si="323"/>
        <v>0</v>
      </c>
      <c r="BT466" s="387">
        <f t="shared" si="324"/>
        <v>0</v>
      </c>
      <c r="BU466" s="387">
        <f t="shared" si="325"/>
        <v>0</v>
      </c>
      <c r="BV466" s="387">
        <f t="shared" si="326"/>
        <v>0</v>
      </c>
      <c r="BW466" s="387">
        <f t="shared" si="327"/>
        <v>0</v>
      </c>
      <c r="BX466" s="387">
        <f t="shared" si="342"/>
        <v>0</v>
      </c>
      <c r="BY466" s="387">
        <f t="shared" si="343"/>
        <v>0</v>
      </c>
      <c r="BZ466" s="387">
        <f t="shared" si="344"/>
        <v>0</v>
      </c>
      <c r="CA466" s="387">
        <f t="shared" si="345"/>
        <v>0</v>
      </c>
      <c r="CB466" s="387">
        <f t="shared" si="346"/>
        <v>0</v>
      </c>
      <c r="CC466" s="387">
        <f t="shared" si="328"/>
        <v>0</v>
      </c>
      <c r="CD466" s="387">
        <f t="shared" si="329"/>
        <v>0</v>
      </c>
      <c r="CE466" s="387">
        <f t="shared" si="330"/>
        <v>0</v>
      </c>
      <c r="CF466" s="387">
        <f t="shared" si="331"/>
        <v>0</v>
      </c>
      <c r="CG466" s="387">
        <f t="shared" si="332"/>
        <v>0</v>
      </c>
      <c r="CH466" s="387">
        <f t="shared" si="333"/>
        <v>0</v>
      </c>
      <c r="CI466" s="387">
        <f t="shared" si="334"/>
        <v>0</v>
      </c>
      <c r="CJ466" s="387">
        <f t="shared" si="347"/>
        <v>0</v>
      </c>
      <c r="CK466" s="387" t="str">
        <f t="shared" si="348"/>
        <v/>
      </c>
      <c r="CL466" s="387" t="str">
        <f t="shared" si="349"/>
        <v/>
      </c>
      <c r="CM466" s="387" t="str">
        <f t="shared" si="350"/>
        <v/>
      </c>
      <c r="CN466" s="387" t="str">
        <f t="shared" si="351"/>
        <v>0348-31</v>
      </c>
    </row>
    <row r="467" spans="1:92" ht="15.75" thickBot="1" x14ac:dyDescent="0.3">
      <c r="A467" s="376" t="s">
        <v>161</v>
      </c>
      <c r="B467" s="376" t="s">
        <v>162</v>
      </c>
      <c r="C467" s="376" t="s">
        <v>1524</v>
      </c>
      <c r="D467" s="376" t="s">
        <v>862</v>
      </c>
      <c r="E467" s="376" t="s">
        <v>224</v>
      </c>
      <c r="F467" s="382" t="s">
        <v>225</v>
      </c>
      <c r="G467" s="376" t="s">
        <v>781</v>
      </c>
      <c r="H467" s="378"/>
      <c r="I467" s="378"/>
      <c r="J467" s="376" t="s">
        <v>168</v>
      </c>
      <c r="K467" s="376" t="s">
        <v>863</v>
      </c>
      <c r="L467" s="376" t="s">
        <v>252</v>
      </c>
      <c r="M467" s="376" t="s">
        <v>171</v>
      </c>
      <c r="N467" s="376" t="s">
        <v>172</v>
      </c>
      <c r="O467" s="379">
        <v>1</v>
      </c>
      <c r="P467" s="385">
        <v>0.75</v>
      </c>
      <c r="Q467" s="385">
        <v>0.75</v>
      </c>
      <c r="R467" s="380">
        <v>80</v>
      </c>
      <c r="S467" s="385">
        <v>0.75</v>
      </c>
      <c r="T467" s="380">
        <v>32919.949999999997</v>
      </c>
      <c r="U467" s="380">
        <v>0</v>
      </c>
      <c r="V467" s="380">
        <v>16203.82</v>
      </c>
      <c r="W467" s="380">
        <v>37268.400000000001</v>
      </c>
      <c r="X467" s="380">
        <v>16796.75</v>
      </c>
      <c r="Y467" s="380">
        <v>37268.400000000001</v>
      </c>
      <c r="Z467" s="380">
        <v>16640.23</v>
      </c>
      <c r="AA467" s="376" t="s">
        <v>1525</v>
      </c>
      <c r="AB467" s="376" t="s">
        <v>1526</v>
      </c>
      <c r="AC467" s="376" t="s">
        <v>622</v>
      </c>
      <c r="AD467" s="376" t="s">
        <v>686</v>
      </c>
      <c r="AE467" s="376" t="s">
        <v>863</v>
      </c>
      <c r="AF467" s="376" t="s">
        <v>393</v>
      </c>
      <c r="AG467" s="376" t="s">
        <v>178</v>
      </c>
      <c r="AH467" s="381">
        <v>23.89</v>
      </c>
      <c r="AI467" s="379">
        <v>43814</v>
      </c>
      <c r="AJ467" s="376" t="s">
        <v>179</v>
      </c>
      <c r="AK467" s="376" t="s">
        <v>180</v>
      </c>
      <c r="AL467" s="376" t="s">
        <v>181</v>
      </c>
      <c r="AM467" s="376" t="s">
        <v>182</v>
      </c>
      <c r="AN467" s="376" t="s">
        <v>68</v>
      </c>
      <c r="AO467" s="379">
        <v>80</v>
      </c>
      <c r="AP467" s="385">
        <v>1</v>
      </c>
      <c r="AQ467" s="385">
        <v>0.75</v>
      </c>
      <c r="AR467" s="383" t="s">
        <v>183</v>
      </c>
      <c r="AS467" s="387">
        <f t="shared" si="335"/>
        <v>0.75</v>
      </c>
      <c r="AT467">
        <f t="shared" si="336"/>
        <v>1</v>
      </c>
      <c r="AU467" s="387">
        <f>IF(AT467=0,"",IF(AND(AT467=1,M467="F",SUMIF(C2:C1334,C467,AS2:AS1334)&lt;=1),SUMIF(C2:C1334,C467,AS2:AS1334),IF(AND(AT467=1,M467="F",SUMIF(C2:C1334,C467,AS2:AS1334)&gt;1),1,"")))</f>
        <v>1</v>
      </c>
      <c r="AV467" s="387" t="str">
        <f>IF(AT467=0,"",IF(AND(AT467=3,M467="F",SUMIF(C2:C1334,C467,AS2:AS1334)&lt;=1),SUMIF(C2:C1334,C467,AS2:AS1334),IF(AND(AT467=3,M467="F",SUMIF(C2:C1334,C467,AS2:AS1334)&gt;1),1,"")))</f>
        <v/>
      </c>
      <c r="AW467" s="387">
        <f>SUMIF(C2:C1334,C467,O2:O1334)</f>
        <v>3</v>
      </c>
      <c r="AX467" s="387">
        <f>IF(AND(M467="F",AS467&lt;&gt;0),SUMIF(C2:C1334,C467,W2:W1334),0)</f>
        <v>49691.199999999997</v>
      </c>
      <c r="AY467" s="387">
        <f t="shared" si="337"/>
        <v>37268.400000000001</v>
      </c>
      <c r="AZ467" s="387" t="str">
        <f t="shared" si="338"/>
        <v/>
      </c>
      <c r="BA467" s="387">
        <f t="shared" si="339"/>
        <v>0</v>
      </c>
      <c r="BB467" s="387">
        <f t="shared" si="308"/>
        <v>8737.5</v>
      </c>
      <c r="BC467" s="387">
        <f t="shared" si="309"/>
        <v>0</v>
      </c>
      <c r="BD467" s="387">
        <f t="shared" si="310"/>
        <v>2310.6408000000001</v>
      </c>
      <c r="BE467" s="387">
        <f t="shared" si="311"/>
        <v>540.3918000000001</v>
      </c>
      <c r="BF467" s="387">
        <f t="shared" si="312"/>
        <v>4449.8469600000008</v>
      </c>
      <c r="BG467" s="387">
        <f t="shared" si="313"/>
        <v>268.70516400000002</v>
      </c>
      <c r="BH467" s="387">
        <f t="shared" si="314"/>
        <v>182.61516</v>
      </c>
      <c r="BI467" s="387">
        <f t="shared" si="315"/>
        <v>206.28059400000001</v>
      </c>
      <c r="BJ467" s="387">
        <f t="shared" si="316"/>
        <v>100.62468000000001</v>
      </c>
      <c r="BK467" s="387">
        <f t="shared" si="317"/>
        <v>0</v>
      </c>
      <c r="BL467" s="387">
        <f t="shared" si="340"/>
        <v>8059.1051580000012</v>
      </c>
      <c r="BM467" s="387">
        <f t="shared" si="341"/>
        <v>0</v>
      </c>
      <c r="BN467" s="387">
        <f t="shared" si="318"/>
        <v>8737.5</v>
      </c>
      <c r="BO467" s="387">
        <f t="shared" si="319"/>
        <v>0</v>
      </c>
      <c r="BP467" s="387">
        <f t="shared" si="320"/>
        <v>2310.6408000000001</v>
      </c>
      <c r="BQ467" s="387">
        <f t="shared" si="321"/>
        <v>540.3918000000001</v>
      </c>
      <c r="BR467" s="387">
        <f t="shared" si="322"/>
        <v>4449.8469600000008</v>
      </c>
      <c r="BS467" s="387">
        <f t="shared" si="323"/>
        <v>268.70516400000002</v>
      </c>
      <c r="BT467" s="387">
        <f t="shared" si="324"/>
        <v>0</v>
      </c>
      <c r="BU467" s="387">
        <f t="shared" si="325"/>
        <v>206.28059400000001</v>
      </c>
      <c r="BV467" s="387">
        <f t="shared" si="326"/>
        <v>126.71256</v>
      </c>
      <c r="BW467" s="387">
        <f t="shared" si="327"/>
        <v>0</v>
      </c>
      <c r="BX467" s="387">
        <f t="shared" si="342"/>
        <v>7902.577878000001</v>
      </c>
      <c r="BY467" s="387">
        <f t="shared" si="343"/>
        <v>0</v>
      </c>
      <c r="BZ467" s="387">
        <f t="shared" si="344"/>
        <v>0</v>
      </c>
      <c r="CA467" s="387">
        <f t="shared" si="345"/>
        <v>0</v>
      </c>
      <c r="CB467" s="387">
        <f t="shared" si="346"/>
        <v>0</v>
      </c>
      <c r="CC467" s="387">
        <f t="shared" si="328"/>
        <v>0</v>
      </c>
      <c r="CD467" s="387">
        <f t="shared" si="329"/>
        <v>0</v>
      </c>
      <c r="CE467" s="387">
        <f t="shared" si="330"/>
        <v>0</v>
      </c>
      <c r="CF467" s="387">
        <f t="shared" si="331"/>
        <v>-182.61516</v>
      </c>
      <c r="CG467" s="387">
        <f t="shared" si="332"/>
        <v>0</v>
      </c>
      <c r="CH467" s="387">
        <f t="shared" si="333"/>
        <v>26.087879999999988</v>
      </c>
      <c r="CI467" s="387">
        <f t="shared" si="334"/>
        <v>0</v>
      </c>
      <c r="CJ467" s="387">
        <f t="shared" si="347"/>
        <v>-156.52728000000002</v>
      </c>
      <c r="CK467" s="387" t="str">
        <f t="shared" si="348"/>
        <v/>
      </c>
      <c r="CL467" s="387" t="str">
        <f t="shared" si="349"/>
        <v/>
      </c>
      <c r="CM467" s="387" t="str">
        <f t="shared" si="350"/>
        <v/>
      </c>
      <c r="CN467" s="387" t="str">
        <f t="shared" si="351"/>
        <v>0348-31</v>
      </c>
    </row>
    <row r="468" spans="1:92" ht="15.75" thickBot="1" x14ac:dyDescent="0.3">
      <c r="A468" s="376" t="s">
        <v>161</v>
      </c>
      <c r="B468" s="376" t="s">
        <v>162</v>
      </c>
      <c r="C468" s="376" t="s">
        <v>1527</v>
      </c>
      <c r="D468" s="376" t="s">
        <v>862</v>
      </c>
      <c r="E468" s="376" t="s">
        <v>224</v>
      </c>
      <c r="F468" s="382" t="s">
        <v>225</v>
      </c>
      <c r="G468" s="376" t="s">
        <v>781</v>
      </c>
      <c r="H468" s="378"/>
      <c r="I468" s="378"/>
      <c r="J468" s="376" t="s">
        <v>215</v>
      </c>
      <c r="K468" s="376" t="s">
        <v>863</v>
      </c>
      <c r="L468" s="376" t="s">
        <v>252</v>
      </c>
      <c r="M468" s="376" t="s">
        <v>171</v>
      </c>
      <c r="N468" s="376" t="s">
        <v>172</v>
      </c>
      <c r="O468" s="379">
        <v>1</v>
      </c>
      <c r="P468" s="385">
        <v>0</v>
      </c>
      <c r="Q468" s="385">
        <v>0</v>
      </c>
      <c r="R468" s="380">
        <v>80</v>
      </c>
      <c r="S468" s="385">
        <v>0</v>
      </c>
      <c r="T468" s="380">
        <v>5044.45</v>
      </c>
      <c r="U468" s="380">
        <v>0</v>
      </c>
      <c r="V468" s="380">
        <v>3005.77</v>
      </c>
      <c r="W468" s="380">
        <v>0</v>
      </c>
      <c r="X468" s="380">
        <v>0</v>
      </c>
      <c r="Y468" s="380">
        <v>0</v>
      </c>
      <c r="Z468" s="380">
        <v>0</v>
      </c>
      <c r="AA468" s="376" t="s">
        <v>1528</v>
      </c>
      <c r="AB468" s="376" t="s">
        <v>1529</v>
      </c>
      <c r="AC468" s="376" t="s">
        <v>1530</v>
      </c>
      <c r="AD468" s="376" t="s">
        <v>820</v>
      </c>
      <c r="AE468" s="376" t="s">
        <v>863</v>
      </c>
      <c r="AF468" s="376" t="s">
        <v>393</v>
      </c>
      <c r="AG468" s="376" t="s">
        <v>178</v>
      </c>
      <c r="AH468" s="381">
        <v>21.05</v>
      </c>
      <c r="AI468" s="381">
        <v>25418.9</v>
      </c>
      <c r="AJ468" s="376" t="s">
        <v>179</v>
      </c>
      <c r="AK468" s="376" t="s">
        <v>180</v>
      </c>
      <c r="AL468" s="376" t="s">
        <v>181</v>
      </c>
      <c r="AM468" s="376" t="s">
        <v>182</v>
      </c>
      <c r="AN468" s="376" t="s">
        <v>68</v>
      </c>
      <c r="AO468" s="379">
        <v>80</v>
      </c>
      <c r="AP468" s="385">
        <v>1</v>
      </c>
      <c r="AQ468" s="385">
        <v>0</v>
      </c>
      <c r="AR468" s="383" t="s">
        <v>183</v>
      </c>
      <c r="AS468" s="387">
        <f t="shared" si="335"/>
        <v>0</v>
      </c>
      <c r="AT468">
        <f t="shared" si="336"/>
        <v>0</v>
      </c>
      <c r="AU468" s="387" t="str">
        <f>IF(AT468=0,"",IF(AND(AT468=1,M468="F",SUMIF(C2:C1334,C468,AS2:AS1334)&lt;=1),SUMIF(C2:C1334,C468,AS2:AS1334),IF(AND(AT468=1,M468="F",SUMIF(C2:C1334,C468,AS2:AS1334)&gt;1),1,"")))</f>
        <v/>
      </c>
      <c r="AV468" s="387" t="str">
        <f>IF(AT468=0,"",IF(AND(AT468=3,M468="F",SUMIF(C2:C1334,C468,AS2:AS1334)&lt;=1),SUMIF(C2:C1334,C468,AS2:AS1334),IF(AND(AT468=3,M468="F",SUMIF(C2:C1334,C468,AS2:AS1334)&gt;1),1,"")))</f>
        <v/>
      </c>
      <c r="AW468" s="387">
        <f>SUMIF(C2:C1334,C468,O2:O1334)</f>
        <v>2</v>
      </c>
      <c r="AX468" s="387">
        <f>IF(AND(M468="F",AS468&lt;&gt;0),SUMIF(C2:C1334,C468,W2:W1334),0)</f>
        <v>0</v>
      </c>
      <c r="AY468" s="387" t="str">
        <f t="shared" si="337"/>
        <v/>
      </c>
      <c r="AZ468" s="387" t="str">
        <f t="shared" si="338"/>
        <v/>
      </c>
      <c r="BA468" s="387">
        <f t="shared" si="339"/>
        <v>0</v>
      </c>
      <c r="BB468" s="387">
        <f t="shared" si="308"/>
        <v>0</v>
      </c>
      <c r="BC468" s="387">
        <f t="shared" si="309"/>
        <v>0</v>
      </c>
      <c r="BD468" s="387">
        <f t="shared" si="310"/>
        <v>0</v>
      </c>
      <c r="BE468" s="387">
        <f t="shared" si="311"/>
        <v>0</v>
      </c>
      <c r="BF468" s="387">
        <f t="shared" si="312"/>
        <v>0</v>
      </c>
      <c r="BG468" s="387">
        <f t="shared" si="313"/>
        <v>0</v>
      </c>
      <c r="BH468" s="387">
        <f t="shared" si="314"/>
        <v>0</v>
      </c>
      <c r="BI468" s="387">
        <f t="shared" si="315"/>
        <v>0</v>
      </c>
      <c r="BJ468" s="387">
        <f t="shared" si="316"/>
        <v>0</v>
      </c>
      <c r="BK468" s="387">
        <f t="shared" si="317"/>
        <v>0</v>
      </c>
      <c r="BL468" s="387">
        <f t="shared" si="340"/>
        <v>0</v>
      </c>
      <c r="BM468" s="387">
        <f t="shared" si="341"/>
        <v>0</v>
      </c>
      <c r="BN468" s="387">
        <f t="shared" si="318"/>
        <v>0</v>
      </c>
      <c r="BO468" s="387">
        <f t="shared" si="319"/>
        <v>0</v>
      </c>
      <c r="BP468" s="387">
        <f t="shared" si="320"/>
        <v>0</v>
      </c>
      <c r="BQ468" s="387">
        <f t="shared" si="321"/>
        <v>0</v>
      </c>
      <c r="BR468" s="387">
        <f t="shared" si="322"/>
        <v>0</v>
      </c>
      <c r="BS468" s="387">
        <f t="shared" si="323"/>
        <v>0</v>
      </c>
      <c r="BT468" s="387">
        <f t="shared" si="324"/>
        <v>0</v>
      </c>
      <c r="BU468" s="387">
        <f t="shared" si="325"/>
        <v>0</v>
      </c>
      <c r="BV468" s="387">
        <f t="shared" si="326"/>
        <v>0</v>
      </c>
      <c r="BW468" s="387">
        <f t="shared" si="327"/>
        <v>0</v>
      </c>
      <c r="BX468" s="387">
        <f t="shared" si="342"/>
        <v>0</v>
      </c>
      <c r="BY468" s="387">
        <f t="shared" si="343"/>
        <v>0</v>
      </c>
      <c r="BZ468" s="387">
        <f t="shared" si="344"/>
        <v>0</v>
      </c>
      <c r="CA468" s="387">
        <f t="shared" si="345"/>
        <v>0</v>
      </c>
      <c r="CB468" s="387">
        <f t="shared" si="346"/>
        <v>0</v>
      </c>
      <c r="CC468" s="387">
        <f t="shared" si="328"/>
        <v>0</v>
      </c>
      <c r="CD468" s="387">
        <f t="shared" si="329"/>
        <v>0</v>
      </c>
      <c r="CE468" s="387">
        <f t="shared" si="330"/>
        <v>0</v>
      </c>
      <c r="CF468" s="387">
        <f t="shared" si="331"/>
        <v>0</v>
      </c>
      <c r="CG468" s="387">
        <f t="shared" si="332"/>
        <v>0</v>
      </c>
      <c r="CH468" s="387">
        <f t="shared" si="333"/>
        <v>0</v>
      </c>
      <c r="CI468" s="387">
        <f t="shared" si="334"/>
        <v>0</v>
      </c>
      <c r="CJ468" s="387">
        <f t="shared" si="347"/>
        <v>0</v>
      </c>
      <c r="CK468" s="387" t="str">
        <f t="shared" si="348"/>
        <v/>
      </c>
      <c r="CL468" s="387" t="str">
        <f t="shared" si="349"/>
        <v/>
      </c>
      <c r="CM468" s="387" t="str">
        <f t="shared" si="350"/>
        <v/>
      </c>
      <c r="CN468" s="387" t="str">
        <f t="shared" si="351"/>
        <v>0348-31</v>
      </c>
    </row>
    <row r="469" spans="1:92" ht="15.75" thickBot="1" x14ac:dyDescent="0.3">
      <c r="A469" s="376" t="s">
        <v>161</v>
      </c>
      <c r="B469" s="376" t="s">
        <v>162</v>
      </c>
      <c r="C469" s="376" t="s">
        <v>1531</v>
      </c>
      <c r="D469" s="376" t="s">
        <v>868</v>
      </c>
      <c r="E469" s="376" t="s">
        <v>224</v>
      </c>
      <c r="F469" s="382" t="s">
        <v>225</v>
      </c>
      <c r="G469" s="376" t="s">
        <v>781</v>
      </c>
      <c r="H469" s="378"/>
      <c r="I469" s="378"/>
      <c r="J469" s="376" t="s">
        <v>215</v>
      </c>
      <c r="K469" s="376" t="s">
        <v>869</v>
      </c>
      <c r="L469" s="376" t="s">
        <v>296</v>
      </c>
      <c r="M469" s="376" t="s">
        <v>171</v>
      </c>
      <c r="N469" s="376" t="s">
        <v>172</v>
      </c>
      <c r="O469" s="379">
        <v>1</v>
      </c>
      <c r="P469" s="385">
        <v>0</v>
      </c>
      <c r="Q469" s="385">
        <v>0</v>
      </c>
      <c r="R469" s="380">
        <v>80</v>
      </c>
      <c r="S469" s="385">
        <v>0</v>
      </c>
      <c r="T469" s="380">
        <v>48485.66</v>
      </c>
      <c r="U469" s="380">
        <v>0</v>
      </c>
      <c r="V469" s="380">
        <v>21566.55</v>
      </c>
      <c r="W469" s="380">
        <v>0</v>
      </c>
      <c r="X469" s="380">
        <v>0</v>
      </c>
      <c r="Y469" s="380">
        <v>0</v>
      </c>
      <c r="Z469" s="380">
        <v>0</v>
      </c>
      <c r="AA469" s="376" t="s">
        <v>1532</v>
      </c>
      <c r="AB469" s="376" t="s">
        <v>1533</v>
      </c>
      <c r="AC469" s="376" t="s">
        <v>1534</v>
      </c>
      <c r="AD469" s="376" t="s">
        <v>1535</v>
      </c>
      <c r="AE469" s="376" t="s">
        <v>869</v>
      </c>
      <c r="AF469" s="376" t="s">
        <v>301</v>
      </c>
      <c r="AG469" s="376" t="s">
        <v>178</v>
      </c>
      <c r="AH469" s="381">
        <v>24.08</v>
      </c>
      <c r="AI469" s="381">
        <v>16667.3</v>
      </c>
      <c r="AJ469" s="376" t="s">
        <v>179</v>
      </c>
      <c r="AK469" s="376" t="s">
        <v>180</v>
      </c>
      <c r="AL469" s="376" t="s">
        <v>181</v>
      </c>
      <c r="AM469" s="376" t="s">
        <v>182</v>
      </c>
      <c r="AN469" s="376" t="s">
        <v>68</v>
      </c>
      <c r="AO469" s="379">
        <v>80</v>
      </c>
      <c r="AP469" s="385">
        <v>1</v>
      </c>
      <c r="AQ469" s="385">
        <v>0</v>
      </c>
      <c r="AR469" s="383" t="s">
        <v>183</v>
      </c>
      <c r="AS469" s="387">
        <f t="shared" si="335"/>
        <v>0</v>
      </c>
      <c r="AT469">
        <f t="shared" si="336"/>
        <v>0</v>
      </c>
      <c r="AU469" s="387" t="str">
        <f>IF(AT469=0,"",IF(AND(AT469=1,M469="F",SUMIF(C2:C1334,C469,AS2:AS1334)&lt;=1),SUMIF(C2:C1334,C469,AS2:AS1334),IF(AND(AT469=1,M469="F",SUMIF(C2:C1334,C469,AS2:AS1334)&gt;1),1,"")))</f>
        <v/>
      </c>
      <c r="AV469" s="387" t="str">
        <f>IF(AT469=0,"",IF(AND(AT469=3,M469="F",SUMIF(C2:C1334,C469,AS2:AS1334)&lt;=1),SUMIF(C2:C1334,C469,AS2:AS1334),IF(AND(AT469=3,M469="F",SUMIF(C2:C1334,C469,AS2:AS1334)&gt;1),1,"")))</f>
        <v/>
      </c>
      <c r="AW469" s="387">
        <f>SUMIF(C2:C1334,C469,O2:O1334)</f>
        <v>2</v>
      </c>
      <c r="AX469" s="387">
        <f>IF(AND(M469="F",AS469&lt;&gt;0),SUMIF(C2:C1334,C469,W2:W1334),0)</f>
        <v>0</v>
      </c>
      <c r="AY469" s="387" t="str">
        <f t="shared" si="337"/>
        <v/>
      </c>
      <c r="AZ469" s="387" t="str">
        <f t="shared" si="338"/>
        <v/>
      </c>
      <c r="BA469" s="387">
        <f t="shared" si="339"/>
        <v>0</v>
      </c>
      <c r="BB469" s="387">
        <f t="shared" si="308"/>
        <v>0</v>
      </c>
      <c r="BC469" s="387">
        <f t="shared" si="309"/>
        <v>0</v>
      </c>
      <c r="BD469" s="387">
        <f t="shared" si="310"/>
        <v>0</v>
      </c>
      <c r="BE469" s="387">
        <f t="shared" si="311"/>
        <v>0</v>
      </c>
      <c r="BF469" s="387">
        <f t="shared" si="312"/>
        <v>0</v>
      </c>
      <c r="BG469" s="387">
        <f t="shared" si="313"/>
        <v>0</v>
      </c>
      <c r="BH469" s="387">
        <f t="shared" si="314"/>
        <v>0</v>
      </c>
      <c r="BI469" s="387">
        <f t="shared" si="315"/>
        <v>0</v>
      </c>
      <c r="BJ469" s="387">
        <f t="shared" si="316"/>
        <v>0</v>
      </c>
      <c r="BK469" s="387">
        <f t="shared" si="317"/>
        <v>0</v>
      </c>
      <c r="BL469" s="387">
        <f t="shared" si="340"/>
        <v>0</v>
      </c>
      <c r="BM469" s="387">
        <f t="shared" si="341"/>
        <v>0</v>
      </c>
      <c r="BN469" s="387">
        <f t="shared" si="318"/>
        <v>0</v>
      </c>
      <c r="BO469" s="387">
        <f t="shared" si="319"/>
        <v>0</v>
      </c>
      <c r="BP469" s="387">
        <f t="shared" si="320"/>
        <v>0</v>
      </c>
      <c r="BQ469" s="387">
        <f t="shared" si="321"/>
        <v>0</v>
      </c>
      <c r="BR469" s="387">
        <f t="shared" si="322"/>
        <v>0</v>
      </c>
      <c r="BS469" s="387">
        <f t="shared" si="323"/>
        <v>0</v>
      </c>
      <c r="BT469" s="387">
        <f t="shared" si="324"/>
        <v>0</v>
      </c>
      <c r="BU469" s="387">
        <f t="shared" si="325"/>
        <v>0</v>
      </c>
      <c r="BV469" s="387">
        <f t="shared" si="326"/>
        <v>0</v>
      </c>
      <c r="BW469" s="387">
        <f t="shared" si="327"/>
        <v>0</v>
      </c>
      <c r="BX469" s="387">
        <f t="shared" si="342"/>
        <v>0</v>
      </c>
      <c r="BY469" s="387">
        <f t="shared" si="343"/>
        <v>0</v>
      </c>
      <c r="BZ469" s="387">
        <f t="shared" si="344"/>
        <v>0</v>
      </c>
      <c r="CA469" s="387">
        <f t="shared" si="345"/>
        <v>0</v>
      </c>
      <c r="CB469" s="387">
        <f t="shared" si="346"/>
        <v>0</v>
      </c>
      <c r="CC469" s="387">
        <f t="shared" si="328"/>
        <v>0</v>
      </c>
      <c r="CD469" s="387">
        <f t="shared" si="329"/>
        <v>0</v>
      </c>
      <c r="CE469" s="387">
        <f t="shared" si="330"/>
        <v>0</v>
      </c>
      <c r="CF469" s="387">
        <f t="shared" si="331"/>
        <v>0</v>
      </c>
      <c r="CG469" s="387">
        <f t="shared" si="332"/>
        <v>0</v>
      </c>
      <c r="CH469" s="387">
        <f t="shared" si="333"/>
        <v>0</v>
      </c>
      <c r="CI469" s="387">
        <f t="shared" si="334"/>
        <v>0</v>
      </c>
      <c r="CJ469" s="387">
        <f t="shared" si="347"/>
        <v>0</v>
      </c>
      <c r="CK469" s="387" t="str">
        <f t="shared" si="348"/>
        <v/>
      </c>
      <c r="CL469" s="387" t="str">
        <f t="shared" si="349"/>
        <v/>
      </c>
      <c r="CM469" s="387" t="str">
        <f t="shared" si="350"/>
        <v/>
      </c>
      <c r="CN469" s="387" t="str">
        <f t="shared" si="351"/>
        <v>0348-31</v>
      </c>
    </row>
    <row r="470" spans="1:92" ht="15.75" thickBot="1" x14ac:dyDescent="0.3">
      <c r="A470" s="376" t="s">
        <v>161</v>
      </c>
      <c r="B470" s="376" t="s">
        <v>162</v>
      </c>
      <c r="C470" s="376" t="s">
        <v>1536</v>
      </c>
      <c r="D470" s="376" t="s">
        <v>862</v>
      </c>
      <c r="E470" s="376" t="s">
        <v>224</v>
      </c>
      <c r="F470" s="382" t="s">
        <v>225</v>
      </c>
      <c r="G470" s="376" t="s">
        <v>781</v>
      </c>
      <c r="H470" s="378"/>
      <c r="I470" s="378"/>
      <c r="J470" s="376" t="s">
        <v>239</v>
      </c>
      <c r="K470" s="376" t="s">
        <v>863</v>
      </c>
      <c r="L470" s="376" t="s">
        <v>252</v>
      </c>
      <c r="M470" s="376" t="s">
        <v>171</v>
      </c>
      <c r="N470" s="376" t="s">
        <v>172</v>
      </c>
      <c r="O470" s="379">
        <v>1</v>
      </c>
      <c r="P470" s="385">
        <v>0.8</v>
      </c>
      <c r="Q470" s="385">
        <v>0.8</v>
      </c>
      <c r="R470" s="380">
        <v>80</v>
      </c>
      <c r="S470" s="385">
        <v>0.8</v>
      </c>
      <c r="T470" s="380">
        <v>29212.13</v>
      </c>
      <c r="U470" s="380">
        <v>0</v>
      </c>
      <c r="V470" s="380">
        <v>16212.72</v>
      </c>
      <c r="W470" s="380">
        <v>31333.119999999999</v>
      </c>
      <c r="X470" s="380">
        <v>16095.75</v>
      </c>
      <c r="Y470" s="380">
        <v>31333.119999999999</v>
      </c>
      <c r="Z470" s="380">
        <v>15964.16</v>
      </c>
      <c r="AA470" s="376" t="s">
        <v>1537</v>
      </c>
      <c r="AB470" s="376" t="s">
        <v>1538</v>
      </c>
      <c r="AC470" s="376" t="s">
        <v>1539</v>
      </c>
      <c r="AD470" s="376" t="s">
        <v>653</v>
      </c>
      <c r="AE470" s="376" t="s">
        <v>863</v>
      </c>
      <c r="AF470" s="376" t="s">
        <v>393</v>
      </c>
      <c r="AG470" s="376" t="s">
        <v>178</v>
      </c>
      <c r="AH470" s="381">
        <v>18.829999999999998</v>
      </c>
      <c r="AI470" s="381">
        <v>2777.4</v>
      </c>
      <c r="AJ470" s="376" t="s">
        <v>179</v>
      </c>
      <c r="AK470" s="376" t="s">
        <v>180</v>
      </c>
      <c r="AL470" s="376" t="s">
        <v>181</v>
      </c>
      <c r="AM470" s="376" t="s">
        <v>182</v>
      </c>
      <c r="AN470" s="376" t="s">
        <v>68</v>
      </c>
      <c r="AO470" s="379">
        <v>80</v>
      </c>
      <c r="AP470" s="385">
        <v>1</v>
      </c>
      <c r="AQ470" s="385">
        <v>0.8</v>
      </c>
      <c r="AR470" s="383" t="s">
        <v>183</v>
      </c>
      <c r="AS470" s="387">
        <f t="shared" si="335"/>
        <v>0.8</v>
      </c>
      <c r="AT470">
        <f t="shared" si="336"/>
        <v>1</v>
      </c>
      <c r="AU470" s="387">
        <f>IF(AT470=0,"",IF(AND(AT470=1,M470="F",SUMIF(C2:C1334,C470,AS2:AS1334)&lt;=1),SUMIF(C2:C1334,C470,AS2:AS1334),IF(AND(AT470=1,M470="F",SUMIF(C2:C1334,C470,AS2:AS1334)&gt;1),1,"")))</f>
        <v>1</v>
      </c>
      <c r="AV470" s="387" t="str">
        <f>IF(AT470=0,"",IF(AND(AT470=3,M470="F",SUMIF(C2:C1334,C470,AS2:AS1334)&lt;=1),SUMIF(C2:C1334,C470,AS2:AS1334),IF(AND(AT470=3,M470="F",SUMIF(C2:C1334,C470,AS2:AS1334)&gt;1),1,"")))</f>
        <v/>
      </c>
      <c r="AW470" s="387">
        <f>SUMIF(C2:C1334,C470,O2:O1334)</f>
        <v>3</v>
      </c>
      <c r="AX470" s="387">
        <f>IF(AND(M470="F",AS470&lt;&gt;0),SUMIF(C2:C1334,C470,W2:W1334),0)</f>
        <v>39166.400000000001</v>
      </c>
      <c r="AY470" s="387">
        <f t="shared" si="337"/>
        <v>31333.119999999999</v>
      </c>
      <c r="AZ470" s="387" t="str">
        <f t="shared" si="338"/>
        <v/>
      </c>
      <c r="BA470" s="387">
        <f t="shared" si="339"/>
        <v>0</v>
      </c>
      <c r="BB470" s="387">
        <f t="shared" si="308"/>
        <v>9320</v>
      </c>
      <c r="BC470" s="387">
        <f t="shared" si="309"/>
        <v>0</v>
      </c>
      <c r="BD470" s="387">
        <f t="shared" si="310"/>
        <v>1942.6534399999998</v>
      </c>
      <c r="BE470" s="387">
        <f t="shared" si="311"/>
        <v>454.33024</v>
      </c>
      <c r="BF470" s="387">
        <f t="shared" si="312"/>
        <v>3741.174528</v>
      </c>
      <c r="BG470" s="387">
        <f t="shared" si="313"/>
        <v>225.9117952</v>
      </c>
      <c r="BH470" s="387">
        <f t="shared" si="314"/>
        <v>153.53228799999999</v>
      </c>
      <c r="BI470" s="387">
        <f t="shared" si="315"/>
        <v>173.42881919999999</v>
      </c>
      <c r="BJ470" s="387">
        <f t="shared" si="316"/>
        <v>84.599423999999999</v>
      </c>
      <c r="BK470" s="387">
        <f t="shared" si="317"/>
        <v>0</v>
      </c>
      <c r="BL470" s="387">
        <f t="shared" si="340"/>
        <v>6775.6305344000002</v>
      </c>
      <c r="BM470" s="387">
        <f t="shared" si="341"/>
        <v>0</v>
      </c>
      <c r="BN470" s="387">
        <f t="shared" si="318"/>
        <v>9320</v>
      </c>
      <c r="BO470" s="387">
        <f t="shared" si="319"/>
        <v>0</v>
      </c>
      <c r="BP470" s="387">
        <f t="shared" si="320"/>
        <v>1942.6534399999998</v>
      </c>
      <c r="BQ470" s="387">
        <f t="shared" si="321"/>
        <v>454.33024</v>
      </c>
      <c r="BR470" s="387">
        <f t="shared" si="322"/>
        <v>3741.174528</v>
      </c>
      <c r="BS470" s="387">
        <f t="shared" si="323"/>
        <v>225.9117952</v>
      </c>
      <c r="BT470" s="387">
        <f t="shared" si="324"/>
        <v>0</v>
      </c>
      <c r="BU470" s="387">
        <f t="shared" si="325"/>
        <v>173.42881919999999</v>
      </c>
      <c r="BV470" s="387">
        <f t="shared" si="326"/>
        <v>106.532608</v>
      </c>
      <c r="BW470" s="387">
        <f t="shared" si="327"/>
        <v>0</v>
      </c>
      <c r="BX470" s="387">
        <f t="shared" si="342"/>
        <v>6644.0314304000003</v>
      </c>
      <c r="BY470" s="387">
        <f t="shared" si="343"/>
        <v>0</v>
      </c>
      <c r="BZ470" s="387">
        <f t="shared" si="344"/>
        <v>0</v>
      </c>
      <c r="CA470" s="387">
        <f t="shared" si="345"/>
        <v>0</v>
      </c>
      <c r="CB470" s="387">
        <f t="shared" si="346"/>
        <v>0</v>
      </c>
      <c r="CC470" s="387">
        <f t="shared" si="328"/>
        <v>0</v>
      </c>
      <c r="CD470" s="387">
        <f t="shared" si="329"/>
        <v>0</v>
      </c>
      <c r="CE470" s="387">
        <f t="shared" si="330"/>
        <v>0</v>
      </c>
      <c r="CF470" s="387">
        <f t="shared" si="331"/>
        <v>-153.53228799999999</v>
      </c>
      <c r="CG470" s="387">
        <f t="shared" si="332"/>
        <v>0</v>
      </c>
      <c r="CH470" s="387">
        <f t="shared" si="333"/>
        <v>21.93318399999999</v>
      </c>
      <c r="CI470" s="387">
        <f t="shared" si="334"/>
        <v>0</v>
      </c>
      <c r="CJ470" s="387">
        <f t="shared" si="347"/>
        <v>-131.59910400000001</v>
      </c>
      <c r="CK470" s="387" t="str">
        <f t="shared" si="348"/>
        <v/>
      </c>
      <c r="CL470" s="387" t="str">
        <f t="shared" si="349"/>
        <v/>
      </c>
      <c r="CM470" s="387" t="str">
        <f t="shared" si="350"/>
        <v/>
      </c>
      <c r="CN470" s="387" t="str">
        <f t="shared" si="351"/>
        <v>0348-31</v>
      </c>
    </row>
    <row r="471" spans="1:92" ht="15.75" thickBot="1" x14ac:dyDescent="0.3">
      <c r="A471" s="376" t="s">
        <v>161</v>
      </c>
      <c r="B471" s="376" t="s">
        <v>162</v>
      </c>
      <c r="C471" s="376" t="s">
        <v>1540</v>
      </c>
      <c r="D471" s="376" t="s">
        <v>655</v>
      </c>
      <c r="E471" s="376" t="s">
        <v>224</v>
      </c>
      <c r="F471" s="382" t="s">
        <v>225</v>
      </c>
      <c r="G471" s="376" t="s">
        <v>781</v>
      </c>
      <c r="H471" s="378"/>
      <c r="I471" s="378"/>
      <c r="J471" s="376" t="s">
        <v>215</v>
      </c>
      <c r="K471" s="376" t="s">
        <v>656</v>
      </c>
      <c r="L471" s="376" t="s">
        <v>210</v>
      </c>
      <c r="M471" s="376" t="s">
        <v>171</v>
      </c>
      <c r="N471" s="376" t="s">
        <v>172</v>
      </c>
      <c r="O471" s="379">
        <v>1</v>
      </c>
      <c r="P471" s="385">
        <v>1</v>
      </c>
      <c r="Q471" s="385">
        <v>1</v>
      </c>
      <c r="R471" s="380">
        <v>80</v>
      </c>
      <c r="S471" s="385">
        <v>1</v>
      </c>
      <c r="T471" s="380">
        <v>61934.69</v>
      </c>
      <c r="U471" s="380">
        <v>0</v>
      </c>
      <c r="V471" s="380">
        <v>22384.98</v>
      </c>
      <c r="W471" s="380">
        <v>69076.800000000003</v>
      </c>
      <c r="X471" s="380">
        <v>26587.82</v>
      </c>
      <c r="Y471" s="380">
        <v>69076.800000000003</v>
      </c>
      <c r="Z471" s="380">
        <v>26297.71</v>
      </c>
      <c r="AA471" s="376" t="s">
        <v>1541</v>
      </c>
      <c r="AB471" s="376" t="s">
        <v>1542</v>
      </c>
      <c r="AC471" s="376" t="s">
        <v>176</v>
      </c>
      <c r="AD471" s="376" t="s">
        <v>419</v>
      </c>
      <c r="AE471" s="376" t="s">
        <v>656</v>
      </c>
      <c r="AF471" s="376" t="s">
        <v>245</v>
      </c>
      <c r="AG471" s="376" t="s">
        <v>178</v>
      </c>
      <c r="AH471" s="381">
        <v>33.21</v>
      </c>
      <c r="AI471" s="381">
        <v>56976.5</v>
      </c>
      <c r="AJ471" s="376" t="s">
        <v>179</v>
      </c>
      <c r="AK471" s="376" t="s">
        <v>180</v>
      </c>
      <c r="AL471" s="376" t="s">
        <v>181</v>
      </c>
      <c r="AM471" s="376" t="s">
        <v>182</v>
      </c>
      <c r="AN471" s="376" t="s">
        <v>68</v>
      </c>
      <c r="AO471" s="379">
        <v>80</v>
      </c>
      <c r="AP471" s="385">
        <v>1</v>
      </c>
      <c r="AQ471" s="385">
        <v>1</v>
      </c>
      <c r="AR471" s="383" t="s">
        <v>183</v>
      </c>
      <c r="AS471" s="387">
        <f t="shared" si="335"/>
        <v>1</v>
      </c>
      <c r="AT471">
        <f t="shared" si="336"/>
        <v>1</v>
      </c>
      <c r="AU471" s="387">
        <f>IF(AT471=0,"",IF(AND(AT471=1,M471="F",SUMIF(C2:C1334,C471,AS2:AS1334)&lt;=1),SUMIF(C2:C1334,C471,AS2:AS1334),IF(AND(AT471=1,M471="F",SUMIF(C2:C1334,C471,AS2:AS1334)&gt;1),1,"")))</f>
        <v>1</v>
      </c>
      <c r="AV471" s="387" t="str">
        <f>IF(AT471=0,"",IF(AND(AT471=3,M471="F",SUMIF(C2:C1334,C471,AS2:AS1334)&lt;=1),SUMIF(C2:C1334,C471,AS2:AS1334),IF(AND(AT471=3,M471="F",SUMIF(C2:C1334,C471,AS2:AS1334)&gt;1),1,"")))</f>
        <v/>
      </c>
      <c r="AW471" s="387">
        <f>SUMIF(C2:C1334,C471,O2:O1334)</f>
        <v>2</v>
      </c>
      <c r="AX471" s="387">
        <f>IF(AND(M471="F",AS471&lt;&gt;0),SUMIF(C2:C1334,C471,W2:W1334),0)</f>
        <v>69076.800000000003</v>
      </c>
      <c r="AY471" s="387">
        <f t="shared" si="337"/>
        <v>69076.800000000003</v>
      </c>
      <c r="AZ471" s="387" t="str">
        <f t="shared" si="338"/>
        <v/>
      </c>
      <c r="BA471" s="387">
        <f t="shared" si="339"/>
        <v>0</v>
      </c>
      <c r="BB471" s="387">
        <f t="shared" si="308"/>
        <v>11650</v>
      </c>
      <c r="BC471" s="387">
        <f t="shared" si="309"/>
        <v>0</v>
      </c>
      <c r="BD471" s="387">
        <f t="shared" si="310"/>
        <v>4282.7615999999998</v>
      </c>
      <c r="BE471" s="387">
        <f t="shared" si="311"/>
        <v>1001.6136000000001</v>
      </c>
      <c r="BF471" s="387">
        <f t="shared" si="312"/>
        <v>8247.7699200000006</v>
      </c>
      <c r="BG471" s="387">
        <f t="shared" si="313"/>
        <v>498.04372800000004</v>
      </c>
      <c r="BH471" s="387">
        <f t="shared" si="314"/>
        <v>338.47631999999999</v>
      </c>
      <c r="BI471" s="387">
        <f t="shared" si="315"/>
        <v>382.34008800000004</v>
      </c>
      <c r="BJ471" s="387">
        <f t="shared" si="316"/>
        <v>186.50736000000001</v>
      </c>
      <c r="BK471" s="387">
        <f t="shared" si="317"/>
        <v>0</v>
      </c>
      <c r="BL471" s="387">
        <f t="shared" si="340"/>
        <v>14937.512616000002</v>
      </c>
      <c r="BM471" s="387">
        <f t="shared" si="341"/>
        <v>0</v>
      </c>
      <c r="BN471" s="387">
        <f t="shared" si="318"/>
        <v>11650</v>
      </c>
      <c r="BO471" s="387">
        <f t="shared" si="319"/>
        <v>0</v>
      </c>
      <c r="BP471" s="387">
        <f t="shared" si="320"/>
        <v>4282.7615999999998</v>
      </c>
      <c r="BQ471" s="387">
        <f t="shared" si="321"/>
        <v>1001.6136000000001</v>
      </c>
      <c r="BR471" s="387">
        <f t="shared" si="322"/>
        <v>8247.7699200000006</v>
      </c>
      <c r="BS471" s="387">
        <f t="shared" si="323"/>
        <v>498.04372800000004</v>
      </c>
      <c r="BT471" s="387">
        <f t="shared" si="324"/>
        <v>0</v>
      </c>
      <c r="BU471" s="387">
        <f t="shared" si="325"/>
        <v>382.34008800000004</v>
      </c>
      <c r="BV471" s="387">
        <f t="shared" si="326"/>
        <v>234.86112</v>
      </c>
      <c r="BW471" s="387">
        <f t="shared" si="327"/>
        <v>0</v>
      </c>
      <c r="BX471" s="387">
        <f t="shared" si="342"/>
        <v>14647.390056000002</v>
      </c>
      <c r="BY471" s="387">
        <f t="shared" si="343"/>
        <v>0</v>
      </c>
      <c r="BZ471" s="387">
        <f t="shared" si="344"/>
        <v>0</v>
      </c>
      <c r="CA471" s="387">
        <f t="shared" si="345"/>
        <v>0</v>
      </c>
      <c r="CB471" s="387">
        <f t="shared" si="346"/>
        <v>0</v>
      </c>
      <c r="CC471" s="387">
        <f t="shared" si="328"/>
        <v>0</v>
      </c>
      <c r="CD471" s="387">
        <f t="shared" si="329"/>
        <v>0</v>
      </c>
      <c r="CE471" s="387">
        <f t="shared" si="330"/>
        <v>0</v>
      </c>
      <c r="CF471" s="387">
        <f t="shared" si="331"/>
        <v>-338.47631999999999</v>
      </c>
      <c r="CG471" s="387">
        <f t="shared" si="332"/>
        <v>0</v>
      </c>
      <c r="CH471" s="387">
        <f t="shared" si="333"/>
        <v>48.35375999999998</v>
      </c>
      <c r="CI471" s="387">
        <f t="shared" si="334"/>
        <v>0</v>
      </c>
      <c r="CJ471" s="387">
        <f t="shared" si="347"/>
        <v>-290.12256000000002</v>
      </c>
      <c r="CK471" s="387" t="str">
        <f t="shared" si="348"/>
        <v/>
      </c>
      <c r="CL471" s="387" t="str">
        <f t="shared" si="349"/>
        <v/>
      </c>
      <c r="CM471" s="387" t="str">
        <f t="shared" si="350"/>
        <v/>
      </c>
      <c r="CN471" s="387" t="str">
        <f t="shared" si="351"/>
        <v>0348-31</v>
      </c>
    </row>
    <row r="472" spans="1:92" ht="15.75" thickBot="1" x14ac:dyDescent="0.3">
      <c r="A472" s="376" t="s">
        <v>161</v>
      </c>
      <c r="B472" s="376" t="s">
        <v>162</v>
      </c>
      <c r="C472" s="376" t="s">
        <v>1543</v>
      </c>
      <c r="D472" s="376" t="s">
        <v>247</v>
      </c>
      <c r="E472" s="376" t="s">
        <v>224</v>
      </c>
      <c r="F472" s="382" t="s">
        <v>225</v>
      </c>
      <c r="G472" s="376" t="s">
        <v>781</v>
      </c>
      <c r="H472" s="378"/>
      <c r="I472" s="378"/>
      <c r="J472" s="376" t="s">
        <v>215</v>
      </c>
      <c r="K472" s="376" t="s">
        <v>248</v>
      </c>
      <c r="L472" s="376" t="s">
        <v>178</v>
      </c>
      <c r="M472" s="376" t="s">
        <v>171</v>
      </c>
      <c r="N472" s="376" t="s">
        <v>172</v>
      </c>
      <c r="O472" s="379">
        <v>1</v>
      </c>
      <c r="P472" s="385">
        <v>0</v>
      </c>
      <c r="Q472" s="385">
        <v>0</v>
      </c>
      <c r="R472" s="380">
        <v>80</v>
      </c>
      <c r="S472" s="385">
        <v>0</v>
      </c>
      <c r="T472" s="380">
        <v>34576.92</v>
      </c>
      <c r="U472" s="380">
        <v>360.37</v>
      </c>
      <c r="V472" s="380">
        <v>18915</v>
      </c>
      <c r="W472" s="380">
        <v>0</v>
      </c>
      <c r="X472" s="380">
        <v>0</v>
      </c>
      <c r="Y472" s="380">
        <v>0</v>
      </c>
      <c r="Z472" s="380">
        <v>0</v>
      </c>
      <c r="AA472" s="376" t="s">
        <v>1544</v>
      </c>
      <c r="AB472" s="376" t="s">
        <v>1545</v>
      </c>
      <c r="AC472" s="376" t="s">
        <v>1546</v>
      </c>
      <c r="AD472" s="376" t="s">
        <v>441</v>
      </c>
      <c r="AE472" s="376" t="s">
        <v>248</v>
      </c>
      <c r="AF472" s="376" t="s">
        <v>253</v>
      </c>
      <c r="AG472" s="376" t="s">
        <v>178</v>
      </c>
      <c r="AH472" s="381">
        <v>17.27</v>
      </c>
      <c r="AI472" s="381">
        <v>12495.6</v>
      </c>
      <c r="AJ472" s="376" t="s">
        <v>179</v>
      </c>
      <c r="AK472" s="376" t="s">
        <v>180</v>
      </c>
      <c r="AL472" s="376" t="s">
        <v>181</v>
      </c>
      <c r="AM472" s="376" t="s">
        <v>182</v>
      </c>
      <c r="AN472" s="376" t="s">
        <v>68</v>
      </c>
      <c r="AO472" s="379">
        <v>80</v>
      </c>
      <c r="AP472" s="385">
        <v>1</v>
      </c>
      <c r="AQ472" s="385">
        <v>0</v>
      </c>
      <c r="AR472" s="383" t="s">
        <v>183</v>
      </c>
      <c r="AS472" s="387">
        <f t="shared" si="335"/>
        <v>0</v>
      </c>
      <c r="AT472">
        <f t="shared" si="336"/>
        <v>0</v>
      </c>
      <c r="AU472" s="387" t="str">
        <f>IF(AT472=0,"",IF(AND(AT472=1,M472="F",SUMIF(C2:C1334,C472,AS2:AS1334)&lt;=1),SUMIF(C2:C1334,C472,AS2:AS1334),IF(AND(AT472=1,M472="F",SUMIF(C2:C1334,C472,AS2:AS1334)&gt;1),1,"")))</f>
        <v/>
      </c>
      <c r="AV472" s="387" t="str">
        <f>IF(AT472=0,"",IF(AND(AT472=3,M472="F",SUMIF(C2:C1334,C472,AS2:AS1334)&lt;=1),SUMIF(C2:C1334,C472,AS2:AS1334),IF(AND(AT472=3,M472="F",SUMIF(C2:C1334,C472,AS2:AS1334)&gt;1),1,"")))</f>
        <v/>
      </c>
      <c r="AW472" s="387">
        <f>SUMIF(C2:C1334,C472,O2:O1334)</f>
        <v>2</v>
      </c>
      <c r="AX472" s="387">
        <f>IF(AND(M472="F",AS472&lt;&gt;0),SUMIF(C2:C1334,C472,W2:W1334),0)</f>
        <v>0</v>
      </c>
      <c r="AY472" s="387" t="str">
        <f t="shared" si="337"/>
        <v/>
      </c>
      <c r="AZ472" s="387" t="str">
        <f t="shared" si="338"/>
        <v/>
      </c>
      <c r="BA472" s="387">
        <f t="shared" si="339"/>
        <v>0</v>
      </c>
      <c r="BB472" s="387">
        <f t="shared" si="308"/>
        <v>0</v>
      </c>
      <c r="BC472" s="387">
        <f t="shared" si="309"/>
        <v>0</v>
      </c>
      <c r="BD472" s="387">
        <f t="shared" si="310"/>
        <v>0</v>
      </c>
      <c r="BE472" s="387">
        <f t="shared" si="311"/>
        <v>0</v>
      </c>
      <c r="BF472" s="387">
        <f t="shared" si="312"/>
        <v>0</v>
      </c>
      <c r="BG472" s="387">
        <f t="shared" si="313"/>
        <v>0</v>
      </c>
      <c r="BH472" s="387">
        <f t="shared" si="314"/>
        <v>0</v>
      </c>
      <c r="BI472" s="387">
        <f t="shared" si="315"/>
        <v>0</v>
      </c>
      <c r="BJ472" s="387">
        <f t="shared" si="316"/>
        <v>0</v>
      </c>
      <c r="BK472" s="387">
        <f t="shared" si="317"/>
        <v>0</v>
      </c>
      <c r="BL472" s="387">
        <f t="shared" si="340"/>
        <v>0</v>
      </c>
      <c r="BM472" s="387">
        <f t="shared" si="341"/>
        <v>0</v>
      </c>
      <c r="BN472" s="387">
        <f t="shared" si="318"/>
        <v>0</v>
      </c>
      <c r="BO472" s="387">
        <f t="shared" si="319"/>
        <v>0</v>
      </c>
      <c r="BP472" s="387">
        <f t="shared" si="320"/>
        <v>0</v>
      </c>
      <c r="BQ472" s="387">
        <f t="shared" si="321"/>
        <v>0</v>
      </c>
      <c r="BR472" s="387">
        <f t="shared" si="322"/>
        <v>0</v>
      </c>
      <c r="BS472" s="387">
        <f t="shared" si="323"/>
        <v>0</v>
      </c>
      <c r="BT472" s="387">
        <f t="shared" si="324"/>
        <v>0</v>
      </c>
      <c r="BU472" s="387">
        <f t="shared" si="325"/>
        <v>0</v>
      </c>
      <c r="BV472" s="387">
        <f t="shared" si="326"/>
        <v>0</v>
      </c>
      <c r="BW472" s="387">
        <f t="shared" si="327"/>
        <v>0</v>
      </c>
      <c r="BX472" s="387">
        <f t="shared" si="342"/>
        <v>0</v>
      </c>
      <c r="BY472" s="387">
        <f t="shared" si="343"/>
        <v>0</v>
      </c>
      <c r="BZ472" s="387">
        <f t="shared" si="344"/>
        <v>0</v>
      </c>
      <c r="CA472" s="387">
        <f t="shared" si="345"/>
        <v>0</v>
      </c>
      <c r="CB472" s="387">
        <f t="shared" si="346"/>
        <v>0</v>
      </c>
      <c r="CC472" s="387">
        <f t="shared" si="328"/>
        <v>0</v>
      </c>
      <c r="CD472" s="387">
        <f t="shared" si="329"/>
        <v>0</v>
      </c>
      <c r="CE472" s="387">
        <f t="shared" si="330"/>
        <v>0</v>
      </c>
      <c r="CF472" s="387">
        <f t="shared" si="331"/>
        <v>0</v>
      </c>
      <c r="CG472" s="387">
        <f t="shared" si="332"/>
        <v>0</v>
      </c>
      <c r="CH472" s="387">
        <f t="shared" si="333"/>
        <v>0</v>
      </c>
      <c r="CI472" s="387">
        <f t="shared" si="334"/>
        <v>0</v>
      </c>
      <c r="CJ472" s="387">
        <f t="shared" si="347"/>
        <v>0</v>
      </c>
      <c r="CK472" s="387" t="str">
        <f t="shared" si="348"/>
        <v/>
      </c>
      <c r="CL472" s="387" t="str">
        <f t="shared" si="349"/>
        <v/>
      </c>
      <c r="CM472" s="387" t="str">
        <f t="shared" si="350"/>
        <v/>
      </c>
      <c r="CN472" s="387" t="str">
        <f t="shared" si="351"/>
        <v>0348-31</v>
      </c>
    </row>
    <row r="473" spans="1:92" ht="15.75" thickBot="1" x14ac:dyDescent="0.3">
      <c r="A473" s="376" t="s">
        <v>161</v>
      </c>
      <c r="B473" s="376" t="s">
        <v>162</v>
      </c>
      <c r="C473" s="376" t="s">
        <v>1547</v>
      </c>
      <c r="D473" s="376" t="s">
        <v>1548</v>
      </c>
      <c r="E473" s="376" t="s">
        <v>224</v>
      </c>
      <c r="F473" s="382" t="s">
        <v>225</v>
      </c>
      <c r="G473" s="376" t="s">
        <v>781</v>
      </c>
      <c r="H473" s="378"/>
      <c r="I473" s="378"/>
      <c r="J473" s="376" t="s">
        <v>215</v>
      </c>
      <c r="K473" s="376" t="s">
        <v>1549</v>
      </c>
      <c r="L473" s="376" t="s">
        <v>170</v>
      </c>
      <c r="M473" s="376" t="s">
        <v>171</v>
      </c>
      <c r="N473" s="376" t="s">
        <v>877</v>
      </c>
      <c r="O473" s="379">
        <v>1</v>
      </c>
      <c r="P473" s="385">
        <v>1</v>
      </c>
      <c r="Q473" s="385">
        <v>1</v>
      </c>
      <c r="R473" s="380">
        <v>80</v>
      </c>
      <c r="S473" s="385">
        <v>1</v>
      </c>
      <c r="T473" s="380">
        <v>53693.23</v>
      </c>
      <c r="U473" s="380">
        <v>0</v>
      </c>
      <c r="V473" s="380">
        <v>22949.040000000001</v>
      </c>
      <c r="W473" s="380">
        <v>55432</v>
      </c>
      <c r="X473" s="380">
        <v>23637.14</v>
      </c>
      <c r="Y473" s="380">
        <v>55432</v>
      </c>
      <c r="Z473" s="380">
        <v>23404.33</v>
      </c>
      <c r="AA473" s="376" t="s">
        <v>1550</v>
      </c>
      <c r="AB473" s="376" t="s">
        <v>1551</v>
      </c>
      <c r="AC473" s="376" t="s">
        <v>310</v>
      </c>
      <c r="AD473" s="376" t="s">
        <v>198</v>
      </c>
      <c r="AE473" s="376" t="s">
        <v>1549</v>
      </c>
      <c r="AF473" s="376" t="s">
        <v>177</v>
      </c>
      <c r="AG473" s="376" t="s">
        <v>178</v>
      </c>
      <c r="AH473" s="381">
        <v>26.65</v>
      </c>
      <c r="AI473" s="379">
        <v>3720</v>
      </c>
      <c r="AJ473" s="376" t="s">
        <v>179</v>
      </c>
      <c r="AK473" s="376" t="s">
        <v>180</v>
      </c>
      <c r="AL473" s="376" t="s">
        <v>181</v>
      </c>
      <c r="AM473" s="376" t="s">
        <v>182</v>
      </c>
      <c r="AN473" s="376" t="s">
        <v>68</v>
      </c>
      <c r="AO473" s="379">
        <v>80</v>
      </c>
      <c r="AP473" s="385">
        <v>1</v>
      </c>
      <c r="AQ473" s="385">
        <v>1</v>
      </c>
      <c r="AR473" s="383" t="s">
        <v>183</v>
      </c>
      <c r="AS473" s="387">
        <f t="shared" si="335"/>
        <v>1</v>
      </c>
      <c r="AT473">
        <f t="shared" si="336"/>
        <v>1</v>
      </c>
      <c r="AU473" s="387">
        <f>IF(AT473=0,"",IF(AND(AT473=1,M473="F",SUMIF(C2:C1334,C473,AS2:AS1334)&lt;=1),SUMIF(C2:C1334,C473,AS2:AS1334),IF(AND(AT473=1,M473="F",SUMIF(C2:C1334,C473,AS2:AS1334)&gt;1),1,"")))</f>
        <v>1</v>
      </c>
      <c r="AV473" s="387" t="str">
        <f>IF(AT473=0,"",IF(AND(AT473=3,M473="F",SUMIF(C2:C1334,C473,AS2:AS1334)&lt;=1),SUMIF(C2:C1334,C473,AS2:AS1334),IF(AND(AT473=3,M473="F",SUMIF(C2:C1334,C473,AS2:AS1334)&gt;1),1,"")))</f>
        <v/>
      </c>
      <c r="AW473" s="387">
        <f>SUMIF(C2:C1334,C473,O2:O1334)</f>
        <v>1</v>
      </c>
      <c r="AX473" s="387">
        <f>IF(AND(M473="F",AS473&lt;&gt;0),SUMIF(C2:C1334,C473,W2:W1334),0)</f>
        <v>55432</v>
      </c>
      <c r="AY473" s="387">
        <f t="shared" si="337"/>
        <v>55432</v>
      </c>
      <c r="AZ473" s="387" t="str">
        <f t="shared" si="338"/>
        <v/>
      </c>
      <c r="BA473" s="387">
        <f t="shared" si="339"/>
        <v>0</v>
      </c>
      <c r="BB473" s="387">
        <f t="shared" si="308"/>
        <v>11650</v>
      </c>
      <c r="BC473" s="387">
        <f t="shared" si="309"/>
        <v>0</v>
      </c>
      <c r="BD473" s="387">
        <f t="shared" si="310"/>
        <v>3436.7840000000001</v>
      </c>
      <c r="BE473" s="387">
        <f t="shared" si="311"/>
        <v>803.76400000000001</v>
      </c>
      <c r="BF473" s="387">
        <f t="shared" si="312"/>
        <v>6618.5808000000006</v>
      </c>
      <c r="BG473" s="387">
        <f t="shared" si="313"/>
        <v>399.66471999999999</v>
      </c>
      <c r="BH473" s="387">
        <f t="shared" si="314"/>
        <v>271.61680000000001</v>
      </c>
      <c r="BI473" s="387">
        <f t="shared" si="315"/>
        <v>306.81612000000001</v>
      </c>
      <c r="BJ473" s="387">
        <f t="shared" si="316"/>
        <v>149.66640000000001</v>
      </c>
      <c r="BK473" s="387">
        <f t="shared" si="317"/>
        <v>0</v>
      </c>
      <c r="BL473" s="387">
        <f t="shared" si="340"/>
        <v>11986.89284</v>
      </c>
      <c r="BM473" s="387">
        <f t="shared" si="341"/>
        <v>0</v>
      </c>
      <c r="BN473" s="387">
        <f t="shared" si="318"/>
        <v>11650</v>
      </c>
      <c r="BO473" s="387">
        <f t="shared" si="319"/>
        <v>0</v>
      </c>
      <c r="BP473" s="387">
        <f t="shared" si="320"/>
        <v>3436.7840000000001</v>
      </c>
      <c r="BQ473" s="387">
        <f t="shared" si="321"/>
        <v>803.76400000000001</v>
      </c>
      <c r="BR473" s="387">
        <f t="shared" si="322"/>
        <v>6618.5808000000006</v>
      </c>
      <c r="BS473" s="387">
        <f t="shared" si="323"/>
        <v>399.66471999999999</v>
      </c>
      <c r="BT473" s="387">
        <f t="shared" si="324"/>
        <v>0</v>
      </c>
      <c r="BU473" s="387">
        <f t="shared" si="325"/>
        <v>306.81612000000001</v>
      </c>
      <c r="BV473" s="387">
        <f t="shared" si="326"/>
        <v>188.46879999999999</v>
      </c>
      <c r="BW473" s="387">
        <f t="shared" si="327"/>
        <v>0</v>
      </c>
      <c r="BX473" s="387">
        <f t="shared" si="342"/>
        <v>11754.078440000001</v>
      </c>
      <c r="BY473" s="387">
        <f t="shared" si="343"/>
        <v>0</v>
      </c>
      <c r="BZ473" s="387">
        <f t="shared" si="344"/>
        <v>0</v>
      </c>
      <c r="CA473" s="387">
        <f t="shared" si="345"/>
        <v>0</v>
      </c>
      <c r="CB473" s="387">
        <f t="shared" si="346"/>
        <v>0</v>
      </c>
      <c r="CC473" s="387">
        <f t="shared" si="328"/>
        <v>0</v>
      </c>
      <c r="CD473" s="387">
        <f t="shared" si="329"/>
        <v>0</v>
      </c>
      <c r="CE473" s="387">
        <f t="shared" si="330"/>
        <v>0</v>
      </c>
      <c r="CF473" s="387">
        <f t="shared" si="331"/>
        <v>-271.61680000000001</v>
      </c>
      <c r="CG473" s="387">
        <f t="shared" si="332"/>
        <v>0</v>
      </c>
      <c r="CH473" s="387">
        <f t="shared" si="333"/>
        <v>38.802399999999984</v>
      </c>
      <c r="CI473" s="387">
        <f t="shared" si="334"/>
        <v>0</v>
      </c>
      <c r="CJ473" s="387">
        <f t="shared" si="347"/>
        <v>-232.81440000000003</v>
      </c>
      <c r="CK473" s="387" t="str">
        <f t="shared" si="348"/>
        <v/>
      </c>
      <c r="CL473" s="387" t="str">
        <f t="shared" si="349"/>
        <v/>
      </c>
      <c r="CM473" s="387" t="str">
        <f t="shared" si="350"/>
        <v/>
      </c>
      <c r="CN473" s="387" t="str">
        <f t="shared" si="351"/>
        <v>0348-31</v>
      </c>
    </row>
    <row r="474" spans="1:92" ht="15.75" thickBot="1" x14ac:dyDescent="0.3">
      <c r="A474" s="376" t="s">
        <v>161</v>
      </c>
      <c r="B474" s="376" t="s">
        <v>162</v>
      </c>
      <c r="C474" s="376" t="s">
        <v>1552</v>
      </c>
      <c r="D474" s="376" t="s">
        <v>862</v>
      </c>
      <c r="E474" s="376" t="s">
        <v>224</v>
      </c>
      <c r="F474" s="382" t="s">
        <v>225</v>
      </c>
      <c r="G474" s="376" t="s">
        <v>781</v>
      </c>
      <c r="H474" s="378"/>
      <c r="I474" s="378"/>
      <c r="J474" s="376" t="s">
        <v>239</v>
      </c>
      <c r="K474" s="376" t="s">
        <v>863</v>
      </c>
      <c r="L474" s="376" t="s">
        <v>252</v>
      </c>
      <c r="M474" s="376" t="s">
        <v>171</v>
      </c>
      <c r="N474" s="376" t="s">
        <v>172</v>
      </c>
      <c r="O474" s="379">
        <v>1</v>
      </c>
      <c r="P474" s="385">
        <v>0.75</v>
      </c>
      <c r="Q474" s="385">
        <v>0.75</v>
      </c>
      <c r="R474" s="380">
        <v>80</v>
      </c>
      <c r="S474" s="385">
        <v>0.75</v>
      </c>
      <c r="T474" s="380">
        <v>13578.32</v>
      </c>
      <c r="U474" s="380">
        <v>0</v>
      </c>
      <c r="V474" s="380">
        <v>10953.39</v>
      </c>
      <c r="W474" s="380">
        <v>27612</v>
      </c>
      <c r="X474" s="380">
        <v>14708.58</v>
      </c>
      <c r="Y474" s="380">
        <v>27612</v>
      </c>
      <c r="Z474" s="380">
        <v>14592.61</v>
      </c>
      <c r="AA474" s="376" t="s">
        <v>1553</v>
      </c>
      <c r="AB474" s="376" t="s">
        <v>1554</v>
      </c>
      <c r="AC474" s="376" t="s">
        <v>1555</v>
      </c>
      <c r="AD474" s="376" t="s">
        <v>170</v>
      </c>
      <c r="AE474" s="376" t="s">
        <v>863</v>
      </c>
      <c r="AF474" s="376" t="s">
        <v>393</v>
      </c>
      <c r="AG474" s="376" t="s">
        <v>178</v>
      </c>
      <c r="AH474" s="381">
        <v>17.7</v>
      </c>
      <c r="AI474" s="381">
        <v>9028.2000000000007</v>
      </c>
      <c r="AJ474" s="376" t="s">
        <v>179</v>
      </c>
      <c r="AK474" s="376" t="s">
        <v>180</v>
      </c>
      <c r="AL474" s="376" t="s">
        <v>181</v>
      </c>
      <c r="AM474" s="376" t="s">
        <v>182</v>
      </c>
      <c r="AN474" s="376" t="s">
        <v>68</v>
      </c>
      <c r="AO474" s="379">
        <v>80</v>
      </c>
      <c r="AP474" s="385">
        <v>1</v>
      </c>
      <c r="AQ474" s="385">
        <v>0.75</v>
      </c>
      <c r="AR474" s="383" t="s">
        <v>183</v>
      </c>
      <c r="AS474" s="387">
        <f t="shared" si="335"/>
        <v>0.75</v>
      </c>
      <c r="AT474">
        <f t="shared" si="336"/>
        <v>1</v>
      </c>
      <c r="AU474" s="387">
        <f>IF(AT474=0,"",IF(AND(AT474=1,M474="F",SUMIF(C2:C1334,C474,AS2:AS1334)&lt;=1),SUMIF(C2:C1334,C474,AS2:AS1334),IF(AND(AT474=1,M474="F",SUMIF(C2:C1334,C474,AS2:AS1334)&gt;1),1,"")))</f>
        <v>1</v>
      </c>
      <c r="AV474" s="387" t="str">
        <f>IF(AT474=0,"",IF(AND(AT474=3,M474="F",SUMIF(C2:C1334,C474,AS2:AS1334)&lt;=1),SUMIF(C2:C1334,C474,AS2:AS1334),IF(AND(AT474=3,M474="F",SUMIF(C2:C1334,C474,AS2:AS1334)&gt;1),1,"")))</f>
        <v/>
      </c>
      <c r="AW474" s="387">
        <f>SUMIF(C2:C1334,C474,O2:O1334)</f>
        <v>3</v>
      </c>
      <c r="AX474" s="387">
        <f>IF(AND(M474="F",AS474&lt;&gt;0),SUMIF(C2:C1334,C474,W2:W1334),0)</f>
        <v>36816</v>
      </c>
      <c r="AY474" s="387">
        <f t="shared" si="337"/>
        <v>27612</v>
      </c>
      <c r="AZ474" s="387" t="str">
        <f t="shared" si="338"/>
        <v/>
      </c>
      <c r="BA474" s="387">
        <f t="shared" si="339"/>
        <v>0</v>
      </c>
      <c r="BB474" s="387">
        <f t="shared" si="308"/>
        <v>8737.5</v>
      </c>
      <c r="BC474" s="387">
        <f t="shared" si="309"/>
        <v>0</v>
      </c>
      <c r="BD474" s="387">
        <f t="shared" si="310"/>
        <v>1711.944</v>
      </c>
      <c r="BE474" s="387">
        <f t="shared" si="311"/>
        <v>400.37400000000002</v>
      </c>
      <c r="BF474" s="387">
        <f t="shared" si="312"/>
        <v>3296.8728000000001</v>
      </c>
      <c r="BG474" s="387">
        <f t="shared" si="313"/>
        <v>199.08252000000002</v>
      </c>
      <c r="BH474" s="387">
        <f t="shared" si="314"/>
        <v>135.2988</v>
      </c>
      <c r="BI474" s="387">
        <f t="shared" si="315"/>
        <v>152.83242000000001</v>
      </c>
      <c r="BJ474" s="387">
        <f t="shared" si="316"/>
        <v>74.552400000000006</v>
      </c>
      <c r="BK474" s="387">
        <f t="shared" si="317"/>
        <v>0</v>
      </c>
      <c r="BL474" s="387">
        <f t="shared" si="340"/>
        <v>5970.9569399999991</v>
      </c>
      <c r="BM474" s="387">
        <f t="shared" si="341"/>
        <v>0</v>
      </c>
      <c r="BN474" s="387">
        <f t="shared" si="318"/>
        <v>8737.5</v>
      </c>
      <c r="BO474" s="387">
        <f t="shared" si="319"/>
        <v>0</v>
      </c>
      <c r="BP474" s="387">
        <f t="shared" si="320"/>
        <v>1711.944</v>
      </c>
      <c r="BQ474" s="387">
        <f t="shared" si="321"/>
        <v>400.37400000000002</v>
      </c>
      <c r="BR474" s="387">
        <f t="shared" si="322"/>
        <v>3296.8728000000001</v>
      </c>
      <c r="BS474" s="387">
        <f t="shared" si="323"/>
        <v>199.08252000000002</v>
      </c>
      <c r="BT474" s="387">
        <f t="shared" si="324"/>
        <v>0</v>
      </c>
      <c r="BU474" s="387">
        <f t="shared" si="325"/>
        <v>152.83242000000001</v>
      </c>
      <c r="BV474" s="387">
        <f t="shared" si="326"/>
        <v>93.880799999999994</v>
      </c>
      <c r="BW474" s="387">
        <f t="shared" si="327"/>
        <v>0</v>
      </c>
      <c r="BX474" s="387">
        <f t="shared" si="342"/>
        <v>5854.9865399999999</v>
      </c>
      <c r="BY474" s="387">
        <f t="shared" si="343"/>
        <v>0</v>
      </c>
      <c r="BZ474" s="387">
        <f t="shared" si="344"/>
        <v>0</v>
      </c>
      <c r="CA474" s="387">
        <f t="shared" si="345"/>
        <v>0</v>
      </c>
      <c r="CB474" s="387">
        <f t="shared" si="346"/>
        <v>0</v>
      </c>
      <c r="CC474" s="387">
        <f t="shared" si="328"/>
        <v>0</v>
      </c>
      <c r="CD474" s="387">
        <f t="shared" si="329"/>
        <v>0</v>
      </c>
      <c r="CE474" s="387">
        <f t="shared" si="330"/>
        <v>0</v>
      </c>
      <c r="CF474" s="387">
        <f t="shared" si="331"/>
        <v>-135.2988</v>
      </c>
      <c r="CG474" s="387">
        <f t="shared" si="332"/>
        <v>0</v>
      </c>
      <c r="CH474" s="387">
        <f t="shared" si="333"/>
        <v>19.328399999999991</v>
      </c>
      <c r="CI474" s="387">
        <f t="shared" si="334"/>
        <v>0</v>
      </c>
      <c r="CJ474" s="387">
        <f t="shared" si="347"/>
        <v>-115.97040000000001</v>
      </c>
      <c r="CK474" s="387" t="str">
        <f t="shared" si="348"/>
        <v/>
      </c>
      <c r="CL474" s="387" t="str">
        <f t="shared" si="349"/>
        <v/>
      </c>
      <c r="CM474" s="387" t="str">
        <f t="shared" si="350"/>
        <v/>
      </c>
      <c r="CN474" s="387" t="str">
        <f t="shared" si="351"/>
        <v>0348-31</v>
      </c>
    </row>
    <row r="475" spans="1:92" ht="15.75" thickBot="1" x14ac:dyDescent="0.3">
      <c r="A475" s="376" t="s">
        <v>161</v>
      </c>
      <c r="B475" s="376" t="s">
        <v>162</v>
      </c>
      <c r="C475" s="376" t="s">
        <v>1556</v>
      </c>
      <c r="D475" s="376" t="s">
        <v>238</v>
      </c>
      <c r="E475" s="376" t="s">
        <v>224</v>
      </c>
      <c r="F475" s="382" t="s">
        <v>225</v>
      </c>
      <c r="G475" s="376" t="s">
        <v>781</v>
      </c>
      <c r="H475" s="378"/>
      <c r="I475" s="378"/>
      <c r="J475" s="376" t="s">
        <v>215</v>
      </c>
      <c r="K475" s="376" t="s">
        <v>285</v>
      </c>
      <c r="L475" s="376" t="s">
        <v>170</v>
      </c>
      <c r="M475" s="376" t="s">
        <v>171</v>
      </c>
      <c r="N475" s="376" t="s">
        <v>172</v>
      </c>
      <c r="O475" s="379">
        <v>1</v>
      </c>
      <c r="P475" s="385">
        <v>0</v>
      </c>
      <c r="Q475" s="385">
        <v>0</v>
      </c>
      <c r="R475" s="380">
        <v>80</v>
      </c>
      <c r="S475" s="385">
        <v>0</v>
      </c>
      <c r="T475" s="380">
        <v>880</v>
      </c>
      <c r="U475" s="380">
        <v>0</v>
      </c>
      <c r="V475" s="380">
        <v>435.63</v>
      </c>
      <c r="W475" s="380">
        <v>0</v>
      </c>
      <c r="X475" s="380">
        <v>0</v>
      </c>
      <c r="Y475" s="380">
        <v>0</v>
      </c>
      <c r="Z475" s="380">
        <v>0</v>
      </c>
      <c r="AA475" s="376" t="s">
        <v>1557</v>
      </c>
      <c r="AB475" s="376" t="s">
        <v>1558</v>
      </c>
      <c r="AC475" s="376" t="s">
        <v>1559</v>
      </c>
      <c r="AD475" s="376" t="s">
        <v>317</v>
      </c>
      <c r="AE475" s="376" t="s">
        <v>285</v>
      </c>
      <c r="AF475" s="376" t="s">
        <v>177</v>
      </c>
      <c r="AG475" s="376" t="s">
        <v>178</v>
      </c>
      <c r="AH475" s="381">
        <v>22.36</v>
      </c>
      <c r="AI475" s="381">
        <v>9555.4</v>
      </c>
      <c r="AJ475" s="376" t="s">
        <v>179</v>
      </c>
      <c r="AK475" s="376" t="s">
        <v>180</v>
      </c>
      <c r="AL475" s="376" t="s">
        <v>181</v>
      </c>
      <c r="AM475" s="376" t="s">
        <v>182</v>
      </c>
      <c r="AN475" s="376" t="s">
        <v>68</v>
      </c>
      <c r="AO475" s="379">
        <v>80</v>
      </c>
      <c r="AP475" s="385">
        <v>1</v>
      </c>
      <c r="AQ475" s="385">
        <v>0</v>
      </c>
      <c r="AR475" s="383" t="s">
        <v>183</v>
      </c>
      <c r="AS475" s="387">
        <f t="shared" si="335"/>
        <v>0</v>
      </c>
      <c r="AT475">
        <f t="shared" si="336"/>
        <v>0</v>
      </c>
      <c r="AU475" s="387" t="str">
        <f>IF(AT475=0,"",IF(AND(AT475=1,M475="F",SUMIF(C2:C1334,C475,AS2:AS1334)&lt;=1),SUMIF(C2:C1334,C475,AS2:AS1334),IF(AND(AT475=1,M475="F",SUMIF(C2:C1334,C475,AS2:AS1334)&gt;1),1,"")))</f>
        <v/>
      </c>
      <c r="AV475" s="387" t="str">
        <f>IF(AT475=0,"",IF(AND(AT475=3,M475="F",SUMIF(C2:C1334,C475,AS2:AS1334)&lt;=1),SUMIF(C2:C1334,C475,AS2:AS1334),IF(AND(AT475=3,M475="F",SUMIF(C2:C1334,C475,AS2:AS1334)&gt;1),1,"")))</f>
        <v/>
      </c>
      <c r="AW475" s="387">
        <f>SUMIF(C2:C1334,C475,O2:O1334)</f>
        <v>3</v>
      </c>
      <c r="AX475" s="387">
        <f>IF(AND(M475="F",AS475&lt;&gt;0),SUMIF(C2:C1334,C475,W2:W1334),0)</f>
        <v>0</v>
      </c>
      <c r="AY475" s="387" t="str">
        <f t="shared" si="337"/>
        <v/>
      </c>
      <c r="AZ475" s="387" t="str">
        <f t="shared" si="338"/>
        <v/>
      </c>
      <c r="BA475" s="387">
        <f t="shared" si="339"/>
        <v>0</v>
      </c>
      <c r="BB475" s="387">
        <f t="shared" si="308"/>
        <v>0</v>
      </c>
      <c r="BC475" s="387">
        <f t="shared" si="309"/>
        <v>0</v>
      </c>
      <c r="BD475" s="387">
        <f t="shared" si="310"/>
        <v>0</v>
      </c>
      <c r="BE475" s="387">
        <f t="shared" si="311"/>
        <v>0</v>
      </c>
      <c r="BF475" s="387">
        <f t="shared" si="312"/>
        <v>0</v>
      </c>
      <c r="BG475" s="387">
        <f t="shared" si="313"/>
        <v>0</v>
      </c>
      <c r="BH475" s="387">
        <f t="shared" si="314"/>
        <v>0</v>
      </c>
      <c r="BI475" s="387">
        <f t="shared" si="315"/>
        <v>0</v>
      </c>
      <c r="BJ475" s="387">
        <f t="shared" si="316"/>
        <v>0</v>
      </c>
      <c r="BK475" s="387">
        <f t="shared" si="317"/>
        <v>0</v>
      </c>
      <c r="BL475" s="387">
        <f t="shared" si="340"/>
        <v>0</v>
      </c>
      <c r="BM475" s="387">
        <f t="shared" si="341"/>
        <v>0</v>
      </c>
      <c r="BN475" s="387">
        <f t="shared" si="318"/>
        <v>0</v>
      </c>
      <c r="BO475" s="387">
        <f t="shared" si="319"/>
        <v>0</v>
      </c>
      <c r="BP475" s="387">
        <f t="shared" si="320"/>
        <v>0</v>
      </c>
      <c r="BQ475" s="387">
        <f t="shared" si="321"/>
        <v>0</v>
      </c>
      <c r="BR475" s="387">
        <f t="shared" si="322"/>
        <v>0</v>
      </c>
      <c r="BS475" s="387">
        <f t="shared" si="323"/>
        <v>0</v>
      </c>
      <c r="BT475" s="387">
        <f t="shared" si="324"/>
        <v>0</v>
      </c>
      <c r="BU475" s="387">
        <f t="shared" si="325"/>
        <v>0</v>
      </c>
      <c r="BV475" s="387">
        <f t="shared" si="326"/>
        <v>0</v>
      </c>
      <c r="BW475" s="387">
        <f t="shared" si="327"/>
        <v>0</v>
      </c>
      <c r="BX475" s="387">
        <f t="shared" si="342"/>
        <v>0</v>
      </c>
      <c r="BY475" s="387">
        <f t="shared" si="343"/>
        <v>0</v>
      </c>
      <c r="BZ475" s="387">
        <f t="shared" si="344"/>
        <v>0</v>
      </c>
      <c r="CA475" s="387">
        <f t="shared" si="345"/>
        <v>0</v>
      </c>
      <c r="CB475" s="387">
        <f t="shared" si="346"/>
        <v>0</v>
      </c>
      <c r="CC475" s="387">
        <f t="shared" si="328"/>
        <v>0</v>
      </c>
      <c r="CD475" s="387">
        <f t="shared" si="329"/>
        <v>0</v>
      </c>
      <c r="CE475" s="387">
        <f t="shared" si="330"/>
        <v>0</v>
      </c>
      <c r="CF475" s="387">
        <f t="shared" si="331"/>
        <v>0</v>
      </c>
      <c r="CG475" s="387">
        <f t="shared" si="332"/>
        <v>0</v>
      </c>
      <c r="CH475" s="387">
        <f t="shared" si="333"/>
        <v>0</v>
      </c>
      <c r="CI475" s="387">
        <f t="shared" si="334"/>
        <v>0</v>
      </c>
      <c r="CJ475" s="387">
        <f t="shared" si="347"/>
        <v>0</v>
      </c>
      <c r="CK475" s="387" t="str">
        <f t="shared" si="348"/>
        <v/>
      </c>
      <c r="CL475" s="387" t="str">
        <f t="shared" si="349"/>
        <v/>
      </c>
      <c r="CM475" s="387" t="str">
        <f t="shared" si="350"/>
        <v/>
      </c>
      <c r="CN475" s="387" t="str">
        <f t="shared" si="351"/>
        <v>0348-31</v>
      </c>
    </row>
    <row r="476" spans="1:92" ht="15.75" thickBot="1" x14ac:dyDescent="0.3">
      <c r="A476" s="376" t="s">
        <v>161</v>
      </c>
      <c r="B476" s="376" t="s">
        <v>162</v>
      </c>
      <c r="C476" s="376" t="s">
        <v>184</v>
      </c>
      <c r="D476" s="376" t="s">
        <v>164</v>
      </c>
      <c r="E476" s="376" t="s">
        <v>224</v>
      </c>
      <c r="F476" s="382" t="s">
        <v>225</v>
      </c>
      <c r="G476" s="376" t="s">
        <v>781</v>
      </c>
      <c r="H476" s="378"/>
      <c r="I476" s="378"/>
      <c r="J476" s="376" t="s">
        <v>168</v>
      </c>
      <c r="K476" s="376" t="s">
        <v>169</v>
      </c>
      <c r="L476" s="376" t="s">
        <v>170</v>
      </c>
      <c r="M476" s="376" t="s">
        <v>171</v>
      </c>
      <c r="N476" s="376" t="s">
        <v>172</v>
      </c>
      <c r="O476" s="379">
        <v>1</v>
      </c>
      <c r="P476" s="385">
        <v>0.25</v>
      </c>
      <c r="Q476" s="385">
        <v>0.25</v>
      </c>
      <c r="R476" s="380">
        <v>80</v>
      </c>
      <c r="S476" s="385">
        <v>0.25</v>
      </c>
      <c r="T476" s="380">
        <v>34829.51</v>
      </c>
      <c r="U476" s="380">
        <v>0</v>
      </c>
      <c r="V476" s="380">
        <v>14016.58</v>
      </c>
      <c r="W476" s="380">
        <v>15355.6</v>
      </c>
      <c r="X476" s="380">
        <v>6233.14</v>
      </c>
      <c r="Y476" s="380">
        <v>15355.6</v>
      </c>
      <c r="Z476" s="380">
        <v>6168.64</v>
      </c>
      <c r="AA476" s="376" t="s">
        <v>185</v>
      </c>
      <c r="AB476" s="376" t="s">
        <v>186</v>
      </c>
      <c r="AC476" s="376" t="s">
        <v>187</v>
      </c>
      <c r="AD476" s="376" t="s">
        <v>188</v>
      </c>
      <c r="AE476" s="376" t="s">
        <v>169</v>
      </c>
      <c r="AF476" s="376" t="s">
        <v>177</v>
      </c>
      <c r="AG476" s="376" t="s">
        <v>178</v>
      </c>
      <c r="AH476" s="381">
        <v>29.53</v>
      </c>
      <c r="AI476" s="381">
        <v>10657.6</v>
      </c>
      <c r="AJ476" s="376" t="s">
        <v>179</v>
      </c>
      <c r="AK476" s="376" t="s">
        <v>180</v>
      </c>
      <c r="AL476" s="376" t="s">
        <v>181</v>
      </c>
      <c r="AM476" s="376" t="s">
        <v>182</v>
      </c>
      <c r="AN476" s="376" t="s">
        <v>68</v>
      </c>
      <c r="AO476" s="379">
        <v>80</v>
      </c>
      <c r="AP476" s="385">
        <v>1</v>
      </c>
      <c r="AQ476" s="385">
        <v>0.25</v>
      </c>
      <c r="AR476" s="383" t="s">
        <v>183</v>
      </c>
      <c r="AS476" s="387">
        <f t="shared" si="335"/>
        <v>0.25</v>
      </c>
      <c r="AT476">
        <f t="shared" si="336"/>
        <v>1</v>
      </c>
      <c r="AU476" s="387">
        <f>IF(AT476=0,"",IF(AND(AT476=1,M476="F",SUMIF(C2:C1334,C476,AS2:AS1334)&lt;=1),SUMIF(C2:C1334,C476,AS2:AS1334),IF(AND(AT476=1,M476="F",SUMIF(C2:C1334,C476,AS2:AS1334)&gt;1),1,"")))</f>
        <v>1</v>
      </c>
      <c r="AV476" s="387" t="str">
        <f>IF(AT476=0,"",IF(AND(AT476=3,M476="F",SUMIF(C2:C1334,C476,AS2:AS1334)&lt;=1),SUMIF(C2:C1334,C476,AS2:AS1334),IF(AND(AT476=3,M476="F",SUMIF(C2:C1334,C476,AS2:AS1334)&gt;1),1,"")))</f>
        <v/>
      </c>
      <c r="AW476" s="387">
        <f>SUMIF(C2:C1334,C476,O2:O1334)</f>
        <v>4</v>
      </c>
      <c r="AX476" s="387">
        <f>IF(AND(M476="F",AS476&lt;&gt;0),SUMIF(C2:C1334,C476,W2:W1334),0)</f>
        <v>61422.400000000001</v>
      </c>
      <c r="AY476" s="387">
        <f t="shared" si="337"/>
        <v>15355.6</v>
      </c>
      <c r="AZ476" s="387" t="str">
        <f t="shared" si="338"/>
        <v/>
      </c>
      <c r="BA476" s="387">
        <f t="shared" si="339"/>
        <v>0</v>
      </c>
      <c r="BB476" s="387">
        <f t="shared" si="308"/>
        <v>2912.5</v>
      </c>
      <c r="BC476" s="387">
        <f t="shared" si="309"/>
        <v>0</v>
      </c>
      <c r="BD476" s="387">
        <f t="shared" si="310"/>
        <v>952.04719999999998</v>
      </c>
      <c r="BE476" s="387">
        <f t="shared" si="311"/>
        <v>222.65620000000001</v>
      </c>
      <c r="BF476" s="387">
        <f t="shared" si="312"/>
        <v>1833.4586400000001</v>
      </c>
      <c r="BG476" s="387">
        <f t="shared" si="313"/>
        <v>110.71387600000001</v>
      </c>
      <c r="BH476" s="387">
        <f t="shared" si="314"/>
        <v>75.242440000000002</v>
      </c>
      <c r="BI476" s="387">
        <f t="shared" si="315"/>
        <v>84.993245999999999</v>
      </c>
      <c r="BJ476" s="387">
        <f t="shared" si="316"/>
        <v>41.460120000000003</v>
      </c>
      <c r="BK476" s="387">
        <f t="shared" si="317"/>
        <v>0</v>
      </c>
      <c r="BL476" s="387">
        <f t="shared" si="340"/>
        <v>3320.5717220000001</v>
      </c>
      <c r="BM476" s="387">
        <f t="shared" si="341"/>
        <v>0</v>
      </c>
      <c r="BN476" s="387">
        <f t="shared" si="318"/>
        <v>2912.5</v>
      </c>
      <c r="BO476" s="387">
        <f t="shared" si="319"/>
        <v>0</v>
      </c>
      <c r="BP476" s="387">
        <f t="shared" si="320"/>
        <v>952.04719999999998</v>
      </c>
      <c r="BQ476" s="387">
        <f t="shared" si="321"/>
        <v>222.65620000000001</v>
      </c>
      <c r="BR476" s="387">
        <f t="shared" si="322"/>
        <v>1833.4586400000001</v>
      </c>
      <c r="BS476" s="387">
        <f t="shared" si="323"/>
        <v>110.71387600000001</v>
      </c>
      <c r="BT476" s="387">
        <f t="shared" si="324"/>
        <v>0</v>
      </c>
      <c r="BU476" s="387">
        <f t="shared" si="325"/>
        <v>84.993245999999999</v>
      </c>
      <c r="BV476" s="387">
        <f t="shared" si="326"/>
        <v>52.209040000000002</v>
      </c>
      <c r="BW476" s="387">
        <f t="shared" si="327"/>
        <v>0</v>
      </c>
      <c r="BX476" s="387">
        <f t="shared" si="342"/>
        <v>3256.0782020000001</v>
      </c>
      <c r="BY476" s="387">
        <f t="shared" si="343"/>
        <v>0</v>
      </c>
      <c r="BZ476" s="387">
        <f t="shared" si="344"/>
        <v>0</v>
      </c>
      <c r="CA476" s="387">
        <f t="shared" si="345"/>
        <v>0</v>
      </c>
      <c r="CB476" s="387">
        <f t="shared" si="346"/>
        <v>0</v>
      </c>
      <c r="CC476" s="387">
        <f t="shared" si="328"/>
        <v>0</v>
      </c>
      <c r="CD476" s="387">
        <f t="shared" si="329"/>
        <v>0</v>
      </c>
      <c r="CE476" s="387">
        <f t="shared" si="330"/>
        <v>0</v>
      </c>
      <c r="CF476" s="387">
        <f t="shared" si="331"/>
        <v>-75.242440000000002</v>
      </c>
      <c r="CG476" s="387">
        <f t="shared" si="332"/>
        <v>0</v>
      </c>
      <c r="CH476" s="387">
        <f t="shared" si="333"/>
        <v>10.748919999999995</v>
      </c>
      <c r="CI476" s="387">
        <f t="shared" si="334"/>
        <v>0</v>
      </c>
      <c r="CJ476" s="387">
        <f t="shared" si="347"/>
        <v>-64.493520000000004</v>
      </c>
      <c r="CK476" s="387" t="str">
        <f t="shared" si="348"/>
        <v/>
      </c>
      <c r="CL476" s="387" t="str">
        <f t="shared" si="349"/>
        <v/>
      </c>
      <c r="CM476" s="387" t="str">
        <f t="shared" si="350"/>
        <v/>
      </c>
      <c r="CN476" s="387" t="str">
        <f t="shared" si="351"/>
        <v>0348-31</v>
      </c>
    </row>
    <row r="477" spans="1:92" ht="15.75" thickBot="1" x14ac:dyDescent="0.3">
      <c r="A477" s="376" t="s">
        <v>161</v>
      </c>
      <c r="B477" s="376" t="s">
        <v>162</v>
      </c>
      <c r="C477" s="376" t="s">
        <v>1560</v>
      </c>
      <c r="D477" s="376" t="s">
        <v>270</v>
      </c>
      <c r="E477" s="376" t="s">
        <v>224</v>
      </c>
      <c r="F477" s="382" t="s">
        <v>225</v>
      </c>
      <c r="G477" s="376" t="s">
        <v>781</v>
      </c>
      <c r="H477" s="378"/>
      <c r="I477" s="378"/>
      <c r="J477" s="376" t="s">
        <v>215</v>
      </c>
      <c r="K477" s="376" t="s">
        <v>271</v>
      </c>
      <c r="L477" s="376" t="s">
        <v>217</v>
      </c>
      <c r="M477" s="376" t="s">
        <v>171</v>
      </c>
      <c r="N477" s="376" t="s">
        <v>172</v>
      </c>
      <c r="O477" s="379">
        <v>1</v>
      </c>
      <c r="P477" s="385">
        <v>0</v>
      </c>
      <c r="Q477" s="385">
        <v>0</v>
      </c>
      <c r="R477" s="380">
        <v>80</v>
      </c>
      <c r="S477" s="385">
        <v>0</v>
      </c>
      <c r="T477" s="380">
        <v>656.4</v>
      </c>
      <c r="U477" s="380">
        <v>0</v>
      </c>
      <c r="V477" s="380">
        <v>376.44</v>
      </c>
      <c r="W477" s="380">
        <v>0</v>
      </c>
      <c r="X477" s="380">
        <v>0</v>
      </c>
      <c r="Y477" s="380">
        <v>0</v>
      </c>
      <c r="Z477" s="380">
        <v>0</v>
      </c>
      <c r="AA477" s="376" t="s">
        <v>1561</v>
      </c>
      <c r="AB477" s="376" t="s">
        <v>1562</v>
      </c>
      <c r="AC477" s="376" t="s">
        <v>1339</v>
      </c>
      <c r="AD477" s="376" t="s">
        <v>182</v>
      </c>
      <c r="AE477" s="376" t="s">
        <v>271</v>
      </c>
      <c r="AF477" s="376" t="s">
        <v>221</v>
      </c>
      <c r="AG477" s="376" t="s">
        <v>178</v>
      </c>
      <c r="AH477" s="381">
        <v>16.41</v>
      </c>
      <c r="AI477" s="379">
        <v>3100</v>
      </c>
      <c r="AJ477" s="376" t="s">
        <v>179</v>
      </c>
      <c r="AK477" s="376" t="s">
        <v>180</v>
      </c>
      <c r="AL477" s="376" t="s">
        <v>181</v>
      </c>
      <c r="AM477" s="376" t="s">
        <v>182</v>
      </c>
      <c r="AN477" s="376" t="s">
        <v>68</v>
      </c>
      <c r="AO477" s="379">
        <v>80</v>
      </c>
      <c r="AP477" s="385">
        <v>1</v>
      </c>
      <c r="AQ477" s="385">
        <v>0</v>
      </c>
      <c r="AR477" s="383" t="s">
        <v>183</v>
      </c>
      <c r="AS477" s="387">
        <f t="shared" si="335"/>
        <v>0</v>
      </c>
      <c r="AT477">
        <f t="shared" si="336"/>
        <v>0</v>
      </c>
      <c r="AU477" s="387" t="str">
        <f>IF(AT477=0,"",IF(AND(AT477=1,M477="F",SUMIF(C2:C1334,C477,AS2:AS1334)&lt;=1),SUMIF(C2:C1334,C477,AS2:AS1334),IF(AND(AT477=1,M477="F",SUMIF(C2:C1334,C477,AS2:AS1334)&gt;1),1,"")))</f>
        <v/>
      </c>
      <c r="AV477" s="387" t="str">
        <f>IF(AT477=0,"",IF(AND(AT477=3,M477="F",SUMIF(C2:C1334,C477,AS2:AS1334)&lt;=1),SUMIF(C2:C1334,C477,AS2:AS1334),IF(AND(AT477=3,M477="F",SUMIF(C2:C1334,C477,AS2:AS1334)&gt;1),1,"")))</f>
        <v/>
      </c>
      <c r="AW477" s="387">
        <f>SUMIF(C2:C1334,C477,O2:O1334)</f>
        <v>2</v>
      </c>
      <c r="AX477" s="387">
        <f>IF(AND(M477="F",AS477&lt;&gt;0),SUMIF(C2:C1334,C477,W2:W1334),0)</f>
        <v>0</v>
      </c>
      <c r="AY477" s="387" t="str">
        <f t="shared" si="337"/>
        <v/>
      </c>
      <c r="AZ477" s="387" t="str">
        <f t="shared" si="338"/>
        <v/>
      </c>
      <c r="BA477" s="387">
        <f t="shared" si="339"/>
        <v>0</v>
      </c>
      <c r="BB477" s="387">
        <f t="shared" si="308"/>
        <v>0</v>
      </c>
      <c r="BC477" s="387">
        <f t="shared" si="309"/>
        <v>0</v>
      </c>
      <c r="BD477" s="387">
        <f t="shared" si="310"/>
        <v>0</v>
      </c>
      <c r="BE477" s="387">
        <f t="shared" si="311"/>
        <v>0</v>
      </c>
      <c r="BF477" s="387">
        <f t="shared" si="312"/>
        <v>0</v>
      </c>
      <c r="BG477" s="387">
        <f t="shared" si="313"/>
        <v>0</v>
      </c>
      <c r="BH477" s="387">
        <f t="shared" si="314"/>
        <v>0</v>
      </c>
      <c r="BI477" s="387">
        <f t="shared" si="315"/>
        <v>0</v>
      </c>
      <c r="BJ477" s="387">
        <f t="shared" si="316"/>
        <v>0</v>
      </c>
      <c r="BK477" s="387">
        <f t="shared" si="317"/>
        <v>0</v>
      </c>
      <c r="BL477" s="387">
        <f t="shared" si="340"/>
        <v>0</v>
      </c>
      <c r="BM477" s="387">
        <f t="shared" si="341"/>
        <v>0</v>
      </c>
      <c r="BN477" s="387">
        <f t="shared" si="318"/>
        <v>0</v>
      </c>
      <c r="BO477" s="387">
        <f t="shared" si="319"/>
        <v>0</v>
      </c>
      <c r="BP477" s="387">
        <f t="shared" si="320"/>
        <v>0</v>
      </c>
      <c r="BQ477" s="387">
        <f t="shared" si="321"/>
        <v>0</v>
      </c>
      <c r="BR477" s="387">
        <f t="shared" si="322"/>
        <v>0</v>
      </c>
      <c r="BS477" s="387">
        <f t="shared" si="323"/>
        <v>0</v>
      </c>
      <c r="BT477" s="387">
        <f t="shared" si="324"/>
        <v>0</v>
      </c>
      <c r="BU477" s="387">
        <f t="shared" si="325"/>
        <v>0</v>
      </c>
      <c r="BV477" s="387">
        <f t="shared" si="326"/>
        <v>0</v>
      </c>
      <c r="BW477" s="387">
        <f t="shared" si="327"/>
        <v>0</v>
      </c>
      <c r="BX477" s="387">
        <f t="shared" si="342"/>
        <v>0</v>
      </c>
      <c r="BY477" s="387">
        <f t="shared" si="343"/>
        <v>0</v>
      </c>
      <c r="BZ477" s="387">
        <f t="shared" si="344"/>
        <v>0</v>
      </c>
      <c r="CA477" s="387">
        <f t="shared" si="345"/>
        <v>0</v>
      </c>
      <c r="CB477" s="387">
        <f t="shared" si="346"/>
        <v>0</v>
      </c>
      <c r="CC477" s="387">
        <f t="shared" si="328"/>
        <v>0</v>
      </c>
      <c r="CD477" s="387">
        <f t="shared" si="329"/>
        <v>0</v>
      </c>
      <c r="CE477" s="387">
        <f t="shared" si="330"/>
        <v>0</v>
      </c>
      <c r="CF477" s="387">
        <f t="shared" si="331"/>
        <v>0</v>
      </c>
      <c r="CG477" s="387">
        <f t="shared" si="332"/>
        <v>0</v>
      </c>
      <c r="CH477" s="387">
        <f t="shared" si="333"/>
        <v>0</v>
      </c>
      <c r="CI477" s="387">
        <f t="shared" si="334"/>
        <v>0</v>
      </c>
      <c r="CJ477" s="387">
        <f t="shared" si="347"/>
        <v>0</v>
      </c>
      <c r="CK477" s="387" t="str">
        <f t="shared" si="348"/>
        <v/>
      </c>
      <c r="CL477" s="387" t="str">
        <f t="shared" si="349"/>
        <v/>
      </c>
      <c r="CM477" s="387" t="str">
        <f t="shared" si="350"/>
        <v/>
      </c>
      <c r="CN477" s="387" t="str">
        <f t="shared" si="351"/>
        <v>0348-31</v>
      </c>
    </row>
    <row r="478" spans="1:92" ht="15.75" thickBot="1" x14ac:dyDescent="0.3">
      <c r="A478" s="376" t="s">
        <v>161</v>
      </c>
      <c r="B478" s="376" t="s">
        <v>162</v>
      </c>
      <c r="C478" s="376" t="s">
        <v>1563</v>
      </c>
      <c r="D478" s="376" t="s">
        <v>862</v>
      </c>
      <c r="E478" s="376" t="s">
        <v>224</v>
      </c>
      <c r="F478" s="382" t="s">
        <v>225</v>
      </c>
      <c r="G478" s="376" t="s">
        <v>781</v>
      </c>
      <c r="H478" s="378"/>
      <c r="I478" s="378"/>
      <c r="J478" s="376" t="s">
        <v>215</v>
      </c>
      <c r="K478" s="376" t="s">
        <v>863</v>
      </c>
      <c r="L478" s="376" t="s">
        <v>252</v>
      </c>
      <c r="M478" s="376" t="s">
        <v>566</v>
      </c>
      <c r="N478" s="376" t="s">
        <v>877</v>
      </c>
      <c r="O478" s="379">
        <v>0</v>
      </c>
      <c r="P478" s="385">
        <v>0</v>
      </c>
      <c r="Q478" s="385">
        <v>0</v>
      </c>
      <c r="R478" s="380">
        <v>80</v>
      </c>
      <c r="S478" s="385">
        <v>0</v>
      </c>
      <c r="T478" s="380">
        <v>17991.95</v>
      </c>
      <c r="U478" s="380">
        <v>0</v>
      </c>
      <c r="V478" s="380">
        <v>10476.969999999999</v>
      </c>
      <c r="W478" s="380">
        <v>0</v>
      </c>
      <c r="X478" s="380">
        <v>0</v>
      </c>
      <c r="Y478" s="380">
        <v>0</v>
      </c>
      <c r="Z478" s="380">
        <v>0</v>
      </c>
      <c r="AA478" s="378"/>
      <c r="AB478" s="376" t="s">
        <v>45</v>
      </c>
      <c r="AC478" s="376" t="s">
        <v>45</v>
      </c>
      <c r="AD478" s="378"/>
      <c r="AE478" s="378"/>
      <c r="AF478" s="378"/>
      <c r="AG478" s="378"/>
      <c r="AH478" s="379">
        <v>0</v>
      </c>
      <c r="AI478" s="379">
        <v>0</v>
      </c>
      <c r="AJ478" s="378"/>
      <c r="AK478" s="378"/>
      <c r="AL478" s="376" t="s">
        <v>181</v>
      </c>
      <c r="AM478" s="378"/>
      <c r="AN478" s="378"/>
      <c r="AO478" s="379">
        <v>0</v>
      </c>
      <c r="AP478" s="385">
        <v>0</v>
      </c>
      <c r="AQ478" s="385">
        <v>0</v>
      </c>
      <c r="AR478" s="384"/>
      <c r="AS478" s="387">
        <f t="shared" si="335"/>
        <v>0</v>
      </c>
      <c r="AT478">
        <f t="shared" si="336"/>
        <v>0</v>
      </c>
      <c r="AU478" s="387" t="str">
        <f>IF(AT478=0,"",IF(AND(AT478=1,M478="F",SUMIF(C2:C1334,C478,AS2:AS1334)&lt;=1),SUMIF(C2:C1334,C478,AS2:AS1334),IF(AND(AT478=1,M478="F",SUMIF(C2:C1334,C478,AS2:AS1334)&gt;1),1,"")))</f>
        <v/>
      </c>
      <c r="AV478" s="387" t="str">
        <f>IF(AT478=0,"",IF(AND(AT478=3,M478="F",SUMIF(C2:C1334,C478,AS2:AS1334)&lt;=1),SUMIF(C2:C1334,C478,AS2:AS1334),IF(AND(AT478=3,M478="F",SUMIF(C2:C1334,C478,AS2:AS1334)&gt;1),1,"")))</f>
        <v/>
      </c>
      <c r="AW478" s="387">
        <f>SUMIF(C2:C1334,C478,O2:O1334)</f>
        <v>0</v>
      </c>
      <c r="AX478" s="387">
        <f>IF(AND(M478="F",AS478&lt;&gt;0),SUMIF(C2:C1334,C478,W2:W1334),0)</f>
        <v>0</v>
      </c>
      <c r="AY478" s="387" t="str">
        <f t="shared" si="337"/>
        <v/>
      </c>
      <c r="AZ478" s="387" t="str">
        <f t="shared" si="338"/>
        <v/>
      </c>
      <c r="BA478" s="387">
        <f t="shared" si="339"/>
        <v>0</v>
      </c>
      <c r="BB478" s="387">
        <f t="shared" si="308"/>
        <v>0</v>
      </c>
      <c r="BC478" s="387">
        <f t="shared" si="309"/>
        <v>0</v>
      </c>
      <c r="BD478" s="387">
        <f t="shared" si="310"/>
        <v>0</v>
      </c>
      <c r="BE478" s="387">
        <f t="shared" si="311"/>
        <v>0</v>
      </c>
      <c r="BF478" s="387">
        <f t="shared" si="312"/>
        <v>0</v>
      </c>
      <c r="BG478" s="387">
        <f t="shared" si="313"/>
        <v>0</v>
      </c>
      <c r="BH478" s="387">
        <f t="shared" si="314"/>
        <v>0</v>
      </c>
      <c r="BI478" s="387">
        <f t="shared" si="315"/>
        <v>0</v>
      </c>
      <c r="BJ478" s="387">
        <f t="shared" si="316"/>
        <v>0</v>
      </c>
      <c r="BK478" s="387">
        <f t="shared" si="317"/>
        <v>0</v>
      </c>
      <c r="BL478" s="387">
        <f t="shared" si="340"/>
        <v>0</v>
      </c>
      <c r="BM478" s="387">
        <f t="shared" si="341"/>
        <v>0</v>
      </c>
      <c r="BN478" s="387">
        <f t="shared" si="318"/>
        <v>0</v>
      </c>
      <c r="BO478" s="387">
        <f t="shared" si="319"/>
        <v>0</v>
      </c>
      <c r="BP478" s="387">
        <f t="shared" si="320"/>
        <v>0</v>
      </c>
      <c r="BQ478" s="387">
        <f t="shared" si="321"/>
        <v>0</v>
      </c>
      <c r="BR478" s="387">
        <f t="shared" si="322"/>
        <v>0</v>
      </c>
      <c r="BS478" s="387">
        <f t="shared" si="323"/>
        <v>0</v>
      </c>
      <c r="BT478" s="387">
        <f t="shared" si="324"/>
        <v>0</v>
      </c>
      <c r="BU478" s="387">
        <f t="shared" si="325"/>
        <v>0</v>
      </c>
      <c r="BV478" s="387">
        <f t="shared" si="326"/>
        <v>0</v>
      </c>
      <c r="BW478" s="387">
        <f t="shared" si="327"/>
        <v>0</v>
      </c>
      <c r="BX478" s="387">
        <f t="shared" si="342"/>
        <v>0</v>
      </c>
      <c r="BY478" s="387">
        <f t="shared" si="343"/>
        <v>0</v>
      </c>
      <c r="BZ478" s="387">
        <f t="shared" si="344"/>
        <v>0</v>
      </c>
      <c r="CA478" s="387">
        <f t="shared" si="345"/>
        <v>0</v>
      </c>
      <c r="CB478" s="387">
        <f t="shared" si="346"/>
        <v>0</v>
      </c>
      <c r="CC478" s="387">
        <f t="shared" si="328"/>
        <v>0</v>
      </c>
      <c r="CD478" s="387">
        <f t="shared" si="329"/>
        <v>0</v>
      </c>
      <c r="CE478" s="387">
        <f t="shared" si="330"/>
        <v>0</v>
      </c>
      <c r="CF478" s="387">
        <f t="shared" si="331"/>
        <v>0</v>
      </c>
      <c r="CG478" s="387">
        <f t="shared" si="332"/>
        <v>0</v>
      </c>
      <c r="CH478" s="387">
        <f t="shared" si="333"/>
        <v>0</v>
      </c>
      <c r="CI478" s="387">
        <f t="shared" si="334"/>
        <v>0</v>
      </c>
      <c r="CJ478" s="387">
        <f t="shared" si="347"/>
        <v>0</v>
      </c>
      <c r="CK478" s="387" t="str">
        <f t="shared" si="348"/>
        <v/>
      </c>
      <c r="CL478" s="387" t="str">
        <f t="shared" si="349"/>
        <v/>
      </c>
      <c r="CM478" s="387" t="str">
        <f t="shared" si="350"/>
        <v/>
      </c>
      <c r="CN478" s="387" t="str">
        <f t="shared" si="351"/>
        <v>0348-31</v>
      </c>
    </row>
    <row r="479" spans="1:92" ht="15.75" thickBot="1" x14ac:dyDescent="0.3">
      <c r="A479" s="376" t="s">
        <v>161</v>
      </c>
      <c r="B479" s="376" t="s">
        <v>162</v>
      </c>
      <c r="C479" s="376" t="s">
        <v>1564</v>
      </c>
      <c r="D479" s="376" t="s">
        <v>862</v>
      </c>
      <c r="E479" s="376" t="s">
        <v>224</v>
      </c>
      <c r="F479" s="382" t="s">
        <v>225</v>
      </c>
      <c r="G479" s="376" t="s">
        <v>781</v>
      </c>
      <c r="H479" s="378"/>
      <c r="I479" s="378"/>
      <c r="J479" s="376" t="s">
        <v>239</v>
      </c>
      <c r="K479" s="376" t="s">
        <v>863</v>
      </c>
      <c r="L479" s="376" t="s">
        <v>252</v>
      </c>
      <c r="M479" s="376" t="s">
        <v>272</v>
      </c>
      <c r="N479" s="376" t="s">
        <v>172</v>
      </c>
      <c r="O479" s="379">
        <v>0</v>
      </c>
      <c r="P479" s="385">
        <v>0.75</v>
      </c>
      <c r="Q479" s="385">
        <v>0.75</v>
      </c>
      <c r="R479" s="380">
        <v>80</v>
      </c>
      <c r="S479" s="385">
        <v>0.75</v>
      </c>
      <c r="T479" s="380">
        <v>38641.57</v>
      </c>
      <c r="U479" s="380">
        <v>0</v>
      </c>
      <c r="V479" s="380">
        <v>16044.73</v>
      </c>
      <c r="W479" s="380">
        <v>31746</v>
      </c>
      <c r="X479" s="380">
        <v>13904.74</v>
      </c>
      <c r="Y479" s="380">
        <v>31746</v>
      </c>
      <c r="Z479" s="380">
        <v>13746.01</v>
      </c>
      <c r="AA479" s="378"/>
      <c r="AB479" s="376" t="s">
        <v>45</v>
      </c>
      <c r="AC479" s="376" t="s">
        <v>45</v>
      </c>
      <c r="AD479" s="378"/>
      <c r="AE479" s="378"/>
      <c r="AF479" s="378"/>
      <c r="AG479" s="378"/>
      <c r="AH479" s="379">
        <v>0</v>
      </c>
      <c r="AI479" s="379">
        <v>0</v>
      </c>
      <c r="AJ479" s="378"/>
      <c r="AK479" s="378"/>
      <c r="AL479" s="376" t="s">
        <v>181</v>
      </c>
      <c r="AM479" s="378"/>
      <c r="AN479" s="378"/>
      <c r="AO479" s="379">
        <v>0</v>
      </c>
      <c r="AP479" s="385">
        <v>0</v>
      </c>
      <c r="AQ479" s="385">
        <v>0</v>
      </c>
      <c r="AR479" s="384"/>
      <c r="AS479" s="387">
        <f t="shared" si="335"/>
        <v>0</v>
      </c>
      <c r="AT479">
        <f t="shared" si="336"/>
        <v>0</v>
      </c>
      <c r="AU479" s="387" t="str">
        <f>IF(AT479=0,"",IF(AND(AT479=1,M479="F",SUMIF(C2:C1334,C479,AS2:AS1334)&lt;=1),SUMIF(C2:C1334,C479,AS2:AS1334),IF(AND(AT479=1,M479="F",SUMIF(C2:C1334,C479,AS2:AS1334)&gt;1),1,"")))</f>
        <v/>
      </c>
      <c r="AV479" s="387" t="str">
        <f>IF(AT479=0,"",IF(AND(AT479=3,M479="F",SUMIF(C2:C1334,C479,AS2:AS1334)&lt;=1),SUMIF(C2:C1334,C479,AS2:AS1334),IF(AND(AT479=3,M479="F",SUMIF(C2:C1334,C479,AS2:AS1334)&gt;1),1,"")))</f>
        <v/>
      </c>
      <c r="AW479" s="387">
        <f>SUMIF(C2:C1334,C479,O2:O1334)</f>
        <v>0</v>
      </c>
      <c r="AX479" s="387">
        <f>IF(AND(M479="F",AS479&lt;&gt;0),SUMIF(C2:C1334,C479,W2:W1334),0)</f>
        <v>0</v>
      </c>
      <c r="AY479" s="387" t="str">
        <f t="shared" si="337"/>
        <v/>
      </c>
      <c r="AZ479" s="387" t="str">
        <f t="shared" si="338"/>
        <v/>
      </c>
      <c r="BA479" s="387">
        <f t="shared" si="339"/>
        <v>0</v>
      </c>
      <c r="BB479" s="387">
        <f t="shared" si="308"/>
        <v>0</v>
      </c>
      <c r="BC479" s="387">
        <f t="shared" si="309"/>
        <v>0</v>
      </c>
      <c r="BD479" s="387">
        <f t="shared" si="310"/>
        <v>0</v>
      </c>
      <c r="BE479" s="387">
        <f t="shared" si="311"/>
        <v>0</v>
      </c>
      <c r="BF479" s="387">
        <f t="shared" si="312"/>
        <v>0</v>
      </c>
      <c r="BG479" s="387">
        <f t="shared" si="313"/>
        <v>0</v>
      </c>
      <c r="BH479" s="387">
        <f t="shared" si="314"/>
        <v>0</v>
      </c>
      <c r="BI479" s="387">
        <f t="shared" si="315"/>
        <v>0</v>
      </c>
      <c r="BJ479" s="387">
        <f t="shared" si="316"/>
        <v>0</v>
      </c>
      <c r="BK479" s="387">
        <f t="shared" si="317"/>
        <v>0</v>
      </c>
      <c r="BL479" s="387">
        <f t="shared" si="340"/>
        <v>0</v>
      </c>
      <c r="BM479" s="387">
        <f t="shared" si="341"/>
        <v>0</v>
      </c>
      <c r="BN479" s="387">
        <f t="shared" si="318"/>
        <v>0</v>
      </c>
      <c r="BO479" s="387">
        <f t="shared" si="319"/>
        <v>0</v>
      </c>
      <c r="BP479" s="387">
        <f t="shared" si="320"/>
        <v>0</v>
      </c>
      <c r="BQ479" s="387">
        <f t="shared" si="321"/>
        <v>0</v>
      </c>
      <c r="BR479" s="387">
        <f t="shared" si="322"/>
        <v>0</v>
      </c>
      <c r="BS479" s="387">
        <f t="shared" si="323"/>
        <v>0</v>
      </c>
      <c r="BT479" s="387">
        <f t="shared" si="324"/>
        <v>0</v>
      </c>
      <c r="BU479" s="387">
        <f t="shared" si="325"/>
        <v>0</v>
      </c>
      <c r="BV479" s="387">
        <f t="shared" si="326"/>
        <v>0</v>
      </c>
      <c r="BW479" s="387">
        <f t="shared" si="327"/>
        <v>0</v>
      </c>
      <c r="BX479" s="387">
        <f t="shared" si="342"/>
        <v>0</v>
      </c>
      <c r="BY479" s="387">
        <f t="shared" si="343"/>
        <v>0</v>
      </c>
      <c r="BZ479" s="387">
        <f t="shared" si="344"/>
        <v>0</v>
      </c>
      <c r="CA479" s="387">
        <f t="shared" si="345"/>
        <v>0</v>
      </c>
      <c r="CB479" s="387">
        <f t="shared" si="346"/>
        <v>0</v>
      </c>
      <c r="CC479" s="387">
        <f t="shared" si="328"/>
        <v>0</v>
      </c>
      <c r="CD479" s="387">
        <f t="shared" si="329"/>
        <v>0</v>
      </c>
      <c r="CE479" s="387">
        <f t="shared" si="330"/>
        <v>0</v>
      </c>
      <c r="CF479" s="387">
        <f t="shared" si="331"/>
        <v>0</v>
      </c>
      <c r="CG479" s="387">
        <f t="shared" si="332"/>
        <v>0</v>
      </c>
      <c r="CH479" s="387">
        <f t="shared" si="333"/>
        <v>0</v>
      </c>
      <c r="CI479" s="387">
        <f t="shared" si="334"/>
        <v>0</v>
      </c>
      <c r="CJ479" s="387">
        <f t="shared" si="347"/>
        <v>0</v>
      </c>
      <c r="CK479" s="387" t="str">
        <f t="shared" si="348"/>
        <v/>
      </c>
      <c r="CL479" s="387" t="str">
        <f t="shared" si="349"/>
        <v/>
      </c>
      <c r="CM479" s="387" t="str">
        <f t="shared" si="350"/>
        <v/>
      </c>
      <c r="CN479" s="387" t="str">
        <f t="shared" si="351"/>
        <v>0348-31</v>
      </c>
    </row>
    <row r="480" spans="1:92" ht="15.75" thickBot="1" x14ac:dyDescent="0.3">
      <c r="A480" s="376" t="s">
        <v>161</v>
      </c>
      <c r="B480" s="376" t="s">
        <v>162</v>
      </c>
      <c r="C480" s="376" t="s">
        <v>1565</v>
      </c>
      <c r="D480" s="376" t="s">
        <v>862</v>
      </c>
      <c r="E480" s="376" t="s">
        <v>224</v>
      </c>
      <c r="F480" s="382" t="s">
        <v>225</v>
      </c>
      <c r="G480" s="376" t="s">
        <v>781</v>
      </c>
      <c r="H480" s="378"/>
      <c r="I480" s="378"/>
      <c r="J480" s="376" t="s">
        <v>168</v>
      </c>
      <c r="K480" s="376" t="s">
        <v>863</v>
      </c>
      <c r="L480" s="376" t="s">
        <v>252</v>
      </c>
      <c r="M480" s="376" t="s">
        <v>171</v>
      </c>
      <c r="N480" s="376" t="s">
        <v>172</v>
      </c>
      <c r="O480" s="379">
        <v>2</v>
      </c>
      <c r="P480" s="385">
        <v>0.7</v>
      </c>
      <c r="Q480" s="385">
        <v>0.7</v>
      </c>
      <c r="R480" s="380">
        <v>80</v>
      </c>
      <c r="S480" s="385">
        <v>0.7</v>
      </c>
      <c r="T480" s="380">
        <v>37729.89</v>
      </c>
      <c r="U480" s="380">
        <v>0</v>
      </c>
      <c r="V480" s="380">
        <v>17385.47</v>
      </c>
      <c r="W480" s="380">
        <v>27270.880000000001</v>
      </c>
      <c r="X480" s="380">
        <v>14052.3</v>
      </c>
      <c r="Y480" s="380">
        <v>27270.880000000001</v>
      </c>
      <c r="Z480" s="380">
        <v>13937.76</v>
      </c>
      <c r="AA480" s="376" t="s">
        <v>1566</v>
      </c>
      <c r="AB480" s="376" t="s">
        <v>1567</v>
      </c>
      <c r="AC480" s="376" t="s">
        <v>577</v>
      </c>
      <c r="AD480" s="376" t="s">
        <v>198</v>
      </c>
      <c r="AE480" s="376" t="s">
        <v>863</v>
      </c>
      <c r="AF480" s="376" t="s">
        <v>393</v>
      </c>
      <c r="AG480" s="376" t="s">
        <v>178</v>
      </c>
      <c r="AH480" s="381">
        <v>26.33</v>
      </c>
      <c r="AI480" s="379">
        <v>56840</v>
      </c>
      <c r="AJ480" s="376" t="s">
        <v>179</v>
      </c>
      <c r="AK480" s="376" t="s">
        <v>180</v>
      </c>
      <c r="AL480" s="376" t="s">
        <v>181</v>
      </c>
      <c r="AM480" s="376" t="s">
        <v>182</v>
      </c>
      <c r="AN480" s="376" t="s">
        <v>68</v>
      </c>
      <c r="AO480" s="379">
        <v>80</v>
      </c>
      <c r="AP480" s="385">
        <v>1</v>
      </c>
      <c r="AQ480" s="385">
        <v>0.7</v>
      </c>
      <c r="AR480" s="383" t="s">
        <v>183</v>
      </c>
      <c r="AS480" s="387">
        <f t="shared" si="335"/>
        <v>0.7</v>
      </c>
      <c r="AT480">
        <f t="shared" si="336"/>
        <v>1</v>
      </c>
      <c r="AU480" s="387">
        <f>IF(AT480=0,"",IF(AND(AT480=1,M480="F",SUMIF(C2:C1334,C480,AS2:AS1334)&lt;=1),SUMIF(C2:C1334,C480,AS2:AS1334),IF(AND(AT480=1,M480="F",SUMIF(C2:C1334,C480,AS2:AS1334)&gt;1),1,"")))</f>
        <v>1</v>
      </c>
      <c r="AV480" s="387" t="str">
        <f>IF(AT480=0,"",IF(AND(AT480=3,M480="F",SUMIF(C2:C1334,C480,AS2:AS1334)&lt;=1),SUMIF(C2:C1334,C480,AS2:AS1334),IF(AND(AT480=3,M480="F",SUMIF(C2:C1334,C480,AS2:AS1334)&gt;1),1,"")))</f>
        <v/>
      </c>
      <c r="AW480" s="387">
        <f>SUMIF(C2:C1334,C480,O2:O1334)</f>
        <v>12</v>
      </c>
      <c r="AX480" s="387">
        <f>IF(AND(M480="F",AS480&lt;&gt;0),SUMIF(C2:C1334,C480,W2:W1334),0)</f>
        <v>77916.800000000003</v>
      </c>
      <c r="AY480" s="387">
        <f t="shared" si="337"/>
        <v>27270.880000000001</v>
      </c>
      <c r="AZ480" s="387" t="str">
        <f t="shared" si="338"/>
        <v/>
      </c>
      <c r="BA480" s="387">
        <f t="shared" si="339"/>
        <v>0</v>
      </c>
      <c r="BB480" s="387">
        <f t="shared" si="308"/>
        <v>8154.9999999999991</v>
      </c>
      <c r="BC480" s="387">
        <f t="shared" si="309"/>
        <v>0</v>
      </c>
      <c r="BD480" s="387">
        <f t="shared" si="310"/>
        <v>1690.79456</v>
      </c>
      <c r="BE480" s="387">
        <f t="shared" si="311"/>
        <v>395.42776000000003</v>
      </c>
      <c r="BF480" s="387">
        <f t="shared" si="312"/>
        <v>3256.1430720000003</v>
      </c>
      <c r="BG480" s="387">
        <f t="shared" si="313"/>
        <v>196.6230448</v>
      </c>
      <c r="BH480" s="387">
        <f t="shared" si="314"/>
        <v>133.62731199999999</v>
      </c>
      <c r="BI480" s="387">
        <f t="shared" si="315"/>
        <v>150.94432080000001</v>
      </c>
      <c r="BJ480" s="387">
        <f t="shared" si="316"/>
        <v>73.631376000000003</v>
      </c>
      <c r="BK480" s="387">
        <f t="shared" si="317"/>
        <v>0</v>
      </c>
      <c r="BL480" s="387">
        <f t="shared" si="340"/>
        <v>5897.1914455999995</v>
      </c>
      <c r="BM480" s="387">
        <f t="shared" si="341"/>
        <v>0</v>
      </c>
      <c r="BN480" s="387">
        <f t="shared" si="318"/>
        <v>8154.9999999999991</v>
      </c>
      <c r="BO480" s="387">
        <f t="shared" si="319"/>
        <v>0</v>
      </c>
      <c r="BP480" s="387">
        <f t="shared" si="320"/>
        <v>1690.79456</v>
      </c>
      <c r="BQ480" s="387">
        <f t="shared" si="321"/>
        <v>395.42776000000003</v>
      </c>
      <c r="BR480" s="387">
        <f t="shared" si="322"/>
        <v>3256.1430720000003</v>
      </c>
      <c r="BS480" s="387">
        <f t="shared" si="323"/>
        <v>196.6230448</v>
      </c>
      <c r="BT480" s="387">
        <f t="shared" si="324"/>
        <v>0</v>
      </c>
      <c r="BU480" s="387">
        <f t="shared" si="325"/>
        <v>150.94432080000001</v>
      </c>
      <c r="BV480" s="387">
        <f t="shared" si="326"/>
        <v>92.720991999999995</v>
      </c>
      <c r="BW480" s="387">
        <f t="shared" si="327"/>
        <v>0</v>
      </c>
      <c r="BX480" s="387">
        <f t="shared" si="342"/>
        <v>5782.6537495999992</v>
      </c>
      <c r="BY480" s="387">
        <f t="shared" si="343"/>
        <v>0</v>
      </c>
      <c r="BZ480" s="387">
        <f t="shared" si="344"/>
        <v>0</v>
      </c>
      <c r="CA480" s="387">
        <f t="shared" si="345"/>
        <v>0</v>
      </c>
      <c r="CB480" s="387">
        <f t="shared" si="346"/>
        <v>0</v>
      </c>
      <c r="CC480" s="387">
        <f t="shared" si="328"/>
        <v>0</v>
      </c>
      <c r="CD480" s="387">
        <f t="shared" si="329"/>
        <v>0</v>
      </c>
      <c r="CE480" s="387">
        <f t="shared" si="330"/>
        <v>0</v>
      </c>
      <c r="CF480" s="387">
        <f t="shared" si="331"/>
        <v>-133.62731199999999</v>
      </c>
      <c r="CG480" s="387">
        <f t="shared" si="332"/>
        <v>0</v>
      </c>
      <c r="CH480" s="387">
        <f t="shared" si="333"/>
        <v>19.089615999999992</v>
      </c>
      <c r="CI480" s="387">
        <f t="shared" si="334"/>
        <v>0</v>
      </c>
      <c r="CJ480" s="387">
        <f t="shared" si="347"/>
        <v>-114.537696</v>
      </c>
      <c r="CK480" s="387" t="str">
        <f t="shared" si="348"/>
        <v/>
      </c>
      <c r="CL480" s="387" t="str">
        <f t="shared" si="349"/>
        <v/>
      </c>
      <c r="CM480" s="387" t="str">
        <f t="shared" si="350"/>
        <v/>
      </c>
      <c r="CN480" s="387" t="str">
        <f t="shared" si="351"/>
        <v>0348-31</v>
      </c>
    </row>
    <row r="481" spans="1:92" ht="15.75" thickBot="1" x14ac:dyDescent="0.3">
      <c r="A481" s="376" t="s">
        <v>161</v>
      </c>
      <c r="B481" s="376" t="s">
        <v>162</v>
      </c>
      <c r="C481" s="376" t="s">
        <v>1568</v>
      </c>
      <c r="D481" s="376" t="s">
        <v>792</v>
      </c>
      <c r="E481" s="376" t="s">
        <v>224</v>
      </c>
      <c r="F481" s="382" t="s">
        <v>225</v>
      </c>
      <c r="G481" s="376" t="s">
        <v>781</v>
      </c>
      <c r="H481" s="378"/>
      <c r="I481" s="378"/>
      <c r="J481" s="376" t="s">
        <v>215</v>
      </c>
      <c r="K481" s="376" t="s">
        <v>793</v>
      </c>
      <c r="L481" s="376" t="s">
        <v>170</v>
      </c>
      <c r="M481" s="376" t="s">
        <v>171</v>
      </c>
      <c r="N481" s="376" t="s">
        <v>172</v>
      </c>
      <c r="O481" s="379">
        <v>1</v>
      </c>
      <c r="P481" s="385">
        <v>0</v>
      </c>
      <c r="Q481" s="385">
        <v>0</v>
      </c>
      <c r="R481" s="380">
        <v>80</v>
      </c>
      <c r="S481" s="385">
        <v>0</v>
      </c>
      <c r="T481" s="380">
        <v>2118</v>
      </c>
      <c r="U481" s="380">
        <v>0</v>
      </c>
      <c r="V481" s="380">
        <v>932.93</v>
      </c>
      <c r="W481" s="380">
        <v>0</v>
      </c>
      <c r="X481" s="380">
        <v>0</v>
      </c>
      <c r="Y481" s="380">
        <v>0</v>
      </c>
      <c r="Z481" s="380">
        <v>0</v>
      </c>
      <c r="AA481" s="376" t="s">
        <v>1569</v>
      </c>
      <c r="AB481" s="376" t="s">
        <v>1570</v>
      </c>
      <c r="AC481" s="376" t="s">
        <v>1571</v>
      </c>
      <c r="AD481" s="376" t="s">
        <v>170</v>
      </c>
      <c r="AE481" s="376" t="s">
        <v>793</v>
      </c>
      <c r="AF481" s="376" t="s">
        <v>177</v>
      </c>
      <c r="AG481" s="376" t="s">
        <v>178</v>
      </c>
      <c r="AH481" s="381">
        <v>27.06</v>
      </c>
      <c r="AI481" s="381">
        <v>40712.9</v>
      </c>
      <c r="AJ481" s="376" t="s">
        <v>179</v>
      </c>
      <c r="AK481" s="376" t="s">
        <v>180</v>
      </c>
      <c r="AL481" s="376" t="s">
        <v>181</v>
      </c>
      <c r="AM481" s="376" t="s">
        <v>182</v>
      </c>
      <c r="AN481" s="376" t="s">
        <v>68</v>
      </c>
      <c r="AO481" s="379">
        <v>80</v>
      </c>
      <c r="AP481" s="385">
        <v>1</v>
      </c>
      <c r="AQ481" s="385">
        <v>0</v>
      </c>
      <c r="AR481" s="383" t="s">
        <v>183</v>
      </c>
      <c r="AS481" s="387">
        <f t="shared" si="335"/>
        <v>0</v>
      </c>
      <c r="AT481">
        <f t="shared" si="336"/>
        <v>0</v>
      </c>
      <c r="AU481" s="387" t="str">
        <f>IF(AT481=0,"",IF(AND(AT481=1,M481="F",SUMIF(C2:C1334,C481,AS2:AS1334)&lt;=1),SUMIF(C2:C1334,C481,AS2:AS1334),IF(AND(AT481=1,M481="F",SUMIF(C2:C1334,C481,AS2:AS1334)&gt;1),1,"")))</f>
        <v/>
      </c>
      <c r="AV481" s="387" t="str">
        <f>IF(AT481=0,"",IF(AND(AT481=3,M481="F",SUMIF(C2:C1334,C481,AS2:AS1334)&lt;=1),SUMIF(C2:C1334,C481,AS2:AS1334),IF(AND(AT481=3,M481="F",SUMIF(C2:C1334,C481,AS2:AS1334)&gt;1),1,"")))</f>
        <v/>
      </c>
      <c r="AW481" s="387">
        <f>SUMIF(C2:C1334,C481,O2:O1334)</f>
        <v>2</v>
      </c>
      <c r="AX481" s="387">
        <f>IF(AND(M481="F",AS481&lt;&gt;0),SUMIF(C2:C1334,C481,W2:W1334),0)</f>
        <v>0</v>
      </c>
      <c r="AY481" s="387" t="str">
        <f t="shared" si="337"/>
        <v/>
      </c>
      <c r="AZ481" s="387" t="str">
        <f t="shared" si="338"/>
        <v/>
      </c>
      <c r="BA481" s="387">
        <f t="shared" si="339"/>
        <v>0</v>
      </c>
      <c r="BB481" s="387">
        <f t="shared" si="308"/>
        <v>0</v>
      </c>
      <c r="BC481" s="387">
        <f t="shared" si="309"/>
        <v>0</v>
      </c>
      <c r="BD481" s="387">
        <f t="shared" si="310"/>
        <v>0</v>
      </c>
      <c r="BE481" s="387">
        <f t="shared" si="311"/>
        <v>0</v>
      </c>
      <c r="BF481" s="387">
        <f t="shared" si="312"/>
        <v>0</v>
      </c>
      <c r="BG481" s="387">
        <f t="shared" si="313"/>
        <v>0</v>
      </c>
      <c r="BH481" s="387">
        <f t="shared" si="314"/>
        <v>0</v>
      </c>
      <c r="BI481" s="387">
        <f t="shared" si="315"/>
        <v>0</v>
      </c>
      <c r="BJ481" s="387">
        <f t="shared" si="316"/>
        <v>0</v>
      </c>
      <c r="BK481" s="387">
        <f t="shared" si="317"/>
        <v>0</v>
      </c>
      <c r="BL481" s="387">
        <f t="shared" si="340"/>
        <v>0</v>
      </c>
      <c r="BM481" s="387">
        <f t="shared" si="341"/>
        <v>0</v>
      </c>
      <c r="BN481" s="387">
        <f t="shared" si="318"/>
        <v>0</v>
      </c>
      <c r="BO481" s="387">
        <f t="shared" si="319"/>
        <v>0</v>
      </c>
      <c r="BP481" s="387">
        <f t="shared" si="320"/>
        <v>0</v>
      </c>
      <c r="BQ481" s="387">
        <f t="shared" si="321"/>
        <v>0</v>
      </c>
      <c r="BR481" s="387">
        <f t="shared" si="322"/>
        <v>0</v>
      </c>
      <c r="BS481" s="387">
        <f t="shared" si="323"/>
        <v>0</v>
      </c>
      <c r="BT481" s="387">
        <f t="shared" si="324"/>
        <v>0</v>
      </c>
      <c r="BU481" s="387">
        <f t="shared" si="325"/>
        <v>0</v>
      </c>
      <c r="BV481" s="387">
        <f t="shared" si="326"/>
        <v>0</v>
      </c>
      <c r="BW481" s="387">
        <f t="shared" si="327"/>
        <v>0</v>
      </c>
      <c r="BX481" s="387">
        <f t="shared" si="342"/>
        <v>0</v>
      </c>
      <c r="BY481" s="387">
        <f t="shared" si="343"/>
        <v>0</v>
      </c>
      <c r="BZ481" s="387">
        <f t="shared" si="344"/>
        <v>0</v>
      </c>
      <c r="CA481" s="387">
        <f t="shared" si="345"/>
        <v>0</v>
      </c>
      <c r="CB481" s="387">
        <f t="shared" si="346"/>
        <v>0</v>
      </c>
      <c r="CC481" s="387">
        <f t="shared" si="328"/>
        <v>0</v>
      </c>
      <c r="CD481" s="387">
        <f t="shared" si="329"/>
        <v>0</v>
      </c>
      <c r="CE481" s="387">
        <f t="shared" si="330"/>
        <v>0</v>
      </c>
      <c r="CF481" s="387">
        <f t="shared" si="331"/>
        <v>0</v>
      </c>
      <c r="CG481" s="387">
        <f t="shared" si="332"/>
        <v>0</v>
      </c>
      <c r="CH481" s="387">
        <f t="shared" si="333"/>
        <v>0</v>
      </c>
      <c r="CI481" s="387">
        <f t="shared" si="334"/>
        <v>0</v>
      </c>
      <c r="CJ481" s="387">
        <f t="shared" si="347"/>
        <v>0</v>
      </c>
      <c r="CK481" s="387" t="str">
        <f t="shared" si="348"/>
        <v/>
      </c>
      <c r="CL481" s="387" t="str">
        <f t="shared" si="349"/>
        <v/>
      </c>
      <c r="CM481" s="387" t="str">
        <f t="shared" si="350"/>
        <v/>
      </c>
      <c r="CN481" s="387" t="str">
        <f t="shared" si="351"/>
        <v>0348-31</v>
      </c>
    </row>
    <row r="482" spans="1:92" ht="15.75" thickBot="1" x14ac:dyDescent="0.3">
      <c r="A482" s="376" t="s">
        <v>161</v>
      </c>
      <c r="B482" s="376" t="s">
        <v>162</v>
      </c>
      <c r="C482" s="376" t="s">
        <v>1572</v>
      </c>
      <c r="D482" s="376" t="s">
        <v>1573</v>
      </c>
      <c r="E482" s="376" t="s">
        <v>224</v>
      </c>
      <c r="F482" s="382" t="s">
        <v>225</v>
      </c>
      <c r="G482" s="376" t="s">
        <v>781</v>
      </c>
      <c r="H482" s="378"/>
      <c r="I482" s="378"/>
      <c r="J482" s="376" t="s">
        <v>215</v>
      </c>
      <c r="K482" s="376" t="s">
        <v>1574</v>
      </c>
      <c r="L482" s="376" t="s">
        <v>210</v>
      </c>
      <c r="M482" s="376" t="s">
        <v>171</v>
      </c>
      <c r="N482" s="376" t="s">
        <v>172</v>
      </c>
      <c r="O482" s="379">
        <v>1</v>
      </c>
      <c r="P482" s="385">
        <v>0</v>
      </c>
      <c r="Q482" s="385">
        <v>0</v>
      </c>
      <c r="R482" s="380">
        <v>80</v>
      </c>
      <c r="S482" s="385">
        <v>0</v>
      </c>
      <c r="T482" s="380">
        <v>66683.44</v>
      </c>
      <c r="U482" s="380">
        <v>0</v>
      </c>
      <c r="V482" s="380">
        <v>25636</v>
      </c>
      <c r="W482" s="380">
        <v>0</v>
      </c>
      <c r="X482" s="380">
        <v>0</v>
      </c>
      <c r="Y482" s="380">
        <v>0</v>
      </c>
      <c r="Z482" s="380">
        <v>0</v>
      </c>
      <c r="AA482" s="376" t="s">
        <v>1575</v>
      </c>
      <c r="AB482" s="376" t="s">
        <v>315</v>
      </c>
      <c r="AC482" s="376" t="s">
        <v>1576</v>
      </c>
      <c r="AD482" s="376" t="s">
        <v>296</v>
      </c>
      <c r="AE482" s="376" t="s">
        <v>1574</v>
      </c>
      <c r="AF482" s="376" t="s">
        <v>245</v>
      </c>
      <c r="AG482" s="376" t="s">
        <v>178</v>
      </c>
      <c r="AH482" s="381">
        <v>33.409999999999997</v>
      </c>
      <c r="AI482" s="381">
        <v>56506.7</v>
      </c>
      <c r="AJ482" s="376" t="s">
        <v>179</v>
      </c>
      <c r="AK482" s="376" t="s">
        <v>180</v>
      </c>
      <c r="AL482" s="376" t="s">
        <v>181</v>
      </c>
      <c r="AM482" s="376" t="s">
        <v>182</v>
      </c>
      <c r="AN482" s="376" t="s">
        <v>68</v>
      </c>
      <c r="AO482" s="379">
        <v>80</v>
      </c>
      <c r="AP482" s="385">
        <v>1</v>
      </c>
      <c r="AQ482" s="385">
        <v>0</v>
      </c>
      <c r="AR482" s="383" t="s">
        <v>183</v>
      </c>
      <c r="AS482" s="387">
        <f t="shared" si="335"/>
        <v>0</v>
      </c>
      <c r="AT482">
        <f t="shared" si="336"/>
        <v>0</v>
      </c>
      <c r="AU482" s="387" t="str">
        <f>IF(AT482=0,"",IF(AND(AT482=1,M482="F",SUMIF(C2:C1334,C482,AS2:AS1334)&lt;=1),SUMIF(C2:C1334,C482,AS2:AS1334),IF(AND(AT482=1,M482="F",SUMIF(C2:C1334,C482,AS2:AS1334)&gt;1),1,"")))</f>
        <v/>
      </c>
      <c r="AV482" s="387" t="str">
        <f>IF(AT482=0,"",IF(AND(AT482=3,M482="F",SUMIF(C2:C1334,C482,AS2:AS1334)&lt;=1),SUMIF(C2:C1334,C482,AS2:AS1334),IF(AND(AT482=3,M482="F",SUMIF(C2:C1334,C482,AS2:AS1334)&gt;1),1,"")))</f>
        <v/>
      </c>
      <c r="AW482" s="387">
        <f>SUMIF(C2:C1334,C482,O2:O1334)</f>
        <v>2</v>
      </c>
      <c r="AX482" s="387">
        <f>IF(AND(M482="F",AS482&lt;&gt;0),SUMIF(C2:C1334,C482,W2:W1334),0)</f>
        <v>0</v>
      </c>
      <c r="AY482" s="387" t="str">
        <f t="shared" si="337"/>
        <v/>
      </c>
      <c r="AZ482" s="387" t="str">
        <f t="shared" si="338"/>
        <v/>
      </c>
      <c r="BA482" s="387">
        <f t="shared" si="339"/>
        <v>0</v>
      </c>
      <c r="BB482" s="387">
        <f t="shared" si="308"/>
        <v>0</v>
      </c>
      <c r="BC482" s="387">
        <f t="shared" si="309"/>
        <v>0</v>
      </c>
      <c r="BD482" s="387">
        <f t="shared" si="310"/>
        <v>0</v>
      </c>
      <c r="BE482" s="387">
        <f t="shared" si="311"/>
        <v>0</v>
      </c>
      <c r="BF482" s="387">
        <f t="shared" si="312"/>
        <v>0</v>
      </c>
      <c r="BG482" s="387">
        <f t="shared" si="313"/>
        <v>0</v>
      </c>
      <c r="BH482" s="387">
        <f t="shared" si="314"/>
        <v>0</v>
      </c>
      <c r="BI482" s="387">
        <f t="shared" si="315"/>
        <v>0</v>
      </c>
      <c r="BJ482" s="387">
        <f t="shared" si="316"/>
        <v>0</v>
      </c>
      <c r="BK482" s="387">
        <f t="shared" si="317"/>
        <v>0</v>
      </c>
      <c r="BL482" s="387">
        <f t="shared" si="340"/>
        <v>0</v>
      </c>
      <c r="BM482" s="387">
        <f t="shared" si="341"/>
        <v>0</v>
      </c>
      <c r="BN482" s="387">
        <f t="shared" si="318"/>
        <v>0</v>
      </c>
      <c r="BO482" s="387">
        <f t="shared" si="319"/>
        <v>0</v>
      </c>
      <c r="BP482" s="387">
        <f t="shared" si="320"/>
        <v>0</v>
      </c>
      <c r="BQ482" s="387">
        <f t="shared" si="321"/>
        <v>0</v>
      </c>
      <c r="BR482" s="387">
        <f t="shared" si="322"/>
        <v>0</v>
      </c>
      <c r="BS482" s="387">
        <f t="shared" si="323"/>
        <v>0</v>
      </c>
      <c r="BT482" s="387">
        <f t="shared" si="324"/>
        <v>0</v>
      </c>
      <c r="BU482" s="387">
        <f t="shared" si="325"/>
        <v>0</v>
      </c>
      <c r="BV482" s="387">
        <f t="shared" si="326"/>
        <v>0</v>
      </c>
      <c r="BW482" s="387">
        <f t="shared" si="327"/>
        <v>0</v>
      </c>
      <c r="BX482" s="387">
        <f t="shared" si="342"/>
        <v>0</v>
      </c>
      <c r="BY482" s="387">
        <f t="shared" si="343"/>
        <v>0</v>
      </c>
      <c r="BZ482" s="387">
        <f t="shared" si="344"/>
        <v>0</v>
      </c>
      <c r="CA482" s="387">
        <f t="shared" si="345"/>
        <v>0</v>
      </c>
      <c r="CB482" s="387">
        <f t="shared" si="346"/>
        <v>0</v>
      </c>
      <c r="CC482" s="387">
        <f t="shared" si="328"/>
        <v>0</v>
      </c>
      <c r="CD482" s="387">
        <f t="shared" si="329"/>
        <v>0</v>
      </c>
      <c r="CE482" s="387">
        <f t="shared" si="330"/>
        <v>0</v>
      </c>
      <c r="CF482" s="387">
        <f t="shared" si="331"/>
        <v>0</v>
      </c>
      <c r="CG482" s="387">
        <f t="shared" si="332"/>
        <v>0</v>
      </c>
      <c r="CH482" s="387">
        <f t="shared" si="333"/>
        <v>0</v>
      </c>
      <c r="CI482" s="387">
        <f t="shared" si="334"/>
        <v>0</v>
      </c>
      <c r="CJ482" s="387">
        <f t="shared" si="347"/>
        <v>0</v>
      </c>
      <c r="CK482" s="387" t="str">
        <f t="shared" si="348"/>
        <v/>
      </c>
      <c r="CL482" s="387" t="str">
        <f t="shared" si="349"/>
        <v/>
      </c>
      <c r="CM482" s="387" t="str">
        <f t="shared" si="350"/>
        <v/>
      </c>
      <c r="CN482" s="387" t="str">
        <f t="shared" si="351"/>
        <v>0348-31</v>
      </c>
    </row>
    <row r="483" spans="1:92" ht="15.75" thickBot="1" x14ac:dyDescent="0.3">
      <c r="A483" s="376" t="s">
        <v>161</v>
      </c>
      <c r="B483" s="376" t="s">
        <v>162</v>
      </c>
      <c r="C483" s="376" t="s">
        <v>429</v>
      </c>
      <c r="D483" s="376" t="s">
        <v>430</v>
      </c>
      <c r="E483" s="376" t="s">
        <v>224</v>
      </c>
      <c r="F483" s="382" t="s">
        <v>225</v>
      </c>
      <c r="G483" s="376" t="s">
        <v>781</v>
      </c>
      <c r="H483" s="378"/>
      <c r="I483" s="378"/>
      <c r="J483" s="376" t="s">
        <v>239</v>
      </c>
      <c r="K483" s="376" t="s">
        <v>431</v>
      </c>
      <c r="L483" s="376" t="s">
        <v>432</v>
      </c>
      <c r="M483" s="376" t="s">
        <v>171</v>
      </c>
      <c r="N483" s="376" t="s">
        <v>172</v>
      </c>
      <c r="O483" s="379">
        <v>1</v>
      </c>
      <c r="P483" s="385">
        <v>0</v>
      </c>
      <c r="Q483" s="385">
        <v>0</v>
      </c>
      <c r="R483" s="380">
        <v>80</v>
      </c>
      <c r="S483" s="385">
        <v>0</v>
      </c>
      <c r="T483" s="380">
        <v>15852.04</v>
      </c>
      <c r="U483" s="380">
        <v>0</v>
      </c>
      <c r="V483" s="380">
        <v>4734.07</v>
      </c>
      <c r="W483" s="380">
        <v>0</v>
      </c>
      <c r="X483" s="380">
        <v>0</v>
      </c>
      <c r="Y483" s="380">
        <v>0</v>
      </c>
      <c r="Z483" s="380">
        <v>0</v>
      </c>
      <c r="AA483" s="376" t="s">
        <v>433</v>
      </c>
      <c r="AB483" s="376" t="s">
        <v>434</v>
      </c>
      <c r="AC483" s="376" t="s">
        <v>435</v>
      </c>
      <c r="AD483" s="376" t="s">
        <v>180</v>
      </c>
      <c r="AE483" s="376" t="s">
        <v>431</v>
      </c>
      <c r="AF483" s="376" t="s">
        <v>436</v>
      </c>
      <c r="AG483" s="376" t="s">
        <v>178</v>
      </c>
      <c r="AH483" s="381">
        <v>52.06</v>
      </c>
      <c r="AI483" s="379">
        <v>27150</v>
      </c>
      <c r="AJ483" s="376" t="s">
        <v>179</v>
      </c>
      <c r="AK483" s="376" t="s">
        <v>180</v>
      </c>
      <c r="AL483" s="376" t="s">
        <v>181</v>
      </c>
      <c r="AM483" s="376" t="s">
        <v>182</v>
      </c>
      <c r="AN483" s="376" t="s">
        <v>68</v>
      </c>
      <c r="AO483" s="379">
        <v>80</v>
      </c>
      <c r="AP483" s="385">
        <v>1</v>
      </c>
      <c r="AQ483" s="385">
        <v>0</v>
      </c>
      <c r="AR483" s="383" t="s">
        <v>183</v>
      </c>
      <c r="AS483" s="387">
        <f t="shared" si="335"/>
        <v>0</v>
      </c>
      <c r="AT483">
        <f t="shared" si="336"/>
        <v>0</v>
      </c>
      <c r="AU483" s="387" t="str">
        <f>IF(AT483=0,"",IF(AND(AT483=1,M483="F",SUMIF(C2:C1334,C483,AS2:AS1334)&lt;=1),SUMIF(C2:C1334,C483,AS2:AS1334),IF(AND(AT483=1,M483="F",SUMIF(C2:C1334,C483,AS2:AS1334)&gt;1),1,"")))</f>
        <v/>
      </c>
      <c r="AV483" s="387" t="str">
        <f>IF(AT483=0,"",IF(AND(AT483=3,M483="F",SUMIF(C2:C1334,C483,AS2:AS1334)&lt;=1),SUMIF(C2:C1334,C483,AS2:AS1334),IF(AND(AT483=3,M483="F",SUMIF(C2:C1334,C483,AS2:AS1334)&gt;1),1,"")))</f>
        <v/>
      </c>
      <c r="AW483" s="387">
        <f>SUMIF(C2:C1334,C483,O2:O1334)</f>
        <v>3</v>
      </c>
      <c r="AX483" s="387">
        <f>IF(AND(M483="F",AS483&lt;&gt;0),SUMIF(C2:C1334,C483,W2:W1334),0)</f>
        <v>0</v>
      </c>
      <c r="AY483" s="387" t="str">
        <f t="shared" si="337"/>
        <v/>
      </c>
      <c r="AZ483" s="387" t="str">
        <f t="shared" si="338"/>
        <v/>
      </c>
      <c r="BA483" s="387">
        <f t="shared" si="339"/>
        <v>0</v>
      </c>
      <c r="BB483" s="387">
        <f t="shared" si="308"/>
        <v>0</v>
      </c>
      <c r="BC483" s="387">
        <f t="shared" si="309"/>
        <v>0</v>
      </c>
      <c r="BD483" s="387">
        <f t="shared" si="310"/>
        <v>0</v>
      </c>
      <c r="BE483" s="387">
        <f t="shared" si="311"/>
        <v>0</v>
      </c>
      <c r="BF483" s="387">
        <f t="shared" si="312"/>
        <v>0</v>
      </c>
      <c r="BG483" s="387">
        <f t="shared" si="313"/>
        <v>0</v>
      </c>
      <c r="BH483" s="387">
        <f t="shared" si="314"/>
        <v>0</v>
      </c>
      <c r="BI483" s="387">
        <f t="shared" si="315"/>
        <v>0</v>
      </c>
      <c r="BJ483" s="387">
        <f t="shared" si="316"/>
        <v>0</v>
      </c>
      <c r="BK483" s="387">
        <f t="shared" si="317"/>
        <v>0</v>
      </c>
      <c r="BL483" s="387">
        <f t="shared" si="340"/>
        <v>0</v>
      </c>
      <c r="BM483" s="387">
        <f t="shared" si="341"/>
        <v>0</v>
      </c>
      <c r="BN483" s="387">
        <f t="shared" si="318"/>
        <v>0</v>
      </c>
      <c r="BO483" s="387">
        <f t="shared" si="319"/>
        <v>0</v>
      </c>
      <c r="BP483" s="387">
        <f t="shared" si="320"/>
        <v>0</v>
      </c>
      <c r="BQ483" s="387">
        <f t="shared" si="321"/>
        <v>0</v>
      </c>
      <c r="BR483" s="387">
        <f t="shared" si="322"/>
        <v>0</v>
      </c>
      <c r="BS483" s="387">
        <f t="shared" si="323"/>
        <v>0</v>
      </c>
      <c r="BT483" s="387">
        <f t="shared" si="324"/>
        <v>0</v>
      </c>
      <c r="BU483" s="387">
        <f t="shared" si="325"/>
        <v>0</v>
      </c>
      <c r="BV483" s="387">
        <f t="shared" si="326"/>
        <v>0</v>
      </c>
      <c r="BW483" s="387">
        <f t="shared" si="327"/>
        <v>0</v>
      </c>
      <c r="BX483" s="387">
        <f t="shared" si="342"/>
        <v>0</v>
      </c>
      <c r="BY483" s="387">
        <f t="shared" si="343"/>
        <v>0</v>
      </c>
      <c r="BZ483" s="387">
        <f t="shared" si="344"/>
        <v>0</v>
      </c>
      <c r="CA483" s="387">
        <f t="shared" si="345"/>
        <v>0</v>
      </c>
      <c r="CB483" s="387">
        <f t="shared" si="346"/>
        <v>0</v>
      </c>
      <c r="CC483" s="387">
        <f t="shared" si="328"/>
        <v>0</v>
      </c>
      <c r="CD483" s="387">
        <f t="shared" si="329"/>
        <v>0</v>
      </c>
      <c r="CE483" s="387">
        <f t="shared" si="330"/>
        <v>0</v>
      </c>
      <c r="CF483" s="387">
        <f t="shared" si="331"/>
        <v>0</v>
      </c>
      <c r="CG483" s="387">
        <f t="shared" si="332"/>
        <v>0</v>
      </c>
      <c r="CH483" s="387">
        <f t="shared" si="333"/>
        <v>0</v>
      </c>
      <c r="CI483" s="387">
        <f t="shared" si="334"/>
        <v>0</v>
      </c>
      <c r="CJ483" s="387">
        <f t="shared" si="347"/>
        <v>0</v>
      </c>
      <c r="CK483" s="387" t="str">
        <f t="shared" si="348"/>
        <v/>
      </c>
      <c r="CL483" s="387" t="str">
        <f t="shared" si="349"/>
        <v/>
      </c>
      <c r="CM483" s="387" t="str">
        <f t="shared" si="350"/>
        <v/>
      </c>
      <c r="CN483" s="387" t="str">
        <f t="shared" si="351"/>
        <v>0348-31</v>
      </c>
    </row>
    <row r="484" spans="1:92" ht="15.75" thickBot="1" x14ac:dyDescent="0.3">
      <c r="A484" s="376" t="s">
        <v>161</v>
      </c>
      <c r="B484" s="376" t="s">
        <v>162</v>
      </c>
      <c r="C484" s="376" t="s">
        <v>348</v>
      </c>
      <c r="D484" s="376" t="s">
        <v>349</v>
      </c>
      <c r="E484" s="376" t="s">
        <v>224</v>
      </c>
      <c r="F484" s="382" t="s">
        <v>225</v>
      </c>
      <c r="G484" s="376" t="s">
        <v>781</v>
      </c>
      <c r="H484" s="378"/>
      <c r="I484" s="378"/>
      <c r="J484" s="376" t="s">
        <v>239</v>
      </c>
      <c r="K484" s="376" t="s">
        <v>350</v>
      </c>
      <c r="L484" s="376" t="s">
        <v>351</v>
      </c>
      <c r="M484" s="376" t="s">
        <v>171</v>
      </c>
      <c r="N484" s="376" t="s">
        <v>172</v>
      </c>
      <c r="O484" s="379">
        <v>1</v>
      </c>
      <c r="P484" s="385">
        <v>0</v>
      </c>
      <c r="Q484" s="385">
        <v>0</v>
      </c>
      <c r="R484" s="380">
        <v>80</v>
      </c>
      <c r="S484" s="385">
        <v>0</v>
      </c>
      <c r="T484" s="380">
        <v>28728.89</v>
      </c>
      <c r="U484" s="380">
        <v>0</v>
      </c>
      <c r="V484" s="380">
        <v>9690.14</v>
      </c>
      <c r="W484" s="380">
        <v>0</v>
      </c>
      <c r="X484" s="380">
        <v>0</v>
      </c>
      <c r="Y484" s="380">
        <v>0</v>
      </c>
      <c r="Z484" s="380">
        <v>0</v>
      </c>
      <c r="AA484" s="376" t="s">
        <v>352</v>
      </c>
      <c r="AB484" s="376" t="s">
        <v>353</v>
      </c>
      <c r="AC484" s="376" t="s">
        <v>354</v>
      </c>
      <c r="AD484" s="376" t="s">
        <v>351</v>
      </c>
      <c r="AE484" s="376" t="s">
        <v>350</v>
      </c>
      <c r="AF484" s="376" t="s">
        <v>355</v>
      </c>
      <c r="AG484" s="376" t="s">
        <v>178</v>
      </c>
      <c r="AH484" s="381">
        <v>44.73</v>
      </c>
      <c r="AI484" s="379">
        <v>49048</v>
      </c>
      <c r="AJ484" s="376" t="s">
        <v>179</v>
      </c>
      <c r="AK484" s="376" t="s">
        <v>180</v>
      </c>
      <c r="AL484" s="376" t="s">
        <v>181</v>
      </c>
      <c r="AM484" s="376" t="s">
        <v>182</v>
      </c>
      <c r="AN484" s="376" t="s">
        <v>68</v>
      </c>
      <c r="AO484" s="379">
        <v>80</v>
      </c>
      <c r="AP484" s="385">
        <v>1</v>
      </c>
      <c r="AQ484" s="385">
        <v>0</v>
      </c>
      <c r="AR484" s="383" t="s">
        <v>183</v>
      </c>
      <c r="AS484" s="387">
        <f t="shared" si="335"/>
        <v>0</v>
      </c>
      <c r="AT484">
        <f t="shared" si="336"/>
        <v>0</v>
      </c>
      <c r="AU484" s="387" t="str">
        <f>IF(AT484=0,"",IF(AND(AT484=1,M484="F",SUMIF(C2:C1334,C484,AS2:AS1334)&lt;=1),SUMIF(C2:C1334,C484,AS2:AS1334),IF(AND(AT484=1,M484="F",SUMIF(C2:C1334,C484,AS2:AS1334)&gt;1),1,"")))</f>
        <v/>
      </c>
      <c r="AV484" s="387" t="str">
        <f>IF(AT484=0,"",IF(AND(AT484=3,M484="F",SUMIF(C2:C1334,C484,AS2:AS1334)&lt;=1),SUMIF(C2:C1334,C484,AS2:AS1334),IF(AND(AT484=3,M484="F",SUMIF(C2:C1334,C484,AS2:AS1334)&gt;1),1,"")))</f>
        <v/>
      </c>
      <c r="AW484" s="387">
        <f>SUMIF(C2:C1334,C484,O2:O1334)</f>
        <v>4</v>
      </c>
      <c r="AX484" s="387">
        <f>IF(AND(M484="F",AS484&lt;&gt;0),SUMIF(C2:C1334,C484,W2:W1334),0)</f>
        <v>0</v>
      </c>
      <c r="AY484" s="387" t="str">
        <f t="shared" si="337"/>
        <v/>
      </c>
      <c r="AZ484" s="387" t="str">
        <f t="shared" si="338"/>
        <v/>
      </c>
      <c r="BA484" s="387">
        <f t="shared" si="339"/>
        <v>0</v>
      </c>
      <c r="BB484" s="387">
        <f t="shared" si="308"/>
        <v>0</v>
      </c>
      <c r="BC484" s="387">
        <f t="shared" si="309"/>
        <v>0</v>
      </c>
      <c r="BD484" s="387">
        <f t="shared" si="310"/>
        <v>0</v>
      </c>
      <c r="BE484" s="387">
        <f t="shared" si="311"/>
        <v>0</v>
      </c>
      <c r="BF484" s="387">
        <f t="shared" si="312"/>
        <v>0</v>
      </c>
      <c r="BG484" s="387">
        <f t="shared" si="313"/>
        <v>0</v>
      </c>
      <c r="BH484" s="387">
        <f t="shared" si="314"/>
        <v>0</v>
      </c>
      <c r="BI484" s="387">
        <f t="shared" si="315"/>
        <v>0</v>
      </c>
      <c r="BJ484" s="387">
        <f t="shared" si="316"/>
        <v>0</v>
      </c>
      <c r="BK484" s="387">
        <f t="shared" si="317"/>
        <v>0</v>
      </c>
      <c r="BL484" s="387">
        <f t="shared" si="340"/>
        <v>0</v>
      </c>
      <c r="BM484" s="387">
        <f t="shared" si="341"/>
        <v>0</v>
      </c>
      <c r="BN484" s="387">
        <f t="shared" si="318"/>
        <v>0</v>
      </c>
      <c r="BO484" s="387">
        <f t="shared" si="319"/>
        <v>0</v>
      </c>
      <c r="BP484" s="387">
        <f t="shared" si="320"/>
        <v>0</v>
      </c>
      <c r="BQ484" s="387">
        <f t="shared" si="321"/>
        <v>0</v>
      </c>
      <c r="BR484" s="387">
        <f t="shared" si="322"/>
        <v>0</v>
      </c>
      <c r="BS484" s="387">
        <f t="shared" si="323"/>
        <v>0</v>
      </c>
      <c r="BT484" s="387">
        <f t="shared" si="324"/>
        <v>0</v>
      </c>
      <c r="BU484" s="387">
        <f t="shared" si="325"/>
        <v>0</v>
      </c>
      <c r="BV484" s="387">
        <f t="shared" si="326"/>
        <v>0</v>
      </c>
      <c r="BW484" s="387">
        <f t="shared" si="327"/>
        <v>0</v>
      </c>
      <c r="BX484" s="387">
        <f t="shared" si="342"/>
        <v>0</v>
      </c>
      <c r="BY484" s="387">
        <f t="shared" si="343"/>
        <v>0</v>
      </c>
      <c r="BZ484" s="387">
        <f t="shared" si="344"/>
        <v>0</v>
      </c>
      <c r="CA484" s="387">
        <f t="shared" si="345"/>
        <v>0</v>
      </c>
      <c r="CB484" s="387">
        <f t="shared" si="346"/>
        <v>0</v>
      </c>
      <c r="CC484" s="387">
        <f t="shared" si="328"/>
        <v>0</v>
      </c>
      <c r="CD484" s="387">
        <f t="shared" si="329"/>
        <v>0</v>
      </c>
      <c r="CE484" s="387">
        <f t="shared" si="330"/>
        <v>0</v>
      </c>
      <c r="CF484" s="387">
        <f t="shared" si="331"/>
        <v>0</v>
      </c>
      <c r="CG484" s="387">
        <f t="shared" si="332"/>
        <v>0</v>
      </c>
      <c r="CH484" s="387">
        <f t="shared" si="333"/>
        <v>0</v>
      </c>
      <c r="CI484" s="387">
        <f t="shared" si="334"/>
        <v>0</v>
      </c>
      <c r="CJ484" s="387">
        <f t="shared" si="347"/>
        <v>0</v>
      </c>
      <c r="CK484" s="387" t="str">
        <f t="shared" si="348"/>
        <v/>
      </c>
      <c r="CL484" s="387" t="str">
        <f t="shared" si="349"/>
        <v/>
      </c>
      <c r="CM484" s="387" t="str">
        <f t="shared" si="350"/>
        <v/>
      </c>
      <c r="CN484" s="387" t="str">
        <f t="shared" si="351"/>
        <v>0348-31</v>
      </c>
    </row>
    <row r="485" spans="1:92" ht="15.75" thickBot="1" x14ac:dyDescent="0.3">
      <c r="A485" s="376" t="s">
        <v>161</v>
      </c>
      <c r="B485" s="376" t="s">
        <v>162</v>
      </c>
      <c r="C485" s="376" t="s">
        <v>1577</v>
      </c>
      <c r="D485" s="376" t="s">
        <v>868</v>
      </c>
      <c r="E485" s="376" t="s">
        <v>224</v>
      </c>
      <c r="F485" s="382" t="s">
        <v>225</v>
      </c>
      <c r="G485" s="376" t="s">
        <v>781</v>
      </c>
      <c r="H485" s="378"/>
      <c r="I485" s="378"/>
      <c r="J485" s="376" t="s">
        <v>215</v>
      </c>
      <c r="K485" s="376" t="s">
        <v>869</v>
      </c>
      <c r="L485" s="376" t="s">
        <v>296</v>
      </c>
      <c r="M485" s="376" t="s">
        <v>171</v>
      </c>
      <c r="N485" s="376" t="s">
        <v>172</v>
      </c>
      <c r="O485" s="379">
        <v>1</v>
      </c>
      <c r="P485" s="385">
        <v>0</v>
      </c>
      <c r="Q485" s="385">
        <v>0</v>
      </c>
      <c r="R485" s="380">
        <v>80</v>
      </c>
      <c r="S485" s="385">
        <v>0</v>
      </c>
      <c r="T485" s="380">
        <v>56762.400000000001</v>
      </c>
      <c r="U485" s="380">
        <v>8526.35</v>
      </c>
      <c r="V485" s="380">
        <v>25244.74</v>
      </c>
      <c r="W485" s="380">
        <v>0</v>
      </c>
      <c r="X485" s="380">
        <v>0</v>
      </c>
      <c r="Y485" s="380">
        <v>0</v>
      </c>
      <c r="Z485" s="380">
        <v>0</v>
      </c>
      <c r="AA485" s="376" t="s">
        <v>1578</v>
      </c>
      <c r="AB485" s="376" t="s">
        <v>1579</v>
      </c>
      <c r="AC485" s="376" t="s">
        <v>1580</v>
      </c>
      <c r="AD485" s="376" t="s">
        <v>1581</v>
      </c>
      <c r="AE485" s="376" t="s">
        <v>869</v>
      </c>
      <c r="AF485" s="376" t="s">
        <v>301</v>
      </c>
      <c r="AG485" s="376" t="s">
        <v>178</v>
      </c>
      <c r="AH485" s="381">
        <v>28.13</v>
      </c>
      <c r="AI485" s="381">
        <v>33284.1</v>
      </c>
      <c r="AJ485" s="376" t="s">
        <v>179</v>
      </c>
      <c r="AK485" s="376" t="s">
        <v>180</v>
      </c>
      <c r="AL485" s="376" t="s">
        <v>181</v>
      </c>
      <c r="AM485" s="376" t="s">
        <v>182</v>
      </c>
      <c r="AN485" s="376" t="s">
        <v>68</v>
      </c>
      <c r="AO485" s="379">
        <v>80</v>
      </c>
      <c r="AP485" s="385">
        <v>1</v>
      </c>
      <c r="AQ485" s="385">
        <v>0</v>
      </c>
      <c r="AR485" s="383" t="s">
        <v>183</v>
      </c>
      <c r="AS485" s="387">
        <f t="shared" si="335"/>
        <v>0</v>
      </c>
      <c r="AT485">
        <f t="shared" si="336"/>
        <v>0</v>
      </c>
      <c r="AU485" s="387" t="str">
        <f>IF(AT485=0,"",IF(AND(AT485=1,M485="F",SUMIF(C2:C1334,C485,AS2:AS1334)&lt;=1),SUMIF(C2:C1334,C485,AS2:AS1334),IF(AND(AT485=1,M485="F",SUMIF(C2:C1334,C485,AS2:AS1334)&gt;1),1,"")))</f>
        <v/>
      </c>
      <c r="AV485" s="387" t="str">
        <f>IF(AT485=0,"",IF(AND(AT485=3,M485="F",SUMIF(C2:C1334,C485,AS2:AS1334)&lt;=1),SUMIF(C2:C1334,C485,AS2:AS1334),IF(AND(AT485=3,M485="F",SUMIF(C2:C1334,C485,AS2:AS1334)&gt;1),1,"")))</f>
        <v/>
      </c>
      <c r="AW485" s="387">
        <f>SUMIF(C2:C1334,C485,O2:O1334)</f>
        <v>2</v>
      </c>
      <c r="AX485" s="387">
        <f>IF(AND(M485="F",AS485&lt;&gt;0),SUMIF(C2:C1334,C485,W2:W1334),0)</f>
        <v>0</v>
      </c>
      <c r="AY485" s="387" t="str">
        <f t="shared" si="337"/>
        <v/>
      </c>
      <c r="AZ485" s="387" t="str">
        <f t="shared" si="338"/>
        <v/>
      </c>
      <c r="BA485" s="387">
        <f t="shared" si="339"/>
        <v>0</v>
      </c>
      <c r="BB485" s="387">
        <f t="shared" si="308"/>
        <v>0</v>
      </c>
      <c r="BC485" s="387">
        <f t="shared" si="309"/>
        <v>0</v>
      </c>
      <c r="BD485" s="387">
        <f t="shared" si="310"/>
        <v>0</v>
      </c>
      <c r="BE485" s="387">
        <f t="shared" si="311"/>
        <v>0</v>
      </c>
      <c r="BF485" s="387">
        <f t="shared" si="312"/>
        <v>0</v>
      </c>
      <c r="BG485" s="387">
        <f t="shared" si="313"/>
        <v>0</v>
      </c>
      <c r="BH485" s="387">
        <f t="shared" si="314"/>
        <v>0</v>
      </c>
      <c r="BI485" s="387">
        <f t="shared" si="315"/>
        <v>0</v>
      </c>
      <c r="BJ485" s="387">
        <f t="shared" si="316"/>
        <v>0</v>
      </c>
      <c r="BK485" s="387">
        <f t="shared" si="317"/>
        <v>0</v>
      </c>
      <c r="BL485" s="387">
        <f t="shared" si="340"/>
        <v>0</v>
      </c>
      <c r="BM485" s="387">
        <f t="shared" si="341"/>
        <v>0</v>
      </c>
      <c r="BN485" s="387">
        <f t="shared" si="318"/>
        <v>0</v>
      </c>
      <c r="BO485" s="387">
        <f t="shared" si="319"/>
        <v>0</v>
      </c>
      <c r="BP485" s="387">
        <f t="shared" si="320"/>
        <v>0</v>
      </c>
      <c r="BQ485" s="387">
        <f t="shared" si="321"/>
        <v>0</v>
      </c>
      <c r="BR485" s="387">
        <f t="shared" si="322"/>
        <v>0</v>
      </c>
      <c r="BS485" s="387">
        <f t="shared" si="323"/>
        <v>0</v>
      </c>
      <c r="BT485" s="387">
        <f t="shared" si="324"/>
        <v>0</v>
      </c>
      <c r="BU485" s="387">
        <f t="shared" si="325"/>
        <v>0</v>
      </c>
      <c r="BV485" s="387">
        <f t="shared" si="326"/>
        <v>0</v>
      </c>
      <c r="BW485" s="387">
        <f t="shared" si="327"/>
        <v>0</v>
      </c>
      <c r="BX485" s="387">
        <f t="shared" si="342"/>
        <v>0</v>
      </c>
      <c r="BY485" s="387">
        <f t="shared" si="343"/>
        <v>0</v>
      </c>
      <c r="BZ485" s="387">
        <f t="shared" si="344"/>
        <v>0</v>
      </c>
      <c r="CA485" s="387">
        <f t="shared" si="345"/>
        <v>0</v>
      </c>
      <c r="CB485" s="387">
        <f t="shared" si="346"/>
        <v>0</v>
      </c>
      <c r="CC485" s="387">
        <f t="shared" si="328"/>
        <v>0</v>
      </c>
      <c r="CD485" s="387">
        <f t="shared" si="329"/>
        <v>0</v>
      </c>
      <c r="CE485" s="387">
        <f t="shared" si="330"/>
        <v>0</v>
      </c>
      <c r="CF485" s="387">
        <f t="shared" si="331"/>
        <v>0</v>
      </c>
      <c r="CG485" s="387">
        <f t="shared" si="332"/>
        <v>0</v>
      </c>
      <c r="CH485" s="387">
        <f t="shared" si="333"/>
        <v>0</v>
      </c>
      <c r="CI485" s="387">
        <f t="shared" si="334"/>
        <v>0</v>
      </c>
      <c r="CJ485" s="387">
        <f t="shared" si="347"/>
        <v>0</v>
      </c>
      <c r="CK485" s="387" t="str">
        <f t="shared" si="348"/>
        <v/>
      </c>
      <c r="CL485" s="387" t="str">
        <f t="shared" si="349"/>
        <v/>
      </c>
      <c r="CM485" s="387" t="str">
        <f t="shared" si="350"/>
        <v/>
      </c>
      <c r="CN485" s="387" t="str">
        <f t="shared" si="351"/>
        <v>0348-31</v>
      </c>
    </row>
    <row r="486" spans="1:92" ht="15.75" thickBot="1" x14ac:dyDescent="0.3">
      <c r="A486" s="376" t="s">
        <v>161</v>
      </c>
      <c r="B486" s="376" t="s">
        <v>162</v>
      </c>
      <c r="C486" s="376" t="s">
        <v>1582</v>
      </c>
      <c r="D486" s="376" t="s">
        <v>1583</v>
      </c>
      <c r="E486" s="376" t="s">
        <v>224</v>
      </c>
      <c r="F486" s="382" t="s">
        <v>225</v>
      </c>
      <c r="G486" s="376" t="s">
        <v>781</v>
      </c>
      <c r="H486" s="378"/>
      <c r="I486" s="378"/>
      <c r="J486" s="376" t="s">
        <v>215</v>
      </c>
      <c r="K486" s="376" t="s">
        <v>1584</v>
      </c>
      <c r="L486" s="376" t="s">
        <v>171</v>
      </c>
      <c r="M486" s="376" t="s">
        <v>171</v>
      </c>
      <c r="N486" s="376" t="s">
        <v>877</v>
      </c>
      <c r="O486" s="379">
        <v>1</v>
      </c>
      <c r="P486" s="385">
        <v>1</v>
      </c>
      <c r="Q486" s="385">
        <v>1</v>
      </c>
      <c r="R486" s="380">
        <v>80</v>
      </c>
      <c r="S486" s="385">
        <v>1</v>
      </c>
      <c r="T486" s="380">
        <v>29295</v>
      </c>
      <c r="U486" s="380">
        <v>1534.5</v>
      </c>
      <c r="V486" s="380">
        <v>19539.32</v>
      </c>
      <c r="W486" s="380">
        <v>32448</v>
      </c>
      <c r="X486" s="380">
        <v>18666.849999999999</v>
      </c>
      <c r="Y486" s="380">
        <v>32448</v>
      </c>
      <c r="Z486" s="380">
        <v>18530.580000000002</v>
      </c>
      <c r="AA486" s="376" t="s">
        <v>1585</v>
      </c>
      <c r="AB486" s="376" t="s">
        <v>1586</v>
      </c>
      <c r="AC486" s="376" t="s">
        <v>458</v>
      </c>
      <c r="AD486" s="376" t="s">
        <v>1587</v>
      </c>
      <c r="AE486" s="376" t="s">
        <v>1584</v>
      </c>
      <c r="AF486" s="376" t="s">
        <v>1588</v>
      </c>
      <c r="AG486" s="376" t="s">
        <v>178</v>
      </c>
      <c r="AH486" s="381">
        <v>15.6</v>
      </c>
      <c r="AI486" s="379">
        <v>3888</v>
      </c>
      <c r="AJ486" s="376" t="s">
        <v>179</v>
      </c>
      <c r="AK486" s="376" t="s">
        <v>180</v>
      </c>
      <c r="AL486" s="376" t="s">
        <v>181</v>
      </c>
      <c r="AM486" s="376" t="s">
        <v>182</v>
      </c>
      <c r="AN486" s="376" t="s">
        <v>68</v>
      </c>
      <c r="AO486" s="379">
        <v>80</v>
      </c>
      <c r="AP486" s="385">
        <v>1</v>
      </c>
      <c r="AQ486" s="385">
        <v>1</v>
      </c>
      <c r="AR486" s="383" t="s">
        <v>183</v>
      </c>
      <c r="AS486" s="387">
        <f t="shared" si="335"/>
        <v>1</v>
      </c>
      <c r="AT486">
        <f t="shared" si="336"/>
        <v>1</v>
      </c>
      <c r="AU486" s="387">
        <f>IF(AT486=0,"",IF(AND(AT486=1,M486="F",SUMIF(C2:C1334,C486,AS2:AS1334)&lt;=1),SUMIF(C2:C1334,C486,AS2:AS1334),IF(AND(AT486=1,M486="F",SUMIF(C2:C1334,C486,AS2:AS1334)&gt;1),1,"")))</f>
        <v>1</v>
      </c>
      <c r="AV486" s="387" t="str">
        <f>IF(AT486=0,"",IF(AND(AT486=3,M486="F",SUMIF(C2:C1334,C486,AS2:AS1334)&lt;=1),SUMIF(C2:C1334,C486,AS2:AS1334),IF(AND(AT486=3,M486="F",SUMIF(C2:C1334,C486,AS2:AS1334)&gt;1),1,"")))</f>
        <v/>
      </c>
      <c r="AW486" s="387">
        <f>SUMIF(C2:C1334,C486,O2:O1334)</f>
        <v>1</v>
      </c>
      <c r="AX486" s="387">
        <f>IF(AND(M486="F",AS486&lt;&gt;0),SUMIF(C2:C1334,C486,W2:W1334),0)</f>
        <v>32448</v>
      </c>
      <c r="AY486" s="387">
        <f t="shared" si="337"/>
        <v>32448</v>
      </c>
      <c r="AZ486" s="387" t="str">
        <f t="shared" si="338"/>
        <v/>
      </c>
      <c r="BA486" s="387">
        <f t="shared" si="339"/>
        <v>0</v>
      </c>
      <c r="BB486" s="387">
        <f t="shared" si="308"/>
        <v>11650</v>
      </c>
      <c r="BC486" s="387">
        <f t="shared" si="309"/>
        <v>0</v>
      </c>
      <c r="BD486" s="387">
        <f t="shared" si="310"/>
        <v>2011.7760000000001</v>
      </c>
      <c r="BE486" s="387">
        <f t="shared" si="311"/>
        <v>470.49600000000004</v>
      </c>
      <c r="BF486" s="387">
        <f t="shared" si="312"/>
        <v>3874.2912000000001</v>
      </c>
      <c r="BG486" s="387">
        <f t="shared" si="313"/>
        <v>233.95008000000001</v>
      </c>
      <c r="BH486" s="387">
        <f t="shared" si="314"/>
        <v>158.99519999999998</v>
      </c>
      <c r="BI486" s="387">
        <f t="shared" si="315"/>
        <v>179.59968000000001</v>
      </c>
      <c r="BJ486" s="387">
        <f t="shared" si="316"/>
        <v>87.6096</v>
      </c>
      <c r="BK486" s="387">
        <f t="shared" si="317"/>
        <v>0</v>
      </c>
      <c r="BL486" s="387">
        <f t="shared" si="340"/>
        <v>7016.7177600000005</v>
      </c>
      <c r="BM486" s="387">
        <f t="shared" si="341"/>
        <v>0</v>
      </c>
      <c r="BN486" s="387">
        <f t="shared" si="318"/>
        <v>11650</v>
      </c>
      <c r="BO486" s="387">
        <f t="shared" si="319"/>
        <v>0</v>
      </c>
      <c r="BP486" s="387">
        <f t="shared" si="320"/>
        <v>2011.7760000000001</v>
      </c>
      <c r="BQ486" s="387">
        <f t="shared" si="321"/>
        <v>470.49600000000004</v>
      </c>
      <c r="BR486" s="387">
        <f t="shared" si="322"/>
        <v>3874.2912000000001</v>
      </c>
      <c r="BS486" s="387">
        <f t="shared" si="323"/>
        <v>233.95008000000001</v>
      </c>
      <c r="BT486" s="387">
        <f t="shared" si="324"/>
        <v>0</v>
      </c>
      <c r="BU486" s="387">
        <f t="shared" si="325"/>
        <v>179.59968000000001</v>
      </c>
      <c r="BV486" s="387">
        <f t="shared" si="326"/>
        <v>110.3232</v>
      </c>
      <c r="BW486" s="387">
        <f t="shared" si="327"/>
        <v>0</v>
      </c>
      <c r="BX486" s="387">
        <f t="shared" si="342"/>
        <v>6880.4361600000002</v>
      </c>
      <c r="BY486" s="387">
        <f t="shared" si="343"/>
        <v>0</v>
      </c>
      <c r="BZ486" s="387">
        <f t="shared" si="344"/>
        <v>0</v>
      </c>
      <c r="CA486" s="387">
        <f t="shared" si="345"/>
        <v>0</v>
      </c>
      <c r="CB486" s="387">
        <f t="shared" si="346"/>
        <v>0</v>
      </c>
      <c r="CC486" s="387">
        <f t="shared" si="328"/>
        <v>0</v>
      </c>
      <c r="CD486" s="387">
        <f t="shared" si="329"/>
        <v>0</v>
      </c>
      <c r="CE486" s="387">
        <f t="shared" si="330"/>
        <v>0</v>
      </c>
      <c r="CF486" s="387">
        <f t="shared" si="331"/>
        <v>-158.99519999999998</v>
      </c>
      <c r="CG486" s="387">
        <f t="shared" si="332"/>
        <v>0</v>
      </c>
      <c r="CH486" s="387">
        <f t="shared" si="333"/>
        <v>22.713599999999989</v>
      </c>
      <c r="CI486" s="387">
        <f t="shared" si="334"/>
        <v>0</v>
      </c>
      <c r="CJ486" s="387">
        <f t="shared" si="347"/>
        <v>-136.2816</v>
      </c>
      <c r="CK486" s="387" t="str">
        <f t="shared" si="348"/>
        <v/>
      </c>
      <c r="CL486" s="387" t="str">
        <f t="shared" si="349"/>
        <v/>
      </c>
      <c r="CM486" s="387" t="str">
        <f t="shared" si="350"/>
        <v/>
      </c>
      <c r="CN486" s="387" t="str">
        <f t="shared" si="351"/>
        <v>0348-31</v>
      </c>
    </row>
    <row r="487" spans="1:92" ht="15.75" thickBot="1" x14ac:dyDescent="0.3">
      <c r="A487" s="376" t="s">
        <v>161</v>
      </c>
      <c r="B487" s="376" t="s">
        <v>162</v>
      </c>
      <c r="C487" s="376" t="s">
        <v>1589</v>
      </c>
      <c r="D487" s="376" t="s">
        <v>862</v>
      </c>
      <c r="E487" s="376" t="s">
        <v>224</v>
      </c>
      <c r="F487" s="382" t="s">
        <v>225</v>
      </c>
      <c r="G487" s="376" t="s">
        <v>781</v>
      </c>
      <c r="H487" s="378"/>
      <c r="I487" s="378"/>
      <c r="J487" s="376" t="s">
        <v>239</v>
      </c>
      <c r="K487" s="376" t="s">
        <v>863</v>
      </c>
      <c r="L487" s="376" t="s">
        <v>252</v>
      </c>
      <c r="M487" s="376" t="s">
        <v>171</v>
      </c>
      <c r="N487" s="376" t="s">
        <v>172</v>
      </c>
      <c r="O487" s="379">
        <v>1</v>
      </c>
      <c r="P487" s="385">
        <v>0.6</v>
      </c>
      <c r="Q487" s="385">
        <v>0.6</v>
      </c>
      <c r="R487" s="380">
        <v>80</v>
      </c>
      <c r="S487" s="385">
        <v>0.6</v>
      </c>
      <c r="T487" s="380">
        <v>5155.68</v>
      </c>
      <c r="U487" s="380">
        <v>0</v>
      </c>
      <c r="V487" s="380">
        <v>2751.05</v>
      </c>
      <c r="W487" s="380">
        <v>23761.919999999998</v>
      </c>
      <c r="X487" s="380">
        <v>12128.49</v>
      </c>
      <c r="Y487" s="380">
        <v>23761.919999999998</v>
      </c>
      <c r="Z487" s="380">
        <v>12028.69</v>
      </c>
      <c r="AA487" s="376" t="s">
        <v>1590</v>
      </c>
      <c r="AB487" s="376" t="s">
        <v>1591</v>
      </c>
      <c r="AC487" s="376" t="s">
        <v>176</v>
      </c>
      <c r="AD487" s="376" t="s">
        <v>623</v>
      </c>
      <c r="AE487" s="376" t="s">
        <v>863</v>
      </c>
      <c r="AF487" s="376" t="s">
        <v>393</v>
      </c>
      <c r="AG487" s="376" t="s">
        <v>178</v>
      </c>
      <c r="AH487" s="381">
        <v>19.04</v>
      </c>
      <c r="AI487" s="381">
        <v>4426.3999999999996</v>
      </c>
      <c r="AJ487" s="376" t="s">
        <v>179</v>
      </c>
      <c r="AK487" s="376" t="s">
        <v>180</v>
      </c>
      <c r="AL487" s="376" t="s">
        <v>181</v>
      </c>
      <c r="AM487" s="376" t="s">
        <v>182</v>
      </c>
      <c r="AN487" s="376" t="s">
        <v>68</v>
      </c>
      <c r="AO487" s="379">
        <v>80</v>
      </c>
      <c r="AP487" s="385">
        <v>1</v>
      </c>
      <c r="AQ487" s="385">
        <v>0.6</v>
      </c>
      <c r="AR487" s="383" t="s">
        <v>183</v>
      </c>
      <c r="AS487" s="387">
        <f t="shared" si="335"/>
        <v>0.6</v>
      </c>
      <c r="AT487">
        <f t="shared" si="336"/>
        <v>1</v>
      </c>
      <c r="AU487" s="387">
        <f>IF(AT487=0,"",IF(AND(AT487=1,M487="F",SUMIF(C2:C1334,C487,AS2:AS1334)&lt;=1),SUMIF(C2:C1334,C487,AS2:AS1334),IF(AND(AT487=1,M487="F",SUMIF(C2:C1334,C487,AS2:AS1334)&gt;1),1,"")))</f>
        <v>1</v>
      </c>
      <c r="AV487" s="387" t="str">
        <f>IF(AT487=0,"",IF(AND(AT487=3,M487="F",SUMIF(C2:C1334,C487,AS2:AS1334)&lt;=1),SUMIF(C2:C1334,C487,AS2:AS1334),IF(AND(AT487=3,M487="F",SUMIF(C2:C1334,C487,AS2:AS1334)&gt;1),1,"")))</f>
        <v/>
      </c>
      <c r="AW487" s="387">
        <f>SUMIF(C2:C1334,C487,O2:O1334)</f>
        <v>2</v>
      </c>
      <c r="AX487" s="387">
        <f>IF(AND(M487="F",AS487&lt;&gt;0),SUMIF(C2:C1334,C487,W2:W1334),0)</f>
        <v>39603.199999999997</v>
      </c>
      <c r="AY487" s="387">
        <f t="shared" si="337"/>
        <v>23761.919999999998</v>
      </c>
      <c r="AZ487" s="387" t="str">
        <f t="shared" si="338"/>
        <v/>
      </c>
      <c r="BA487" s="387">
        <f t="shared" si="339"/>
        <v>0</v>
      </c>
      <c r="BB487" s="387">
        <f t="shared" si="308"/>
        <v>6990</v>
      </c>
      <c r="BC487" s="387">
        <f t="shared" si="309"/>
        <v>0</v>
      </c>
      <c r="BD487" s="387">
        <f t="shared" si="310"/>
        <v>1473.2390399999999</v>
      </c>
      <c r="BE487" s="387">
        <f t="shared" si="311"/>
        <v>344.54784000000001</v>
      </c>
      <c r="BF487" s="387">
        <f t="shared" si="312"/>
        <v>2837.1732480000001</v>
      </c>
      <c r="BG487" s="387">
        <f t="shared" si="313"/>
        <v>171.32344319999999</v>
      </c>
      <c r="BH487" s="387">
        <f t="shared" si="314"/>
        <v>116.43340799999999</v>
      </c>
      <c r="BI487" s="387">
        <f t="shared" si="315"/>
        <v>131.5222272</v>
      </c>
      <c r="BJ487" s="387">
        <f t="shared" si="316"/>
        <v>64.157184000000001</v>
      </c>
      <c r="BK487" s="387">
        <f t="shared" si="317"/>
        <v>0</v>
      </c>
      <c r="BL487" s="387">
        <f t="shared" si="340"/>
        <v>5138.3963903999993</v>
      </c>
      <c r="BM487" s="387">
        <f t="shared" si="341"/>
        <v>0</v>
      </c>
      <c r="BN487" s="387">
        <f t="shared" si="318"/>
        <v>6990</v>
      </c>
      <c r="BO487" s="387">
        <f t="shared" si="319"/>
        <v>0</v>
      </c>
      <c r="BP487" s="387">
        <f t="shared" si="320"/>
        <v>1473.2390399999999</v>
      </c>
      <c r="BQ487" s="387">
        <f t="shared" si="321"/>
        <v>344.54784000000001</v>
      </c>
      <c r="BR487" s="387">
        <f t="shared" si="322"/>
        <v>2837.1732480000001</v>
      </c>
      <c r="BS487" s="387">
        <f t="shared" si="323"/>
        <v>171.32344319999999</v>
      </c>
      <c r="BT487" s="387">
        <f t="shared" si="324"/>
        <v>0</v>
      </c>
      <c r="BU487" s="387">
        <f t="shared" si="325"/>
        <v>131.5222272</v>
      </c>
      <c r="BV487" s="387">
        <f t="shared" si="326"/>
        <v>80.790527999999995</v>
      </c>
      <c r="BW487" s="387">
        <f t="shared" si="327"/>
        <v>0</v>
      </c>
      <c r="BX487" s="387">
        <f t="shared" si="342"/>
        <v>5038.5963264000002</v>
      </c>
      <c r="BY487" s="387">
        <f t="shared" si="343"/>
        <v>0</v>
      </c>
      <c r="BZ487" s="387">
        <f t="shared" si="344"/>
        <v>0</v>
      </c>
      <c r="CA487" s="387">
        <f t="shared" si="345"/>
        <v>0</v>
      </c>
      <c r="CB487" s="387">
        <f t="shared" si="346"/>
        <v>0</v>
      </c>
      <c r="CC487" s="387">
        <f t="shared" si="328"/>
        <v>0</v>
      </c>
      <c r="CD487" s="387">
        <f t="shared" si="329"/>
        <v>0</v>
      </c>
      <c r="CE487" s="387">
        <f t="shared" si="330"/>
        <v>0</v>
      </c>
      <c r="CF487" s="387">
        <f t="shared" si="331"/>
        <v>-116.43340799999999</v>
      </c>
      <c r="CG487" s="387">
        <f t="shared" si="332"/>
        <v>0</v>
      </c>
      <c r="CH487" s="387">
        <f t="shared" si="333"/>
        <v>16.63334399999999</v>
      </c>
      <c r="CI487" s="387">
        <f t="shared" si="334"/>
        <v>0</v>
      </c>
      <c r="CJ487" s="387">
        <f t="shared" si="347"/>
        <v>-99.800063999999992</v>
      </c>
      <c r="CK487" s="387" t="str">
        <f t="shared" si="348"/>
        <v/>
      </c>
      <c r="CL487" s="387" t="str">
        <f t="shared" si="349"/>
        <v/>
      </c>
      <c r="CM487" s="387" t="str">
        <f t="shared" si="350"/>
        <v/>
      </c>
      <c r="CN487" s="387" t="str">
        <f t="shared" si="351"/>
        <v>0348-31</v>
      </c>
    </row>
    <row r="488" spans="1:92" ht="15.75" thickBot="1" x14ac:dyDescent="0.3">
      <c r="A488" s="376" t="s">
        <v>161</v>
      </c>
      <c r="B488" s="376" t="s">
        <v>162</v>
      </c>
      <c r="C488" s="376" t="s">
        <v>413</v>
      </c>
      <c r="D488" s="376" t="s">
        <v>414</v>
      </c>
      <c r="E488" s="376" t="s">
        <v>224</v>
      </c>
      <c r="F488" s="382" t="s">
        <v>225</v>
      </c>
      <c r="G488" s="376" t="s">
        <v>781</v>
      </c>
      <c r="H488" s="378"/>
      <c r="I488" s="378"/>
      <c r="J488" s="376" t="s">
        <v>215</v>
      </c>
      <c r="K488" s="376" t="s">
        <v>415</v>
      </c>
      <c r="L488" s="376" t="s">
        <v>252</v>
      </c>
      <c r="M488" s="376" t="s">
        <v>171</v>
      </c>
      <c r="N488" s="376" t="s">
        <v>172</v>
      </c>
      <c r="O488" s="379">
        <v>1</v>
      </c>
      <c r="P488" s="385">
        <v>0</v>
      </c>
      <c r="Q488" s="385">
        <v>0</v>
      </c>
      <c r="R488" s="380">
        <v>80</v>
      </c>
      <c r="S488" s="385">
        <v>0</v>
      </c>
      <c r="T488" s="380">
        <v>45528.03</v>
      </c>
      <c r="U488" s="380">
        <v>483.93</v>
      </c>
      <c r="V488" s="380">
        <v>22615.4</v>
      </c>
      <c r="W488" s="380">
        <v>0</v>
      </c>
      <c r="X488" s="380">
        <v>0</v>
      </c>
      <c r="Y488" s="380">
        <v>0</v>
      </c>
      <c r="Z488" s="380">
        <v>0</v>
      </c>
      <c r="AA488" s="376" t="s">
        <v>416</v>
      </c>
      <c r="AB488" s="376" t="s">
        <v>417</v>
      </c>
      <c r="AC488" s="376" t="s">
        <v>418</v>
      </c>
      <c r="AD488" s="376" t="s">
        <v>419</v>
      </c>
      <c r="AE488" s="376" t="s">
        <v>415</v>
      </c>
      <c r="AF488" s="376" t="s">
        <v>393</v>
      </c>
      <c r="AG488" s="376" t="s">
        <v>178</v>
      </c>
      <c r="AH488" s="381">
        <v>22.88</v>
      </c>
      <c r="AI488" s="381">
        <v>28972.2</v>
      </c>
      <c r="AJ488" s="376" t="s">
        <v>179</v>
      </c>
      <c r="AK488" s="376" t="s">
        <v>180</v>
      </c>
      <c r="AL488" s="376" t="s">
        <v>181</v>
      </c>
      <c r="AM488" s="376" t="s">
        <v>182</v>
      </c>
      <c r="AN488" s="376" t="s">
        <v>68</v>
      </c>
      <c r="AO488" s="379">
        <v>80</v>
      </c>
      <c r="AP488" s="385">
        <v>1</v>
      </c>
      <c r="AQ488" s="385">
        <v>0</v>
      </c>
      <c r="AR488" s="383" t="s">
        <v>183</v>
      </c>
      <c r="AS488" s="387">
        <f t="shared" si="335"/>
        <v>0</v>
      </c>
      <c r="AT488">
        <f t="shared" si="336"/>
        <v>0</v>
      </c>
      <c r="AU488" s="387" t="str">
        <f>IF(AT488=0,"",IF(AND(AT488=1,M488="F",SUMIF(C2:C1334,C488,AS2:AS1334)&lt;=1),SUMIF(C2:C1334,C488,AS2:AS1334),IF(AND(AT488=1,M488="F",SUMIF(C2:C1334,C488,AS2:AS1334)&gt;1),1,"")))</f>
        <v/>
      </c>
      <c r="AV488" s="387" t="str">
        <f>IF(AT488=0,"",IF(AND(AT488=3,M488="F",SUMIF(C2:C1334,C488,AS2:AS1334)&lt;=1),SUMIF(C2:C1334,C488,AS2:AS1334),IF(AND(AT488=3,M488="F",SUMIF(C2:C1334,C488,AS2:AS1334)&gt;1),1,"")))</f>
        <v/>
      </c>
      <c r="AW488" s="387">
        <f>SUMIF(C2:C1334,C488,O2:O1334)</f>
        <v>3</v>
      </c>
      <c r="AX488" s="387">
        <f>IF(AND(M488="F",AS488&lt;&gt;0),SUMIF(C2:C1334,C488,W2:W1334),0)</f>
        <v>0</v>
      </c>
      <c r="AY488" s="387" t="str">
        <f t="shared" si="337"/>
        <v/>
      </c>
      <c r="AZ488" s="387" t="str">
        <f t="shared" si="338"/>
        <v/>
      </c>
      <c r="BA488" s="387">
        <f t="shared" si="339"/>
        <v>0</v>
      </c>
      <c r="BB488" s="387">
        <f t="shared" si="308"/>
        <v>0</v>
      </c>
      <c r="BC488" s="387">
        <f t="shared" si="309"/>
        <v>0</v>
      </c>
      <c r="BD488" s="387">
        <f t="shared" si="310"/>
        <v>0</v>
      </c>
      <c r="BE488" s="387">
        <f t="shared" si="311"/>
        <v>0</v>
      </c>
      <c r="BF488" s="387">
        <f t="shared" si="312"/>
        <v>0</v>
      </c>
      <c r="BG488" s="387">
        <f t="shared" si="313"/>
        <v>0</v>
      </c>
      <c r="BH488" s="387">
        <f t="shared" si="314"/>
        <v>0</v>
      </c>
      <c r="BI488" s="387">
        <f t="shared" si="315"/>
        <v>0</v>
      </c>
      <c r="BJ488" s="387">
        <f t="shared" si="316"/>
        <v>0</v>
      </c>
      <c r="BK488" s="387">
        <f t="shared" si="317"/>
        <v>0</v>
      </c>
      <c r="BL488" s="387">
        <f t="shared" si="340"/>
        <v>0</v>
      </c>
      <c r="BM488" s="387">
        <f t="shared" si="341"/>
        <v>0</v>
      </c>
      <c r="BN488" s="387">
        <f t="shared" si="318"/>
        <v>0</v>
      </c>
      <c r="BO488" s="387">
        <f t="shared" si="319"/>
        <v>0</v>
      </c>
      <c r="BP488" s="387">
        <f t="shared" si="320"/>
        <v>0</v>
      </c>
      <c r="BQ488" s="387">
        <f t="shared" si="321"/>
        <v>0</v>
      </c>
      <c r="BR488" s="387">
        <f t="shared" si="322"/>
        <v>0</v>
      </c>
      <c r="BS488" s="387">
        <f t="shared" si="323"/>
        <v>0</v>
      </c>
      <c r="BT488" s="387">
        <f t="shared" si="324"/>
        <v>0</v>
      </c>
      <c r="BU488" s="387">
        <f t="shared" si="325"/>
        <v>0</v>
      </c>
      <c r="BV488" s="387">
        <f t="shared" si="326"/>
        <v>0</v>
      </c>
      <c r="BW488" s="387">
        <f t="shared" si="327"/>
        <v>0</v>
      </c>
      <c r="BX488" s="387">
        <f t="shared" si="342"/>
        <v>0</v>
      </c>
      <c r="BY488" s="387">
        <f t="shared" si="343"/>
        <v>0</v>
      </c>
      <c r="BZ488" s="387">
        <f t="shared" si="344"/>
        <v>0</v>
      </c>
      <c r="CA488" s="387">
        <f t="shared" si="345"/>
        <v>0</v>
      </c>
      <c r="CB488" s="387">
        <f t="shared" si="346"/>
        <v>0</v>
      </c>
      <c r="CC488" s="387">
        <f t="shared" si="328"/>
        <v>0</v>
      </c>
      <c r="CD488" s="387">
        <f t="shared" si="329"/>
        <v>0</v>
      </c>
      <c r="CE488" s="387">
        <f t="shared" si="330"/>
        <v>0</v>
      </c>
      <c r="CF488" s="387">
        <f t="shared" si="331"/>
        <v>0</v>
      </c>
      <c r="CG488" s="387">
        <f t="shared" si="332"/>
        <v>0</v>
      </c>
      <c r="CH488" s="387">
        <f t="shared" si="333"/>
        <v>0</v>
      </c>
      <c r="CI488" s="387">
        <f t="shared" si="334"/>
        <v>0</v>
      </c>
      <c r="CJ488" s="387">
        <f t="shared" si="347"/>
        <v>0</v>
      </c>
      <c r="CK488" s="387" t="str">
        <f t="shared" si="348"/>
        <v/>
      </c>
      <c r="CL488" s="387" t="str">
        <f t="shared" si="349"/>
        <v/>
      </c>
      <c r="CM488" s="387" t="str">
        <f t="shared" si="350"/>
        <v/>
      </c>
      <c r="CN488" s="387" t="str">
        <f t="shared" si="351"/>
        <v>0348-31</v>
      </c>
    </row>
    <row r="489" spans="1:92" ht="15.75" thickBot="1" x14ac:dyDescent="0.3">
      <c r="A489" s="376" t="s">
        <v>161</v>
      </c>
      <c r="B489" s="376" t="s">
        <v>162</v>
      </c>
      <c r="C489" s="376" t="s">
        <v>1592</v>
      </c>
      <c r="D489" s="376" t="s">
        <v>1593</v>
      </c>
      <c r="E489" s="376" t="s">
        <v>224</v>
      </c>
      <c r="F489" s="382" t="s">
        <v>225</v>
      </c>
      <c r="G489" s="376" t="s">
        <v>781</v>
      </c>
      <c r="H489" s="378"/>
      <c r="I489" s="378"/>
      <c r="J489" s="376" t="s">
        <v>215</v>
      </c>
      <c r="K489" s="376" t="s">
        <v>1594</v>
      </c>
      <c r="L489" s="376" t="s">
        <v>406</v>
      </c>
      <c r="M489" s="376" t="s">
        <v>566</v>
      </c>
      <c r="N489" s="376" t="s">
        <v>172</v>
      </c>
      <c r="O489" s="379">
        <v>0</v>
      </c>
      <c r="P489" s="385">
        <v>0</v>
      </c>
      <c r="Q489" s="385">
        <v>0</v>
      </c>
      <c r="R489" s="380">
        <v>80</v>
      </c>
      <c r="S489" s="385">
        <v>0</v>
      </c>
      <c r="T489" s="380">
        <v>0</v>
      </c>
      <c r="U489" s="380">
        <v>0</v>
      </c>
      <c r="V489" s="380">
        <v>-485.42</v>
      </c>
      <c r="W489" s="380">
        <v>0</v>
      </c>
      <c r="X489" s="380">
        <v>0</v>
      </c>
      <c r="Y489" s="380">
        <v>0</v>
      </c>
      <c r="Z489" s="380">
        <v>0</v>
      </c>
      <c r="AA489" s="378"/>
      <c r="AB489" s="376" t="s">
        <v>45</v>
      </c>
      <c r="AC489" s="376" t="s">
        <v>45</v>
      </c>
      <c r="AD489" s="378"/>
      <c r="AE489" s="378"/>
      <c r="AF489" s="378"/>
      <c r="AG489" s="378"/>
      <c r="AH489" s="379">
        <v>0</v>
      </c>
      <c r="AI489" s="379">
        <v>0</v>
      </c>
      <c r="AJ489" s="378"/>
      <c r="AK489" s="378"/>
      <c r="AL489" s="376" t="s">
        <v>181</v>
      </c>
      <c r="AM489" s="378"/>
      <c r="AN489" s="378"/>
      <c r="AO489" s="379">
        <v>0</v>
      </c>
      <c r="AP489" s="385">
        <v>0</v>
      </c>
      <c r="AQ489" s="385">
        <v>0</v>
      </c>
      <c r="AR489" s="384"/>
      <c r="AS489" s="387">
        <f t="shared" si="335"/>
        <v>0</v>
      </c>
      <c r="AT489">
        <f t="shared" si="336"/>
        <v>0</v>
      </c>
      <c r="AU489" s="387" t="str">
        <f>IF(AT489=0,"",IF(AND(AT489=1,M489="F",SUMIF(C2:C1334,C489,AS2:AS1334)&lt;=1),SUMIF(C2:C1334,C489,AS2:AS1334),IF(AND(AT489=1,M489="F",SUMIF(C2:C1334,C489,AS2:AS1334)&gt;1),1,"")))</f>
        <v/>
      </c>
      <c r="AV489" s="387" t="str">
        <f>IF(AT489=0,"",IF(AND(AT489=3,M489="F",SUMIF(C2:C1334,C489,AS2:AS1334)&lt;=1),SUMIF(C2:C1334,C489,AS2:AS1334),IF(AND(AT489=3,M489="F",SUMIF(C2:C1334,C489,AS2:AS1334)&gt;1),1,"")))</f>
        <v/>
      </c>
      <c r="AW489" s="387">
        <f>SUMIF(C2:C1334,C489,O2:O1334)</f>
        <v>0</v>
      </c>
      <c r="AX489" s="387">
        <f>IF(AND(M489="F",AS489&lt;&gt;0),SUMIF(C2:C1334,C489,W2:W1334),0)</f>
        <v>0</v>
      </c>
      <c r="AY489" s="387" t="str">
        <f t="shared" si="337"/>
        <v/>
      </c>
      <c r="AZ489" s="387" t="str">
        <f t="shared" si="338"/>
        <v/>
      </c>
      <c r="BA489" s="387">
        <f t="shared" si="339"/>
        <v>0</v>
      </c>
      <c r="BB489" s="387">
        <f t="shared" si="308"/>
        <v>0</v>
      </c>
      <c r="BC489" s="387">
        <f t="shared" si="309"/>
        <v>0</v>
      </c>
      <c r="BD489" s="387">
        <f t="shared" si="310"/>
        <v>0</v>
      </c>
      <c r="BE489" s="387">
        <f t="shared" si="311"/>
        <v>0</v>
      </c>
      <c r="BF489" s="387">
        <f t="shared" si="312"/>
        <v>0</v>
      </c>
      <c r="BG489" s="387">
        <f t="shared" si="313"/>
        <v>0</v>
      </c>
      <c r="BH489" s="387">
        <f t="shared" si="314"/>
        <v>0</v>
      </c>
      <c r="BI489" s="387">
        <f t="shared" si="315"/>
        <v>0</v>
      </c>
      <c r="BJ489" s="387">
        <f t="shared" si="316"/>
        <v>0</v>
      </c>
      <c r="BK489" s="387">
        <f t="shared" si="317"/>
        <v>0</v>
      </c>
      <c r="BL489" s="387">
        <f t="shared" si="340"/>
        <v>0</v>
      </c>
      <c r="BM489" s="387">
        <f t="shared" si="341"/>
        <v>0</v>
      </c>
      <c r="BN489" s="387">
        <f t="shared" si="318"/>
        <v>0</v>
      </c>
      <c r="BO489" s="387">
        <f t="shared" si="319"/>
        <v>0</v>
      </c>
      <c r="BP489" s="387">
        <f t="shared" si="320"/>
        <v>0</v>
      </c>
      <c r="BQ489" s="387">
        <f t="shared" si="321"/>
        <v>0</v>
      </c>
      <c r="BR489" s="387">
        <f t="shared" si="322"/>
        <v>0</v>
      </c>
      <c r="BS489" s="387">
        <f t="shared" si="323"/>
        <v>0</v>
      </c>
      <c r="BT489" s="387">
        <f t="shared" si="324"/>
        <v>0</v>
      </c>
      <c r="BU489" s="387">
        <f t="shared" si="325"/>
        <v>0</v>
      </c>
      <c r="BV489" s="387">
        <f t="shared" si="326"/>
        <v>0</v>
      </c>
      <c r="BW489" s="387">
        <f t="shared" si="327"/>
        <v>0</v>
      </c>
      <c r="BX489" s="387">
        <f t="shared" si="342"/>
        <v>0</v>
      </c>
      <c r="BY489" s="387">
        <f t="shared" si="343"/>
        <v>0</v>
      </c>
      <c r="BZ489" s="387">
        <f t="shared" si="344"/>
        <v>0</v>
      </c>
      <c r="CA489" s="387">
        <f t="shared" si="345"/>
        <v>0</v>
      </c>
      <c r="CB489" s="387">
        <f t="shared" si="346"/>
        <v>0</v>
      </c>
      <c r="CC489" s="387">
        <f t="shared" si="328"/>
        <v>0</v>
      </c>
      <c r="CD489" s="387">
        <f t="shared" si="329"/>
        <v>0</v>
      </c>
      <c r="CE489" s="387">
        <f t="shared" si="330"/>
        <v>0</v>
      </c>
      <c r="CF489" s="387">
        <f t="shared" si="331"/>
        <v>0</v>
      </c>
      <c r="CG489" s="387">
        <f t="shared" si="332"/>
        <v>0</v>
      </c>
      <c r="CH489" s="387">
        <f t="shared" si="333"/>
        <v>0</v>
      </c>
      <c r="CI489" s="387">
        <f t="shared" si="334"/>
        <v>0</v>
      </c>
      <c r="CJ489" s="387">
        <f t="shared" si="347"/>
        <v>0</v>
      </c>
      <c r="CK489" s="387" t="str">
        <f t="shared" si="348"/>
        <v/>
      </c>
      <c r="CL489" s="387" t="str">
        <f t="shared" si="349"/>
        <v/>
      </c>
      <c r="CM489" s="387" t="str">
        <f t="shared" si="350"/>
        <v/>
      </c>
      <c r="CN489" s="387" t="str">
        <f t="shared" si="351"/>
        <v>0348-31</v>
      </c>
    </row>
    <row r="490" spans="1:92" ht="15.75" thickBot="1" x14ac:dyDescent="0.3">
      <c r="A490" s="376" t="s">
        <v>161</v>
      </c>
      <c r="B490" s="376" t="s">
        <v>162</v>
      </c>
      <c r="C490" s="376" t="s">
        <v>1595</v>
      </c>
      <c r="D490" s="376" t="s">
        <v>862</v>
      </c>
      <c r="E490" s="376" t="s">
        <v>224</v>
      </c>
      <c r="F490" s="382" t="s">
        <v>225</v>
      </c>
      <c r="G490" s="376" t="s">
        <v>781</v>
      </c>
      <c r="H490" s="378"/>
      <c r="I490" s="378"/>
      <c r="J490" s="376" t="s">
        <v>215</v>
      </c>
      <c r="K490" s="376" t="s">
        <v>863</v>
      </c>
      <c r="L490" s="376" t="s">
        <v>252</v>
      </c>
      <c r="M490" s="376" t="s">
        <v>171</v>
      </c>
      <c r="N490" s="376" t="s">
        <v>172</v>
      </c>
      <c r="O490" s="379">
        <v>1</v>
      </c>
      <c r="P490" s="385">
        <v>1</v>
      </c>
      <c r="Q490" s="385">
        <v>1</v>
      </c>
      <c r="R490" s="380">
        <v>80</v>
      </c>
      <c r="S490" s="385">
        <v>1</v>
      </c>
      <c r="T490" s="380">
        <v>34688.620000000003</v>
      </c>
      <c r="U490" s="380">
        <v>0</v>
      </c>
      <c r="V490" s="380">
        <v>18702.419999999998</v>
      </c>
      <c r="W490" s="380">
        <v>38625.599999999999</v>
      </c>
      <c r="X490" s="380">
        <v>20002.75</v>
      </c>
      <c r="Y490" s="380">
        <v>38625.599999999999</v>
      </c>
      <c r="Z490" s="380">
        <v>19840.53</v>
      </c>
      <c r="AA490" s="376" t="s">
        <v>1596</v>
      </c>
      <c r="AB490" s="376" t="s">
        <v>1597</v>
      </c>
      <c r="AC490" s="376" t="s">
        <v>1598</v>
      </c>
      <c r="AD490" s="376" t="s">
        <v>606</v>
      </c>
      <c r="AE490" s="376" t="s">
        <v>863</v>
      </c>
      <c r="AF490" s="376" t="s">
        <v>393</v>
      </c>
      <c r="AG490" s="376" t="s">
        <v>178</v>
      </c>
      <c r="AH490" s="381">
        <v>18.57</v>
      </c>
      <c r="AI490" s="379">
        <v>1720</v>
      </c>
      <c r="AJ490" s="376" t="s">
        <v>179</v>
      </c>
      <c r="AK490" s="376" t="s">
        <v>180</v>
      </c>
      <c r="AL490" s="376" t="s">
        <v>181</v>
      </c>
      <c r="AM490" s="376" t="s">
        <v>182</v>
      </c>
      <c r="AN490" s="376" t="s">
        <v>68</v>
      </c>
      <c r="AO490" s="379">
        <v>80</v>
      </c>
      <c r="AP490" s="385">
        <v>1</v>
      </c>
      <c r="AQ490" s="385">
        <v>1</v>
      </c>
      <c r="AR490" s="383" t="s">
        <v>183</v>
      </c>
      <c r="AS490" s="387">
        <f t="shared" si="335"/>
        <v>1</v>
      </c>
      <c r="AT490">
        <f t="shared" si="336"/>
        <v>1</v>
      </c>
      <c r="AU490" s="387">
        <f>IF(AT490=0,"",IF(AND(AT490=1,M490="F",SUMIF(C2:C1334,C490,AS2:AS1334)&lt;=1),SUMIF(C2:C1334,C490,AS2:AS1334),IF(AND(AT490=1,M490="F",SUMIF(C2:C1334,C490,AS2:AS1334)&gt;1),1,"")))</f>
        <v>1</v>
      </c>
      <c r="AV490" s="387" t="str">
        <f>IF(AT490=0,"",IF(AND(AT490=3,M490="F",SUMIF(C2:C1334,C490,AS2:AS1334)&lt;=1),SUMIF(C2:C1334,C490,AS2:AS1334),IF(AND(AT490=3,M490="F",SUMIF(C2:C1334,C490,AS2:AS1334)&gt;1),1,"")))</f>
        <v/>
      </c>
      <c r="AW490" s="387">
        <f>SUMIF(C2:C1334,C490,O2:O1334)</f>
        <v>1</v>
      </c>
      <c r="AX490" s="387">
        <f>IF(AND(M490="F",AS490&lt;&gt;0),SUMIF(C2:C1334,C490,W2:W1334),0)</f>
        <v>38625.599999999999</v>
      </c>
      <c r="AY490" s="387">
        <f t="shared" si="337"/>
        <v>38625.599999999999</v>
      </c>
      <c r="AZ490" s="387" t="str">
        <f t="shared" si="338"/>
        <v/>
      </c>
      <c r="BA490" s="387">
        <f t="shared" si="339"/>
        <v>0</v>
      </c>
      <c r="BB490" s="387">
        <f t="shared" si="308"/>
        <v>11650</v>
      </c>
      <c r="BC490" s="387">
        <f t="shared" si="309"/>
        <v>0</v>
      </c>
      <c r="BD490" s="387">
        <f t="shared" si="310"/>
        <v>2394.7871999999998</v>
      </c>
      <c r="BE490" s="387">
        <f t="shared" si="311"/>
        <v>560.07119999999998</v>
      </c>
      <c r="BF490" s="387">
        <f t="shared" si="312"/>
        <v>4611.8966399999999</v>
      </c>
      <c r="BG490" s="387">
        <f t="shared" si="313"/>
        <v>278.49057599999998</v>
      </c>
      <c r="BH490" s="387">
        <f t="shared" si="314"/>
        <v>189.26543999999998</v>
      </c>
      <c r="BI490" s="387">
        <f t="shared" si="315"/>
        <v>213.79269599999998</v>
      </c>
      <c r="BJ490" s="387">
        <f t="shared" si="316"/>
        <v>104.28912</v>
      </c>
      <c r="BK490" s="387">
        <f t="shared" si="317"/>
        <v>0</v>
      </c>
      <c r="BL490" s="387">
        <f t="shared" si="340"/>
        <v>8352.5928719999993</v>
      </c>
      <c r="BM490" s="387">
        <f t="shared" si="341"/>
        <v>0</v>
      </c>
      <c r="BN490" s="387">
        <f t="shared" si="318"/>
        <v>11650</v>
      </c>
      <c r="BO490" s="387">
        <f t="shared" si="319"/>
        <v>0</v>
      </c>
      <c r="BP490" s="387">
        <f t="shared" si="320"/>
        <v>2394.7871999999998</v>
      </c>
      <c r="BQ490" s="387">
        <f t="shared" si="321"/>
        <v>560.07119999999998</v>
      </c>
      <c r="BR490" s="387">
        <f t="shared" si="322"/>
        <v>4611.8966399999999</v>
      </c>
      <c r="BS490" s="387">
        <f t="shared" si="323"/>
        <v>278.49057599999998</v>
      </c>
      <c r="BT490" s="387">
        <f t="shared" si="324"/>
        <v>0</v>
      </c>
      <c r="BU490" s="387">
        <f t="shared" si="325"/>
        <v>213.79269599999998</v>
      </c>
      <c r="BV490" s="387">
        <f t="shared" si="326"/>
        <v>131.32703999999998</v>
      </c>
      <c r="BW490" s="387">
        <f t="shared" si="327"/>
        <v>0</v>
      </c>
      <c r="BX490" s="387">
        <f t="shared" si="342"/>
        <v>8190.3653520000007</v>
      </c>
      <c r="BY490" s="387">
        <f t="shared" si="343"/>
        <v>0</v>
      </c>
      <c r="BZ490" s="387">
        <f t="shared" si="344"/>
        <v>0</v>
      </c>
      <c r="CA490" s="387">
        <f t="shared" si="345"/>
        <v>0</v>
      </c>
      <c r="CB490" s="387">
        <f t="shared" si="346"/>
        <v>0</v>
      </c>
      <c r="CC490" s="387">
        <f t="shared" si="328"/>
        <v>0</v>
      </c>
      <c r="CD490" s="387">
        <f t="shared" si="329"/>
        <v>0</v>
      </c>
      <c r="CE490" s="387">
        <f t="shared" si="330"/>
        <v>0</v>
      </c>
      <c r="CF490" s="387">
        <f t="shared" si="331"/>
        <v>-189.26543999999998</v>
      </c>
      <c r="CG490" s="387">
        <f t="shared" si="332"/>
        <v>0</v>
      </c>
      <c r="CH490" s="387">
        <f t="shared" si="333"/>
        <v>27.037919999999986</v>
      </c>
      <c r="CI490" s="387">
        <f t="shared" si="334"/>
        <v>0</v>
      </c>
      <c r="CJ490" s="387">
        <f t="shared" si="347"/>
        <v>-162.22752</v>
      </c>
      <c r="CK490" s="387" t="str">
        <f t="shared" si="348"/>
        <v/>
      </c>
      <c r="CL490" s="387" t="str">
        <f t="shared" si="349"/>
        <v/>
      </c>
      <c r="CM490" s="387" t="str">
        <f t="shared" si="350"/>
        <v/>
      </c>
      <c r="CN490" s="387" t="str">
        <f t="shared" si="351"/>
        <v>0348-31</v>
      </c>
    </row>
    <row r="491" spans="1:92" ht="15.75" thickBot="1" x14ac:dyDescent="0.3">
      <c r="A491" s="376" t="s">
        <v>161</v>
      </c>
      <c r="B491" s="376" t="s">
        <v>162</v>
      </c>
      <c r="C491" s="376" t="s">
        <v>1599</v>
      </c>
      <c r="D491" s="376" t="s">
        <v>270</v>
      </c>
      <c r="E491" s="376" t="s">
        <v>224</v>
      </c>
      <c r="F491" s="382" t="s">
        <v>225</v>
      </c>
      <c r="G491" s="376" t="s">
        <v>781</v>
      </c>
      <c r="H491" s="378"/>
      <c r="I491" s="378"/>
      <c r="J491" s="376" t="s">
        <v>215</v>
      </c>
      <c r="K491" s="376" t="s">
        <v>271</v>
      </c>
      <c r="L491" s="376" t="s">
        <v>217</v>
      </c>
      <c r="M491" s="376" t="s">
        <v>171</v>
      </c>
      <c r="N491" s="376" t="s">
        <v>172</v>
      </c>
      <c r="O491" s="379">
        <v>1</v>
      </c>
      <c r="P491" s="385">
        <v>0</v>
      </c>
      <c r="Q491" s="385">
        <v>0</v>
      </c>
      <c r="R491" s="380">
        <v>80</v>
      </c>
      <c r="S491" s="385">
        <v>0</v>
      </c>
      <c r="T491" s="380">
        <v>1229.5999999999999</v>
      </c>
      <c r="U491" s="380">
        <v>0</v>
      </c>
      <c r="V491" s="380">
        <v>714.47</v>
      </c>
      <c r="W491" s="380">
        <v>0</v>
      </c>
      <c r="X491" s="380">
        <v>0</v>
      </c>
      <c r="Y491" s="380">
        <v>0</v>
      </c>
      <c r="Z491" s="380">
        <v>0</v>
      </c>
      <c r="AA491" s="376" t="s">
        <v>1600</v>
      </c>
      <c r="AB491" s="376" t="s">
        <v>1601</v>
      </c>
      <c r="AC491" s="376" t="s">
        <v>278</v>
      </c>
      <c r="AD491" s="376" t="s">
        <v>198</v>
      </c>
      <c r="AE491" s="376" t="s">
        <v>271</v>
      </c>
      <c r="AF491" s="376" t="s">
        <v>221</v>
      </c>
      <c r="AG491" s="376" t="s">
        <v>178</v>
      </c>
      <c r="AH491" s="381">
        <v>16.29</v>
      </c>
      <c r="AI491" s="381">
        <v>2870.7</v>
      </c>
      <c r="AJ491" s="376" t="s">
        <v>179</v>
      </c>
      <c r="AK491" s="376" t="s">
        <v>180</v>
      </c>
      <c r="AL491" s="376" t="s">
        <v>181</v>
      </c>
      <c r="AM491" s="376" t="s">
        <v>182</v>
      </c>
      <c r="AN491" s="376" t="s">
        <v>68</v>
      </c>
      <c r="AO491" s="379">
        <v>80</v>
      </c>
      <c r="AP491" s="385">
        <v>1</v>
      </c>
      <c r="AQ491" s="385">
        <v>0</v>
      </c>
      <c r="AR491" s="383" t="s">
        <v>183</v>
      </c>
      <c r="AS491" s="387">
        <f t="shared" si="335"/>
        <v>0</v>
      </c>
      <c r="AT491">
        <f t="shared" si="336"/>
        <v>0</v>
      </c>
      <c r="AU491" s="387" t="str">
        <f>IF(AT491=0,"",IF(AND(AT491=1,M491="F",SUMIF(C2:C1334,C491,AS2:AS1334)&lt;=1),SUMIF(C2:C1334,C491,AS2:AS1334),IF(AND(AT491=1,M491="F",SUMIF(C2:C1334,C491,AS2:AS1334)&gt;1),1,"")))</f>
        <v/>
      </c>
      <c r="AV491" s="387" t="str">
        <f>IF(AT491=0,"",IF(AND(AT491=3,M491="F",SUMIF(C2:C1334,C491,AS2:AS1334)&lt;=1),SUMIF(C2:C1334,C491,AS2:AS1334),IF(AND(AT491=3,M491="F",SUMIF(C2:C1334,C491,AS2:AS1334)&gt;1),1,"")))</f>
        <v/>
      </c>
      <c r="AW491" s="387">
        <f>SUMIF(C2:C1334,C491,O2:O1334)</f>
        <v>2</v>
      </c>
      <c r="AX491" s="387">
        <f>IF(AND(M491="F",AS491&lt;&gt;0),SUMIF(C2:C1334,C491,W2:W1334),0)</f>
        <v>0</v>
      </c>
      <c r="AY491" s="387" t="str">
        <f t="shared" si="337"/>
        <v/>
      </c>
      <c r="AZ491" s="387" t="str">
        <f t="shared" si="338"/>
        <v/>
      </c>
      <c r="BA491" s="387">
        <f t="shared" si="339"/>
        <v>0</v>
      </c>
      <c r="BB491" s="387">
        <f t="shared" si="308"/>
        <v>0</v>
      </c>
      <c r="BC491" s="387">
        <f t="shared" si="309"/>
        <v>0</v>
      </c>
      <c r="BD491" s="387">
        <f t="shared" si="310"/>
        <v>0</v>
      </c>
      <c r="BE491" s="387">
        <f t="shared" si="311"/>
        <v>0</v>
      </c>
      <c r="BF491" s="387">
        <f t="shared" si="312"/>
        <v>0</v>
      </c>
      <c r="BG491" s="387">
        <f t="shared" si="313"/>
        <v>0</v>
      </c>
      <c r="BH491" s="387">
        <f t="shared" si="314"/>
        <v>0</v>
      </c>
      <c r="BI491" s="387">
        <f t="shared" si="315"/>
        <v>0</v>
      </c>
      <c r="BJ491" s="387">
        <f t="shared" si="316"/>
        <v>0</v>
      </c>
      <c r="BK491" s="387">
        <f t="shared" si="317"/>
        <v>0</v>
      </c>
      <c r="BL491" s="387">
        <f t="shared" si="340"/>
        <v>0</v>
      </c>
      <c r="BM491" s="387">
        <f t="shared" si="341"/>
        <v>0</v>
      </c>
      <c r="BN491" s="387">
        <f t="shared" si="318"/>
        <v>0</v>
      </c>
      <c r="BO491" s="387">
        <f t="shared" si="319"/>
        <v>0</v>
      </c>
      <c r="BP491" s="387">
        <f t="shared" si="320"/>
        <v>0</v>
      </c>
      <c r="BQ491" s="387">
        <f t="shared" si="321"/>
        <v>0</v>
      </c>
      <c r="BR491" s="387">
        <f t="shared" si="322"/>
        <v>0</v>
      </c>
      <c r="BS491" s="387">
        <f t="shared" si="323"/>
        <v>0</v>
      </c>
      <c r="BT491" s="387">
        <f t="shared" si="324"/>
        <v>0</v>
      </c>
      <c r="BU491" s="387">
        <f t="shared" si="325"/>
        <v>0</v>
      </c>
      <c r="BV491" s="387">
        <f t="shared" si="326"/>
        <v>0</v>
      </c>
      <c r="BW491" s="387">
        <f t="shared" si="327"/>
        <v>0</v>
      </c>
      <c r="BX491" s="387">
        <f t="shared" si="342"/>
        <v>0</v>
      </c>
      <c r="BY491" s="387">
        <f t="shared" si="343"/>
        <v>0</v>
      </c>
      <c r="BZ491" s="387">
        <f t="shared" si="344"/>
        <v>0</v>
      </c>
      <c r="CA491" s="387">
        <f t="shared" si="345"/>
        <v>0</v>
      </c>
      <c r="CB491" s="387">
        <f t="shared" si="346"/>
        <v>0</v>
      </c>
      <c r="CC491" s="387">
        <f t="shared" si="328"/>
        <v>0</v>
      </c>
      <c r="CD491" s="387">
        <f t="shared" si="329"/>
        <v>0</v>
      </c>
      <c r="CE491" s="387">
        <f t="shared" si="330"/>
        <v>0</v>
      </c>
      <c r="CF491" s="387">
        <f t="shared" si="331"/>
        <v>0</v>
      </c>
      <c r="CG491" s="387">
        <f t="shared" si="332"/>
        <v>0</v>
      </c>
      <c r="CH491" s="387">
        <f t="shared" si="333"/>
        <v>0</v>
      </c>
      <c r="CI491" s="387">
        <f t="shared" si="334"/>
        <v>0</v>
      </c>
      <c r="CJ491" s="387">
        <f t="shared" si="347"/>
        <v>0</v>
      </c>
      <c r="CK491" s="387" t="str">
        <f t="shared" si="348"/>
        <v/>
      </c>
      <c r="CL491" s="387" t="str">
        <f t="shared" si="349"/>
        <v/>
      </c>
      <c r="CM491" s="387" t="str">
        <f t="shared" si="350"/>
        <v/>
      </c>
      <c r="CN491" s="387" t="str">
        <f t="shared" si="351"/>
        <v>0348-31</v>
      </c>
    </row>
    <row r="492" spans="1:92" ht="15.75" thickBot="1" x14ac:dyDescent="0.3">
      <c r="A492" s="376" t="s">
        <v>161</v>
      </c>
      <c r="B492" s="376" t="s">
        <v>162</v>
      </c>
      <c r="C492" s="376" t="s">
        <v>1602</v>
      </c>
      <c r="D492" s="376" t="s">
        <v>862</v>
      </c>
      <c r="E492" s="376" t="s">
        <v>224</v>
      </c>
      <c r="F492" s="382" t="s">
        <v>225</v>
      </c>
      <c r="G492" s="376" t="s">
        <v>781</v>
      </c>
      <c r="H492" s="378"/>
      <c r="I492" s="378"/>
      <c r="J492" s="376" t="s">
        <v>215</v>
      </c>
      <c r="K492" s="376" t="s">
        <v>863</v>
      </c>
      <c r="L492" s="376" t="s">
        <v>252</v>
      </c>
      <c r="M492" s="376" t="s">
        <v>566</v>
      </c>
      <c r="N492" s="376" t="s">
        <v>877</v>
      </c>
      <c r="O492" s="379">
        <v>0</v>
      </c>
      <c r="P492" s="385">
        <v>0</v>
      </c>
      <c r="Q492" s="385">
        <v>0</v>
      </c>
      <c r="R492" s="380">
        <v>80</v>
      </c>
      <c r="S492" s="385">
        <v>0</v>
      </c>
      <c r="T492" s="380">
        <v>3629.62</v>
      </c>
      <c r="U492" s="380">
        <v>0</v>
      </c>
      <c r="V492" s="380">
        <v>2200.0500000000002</v>
      </c>
      <c r="W492" s="380">
        <v>0</v>
      </c>
      <c r="X492" s="380">
        <v>0</v>
      </c>
      <c r="Y492" s="380">
        <v>0</v>
      </c>
      <c r="Z492" s="380">
        <v>0</v>
      </c>
      <c r="AA492" s="378"/>
      <c r="AB492" s="376" t="s">
        <v>45</v>
      </c>
      <c r="AC492" s="376" t="s">
        <v>45</v>
      </c>
      <c r="AD492" s="378"/>
      <c r="AE492" s="378"/>
      <c r="AF492" s="378"/>
      <c r="AG492" s="378"/>
      <c r="AH492" s="379">
        <v>0</v>
      </c>
      <c r="AI492" s="379">
        <v>0</v>
      </c>
      <c r="AJ492" s="378"/>
      <c r="AK492" s="378"/>
      <c r="AL492" s="376" t="s">
        <v>181</v>
      </c>
      <c r="AM492" s="378"/>
      <c r="AN492" s="378"/>
      <c r="AO492" s="379">
        <v>0</v>
      </c>
      <c r="AP492" s="385">
        <v>0</v>
      </c>
      <c r="AQ492" s="385">
        <v>0</v>
      </c>
      <c r="AR492" s="384"/>
      <c r="AS492" s="387">
        <f t="shared" si="335"/>
        <v>0</v>
      </c>
      <c r="AT492">
        <f t="shared" si="336"/>
        <v>0</v>
      </c>
      <c r="AU492" s="387" t="str">
        <f>IF(AT492=0,"",IF(AND(AT492=1,M492="F",SUMIF(C2:C1334,C492,AS2:AS1334)&lt;=1),SUMIF(C2:C1334,C492,AS2:AS1334),IF(AND(AT492=1,M492="F",SUMIF(C2:C1334,C492,AS2:AS1334)&gt;1),1,"")))</f>
        <v/>
      </c>
      <c r="AV492" s="387" t="str">
        <f>IF(AT492=0,"",IF(AND(AT492=3,M492="F",SUMIF(C2:C1334,C492,AS2:AS1334)&lt;=1),SUMIF(C2:C1334,C492,AS2:AS1334),IF(AND(AT492=3,M492="F",SUMIF(C2:C1334,C492,AS2:AS1334)&gt;1),1,"")))</f>
        <v/>
      </c>
      <c r="AW492" s="387">
        <f>SUMIF(C2:C1334,C492,O2:O1334)</f>
        <v>0</v>
      </c>
      <c r="AX492" s="387">
        <f>IF(AND(M492="F",AS492&lt;&gt;0),SUMIF(C2:C1334,C492,W2:W1334),0)</f>
        <v>0</v>
      </c>
      <c r="AY492" s="387" t="str">
        <f t="shared" si="337"/>
        <v/>
      </c>
      <c r="AZ492" s="387" t="str">
        <f t="shared" si="338"/>
        <v/>
      </c>
      <c r="BA492" s="387">
        <f t="shared" si="339"/>
        <v>0</v>
      </c>
      <c r="BB492" s="387">
        <f t="shared" si="308"/>
        <v>0</v>
      </c>
      <c r="BC492" s="387">
        <f t="shared" si="309"/>
        <v>0</v>
      </c>
      <c r="BD492" s="387">
        <f t="shared" si="310"/>
        <v>0</v>
      </c>
      <c r="BE492" s="387">
        <f t="shared" si="311"/>
        <v>0</v>
      </c>
      <c r="BF492" s="387">
        <f t="shared" si="312"/>
        <v>0</v>
      </c>
      <c r="BG492" s="387">
        <f t="shared" si="313"/>
        <v>0</v>
      </c>
      <c r="BH492" s="387">
        <f t="shared" si="314"/>
        <v>0</v>
      </c>
      <c r="BI492" s="387">
        <f t="shared" si="315"/>
        <v>0</v>
      </c>
      <c r="BJ492" s="387">
        <f t="shared" si="316"/>
        <v>0</v>
      </c>
      <c r="BK492" s="387">
        <f t="shared" si="317"/>
        <v>0</v>
      </c>
      <c r="BL492" s="387">
        <f t="shared" si="340"/>
        <v>0</v>
      </c>
      <c r="BM492" s="387">
        <f t="shared" si="341"/>
        <v>0</v>
      </c>
      <c r="BN492" s="387">
        <f t="shared" si="318"/>
        <v>0</v>
      </c>
      <c r="BO492" s="387">
        <f t="shared" si="319"/>
        <v>0</v>
      </c>
      <c r="BP492" s="387">
        <f t="shared" si="320"/>
        <v>0</v>
      </c>
      <c r="BQ492" s="387">
        <f t="shared" si="321"/>
        <v>0</v>
      </c>
      <c r="BR492" s="387">
        <f t="shared" si="322"/>
        <v>0</v>
      </c>
      <c r="BS492" s="387">
        <f t="shared" si="323"/>
        <v>0</v>
      </c>
      <c r="BT492" s="387">
        <f t="shared" si="324"/>
        <v>0</v>
      </c>
      <c r="BU492" s="387">
        <f t="shared" si="325"/>
        <v>0</v>
      </c>
      <c r="BV492" s="387">
        <f t="shared" si="326"/>
        <v>0</v>
      </c>
      <c r="BW492" s="387">
        <f t="shared" si="327"/>
        <v>0</v>
      </c>
      <c r="BX492" s="387">
        <f t="shared" si="342"/>
        <v>0</v>
      </c>
      <c r="BY492" s="387">
        <f t="shared" si="343"/>
        <v>0</v>
      </c>
      <c r="BZ492" s="387">
        <f t="shared" si="344"/>
        <v>0</v>
      </c>
      <c r="CA492" s="387">
        <f t="shared" si="345"/>
        <v>0</v>
      </c>
      <c r="CB492" s="387">
        <f t="shared" si="346"/>
        <v>0</v>
      </c>
      <c r="CC492" s="387">
        <f t="shared" si="328"/>
        <v>0</v>
      </c>
      <c r="CD492" s="387">
        <f t="shared" si="329"/>
        <v>0</v>
      </c>
      <c r="CE492" s="387">
        <f t="shared" si="330"/>
        <v>0</v>
      </c>
      <c r="CF492" s="387">
        <f t="shared" si="331"/>
        <v>0</v>
      </c>
      <c r="CG492" s="387">
        <f t="shared" si="332"/>
        <v>0</v>
      </c>
      <c r="CH492" s="387">
        <f t="shared" si="333"/>
        <v>0</v>
      </c>
      <c r="CI492" s="387">
        <f t="shared" si="334"/>
        <v>0</v>
      </c>
      <c r="CJ492" s="387">
        <f t="shared" si="347"/>
        <v>0</v>
      </c>
      <c r="CK492" s="387" t="str">
        <f t="shared" si="348"/>
        <v/>
      </c>
      <c r="CL492" s="387" t="str">
        <f t="shared" si="349"/>
        <v/>
      </c>
      <c r="CM492" s="387" t="str">
        <f t="shared" si="350"/>
        <v/>
      </c>
      <c r="CN492" s="387" t="str">
        <f t="shared" si="351"/>
        <v>0348-31</v>
      </c>
    </row>
    <row r="493" spans="1:92" ht="15.75" thickBot="1" x14ac:dyDescent="0.3">
      <c r="A493" s="376" t="s">
        <v>161</v>
      </c>
      <c r="B493" s="376" t="s">
        <v>162</v>
      </c>
      <c r="C493" s="376" t="s">
        <v>1565</v>
      </c>
      <c r="D493" s="376" t="s">
        <v>862</v>
      </c>
      <c r="E493" s="376" t="s">
        <v>224</v>
      </c>
      <c r="F493" s="382" t="s">
        <v>225</v>
      </c>
      <c r="G493" s="376" t="s">
        <v>781</v>
      </c>
      <c r="H493" s="378"/>
      <c r="I493" s="378"/>
      <c r="J493" s="376" t="s">
        <v>168</v>
      </c>
      <c r="K493" s="376" t="s">
        <v>863</v>
      </c>
      <c r="L493" s="376" t="s">
        <v>252</v>
      </c>
      <c r="M493" s="376" t="s">
        <v>171</v>
      </c>
      <c r="N493" s="376" t="s">
        <v>172</v>
      </c>
      <c r="O493" s="379">
        <v>2</v>
      </c>
      <c r="P493" s="385">
        <v>0.7</v>
      </c>
      <c r="Q493" s="385">
        <v>0.7</v>
      </c>
      <c r="R493" s="380">
        <v>80</v>
      </c>
      <c r="S493" s="385">
        <v>0.7</v>
      </c>
      <c r="T493" s="380">
        <v>37729.89</v>
      </c>
      <c r="U493" s="380">
        <v>0</v>
      </c>
      <c r="V493" s="380">
        <v>17385.47</v>
      </c>
      <c r="W493" s="380">
        <v>27270.880000000001</v>
      </c>
      <c r="X493" s="380">
        <v>14052.3</v>
      </c>
      <c r="Y493" s="380">
        <v>27270.880000000001</v>
      </c>
      <c r="Z493" s="380">
        <v>13937.76</v>
      </c>
      <c r="AA493" s="376" t="s">
        <v>1603</v>
      </c>
      <c r="AB493" s="376" t="s">
        <v>1604</v>
      </c>
      <c r="AC493" s="376" t="s">
        <v>1605</v>
      </c>
      <c r="AD493" s="376" t="s">
        <v>170</v>
      </c>
      <c r="AE493" s="376" t="s">
        <v>863</v>
      </c>
      <c r="AF493" s="376" t="s">
        <v>393</v>
      </c>
      <c r="AG493" s="376" t="s">
        <v>178</v>
      </c>
      <c r="AH493" s="381">
        <v>18.73</v>
      </c>
      <c r="AI493" s="381">
        <v>31335.4</v>
      </c>
      <c r="AJ493" s="376" t="s">
        <v>179</v>
      </c>
      <c r="AK493" s="376" t="s">
        <v>180</v>
      </c>
      <c r="AL493" s="376" t="s">
        <v>181</v>
      </c>
      <c r="AM493" s="376" t="s">
        <v>182</v>
      </c>
      <c r="AN493" s="376" t="s">
        <v>68</v>
      </c>
      <c r="AO493" s="379">
        <v>80</v>
      </c>
      <c r="AP493" s="385">
        <v>1</v>
      </c>
      <c r="AQ493" s="385">
        <v>0.7</v>
      </c>
      <c r="AR493" s="383">
        <v>6</v>
      </c>
      <c r="AS493" s="387">
        <f t="shared" si="335"/>
        <v>0.7</v>
      </c>
      <c r="AT493">
        <f t="shared" si="336"/>
        <v>0</v>
      </c>
      <c r="AU493" s="387" t="str">
        <f>IF(AT493=0,"",IF(AND(AT493=1,M493="F",SUMIF(C2:C1334,C493,AS2:AS1334)&lt;=1),SUMIF(C2:C1334,C493,AS2:AS1334),IF(AND(AT493=1,M493="F",SUMIF(C2:C1334,C493,AS2:AS1334)&gt;1),1,"")))</f>
        <v/>
      </c>
      <c r="AV493" s="387" t="str">
        <f>IF(AT493=0,"",IF(AND(AT493=3,M493="F",SUMIF(C2:C1334,C493,AS2:AS1334)&lt;=1),SUMIF(C2:C1334,C493,AS2:AS1334),IF(AND(AT493=3,M493="F",SUMIF(C2:C1334,C493,AS2:AS1334)&gt;1),1,"")))</f>
        <v/>
      </c>
      <c r="AW493" s="387">
        <f>SUMIF(C2:C1334,C493,O2:O1334)</f>
        <v>12</v>
      </c>
      <c r="AX493" s="387">
        <f>IF(AND(M493="F",AS493&lt;&gt;0),SUMIF(C2:C1334,C493,W2:W1334),0)</f>
        <v>77916.800000000003</v>
      </c>
      <c r="AY493" s="387" t="str">
        <f t="shared" si="337"/>
        <v/>
      </c>
      <c r="AZ493" s="387" t="str">
        <f t="shared" si="338"/>
        <v/>
      </c>
      <c r="BA493" s="387">
        <f t="shared" si="339"/>
        <v>0</v>
      </c>
      <c r="BB493" s="387">
        <f t="shared" si="308"/>
        <v>0</v>
      </c>
      <c r="BC493" s="387">
        <f t="shared" si="309"/>
        <v>0</v>
      </c>
      <c r="BD493" s="387">
        <f t="shared" si="310"/>
        <v>0</v>
      </c>
      <c r="BE493" s="387">
        <f t="shared" si="311"/>
        <v>0</v>
      </c>
      <c r="BF493" s="387">
        <f t="shared" si="312"/>
        <v>0</v>
      </c>
      <c r="BG493" s="387">
        <f t="shared" si="313"/>
        <v>0</v>
      </c>
      <c r="BH493" s="387">
        <f t="shared" si="314"/>
        <v>0</v>
      </c>
      <c r="BI493" s="387">
        <f t="shared" si="315"/>
        <v>0</v>
      </c>
      <c r="BJ493" s="387">
        <f t="shared" si="316"/>
        <v>0</v>
      </c>
      <c r="BK493" s="387">
        <f t="shared" si="317"/>
        <v>0</v>
      </c>
      <c r="BL493" s="387">
        <f t="shared" si="340"/>
        <v>0</v>
      </c>
      <c r="BM493" s="387">
        <f t="shared" si="341"/>
        <v>0</v>
      </c>
      <c r="BN493" s="387">
        <f t="shared" si="318"/>
        <v>0</v>
      </c>
      <c r="BO493" s="387">
        <f t="shared" si="319"/>
        <v>0</v>
      </c>
      <c r="BP493" s="387">
        <f t="shared" si="320"/>
        <v>0</v>
      </c>
      <c r="BQ493" s="387">
        <f t="shared" si="321"/>
        <v>0</v>
      </c>
      <c r="BR493" s="387">
        <f t="shared" si="322"/>
        <v>0</v>
      </c>
      <c r="BS493" s="387">
        <f t="shared" si="323"/>
        <v>0</v>
      </c>
      <c r="BT493" s="387">
        <f t="shared" si="324"/>
        <v>0</v>
      </c>
      <c r="BU493" s="387">
        <f t="shared" si="325"/>
        <v>0</v>
      </c>
      <c r="BV493" s="387">
        <f t="shared" si="326"/>
        <v>0</v>
      </c>
      <c r="BW493" s="387">
        <f t="shared" si="327"/>
        <v>0</v>
      </c>
      <c r="BX493" s="387">
        <f t="shared" si="342"/>
        <v>0</v>
      </c>
      <c r="BY493" s="387">
        <f t="shared" si="343"/>
        <v>0</v>
      </c>
      <c r="BZ493" s="387">
        <f t="shared" si="344"/>
        <v>0</v>
      </c>
      <c r="CA493" s="387">
        <f t="shared" si="345"/>
        <v>0</v>
      </c>
      <c r="CB493" s="387">
        <f t="shared" si="346"/>
        <v>0</v>
      </c>
      <c r="CC493" s="387">
        <f t="shared" si="328"/>
        <v>0</v>
      </c>
      <c r="CD493" s="387">
        <f t="shared" si="329"/>
        <v>0</v>
      </c>
      <c r="CE493" s="387">
        <f t="shared" si="330"/>
        <v>0</v>
      </c>
      <c r="CF493" s="387">
        <f t="shared" si="331"/>
        <v>0</v>
      </c>
      <c r="CG493" s="387">
        <f t="shared" si="332"/>
        <v>0</v>
      </c>
      <c r="CH493" s="387">
        <f t="shared" si="333"/>
        <v>0</v>
      </c>
      <c r="CI493" s="387">
        <f t="shared" si="334"/>
        <v>0</v>
      </c>
      <c r="CJ493" s="387">
        <f t="shared" si="347"/>
        <v>0</v>
      </c>
      <c r="CK493" s="387" t="str">
        <f t="shared" si="348"/>
        <v/>
      </c>
      <c r="CL493" s="387" t="str">
        <f t="shared" si="349"/>
        <v/>
      </c>
      <c r="CM493" s="387" t="str">
        <f t="shared" si="350"/>
        <v/>
      </c>
      <c r="CN493" s="387" t="str">
        <f t="shared" si="351"/>
        <v>0348-31</v>
      </c>
    </row>
    <row r="494" spans="1:92" ht="15.75" thickBot="1" x14ac:dyDescent="0.3">
      <c r="A494" s="376" t="s">
        <v>161</v>
      </c>
      <c r="B494" s="376" t="s">
        <v>162</v>
      </c>
      <c r="C494" s="376" t="s">
        <v>1606</v>
      </c>
      <c r="D494" s="376" t="s">
        <v>974</v>
      </c>
      <c r="E494" s="376" t="s">
        <v>224</v>
      </c>
      <c r="F494" s="382" t="s">
        <v>225</v>
      </c>
      <c r="G494" s="376" t="s">
        <v>781</v>
      </c>
      <c r="H494" s="378"/>
      <c r="I494" s="378"/>
      <c r="J494" s="376" t="s">
        <v>215</v>
      </c>
      <c r="K494" s="376" t="s">
        <v>975</v>
      </c>
      <c r="L494" s="376" t="s">
        <v>296</v>
      </c>
      <c r="M494" s="376" t="s">
        <v>171</v>
      </c>
      <c r="N494" s="376" t="s">
        <v>172</v>
      </c>
      <c r="O494" s="379">
        <v>1</v>
      </c>
      <c r="P494" s="385">
        <v>0</v>
      </c>
      <c r="Q494" s="385">
        <v>0</v>
      </c>
      <c r="R494" s="380">
        <v>80</v>
      </c>
      <c r="S494" s="385">
        <v>0</v>
      </c>
      <c r="T494" s="380">
        <v>832.8</v>
      </c>
      <c r="U494" s="380">
        <v>0</v>
      </c>
      <c r="V494" s="380">
        <v>421.46</v>
      </c>
      <c r="W494" s="380">
        <v>0</v>
      </c>
      <c r="X494" s="380">
        <v>0</v>
      </c>
      <c r="Y494" s="380">
        <v>0</v>
      </c>
      <c r="Z494" s="380">
        <v>0</v>
      </c>
      <c r="AA494" s="376" t="s">
        <v>1607</v>
      </c>
      <c r="AB494" s="376" t="s">
        <v>1608</v>
      </c>
      <c r="AC494" s="376" t="s">
        <v>912</v>
      </c>
      <c r="AD494" s="376" t="s">
        <v>180</v>
      </c>
      <c r="AE494" s="376" t="s">
        <v>975</v>
      </c>
      <c r="AF494" s="376" t="s">
        <v>301</v>
      </c>
      <c r="AG494" s="376" t="s">
        <v>178</v>
      </c>
      <c r="AH494" s="381">
        <v>20.82</v>
      </c>
      <c r="AI494" s="381">
        <v>43540.2</v>
      </c>
      <c r="AJ494" s="376" t="s">
        <v>179</v>
      </c>
      <c r="AK494" s="376" t="s">
        <v>180</v>
      </c>
      <c r="AL494" s="376" t="s">
        <v>181</v>
      </c>
      <c r="AM494" s="376" t="s">
        <v>182</v>
      </c>
      <c r="AN494" s="376" t="s">
        <v>68</v>
      </c>
      <c r="AO494" s="379">
        <v>80</v>
      </c>
      <c r="AP494" s="385">
        <v>1</v>
      </c>
      <c r="AQ494" s="385">
        <v>0</v>
      </c>
      <c r="AR494" s="383" t="s">
        <v>183</v>
      </c>
      <c r="AS494" s="387">
        <f t="shared" si="335"/>
        <v>0</v>
      </c>
      <c r="AT494">
        <f t="shared" si="336"/>
        <v>0</v>
      </c>
      <c r="AU494" s="387" t="str">
        <f>IF(AT494=0,"",IF(AND(AT494=1,M494="F",SUMIF(C2:C1334,C494,AS2:AS1334)&lt;=1),SUMIF(C2:C1334,C494,AS2:AS1334),IF(AND(AT494=1,M494="F",SUMIF(C2:C1334,C494,AS2:AS1334)&gt;1),1,"")))</f>
        <v/>
      </c>
      <c r="AV494" s="387" t="str">
        <f>IF(AT494=0,"",IF(AND(AT494=3,M494="F",SUMIF(C2:C1334,C494,AS2:AS1334)&lt;=1),SUMIF(C2:C1334,C494,AS2:AS1334),IF(AND(AT494=3,M494="F",SUMIF(C2:C1334,C494,AS2:AS1334)&gt;1),1,"")))</f>
        <v/>
      </c>
      <c r="AW494" s="387">
        <f>SUMIF(C2:C1334,C494,O2:O1334)</f>
        <v>2</v>
      </c>
      <c r="AX494" s="387">
        <f>IF(AND(M494="F",AS494&lt;&gt;0),SUMIF(C2:C1334,C494,W2:W1334),0)</f>
        <v>0</v>
      </c>
      <c r="AY494" s="387" t="str">
        <f t="shared" si="337"/>
        <v/>
      </c>
      <c r="AZ494" s="387" t="str">
        <f t="shared" si="338"/>
        <v/>
      </c>
      <c r="BA494" s="387">
        <f t="shared" si="339"/>
        <v>0</v>
      </c>
      <c r="BB494" s="387">
        <f t="shared" si="308"/>
        <v>0</v>
      </c>
      <c r="BC494" s="387">
        <f t="shared" si="309"/>
        <v>0</v>
      </c>
      <c r="BD494" s="387">
        <f t="shared" si="310"/>
        <v>0</v>
      </c>
      <c r="BE494" s="387">
        <f t="shared" si="311"/>
        <v>0</v>
      </c>
      <c r="BF494" s="387">
        <f t="shared" si="312"/>
        <v>0</v>
      </c>
      <c r="BG494" s="387">
        <f t="shared" si="313"/>
        <v>0</v>
      </c>
      <c r="BH494" s="387">
        <f t="shared" si="314"/>
        <v>0</v>
      </c>
      <c r="BI494" s="387">
        <f t="shared" si="315"/>
        <v>0</v>
      </c>
      <c r="BJ494" s="387">
        <f t="shared" si="316"/>
        <v>0</v>
      </c>
      <c r="BK494" s="387">
        <f t="shared" si="317"/>
        <v>0</v>
      </c>
      <c r="BL494" s="387">
        <f t="shared" si="340"/>
        <v>0</v>
      </c>
      <c r="BM494" s="387">
        <f t="shared" si="341"/>
        <v>0</v>
      </c>
      <c r="BN494" s="387">
        <f t="shared" si="318"/>
        <v>0</v>
      </c>
      <c r="BO494" s="387">
        <f t="shared" si="319"/>
        <v>0</v>
      </c>
      <c r="BP494" s="387">
        <f t="shared" si="320"/>
        <v>0</v>
      </c>
      <c r="BQ494" s="387">
        <f t="shared" si="321"/>
        <v>0</v>
      </c>
      <c r="BR494" s="387">
        <f t="shared" si="322"/>
        <v>0</v>
      </c>
      <c r="BS494" s="387">
        <f t="shared" si="323"/>
        <v>0</v>
      </c>
      <c r="BT494" s="387">
        <f t="shared" si="324"/>
        <v>0</v>
      </c>
      <c r="BU494" s="387">
        <f t="shared" si="325"/>
        <v>0</v>
      </c>
      <c r="BV494" s="387">
        <f t="shared" si="326"/>
        <v>0</v>
      </c>
      <c r="BW494" s="387">
        <f t="shared" si="327"/>
        <v>0</v>
      </c>
      <c r="BX494" s="387">
        <f t="shared" si="342"/>
        <v>0</v>
      </c>
      <c r="BY494" s="387">
        <f t="shared" si="343"/>
        <v>0</v>
      </c>
      <c r="BZ494" s="387">
        <f t="shared" si="344"/>
        <v>0</v>
      </c>
      <c r="CA494" s="387">
        <f t="shared" si="345"/>
        <v>0</v>
      </c>
      <c r="CB494" s="387">
        <f t="shared" si="346"/>
        <v>0</v>
      </c>
      <c r="CC494" s="387">
        <f t="shared" si="328"/>
        <v>0</v>
      </c>
      <c r="CD494" s="387">
        <f t="shared" si="329"/>
        <v>0</v>
      </c>
      <c r="CE494" s="387">
        <f t="shared" si="330"/>
        <v>0</v>
      </c>
      <c r="CF494" s="387">
        <f t="shared" si="331"/>
        <v>0</v>
      </c>
      <c r="CG494" s="387">
        <f t="shared" si="332"/>
        <v>0</v>
      </c>
      <c r="CH494" s="387">
        <f t="shared" si="333"/>
        <v>0</v>
      </c>
      <c r="CI494" s="387">
        <f t="shared" si="334"/>
        <v>0</v>
      </c>
      <c r="CJ494" s="387">
        <f t="shared" si="347"/>
        <v>0</v>
      </c>
      <c r="CK494" s="387" t="str">
        <f t="shared" si="348"/>
        <v/>
      </c>
      <c r="CL494" s="387" t="str">
        <f t="shared" si="349"/>
        <v/>
      </c>
      <c r="CM494" s="387" t="str">
        <f t="shared" si="350"/>
        <v/>
      </c>
      <c r="CN494" s="387" t="str">
        <f t="shared" si="351"/>
        <v>0348-31</v>
      </c>
    </row>
    <row r="495" spans="1:92" ht="15.75" thickBot="1" x14ac:dyDescent="0.3">
      <c r="A495" s="376" t="s">
        <v>161</v>
      </c>
      <c r="B495" s="376" t="s">
        <v>162</v>
      </c>
      <c r="C495" s="376" t="s">
        <v>1609</v>
      </c>
      <c r="D495" s="376" t="s">
        <v>270</v>
      </c>
      <c r="E495" s="376" t="s">
        <v>224</v>
      </c>
      <c r="F495" s="382" t="s">
        <v>225</v>
      </c>
      <c r="G495" s="376" t="s">
        <v>781</v>
      </c>
      <c r="H495" s="378"/>
      <c r="I495" s="378"/>
      <c r="J495" s="376" t="s">
        <v>215</v>
      </c>
      <c r="K495" s="376" t="s">
        <v>271</v>
      </c>
      <c r="L495" s="376" t="s">
        <v>217</v>
      </c>
      <c r="M495" s="376" t="s">
        <v>171</v>
      </c>
      <c r="N495" s="376" t="s">
        <v>172</v>
      </c>
      <c r="O495" s="379">
        <v>1</v>
      </c>
      <c r="P495" s="385">
        <v>0</v>
      </c>
      <c r="Q495" s="385">
        <v>0</v>
      </c>
      <c r="R495" s="380">
        <v>80</v>
      </c>
      <c r="S495" s="385">
        <v>0</v>
      </c>
      <c r="T495" s="380">
        <v>10752</v>
      </c>
      <c r="U495" s="380">
        <v>0</v>
      </c>
      <c r="V495" s="380">
        <v>7004.16</v>
      </c>
      <c r="W495" s="380">
        <v>0</v>
      </c>
      <c r="X495" s="380">
        <v>0</v>
      </c>
      <c r="Y495" s="380">
        <v>0</v>
      </c>
      <c r="Z495" s="380">
        <v>0</v>
      </c>
      <c r="AA495" s="376" t="s">
        <v>1610</v>
      </c>
      <c r="AB495" s="376" t="s">
        <v>977</v>
      </c>
      <c r="AC495" s="376" t="s">
        <v>365</v>
      </c>
      <c r="AD495" s="376" t="s">
        <v>198</v>
      </c>
      <c r="AE495" s="376" t="s">
        <v>271</v>
      </c>
      <c r="AF495" s="376" t="s">
        <v>221</v>
      </c>
      <c r="AG495" s="376" t="s">
        <v>178</v>
      </c>
      <c r="AH495" s="379">
        <v>16</v>
      </c>
      <c r="AI495" s="379">
        <v>752</v>
      </c>
      <c r="AJ495" s="376" t="s">
        <v>179</v>
      </c>
      <c r="AK495" s="376" t="s">
        <v>180</v>
      </c>
      <c r="AL495" s="376" t="s">
        <v>181</v>
      </c>
      <c r="AM495" s="376" t="s">
        <v>182</v>
      </c>
      <c r="AN495" s="376" t="s">
        <v>68</v>
      </c>
      <c r="AO495" s="379">
        <v>80</v>
      </c>
      <c r="AP495" s="385">
        <v>1</v>
      </c>
      <c r="AQ495" s="385">
        <v>0</v>
      </c>
      <c r="AR495" s="383" t="s">
        <v>183</v>
      </c>
      <c r="AS495" s="387">
        <f t="shared" si="335"/>
        <v>0</v>
      </c>
      <c r="AT495">
        <f t="shared" si="336"/>
        <v>0</v>
      </c>
      <c r="AU495" s="387" t="str">
        <f>IF(AT495=0,"",IF(AND(AT495=1,M495="F",SUMIF(C2:C1334,C495,AS2:AS1334)&lt;=1),SUMIF(C2:C1334,C495,AS2:AS1334),IF(AND(AT495=1,M495="F",SUMIF(C2:C1334,C495,AS2:AS1334)&gt;1),1,"")))</f>
        <v/>
      </c>
      <c r="AV495" s="387" t="str">
        <f>IF(AT495=0,"",IF(AND(AT495=3,M495="F",SUMIF(C2:C1334,C495,AS2:AS1334)&lt;=1),SUMIF(C2:C1334,C495,AS2:AS1334),IF(AND(AT495=3,M495="F",SUMIF(C2:C1334,C495,AS2:AS1334)&gt;1),1,"")))</f>
        <v/>
      </c>
      <c r="AW495" s="387">
        <f>SUMIF(C2:C1334,C495,O2:O1334)</f>
        <v>2</v>
      </c>
      <c r="AX495" s="387">
        <f>IF(AND(M495="F",AS495&lt;&gt;0),SUMIF(C2:C1334,C495,W2:W1334),0)</f>
        <v>0</v>
      </c>
      <c r="AY495" s="387" t="str">
        <f t="shared" si="337"/>
        <v/>
      </c>
      <c r="AZ495" s="387" t="str">
        <f t="shared" si="338"/>
        <v/>
      </c>
      <c r="BA495" s="387">
        <f t="shared" si="339"/>
        <v>0</v>
      </c>
      <c r="BB495" s="387">
        <f t="shared" si="308"/>
        <v>0</v>
      </c>
      <c r="BC495" s="387">
        <f t="shared" si="309"/>
        <v>0</v>
      </c>
      <c r="BD495" s="387">
        <f t="shared" si="310"/>
        <v>0</v>
      </c>
      <c r="BE495" s="387">
        <f t="shared" si="311"/>
        <v>0</v>
      </c>
      <c r="BF495" s="387">
        <f t="shared" si="312"/>
        <v>0</v>
      </c>
      <c r="BG495" s="387">
        <f t="shared" si="313"/>
        <v>0</v>
      </c>
      <c r="BH495" s="387">
        <f t="shared" si="314"/>
        <v>0</v>
      </c>
      <c r="BI495" s="387">
        <f t="shared" si="315"/>
        <v>0</v>
      </c>
      <c r="BJ495" s="387">
        <f t="shared" si="316"/>
        <v>0</v>
      </c>
      <c r="BK495" s="387">
        <f t="shared" si="317"/>
        <v>0</v>
      </c>
      <c r="BL495" s="387">
        <f t="shared" si="340"/>
        <v>0</v>
      </c>
      <c r="BM495" s="387">
        <f t="shared" si="341"/>
        <v>0</v>
      </c>
      <c r="BN495" s="387">
        <f t="shared" si="318"/>
        <v>0</v>
      </c>
      <c r="BO495" s="387">
        <f t="shared" si="319"/>
        <v>0</v>
      </c>
      <c r="BP495" s="387">
        <f t="shared" si="320"/>
        <v>0</v>
      </c>
      <c r="BQ495" s="387">
        <f t="shared" si="321"/>
        <v>0</v>
      </c>
      <c r="BR495" s="387">
        <f t="shared" si="322"/>
        <v>0</v>
      </c>
      <c r="BS495" s="387">
        <f t="shared" si="323"/>
        <v>0</v>
      </c>
      <c r="BT495" s="387">
        <f t="shared" si="324"/>
        <v>0</v>
      </c>
      <c r="BU495" s="387">
        <f t="shared" si="325"/>
        <v>0</v>
      </c>
      <c r="BV495" s="387">
        <f t="shared" si="326"/>
        <v>0</v>
      </c>
      <c r="BW495" s="387">
        <f t="shared" si="327"/>
        <v>0</v>
      </c>
      <c r="BX495" s="387">
        <f t="shared" si="342"/>
        <v>0</v>
      </c>
      <c r="BY495" s="387">
        <f t="shared" si="343"/>
        <v>0</v>
      </c>
      <c r="BZ495" s="387">
        <f t="shared" si="344"/>
        <v>0</v>
      </c>
      <c r="CA495" s="387">
        <f t="shared" si="345"/>
        <v>0</v>
      </c>
      <c r="CB495" s="387">
        <f t="shared" si="346"/>
        <v>0</v>
      </c>
      <c r="CC495" s="387">
        <f t="shared" si="328"/>
        <v>0</v>
      </c>
      <c r="CD495" s="387">
        <f t="shared" si="329"/>
        <v>0</v>
      </c>
      <c r="CE495" s="387">
        <f t="shared" si="330"/>
        <v>0</v>
      </c>
      <c r="CF495" s="387">
        <f t="shared" si="331"/>
        <v>0</v>
      </c>
      <c r="CG495" s="387">
        <f t="shared" si="332"/>
        <v>0</v>
      </c>
      <c r="CH495" s="387">
        <f t="shared" si="333"/>
        <v>0</v>
      </c>
      <c r="CI495" s="387">
        <f t="shared" si="334"/>
        <v>0</v>
      </c>
      <c r="CJ495" s="387">
        <f t="shared" si="347"/>
        <v>0</v>
      </c>
      <c r="CK495" s="387" t="str">
        <f t="shared" si="348"/>
        <v/>
      </c>
      <c r="CL495" s="387" t="str">
        <f t="shared" si="349"/>
        <v/>
      </c>
      <c r="CM495" s="387" t="str">
        <f t="shared" si="350"/>
        <v/>
      </c>
      <c r="CN495" s="387" t="str">
        <f t="shared" si="351"/>
        <v>0348-31</v>
      </c>
    </row>
    <row r="496" spans="1:92" ht="15.75" thickBot="1" x14ac:dyDescent="0.3">
      <c r="A496" s="376" t="s">
        <v>161</v>
      </c>
      <c r="B496" s="376" t="s">
        <v>162</v>
      </c>
      <c r="C496" s="376" t="s">
        <v>1611</v>
      </c>
      <c r="D496" s="376" t="s">
        <v>375</v>
      </c>
      <c r="E496" s="376" t="s">
        <v>224</v>
      </c>
      <c r="F496" s="382" t="s">
        <v>225</v>
      </c>
      <c r="G496" s="376" t="s">
        <v>781</v>
      </c>
      <c r="H496" s="378"/>
      <c r="I496" s="378"/>
      <c r="J496" s="376" t="s">
        <v>239</v>
      </c>
      <c r="K496" s="376" t="s">
        <v>376</v>
      </c>
      <c r="L496" s="376" t="s">
        <v>178</v>
      </c>
      <c r="M496" s="376" t="s">
        <v>171</v>
      </c>
      <c r="N496" s="376" t="s">
        <v>172</v>
      </c>
      <c r="O496" s="379">
        <v>1</v>
      </c>
      <c r="P496" s="385">
        <v>0</v>
      </c>
      <c r="Q496" s="385">
        <v>0</v>
      </c>
      <c r="R496" s="380">
        <v>80</v>
      </c>
      <c r="S496" s="385">
        <v>0</v>
      </c>
      <c r="T496" s="380">
        <v>154.77000000000001</v>
      </c>
      <c r="U496" s="380">
        <v>111.15</v>
      </c>
      <c r="V496" s="380">
        <v>150.01</v>
      </c>
      <c r="W496" s="380">
        <v>0</v>
      </c>
      <c r="X496" s="380">
        <v>0</v>
      </c>
      <c r="Y496" s="380">
        <v>0</v>
      </c>
      <c r="Z496" s="380">
        <v>0</v>
      </c>
      <c r="AA496" s="376" t="s">
        <v>1612</v>
      </c>
      <c r="AB496" s="376" t="s">
        <v>1613</v>
      </c>
      <c r="AC496" s="376" t="s">
        <v>451</v>
      </c>
      <c r="AD496" s="376" t="s">
        <v>324</v>
      </c>
      <c r="AE496" s="376" t="s">
        <v>376</v>
      </c>
      <c r="AF496" s="376" t="s">
        <v>253</v>
      </c>
      <c r="AG496" s="376" t="s">
        <v>178</v>
      </c>
      <c r="AH496" s="381">
        <v>14.82</v>
      </c>
      <c r="AI496" s="379">
        <v>10828</v>
      </c>
      <c r="AJ496" s="376" t="s">
        <v>179</v>
      </c>
      <c r="AK496" s="376" t="s">
        <v>180</v>
      </c>
      <c r="AL496" s="376" t="s">
        <v>181</v>
      </c>
      <c r="AM496" s="376" t="s">
        <v>182</v>
      </c>
      <c r="AN496" s="376" t="s">
        <v>68</v>
      </c>
      <c r="AO496" s="379">
        <v>80</v>
      </c>
      <c r="AP496" s="385">
        <v>1</v>
      </c>
      <c r="AQ496" s="385">
        <v>0</v>
      </c>
      <c r="AR496" s="383" t="s">
        <v>183</v>
      </c>
      <c r="AS496" s="387">
        <f t="shared" si="335"/>
        <v>0</v>
      </c>
      <c r="AT496">
        <f t="shared" si="336"/>
        <v>0</v>
      </c>
      <c r="AU496" s="387" t="str">
        <f>IF(AT496=0,"",IF(AND(AT496=1,M496="F",SUMIF(C2:C1334,C496,AS2:AS1334)&lt;=1),SUMIF(C2:C1334,C496,AS2:AS1334),IF(AND(AT496=1,M496="F",SUMIF(C2:C1334,C496,AS2:AS1334)&gt;1),1,"")))</f>
        <v/>
      </c>
      <c r="AV496" s="387" t="str">
        <f>IF(AT496=0,"",IF(AND(AT496=3,M496="F",SUMIF(C2:C1334,C496,AS2:AS1334)&lt;=1),SUMIF(C2:C1334,C496,AS2:AS1334),IF(AND(AT496=3,M496="F",SUMIF(C2:C1334,C496,AS2:AS1334)&gt;1),1,"")))</f>
        <v/>
      </c>
      <c r="AW496" s="387">
        <f>SUMIF(C2:C1334,C496,O2:O1334)</f>
        <v>4</v>
      </c>
      <c r="AX496" s="387">
        <f>IF(AND(M496="F",AS496&lt;&gt;0),SUMIF(C2:C1334,C496,W2:W1334),0)</f>
        <v>0</v>
      </c>
      <c r="AY496" s="387" t="str">
        <f t="shared" si="337"/>
        <v/>
      </c>
      <c r="AZ496" s="387" t="str">
        <f t="shared" si="338"/>
        <v/>
      </c>
      <c r="BA496" s="387">
        <f t="shared" si="339"/>
        <v>0</v>
      </c>
      <c r="BB496" s="387">
        <f t="shared" si="308"/>
        <v>0</v>
      </c>
      <c r="BC496" s="387">
        <f t="shared" si="309"/>
        <v>0</v>
      </c>
      <c r="BD496" s="387">
        <f t="shared" si="310"/>
        <v>0</v>
      </c>
      <c r="BE496" s="387">
        <f t="shared" si="311"/>
        <v>0</v>
      </c>
      <c r="BF496" s="387">
        <f t="shared" si="312"/>
        <v>0</v>
      </c>
      <c r="BG496" s="387">
        <f t="shared" si="313"/>
        <v>0</v>
      </c>
      <c r="BH496" s="387">
        <f t="shared" si="314"/>
        <v>0</v>
      </c>
      <c r="BI496" s="387">
        <f t="shared" si="315"/>
        <v>0</v>
      </c>
      <c r="BJ496" s="387">
        <f t="shared" si="316"/>
        <v>0</v>
      </c>
      <c r="BK496" s="387">
        <f t="shared" si="317"/>
        <v>0</v>
      </c>
      <c r="BL496" s="387">
        <f t="shared" si="340"/>
        <v>0</v>
      </c>
      <c r="BM496" s="387">
        <f t="shared" si="341"/>
        <v>0</v>
      </c>
      <c r="BN496" s="387">
        <f t="shared" si="318"/>
        <v>0</v>
      </c>
      <c r="BO496" s="387">
        <f t="shared" si="319"/>
        <v>0</v>
      </c>
      <c r="BP496" s="387">
        <f t="shared" si="320"/>
        <v>0</v>
      </c>
      <c r="BQ496" s="387">
        <f t="shared" si="321"/>
        <v>0</v>
      </c>
      <c r="BR496" s="387">
        <f t="shared" si="322"/>
        <v>0</v>
      </c>
      <c r="BS496" s="387">
        <f t="shared" si="323"/>
        <v>0</v>
      </c>
      <c r="BT496" s="387">
        <f t="shared" si="324"/>
        <v>0</v>
      </c>
      <c r="BU496" s="387">
        <f t="shared" si="325"/>
        <v>0</v>
      </c>
      <c r="BV496" s="387">
        <f t="shared" si="326"/>
        <v>0</v>
      </c>
      <c r="BW496" s="387">
        <f t="shared" si="327"/>
        <v>0</v>
      </c>
      <c r="BX496" s="387">
        <f t="shared" si="342"/>
        <v>0</v>
      </c>
      <c r="BY496" s="387">
        <f t="shared" si="343"/>
        <v>0</v>
      </c>
      <c r="BZ496" s="387">
        <f t="shared" si="344"/>
        <v>0</v>
      </c>
      <c r="CA496" s="387">
        <f t="shared" si="345"/>
        <v>0</v>
      </c>
      <c r="CB496" s="387">
        <f t="shared" si="346"/>
        <v>0</v>
      </c>
      <c r="CC496" s="387">
        <f t="shared" si="328"/>
        <v>0</v>
      </c>
      <c r="CD496" s="387">
        <f t="shared" si="329"/>
        <v>0</v>
      </c>
      <c r="CE496" s="387">
        <f t="shared" si="330"/>
        <v>0</v>
      </c>
      <c r="CF496" s="387">
        <f t="shared" si="331"/>
        <v>0</v>
      </c>
      <c r="CG496" s="387">
        <f t="shared" si="332"/>
        <v>0</v>
      </c>
      <c r="CH496" s="387">
        <f t="shared" si="333"/>
        <v>0</v>
      </c>
      <c r="CI496" s="387">
        <f t="shared" si="334"/>
        <v>0</v>
      </c>
      <c r="CJ496" s="387">
        <f t="shared" si="347"/>
        <v>0</v>
      </c>
      <c r="CK496" s="387" t="str">
        <f t="shared" si="348"/>
        <v/>
      </c>
      <c r="CL496" s="387" t="str">
        <f t="shared" si="349"/>
        <v/>
      </c>
      <c r="CM496" s="387" t="str">
        <f t="shared" si="350"/>
        <v/>
      </c>
      <c r="CN496" s="387" t="str">
        <f t="shared" si="351"/>
        <v>0348-31</v>
      </c>
    </row>
    <row r="497" spans="1:92" ht="15.75" thickBot="1" x14ac:dyDescent="0.3">
      <c r="A497" s="376" t="s">
        <v>161</v>
      </c>
      <c r="B497" s="376" t="s">
        <v>162</v>
      </c>
      <c r="C497" s="376" t="s">
        <v>367</v>
      </c>
      <c r="D497" s="376" t="s">
        <v>368</v>
      </c>
      <c r="E497" s="376" t="s">
        <v>224</v>
      </c>
      <c r="F497" s="382" t="s">
        <v>225</v>
      </c>
      <c r="G497" s="376" t="s">
        <v>781</v>
      </c>
      <c r="H497" s="378"/>
      <c r="I497" s="378"/>
      <c r="J497" s="376" t="s">
        <v>215</v>
      </c>
      <c r="K497" s="376" t="s">
        <v>369</v>
      </c>
      <c r="L497" s="376" t="s">
        <v>170</v>
      </c>
      <c r="M497" s="376" t="s">
        <v>171</v>
      </c>
      <c r="N497" s="376" t="s">
        <v>172</v>
      </c>
      <c r="O497" s="379">
        <v>1</v>
      </c>
      <c r="P497" s="385">
        <v>0</v>
      </c>
      <c r="Q497" s="385">
        <v>0</v>
      </c>
      <c r="R497" s="380">
        <v>80</v>
      </c>
      <c r="S497" s="385">
        <v>0</v>
      </c>
      <c r="T497" s="380">
        <v>77471.28</v>
      </c>
      <c r="U497" s="380">
        <v>0</v>
      </c>
      <c r="V497" s="380">
        <v>27390.86</v>
      </c>
      <c r="W497" s="380">
        <v>0</v>
      </c>
      <c r="X497" s="380">
        <v>0</v>
      </c>
      <c r="Y497" s="380">
        <v>0</v>
      </c>
      <c r="Z497" s="380">
        <v>0</v>
      </c>
      <c r="AA497" s="376" t="s">
        <v>370</v>
      </c>
      <c r="AB497" s="376" t="s">
        <v>371</v>
      </c>
      <c r="AC497" s="376" t="s">
        <v>372</v>
      </c>
      <c r="AD497" s="376" t="s">
        <v>373</v>
      </c>
      <c r="AE497" s="376" t="s">
        <v>369</v>
      </c>
      <c r="AF497" s="376" t="s">
        <v>177</v>
      </c>
      <c r="AG497" s="376" t="s">
        <v>178</v>
      </c>
      <c r="AH497" s="381">
        <v>39.47</v>
      </c>
      <c r="AI497" s="381">
        <v>37447.699999999997</v>
      </c>
      <c r="AJ497" s="376" t="s">
        <v>179</v>
      </c>
      <c r="AK497" s="376" t="s">
        <v>180</v>
      </c>
      <c r="AL497" s="376" t="s">
        <v>181</v>
      </c>
      <c r="AM497" s="376" t="s">
        <v>182</v>
      </c>
      <c r="AN497" s="376" t="s">
        <v>68</v>
      </c>
      <c r="AO497" s="379">
        <v>80</v>
      </c>
      <c r="AP497" s="385">
        <v>1</v>
      </c>
      <c r="AQ497" s="385">
        <v>0</v>
      </c>
      <c r="AR497" s="383" t="s">
        <v>183</v>
      </c>
      <c r="AS497" s="387">
        <f t="shared" si="335"/>
        <v>0</v>
      </c>
      <c r="AT497">
        <f t="shared" si="336"/>
        <v>0</v>
      </c>
      <c r="AU497" s="387" t="str">
        <f>IF(AT497=0,"",IF(AND(AT497=1,M497="F",SUMIF(C2:C1334,C497,AS2:AS1334)&lt;=1),SUMIF(C2:C1334,C497,AS2:AS1334),IF(AND(AT497=1,M497="F",SUMIF(C2:C1334,C497,AS2:AS1334)&gt;1),1,"")))</f>
        <v/>
      </c>
      <c r="AV497" s="387" t="str">
        <f>IF(AT497=0,"",IF(AND(AT497=3,M497="F",SUMIF(C2:C1334,C497,AS2:AS1334)&lt;=1),SUMIF(C2:C1334,C497,AS2:AS1334),IF(AND(AT497=3,M497="F",SUMIF(C2:C1334,C497,AS2:AS1334)&gt;1),1,"")))</f>
        <v/>
      </c>
      <c r="AW497" s="387">
        <f>SUMIF(C2:C1334,C497,O2:O1334)</f>
        <v>4</v>
      </c>
      <c r="AX497" s="387">
        <f>IF(AND(M497="F",AS497&lt;&gt;0),SUMIF(C2:C1334,C497,W2:W1334),0)</f>
        <v>0</v>
      </c>
      <c r="AY497" s="387" t="str">
        <f t="shared" si="337"/>
        <v/>
      </c>
      <c r="AZ497" s="387" t="str">
        <f t="shared" si="338"/>
        <v/>
      </c>
      <c r="BA497" s="387">
        <f t="shared" si="339"/>
        <v>0</v>
      </c>
      <c r="BB497" s="387">
        <f t="shared" si="308"/>
        <v>0</v>
      </c>
      <c r="BC497" s="387">
        <f t="shared" si="309"/>
        <v>0</v>
      </c>
      <c r="BD497" s="387">
        <f t="shared" si="310"/>
        <v>0</v>
      </c>
      <c r="BE497" s="387">
        <f t="shared" si="311"/>
        <v>0</v>
      </c>
      <c r="BF497" s="387">
        <f t="shared" si="312"/>
        <v>0</v>
      </c>
      <c r="BG497" s="387">
        <f t="shared" si="313"/>
        <v>0</v>
      </c>
      <c r="BH497" s="387">
        <f t="shared" si="314"/>
        <v>0</v>
      </c>
      <c r="BI497" s="387">
        <f t="shared" si="315"/>
        <v>0</v>
      </c>
      <c r="BJ497" s="387">
        <f t="shared" si="316"/>
        <v>0</v>
      </c>
      <c r="BK497" s="387">
        <f t="shared" si="317"/>
        <v>0</v>
      </c>
      <c r="BL497" s="387">
        <f t="shared" si="340"/>
        <v>0</v>
      </c>
      <c r="BM497" s="387">
        <f t="shared" si="341"/>
        <v>0</v>
      </c>
      <c r="BN497" s="387">
        <f t="shared" si="318"/>
        <v>0</v>
      </c>
      <c r="BO497" s="387">
        <f t="shared" si="319"/>
        <v>0</v>
      </c>
      <c r="BP497" s="387">
        <f t="shared" si="320"/>
        <v>0</v>
      </c>
      <c r="BQ497" s="387">
        <f t="shared" si="321"/>
        <v>0</v>
      </c>
      <c r="BR497" s="387">
        <f t="shared" si="322"/>
        <v>0</v>
      </c>
      <c r="BS497" s="387">
        <f t="shared" si="323"/>
        <v>0</v>
      </c>
      <c r="BT497" s="387">
        <f t="shared" si="324"/>
        <v>0</v>
      </c>
      <c r="BU497" s="387">
        <f t="shared" si="325"/>
        <v>0</v>
      </c>
      <c r="BV497" s="387">
        <f t="shared" si="326"/>
        <v>0</v>
      </c>
      <c r="BW497" s="387">
        <f t="shared" si="327"/>
        <v>0</v>
      </c>
      <c r="BX497" s="387">
        <f t="shared" si="342"/>
        <v>0</v>
      </c>
      <c r="BY497" s="387">
        <f t="shared" si="343"/>
        <v>0</v>
      </c>
      <c r="BZ497" s="387">
        <f t="shared" si="344"/>
        <v>0</v>
      </c>
      <c r="CA497" s="387">
        <f t="shared" si="345"/>
        <v>0</v>
      </c>
      <c r="CB497" s="387">
        <f t="shared" si="346"/>
        <v>0</v>
      </c>
      <c r="CC497" s="387">
        <f t="shared" si="328"/>
        <v>0</v>
      </c>
      <c r="CD497" s="387">
        <f t="shared" si="329"/>
        <v>0</v>
      </c>
      <c r="CE497" s="387">
        <f t="shared" si="330"/>
        <v>0</v>
      </c>
      <c r="CF497" s="387">
        <f t="shared" si="331"/>
        <v>0</v>
      </c>
      <c r="CG497" s="387">
        <f t="shared" si="332"/>
        <v>0</v>
      </c>
      <c r="CH497" s="387">
        <f t="shared" si="333"/>
        <v>0</v>
      </c>
      <c r="CI497" s="387">
        <f t="shared" si="334"/>
        <v>0</v>
      </c>
      <c r="CJ497" s="387">
        <f t="shared" si="347"/>
        <v>0</v>
      </c>
      <c r="CK497" s="387" t="str">
        <f t="shared" si="348"/>
        <v/>
      </c>
      <c r="CL497" s="387" t="str">
        <f t="shared" si="349"/>
        <v/>
      </c>
      <c r="CM497" s="387" t="str">
        <f t="shared" si="350"/>
        <v/>
      </c>
      <c r="CN497" s="387" t="str">
        <f t="shared" si="351"/>
        <v>0348-31</v>
      </c>
    </row>
    <row r="498" spans="1:92" ht="15.75" thickBot="1" x14ac:dyDescent="0.3">
      <c r="A498" s="376" t="s">
        <v>161</v>
      </c>
      <c r="B498" s="376" t="s">
        <v>162</v>
      </c>
      <c r="C498" s="376" t="s">
        <v>1614</v>
      </c>
      <c r="D498" s="376" t="s">
        <v>868</v>
      </c>
      <c r="E498" s="376" t="s">
        <v>224</v>
      </c>
      <c r="F498" s="382" t="s">
        <v>225</v>
      </c>
      <c r="G498" s="376" t="s">
        <v>781</v>
      </c>
      <c r="H498" s="378"/>
      <c r="I498" s="378"/>
      <c r="J498" s="376" t="s">
        <v>215</v>
      </c>
      <c r="K498" s="376" t="s">
        <v>894</v>
      </c>
      <c r="L498" s="376" t="s">
        <v>170</v>
      </c>
      <c r="M498" s="376" t="s">
        <v>171</v>
      </c>
      <c r="N498" s="376" t="s">
        <v>172</v>
      </c>
      <c r="O498" s="379">
        <v>1</v>
      </c>
      <c r="P498" s="385">
        <v>0</v>
      </c>
      <c r="Q498" s="385">
        <v>0</v>
      </c>
      <c r="R498" s="380">
        <v>80</v>
      </c>
      <c r="S498" s="385">
        <v>0</v>
      </c>
      <c r="T498" s="380">
        <v>59842.54</v>
      </c>
      <c r="U498" s="380">
        <v>1104.72</v>
      </c>
      <c r="V498" s="380">
        <v>24051.98</v>
      </c>
      <c r="W498" s="380">
        <v>0</v>
      </c>
      <c r="X498" s="380">
        <v>0</v>
      </c>
      <c r="Y498" s="380">
        <v>0</v>
      </c>
      <c r="Z498" s="380">
        <v>0</v>
      </c>
      <c r="AA498" s="376" t="s">
        <v>1615</v>
      </c>
      <c r="AB498" s="376" t="s">
        <v>1616</v>
      </c>
      <c r="AC498" s="376" t="s">
        <v>1617</v>
      </c>
      <c r="AD498" s="376" t="s">
        <v>939</v>
      </c>
      <c r="AE498" s="376" t="s">
        <v>894</v>
      </c>
      <c r="AF498" s="376" t="s">
        <v>177</v>
      </c>
      <c r="AG498" s="376" t="s">
        <v>178</v>
      </c>
      <c r="AH498" s="381">
        <v>29.99</v>
      </c>
      <c r="AI498" s="381">
        <v>18694.900000000001</v>
      </c>
      <c r="AJ498" s="376" t="s">
        <v>179</v>
      </c>
      <c r="AK498" s="376" t="s">
        <v>180</v>
      </c>
      <c r="AL498" s="376" t="s">
        <v>181</v>
      </c>
      <c r="AM498" s="376" t="s">
        <v>182</v>
      </c>
      <c r="AN498" s="376" t="s">
        <v>68</v>
      </c>
      <c r="AO498" s="379">
        <v>80</v>
      </c>
      <c r="AP498" s="385">
        <v>1</v>
      </c>
      <c r="AQ498" s="385">
        <v>0</v>
      </c>
      <c r="AR498" s="383" t="s">
        <v>183</v>
      </c>
      <c r="AS498" s="387">
        <f t="shared" si="335"/>
        <v>0</v>
      </c>
      <c r="AT498">
        <f t="shared" si="336"/>
        <v>0</v>
      </c>
      <c r="AU498" s="387" t="str">
        <f>IF(AT498=0,"",IF(AND(AT498=1,M498="F",SUMIF(C2:C1334,C498,AS2:AS1334)&lt;=1),SUMIF(C2:C1334,C498,AS2:AS1334),IF(AND(AT498=1,M498="F",SUMIF(C2:C1334,C498,AS2:AS1334)&gt;1),1,"")))</f>
        <v/>
      </c>
      <c r="AV498" s="387" t="str">
        <f>IF(AT498=0,"",IF(AND(AT498=3,M498="F",SUMIF(C2:C1334,C498,AS2:AS1334)&lt;=1),SUMIF(C2:C1334,C498,AS2:AS1334),IF(AND(AT498=3,M498="F",SUMIF(C2:C1334,C498,AS2:AS1334)&gt;1),1,"")))</f>
        <v/>
      </c>
      <c r="AW498" s="387">
        <f>SUMIF(C2:C1334,C498,O2:O1334)</f>
        <v>2</v>
      </c>
      <c r="AX498" s="387">
        <f>IF(AND(M498="F",AS498&lt;&gt;0),SUMIF(C2:C1334,C498,W2:W1334),0)</f>
        <v>0</v>
      </c>
      <c r="AY498" s="387" t="str">
        <f t="shared" si="337"/>
        <v/>
      </c>
      <c r="AZ498" s="387" t="str">
        <f t="shared" si="338"/>
        <v/>
      </c>
      <c r="BA498" s="387">
        <f t="shared" si="339"/>
        <v>0</v>
      </c>
      <c r="BB498" s="387">
        <f t="shared" si="308"/>
        <v>0</v>
      </c>
      <c r="BC498" s="387">
        <f t="shared" si="309"/>
        <v>0</v>
      </c>
      <c r="BD498" s="387">
        <f t="shared" si="310"/>
        <v>0</v>
      </c>
      <c r="BE498" s="387">
        <f t="shared" si="311"/>
        <v>0</v>
      </c>
      <c r="BF498" s="387">
        <f t="shared" si="312"/>
        <v>0</v>
      </c>
      <c r="BG498" s="387">
        <f t="shared" si="313"/>
        <v>0</v>
      </c>
      <c r="BH498" s="387">
        <f t="shared" si="314"/>
        <v>0</v>
      </c>
      <c r="BI498" s="387">
        <f t="shared" si="315"/>
        <v>0</v>
      </c>
      <c r="BJ498" s="387">
        <f t="shared" si="316"/>
        <v>0</v>
      </c>
      <c r="BK498" s="387">
        <f t="shared" si="317"/>
        <v>0</v>
      </c>
      <c r="BL498" s="387">
        <f t="shared" si="340"/>
        <v>0</v>
      </c>
      <c r="BM498" s="387">
        <f t="shared" si="341"/>
        <v>0</v>
      </c>
      <c r="BN498" s="387">
        <f t="shared" si="318"/>
        <v>0</v>
      </c>
      <c r="BO498" s="387">
        <f t="shared" si="319"/>
        <v>0</v>
      </c>
      <c r="BP498" s="387">
        <f t="shared" si="320"/>
        <v>0</v>
      </c>
      <c r="BQ498" s="387">
        <f t="shared" si="321"/>
        <v>0</v>
      </c>
      <c r="BR498" s="387">
        <f t="shared" si="322"/>
        <v>0</v>
      </c>
      <c r="BS498" s="387">
        <f t="shared" si="323"/>
        <v>0</v>
      </c>
      <c r="BT498" s="387">
        <f t="shared" si="324"/>
        <v>0</v>
      </c>
      <c r="BU498" s="387">
        <f t="shared" si="325"/>
        <v>0</v>
      </c>
      <c r="BV498" s="387">
        <f t="shared" si="326"/>
        <v>0</v>
      </c>
      <c r="BW498" s="387">
        <f t="shared" si="327"/>
        <v>0</v>
      </c>
      <c r="BX498" s="387">
        <f t="shared" si="342"/>
        <v>0</v>
      </c>
      <c r="BY498" s="387">
        <f t="shared" si="343"/>
        <v>0</v>
      </c>
      <c r="BZ498" s="387">
        <f t="shared" si="344"/>
        <v>0</v>
      </c>
      <c r="CA498" s="387">
        <f t="shared" si="345"/>
        <v>0</v>
      </c>
      <c r="CB498" s="387">
        <f t="shared" si="346"/>
        <v>0</v>
      </c>
      <c r="CC498" s="387">
        <f t="shared" si="328"/>
        <v>0</v>
      </c>
      <c r="CD498" s="387">
        <f t="shared" si="329"/>
        <v>0</v>
      </c>
      <c r="CE498" s="387">
        <f t="shared" si="330"/>
        <v>0</v>
      </c>
      <c r="CF498" s="387">
        <f t="shared" si="331"/>
        <v>0</v>
      </c>
      <c r="CG498" s="387">
        <f t="shared" si="332"/>
        <v>0</v>
      </c>
      <c r="CH498" s="387">
        <f t="shared" si="333"/>
        <v>0</v>
      </c>
      <c r="CI498" s="387">
        <f t="shared" si="334"/>
        <v>0</v>
      </c>
      <c r="CJ498" s="387">
        <f t="shared" si="347"/>
        <v>0</v>
      </c>
      <c r="CK498" s="387" t="str">
        <f t="shared" si="348"/>
        <v/>
      </c>
      <c r="CL498" s="387" t="str">
        <f t="shared" si="349"/>
        <v/>
      </c>
      <c r="CM498" s="387" t="str">
        <f t="shared" si="350"/>
        <v/>
      </c>
      <c r="CN498" s="387" t="str">
        <f t="shared" si="351"/>
        <v>0348-31</v>
      </c>
    </row>
    <row r="499" spans="1:92" ht="15.75" thickBot="1" x14ac:dyDescent="0.3">
      <c r="A499" s="376" t="s">
        <v>161</v>
      </c>
      <c r="B499" s="376" t="s">
        <v>162</v>
      </c>
      <c r="C499" s="376" t="s">
        <v>1618</v>
      </c>
      <c r="D499" s="376" t="s">
        <v>1619</v>
      </c>
      <c r="E499" s="376" t="s">
        <v>224</v>
      </c>
      <c r="F499" s="382" t="s">
        <v>225</v>
      </c>
      <c r="G499" s="376" t="s">
        <v>781</v>
      </c>
      <c r="H499" s="378"/>
      <c r="I499" s="378"/>
      <c r="J499" s="376" t="s">
        <v>215</v>
      </c>
      <c r="K499" s="376" t="s">
        <v>1620</v>
      </c>
      <c r="L499" s="376" t="s">
        <v>170</v>
      </c>
      <c r="M499" s="376" t="s">
        <v>171</v>
      </c>
      <c r="N499" s="376" t="s">
        <v>877</v>
      </c>
      <c r="O499" s="379">
        <v>1</v>
      </c>
      <c r="P499" s="385">
        <v>1</v>
      </c>
      <c r="Q499" s="385">
        <v>1</v>
      </c>
      <c r="R499" s="380">
        <v>80</v>
      </c>
      <c r="S499" s="385">
        <v>1</v>
      </c>
      <c r="T499" s="380">
        <v>48210.03</v>
      </c>
      <c r="U499" s="380">
        <v>0</v>
      </c>
      <c r="V499" s="380">
        <v>21588.43</v>
      </c>
      <c r="W499" s="380">
        <v>50107.199999999997</v>
      </c>
      <c r="X499" s="380">
        <v>22485.64</v>
      </c>
      <c r="Y499" s="380">
        <v>50107.199999999997</v>
      </c>
      <c r="Z499" s="380">
        <v>22275.200000000001</v>
      </c>
      <c r="AA499" s="376" t="s">
        <v>1621</v>
      </c>
      <c r="AB499" s="376" t="s">
        <v>685</v>
      </c>
      <c r="AC499" s="376" t="s">
        <v>1622</v>
      </c>
      <c r="AD499" s="376" t="s">
        <v>623</v>
      </c>
      <c r="AE499" s="376" t="s">
        <v>1620</v>
      </c>
      <c r="AF499" s="376" t="s">
        <v>177</v>
      </c>
      <c r="AG499" s="376" t="s">
        <v>178</v>
      </c>
      <c r="AH499" s="381">
        <v>24.09</v>
      </c>
      <c r="AI499" s="379">
        <v>3552</v>
      </c>
      <c r="AJ499" s="376" t="s">
        <v>179</v>
      </c>
      <c r="AK499" s="376" t="s">
        <v>180</v>
      </c>
      <c r="AL499" s="376" t="s">
        <v>181</v>
      </c>
      <c r="AM499" s="376" t="s">
        <v>182</v>
      </c>
      <c r="AN499" s="376" t="s">
        <v>68</v>
      </c>
      <c r="AO499" s="379">
        <v>80</v>
      </c>
      <c r="AP499" s="385">
        <v>1</v>
      </c>
      <c r="AQ499" s="385">
        <v>1</v>
      </c>
      <c r="AR499" s="383" t="s">
        <v>183</v>
      </c>
      <c r="AS499" s="387">
        <f t="shared" si="335"/>
        <v>1</v>
      </c>
      <c r="AT499">
        <f t="shared" si="336"/>
        <v>1</v>
      </c>
      <c r="AU499" s="387">
        <f>IF(AT499=0,"",IF(AND(AT499=1,M499="F",SUMIF(C2:C1334,C499,AS2:AS1334)&lt;=1),SUMIF(C2:C1334,C499,AS2:AS1334),IF(AND(AT499=1,M499="F",SUMIF(C2:C1334,C499,AS2:AS1334)&gt;1),1,"")))</f>
        <v>1</v>
      </c>
      <c r="AV499" s="387" t="str">
        <f>IF(AT499=0,"",IF(AND(AT499=3,M499="F",SUMIF(C2:C1334,C499,AS2:AS1334)&lt;=1),SUMIF(C2:C1334,C499,AS2:AS1334),IF(AND(AT499=3,M499="F",SUMIF(C2:C1334,C499,AS2:AS1334)&gt;1),1,"")))</f>
        <v/>
      </c>
      <c r="AW499" s="387">
        <f>SUMIF(C2:C1334,C499,O2:O1334)</f>
        <v>1</v>
      </c>
      <c r="AX499" s="387">
        <f>IF(AND(M499="F",AS499&lt;&gt;0),SUMIF(C2:C1334,C499,W2:W1334),0)</f>
        <v>50107.199999999997</v>
      </c>
      <c r="AY499" s="387">
        <f t="shared" si="337"/>
        <v>50107.199999999997</v>
      </c>
      <c r="AZ499" s="387" t="str">
        <f t="shared" si="338"/>
        <v/>
      </c>
      <c r="BA499" s="387">
        <f t="shared" si="339"/>
        <v>0</v>
      </c>
      <c r="BB499" s="387">
        <f t="shared" si="308"/>
        <v>11650</v>
      </c>
      <c r="BC499" s="387">
        <f t="shared" si="309"/>
        <v>0</v>
      </c>
      <c r="BD499" s="387">
        <f t="shared" si="310"/>
        <v>3106.6463999999996</v>
      </c>
      <c r="BE499" s="387">
        <f t="shared" si="311"/>
        <v>726.55439999999999</v>
      </c>
      <c r="BF499" s="387">
        <f t="shared" si="312"/>
        <v>5982.7996800000001</v>
      </c>
      <c r="BG499" s="387">
        <f t="shared" si="313"/>
        <v>361.27291200000002</v>
      </c>
      <c r="BH499" s="387">
        <f t="shared" si="314"/>
        <v>245.52527999999998</v>
      </c>
      <c r="BI499" s="387">
        <f t="shared" si="315"/>
        <v>277.34335199999998</v>
      </c>
      <c r="BJ499" s="387">
        <f t="shared" si="316"/>
        <v>135.28944000000001</v>
      </c>
      <c r="BK499" s="387">
        <f t="shared" si="317"/>
        <v>0</v>
      </c>
      <c r="BL499" s="387">
        <f t="shared" si="340"/>
        <v>10835.431463999999</v>
      </c>
      <c r="BM499" s="387">
        <f t="shared" si="341"/>
        <v>0</v>
      </c>
      <c r="BN499" s="387">
        <f t="shared" si="318"/>
        <v>11650</v>
      </c>
      <c r="BO499" s="387">
        <f t="shared" si="319"/>
        <v>0</v>
      </c>
      <c r="BP499" s="387">
        <f t="shared" si="320"/>
        <v>3106.6463999999996</v>
      </c>
      <c r="BQ499" s="387">
        <f t="shared" si="321"/>
        <v>726.55439999999999</v>
      </c>
      <c r="BR499" s="387">
        <f t="shared" si="322"/>
        <v>5982.7996800000001</v>
      </c>
      <c r="BS499" s="387">
        <f t="shared" si="323"/>
        <v>361.27291200000002</v>
      </c>
      <c r="BT499" s="387">
        <f t="shared" si="324"/>
        <v>0</v>
      </c>
      <c r="BU499" s="387">
        <f t="shared" si="325"/>
        <v>277.34335199999998</v>
      </c>
      <c r="BV499" s="387">
        <f t="shared" si="326"/>
        <v>170.36447999999999</v>
      </c>
      <c r="BW499" s="387">
        <f t="shared" si="327"/>
        <v>0</v>
      </c>
      <c r="BX499" s="387">
        <f t="shared" si="342"/>
        <v>10624.981223999999</v>
      </c>
      <c r="BY499" s="387">
        <f t="shared" si="343"/>
        <v>0</v>
      </c>
      <c r="BZ499" s="387">
        <f t="shared" si="344"/>
        <v>0</v>
      </c>
      <c r="CA499" s="387">
        <f t="shared" si="345"/>
        <v>0</v>
      </c>
      <c r="CB499" s="387">
        <f t="shared" si="346"/>
        <v>0</v>
      </c>
      <c r="CC499" s="387">
        <f t="shared" si="328"/>
        <v>0</v>
      </c>
      <c r="CD499" s="387">
        <f t="shared" si="329"/>
        <v>0</v>
      </c>
      <c r="CE499" s="387">
        <f t="shared" si="330"/>
        <v>0</v>
      </c>
      <c r="CF499" s="387">
        <f t="shared" si="331"/>
        <v>-245.52527999999998</v>
      </c>
      <c r="CG499" s="387">
        <f t="shared" si="332"/>
        <v>0</v>
      </c>
      <c r="CH499" s="387">
        <f t="shared" si="333"/>
        <v>35.07503999999998</v>
      </c>
      <c r="CI499" s="387">
        <f t="shared" si="334"/>
        <v>0</v>
      </c>
      <c r="CJ499" s="387">
        <f t="shared" si="347"/>
        <v>-210.45024000000001</v>
      </c>
      <c r="CK499" s="387" t="str">
        <f t="shared" si="348"/>
        <v/>
      </c>
      <c r="CL499" s="387" t="str">
        <f t="shared" si="349"/>
        <v/>
      </c>
      <c r="CM499" s="387" t="str">
        <f t="shared" si="350"/>
        <v/>
      </c>
      <c r="CN499" s="387" t="str">
        <f t="shared" si="351"/>
        <v>0348-31</v>
      </c>
    </row>
    <row r="500" spans="1:92" ht="15.75" thickBot="1" x14ac:dyDescent="0.3">
      <c r="A500" s="376" t="s">
        <v>161</v>
      </c>
      <c r="B500" s="376" t="s">
        <v>162</v>
      </c>
      <c r="C500" s="376" t="s">
        <v>1623</v>
      </c>
      <c r="D500" s="376" t="s">
        <v>862</v>
      </c>
      <c r="E500" s="376" t="s">
        <v>224</v>
      </c>
      <c r="F500" s="382" t="s">
        <v>225</v>
      </c>
      <c r="G500" s="376" t="s">
        <v>781</v>
      </c>
      <c r="H500" s="378"/>
      <c r="I500" s="378"/>
      <c r="J500" s="376" t="s">
        <v>239</v>
      </c>
      <c r="K500" s="376" t="s">
        <v>863</v>
      </c>
      <c r="L500" s="376" t="s">
        <v>252</v>
      </c>
      <c r="M500" s="376" t="s">
        <v>171</v>
      </c>
      <c r="N500" s="376" t="s">
        <v>172</v>
      </c>
      <c r="O500" s="379">
        <v>1</v>
      </c>
      <c r="P500" s="385">
        <v>1</v>
      </c>
      <c r="Q500" s="385">
        <v>1</v>
      </c>
      <c r="R500" s="380">
        <v>80</v>
      </c>
      <c r="S500" s="385">
        <v>1</v>
      </c>
      <c r="T500" s="380">
        <v>29603.42</v>
      </c>
      <c r="U500" s="380">
        <v>0</v>
      </c>
      <c r="V500" s="380">
        <v>14479.59</v>
      </c>
      <c r="W500" s="380">
        <v>38542.400000000001</v>
      </c>
      <c r="X500" s="380">
        <v>19984.759999999998</v>
      </c>
      <c r="Y500" s="380">
        <v>38542.400000000001</v>
      </c>
      <c r="Z500" s="380">
        <v>19822.88</v>
      </c>
      <c r="AA500" s="376" t="s">
        <v>1624</v>
      </c>
      <c r="AB500" s="376" t="s">
        <v>1625</v>
      </c>
      <c r="AC500" s="376" t="s">
        <v>1626</v>
      </c>
      <c r="AD500" s="376" t="s">
        <v>324</v>
      </c>
      <c r="AE500" s="376" t="s">
        <v>863</v>
      </c>
      <c r="AF500" s="376" t="s">
        <v>393</v>
      </c>
      <c r="AG500" s="376" t="s">
        <v>178</v>
      </c>
      <c r="AH500" s="381">
        <v>18.53</v>
      </c>
      <c r="AI500" s="381">
        <v>3682.5</v>
      </c>
      <c r="AJ500" s="376" t="s">
        <v>179</v>
      </c>
      <c r="AK500" s="376" t="s">
        <v>180</v>
      </c>
      <c r="AL500" s="376" t="s">
        <v>181</v>
      </c>
      <c r="AM500" s="376" t="s">
        <v>182</v>
      </c>
      <c r="AN500" s="376" t="s">
        <v>68</v>
      </c>
      <c r="AO500" s="379">
        <v>80</v>
      </c>
      <c r="AP500" s="385">
        <v>1</v>
      </c>
      <c r="AQ500" s="385">
        <v>1</v>
      </c>
      <c r="AR500" s="383" t="s">
        <v>183</v>
      </c>
      <c r="AS500" s="387">
        <f t="shared" si="335"/>
        <v>1</v>
      </c>
      <c r="AT500">
        <f t="shared" si="336"/>
        <v>1</v>
      </c>
      <c r="AU500" s="387">
        <f>IF(AT500=0,"",IF(AND(AT500=1,M500="F",SUMIF(C2:C1334,C500,AS2:AS1334)&lt;=1),SUMIF(C2:C1334,C500,AS2:AS1334),IF(AND(AT500=1,M500="F",SUMIF(C2:C1334,C500,AS2:AS1334)&gt;1),1,"")))</f>
        <v>1</v>
      </c>
      <c r="AV500" s="387" t="str">
        <f>IF(AT500=0,"",IF(AND(AT500=3,M500="F",SUMIF(C2:C1334,C500,AS2:AS1334)&lt;=1),SUMIF(C2:C1334,C500,AS2:AS1334),IF(AND(AT500=3,M500="F",SUMIF(C2:C1334,C500,AS2:AS1334)&gt;1),1,"")))</f>
        <v/>
      </c>
      <c r="AW500" s="387">
        <f>SUMIF(C2:C1334,C500,O2:O1334)</f>
        <v>3</v>
      </c>
      <c r="AX500" s="387">
        <f>IF(AND(M500="F",AS500&lt;&gt;0),SUMIF(C2:C1334,C500,W2:W1334),0)</f>
        <v>38542.400000000001</v>
      </c>
      <c r="AY500" s="387">
        <f t="shared" si="337"/>
        <v>38542.400000000001</v>
      </c>
      <c r="AZ500" s="387" t="str">
        <f t="shared" si="338"/>
        <v/>
      </c>
      <c r="BA500" s="387">
        <f t="shared" si="339"/>
        <v>0</v>
      </c>
      <c r="BB500" s="387">
        <f t="shared" si="308"/>
        <v>11650</v>
      </c>
      <c r="BC500" s="387">
        <f t="shared" si="309"/>
        <v>0</v>
      </c>
      <c r="BD500" s="387">
        <f t="shared" si="310"/>
        <v>2389.6288</v>
      </c>
      <c r="BE500" s="387">
        <f t="shared" si="311"/>
        <v>558.86480000000006</v>
      </c>
      <c r="BF500" s="387">
        <f t="shared" si="312"/>
        <v>4601.9625600000008</v>
      </c>
      <c r="BG500" s="387">
        <f t="shared" si="313"/>
        <v>277.89070400000003</v>
      </c>
      <c r="BH500" s="387">
        <f t="shared" si="314"/>
        <v>188.85776000000001</v>
      </c>
      <c r="BI500" s="387">
        <f t="shared" si="315"/>
        <v>213.33218400000001</v>
      </c>
      <c r="BJ500" s="387">
        <f t="shared" si="316"/>
        <v>104.06448</v>
      </c>
      <c r="BK500" s="387">
        <f t="shared" si="317"/>
        <v>0</v>
      </c>
      <c r="BL500" s="387">
        <f t="shared" si="340"/>
        <v>8334.6012880000017</v>
      </c>
      <c r="BM500" s="387">
        <f t="shared" si="341"/>
        <v>0</v>
      </c>
      <c r="BN500" s="387">
        <f t="shared" si="318"/>
        <v>11650</v>
      </c>
      <c r="BO500" s="387">
        <f t="shared" si="319"/>
        <v>0</v>
      </c>
      <c r="BP500" s="387">
        <f t="shared" si="320"/>
        <v>2389.6288</v>
      </c>
      <c r="BQ500" s="387">
        <f t="shared" si="321"/>
        <v>558.86480000000006</v>
      </c>
      <c r="BR500" s="387">
        <f t="shared" si="322"/>
        <v>4601.9625600000008</v>
      </c>
      <c r="BS500" s="387">
        <f t="shared" si="323"/>
        <v>277.89070400000003</v>
      </c>
      <c r="BT500" s="387">
        <f t="shared" si="324"/>
        <v>0</v>
      </c>
      <c r="BU500" s="387">
        <f t="shared" si="325"/>
        <v>213.33218400000001</v>
      </c>
      <c r="BV500" s="387">
        <f t="shared" si="326"/>
        <v>131.04416000000001</v>
      </c>
      <c r="BW500" s="387">
        <f t="shared" si="327"/>
        <v>0</v>
      </c>
      <c r="BX500" s="387">
        <f t="shared" si="342"/>
        <v>8172.7232080000013</v>
      </c>
      <c r="BY500" s="387">
        <f t="shared" si="343"/>
        <v>0</v>
      </c>
      <c r="BZ500" s="387">
        <f t="shared" si="344"/>
        <v>0</v>
      </c>
      <c r="CA500" s="387">
        <f t="shared" si="345"/>
        <v>0</v>
      </c>
      <c r="CB500" s="387">
        <f t="shared" si="346"/>
        <v>0</v>
      </c>
      <c r="CC500" s="387">
        <f t="shared" si="328"/>
        <v>0</v>
      </c>
      <c r="CD500" s="387">
        <f t="shared" si="329"/>
        <v>0</v>
      </c>
      <c r="CE500" s="387">
        <f t="shared" si="330"/>
        <v>0</v>
      </c>
      <c r="CF500" s="387">
        <f t="shared" si="331"/>
        <v>-188.85776000000001</v>
      </c>
      <c r="CG500" s="387">
        <f t="shared" si="332"/>
        <v>0</v>
      </c>
      <c r="CH500" s="387">
        <f t="shared" si="333"/>
        <v>26.979679999999988</v>
      </c>
      <c r="CI500" s="387">
        <f t="shared" si="334"/>
        <v>0</v>
      </c>
      <c r="CJ500" s="387">
        <f t="shared" si="347"/>
        <v>-161.87808000000001</v>
      </c>
      <c r="CK500" s="387" t="str">
        <f t="shared" si="348"/>
        <v/>
      </c>
      <c r="CL500" s="387" t="str">
        <f t="shared" si="349"/>
        <v/>
      </c>
      <c r="CM500" s="387" t="str">
        <f t="shared" si="350"/>
        <v/>
      </c>
      <c r="CN500" s="387" t="str">
        <f t="shared" si="351"/>
        <v>0348-31</v>
      </c>
    </row>
    <row r="501" spans="1:92" ht="15.75" thickBot="1" x14ac:dyDescent="0.3">
      <c r="A501" s="376" t="s">
        <v>161</v>
      </c>
      <c r="B501" s="376" t="s">
        <v>162</v>
      </c>
      <c r="C501" s="376" t="s">
        <v>437</v>
      </c>
      <c r="D501" s="376" t="s">
        <v>421</v>
      </c>
      <c r="E501" s="376" t="s">
        <v>224</v>
      </c>
      <c r="F501" s="382" t="s">
        <v>225</v>
      </c>
      <c r="G501" s="376" t="s">
        <v>781</v>
      </c>
      <c r="H501" s="378"/>
      <c r="I501" s="378"/>
      <c r="J501" s="376" t="s">
        <v>239</v>
      </c>
      <c r="K501" s="376" t="s">
        <v>422</v>
      </c>
      <c r="L501" s="376" t="s">
        <v>181</v>
      </c>
      <c r="M501" s="376" t="s">
        <v>171</v>
      </c>
      <c r="N501" s="376" t="s">
        <v>172</v>
      </c>
      <c r="O501" s="379">
        <v>1</v>
      </c>
      <c r="P501" s="385">
        <v>0</v>
      </c>
      <c r="Q501" s="385">
        <v>0</v>
      </c>
      <c r="R501" s="380">
        <v>80</v>
      </c>
      <c r="S501" s="385">
        <v>0</v>
      </c>
      <c r="T501" s="380">
        <v>21164.41</v>
      </c>
      <c r="U501" s="380">
        <v>0</v>
      </c>
      <c r="V501" s="380">
        <v>7083.16</v>
      </c>
      <c r="W501" s="380">
        <v>0</v>
      </c>
      <c r="X501" s="380">
        <v>0</v>
      </c>
      <c r="Y501" s="380">
        <v>0</v>
      </c>
      <c r="Z501" s="380">
        <v>0</v>
      </c>
      <c r="AA501" s="376" t="s">
        <v>438</v>
      </c>
      <c r="AB501" s="376" t="s">
        <v>439</v>
      </c>
      <c r="AC501" s="376" t="s">
        <v>440</v>
      </c>
      <c r="AD501" s="376" t="s">
        <v>441</v>
      </c>
      <c r="AE501" s="376" t="s">
        <v>422</v>
      </c>
      <c r="AF501" s="376" t="s">
        <v>211</v>
      </c>
      <c r="AG501" s="376" t="s">
        <v>178</v>
      </c>
      <c r="AH501" s="381">
        <v>45.02</v>
      </c>
      <c r="AI501" s="379">
        <v>25059</v>
      </c>
      <c r="AJ501" s="376" t="s">
        <v>179</v>
      </c>
      <c r="AK501" s="376" t="s">
        <v>180</v>
      </c>
      <c r="AL501" s="376" t="s">
        <v>181</v>
      </c>
      <c r="AM501" s="376" t="s">
        <v>182</v>
      </c>
      <c r="AN501" s="376" t="s">
        <v>68</v>
      </c>
      <c r="AO501" s="379">
        <v>80</v>
      </c>
      <c r="AP501" s="385">
        <v>1</v>
      </c>
      <c r="AQ501" s="385">
        <v>0</v>
      </c>
      <c r="AR501" s="383" t="s">
        <v>183</v>
      </c>
      <c r="AS501" s="387">
        <f t="shared" si="335"/>
        <v>0</v>
      </c>
      <c r="AT501">
        <f t="shared" si="336"/>
        <v>0</v>
      </c>
      <c r="AU501" s="387" t="str">
        <f>IF(AT501=0,"",IF(AND(AT501=1,M501="F",SUMIF(C2:C1334,C501,AS2:AS1334)&lt;=1),SUMIF(C2:C1334,C501,AS2:AS1334),IF(AND(AT501=1,M501="F",SUMIF(C2:C1334,C501,AS2:AS1334)&gt;1),1,"")))</f>
        <v/>
      </c>
      <c r="AV501" s="387" t="str">
        <f>IF(AT501=0,"",IF(AND(AT501=3,M501="F",SUMIF(C2:C1334,C501,AS2:AS1334)&lt;=1),SUMIF(C2:C1334,C501,AS2:AS1334),IF(AND(AT501=3,M501="F",SUMIF(C2:C1334,C501,AS2:AS1334)&gt;1),1,"")))</f>
        <v/>
      </c>
      <c r="AW501" s="387">
        <f>SUMIF(C2:C1334,C501,O2:O1334)</f>
        <v>4</v>
      </c>
      <c r="AX501" s="387">
        <f>IF(AND(M501="F",AS501&lt;&gt;0),SUMIF(C2:C1334,C501,W2:W1334),0)</f>
        <v>0</v>
      </c>
      <c r="AY501" s="387" t="str">
        <f t="shared" si="337"/>
        <v/>
      </c>
      <c r="AZ501" s="387" t="str">
        <f t="shared" si="338"/>
        <v/>
      </c>
      <c r="BA501" s="387">
        <f t="shared" si="339"/>
        <v>0</v>
      </c>
      <c r="BB501" s="387">
        <f t="shared" si="308"/>
        <v>0</v>
      </c>
      <c r="BC501" s="387">
        <f t="shared" si="309"/>
        <v>0</v>
      </c>
      <c r="BD501" s="387">
        <f t="shared" si="310"/>
        <v>0</v>
      </c>
      <c r="BE501" s="387">
        <f t="shared" si="311"/>
        <v>0</v>
      </c>
      <c r="BF501" s="387">
        <f t="shared" si="312"/>
        <v>0</v>
      </c>
      <c r="BG501" s="387">
        <f t="shared" si="313"/>
        <v>0</v>
      </c>
      <c r="BH501" s="387">
        <f t="shared" si="314"/>
        <v>0</v>
      </c>
      <c r="BI501" s="387">
        <f t="shared" si="315"/>
        <v>0</v>
      </c>
      <c r="BJ501" s="387">
        <f t="shared" si="316"/>
        <v>0</v>
      </c>
      <c r="BK501" s="387">
        <f t="shared" si="317"/>
        <v>0</v>
      </c>
      <c r="BL501" s="387">
        <f t="shared" si="340"/>
        <v>0</v>
      </c>
      <c r="BM501" s="387">
        <f t="shared" si="341"/>
        <v>0</v>
      </c>
      <c r="BN501" s="387">
        <f t="shared" si="318"/>
        <v>0</v>
      </c>
      <c r="BO501" s="387">
        <f t="shared" si="319"/>
        <v>0</v>
      </c>
      <c r="BP501" s="387">
        <f t="shared" si="320"/>
        <v>0</v>
      </c>
      <c r="BQ501" s="387">
        <f t="shared" si="321"/>
        <v>0</v>
      </c>
      <c r="BR501" s="387">
        <f t="shared" si="322"/>
        <v>0</v>
      </c>
      <c r="BS501" s="387">
        <f t="shared" si="323"/>
        <v>0</v>
      </c>
      <c r="BT501" s="387">
        <f t="shared" si="324"/>
        <v>0</v>
      </c>
      <c r="BU501" s="387">
        <f t="shared" si="325"/>
        <v>0</v>
      </c>
      <c r="BV501" s="387">
        <f t="shared" si="326"/>
        <v>0</v>
      </c>
      <c r="BW501" s="387">
        <f t="shared" si="327"/>
        <v>0</v>
      </c>
      <c r="BX501" s="387">
        <f t="shared" si="342"/>
        <v>0</v>
      </c>
      <c r="BY501" s="387">
        <f t="shared" si="343"/>
        <v>0</v>
      </c>
      <c r="BZ501" s="387">
        <f t="shared" si="344"/>
        <v>0</v>
      </c>
      <c r="CA501" s="387">
        <f t="shared" si="345"/>
        <v>0</v>
      </c>
      <c r="CB501" s="387">
        <f t="shared" si="346"/>
        <v>0</v>
      </c>
      <c r="CC501" s="387">
        <f t="shared" si="328"/>
        <v>0</v>
      </c>
      <c r="CD501" s="387">
        <f t="shared" si="329"/>
        <v>0</v>
      </c>
      <c r="CE501" s="387">
        <f t="shared" si="330"/>
        <v>0</v>
      </c>
      <c r="CF501" s="387">
        <f t="shared" si="331"/>
        <v>0</v>
      </c>
      <c r="CG501" s="387">
        <f t="shared" si="332"/>
        <v>0</v>
      </c>
      <c r="CH501" s="387">
        <f t="shared" si="333"/>
        <v>0</v>
      </c>
      <c r="CI501" s="387">
        <f t="shared" si="334"/>
        <v>0</v>
      </c>
      <c r="CJ501" s="387">
        <f t="shared" si="347"/>
        <v>0</v>
      </c>
      <c r="CK501" s="387" t="str">
        <f t="shared" si="348"/>
        <v/>
      </c>
      <c r="CL501" s="387" t="str">
        <f t="shared" si="349"/>
        <v/>
      </c>
      <c r="CM501" s="387" t="str">
        <f t="shared" si="350"/>
        <v/>
      </c>
      <c r="CN501" s="387" t="str">
        <f t="shared" si="351"/>
        <v>0348-31</v>
      </c>
    </row>
    <row r="502" spans="1:92" ht="15.75" thickBot="1" x14ac:dyDescent="0.3">
      <c r="A502" s="376" t="s">
        <v>161</v>
      </c>
      <c r="B502" s="376" t="s">
        <v>162</v>
      </c>
      <c r="C502" s="376" t="s">
        <v>1627</v>
      </c>
      <c r="D502" s="376" t="s">
        <v>862</v>
      </c>
      <c r="E502" s="376" t="s">
        <v>224</v>
      </c>
      <c r="F502" s="382" t="s">
        <v>225</v>
      </c>
      <c r="G502" s="376" t="s">
        <v>781</v>
      </c>
      <c r="H502" s="378"/>
      <c r="I502" s="378"/>
      <c r="J502" s="376" t="s">
        <v>168</v>
      </c>
      <c r="K502" s="376" t="s">
        <v>863</v>
      </c>
      <c r="L502" s="376" t="s">
        <v>252</v>
      </c>
      <c r="M502" s="376" t="s">
        <v>171</v>
      </c>
      <c r="N502" s="376" t="s">
        <v>172</v>
      </c>
      <c r="O502" s="379">
        <v>1</v>
      </c>
      <c r="P502" s="385">
        <v>0.9</v>
      </c>
      <c r="Q502" s="385">
        <v>0.9</v>
      </c>
      <c r="R502" s="380">
        <v>80</v>
      </c>
      <c r="S502" s="385">
        <v>0.9</v>
      </c>
      <c r="T502" s="380">
        <v>39807.94</v>
      </c>
      <c r="U502" s="380">
        <v>0</v>
      </c>
      <c r="V502" s="380">
        <v>18908.03</v>
      </c>
      <c r="W502" s="380">
        <v>43767.360000000001</v>
      </c>
      <c r="X502" s="380">
        <v>19949.650000000001</v>
      </c>
      <c r="Y502" s="380">
        <v>43767.360000000001</v>
      </c>
      <c r="Z502" s="380">
        <v>19765.84</v>
      </c>
      <c r="AA502" s="376" t="s">
        <v>1628</v>
      </c>
      <c r="AB502" s="376" t="s">
        <v>1091</v>
      </c>
      <c r="AC502" s="376" t="s">
        <v>747</v>
      </c>
      <c r="AD502" s="376" t="s">
        <v>252</v>
      </c>
      <c r="AE502" s="376" t="s">
        <v>863</v>
      </c>
      <c r="AF502" s="376" t="s">
        <v>393</v>
      </c>
      <c r="AG502" s="376" t="s">
        <v>178</v>
      </c>
      <c r="AH502" s="381">
        <v>23.38</v>
      </c>
      <c r="AI502" s="381">
        <v>30850.5</v>
      </c>
      <c r="AJ502" s="376" t="s">
        <v>179</v>
      </c>
      <c r="AK502" s="376" t="s">
        <v>180</v>
      </c>
      <c r="AL502" s="376" t="s">
        <v>181</v>
      </c>
      <c r="AM502" s="376" t="s">
        <v>182</v>
      </c>
      <c r="AN502" s="376" t="s">
        <v>68</v>
      </c>
      <c r="AO502" s="379">
        <v>80</v>
      </c>
      <c r="AP502" s="385">
        <v>1</v>
      </c>
      <c r="AQ502" s="385">
        <v>0.9</v>
      </c>
      <c r="AR502" s="383" t="s">
        <v>183</v>
      </c>
      <c r="AS502" s="387">
        <f t="shared" si="335"/>
        <v>0.9</v>
      </c>
      <c r="AT502">
        <f t="shared" si="336"/>
        <v>1</v>
      </c>
      <c r="AU502" s="387">
        <f>IF(AT502=0,"",IF(AND(AT502=1,M502="F",SUMIF(C2:C1334,C502,AS2:AS1334)&lt;=1),SUMIF(C2:C1334,C502,AS2:AS1334),IF(AND(AT502=1,M502="F",SUMIF(C2:C1334,C502,AS2:AS1334)&gt;1),1,"")))</f>
        <v>1</v>
      </c>
      <c r="AV502" s="387" t="str">
        <f>IF(AT502=0,"",IF(AND(AT502=3,M502="F",SUMIF(C2:C1334,C502,AS2:AS1334)&lt;=1),SUMIF(C2:C1334,C502,AS2:AS1334),IF(AND(AT502=3,M502="F",SUMIF(C2:C1334,C502,AS2:AS1334)&gt;1),1,"")))</f>
        <v/>
      </c>
      <c r="AW502" s="387">
        <f>SUMIF(C2:C1334,C502,O2:O1334)</f>
        <v>3</v>
      </c>
      <c r="AX502" s="387">
        <f>IF(AND(M502="F",AS502&lt;&gt;0),SUMIF(C2:C1334,C502,W2:W1334),0)</f>
        <v>48630.400000000001</v>
      </c>
      <c r="AY502" s="387">
        <f t="shared" si="337"/>
        <v>43767.360000000001</v>
      </c>
      <c r="AZ502" s="387" t="str">
        <f t="shared" si="338"/>
        <v/>
      </c>
      <c r="BA502" s="387">
        <f t="shared" si="339"/>
        <v>0</v>
      </c>
      <c r="BB502" s="387">
        <f t="shared" si="308"/>
        <v>10485</v>
      </c>
      <c r="BC502" s="387">
        <f t="shared" si="309"/>
        <v>0</v>
      </c>
      <c r="BD502" s="387">
        <f t="shared" si="310"/>
        <v>2713.5763200000001</v>
      </c>
      <c r="BE502" s="387">
        <f t="shared" si="311"/>
        <v>634.62672000000009</v>
      </c>
      <c r="BF502" s="387">
        <f t="shared" si="312"/>
        <v>5225.822784</v>
      </c>
      <c r="BG502" s="387">
        <f t="shared" si="313"/>
        <v>315.5626656</v>
      </c>
      <c r="BH502" s="387">
        <f t="shared" si="314"/>
        <v>214.46006399999999</v>
      </c>
      <c r="BI502" s="387">
        <f t="shared" si="315"/>
        <v>242.2523376</v>
      </c>
      <c r="BJ502" s="387">
        <f t="shared" si="316"/>
        <v>118.17187200000001</v>
      </c>
      <c r="BK502" s="387">
        <f t="shared" si="317"/>
        <v>0</v>
      </c>
      <c r="BL502" s="387">
        <f t="shared" si="340"/>
        <v>9464.4727632000031</v>
      </c>
      <c r="BM502" s="387">
        <f t="shared" si="341"/>
        <v>0</v>
      </c>
      <c r="BN502" s="387">
        <f t="shared" si="318"/>
        <v>10485</v>
      </c>
      <c r="BO502" s="387">
        <f t="shared" si="319"/>
        <v>0</v>
      </c>
      <c r="BP502" s="387">
        <f t="shared" si="320"/>
        <v>2713.5763200000001</v>
      </c>
      <c r="BQ502" s="387">
        <f t="shared" si="321"/>
        <v>634.62672000000009</v>
      </c>
      <c r="BR502" s="387">
        <f t="shared" si="322"/>
        <v>5225.822784</v>
      </c>
      <c r="BS502" s="387">
        <f t="shared" si="323"/>
        <v>315.5626656</v>
      </c>
      <c r="BT502" s="387">
        <f t="shared" si="324"/>
        <v>0</v>
      </c>
      <c r="BU502" s="387">
        <f t="shared" si="325"/>
        <v>242.2523376</v>
      </c>
      <c r="BV502" s="387">
        <f t="shared" si="326"/>
        <v>148.80902399999999</v>
      </c>
      <c r="BW502" s="387">
        <f t="shared" si="327"/>
        <v>0</v>
      </c>
      <c r="BX502" s="387">
        <f t="shared" si="342"/>
        <v>9280.6498512000016</v>
      </c>
      <c r="BY502" s="387">
        <f t="shared" si="343"/>
        <v>0</v>
      </c>
      <c r="BZ502" s="387">
        <f t="shared" si="344"/>
        <v>0</v>
      </c>
      <c r="CA502" s="387">
        <f t="shared" si="345"/>
        <v>0</v>
      </c>
      <c r="CB502" s="387">
        <f t="shared" si="346"/>
        <v>0</v>
      </c>
      <c r="CC502" s="387">
        <f t="shared" si="328"/>
        <v>0</v>
      </c>
      <c r="CD502" s="387">
        <f t="shared" si="329"/>
        <v>0</v>
      </c>
      <c r="CE502" s="387">
        <f t="shared" si="330"/>
        <v>0</v>
      </c>
      <c r="CF502" s="387">
        <f t="shared" si="331"/>
        <v>-214.46006399999999</v>
      </c>
      <c r="CG502" s="387">
        <f t="shared" si="332"/>
        <v>0</v>
      </c>
      <c r="CH502" s="387">
        <f t="shared" si="333"/>
        <v>30.637151999999986</v>
      </c>
      <c r="CI502" s="387">
        <f t="shared" si="334"/>
        <v>0</v>
      </c>
      <c r="CJ502" s="387">
        <f t="shared" si="347"/>
        <v>-183.822912</v>
      </c>
      <c r="CK502" s="387" t="str">
        <f t="shared" si="348"/>
        <v/>
      </c>
      <c r="CL502" s="387" t="str">
        <f t="shared" si="349"/>
        <v/>
      </c>
      <c r="CM502" s="387" t="str">
        <f t="shared" si="350"/>
        <v/>
      </c>
      <c r="CN502" s="387" t="str">
        <f t="shared" si="351"/>
        <v>0348-31</v>
      </c>
    </row>
    <row r="503" spans="1:92" ht="15.75" thickBot="1" x14ac:dyDescent="0.3">
      <c r="A503" s="376" t="s">
        <v>161</v>
      </c>
      <c r="B503" s="376" t="s">
        <v>162</v>
      </c>
      <c r="C503" s="376" t="s">
        <v>199</v>
      </c>
      <c r="D503" s="376" t="s">
        <v>164</v>
      </c>
      <c r="E503" s="376" t="s">
        <v>224</v>
      </c>
      <c r="F503" s="382" t="s">
        <v>225</v>
      </c>
      <c r="G503" s="376" t="s">
        <v>781</v>
      </c>
      <c r="H503" s="378"/>
      <c r="I503" s="378"/>
      <c r="J503" s="376" t="s">
        <v>168</v>
      </c>
      <c r="K503" s="376" t="s">
        <v>169</v>
      </c>
      <c r="L503" s="376" t="s">
        <v>170</v>
      </c>
      <c r="M503" s="376" t="s">
        <v>171</v>
      </c>
      <c r="N503" s="376" t="s">
        <v>172</v>
      </c>
      <c r="O503" s="379">
        <v>1</v>
      </c>
      <c r="P503" s="385">
        <v>0.25</v>
      </c>
      <c r="Q503" s="385">
        <v>0.25</v>
      </c>
      <c r="R503" s="380">
        <v>80</v>
      </c>
      <c r="S503" s="385">
        <v>0.25</v>
      </c>
      <c r="T503" s="380">
        <v>37186.160000000003</v>
      </c>
      <c r="U503" s="380">
        <v>0</v>
      </c>
      <c r="V503" s="380">
        <v>14597</v>
      </c>
      <c r="W503" s="380">
        <v>16224</v>
      </c>
      <c r="X503" s="380">
        <v>6420.93</v>
      </c>
      <c r="Y503" s="380">
        <v>16224</v>
      </c>
      <c r="Z503" s="380">
        <v>6352.79</v>
      </c>
      <c r="AA503" s="376" t="s">
        <v>200</v>
      </c>
      <c r="AB503" s="376" t="s">
        <v>201</v>
      </c>
      <c r="AC503" s="376" t="s">
        <v>202</v>
      </c>
      <c r="AD503" s="376" t="s">
        <v>170</v>
      </c>
      <c r="AE503" s="376" t="s">
        <v>169</v>
      </c>
      <c r="AF503" s="376" t="s">
        <v>177</v>
      </c>
      <c r="AG503" s="376" t="s">
        <v>178</v>
      </c>
      <c r="AH503" s="381">
        <v>31.2</v>
      </c>
      <c r="AI503" s="381">
        <v>36521.800000000003</v>
      </c>
      <c r="AJ503" s="376" t="s">
        <v>179</v>
      </c>
      <c r="AK503" s="376" t="s">
        <v>180</v>
      </c>
      <c r="AL503" s="376" t="s">
        <v>181</v>
      </c>
      <c r="AM503" s="376" t="s">
        <v>182</v>
      </c>
      <c r="AN503" s="376" t="s">
        <v>68</v>
      </c>
      <c r="AO503" s="379">
        <v>80</v>
      </c>
      <c r="AP503" s="385">
        <v>1</v>
      </c>
      <c r="AQ503" s="385">
        <v>0.25</v>
      </c>
      <c r="AR503" s="383" t="s">
        <v>183</v>
      </c>
      <c r="AS503" s="387">
        <f t="shared" si="335"/>
        <v>0.25</v>
      </c>
      <c r="AT503">
        <f t="shared" si="336"/>
        <v>1</v>
      </c>
      <c r="AU503" s="387">
        <f>IF(AT503=0,"",IF(AND(AT503=1,M503="F",SUMIF(C2:C1334,C503,AS2:AS1334)&lt;=1),SUMIF(C2:C1334,C503,AS2:AS1334),IF(AND(AT503=1,M503="F",SUMIF(C2:C1334,C503,AS2:AS1334)&gt;1),1,"")))</f>
        <v>1</v>
      </c>
      <c r="AV503" s="387" t="str">
        <f>IF(AT503=0,"",IF(AND(AT503=3,M503="F",SUMIF(C2:C1334,C503,AS2:AS1334)&lt;=1),SUMIF(C2:C1334,C503,AS2:AS1334),IF(AND(AT503=3,M503="F",SUMIF(C2:C1334,C503,AS2:AS1334)&gt;1),1,"")))</f>
        <v/>
      </c>
      <c r="AW503" s="387">
        <f>SUMIF(C2:C1334,C503,O2:O1334)</f>
        <v>4</v>
      </c>
      <c r="AX503" s="387">
        <f>IF(AND(M503="F",AS503&lt;&gt;0),SUMIF(C2:C1334,C503,W2:W1334),0)</f>
        <v>64896</v>
      </c>
      <c r="AY503" s="387">
        <f t="shared" si="337"/>
        <v>16224</v>
      </c>
      <c r="AZ503" s="387" t="str">
        <f t="shared" si="338"/>
        <v/>
      </c>
      <c r="BA503" s="387">
        <f t="shared" si="339"/>
        <v>0</v>
      </c>
      <c r="BB503" s="387">
        <f t="shared" si="308"/>
        <v>2912.5</v>
      </c>
      <c r="BC503" s="387">
        <f t="shared" si="309"/>
        <v>0</v>
      </c>
      <c r="BD503" s="387">
        <f t="shared" si="310"/>
        <v>1005.888</v>
      </c>
      <c r="BE503" s="387">
        <f t="shared" si="311"/>
        <v>235.24800000000002</v>
      </c>
      <c r="BF503" s="387">
        <f t="shared" si="312"/>
        <v>1937.1456000000001</v>
      </c>
      <c r="BG503" s="387">
        <f t="shared" si="313"/>
        <v>116.97504000000001</v>
      </c>
      <c r="BH503" s="387">
        <f t="shared" si="314"/>
        <v>79.497599999999991</v>
      </c>
      <c r="BI503" s="387">
        <f t="shared" si="315"/>
        <v>89.799840000000003</v>
      </c>
      <c r="BJ503" s="387">
        <f t="shared" si="316"/>
        <v>43.8048</v>
      </c>
      <c r="BK503" s="387">
        <f t="shared" si="317"/>
        <v>0</v>
      </c>
      <c r="BL503" s="387">
        <f t="shared" si="340"/>
        <v>3508.3588800000002</v>
      </c>
      <c r="BM503" s="387">
        <f t="shared" si="341"/>
        <v>0</v>
      </c>
      <c r="BN503" s="387">
        <f t="shared" si="318"/>
        <v>2912.5</v>
      </c>
      <c r="BO503" s="387">
        <f t="shared" si="319"/>
        <v>0</v>
      </c>
      <c r="BP503" s="387">
        <f t="shared" si="320"/>
        <v>1005.888</v>
      </c>
      <c r="BQ503" s="387">
        <f t="shared" si="321"/>
        <v>235.24800000000002</v>
      </c>
      <c r="BR503" s="387">
        <f t="shared" si="322"/>
        <v>1937.1456000000001</v>
      </c>
      <c r="BS503" s="387">
        <f t="shared" si="323"/>
        <v>116.97504000000001</v>
      </c>
      <c r="BT503" s="387">
        <f t="shared" si="324"/>
        <v>0</v>
      </c>
      <c r="BU503" s="387">
        <f t="shared" si="325"/>
        <v>89.799840000000003</v>
      </c>
      <c r="BV503" s="387">
        <f t="shared" si="326"/>
        <v>55.1616</v>
      </c>
      <c r="BW503" s="387">
        <f t="shared" si="327"/>
        <v>0</v>
      </c>
      <c r="BX503" s="387">
        <f t="shared" si="342"/>
        <v>3440.2180800000001</v>
      </c>
      <c r="BY503" s="387">
        <f t="shared" si="343"/>
        <v>0</v>
      </c>
      <c r="BZ503" s="387">
        <f t="shared" si="344"/>
        <v>0</v>
      </c>
      <c r="CA503" s="387">
        <f t="shared" si="345"/>
        <v>0</v>
      </c>
      <c r="CB503" s="387">
        <f t="shared" si="346"/>
        <v>0</v>
      </c>
      <c r="CC503" s="387">
        <f t="shared" si="328"/>
        <v>0</v>
      </c>
      <c r="CD503" s="387">
        <f t="shared" si="329"/>
        <v>0</v>
      </c>
      <c r="CE503" s="387">
        <f t="shared" si="330"/>
        <v>0</v>
      </c>
      <c r="CF503" s="387">
        <f t="shared" si="331"/>
        <v>-79.497599999999991</v>
      </c>
      <c r="CG503" s="387">
        <f t="shared" si="332"/>
        <v>0</v>
      </c>
      <c r="CH503" s="387">
        <f t="shared" si="333"/>
        <v>11.356799999999994</v>
      </c>
      <c r="CI503" s="387">
        <f t="shared" si="334"/>
        <v>0</v>
      </c>
      <c r="CJ503" s="387">
        <f t="shared" si="347"/>
        <v>-68.140799999999999</v>
      </c>
      <c r="CK503" s="387" t="str">
        <f t="shared" si="348"/>
        <v/>
      </c>
      <c r="CL503" s="387" t="str">
        <f t="shared" si="349"/>
        <v/>
      </c>
      <c r="CM503" s="387" t="str">
        <f t="shared" si="350"/>
        <v/>
      </c>
      <c r="CN503" s="387" t="str">
        <f t="shared" si="351"/>
        <v>0348-31</v>
      </c>
    </row>
    <row r="504" spans="1:92" ht="15.75" thickBot="1" x14ac:dyDescent="0.3">
      <c r="A504" s="376" t="s">
        <v>161</v>
      </c>
      <c r="B504" s="376" t="s">
        <v>162</v>
      </c>
      <c r="C504" s="376" t="s">
        <v>1629</v>
      </c>
      <c r="D504" s="376" t="s">
        <v>862</v>
      </c>
      <c r="E504" s="376" t="s">
        <v>224</v>
      </c>
      <c r="F504" s="382" t="s">
        <v>225</v>
      </c>
      <c r="G504" s="376" t="s">
        <v>781</v>
      </c>
      <c r="H504" s="378"/>
      <c r="I504" s="378"/>
      <c r="J504" s="376" t="s">
        <v>215</v>
      </c>
      <c r="K504" s="376" t="s">
        <v>863</v>
      </c>
      <c r="L504" s="376" t="s">
        <v>252</v>
      </c>
      <c r="M504" s="376" t="s">
        <v>566</v>
      </c>
      <c r="N504" s="376" t="s">
        <v>877</v>
      </c>
      <c r="O504" s="379">
        <v>0</v>
      </c>
      <c r="P504" s="385">
        <v>0</v>
      </c>
      <c r="Q504" s="385">
        <v>0</v>
      </c>
      <c r="R504" s="380">
        <v>80</v>
      </c>
      <c r="S504" s="385">
        <v>0</v>
      </c>
      <c r="T504" s="380">
        <v>17686.599999999999</v>
      </c>
      <c r="U504" s="380">
        <v>0</v>
      </c>
      <c r="V504" s="380">
        <v>9365.52</v>
      </c>
      <c r="W504" s="380">
        <v>0</v>
      </c>
      <c r="X504" s="380">
        <v>0</v>
      </c>
      <c r="Y504" s="380">
        <v>0</v>
      </c>
      <c r="Z504" s="380">
        <v>0</v>
      </c>
      <c r="AA504" s="378"/>
      <c r="AB504" s="376" t="s">
        <v>45</v>
      </c>
      <c r="AC504" s="376" t="s">
        <v>45</v>
      </c>
      <c r="AD504" s="378"/>
      <c r="AE504" s="378"/>
      <c r="AF504" s="378"/>
      <c r="AG504" s="378"/>
      <c r="AH504" s="379">
        <v>0</v>
      </c>
      <c r="AI504" s="379">
        <v>0</v>
      </c>
      <c r="AJ504" s="378"/>
      <c r="AK504" s="378"/>
      <c r="AL504" s="376" t="s">
        <v>181</v>
      </c>
      <c r="AM504" s="378"/>
      <c r="AN504" s="378"/>
      <c r="AO504" s="379">
        <v>0</v>
      </c>
      <c r="AP504" s="385">
        <v>0</v>
      </c>
      <c r="AQ504" s="385">
        <v>0</v>
      </c>
      <c r="AR504" s="384"/>
      <c r="AS504" s="387">
        <f t="shared" si="335"/>
        <v>0</v>
      </c>
      <c r="AT504">
        <f t="shared" si="336"/>
        <v>0</v>
      </c>
      <c r="AU504" s="387" t="str">
        <f>IF(AT504=0,"",IF(AND(AT504=1,M504="F",SUMIF(C2:C1334,C504,AS2:AS1334)&lt;=1),SUMIF(C2:C1334,C504,AS2:AS1334),IF(AND(AT504=1,M504="F",SUMIF(C2:C1334,C504,AS2:AS1334)&gt;1),1,"")))</f>
        <v/>
      </c>
      <c r="AV504" s="387" t="str">
        <f>IF(AT504=0,"",IF(AND(AT504=3,M504="F",SUMIF(C2:C1334,C504,AS2:AS1334)&lt;=1),SUMIF(C2:C1334,C504,AS2:AS1334),IF(AND(AT504=3,M504="F",SUMIF(C2:C1334,C504,AS2:AS1334)&gt;1),1,"")))</f>
        <v/>
      </c>
      <c r="AW504" s="387">
        <f>SUMIF(C2:C1334,C504,O2:O1334)</f>
        <v>0</v>
      </c>
      <c r="AX504" s="387">
        <f>IF(AND(M504="F",AS504&lt;&gt;0),SUMIF(C2:C1334,C504,W2:W1334),0)</f>
        <v>0</v>
      </c>
      <c r="AY504" s="387" t="str">
        <f t="shared" si="337"/>
        <v/>
      </c>
      <c r="AZ504" s="387" t="str">
        <f t="shared" si="338"/>
        <v/>
      </c>
      <c r="BA504" s="387">
        <f t="shared" si="339"/>
        <v>0</v>
      </c>
      <c r="BB504" s="387">
        <f t="shared" si="308"/>
        <v>0</v>
      </c>
      <c r="BC504" s="387">
        <f t="shared" si="309"/>
        <v>0</v>
      </c>
      <c r="BD504" s="387">
        <f t="shared" si="310"/>
        <v>0</v>
      </c>
      <c r="BE504" s="387">
        <f t="shared" si="311"/>
        <v>0</v>
      </c>
      <c r="BF504" s="387">
        <f t="shared" si="312"/>
        <v>0</v>
      </c>
      <c r="BG504" s="387">
        <f t="shared" si="313"/>
        <v>0</v>
      </c>
      <c r="BH504" s="387">
        <f t="shared" si="314"/>
        <v>0</v>
      </c>
      <c r="BI504" s="387">
        <f t="shared" si="315"/>
        <v>0</v>
      </c>
      <c r="BJ504" s="387">
        <f t="shared" si="316"/>
        <v>0</v>
      </c>
      <c r="BK504" s="387">
        <f t="shared" si="317"/>
        <v>0</v>
      </c>
      <c r="BL504" s="387">
        <f t="shared" si="340"/>
        <v>0</v>
      </c>
      <c r="BM504" s="387">
        <f t="shared" si="341"/>
        <v>0</v>
      </c>
      <c r="BN504" s="387">
        <f t="shared" si="318"/>
        <v>0</v>
      </c>
      <c r="BO504" s="387">
        <f t="shared" si="319"/>
        <v>0</v>
      </c>
      <c r="BP504" s="387">
        <f t="shared" si="320"/>
        <v>0</v>
      </c>
      <c r="BQ504" s="387">
        <f t="shared" si="321"/>
        <v>0</v>
      </c>
      <c r="BR504" s="387">
        <f t="shared" si="322"/>
        <v>0</v>
      </c>
      <c r="BS504" s="387">
        <f t="shared" si="323"/>
        <v>0</v>
      </c>
      <c r="BT504" s="387">
        <f t="shared" si="324"/>
        <v>0</v>
      </c>
      <c r="BU504" s="387">
        <f t="shared" si="325"/>
        <v>0</v>
      </c>
      <c r="BV504" s="387">
        <f t="shared" si="326"/>
        <v>0</v>
      </c>
      <c r="BW504" s="387">
        <f t="shared" si="327"/>
        <v>0</v>
      </c>
      <c r="BX504" s="387">
        <f t="shared" si="342"/>
        <v>0</v>
      </c>
      <c r="BY504" s="387">
        <f t="shared" si="343"/>
        <v>0</v>
      </c>
      <c r="BZ504" s="387">
        <f t="shared" si="344"/>
        <v>0</v>
      </c>
      <c r="CA504" s="387">
        <f t="shared" si="345"/>
        <v>0</v>
      </c>
      <c r="CB504" s="387">
        <f t="shared" si="346"/>
        <v>0</v>
      </c>
      <c r="CC504" s="387">
        <f t="shared" si="328"/>
        <v>0</v>
      </c>
      <c r="CD504" s="387">
        <f t="shared" si="329"/>
        <v>0</v>
      </c>
      <c r="CE504" s="387">
        <f t="shared" si="330"/>
        <v>0</v>
      </c>
      <c r="CF504" s="387">
        <f t="shared" si="331"/>
        <v>0</v>
      </c>
      <c r="CG504" s="387">
        <f t="shared" si="332"/>
        <v>0</v>
      </c>
      <c r="CH504" s="387">
        <f t="shared" si="333"/>
        <v>0</v>
      </c>
      <c r="CI504" s="387">
        <f t="shared" si="334"/>
        <v>0</v>
      </c>
      <c r="CJ504" s="387">
        <f t="shared" si="347"/>
        <v>0</v>
      </c>
      <c r="CK504" s="387" t="str">
        <f t="shared" si="348"/>
        <v/>
      </c>
      <c r="CL504" s="387" t="str">
        <f t="shared" si="349"/>
        <v/>
      </c>
      <c r="CM504" s="387" t="str">
        <f t="shared" si="350"/>
        <v/>
      </c>
      <c r="CN504" s="387" t="str">
        <f t="shared" si="351"/>
        <v>0348-31</v>
      </c>
    </row>
    <row r="505" spans="1:92" ht="15.75" thickBot="1" x14ac:dyDescent="0.3">
      <c r="A505" s="376" t="s">
        <v>161</v>
      </c>
      <c r="B505" s="376" t="s">
        <v>162</v>
      </c>
      <c r="C505" s="376" t="s">
        <v>596</v>
      </c>
      <c r="D505" s="376" t="s">
        <v>274</v>
      </c>
      <c r="E505" s="376" t="s">
        <v>224</v>
      </c>
      <c r="F505" s="382" t="s">
        <v>225</v>
      </c>
      <c r="G505" s="376" t="s">
        <v>781</v>
      </c>
      <c r="H505" s="378"/>
      <c r="I505" s="378"/>
      <c r="J505" s="376" t="s">
        <v>215</v>
      </c>
      <c r="K505" s="376" t="s">
        <v>275</v>
      </c>
      <c r="L505" s="376" t="s">
        <v>178</v>
      </c>
      <c r="M505" s="376" t="s">
        <v>272</v>
      </c>
      <c r="N505" s="376" t="s">
        <v>172</v>
      </c>
      <c r="O505" s="379">
        <v>0</v>
      </c>
      <c r="P505" s="385">
        <v>0</v>
      </c>
      <c r="Q505" s="385">
        <v>0</v>
      </c>
      <c r="R505" s="380">
        <v>80</v>
      </c>
      <c r="S505" s="385">
        <v>0</v>
      </c>
      <c r="T505" s="380">
        <v>8315</v>
      </c>
      <c r="U505" s="380">
        <v>0</v>
      </c>
      <c r="V505" s="380">
        <v>5089.62</v>
      </c>
      <c r="W505" s="380">
        <v>0</v>
      </c>
      <c r="X505" s="380">
        <v>0</v>
      </c>
      <c r="Y505" s="380">
        <v>0</v>
      </c>
      <c r="Z505" s="380">
        <v>0</v>
      </c>
      <c r="AA505" s="378"/>
      <c r="AB505" s="376" t="s">
        <v>45</v>
      </c>
      <c r="AC505" s="376" t="s">
        <v>45</v>
      </c>
      <c r="AD505" s="378"/>
      <c r="AE505" s="378"/>
      <c r="AF505" s="378"/>
      <c r="AG505" s="378"/>
      <c r="AH505" s="379">
        <v>0</v>
      </c>
      <c r="AI505" s="379">
        <v>0</v>
      </c>
      <c r="AJ505" s="378"/>
      <c r="AK505" s="378"/>
      <c r="AL505" s="376" t="s">
        <v>181</v>
      </c>
      <c r="AM505" s="378"/>
      <c r="AN505" s="378"/>
      <c r="AO505" s="379">
        <v>0</v>
      </c>
      <c r="AP505" s="385">
        <v>0</v>
      </c>
      <c r="AQ505" s="385">
        <v>0</v>
      </c>
      <c r="AR505" s="384"/>
      <c r="AS505" s="387">
        <f t="shared" si="335"/>
        <v>0</v>
      </c>
      <c r="AT505">
        <f t="shared" si="336"/>
        <v>0</v>
      </c>
      <c r="AU505" s="387" t="str">
        <f>IF(AT505=0,"",IF(AND(AT505=1,M505="F",SUMIF(C2:C1334,C505,AS2:AS1334)&lt;=1),SUMIF(C2:C1334,C505,AS2:AS1334),IF(AND(AT505=1,M505="F",SUMIF(C2:C1334,C505,AS2:AS1334)&gt;1),1,"")))</f>
        <v/>
      </c>
      <c r="AV505" s="387" t="str">
        <f>IF(AT505=0,"",IF(AND(AT505=3,M505="F",SUMIF(C2:C1334,C505,AS2:AS1334)&lt;=1),SUMIF(C2:C1334,C505,AS2:AS1334),IF(AND(AT505=3,M505="F",SUMIF(C2:C1334,C505,AS2:AS1334)&gt;1),1,"")))</f>
        <v/>
      </c>
      <c r="AW505" s="387">
        <f>SUMIF(C2:C1334,C505,O2:O1334)</f>
        <v>0</v>
      </c>
      <c r="AX505" s="387">
        <f>IF(AND(M505="F",AS505&lt;&gt;0),SUMIF(C2:C1334,C505,W2:W1334),0)</f>
        <v>0</v>
      </c>
      <c r="AY505" s="387" t="str">
        <f t="shared" si="337"/>
        <v/>
      </c>
      <c r="AZ505" s="387" t="str">
        <f t="shared" si="338"/>
        <v/>
      </c>
      <c r="BA505" s="387">
        <f t="shared" si="339"/>
        <v>0</v>
      </c>
      <c r="BB505" s="387">
        <f t="shared" si="308"/>
        <v>0</v>
      </c>
      <c r="BC505" s="387">
        <f t="shared" si="309"/>
        <v>0</v>
      </c>
      <c r="BD505" s="387">
        <f t="shared" si="310"/>
        <v>0</v>
      </c>
      <c r="BE505" s="387">
        <f t="shared" si="311"/>
        <v>0</v>
      </c>
      <c r="BF505" s="387">
        <f t="shared" si="312"/>
        <v>0</v>
      </c>
      <c r="BG505" s="387">
        <f t="shared" si="313"/>
        <v>0</v>
      </c>
      <c r="BH505" s="387">
        <f t="shared" si="314"/>
        <v>0</v>
      </c>
      <c r="BI505" s="387">
        <f t="shared" si="315"/>
        <v>0</v>
      </c>
      <c r="BJ505" s="387">
        <f t="shared" si="316"/>
        <v>0</v>
      </c>
      <c r="BK505" s="387">
        <f t="shared" si="317"/>
        <v>0</v>
      </c>
      <c r="BL505" s="387">
        <f t="shared" si="340"/>
        <v>0</v>
      </c>
      <c r="BM505" s="387">
        <f t="shared" si="341"/>
        <v>0</v>
      </c>
      <c r="BN505" s="387">
        <f t="shared" si="318"/>
        <v>0</v>
      </c>
      <c r="BO505" s="387">
        <f t="shared" si="319"/>
        <v>0</v>
      </c>
      <c r="BP505" s="387">
        <f t="shared" si="320"/>
        <v>0</v>
      </c>
      <c r="BQ505" s="387">
        <f t="shared" si="321"/>
        <v>0</v>
      </c>
      <c r="BR505" s="387">
        <f t="shared" si="322"/>
        <v>0</v>
      </c>
      <c r="BS505" s="387">
        <f t="shared" si="323"/>
        <v>0</v>
      </c>
      <c r="BT505" s="387">
        <f t="shared" si="324"/>
        <v>0</v>
      </c>
      <c r="BU505" s="387">
        <f t="shared" si="325"/>
        <v>0</v>
      </c>
      <c r="BV505" s="387">
        <f t="shared" si="326"/>
        <v>0</v>
      </c>
      <c r="BW505" s="387">
        <f t="shared" si="327"/>
        <v>0</v>
      </c>
      <c r="BX505" s="387">
        <f t="shared" si="342"/>
        <v>0</v>
      </c>
      <c r="BY505" s="387">
        <f t="shared" si="343"/>
        <v>0</v>
      </c>
      <c r="BZ505" s="387">
        <f t="shared" si="344"/>
        <v>0</v>
      </c>
      <c r="CA505" s="387">
        <f t="shared" si="345"/>
        <v>0</v>
      </c>
      <c r="CB505" s="387">
        <f t="shared" si="346"/>
        <v>0</v>
      </c>
      <c r="CC505" s="387">
        <f t="shared" si="328"/>
        <v>0</v>
      </c>
      <c r="CD505" s="387">
        <f t="shared" si="329"/>
        <v>0</v>
      </c>
      <c r="CE505" s="387">
        <f t="shared" si="330"/>
        <v>0</v>
      </c>
      <c r="CF505" s="387">
        <f t="shared" si="331"/>
        <v>0</v>
      </c>
      <c r="CG505" s="387">
        <f t="shared" si="332"/>
        <v>0</v>
      </c>
      <c r="CH505" s="387">
        <f t="shared" si="333"/>
        <v>0</v>
      </c>
      <c r="CI505" s="387">
        <f t="shared" si="334"/>
        <v>0</v>
      </c>
      <c r="CJ505" s="387">
        <f t="shared" si="347"/>
        <v>0</v>
      </c>
      <c r="CK505" s="387" t="str">
        <f t="shared" si="348"/>
        <v/>
      </c>
      <c r="CL505" s="387" t="str">
        <f t="shared" si="349"/>
        <v/>
      </c>
      <c r="CM505" s="387" t="str">
        <f t="shared" si="350"/>
        <v/>
      </c>
      <c r="CN505" s="387" t="str">
        <f t="shared" si="351"/>
        <v>0348-31</v>
      </c>
    </row>
    <row r="506" spans="1:92" ht="15.75" thickBot="1" x14ac:dyDescent="0.3">
      <c r="A506" s="376" t="s">
        <v>161</v>
      </c>
      <c r="B506" s="376" t="s">
        <v>162</v>
      </c>
      <c r="C506" s="376" t="s">
        <v>1630</v>
      </c>
      <c r="D506" s="376" t="s">
        <v>862</v>
      </c>
      <c r="E506" s="376" t="s">
        <v>224</v>
      </c>
      <c r="F506" s="382" t="s">
        <v>225</v>
      </c>
      <c r="G506" s="376" t="s">
        <v>781</v>
      </c>
      <c r="H506" s="378"/>
      <c r="I506" s="378"/>
      <c r="J506" s="376" t="s">
        <v>239</v>
      </c>
      <c r="K506" s="376" t="s">
        <v>863</v>
      </c>
      <c r="L506" s="376" t="s">
        <v>252</v>
      </c>
      <c r="M506" s="376" t="s">
        <v>171</v>
      </c>
      <c r="N506" s="376" t="s">
        <v>172</v>
      </c>
      <c r="O506" s="379">
        <v>1</v>
      </c>
      <c r="P506" s="385">
        <v>0.7</v>
      </c>
      <c r="Q506" s="385">
        <v>0.7</v>
      </c>
      <c r="R506" s="380">
        <v>80</v>
      </c>
      <c r="S506" s="385">
        <v>0.7</v>
      </c>
      <c r="T506" s="380">
        <v>6920.39</v>
      </c>
      <c r="U506" s="380">
        <v>0</v>
      </c>
      <c r="V506" s="380">
        <v>3442.17</v>
      </c>
      <c r="W506" s="380">
        <v>28916.16</v>
      </c>
      <c r="X506" s="380">
        <v>14408.1</v>
      </c>
      <c r="Y506" s="380">
        <v>28916.16</v>
      </c>
      <c r="Z506" s="380">
        <v>14286.65</v>
      </c>
      <c r="AA506" s="376" t="s">
        <v>1631</v>
      </c>
      <c r="AB506" s="376" t="s">
        <v>1632</v>
      </c>
      <c r="AC506" s="376" t="s">
        <v>1633</v>
      </c>
      <c r="AD506" s="376" t="s">
        <v>351</v>
      </c>
      <c r="AE506" s="376" t="s">
        <v>863</v>
      </c>
      <c r="AF506" s="376" t="s">
        <v>393</v>
      </c>
      <c r="AG506" s="376" t="s">
        <v>178</v>
      </c>
      <c r="AH506" s="381">
        <v>19.86</v>
      </c>
      <c r="AI506" s="381">
        <v>6627.4</v>
      </c>
      <c r="AJ506" s="376" t="s">
        <v>179</v>
      </c>
      <c r="AK506" s="376" t="s">
        <v>180</v>
      </c>
      <c r="AL506" s="376" t="s">
        <v>181</v>
      </c>
      <c r="AM506" s="376" t="s">
        <v>182</v>
      </c>
      <c r="AN506" s="376" t="s">
        <v>68</v>
      </c>
      <c r="AO506" s="379">
        <v>80</v>
      </c>
      <c r="AP506" s="385">
        <v>1</v>
      </c>
      <c r="AQ506" s="385">
        <v>0.7</v>
      </c>
      <c r="AR506" s="383" t="s">
        <v>183</v>
      </c>
      <c r="AS506" s="387">
        <f t="shared" si="335"/>
        <v>0.7</v>
      </c>
      <c r="AT506">
        <f t="shared" si="336"/>
        <v>1</v>
      </c>
      <c r="AU506" s="387">
        <f>IF(AT506=0,"",IF(AND(AT506=1,M506="F",SUMIF(C2:C1334,C506,AS2:AS1334)&lt;=1),SUMIF(C2:C1334,C506,AS2:AS1334),IF(AND(AT506=1,M506="F",SUMIF(C2:C1334,C506,AS2:AS1334)&gt;1),1,"")))</f>
        <v>1</v>
      </c>
      <c r="AV506" s="387" t="str">
        <f>IF(AT506=0,"",IF(AND(AT506=3,M506="F",SUMIF(C2:C1334,C506,AS2:AS1334)&lt;=1),SUMIF(C2:C1334,C506,AS2:AS1334),IF(AND(AT506=3,M506="F",SUMIF(C2:C1334,C506,AS2:AS1334)&gt;1),1,"")))</f>
        <v/>
      </c>
      <c r="AW506" s="387">
        <f>SUMIF(C2:C1334,C506,O2:O1334)</f>
        <v>3</v>
      </c>
      <c r="AX506" s="387">
        <f>IF(AND(M506="F",AS506&lt;&gt;0),SUMIF(C2:C1334,C506,W2:W1334),0)</f>
        <v>41308.800000000003</v>
      </c>
      <c r="AY506" s="387">
        <f t="shared" si="337"/>
        <v>28916.16</v>
      </c>
      <c r="AZ506" s="387" t="str">
        <f t="shared" si="338"/>
        <v/>
      </c>
      <c r="BA506" s="387">
        <f t="shared" si="339"/>
        <v>0</v>
      </c>
      <c r="BB506" s="387">
        <f t="shared" si="308"/>
        <v>8154.9999999999991</v>
      </c>
      <c r="BC506" s="387">
        <f t="shared" si="309"/>
        <v>0</v>
      </c>
      <c r="BD506" s="387">
        <f t="shared" si="310"/>
        <v>1792.8019199999999</v>
      </c>
      <c r="BE506" s="387">
        <f t="shared" si="311"/>
        <v>419.28432000000004</v>
      </c>
      <c r="BF506" s="387">
        <f t="shared" si="312"/>
        <v>3452.589504</v>
      </c>
      <c r="BG506" s="387">
        <f t="shared" si="313"/>
        <v>208.48551360000002</v>
      </c>
      <c r="BH506" s="387">
        <f t="shared" si="314"/>
        <v>141.68918399999998</v>
      </c>
      <c r="BI506" s="387">
        <f t="shared" si="315"/>
        <v>160.05094560000001</v>
      </c>
      <c r="BJ506" s="387">
        <f t="shared" si="316"/>
        <v>78.073632000000003</v>
      </c>
      <c r="BK506" s="387">
        <f t="shared" si="317"/>
        <v>0</v>
      </c>
      <c r="BL506" s="387">
        <f t="shared" si="340"/>
        <v>6252.9750191999992</v>
      </c>
      <c r="BM506" s="387">
        <f t="shared" si="341"/>
        <v>0</v>
      </c>
      <c r="BN506" s="387">
        <f t="shared" si="318"/>
        <v>8154.9999999999991</v>
      </c>
      <c r="BO506" s="387">
        <f t="shared" si="319"/>
        <v>0</v>
      </c>
      <c r="BP506" s="387">
        <f t="shared" si="320"/>
        <v>1792.8019199999999</v>
      </c>
      <c r="BQ506" s="387">
        <f t="shared" si="321"/>
        <v>419.28432000000004</v>
      </c>
      <c r="BR506" s="387">
        <f t="shared" si="322"/>
        <v>3452.589504</v>
      </c>
      <c r="BS506" s="387">
        <f t="shared" si="323"/>
        <v>208.48551360000002</v>
      </c>
      <c r="BT506" s="387">
        <f t="shared" si="324"/>
        <v>0</v>
      </c>
      <c r="BU506" s="387">
        <f t="shared" si="325"/>
        <v>160.05094560000001</v>
      </c>
      <c r="BV506" s="387">
        <f t="shared" si="326"/>
        <v>98.314943999999997</v>
      </c>
      <c r="BW506" s="387">
        <f t="shared" si="327"/>
        <v>0</v>
      </c>
      <c r="BX506" s="387">
        <f t="shared" si="342"/>
        <v>6131.5271471999995</v>
      </c>
      <c r="BY506" s="387">
        <f t="shared" si="343"/>
        <v>0</v>
      </c>
      <c r="BZ506" s="387">
        <f t="shared" si="344"/>
        <v>0</v>
      </c>
      <c r="CA506" s="387">
        <f t="shared" si="345"/>
        <v>0</v>
      </c>
      <c r="CB506" s="387">
        <f t="shared" si="346"/>
        <v>0</v>
      </c>
      <c r="CC506" s="387">
        <f t="shared" si="328"/>
        <v>0</v>
      </c>
      <c r="CD506" s="387">
        <f t="shared" si="329"/>
        <v>0</v>
      </c>
      <c r="CE506" s="387">
        <f t="shared" si="330"/>
        <v>0</v>
      </c>
      <c r="CF506" s="387">
        <f t="shared" si="331"/>
        <v>-141.68918399999998</v>
      </c>
      <c r="CG506" s="387">
        <f t="shared" si="332"/>
        <v>0</v>
      </c>
      <c r="CH506" s="387">
        <f t="shared" si="333"/>
        <v>20.24131199999999</v>
      </c>
      <c r="CI506" s="387">
        <f t="shared" si="334"/>
        <v>0</v>
      </c>
      <c r="CJ506" s="387">
        <f t="shared" si="347"/>
        <v>-121.44787199999999</v>
      </c>
      <c r="CK506" s="387" t="str">
        <f t="shared" si="348"/>
        <v/>
      </c>
      <c r="CL506" s="387" t="str">
        <f t="shared" si="349"/>
        <v/>
      </c>
      <c r="CM506" s="387" t="str">
        <f t="shared" si="350"/>
        <v/>
      </c>
      <c r="CN506" s="387" t="str">
        <f t="shared" si="351"/>
        <v>0348-31</v>
      </c>
    </row>
    <row r="507" spans="1:92" ht="15.75" thickBot="1" x14ac:dyDescent="0.3">
      <c r="A507" s="376" t="s">
        <v>161</v>
      </c>
      <c r="B507" s="376" t="s">
        <v>162</v>
      </c>
      <c r="C507" s="376" t="s">
        <v>1634</v>
      </c>
      <c r="D507" s="376" t="s">
        <v>974</v>
      </c>
      <c r="E507" s="376" t="s">
        <v>224</v>
      </c>
      <c r="F507" s="382" t="s">
        <v>225</v>
      </c>
      <c r="G507" s="376" t="s">
        <v>781</v>
      </c>
      <c r="H507" s="378"/>
      <c r="I507" s="378"/>
      <c r="J507" s="376" t="s">
        <v>215</v>
      </c>
      <c r="K507" s="376" t="s">
        <v>975</v>
      </c>
      <c r="L507" s="376" t="s">
        <v>296</v>
      </c>
      <c r="M507" s="376" t="s">
        <v>171</v>
      </c>
      <c r="N507" s="376" t="s">
        <v>172</v>
      </c>
      <c r="O507" s="379">
        <v>1</v>
      </c>
      <c r="P507" s="385">
        <v>0</v>
      </c>
      <c r="Q507" s="385">
        <v>0</v>
      </c>
      <c r="R507" s="380">
        <v>80</v>
      </c>
      <c r="S507" s="385">
        <v>0</v>
      </c>
      <c r="T507" s="380">
        <v>832.4</v>
      </c>
      <c r="U507" s="380">
        <v>0</v>
      </c>
      <c r="V507" s="380">
        <v>384.03</v>
      </c>
      <c r="W507" s="380">
        <v>0</v>
      </c>
      <c r="X507" s="380">
        <v>0</v>
      </c>
      <c r="Y507" s="380">
        <v>0</v>
      </c>
      <c r="Z507" s="380">
        <v>0</v>
      </c>
      <c r="AA507" s="376" t="s">
        <v>1635</v>
      </c>
      <c r="AB507" s="376" t="s">
        <v>1636</v>
      </c>
      <c r="AC507" s="376" t="s">
        <v>1637</v>
      </c>
      <c r="AD507" s="376" t="s">
        <v>1638</v>
      </c>
      <c r="AE507" s="376" t="s">
        <v>975</v>
      </c>
      <c r="AF507" s="376" t="s">
        <v>301</v>
      </c>
      <c r="AG507" s="376" t="s">
        <v>178</v>
      </c>
      <c r="AH507" s="381">
        <v>20.81</v>
      </c>
      <c r="AI507" s="381">
        <v>14234.2</v>
      </c>
      <c r="AJ507" s="376" t="s">
        <v>179</v>
      </c>
      <c r="AK507" s="376" t="s">
        <v>180</v>
      </c>
      <c r="AL507" s="376" t="s">
        <v>181</v>
      </c>
      <c r="AM507" s="376" t="s">
        <v>182</v>
      </c>
      <c r="AN507" s="376" t="s">
        <v>68</v>
      </c>
      <c r="AO507" s="379">
        <v>80</v>
      </c>
      <c r="AP507" s="385">
        <v>1</v>
      </c>
      <c r="AQ507" s="385">
        <v>0</v>
      </c>
      <c r="AR507" s="383" t="s">
        <v>183</v>
      </c>
      <c r="AS507" s="387">
        <f t="shared" si="335"/>
        <v>0</v>
      </c>
      <c r="AT507">
        <f t="shared" si="336"/>
        <v>0</v>
      </c>
      <c r="AU507" s="387" t="str">
        <f>IF(AT507=0,"",IF(AND(AT507=1,M507="F",SUMIF(C2:C1334,C507,AS2:AS1334)&lt;=1),SUMIF(C2:C1334,C507,AS2:AS1334),IF(AND(AT507=1,M507="F",SUMIF(C2:C1334,C507,AS2:AS1334)&gt;1),1,"")))</f>
        <v/>
      </c>
      <c r="AV507" s="387" t="str">
        <f>IF(AT507=0,"",IF(AND(AT507=3,M507="F",SUMIF(C2:C1334,C507,AS2:AS1334)&lt;=1),SUMIF(C2:C1334,C507,AS2:AS1334),IF(AND(AT507=3,M507="F",SUMIF(C2:C1334,C507,AS2:AS1334)&gt;1),1,"")))</f>
        <v/>
      </c>
      <c r="AW507" s="387">
        <f>SUMIF(C2:C1334,C507,O2:O1334)</f>
        <v>2</v>
      </c>
      <c r="AX507" s="387">
        <f>IF(AND(M507="F",AS507&lt;&gt;0),SUMIF(C2:C1334,C507,W2:W1334),0)</f>
        <v>0</v>
      </c>
      <c r="AY507" s="387" t="str">
        <f t="shared" si="337"/>
        <v/>
      </c>
      <c r="AZ507" s="387" t="str">
        <f t="shared" si="338"/>
        <v/>
      </c>
      <c r="BA507" s="387">
        <f t="shared" si="339"/>
        <v>0</v>
      </c>
      <c r="BB507" s="387">
        <f t="shared" si="308"/>
        <v>0</v>
      </c>
      <c r="BC507" s="387">
        <f t="shared" si="309"/>
        <v>0</v>
      </c>
      <c r="BD507" s="387">
        <f t="shared" si="310"/>
        <v>0</v>
      </c>
      <c r="BE507" s="387">
        <f t="shared" si="311"/>
        <v>0</v>
      </c>
      <c r="BF507" s="387">
        <f t="shared" si="312"/>
        <v>0</v>
      </c>
      <c r="BG507" s="387">
        <f t="shared" si="313"/>
        <v>0</v>
      </c>
      <c r="BH507" s="387">
        <f t="shared" si="314"/>
        <v>0</v>
      </c>
      <c r="BI507" s="387">
        <f t="shared" si="315"/>
        <v>0</v>
      </c>
      <c r="BJ507" s="387">
        <f t="shared" si="316"/>
        <v>0</v>
      </c>
      <c r="BK507" s="387">
        <f t="shared" si="317"/>
        <v>0</v>
      </c>
      <c r="BL507" s="387">
        <f t="shared" si="340"/>
        <v>0</v>
      </c>
      <c r="BM507" s="387">
        <f t="shared" si="341"/>
        <v>0</v>
      </c>
      <c r="BN507" s="387">
        <f t="shared" si="318"/>
        <v>0</v>
      </c>
      <c r="BO507" s="387">
        <f t="shared" si="319"/>
        <v>0</v>
      </c>
      <c r="BP507" s="387">
        <f t="shared" si="320"/>
        <v>0</v>
      </c>
      <c r="BQ507" s="387">
        <f t="shared" si="321"/>
        <v>0</v>
      </c>
      <c r="BR507" s="387">
        <f t="shared" si="322"/>
        <v>0</v>
      </c>
      <c r="BS507" s="387">
        <f t="shared" si="323"/>
        <v>0</v>
      </c>
      <c r="BT507" s="387">
        <f t="shared" si="324"/>
        <v>0</v>
      </c>
      <c r="BU507" s="387">
        <f t="shared" si="325"/>
        <v>0</v>
      </c>
      <c r="BV507" s="387">
        <f t="shared" si="326"/>
        <v>0</v>
      </c>
      <c r="BW507" s="387">
        <f t="shared" si="327"/>
        <v>0</v>
      </c>
      <c r="BX507" s="387">
        <f t="shared" si="342"/>
        <v>0</v>
      </c>
      <c r="BY507" s="387">
        <f t="shared" si="343"/>
        <v>0</v>
      </c>
      <c r="BZ507" s="387">
        <f t="shared" si="344"/>
        <v>0</v>
      </c>
      <c r="CA507" s="387">
        <f t="shared" si="345"/>
        <v>0</v>
      </c>
      <c r="CB507" s="387">
        <f t="shared" si="346"/>
        <v>0</v>
      </c>
      <c r="CC507" s="387">
        <f t="shared" si="328"/>
        <v>0</v>
      </c>
      <c r="CD507" s="387">
        <f t="shared" si="329"/>
        <v>0</v>
      </c>
      <c r="CE507" s="387">
        <f t="shared" si="330"/>
        <v>0</v>
      </c>
      <c r="CF507" s="387">
        <f t="shared" si="331"/>
        <v>0</v>
      </c>
      <c r="CG507" s="387">
        <f t="shared" si="332"/>
        <v>0</v>
      </c>
      <c r="CH507" s="387">
        <f t="shared" si="333"/>
        <v>0</v>
      </c>
      <c r="CI507" s="387">
        <f t="shared" si="334"/>
        <v>0</v>
      </c>
      <c r="CJ507" s="387">
        <f t="shared" si="347"/>
        <v>0</v>
      </c>
      <c r="CK507" s="387" t="str">
        <f t="shared" si="348"/>
        <v/>
      </c>
      <c r="CL507" s="387" t="str">
        <f t="shared" si="349"/>
        <v/>
      </c>
      <c r="CM507" s="387" t="str">
        <f t="shared" si="350"/>
        <v/>
      </c>
      <c r="CN507" s="387" t="str">
        <f t="shared" si="351"/>
        <v>0348-31</v>
      </c>
    </row>
    <row r="508" spans="1:92" ht="15.75" thickBot="1" x14ac:dyDescent="0.3">
      <c r="A508" s="376" t="s">
        <v>161</v>
      </c>
      <c r="B508" s="376" t="s">
        <v>162</v>
      </c>
      <c r="C508" s="376" t="s">
        <v>1639</v>
      </c>
      <c r="D508" s="376" t="s">
        <v>868</v>
      </c>
      <c r="E508" s="376" t="s">
        <v>224</v>
      </c>
      <c r="F508" s="382" t="s">
        <v>225</v>
      </c>
      <c r="G508" s="376" t="s">
        <v>781</v>
      </c>
      <c r="H508" s="378"/>
      <c r="I508" s="378"/>
      <c r="J508" s="376" t="s">
        <v>215</v>
      </c>
      <c r="K508" s="376" t="s">
        <v>869</v>
      </c>
      <c r="L508" s="376" t="s">
        <v>296</v>
      </c>
      <c r="M508" s="376" t="s">
        <v>171</v>
      </c>
      <c r="N508" s="376" t="s">
        <v>172</v>
      </c>
      <c r="O508" s="379">
        <v>1</v>
      </c>
      <c r="P508" s="385">
        <v>0</v>
      </c>
      <c r="Q508" s="385">
        <v>0</v>
      </c>
      <c r="R508" s="380">
        <v>80</v>
      </c>
      <c r="S508" s="385">
        <v>0</v>
      </c>
      <c r="T508" s="380">
        <v>30704</v>
      </c>
      <c r="U508" s="380">
        <v>0</v>
      </c>
      <c r="V508" s="380">
        <v>14719.5</v>
      </c>
      <c r="W508" s="380">
        <v>0</v>
      </c>
      <c r="X508" s="380">
        <v>0</v>
      </c>
      <c r="Y508" s="380">
        <v>0</v>
      </c>
      <c r="Z508" s="380">
        <v>0</v>
      </c>
      <c r="AA508" s="376" t="s">
        <v>1640</v>
      </c>
      <c r="AB508" s="376" t="s">
        <v>1641</v>
      </c>
      <c r="AC508" s="376" t="s">
        <v>1266</v>
      </c>
      <c r="AD508" s="376" t="s">
        <v>1642</v>
      </c>
      <c r="AE508" s="376" t="s">
        <v>873</v>
      </c>
      <c r="AF508" s="376" t="s">
        <v>393</v>
      </c>
      <c r="AG508" s="376" t="s">
        <v>178</v>
      </c>
      <c r="AH508" s="381">
        <v>20.2</v>
      </c>
      <c r="AI508" s="379">
        <v>1600</v>
      </c>
      <c r="AJ508" s="376" t="s">
        <v>179</v>
      </c>
      <c r="AK508" s="376" t="s">
        <v>180</v>
      </c>
      <c r="AL508" s="376" t="s">
        <v>181</v>
      </c>
      <c r="AM508" s="376" t="s">
        <v>182</v>
      </c>
      <c r="AN508" s="376" t="s">
        <v>68</v>
      </c>
      <c r="AO508" s="379">
        <v>80</v>
      </c>
      <c r="AP508" s="385">
        <v>1</v>
      </c>
      <c r="AQ508" s="385">
        <v>0</v>
      </c>
      <c r="AR508" s="383">
        <v>3</v>
      </c>
      <c r="AS508" s="387">
        <f t="shared" si="335"/>
        <v>0</v>
      </c>
      <c r="AT508">
        <f t="shared" si="336"/>
        <v>0</v>
      </c>
      <c r="AU508" s="387" t="str">
        <f>IF(AT508=0,"",IF(AND(AT508=1,M508="F",SUMIF(C2:C1334,C508,AS2:AS1334)&lt;=1),SUMIF(C2:C1334,C508,AS2:AS1334),IF(AND(AT508=1,M508="F",SUMIF(C2:C1334,C508,AS2:AS1334)&gt;1),1,"")))</f>
        <v/>
      </c>
      <c r="AV508" s="387" t="str">
        <f>IF(AT508=0,"",IF(AND(AT508=3,M508="F",SUMIF(C2:C1334,C508,AS2:AS1334)&lt;=1),SUMIF(C2:C1334,C508,AS2:AS1334),IF(AND(AT508=3,M508="F",SUMIF(C2:C1334,C508,AS2:AS1334)&gt;1),1,"")))</f>
        <v/>
      </c>
      <c r="AW508" s="387">
        <f>SUMIF(C2:C1334,C508,O2:O1334)</f>
        <v>2</v>
      </c>
      <c r="AX508" s="387">
        <f>IF(AND(M508="F",AS508&lt;&gt;0),SUMIF(C2:C1334,C508,W2:W1334),0)</f>
        <v>0</v>
      </c>
      <c r="AY508" s="387" t="str">
        <f t="shared" si="337"/>
        <v/>
      </c>
      <c r="AZ508" s="387" t="str">
        <f t="shared" si="338"/>
        <v/>
      </c>
      <c r="BA508" s="387">
        <f t="shared" si="339"/>
        <v>0</v>
      </c>
      <c r="BB508" s="387">
        <f t="shared" si="308"/>
        <v>0</v>
      </c>
      <c r="BC508" s="387">
        <f t="shared" si="309"/>
        <v>0</v>
      </c>
      <c r="BD508" s="387">
        <f t="shared" si="310"/>
        <v>0</v>
      </c>
      <c r="BE508" s="387">
        <f t="shared" si="311"/>
        <v>0</v>
      </c>
      <c r="BF508" s="387">
        <f t="shared" si="312"/>
        <v>0</v>
      </c>
      <c r="BG508" s="387">
        <f t="shared" si="313"/>
        <v>0</v>
      </c>
      <c r="BH508" s="387">
        <f t="shared" si="314"/>
        <v>0</v>
      </c>
      <c r="BI508" s="387">
        <f t="shared" si="315"/>
        <v>0</v>
      </c>
      <c r="BJ508" s="387">
        <f t="shared" si="316"/>
        <v>0</v>
      </c>
      <c r="BK508" s="387">
        <f t="shared" si="317"/>
        <v>0</v>
      </c>
      <c r="BL508" s="387">
        <f t="shared" si="340"/>
        <v>0</v>
      </c>
      <c r="BM508" s="387">
        <f t="shared" si="341"/>
        <v>0</v>
      </c>
      <c r="BN508" s="387">
        <f t="shared" si="318"/>
        <v>0</v>
      </c>
      <c r="BO508" s="387">
        <f t="shared" si="319"/>
        <v>0</v>
      </c>
      <c r="BP508" s="387">
        <f t="shared" si="320"/>
        <v>0</v>
      </c>
      <c r="BQ508" s="387">
        <f t="shared" si="321"/>
        <v>0</v>
      </c>
      <c r="BR508" s="387">
        <f t="shared" si="322"/>
        <v>0</v>
      </c>
      <c r="BS508" s="387">
        <f t="shared" si="323"/>
        <v>0</v>
      </c>
      <c r="BT508" s="387">
        <f t="shared" si="324"/>
        <v>0</v>
      </c>
      <c r="BU508" s="387">
        <f t="shared" si="325"/>
        <v>0</v>
      </c>
      <c r="BV508" s="387">
        <f t="shared" si="326"/>
        <v>0</v>
      </c>
      <c r="BW508" s="387">
        <f t="shared" si="327"/>
        <v>0</v>
      </c>
      <c r="BX508" s="387">
        <f t="shared" si="342"/>
        <v>0</v>
      </c>
      <c r="BY508" s="387">
        <f t="shared" si="343"/>
        <v>0</v>
      </c>
      <c r="BZ508" s="387">
        <f t="shared" si="344"/>
        <v>0</v>
      </c>
      <c r="CA508" s="387">
        <f t="shared" si="345"/>
        <v>0</v>
      </c>
      <c r="CB508" s="387">
        <f t="shared" si="346"/>
        <v>0</v>
      </c>
      <c r="CC508" s="387">
        <f t="shared" si="328"/>
        <v>0</v>
      </c>
      <c r="CD508" s="387">
        <f t="shared" si="329"/>
        <v>0</v>
      </c>
      <c r="CE508" s="387">
        <f t="shared" si="330"/>
        <v>0</v>
      </c>
      <c r="CF508" s="387">
        <f t="shared" si="331"/>
        <v>0</v>
      </c>
      <c r="CG508" s="387">
        <f t="shared" si="332"/>
        <v>0</v>
      </c>
      <c r="CH508" s="387">
        <f t="shared" si="333"/>
        <v>0</v>
      </c>
      <c r="CI508" s="387">
        <f t="shared" si="334"/>
        <v>0</v>
      </c>
      <c r="CJ508" s="387">
        <f t="shared" si="347"/>
        <v>0</v>
      </c>
      <c r="CK508" s="387" t="str">
        <f t="shared" si="348"/>
        <v/>
      </c>
      <c r="CL508" s="387" t="str">
        <f t="shared" si="349"/>
        <v/>
      </c>
      <c r="CM508" s="387" t="str">
        <f t="shared" si="350"/>
        <v/>
      </c>
      <c r="CN508" s="387" t="str">
        <f t="shared" si="351"/>
        <v>0348-31</v>
      </c>
    </row>
    <row r="509" spans="1:92" ht="15.75" thickBot="1" x14ac:dyDescent="0.3">
      <c r="A509" s="376" t="s">
        <v>161</v>
      </c>
      <c r="B509" s="376" t="s">
        <v>162</v>
      </c>
      <c r="C509" s="376" t="s">
        <v>1643</v>
      </c>
      <c r="D509" s="376" t="s">
        <v>823</v>
      </c>
      <c r="E509" s="376" t="s">
        <v>224</v>
      </c>
      <c r="F509" s="382" t="s">
        <v>225</v>
      </c>
      <c r="G509" s="376" t="s">
        <v>781</v>
      </c>
      <c r="H509" s="378"/>
      <c r="I509" s="378"/>
      <c r="J509" s="376" t="s">
        <v>215</v>
      </c>
      <c r="K509" s="376" t="s">
        <v>824</v>
      </c>
      <c r="L509" s="376" t="s">
        <v>166</v>
      </c>
      <c r="M509" s="376" t="s">
        <v>272</v>
      </c>
      <c r="N509" s="376" t="s">
        <v>780</v>
      </c>
      <c r="O509" s="379">
        <v>0</v>
      </c>
      <c r="P509" s="385">
        <v>1</v>
      </c>
      <c r="Q509" s="385">
        <v>0</v>
      </c>
      <c r="R509" s="380">
        <v>0</v>
      </c>
      <c r="S509" s="385">
        <v>0</v>
      </c>
      <c r="T509" s="380">
        <v>0</v>
      </c>
      <c r="U509" s="380">
        <v>0</v>
      </c>
      <c r="V509" s="380">
        <v>0</v>
      </c>
      <c r="W509" s="380">
        <v>0</v>
      </c>
      <c r="X509" s="380">
        <v>0</v>
      </c>
      <c r="Y509" s="380">
        <v>0</v>
      </c>
      <c r="Z509" s="380">
        <v>0</v>
      </c>
      <c r="AA509" s="378"/>
      <c r="AB509" s="376" t="s">
        <v>45</v>
      </c>
      <c r="AC509" s="376" t="s">
        <v>45</v>
      </c>
      <c r="AD509" s="378"/>
      <c r="AE509" s="378"/>
      <c r="AF509" s="378"/>
      <c r="AG509" s="378"/>
      <c r="AH509" s="379">
        <v>0</v>
      </c>
      <c r="AI509" s="379">
        <v>0</v>
      </c>
      <c r="AJ509" s="378"/>
      <c r="AK509" s="378"/>
      <c r="AL509" s="376" t="s">
        <v>181</v>
      </c>
      <c r="AM509" s="378"/>
      <c r="AN509" s="378"/>
      <c r="AO509" s="379">
        <v>0</v>
      </c>
      <c r="AP509" s="385">
        <v>0</v>
      </c>
      <c r="AQ509" s="385">
        <v>0</v>
      </c>
      <c r="AR509" s="384"/>
      <c r="AS509" s="387">
        <f t="shared" si="335"/>
        <v>0</v>
      </c>
      <c r="AT509">
        <f t="shared" si="336"/>
        <v>0</v>
      </c>
      <c r="AU509" s="387" t="str">
        <f>IF(AT509=0,"",IF(AND(AT509=1,M509="F",SUMIF(C2:C1334,C509,AS2:AS1334)&lt;=1),SUMIF(C2:C1334,C509,AS2:AS1334),IF(AND(AT509=1,M509="F",SUMIF(C2:C1334,C509,AS2:AS1334)&gt;1),1,"")))</f>
        <v/>
      </c>
      <c r="AV509" s="387" t="str">
        <f>IF(AT509=0,"",IF(AND(AT509=3,M509="F",SUMIF(C2:C1334,C509,AS2:AS1334)&lt;=1),SUMIF(C2:C1334,C509,AS2:AS1334),IF(AND(AT509=3,M509="F",SUMIF(C2:C1334,C509,AS2:AS1334)&gt;1),1,"")))</f>
        <v/>
      </c>
      <c r="AW509" s="387">
        <f>SUMIF(C2:C1334,C509,O2:O1334)</f>
        <v>0</v>
      </c>
      <c r="AX509" s="387">
        <f>IF(AND(M509="F",AS509&lt;&gt;0),SUMIF(C2:C1334,C509,W2:W1334),0)</f>
        <v>0</v>
      </c>
      <c r="AY509" s="387" t="str">
        <f t="shared" si="337"/>
        <v/>
      </c>
      <c r="AZ509" s="387" t="str">
        <f t="shared" si="338"/>
        <v/>
      </c>
      <c r="BA509" s="387">
        <f t="shared" si="339"/>
        <v>0</v>
      </c>
      <c r="BB509" s="387">
        <f t="shared" si="308"/>
        <v>0</v>
      </c>
      <c r="BC509" s="387">
        <f t="shared" si="309"/>
        <v>0</v>
      </c>
      <c r="BD509" s="387">
        <f t="shared" si="310"/>
        <v>0</v>
      </c>
      <c r="BE509" s="387">
        <f t="shared" si="311"/>
        <v>0</v>
      </c>
      <c r="BF509" s="387">
        <f t="shared" si="312"/>
        <v>0</v>
      </c>
      <c r="BG509" s="387">
        <f t="shared" si="313"/>
        <v>0</v>
      </c>
      <c r="BH509" s="387">
        <f t="shared" si="314"/>
        <v>0</v>
      </c>
      <c r="BI509" s="387">
        <f t="shared" si="315"/>
        <v>0</v>
      </c>
      <c r="BJ509" s="387">
        <f t="shared" si="316"/>
        <v>0</v>
      </c>
      <c r="BK509" s="387">
        <f t="shared" si="317"/>
        <v>0</v>
      </c>
      <c r="BL509" s="387">
        <f t="shared" si="340"/>
        <v>0</v>
      </c>
      <c r="BM509" s="387">
        <f t="shared" si="341"/>
        <v>0</v>
      </c>
      <c r="BN509" s="387">
        <f t="shared" si="318"/>
        <v>0</v>
      </c>
      <c r="BO509" s="387">
        <f t="shared" si="319"/>
        <v>0</v>
      </c>
      <c r="BP509" s="387">
        <f t="shared" si="320"/>
        <v>0</v>
      </c>
      <c r="BQ509" s="387">
        <f t="shared" si="321"/>
        <v>0</v>
      </c>
      <c r="BR509" s="387">
        <f t="shared" si="322"/>
        <v>0</v>
      </c>
      <c r="BS509" s="387">
        <f t="shared" si="323"/>
        <v>0</v>
      </c>
      <c r="BT509" s="387">
        <f t="shared" si="324"/>
        <v>0</v>
      </c>
      <c r="BU509" s="387">
        <f t="shared" si="325"/>
        <v>0</v>
      </c>
      <c r="BV509" s="387">
        <f t="shared" si="326"/>
        <v>0</v>
      </c>
      <c r="BW509" s="387">
        <f t="shared" si="327"/>
        <v>0</v>
      </c>
      <c r="BX509" s="387">
        <f t="shared" si="342"/>
        <v>0</v>
      </c>
      <c r="BY509" s="387">
        <f t="shared" si="343"/>
        <v>0</v>
      </c>
      <c r="BZ509" s="387">
        <f t="shared" si="344"/>
        <v>0</v>
      </c>
      <c r="CA509" s="387">
        <f t="shared" si="345"/>
        <v>0</v>
      </c>
      <c r="CB509" s="387">
        <f t="shared" si="346"/>
        <v>0</v>
      </c>
      <c r="CC509" s="387">
        <f t="shared" si="328"/>
        <v>0</v>
      </c>
      <c r="CD509" s="387">
        <f t="shared" si="329"/>
        <v>0</v>
      </c>
      <c r="CE509" s="387">
        <f t="shared" si="330"/>
        <v>0</v>
      </c>
      <c r="CF509" s="387">
        <f t="shared" si="331"/>
        <v>0</v>
      </c>
      <c r="CG509" s="387">
        <f t="shared" si="332"/>
        <v>0</v>
      </c>
      <c r="CH509" s="387">
        <f t="shared" si="333"/>
        <v>0</v>
      </c>
      <c r="CI509" s="387">
        <f t="shared" si="334"/>
        <v>0</v>
      </c>
      <c r="CJ509" s="387">
        <f t="shared" si="347"/>
        <v>0</v>
      </c>
      <c r="CK509" s="387" t="str">
        <f t="shared" si="348"/>
        <v/>
      </c>
      <c r="CL509" s="387">
        <f t="shared" si="349"/>
        <v>0</v>
      </c>
      <c r="CM509" s="387">
        <f t="shared" si="350"/>
        <v>0</v>
      </c>
      <c r="CN509" s="387" t="str">
        <f t="shared" si="351"/>
        <v>0348-31</v>
      </c>
    </row>
    <row r="510" spans="1:92" ht="15.75" thickBot="1" x14ac:dyDescent="0.3">
      <c r="A510" s="376" t="s">
        <v>161</v>
      </c>
      <c r="B510" s="376" t="s">
        <v>162</v>
      </c>
      <c r="C510" s="376" t="s">
        <v>1644</v>
      </c>
      <c r="D510" s="376" t="s">
        <v>974</v>
      </c>
      <c r="E510" s="376" t="s">
        <v>224</v>
      </c>
      <c r="F510" s="382" t="s">
        <v>225</v>
      </c>
      <c r="G510" s="376" t="s">
        <v>781</v>
      </c>
      <c r="H510" s="378"/>
      <c r="I510" s="378"/>
      <c r="J510" s="376" t="s">
        <v>215</v>
      </c>
      <c r="K510" s="376" t="s">
        <v>975</v>
      </c>
      <c r="L510" s="376" t="s">
        <v>296</v>
      </c>
      <c r="M510" s="376" t="s">
        <v>272</v>
      </c>
      <c r="N510" s="376" t="s">
        <v>172</v>
      </c>
      <c r="O510" s="379">
        <v>0</v>
      </c>
      <c r="P510" s="385">
        <v>0</v>
      </c>
      <c r="Q510" s="385">
        <v>0</v>
      </c>
      <c r="R510" s="380">
        <v>80</v>
      </c>
      <c r="S510" s="385">
        <v>0</v>
      </c>
      <c r="T510" s="380">
        <v>656.7</v>
      </c>
      <c r="U510" s="380">
        <v>0</v>
      </c>
      <c r="V510" s="380">
        <v>836.4</v>
      </c>
      <c r="W510" s="380">
        <v>0</v>
      </c>
      <c r="X510" s="380">
        <v>0</v>
      </c>
      <c r="Y510" s="380">
        <v>0</v>
      </c>
      <c r="Z510" s="380">
        <v>0</v>
      </c>
      <c r="AA510" s="378"/>
      <c r="AB510" s="376" t="s">
        <v>45</v>
      </c>
      <c r="AC510" s="376" t="s">
        <v>45</v>
      </c>
      <c r="AD510" s="378"/>
      <c r="AE510" s="378"/>
      <c r="AF510" s="378"/>
      <c r="AG510" s="378"/>
      <c r="AH510" s="379">
        <v>0</v>
      </c>
      <c r="AI510" s="379">
        <v>0</v>
      </c>
      <c r="AJ510" s="378"/>
      <c r="AK510" s="378"/>
      <c r="AL510" s="376" t="s">
        <v>181</v>
      </c>
      <c r="AM510" s="378"/>
      <c r="AN510" s="378"/>
      <c r="AO510" s="379">
        <v>0</v>
      </c>
      <c r="AP510" s="385">
        <v>0</v>
      </c>
      <c r="AQ510" s="385">
        <v>0</v>
      </c>
      <c r="AR510" s="384"/>
      <c r="AS510" s="387">
        <f t="shared" si="335"/>
        <v>0</v>
      </c>
      <c r="AT510">
        <f t="shared" si="336"/>
        <v>0</v>
      </c>
      <c r="AU510" s="387" t="str">
        <f>IF(AT510=0,"",IF(AND(AT510=1,M510="F",SUMIF(C2:C1334,C510,AS2:AS1334)&lt;=1),SUMIF(C2:C1334,C510,AS2:AS1334),IF(AND(AT510=1,M510="F",SUMIF(C2:C1334,C510,AS2:AS1334)&gt;1),1,"")))</f>
        <v/>
      </c>
      <c r="AV510" s="387" t="str">
        <f>IF(AT510=0,"",IF(AND(AT510=3,M510="F",SUMIF(C2:C1334,C510,AS2:AS1334)&lt;=1),SUMIF(C2:C1334,C510,AS2:AS1334),IF(AND(AT510=3,M510="F",SUMIF(C2:C1334,C510,AS2:AS1334)&gt;1),1,"")))</f>
        <v/>
      </c>
      <c r="AW510" s="387">
        <f>SUMIF(C2:C1334,C510,O2:O1334)</f>
        <v>0</v>
      </c>
      <c r="AX510" s="387">
        <f>IF(AND(M510="F",AS510&lt;&gt;0),SUMIF(C2:C1334,C510,W2:W1334),0)</f>
        <v>0</v>
      </c>
      <c r="AY510" s="387" t="str">
        <f t="shared" si="337"/>
        <v/>
      </c>
      <c r="AZ510" s="387" t="str">
        <f t="shared" si="338"/>
        <v/>
      </c>
      <c r="BA510" s="387">
        <f t="shared" si="339"/>
        <v>0</v>
      </c>
      <c r="BB510" s="387">
        <f t="shared" si="308"/>
        <v>0</v>
      </c>
      <c r="BC510" s="387">
        <f t="shared" si="309"/>
        <v>0</v>
      </c>
      <c r="BD510" s="387">
        <f t="shared" si="310"/>
        <v>0</v>
      </c>
      <c r="BE510" s="387">
        <f t="shared" si="311"/>
        <v>0</v>
      </c>
      <c r="BF510" s="387">
        <f t="shared" si="312"/>
        <v>0</v>
      </c>
      <c r="BG510" s="387">
        <f t="shared" si="313"/>
        <v>0</v>
      </c>
      <c r="BH510" s="387">
        <f t="shared" si="314"/>
        <v>0</v>
      </c>
      <c r="BI510" s="387">
        <f t="shared" si="315"/>
        <v>0</v>
      </c>
      <c r="BJ510" s="387">
        <f t="shared" si="316"/>
        <v>0</v>
      </c>
      <c r="BK510" s="387">
        <f t="shared" si="317"/>
        <v>0</v>
      </c>
      <c r="BL510" s="387">
        <f t="shared" si="340"/>
        <v>0</v>
      </c>
      <c r="BM510" s="387">
        <f t="shared" si="341"/>
        <v>0</v>
      </c>
      <c r="BN510" s="387">
        <f t="shared" si="318"/>
        <v>0</v>
      </c>
      <c r="BO510" s="387">
        <f t="shared" si="319"/>
        <v>0</v>
      </c>
      <c r="BP510" s="387">
        <f t="shared" si="320"/>
        <v>0</v>
      </c>
      <c r="BQ510" s="387">
        <f t="shared" si="321"/>
        <v>0</v>
      </c>
      <c r="BR510" s="387">
        <f t="shared" si="322"/>
        <v>0</v>
      </c>
      <c r="BS510" s="387">
        <f t="shared" si="323"/>
        <v>0</v>
      </c>
      <c r="BT510" s="387">
        <f t="shared" si="324"/>
        <v>0</v>
      </c>
      <c r="BU510" s="387">
        <f t="shared" si="325"/>
        <v>0</v>
      </c>
      <c r="BV510" s="387">
        <f t="shared" si="326"/>
        <v>0</v>
      </c>
      <c r="BW510" s="387">
        <f t="shared" si="327"/>
        <v>0</v>
      </c>
      <c r="BX510" s="387">
        <f t="shared" si="342"/>
        <v>0</v>
      </c>
      <c r="BY510" s="387">
        <f t="shared" si="343"/>
        <v>0</v>
      </c>
      <c r="BZ510" s="387">
        <f t="shared" si="344"/>
        <v>0</v>
      </c>
      <c r="CA510" s="387">
        <f t="shared" si="345"/>
        <v>0</v>
      </c>
      <c r="CB510" s="387">
        <f t="shared" si="346"/>
        <v>0</v>
      </c>
      <c r="CC510" s="387">
        <f t="shared" si="328"/>
        <v>0</v>
      </c>
      <c r="CD510" s="387">
        <f t="shared" si="329"/>
        <v>0</v>
      </c>
      <c r="CE510" s="387">
        <f t="shared" si="330"/>
        <v>0</v>
      </c>
      <c r="CF510" s="387">
        <f t="shared" si="331"/>
        <v>0</v>
      </c>
      <c r="CG510" s="387">
        <f t="shared" si="332"/>
        <v>0</v>
      </c>
      <c r="CH510" s="387">
        <f t="shared" si="333"/>
        <v>0</v>
      </c>
      <c r="CI510" s="387">
        <f t="shared" si="334"/>
        <v>0</v>
      </c>
      <c r="CJ510" s="387">
        <f t="shared" si="347"/>
        <v>0</v>
      </c>
      <c r="CK510" s="387" t="str">
        <f t="shared" si="348"/>
        <v/>
      </c>
      <c r="CL510" s="387" t="str">
        <f t="shared" si="349"/>
        <v/>
      </c>
      <c r="CM510" s="387" t="str">
        <f t="shared" si="350"/>
        <v/>
      </c>
      <c r="CN510" s="387" t="str">
        <f t="shared" si="351"/>
        <v>0348-31</v>
      </c>
    </row>
    <row r="511" spans="1:92" ht="15.75" thickBot="1" x14ac:dyDescent="0.3">
      <c r="A511" s="376" t="s">
        <v>161</v>
      </c>
      <c r="B511" s="376" t="s">
        <v>162</v>
      </c>
      <c r="C511" s="376" t="s">
        <v>447</v>
      </c>
      <c r="D511" s="376" t="s">
        <v>375</v>
      </c>
      <c r="E511" s="376" t="s">
        <v>224</v>
      </c>
      <c r="F511" s="382" t="s">
        <v>225</v>
      </c>
      <c r="G511" s="376" t="s">
        <v>781</v>
      </c>
      <c r="H511" s="378"/>
      <c r="I511" s="378"/>
      <c r="J511" s="376" t="s">
        <v>239</v>
      </c>
      <c r="K511" s="376" t="s">
        <v>448</v>
      </c>
      <c r="L511" s="376" t="s">
        <v>217</v>
      </c>
      <c r="M511" s="376" t="s">
        <v>171</v>
      </c>
      <c r="N511" s="376" t="s">
        <v>172</v>
      </c>
      <c r="O511" s="379">
        <v>1</v>
      </c>
      <c r="P511" s="385">
        <v>0</v>
      </c>
      <c r="Q511" s="385">
        <v>0</v>
      </c>
      <c r="R511" s="380">
        <v>80</v>
      </c>
      <c r="S511" s="385">
        <v>0</v>
      </c>
      <c r="T511" s="380">
        <v>6724.91</v>
      </c>
      <c r="U511" s="380">
        <v>635.62</v>
      </c>
      <c r="V511" s="380">
        <v>3428.22</v>
      </c>
      <c r="W511" s="380">
        <v>0</v>
      </c>
      <c r="X511" s="380">
        <v>0</v>
      </c>
      <c r="Y511" s="380">
        <v>0</v>
      </c>
      <c r="Z511" s="380">
        <v>0</v>
      </c>
      <c r="AA511" s="376" t="s">
        <v>449</v>
      </c>
      <c r="AB511" s="376" t="s">
        <v>450</v>
      </c>
      <c r="AC511" s="376" t="s">
        <v>451</v>
      </c>
      <c r="AD511" s="376" t="s">
        <v>198</v>
      </c>
      <c r="AE511" s="376" t="s">
        <v>448</v>
      </c>
      <c r="AF511" s="376" t="s">
        <v>221</v>
      </c>
      <c r="AG511" s="376" t="s">
        <v>178</v>
      </c>
      <c r="AH511" s="381">
        <v>22.46</v>
      </c>
      <c r="AI511" s="381">
        <v>43492.7</v>
      </c>
      <c r="AJ511" s="376" t="s">
        <v>179</v>
      </c>
      <c r="AK511" s="376" t="s">
        <v>180</v>
      </c>
      <c r="AL511" s="376" t="s">
        <v>181</v>
      </c>
      <c r="AM511" s="376" t="s">
        <v>182</v>
      </c>
      <c r="AN511" s="376" t="s">
        <v>68</v>
      </c>
      <c r="AO511" s="379">
        <v>80</v>
      </c>
      <c r="AP511" s="385">
        <v>1</v>
      </c>
      <c r="AQ511" s="385">
        <v>0</v>
      </c>
      <c r="AR511" s="383" t="s">
        <v>183</v>
      </c>
      <c r="AS511" s="387">
        <f t="shared" si="335"/>
        <v>0</v>
      </c>
      <c r="AT511">
        <f t="shared" si="336"/>
        <v>0</v>
      </c>
      <c r="AU511" s="387" t="str">
        <f>IF(AT511=0,"",IF(AND(AT511=1,M511="F",SUMIF(C2:C1334,C511,AS2:AS1334)&lt;=1),SUMIF(C2:C1334,C511,AS2:AS1334),IF(AND(AT511=1,M511="F",SUMIF(C2:C1334,C511,AS2:AS1334)&gt;1),1,"")))</f>
        <v/>
      </c>
      <c r="AV511" s="387" t="str">
        <f>IF(AT511=0,"",IF(AND(AT511=3,M511="F",SUMIF(C2:C1334,C511,AS2:AS1334)&lt;=1),SUMIF(C2:C1334,C511,AS2:AS1334),IF(AND(AT511=3,M511="F",SUMIF(C2:C1334,C511,AS2:AS1334)&gt;1),1,"")))</f>
        <v/>
      </c>
      <c r="AW511" s="387">
        <f>SUMIF(C2:C1334,C511,O2:O1334)</f>
        <v>4</v>
      </c>
      <c r="AX511" s="387">
        <f>IF(AND(M511="F",AS511&lt;&gt;0),SUMIF(C2:C1334,C511,W2:W1334),0)</f>
        <v>0</v>
      </c>
      <c r="AY511" s="387" t="str">
        <f t="shared" si="337"/>
        <v/>
      </c>
      <c r="AZ511" s="387" t="str">
        <f t="shared" si="338"/>
        <v/>
      </c>
      <c r="BA511" s="387">
        <f t="shared" si="339"/>
        <v>0</v>
      </c>
      <c r="BB511" s="387">
        <f t="shared" si="308"/>
        <v>0</v>
      </c>
      <c r="BC511" s="387">
        <f t="shared" si="309"/>
        <v>0</v>
      </c>
      <c r="BD511" s="387">
        <f t="shared" si="310"/>
        <v>0</v>
      </c>
      <c r="BE511" s="387">
        <f t="shared" si="311"/>
        <v>0</v>
      </c>
      <c r="BF511" s="387">
        <f t="shared" si="312"/>
        <v>0</v>
      </c>
      <c r="BG511" s="387">
        <f t="shared" si="313"/>
        <v>0</v>
      </c>
      <c r="BH511" s="387">
        <f t="shared" si="314"/>
        <v>0</v>
      </c>
      <c r="BI511" s="387">
        <f t="shared" si="315"/>
        <v>0</v>
      </c>
      <c r="BJ511" s="387">
        <f t="shared" si="316"/>
        <v>0</v>
      </c>
      <c r="BK511" s="387">
        <f t="shared" si="317"/>
        <v>0</v>
      </c>
      <c r="BL511" s="387">
        <f t="shared" si="340"/>
        <v>0</v>
      </c>
      <c r="BM511" s="387">
        <f t="shared" si="341"/>
        <v>0</v>
      </c>
      <c r="BN511" s="387">
        <f t="shared" si="318"/>
        <v>0</v>
      </c>
      <c r="BO511" s="387">
        <f t="shared" si="319"/>
        <v>0</v>
      </c>
      <c r="BP511" s="387">
        <f t="shared" si="320"/>
        <v>0</v>
      </c>
      <c r="BQ511" s="387">
        <f t="shared" si="321"/>
        <v>0</v>
      </c>
      <c r="BR511" s="387">
        <f t="shared" si="322"/>
        <v>0</v>
      </c>
      <c r="BS511" s="387">
        <f t="shared" si="323"/>
        <v>0</v>
      </c>
      <c r="BT511" s="387">
        <f t="shared" si="324"/>
        <v>0</v>
      </c>
      <c r="BU511" s="387">
        <f t="shared" si="325"/>
        <v>0</v>
      </c>
      <c r="BV511" s="387">
        <f t="shared" si="326"/>
        <v>0</v>
      </c>
      <c r="BW511" s="387">
        <f t="shared" si="327"/>
        <v>0</v>
      </c>
      <c r="BX511" s="387">
        <f t="shared" si="342"/>
        <v>0</v>
      </c>
      <c r="BY511" s="387">
        <f t="shared" si="343"/>
        <v>0</v>
      </c>
      <c r="BZ511" s="387">
        <f t="shared" si="344"/>
        <v>0</v>
      </c>
      <c r="CA511" s="387">
        <f t="shared" si="345"/>
        <v>0</v>
      </c>
      <c r="CB511" s="387">
        <f t="shared" si="346"/>
        <v>0</v>
      </c>
      <c r="CC511" s="387">
        <f t="shared" si="328"/>
        <v>0</v>
      </c>
      <c r="CD511" s="387">
        <f t="shared" si="329"/>
        <v>0</v>
      </c>
      <c r="CE511" s="387">
        <f t="shared" si="330"/>
        <v>0</v>
      </c>
      <c r="CF511" s="387">
        <f t="shared" si="331"/>
        <v>0</v>
      </c>
      <c r="CG511" s="387">
        <f t="shared" si="332"/>
        <v>0</v>
      </c>
      <c r="CH511" s="387">
        <f t="shared" si="333"/>
        <v>0</v>
      </c>
      <c r="CI511" s="387">
        <f t="shared" si="334"/>
        <v>0</v>
      </c>
      <c r="CJ511" s="387">
        <f t="shared" si="347"/>
        <v>0</v>
      </c>
      <c r="CK511" s="387" t="str">
        <f t="shared" si="348"/>
        <v/>
      </c>
      <c r="CL511" s="387" t="str">
        <f t="shared" si="349"/>
        <v/>
      </c>
      <c r="CM511" s="387" t="str">
        <f t="shared" si="350"/>
        <v/>
      </c>
      <c r="CN511" s="387" t="str">
        <f t="shared" si="351"/>
        <v>0348-31</v>
      </c>
    </row>
    <row r="512" spans="1:92" ht="15.75" thickBot="1" x14ac:dyDescent="0.3">
      <c r="A512" s="376" t="s">
        <v>161</v>
      </c>
      <c r="B512" s="376" t="s">
        <v>162</v>
      </c>
      <c r="C512" s="376" t="s">
        <v>387</v>
      </c>
      <c r="D512" s="376" t="s">
        <v>388</v>
      </c>
      <c r="E512" s="376" t="s">
        <v>224</v>
      </c>
      <c r="F512" s="382" t="s">
        <v>225</v>
      </c>
      <c r="G512" s="376" t="s">
        <v>781</v>
      </c>
      <c r="H512" s="378"/>
      <c r="I512" s="378"/>
      <c r="J512" s="376" t="s">
        <v>215</v>
      </c>
      <c r="K512" s="376" t="s">
        <v>389</v>
      </c>
      <c r="L512" s="376" t="s">
        <v>252</v>
      </c>
      <c r="M512" s="376" t="s">
        <v>171</v>
      </c>
      <c r="N512" s="376" t="s">
        <v>172</v>
      </c>
      <c r="O512" s="379">
        <v>1</v>
      </c>
      <c r="P512" s="385">
        <v>0</v>
      </c>
      <c r="Q512" s="385">
        <v>0</v>
      </c>
      <c r="R512" s="380">
        <v>80</v>
      </c>
      <c r="S512" s="385">
        <v>0</v>
      </c>
      <c r="T512" s="380">
        <v>41089.67</v>
      </c>
      <c r="U512" s="380">
        <v>0</v>
      </c>
      <c r="V512" s="380">
        <v>20098.259999999998</v>
      </c>
      <c r="W512" s="380">
        <v>0</v>
      </c>
      <c r="X512" s="380">
        <v>0</v>
      </c>
      <c r="Y512" s="380">
        <v>0</v>
      </c>
      <c r="Z512" s="380">
        <v>0</v>
      </c>
      <c r="AA512" s="376" t="s">
        <v>390</v>
      </c>
      <c r="AB512" s="376" t="s">
        <v>391</v>
      </c>
      <c r="AC512" s="376" t="s">
        <v>392</v>
      </c>
      <c r="AD512" s="376" t="s">
        <v>300</v>
      </c>
      <c r="AE512" s="376" t="s">
        <v>389</v>
      </c>
      <c r="AF512" s="376" t="s">
        <v>393</v>
      </c>
      <c r="AG512" s="376" t="s">
        <v>178</v>
      </c>
      <c r="AH512" s="381">
        <v>20.71</v>
      </c>
      <c r="AI512" s="379">
        <v>12104</v>
      </c>
      <c r="AJ512" s="376" t="s">
        <v>179</v>
      </c>
      <c r="AK512" s="376" t="s">
        <v>180</v>
      </c>
      <c r="AL512" s="376" t="s">
        <v>181</v>
      </c>
      <c r="AM512" s="376" t="s">
        <v>182</v>
      </c>
      <c r="AN512" s="376" t="s">
        <v>68</v>
      </c>
      <c r="AO512" s="379">
        <v>80</v>
      </c>
      <c r="AP512" s="385">
        <v>1</v>
      </c>
      <c r="AQ512" s="385">
        <v>0</v>
      </c>
      <c r="AR512" s="383" t="s">
        <v>183</v>
      </c>
      <c r="AS512" s="387">
        <f t="shared" si="335"/>
        <v>0</v>
      </c>
      <c r="AT512">
        <f t="shared" si="336"/>
        <v>0</v>
      </c>
      <c r="AU512" s="387" t="str">
        <f>IF(AT512=0,"",IF(AND(AT512=1,M512="F",SUMIF(C2:C1334,C512,AS2:AS1334)&lt;=1),SUMIF(C2:C1334,C512,AS2:AS1334),IF(AND(AT512=1,M512="F",SUMIF(C2:C1334,C512,AS2:AS1334)&gt;1),1,"")))</f>
        <v/>
      </c>
      <c r="AV512" s="387" t="str">
        <f>IF(AT512=0,"",IF(AND(AT512=3,M512="F",SUMIF(C2:C1334,C512,AS2:AS1334)&lt;=1),SUMIF(C2:C1334,C512,AS2:AS1334),IF(AND(AT512=3,M512="F",SUMIF(C2:C1334,C512,AS2:AS1334)&gt;1),1,"")))</f>
        <v/>
      </c>
      <c r="AW512" s="387">
        <f>SUMIF(C2:C1334,C512,O2:O1334)</f>
        <v>2</v>
      </c>
      <c r="AX512" s="387">
        <f>IF(AND(M512="F",AS512&lt;&gt;0),SUMIF(C2:C1334,C512,W2:W1334),0)</f>
        <v>0</v>
      </c>
      <c r="AY512" s="387" t="str">
        <f t="shared" si="337"/>
        <v/>
      </c>
      <c r="AZ512" s="387" t="str">
        <f t="shared" si="338"/>
        <v/>
      </c>
      <c r="BA512" s="387">
        <f t="shared" si="339"/>
        <v>0</v>
      </c>
      <c r="BB512" s="387">
        <f t="shared" si="308"/>
        <v>0</v>
      </c>
      <c r="BC512" s="387">
        <f t="shared" si="309"/>
        <v>0</v>
      </c>
      <c r="BD512" s="387">
        <f t="shared" si="310"/>
        <v>0</v>
      </c>
      <c r="BE512" s="387">
        <f t="shared" si="311"/>
        <v>0</v>
      </c>
      <c r="BF512" s="387">
        <f t="shared" si="312"/>
        <v>0</v>
      </c>
      <c r="BG512" s="387">
        <f t="shared" si="313"/>
        <v>0</v>
      </c>
      <c r="BH512" s="387">
        <f t="shared" si="314"/>
        <v>0</v>
      </c>
      <c r="BI512" s="387">
        <f t="shared" si="315"/>
        <v>0</v>
      </c>
      <c r="BJ512" s="387">
        <f t="shared" si="316"/>
        <v>0</v>
      </c>
      <c r="BK512" s="387">
        <f t="shared" si="317"/>
        <v>0</v>
      </c>
      <c r="BL512" s="387">
        <f t="shared" si="340"/>
        <v>0</v>
      </c>
      <c r="BM512" s="387">
        <f t="shared" si="341"/>
        <v>0</v>
      </c>
      <c r="BN512" s="387">
        <f t="shared" si="318"/>
        <v>0</v>
      </c>
      <c r="BO512" s="387">
        <f t="shared" si="319"/>
        <v>0</v>
      </c>
      <c r="BP512" s="387">
        <f t="shared" si="320"/>
        <v>0</v>
      </c>
      <c r="BQ512" s="387">
        <f t="shared" si="321"/>
        <v>0</v>
      </c>
      <c r="BR512" s="387">
        <f t="shared" si="322"/>
        <v>0</v>
      </c>
      <c r="BS512" s="387">
        <f t="shared" si="323"/>
        <v>0</v>
      </c>
      <c r="BT512" s="387">
        <f t="shared" si="324"/>
        <v>0</v>
      </c>
      <c r="BU512" s="387">
        <f t="shared" si="325"/>
        <v>0</v>
      </c>
      <c r="BV512" s="387">
        <f t="shared" si="326"/>
        <v>0</v>
      </c>
      <c r="BW512" s="387">
        <f t="shared" si="327"/>
        <v>0</v>
      </c>
      <c r="BX512" s="387">
        <f t="shared" si="342"/>
        <v>0</v>
      </c>
      <c r="BY512" s="387">
        <f t="shared" si="343"/>
        <v>0</v>
      </c>
      <c r="BZ512" s="387">
        <f t="shared" si="344"/>
        <v>0</v>
      </c>
      <c r="CA512" s="387">
        <f t="shared" si="345"/>
        <v>0</v>
      </c>
      <c r="CB512" s="387">
        <f t="shared" si="346"/>
        <v>0</v>
      </c>
      <c r="CC512" s="387">
        <f t="shared" si="328"/>
        <v>0</v>
      </c>
      <c r="CD512" s="387">
        <f t="shared" si="329"/>
        <v>0</v>
      </c>
      <c r="CE512" s="387">
        <f t="shared" si="330"/>
        <v>0</v>
      </c>
      <c r="CF512" s="387">
        <f t="shared" si="331"/>
        <v>0</v>
      </c>
      <c r="CG512" s="387">
        <f t="shared" si="332"/>
        <v>0</v>
      </c>
      <c r="CH512" s="387">
        <f t="shared" si="333"/>
        <v>0</v>
      </c>
      <c r="CI512" s="387">
        <f t="shared" si="334"/>
        <v>0</v>
      </c>
      <c r="CJ512" s="387">
        <f t="shared" si="347"/>
        <v>0</v>
      </c>
      <c r="CK512" s="387" t="str">
        <f t="shared" si="348"/>
        <v/>
      </c>
      <c r="CL512" s="387" t="str">
        <f t="shared" si="349"/>
        <v/>
      </c>
      <c r="CM512" s="387" t="str">
        <f t="shared" si="350"/>
        <v/>
      </c>
      <c r="CN512" s="387" t="str">
        <f t="shared" si="351"/>
        <v>0348-31</v>
      </c>
    </row>
    <row r="513" spans="1:92" ht="15.75" thickBot="1" x14ac:dyDescent="0.3">
      <c r="A513" s="376" t="s">
        <v>161</v>
      </c>
      <c r="B513" s="376" t="s">
        <v>162</v>
      </c>
      <c r="C513" s="376" t="s">
        <v>1645</v>
      </c>
      <c r="D513" s="376" t="s">
        <v>868</v>
      </c>
      <c r="E513" s="376" t="s">
        <v>224</v>
      </c>
      <c r="F513" s="382" t="s">
        <v>225</v>
      </c>
      <c r="G513" s="376" t="s">
        <v>781</v>
      </c>
      <c r="H513" s="378"/>
      <c r="I513" s="378"/>
      <c r="J513" s="376" t="s">
        <v>215</v>
      </c>
      <c r="K513" s="376" t="s">
        <v>869</v>
      </c>
      <c r="L513" s="376" t="s">
        <v>296</v>
      </c>
      <c r="M513" s="376" t="s">
        <v>171</v>
      </c>
      <c r="N513" s="376" t="s">
        <v>172</v>
      </c>
      <c r="O513" s="379">
        <v>1</v>
      </c>
      <c r="P513" s="385">
        <v>0</v>
      </c>
      <c r="Q513" s="385">
        <v>0</v>
      </c>
      <c r="R513" s="380">
        <v>80</v>
      </c>
      <c r="S513" s="385">
        <v>0</v>
      </c>
      <c r="T513" s="380">
        <v>30704</v>
      </c>
      <c r="U513" s="380">
        <v>0</v>
      </c>
      <c r="V513" s="380">
        <v>14674.67</v>
      </c>
      <c r="W513" s="380">
        <v>0</v>
      </c>
      <c r="X513" s="380">
        <v>0</v>
      </c>
      <c r="Y513" s="380">
        <v>0</v>
      </c>
      <c r="Z513" s="380">
        <v>0</v>
      </c>
      <c r="AA513" s="376" t="s">
        <v>1646</v>
      </c>
      <c r="AB513" s="376" t="s">
        <v>1647</v>
      </c>
      <c r="AC513" s="376" t="s">
        <v>260</v>
      </c>
      <c r="AD513" s="376" t="s">
        <v>171</v>
      </c>
      <c r="AE513" s="376" t="s">
        <v>869</v>
      </c>
      <c r="AF513" s="376" t="s">
        <v>301</v>
      </c>
      <c r="AG513" s="376" t="s">
        <v>178</v>
      </c>
      <c r="AH513" s="381">
        <v>20.2</v>
      </c>
      <c r="AI513" s="379">
        <v>46966</v>
      </c>
      <c r="AJ513" s="376" t="s">
        <v>179</v>
      </c>
      <c r="AK513" s="376" t="s">
        <v>180</v>
      </c>
      <c r="AL513" s="376" t="s">
        <v>181</v>
      </c>
      <c r="AM513" s="376" t="s">
        <v>182</v>
      </c>
      <c r="AN513" s="376" t="s">
        <v>68</v>
      </c>
      <c r="AO513" s="379">
        <v>80</v>
      </c>
      <c r="AP513" s="385">
        <v>1</v>
      </c>
      <c r="AQ513" s="385">
        <v>0</v>
      </c>
      <c r="AR513" s="383" t="s">
        <v>183</v>
      </c>
      <c r="AS513" s="387">
        <f t="shared" si="335"/>
        <v>0</v>
      </c>
      <c r="AT513">
        <f t="shared" si="336"/>
        <v>0</v>
      </c>
      <c r="AU513" s="387" t="str">
        <f>IF(AT513=0,"",IF(AND(AT513=1,M513="F",SUMIF(C2:C1334,C513,AS2:AS1334)&lt;=1),SUMIF(C2:C1334,C513,AS2:AS1334),IF(AND(AT513=1,M513="F",SUMIF(C2:C1334,C513,AS2:AS1334)&gt;1),1,"")))</f>
        <v/>
      </c>
      <c r="AV513" s="387" t="str">
        <f>IF(AT513=0,"",IF(AND(AT513=3,M513="F",SUMIF(C2:C1334,C513,AS2:AS1334)&lt;=1),SUMIF(C2:C1334,C513,AS2:AS1334),IF(AND(AT513=3,M513="F",SUMIF(C2:C1334,C513,AS2:AS1334)&gt;1),1,"")))</f>
        <v/>
      </c>
      <c r="AW513" s="387">
        <f>SUMIF(C2:C1334,C513,O2:O1334)</f>
        <v>2</v>
      </c>
      <c r="AX513" s="387">
        <f>IF(AND(M513="F",AS513&lt;&gt;0),SUMIF(C2:C1334,C513,W2:W1334),0)</f>
        <v>0</v>
      </c>
      <c r="AY513" s="387" t="str">
        <f t="shared" si="337"/>
        <v/>
      </c>
      <c r="AZ513" s="387" t="str">
        <f t="shared" si="338"/>
        <v/>
      </c>
      <c r="BA513" s="387">
        <f t="shared" si="339"/>
        <v>0</v>
      </c>
      <c r="BB513" s="387">
        <f t="shared" si="308"/>
        <v>0</v>
      </c>
      <c r="BC513" s="387">
        <f t="shared" si="309"/>
        <v>0</v>
      </c>
      <c r="BD513" s="387">
        <f t="shared" si="310"/>
        <v>0</v>
      </c>
      <c r="BE513" s="387">
        <f t="shared" si="311"/>
        <v>0</v>
      </c>
      <c r="BF513" s="387">
        <f t="shared" si="312"/>
        <v>0</v>
      </c>
      <c r="BG513" s="387">
        <f t="shared" si="313"/>
        <v>0</v>
      </c>
      <c r="BH513" s="387">
        <f t="shared" si="314"/>
        <v>0</v>
      </c>
      <c r="BI513" s="387">
        <f t="shared" si="315"/>
        <v>0</v>
      </c>
      <c r="BJ513" s="387">
        <f t="shared" si="316"/>
        <v>0</v>
      </c>
      <c r="BK513" s="387">
        <f t="shared" si="317"/>
        <v>0</v>
      </c>
      <c r="BL513" s="387">
        <f t="shared" si="340"/>
        <v>0</v>
      </c>
      <c r="BM513" s="387">
        <f t="shared" si="341"/>
        <v>0</v>
      </c>
      <c r="BN513" s="387">
        <f t="shared" si="318"/>
        <v>0</v>
      </c>
      <c r="BO513" s="387">
        <f t="shared" si="319"/>
        <v>0</v>
      </c>
      <c r="BP513" s="387">
        <f t="shared" si="320"/>
        <v>0</v>
      </c>
      <c r="BQ513" s="387">
        <f t="shared" si="321"/>
        <v>0</v>
      </c>
      <c r="BR513" s="387">
        <f t="shared" si="322"/>
        <v>0</v>
      </c>
      <c r="BS513" s="387">
        <f t="shared" si="323"/>
        <v>0</v>
      </c>
      <c r="BT513" s="387">
        <f t="shared" si="324"/>
        <v>0</v>
      </c>
      <c r="BU513" s="387">
        <f t="shared" si="325"/>
        <v>0</v>
      </c>
      <c r="BV513" s="387">
        <f t="shared" si="326"/>
        <v>0</v>
      </c>
      <c r="BW513" s="387">
        <f t="shared" si="327"/>
        <v>0</v>
      </c>
      <c r="BX513" s="387">
        <f t="shared" si="342"/>
        <v>0</v>
      </c>
      <c r="BY513" s="387">
        <f t="shared" si="343"/>
        <v>0</v>
      </c>
      <c r="BZ513" s="387">
        <f t="shared" si="344"/>
        <v>0</v>
      </c>
      <c r="CA513" s="387">
        <f t="shared" si="345"/>
        <v>0</v>
      </c>
      <c r="CB513" s="387">
        <f t="shared" si="346"/>
        <v>0</v>
      </c>
      <c r="CC513" s="387">
        <f t="shared" si="328"/>
        <v>0</v>
      </c>
      <c r="CD513" s="387">
        <f t="shared" si="329"/>
        <v>0</v>
      </c>
      <c r="CE513" s="387">
        <f t="shared" si="330"/>
        <v>0</v>
      </c>
      <c r="CF513" s="387">
        <f t="shared" si="331"/>
        <v>0</v>
      </c>
      <c r="CG513" s="387">
        <f t="shared" si="332"/>
        <v>0</v>
      </c>
      <c r="CH513" s="387">
        <f t="shared" si="333"/>
        <v>0</v>
      </c>
      <c r="CI513" s="387">
        <f t="shared" si="334"/>
        <v>0</v>
      </c>
      <c r="CJ513" s="387">
        <f t="shared" si="347"/>
        <v>0</v>
      </c>
      <c r="CK513" s="387" t="str">
        <f t="shared" si="348"/>
        <v/>
      </c>
      <c r="CL513" s="387" t="str">
        <f t="shared" si="349"/>
        <v/>
      </c>
      <c r="CM513" s="387" t="str">
        <f t="shared" si="350"/>
        <v/>
      </c>
      <c r="CN513" s="387" t="str">
        <f t="shared" si="351"/>
        <v>0348-31</v>
      </c>
    </row>
    <row r="514" spans="1:92" ht="15.75" thickBot="1" x14ac:dyDescent="0.3">
      <c r="A514" s="376" t="s">
        <v>161</v>
      </c>
      <c r="B514" s="376" t="s">
        <v>162</v>
      </c>
      <c r="C514" s="376" t="s">
        <v>1648</v>
      </c>
      <c r="D514" s="376" t="s">
        <v>862</v>
      </c>
      <c r="E514" s="376" t="s">
        <v>224</v>
      </c>
      <c r="F514" s="382" t="s">
        <v>225</v>
      </c>
      <c r="G514" s="376" t="s">
        <v>781</v>
      </c>
      <c r="H514" s="378"/>
      <c r="I514" s="378"/>
      <c r="J514" s="376" t="s">
        <v>215</v>
      </c>
      <c r="K514" s="376" t="s">
        <v>863</v>
      </c>
      <c r="L514" s="376" t="s">
        <v>252</v>
      </c>
      <c r="M514" s="376" t="s">
        <v>272</v>
      </c>
      <c r="N514" s="376" t="s">
        <v>172</v>
      </c>
      <c r="O514" s="379">
        <v>0</v>
      </c>
      <c r="P514" s="385">
        <v>0</v>
      </c>
      <c r="Q514" s="385">
        <v>0</v>
      </c>
      <c r="R514" s="380">
        <v>80</v>
      </c>
      <c r="S514" s="385">
        <v>0</v>
      </c>
      <c r="T514" s="380">
        <v>26045.93</v>
      </c>
      <c r="U514" s="380">
        <v>0</v>
      </c>
      <c r="V514" s="380">
        <v>13495.24</v>
      </c>
      <c r="W514" s="380">
        <v>0</v>
      </c>
      <c r="X514" s="380">
        <v>0</v>
      </c>
      <c r="Y514" s="380">
        <v>0</v>
      </c>
      <c r="Z514" s="380">
        <v>0</v>
      </c>
      <c r="AA514" s="378"/>
      <c r="AB514" s="376" t="s">
        <v>45</v>
      </c>
      <c r="AC514" s="376" t="s">
        <v>45</v>
      </c>
      <c r="AD514" s="378"/>
      <c r="AE514" s="378"/>
      <c r="AF514" s="378"/>
      <c r="AG514" s="378"/>
      <c r="AH514" s="379">
        <v>0</v>
      </c>
      <c r="AI514" s="379">
        <v>0</v>
      </c>
      <c r="AJ514" s="378"/>
      <c r="AK514" s="378"/>
      <c r="AL514" s="376" t="s">
        <v>181</v>
      </c>
      <c r="AM514" s="378"/>
      <c r="AN514" s="378"/>
      <c r="AO514" s="379">
        <v>0</v>
      </c>
      <c r="AP514" s="385">
        <v>0</v>
      </c>
      <c r="AQ514" s="385">
        <v>0</v>
      </c>
      <c r="AR514" s="384"/>
      <c r="AS514" s="387">
        <f t="shared" si="335"/>
        <v>0</v>
      </c>
      <c r="AT514">
        <f t="shared" si="336"/>
        <v>0</v>
      </c>
      <c r="AU514" s="387" t="str">
        <f>IF(AT514=0,"",IF(AND(AT514=1,M514="F",SUMIF(C2:C1334,C514,AS2:AS1334)&lt;=1),SUMIF(C2:C1334,C514,AS2:AS1334),IF(AND(AT514=1,M514="F",SUMIF(C2:C1334,C514,AS2:AS1334)&gt;1),1,"")))</f>
        <v/>
      </c>
      <c r="AV514" s="387" t="str">
        <f>IF(AT514=0,"",IF(AND(AT514=3,M514="F",SUMIF(C2:C1334,C514,AS2:AS1334)&lt;=1),SUMIF(C2:C1334,C514,AS2:AS1334),IF(AND(AT514=3,M514="F",SUMIF(C2:C1334,C514,AS2:AS1334)&gt;1),1,"")))</f>
        <v/>
      </c>
      <c r="AW514" s="387">
        <f>SUMIF(C2:C1334,C514,O2:O1334)</f>
        <v>0</v>
      </c>
      <c r="AX514" s="387">
        <f>IF(AND(M514="F",AS514&lt;&gt;0),SUMIF(C2:C1334,C514,W2:W1334),0)</f>
        <v>0</v>
      </c>
      <c r="AY514" s="387" t="str">
        <f t="shared" si="337"/>
        <v/>
      </c>
      <c r="AZ514" s="387" t="str">
        <f t="shared" si="338"/>
        <v/>
      </c>
      <c r="BA514" s="387">
        <f t="shared" si="339"/>
        <v>0</v>
      </c>
      <c r="BB514" s="387">
        <f t="shared" ref="BB514:BB577" si="352">IF(AND(AT514=1,AK514="E",AU514&gt;=0.75,AW514=1),Health,IF(AND(AT514=1,AK514="E",AU514&gt;=0.75),Health*P514,IF(AND(AT514=1,AK514="E",AU514&gt;=0.5,AW514=1),PTHealth,IF(AND(AT514=1,AK514="E",AU514&gt;=0.5),PTHealth*P514,0))))</f>
        <v>0</v>
      </c>
      <c r="BC514" s="387">
        <f t="shared" ref="BC514:BC577" si="353">IF(AND(AT514=3,AK514="E",AV514&gt;=0.75,AW514=1),Health,IF(AND(AT514=3,AK514="E",AV514&gt;=0.75),Health*P514,IF(AND(AT514=3,AK514="E",AV514&gt;=0.5,AW514=1),PTHealth,IF(AND(AT514=3,AK514="E",AV514&gt;=0.5),PTHealth*P514,0))))</f>
        <v>0</v>
      </c>
      <c r="BD514" s="387">
        <f t="shared" ref="BD514:BD577" si="354">IF(AND(AT514&lt;&gt;0,AX514&gt;=MAXSSDI),SSDI*MAXSSDI*P514,IF(AT514&lt;&gt;0,SSDI*W514,0))</f>
        <v>0</v>
      </c>
      <c r="BE514" s="387">
        <f t="shared" ref="BE514:BE577" si="355">IF(AT514&lt;&gt;0,SSHI*W514,0)</f>
        <v>0</v>
      </c>
      <c r="BF514" s="387">
        <f t="shared" ref="BF514:BF577" si="356">IF(AND(AT514&lt;&gt;0,AN514&lt;&gt;"NE"),VLOOKUP(AN514,Retirement_Rates,3,FALSE)*W514,0)</f>
        <v>0</v>
      </c>
      <c r="BG514" s="387">
        <f t="shared" ref="BG514:BG577" si="357">IF(AND(AT514&lt;&gt;0,AJ514&lt;&gt;"PF"),Life*W514,0)</f>
        <v>0</v>
      </c>
      <c r="BH514" s="387">
        <f t="shared" ref="BH514:BH577" si="358">IF(AND(AT514&lt;&gt;0,AM514="Y"),UI*W514,0)</f>
        <v>0</v>
      </c>
      <c r="BI514" s="387">
        <f t="shared" ref="BI514:BI577" si="359">IF(AND(AT514&lt;&gt;0,N514&lt;&gt;"NR"),DHR*W514,0)</f>
        <v>0</v>
      </c>
      <c r="BJ514" s="387">
        <f t="shared" ref="BJ514:BJ577" si="360">IF(AT514&lt;&gt;0,WC*W514,0)</f>
        <v>0</v>
      </c>
      <c r="BK514" s="387">
        <f t="shared" ref="BK514:BK577" si="361">IF(OR(AND(AT514&lt;&gt;0,AJ514&lt;&gt;"PF",AN514&lt;&gt;"NE",AG514&lt;&gt;"A"),AND(AL514="E",OR(AT514=1,AT514=3))),Sick*W514,0)</f>
        <v>0</v>
      </c>
      <c r="BL514" s="387">
        <f t="shared" si="340"/>
        <v>0</v>
      </c>
      <c r="BM514" s="387">
        <f t="shared" si="341"/>
        <v>0</v>
      </c>
      <c r="BN514" s="387">
        <f t="shared" ref="BN514:BN577" si="362">IF(AND(AT514=1,AK514="E",AU514&gt;=0.75,AW514=1),HealthBY,IF(AND(AT514=1,AK514="E",AU514&gt;=0.75),HealthBY*P514,IF(AND(AT514=1,AK514="E",AU514&gt;=0.5,AW514=1),PTHealthBY,IF(AND(AT514=1,AK514="E",AU514&gt;=0.5),PTHealthBY*P514,0))))</f>
        <v>0</v>
      </c>
      <c r="BO514" s="387">
        <f t="shared" ref="BO514:BO577" si="363">IF(AND(AT514=3,AK514="E",AV514&gt;=0.75,AW514=1),HealthBY,IF(AND(AT514=3,AK514="E",AV514&gt;=0.75),HealthBY*P514,IF(AND(AT514=3,AK514="E",AV514&gt;=0.5,AW514=1),PTHealthBY,IF(AND(AT514=3,AK514="E",AV514&gt;=0.5),PTHealthBY*P514,0))))</f>
        <v>0</v>
      </c>
      <c r="BP514" s="387">
        <f t="shared" ref="BP514:BP577" si="364">IF(AND(AT514&lt;&gt;0,(AX514+BA514)&gt;=MAXSSDIBY),SSDIBY*MAXSSDIBY*P514,IF(AT514&lt;&gt;0,SSDIBY*W514,0))</f>
        <v>0</v>
      </c>
      <c r="BQ514" s="387">
        <f t="shared" ref="BQ514:BQ577" si="365">IF(AT514&lt;&gt;0,SSHIBY*W514,0)</f>
        <v>0</v>
      </c>
      <c r="BR514" s="387">
        <f t="shared" ref="BR514:BR577" si="366">IF(AND(AT514&lt;&gt;0,AN514&lt;&gt;"NE"),VLOOKUP(AN514,Retirement_Rates,4,FALSE)*W514,0)</f>
        <v>0</v>
      </c>
      <c r="BS514" s="387">
        <f t="shared" ref="BS514:BS577" si="367">IF(AND(AT514&lt;&gt;0,AJ514&lt;&gt;"PF"),LifeBY*W514,0)</f>
        <v>0</v>
      </c>
      <c r="BT514" s="387">
        <f t="shared" ref="BT514:BT577" si="368">IF(AND(AT514&lt;&gt;0,AM514="Y"),UIBY*W514,0)</f>
        <v>0</v>
      </c>
      <c r="BU514" s="387">
        <f t="shared" ref="BU514:BU577" si="369">IF(AND(AT514&lt;&gt;0,N514&lt;&gt;"NR"),DHRBY*W514,0)</f>
        <v>0</v>
      </c>
      <c r="BV514" s="387">
        <f t="shared" ref="BV514:BV577" si="370">IF(AT514&lt;&gt;0,WCBY*W514,0)</f>
        <v>0</v>
      </c>
      <c r="BW514" s="387">
        <f t="shared" ref="BW514:BW577" si="371">IF(OR(AND(AT514&lt;&gt;0,AJ514&lt;&gt;"PF",AN514&lt;&gt;"NE",AG514&lt;&gt;"A"),AND(AL514="E",OR(AT514=1,AT514=3))),SickBY*W514,0)</f>
        <v>0</v>
      </c>
      <c r="BX514" s="387">
        <f t="shared" si="342"/>
        <v>0</v>
      </c>
      <c r="BY514" s="387">
        <f t="shared" si="343"/>
        <v>0</v>
      </c>
      <c r="BZ514" s="387">
        <f t="shared" si="344"/>
        <v>0</v>
      </c>
      <c r="CA514" s="387">
        <f t="shared" si="345"/>
        <v>0</v>
      </c>
      <c r="CB514" s="387">
        <f t="shared" si="346"/>
        <v>0</v>
      </c>
      <c r="CC514" s="387">
        <f t="shared" ref="CC514:CC577" si="372">IF(AT514&lt;&gt;0,SSHICHG*Y514,0)</f>
        <v>0</v>
      </c>
      <c r="CD514" s="387">
        <f t="shared" ref="CD514:CD577" si="373">IF(AND(AT514&lt;&gt;0,AN514&lt;&gt;"NE"),VLOOKUP(AN514,Retirement_Rates,5,FALSE)*Y514,0)</f>
        <v>0</v>
      </c>
      <c r="CE514" s="387">
        <f t="shared" ref="CE514:CE577" si="374">IF(AND(AT514&lt;&gt;0,AJ514&lt;&gt;"PF"),LifeCHG*Y514,0)</f>
        <v>0</v>
      </c>
      <c r="CF514" s="387">
        <f t="shared" ref="CF514:CF577" si="375">IF(AND(AT514&lt;&gt;0,AM514="Y"),UICHG*Y514,0)</f>
        <v>0</v>
      </c>
      <c r="CG514" s="387">
        <f t="shared" ref="CG514:CG577" si="376">IF(AND(AT514&lt;&gt;0,N514&lt;&gt;"NR"),DHRCHG*Y514,0)</f>
        <v>0</v>
      </c>
      <c r="CH514" s="387">
        <f t="shared" ref="CH514:CH577" si="377">IF(AT514&lt;&gt;0,WCCHG*Y514,0)</f>
        <v>0</v>
      </c>
      <c r="CI514" s="387">
        <f t="shared" ref="CI514:CI577" si="378">IF(OR(AND(AT514&lt;&gt;0,AJ514&lt;&gt;"PF",AN514&lt;&gt;"NE",AG514&lt;&gt;"A"),AND(AL514="E",OR(AT514=1,AT514=3))),SickCHG*Y514,0)</f>
        <v>0</v>
      </c>
      <c r="CJ514" s="387">
        <f t="shared" si="347"/>
        <v>0</v>
      </c>
      <c r="CK514" s="387" t="str">
        <f t="shared" si="348"/>
        <v/>
      </c>
      <c r="CL514" s="387" t="str">
        <f t="shared" si="349"/>
        <v/>
      </c>
      <c r="CM514" s="387" t="str">
        <f t="shared" si="350"/>
        <v/>
      </c>
      <c r="CN514" s="387" t="str">
        <f t="shared" si="351"/>
        <v>0348-31</v>
      </c>
    </row>
    <row r="515" spans="1:92" ht="15.75" thickBot="1" x14ac:dyDescent="0.3">
      <c r="A515" s="376" t="s">
        <v>161</v>
      </c>
      <c r="B515" s="376" t="s">
        <v>162</v>
      </c>
      <c r="C515" s="376" t="s">
        <v>1649</v>
      </c>
      <c r="D515" s="376" t="s">
        <v>1650</v>
      </c>
      <c r="E515" s="376" t="s">
        <v>224</v>
      </c>
      <c r="F515" s="382" t="s">
        <v>225</v>
      </c>
      <c r="G515" s="376" t="s">
        <v>781</v>
      </c>
      <c r="H515" s="378"/>
      <c r="I515" s="378"/>
      <c r="J515" s="376" t="s">
        <v>215</v>
      </c>
      <c r="K515" s="376" t="s">
        <v>1651</v>
      </c>
      <c r="L515" s="376" t="s">
        <v>296</v>
      </c>
      <c r="M515" s="376" t="s">
        <v>171</v>
      </c>
      <c r="N515" s="376" t="s">
        <v>877</v>
      </c>
      <c r="O515" s="379">
        <v>1</v>
      </c>
      <c r="P515" s="385">
        <v>1</v>
      </c>
      <c r="Q515" s="385">
        <v>1</v>
      </c>
      <c r="R515" s="380">
        <v>80</v>
      </c>
      <c r="S515" s="385">
        <v>1</v>
      </c>
      <c r="T515" s="380">
        <v>56825.55</v>
      </c>
      <c r="U515" s="380">
        <v>0</v>
      </c>
      <c r="V515" s="380">
        <v>23586.51</v>
      </c>
      <c r="W515" s="380">
        <v>58968</v>
      </c>
      <c r="X515" s="380">
        <v>24401.79</v>
      </c>
      <c r="Y515" s="380">
        <v>58968</v>
      </c>
      <c r="Z515" s="380">
        <v>24154.13</v>
      </c>
      <c r="AA515" s="376" t="s">
        <v>1652</v>
      </c>
      <c r="AB515" s="376" t="s">
        <v>1653</v>
      </c>
      <c r="AC515" s="376" t="s">
        <v>1654</v>
      </c>
      <c r="AD515" s="376" t="s">
        <v>268</v>
      </c>
      <c r="AE515" s="376" t="s">
        <v>1651</v>
      </c>
      <c r="AF515" s="376" t="s">
        <v>301</v>
      </c>
      <c r="AG515" s="376" t="s">
        <v>178</v>
      </c>
      <c r="AH515" s="381">
        <v>28.35</v>
      </c>
      <c r="AI515" s="379">
        <v>7891</v>
      </c>
      <c r="AJ515" s="376" t="s">
        <v>179</v>
      </c>
      <c r="AK515" s="376" t="s">
        <v>180</v>
      </c>
      <c r="AL515" s="376" t="s">
        <v>181</v>
      </c>
      <c r="AM515" s="376" t="s">
        <v>182</v>
      </c>
      <c r="AN515" s="376" t="s">
        <v>68</v>
      </c>
      <c r="AO515" s="379">
        <v>80</v>
      </c>
      <c r="AP515" s="385">
        <v>1</v>
      </c>
      <c r="AQ515" s="385">
        <v>1</v>
      </c>
      <c r="AR515" s="383" t="s">
        <v>183</v>
      </c>
      <c r="AS515" s="387">
        <f t="shared" ref="AS515:AS578" si="379">IF(((AO515/80)*AP515*P515)&gt;1,AQ515,((AO515/80)*AP515*P515))</f>
        <v>1</v>
      </c>
      <c r="AT515">
        <f t="shared" ref="AT515:AT578" si="380">IF(AND(M515="F",N515&lt;&gt;"NG",AS515&lt;&gt;0,AND(AR515&lt;&gt;6,AR515&lt;&gt;36,AR515&lt;&gt;56),AG515&lt;&gt;"A",OR(AG515="H",AJ515="FS")),1,IF(AND(M515="F",N515&lt;&gt;"NG",AS515&lt;&gt;0,AG515="A"),3,0))</f>
        <v>1</v>
      </c>
      <c r="AU515" s="387">
        <f>IF(AT515=0,"",IF(AND(AT515=1,M515="F",SUMIF(C2:C1334,C515,AS2:AS1334)&lt;=1),SUMIF(C2:C1334,C515,AS2:AS1334),IF(AND(AT515=1,M515="F",SUMIF(C2:C1334,C515,AS2:AS1334)&gt;1),1,"")))</f>
        <v>1</v>
      </c>
      <c r="AV515" s="387" t="str">
        <f>IF(AT515=0,"",IF(AND(AT515=3,M515="F",SUMIF(C2:C1334,C515,AS2:AS1334)&lt;=1),SUMIF(C2:C1334,C515,AS2:AS1334),IF(AND(AT515=3,M515="F",SUMIF(C2:C1334,C515,AS2:AS1334)&gt;1),1,"")))</f>
        <v/>
      </c>
      <c r="AW515" s="387">
        <f>SUMIF(C2:C1334,C515,O2:O1334)</f>
        <v>1</v>
      </c>
      <c r="AX515" s="387">
        <f>IF(AND(M515="F",AS515&lt;&gt;0),SUMIF(C2:C1334,C515,W2:W1334),0)</f>
        <v>58968</v>
      </c>
      <c r="AY515" s="387">
        <f t="shared" ref="AY515:AY578" si="381">IF(AT515=1,W515,"")</f>
        <v>58968</v>
      </c>
      <c r="AZ515" s="387" t="str">
        <f t="shared" ref="AZ515:AZ578" si="382">IF(AT515=3,W515,"")</f>
        <v/>
      </c>
      <c r="BA515" s="387">
        <f t="shared" ref="BA515:BA578" si="383">IF(AT515=1,Y515-W515,0)</f>
        <v>0</v>
      </c>
      <c r="BB515" s="387">
        <f t="shared" si="352"/>
        <v>11650</v>
      </c>
      <c r="BC515" s="387">
        <f t="shared" si="353"/>
        <v>0</v>
      </c>
      <c r="BD515" s="387">
        <f t="shared" si="354"/>
        <v>3656.0160000000001</v>
      </c>
      <c r="BE515" s="387">
        <f t="shared" si="355"/>
        <v>855.03600000000006</v>
      </c>
      <c r="BF515" s="387">
        <f t="shared" si="356"/>
        <v>7040.7791999999999</v>
      </c>
      <c r="BG515" s="387">
        <f t="shared" si="357"/>
        <v>425.15928000000002</v>
      </c>
      <c r="BH515" s="387">
        <f t="shared" si="358"/>
        <v>288.94319999999999</v>
      </c>
      <c r="BI515" s="387">
        <f t="shared" si="359"/>
        <v>326.38788</v>
      </c>
      <c r="BJ515" s="387">
        <f t="shared" si="360"/>
        <v>159.21360000000001</v>
      </c>
      <c r="BK515" s="387">
        <f t="shared" si="361"/>
        <v>0</v>
      </c>
      <c r="BL515" s="387">
        <f t="shared" ref="BL515:BL578" si="384">IF(AT515=1,SUM(BD515:BK515),0)</f>
        <v>12751.535159999999</v>
      </c>
      <c r="BM515" s="387">
        <f t="shared" ref="BM515:BM578" si="385">IF(AT515=3,SUM(BD515:BK515),0)</f>
        <v>0</v>
      </c>
      <c r="BN515" s="387">
        <f t="shared" si="362"/>
        <v>11650</v>
      </c>
      <c r="BO515" s="387">
        <f t="shared" si="363"/>
        <v>0</v>
      </c>
      <c r="BP515" s="387">
        <f t="shared" si="364"/>
        <v>3656.0160000000001</v>
      </c>
      <c r="BQ515" s="387">
        <f t="shared" si="365"/>
        <v>855.03600000000006</v>
      </c>
      <c r="BR515" s="387">
        <f t="shared" si="366"/>
        <v>7040.7791999999999</v>
      </c>
      <c r="BS515" s="387">
        <f t="shared" si="367"/>
        <v>425.15928000000002</v>
      </c>
      <c r="BT515" s="387">
        <f t="shared" si="368"/>
        <v>0</v>
      </c>
      <c r="BU515" s="387">
        <f t="shared" si="369"/>
        <v>326.38788</v>
      </c>
      <c r="BV515" s="387">
        <f t="shared" si="370"/>
        <v>200.49119999999999</v>
      </c>
      <c r="BW515" s="387">
        <f t="shared" si="371"/>
        <v>0</v>
      </c>
      <c r="BX515" s="387">
        <f t="shared" ref="BX515:BX578" si="386">IF(AT515=1,SUM(BP515:BW515),0)</f>
        <v>12503.869560000001</v>
      </c>
      <c r="BY515" s="387">
        <f t="shared" ref="BY515:BY578" si="387">IF(AT515=3,SUM(BP515:BW515),0)</f>
        <v>0</v>
      </c>
      <c r="BZ515" s="387">
        <f t="shared" ref="BZ515:BZ578" si="388">IF(AT515=1,BN515-BB515,0)</f>
        <v>0</v>
      </c>
      <c r="CA515" s="387">
        <f t="shared" ref="CA515:CA578" si="389">IF(AT515=3,BO515-BC515,0)</f>
        <v>0</v>
      </c>
      <c r="CB515" s="387">
        <f t="shared" ref="CB515:CB578" si="390">BP515-BD515</f>
        <v>0</v>
      </c>
      <c r="CC515" s="387">
        <f t="shared" si="372"/>
        <v>0</v>
      </c>
      <c r="CD515" s="387">
        <f t="shared" si="373"/>
        <v>0</v>
      </c>
      <c r="CE515" s="387">
        <f t="shared" si="374"/>
        <v>0</v>
      </c>
      <c r="CF515" s="387">
        <f t="shared" si="375"/>
        <v>-288.94319999999999</v>
      </c>
      <c r="CG515" s="387">
        <f t="shared" si="376"/>
        <v>0</v>
      </c>
      <c r="CH515" s="387">
        <f t="shared" si="377"/>
        <v>41.277599999999978</v>
      </c>
      <c r="CI515" s="387">
        <f t="shared" si="378"/>
        <v>0</v>
      </c>
      <c r="CJ515" s="387">
        <f t="shared" ref="CJ515:CJ578" si="391">IF(AT515=1,SUM(CB515:CI515),0)</f>
        <v>-247.66560000000001</v>
      </c>
      <c r="CK515" s="387" t="str">
        <f t="shared" ref="CK515:CK578" si="392">IF(AT515=3,SUM(CB515:CI515),"")</f>
        <v/>
      </c>
      <c r="CL515" s="387" t="str">
        <f t="shared" ref="CL515:CL578" si="393">IF(OR(N515="NG",AG515="D"),(T515+U515),"")</f>
        <v/>
      </c>
      <c r="CM515" s="387" t="str">
        <f t="shared" ref="CM515:CM578" si="394">IF(OR(N515="NG",AG515="D"),V515,"")</f>
        <v/>
      </c>
      <c r="CN515" s="387" t="str">
        <f t="shared" ref="CN515:CN578" si="395">E515 &amp; "-" &amp; F515</f>
        <v>0348-31</v>
      </c>
    </row>
    <row r="516" spans="1:92" ht="15.75" thickBot="1" x14ac:dyDescent="0.3">
      <c r="A516" s="376" t="s">
        <v>161</v>
      </c>
      <c r="B516" s="376" t="s">
        <v>162</v>
      </c>
      <c r="C516" s="376" t="s">
        <v>1655</v>
      </c>
      <c r="D516" s="376" t="s">
        <v>270</v>
      </c>
      <c r="E516" s="376" t="s">
        <v>224</v>
      </c>
      <c r="F516" s="382" t="s">
        <v>225</v>
      </c>
      <c r="G516" s="376" t="s">
        <v>781</v>
      </c>
      <c r="H516" s="378"/>
      <c r="I516" s="378"/>
      <c r="J516" s="376" t="s">
        <v>215</v>
      </c>
      <c r="K516" s="376" t="s">
        <v>271</v>
      </c>
      <c r="L516" s="376" t="s">
        <v>217</v>
      </c>
      <c r="M516" s="376" t="s">
        <v>171</v>
      </c>
      <c r="N516" s="376" t="s">
        <v>172</v>
      </c>
      <c r="O516" s="379">
        <v>1</v>
      </c>
      <c r="P516" s="385">
        <v>0</v>
      </c>
      <c r="Q516" s="385">
        <v>0</v>
      </c>
      <c r="R516" s="380">
        <v>80</v>
      </c>
      <c r="S516" s="385">
        <v>0</v>
      </c>
      <c r="T516" s="380">
        <v>63.92</v>
      </c>
      <c r="U516" s="380">
        <v>0</v>
      </c>
      <c r="V516" s="380">
        <v>28.02</v>
      </c>
      <c r="W516" s="380">
        <v>0</v>
      </c>
      <c r="X516" s="380">
        <v>0</v>
      </c>
      <c r="Y516" s="380">
        <v>0</v>
      </c>
      <c r="Z516" s="380">
        <v>0</v>
      </c>
      <c r="AA516" s="376" t="s">
        <v>1656</v>
      </c>
      <c r="AB516" s="376" t="s">
        <v>1657</v>
      </c>
      <c r="AC516" s="376" t="s">
        <v>1148</v>
      </c>
      <c r="AD516" s="376" t="s">
        <v>686</v>
      </c>
      <c r="AE516" s="376" t="s">
        <v>271</v>
      </c>
      <c r="AF516" s="376" t="s">
        <v>221</v>
      </c>
      <c r="AG516" s="376" t="s">
        <v>178</v>
      </c>
      <c r="AH516" s="381">
        <v>18.55</v>
      </c>
      <c r="AI516" s="381">
        <v>56491.1</v>
      </c>
      <c r="AJ516" s="376" t="s">
        <v>179</v>
      </c>
      <c r="AK516" s="376" t="s">
        <v>180</v>
      </c>
      <c r="AL516" s="376" t="s">
        <v>181</v>
      </c>
      <c r="AM516" s="376" t="s">
        <v>182</v>
      </c>
      <c r="AN516" s="376" t="s">
        <v>68</v>
      </c>
      <c r="AO516" s="379">
        <v>80</v>
      </c>
      <c r="AP516" s="385">
        <v>1</v>
      </c>
      <c r="AQ516" s="385">
        <v>0</v>
      </c>
      <c r="AR516" s="383" t="s">
        <v>183</v>
      </c>
      <c r="AS516" s="387">
        <f t="shared" si="379"/>
        <v>0</v>
      </c>
      <c r="AT516">
        <f t="shared" si="380"/>
        <v>0</v>
      </c>
      <c r="AU516" s="387" t="str">
        <f>IF(AT516=0,"",IF(AND(AT516=1,M516="F",SUMIF(C2:C1334,C516,AS2:AS1334)&lt;=1),SUMIF(C2:C1334,C516,AS2:AS1334),IF(AND(AT516=1,M516="F",SUMIF(C2:C1334,C516,AS2:AS1334)&gt;1),1,"")))</f>
        <v/>
      </c>
      <c r="AV516" s="387" t="str">
        <f>IF(AT516=0,"",IF(AND(AT516=3,M516="F",SUMIF(C2:C1334,C516,AS2:AS1334)&lt;=1),SUMIF(C2:C1334,C516,AS2:AS1334),IF(AND(AT516=3,M516="F",SUMIF(C2:C1334,C516,AS2:AS1334)&gt;1),1,"")))</f>
        <v/>
      </c>
      <c r="AW516" s="387">
        <f>SUMIF(C2:C1334,C516,O2:O1334)</f>
        <v>3</v>
      </c>
      <c r="AX516" s="387">
        <f>IF(AND(M516="F",AS516&lt;&gt;0),SUMIF(C2:C1334,C516,W2:W1334),0)</f>
        <v>0</v>
      </c>
      <c r="AY516" s="387" t="str">
        <f t="shared" si="381"/>
        <v/>
      </c>
      <c r="AZ516" s="387" t="str">
        <f t="shared" si="382"/>
        <v/>
      </c>
      <c r="BA516" s="387">
        <f t="shared" si="383"/>
        <v>0</v>
      </c>
      <c r="BB516" s="387">
        <f t="shared" si="352"/>
        <v>0</v>
      </c>
      <c r="BC516" s="387">
        <f t="shared" si="353"/>
        <v>0</v>
      </c>
      <c r="BD516" s="387">
        <f t="shared" si="354"/>
        <v>0</v>
      </c>
      <c r="BE516" s="387">
        <f t="shared" si="355"/>
        <v>0</v>
      </c>
      <c r="BF516" s="387">
        <f t="shared" si="356"/>
        <v>0</v>
      </c>
      <c r="BG516" s="387">
        <f t="shared" si="357"/>
        <v>0</v>
      </c>
      <c r="BH516" s="387">
        <f t="shared" si="358"/>
        <v>0</v>
      </c>
      <c r="BI516" s="387">
        <f t="shared" si="359"/>
        <v>0</v>
      </c>
      <c r="BJ516" s="387">
        <f t="shared" si="360"/>
        <v>0</v>
      </c>
      <c r="BK516" s="387">
        <f t="shared" si="361"/>
        <v>0</v>
      </c>
      <c r="BL516" s="387">
        <f t="shared" si="384"/>
        <v>0</v>
      </c>
      <c r="BM516" s="387">
        <f t="shared" si="385"/>
        <v>0</v>
      </c>
      <c r="BN516" s="387">
        <f t="shared" si="362"/>
        <v>0</v>
      </c>
      <c r="BO516" s="387">
        <f t="shared" si="363"/>
        <v>0</v>
      </c>
      <c r="BP516" s="387">
        <f t="shared" si="364"/>
        <v>0</v>
      </c>
      <c r="BQ516" s="387">
        <f t="shared" si="365"/>
        <v>0</v>
      </c>
      <c r="BR516" s="387">
        <f t="shared" si="366"/>
        <v>0</v>
      </c>
      <c r="BS516" s="387">
        <f t="shared" si="367"/>
        <v>0</v>
      </c>
      <c r="BT516" s="387">
        <f t="shared" si="368"/>
        <v>0</v>
      </c>
      <c r="BU516" s="387">
        <f t="shared" si="369"/>
        <v>0</v>
      </c>
      <c r="BV516" s="387">
        <f t="shared" si="370"/>
        <v>0</v>
      </c>
      <c r="BW516" s="387">
        <f t="shared" si="371"/>
        <v>0</v>
      </c>
      <c r="BX516" s="387">
        <f t="shared" si="386"/>
        <v>0</v>
      </c>
      <c r="BY516" s="387">
        <f t="shared" si="387"/>
        <v>0</v>
      </c>
      <c r="BZ516" s="387">
        <f t="shared" si="388"/>
        <v>0</v>
      </c>
      <c r="CA516" s="387">
        <f t="shared" si="389"/>
        <v>0</v>
      </c>
      <c r="CB516" s="387">
        <f t="shared" si="390"/>
        <v>0</v>
      </c>
      <c r="CC516" s="387">
        <f t="shared" si="372"/>
        <v>0</v>
      </c>
      <c r="CD516" s="387">
        <f t="shared" si="373"/>
        <v>0</v>
      </c>
      <c r="CE516" s="387">
        <f t="shared" si="374"/>
        <v>0</v>
      </c>
      <c r="CF516" s="387">
        <f t="shared" si="375"/>
        <v>0</v>
      </c>
      <c r="CG516" s="387">
        <f t="shared" si="376"/>
        <v>0</v>
      </c>
      <c r="CH516" s="387">
        <f t="shared" si="377"/>
        <v>0</v>
      </c>
      <c r="CI516" s="387">
        <f t="shared" si="378"/>
        <v>0</v>
      </c>
      <c r="CJ516" s="387">
        <f t="shared" si="391"/>
        <v>0</v>
      </c>
      <c r="CK516" s="387" t="str">
        <f t="shared" si="392"/>
        <v/>
      </c>
      <c r="CL516" s="387" t="str">
        <f t="shared" si="393"/>
        <v/>
      </c>
      <c r="CM516" s="387" t="str">
        <f t="shared" si="394"/>
        <v/>
      </c>
      <c r="CN516" s="387" t="str">
        <f t="shared" si="395"/>
        <v>0348-31</v>
      </c>
    </row>
    <row r="517" spans="1:92" ht="15.75" thickBot="1" x14ac:dyDescent="0.3">
      <c r="A517" s="376" t="s">
        <v>161</v>
      </c>
      <c r="B517" s="376" t="s">
        <v>162</v>
      </c>
      <c r="C517" s="376" t="s">
        <v>452</v>
      </c>
      <c r="D517" s="376" t="s">
        <v>238</v>
      </c>
      <c r="E517" s="376" t="s">
        <v>224</v>
      </c>
      <c r="F517" s="382" t="s">
        <v>225</v>
      </c>
      <c r="G517" s="376" t="s">
        <v>781</v>
      </c>
      <c r="H517" s="378"/>
      <c r="I517" s="378"/>
      <c r="J517" s="376" t="s">
        <v>215</v>
      </c>
      <c r="K517" s="376" t="s">
        <v>285</v>
      </c>
      <c r="L517" s="376" t="s">
        <v>170</v>
      </c>
      <c r="M517" s="376" t="s">
        <v>171</v>
      </c>
      <c r="N517" s="376" t="s">
        <v>172</v>
      </c>
      <c r="O517" s="379">
        <v>1</v>
      </c>
      <c r="P517" s="385">
        <v>0</v>
      </c>
      <c r="Q517" s="385">
        <v>0</v>
      </c>
      <c r="R517" s="380">
        <v>80</v>
      </c>
      <c r="S517" s="385">
        <v>0</v>
      </c>
      <c r="T517" s="380">
        <v>52141.61</v>
      </c>
      <c r="U517" s="380">
        <v>0</v>
      </c>
      <c r="V517" s="380">
        <v>22226.959999999999</v>
      </c>
      <c r="W517" s="380">
        <v>0</v>
      </c>
      <c r="X517" s="380">
        <v>0</v>
      </c>
      <c r="Y517" s="380">
        <v>0</v>
      </c>
      <c r="Z517" s="380">
        <v>0</v>
      </c>
      <c r="AA517" s="376" t="s">
        <v>453</v>
      </c>
      <c r="AB517" s="376" t="s">
        <v>454</v>
      </c>
      <c r="AC517" s="376" t="s">
        <v>455</v>
      </c>
      <c r="AD517" s="376" t="s">
        <v>170</v>
      </c>
      <c r="AE517" s="376" t="s">
        <v>285</v>
      </c>
      <c r="AF517" s="376" t="s">
        <v>177</v>
      </c>
      <c r="AG517" s="376" t="s">
        <v>178</v>
      </c>
      <c r="AH517" s="381">
        <v>26.28</v>
      </c>
      <c r="AI517" s="381">
        <v>61151.6</v>
      </c>
      <c r="AJ517" s="376" t="s">
        <v>179</v>
      </c>
      <c r="AK517" s="376" t="s">
        <v>180</v>
      </c>
      <c r="AL517" s="376" t="s">
        <v>181</v>
      </c>
      <c r="AM517" s="376" t="s">
        <v>182</v>
      </c>
      <c r="AN517" s="376" t="s">
        <v>68</v>
      </c>
      <c r="AO517" s="379">
        <v>80</v>
      </c>
      <c r="AP517" s="385">
        <v>1</v>
      </c>
      <c r="AQ517" s="385">
        <v>0</v>
      </c>
      <c r="AR517" s="383" t="s">
        <v>183</v>
      </c>
      <c r="AS517" s="387">
        <f t="shared" si="379"/>
        <v>0</v>
      </c>
      <c r="AT517">
        <f t="shared" si="380"/>
        <v>0</v>
      </c>
      <c r="AU517" s="387" t="str">
        <f>IF(AT517=0,"",IF(AND(AT517=1,M517="F",SUMIF(C2:C1334,C517,AS2:AS1334)&lt;=1),SUMIF(C2:C1334,C517,AS2:AS1334),IF(AND(AT517=1,M517="F",SUMIF(C2:C1334,C517,AS2:AS1334)&gt;1),1,"")))</f>
        <v/>
      </c>
      <c r="AV517" s="387" t="str">
        <f>IF(AT517=0,"",IF(AND(AT517=3,M517="F",SUMIF(C2:C1334,C517,AS2:AS1334)&lt;=1),SUMIF(C2:C1334,C517,AS2:AS1334),IF(AND(AT517=3,M517="F",SUMIF(C2:C1334,C517,AS2:AS1334)&gt;1),1,"")))</f>
        <v/>
      </c>
      <c r="AW517" s="387">
        <f>SUMIF(C2:C1334,C517,O2:O1334)</f>
        <v>2</v>
      </c>
      <c r="AX517" s="387">
        <f>IF(AND(M517="F",AS517&lt;&gt;0),SUMIF(C2:C1334,C517,W2:W1334),0)</f>
        <v>0</v>
      </c>
      <c r="AY517" s="387" t="str">
        <f t="shared" si="381"/>
        <v/>
      </c>
      <c r="AZ517" s="387" t="str">
        <f t="shared" si="382"/>
        <v/>
      </c>
      <c r="BA517" s="387">
        <f t="shared" si="383"/>
        <v>0</v>
      </c>
      <c r="BB517" s="387">
        <f t="shared" si="352"/>
        <v>0</v>
      </c>
      <c r="BC517" s="387">
        <f t="shared" si="353"/>
        <v>0</v>
      </c>
      <c r="BD517" s="387">
        <f t="shared" si="354"/>
        <v>0</v>
      </c>
      <c r="BE517" s="387">
        <f t="shared" si="355"/>
        <v>0</v>
      </c>
      <c r="BF517" s="387">
        <f t="shared" si="356"/>
        <v>0</v>
      </c>
      <c r="BG517" s="387">
        <f t="shared" si="357"/>
        <v>0</v>
      </c>
      <c r="BH517" s="387">
        <f t="shared" si="358"/>
        <v>0</v>
      </c>
      <c r="BI517" s="387">
        <f t="shared" si="359"/>
        <v>0</v>
      </c>
      <c r="BJ517" s="387">
        <f t="shared" si="360"/>
        <v>0</v>
      </c>
      <c r="BK517" s="387">
        <f t="shared" si="361"/>
        <v>0</v>
      </c>
      <c r="BL517" s="387">
        <f t="shared" si="384"/>
        <v>0</v>
      </c>
      <c r="BM517" s="387">
        <f t="shared" si="385"/>
        <v>0</v>
      </c>
      <c r="BN517" s="387">
        <f t="shared" si="362"/>
        <v>0</v>
      </c>
      <c r="BO517" s="387">
        <f t="shared" si="363"/>
        <v>0</v>
      </c>
      <c r="BP517" s="387">
        <f t="shared" si="364"/>
        <v>0</v>
      </c>
      <c r="BQ517" s="387">
        <f t="shared" si="365"/>
        <v>0</v>
      </c>
      <c r="BR517" s="387">
        <f t="shared" si="366"/>
        <v>0</v>
      </c>
      <c r="BS517" s="387">
        <f t="shared" si="367"/>
        <v>0</v>
      </c>
      <c r="BT517" s="387">
        <f t="shared" si="368"/>
        <v>0</v>
      </c>
      <c r="BU517" s="387">
        <f t="shared" si="369"/>
        <v>0</v>
      </c>
      <c r="BV517" s="387">
        <f t="shared" si="370"/>
        <v>0</v>
      </c>
      <c r="BW517" s="387">
        <f t="shared" si="371"/>
        <v>0</v>
      </c>
      <c r="BX517" s="387">
        <f t="shared" si="386"/>
        <v>0</v>
      </c>
      <c r="BY517" s="387">
        <f t="shared" si="387"/>
        <v>0</v>
      </c>
      <c r="BZ517" s="387">
        <f t="shared" si="388"/>
        <v>0</v>
      </c>
      <c r="CA517" s="387">
        <f t="shared" si="389"/>
        <v>0</v>
      </c>
      <c r="CB517" s="387">
        <f t="shared" si="390"/>
        <v>0</v>
      </c>
      <c r="CC517" s="387">
        <f t="shared" si="372"/>
        <v>0</v>
      </c>
      <c r="CD517" s="387">
        <f t="shared" si="373"/>
        <v>0</v>
      </c>
      <c r="CE517" s="387">
        <f t="shared" si="374"/>
        <v>0</v>
      </c>
      <c r="CF517" s="387">
        <f t="shared" si="375"/>
        <v>0</v>
      </c>
      <c r="CG517" s="387">
        <f t="shared" si="376"/>
        <v>0</v>
      </c>
      <c r="CH517" s="387">
        <f t="shared" si="377"/>
        <v>0</v>
      </c>
      <c r="CI517" s="387">
        <f t="shared" si="378"/>
        <v>0</v>
      </c>
      <c r="CJ517" s="387">
        <f t="shared" si="391"/>
        <v>0</v>
      </c>
      <c r="CK517" s="387" t="str">
        <f t="shared" si="392"/>
        <v/>
      </c>
      <c r="CL517" s="387" t="str">
        <f t="shared" si="393"/>
        <v/>
      </c>
      <c r="CM517" s="387" t="str">
        <f t="shared" si="394"/>
        <v/>
      </c>
      <c r="CN517" s="387" t="str">
        <f t="shared" si="395"/>
        <v>0348-31</v>
      </c>
    </row>
    <row r="518" spans="1:92" ht="15.75" thickBot="1" x14ac:dyDescent="0.3">
      <c r="A518" s="376" t="s">
        <v>161</v>
      </c>
      <c r="B518" s="376" t="s">
        <v>162</v>
      </c>
      <c r="C518" s="376" t="s">
        <v>1658</v>
      </c>
      <c r="D518" s="376" t="s">
        <v>862</v>
      </c>
      <c r="E518" s="376" t="s">
        <v>224</v>
      </c>
      <c r="F518" s="382" t="s">
        <v>225</v>
      </c>
      <c r="G518" s="376" t="s">
        <v>781</v>
      </c>
      <c r="H518" s="378"/>
      <c r="I518" s="378"/>
      <c r="J518" s="376" t="s">
        <v>215</v>
      </c>
      <c r="K518" s="376" t="s">
        <v>863</v>
      </c>
      <c r="L518" s="376" t="s">
        <v>252</v>
      </c>
      <c r="M518" s="376" t="s">
        <v>272</v>
      </c>
      <c r="N518" s="376" t="s">
        <v>172</v>
      </c>
      <c r="O518" s="379">
        <v>0</v>
      </c>
      <c r="P518" s="385">
        <v>0</v>
      </c>
      <c r="Q518" s="385">
        <v>0</v>
      </c>
      <c r="R518" s="380">
        <v>80</v>
      </c>
      <c r="S518" s="385">
        <v>0</v>
      </c>
      <c r="T518" s="380">
        <v>27433.439999999999</v>
      </c>
      <c r="U518" s="380">
        <v>0</v>
      </c>
      <c r="V518" s="380">
        <v>12982.94</v>
      </c>
      <c r="W518" s="380">
        <v>0</v>
      </c>
      <c r="X518" s="380">
        <v>0</v>
      </c>
      <c r="Y518" s="380">
        <v>0</v>
      </c>
      <c r="Z518" s="380">
        <v>0</v>
      </c>
      <c r="AA518" s="378"/>
      <c r="AB518" s="376" t="s">
        <v>45</v>
      </c>
      <c r="AC518" s="376" t="s">
        <v>45</v>
      </c>
      <c r="AD518" s="378"/>
      <c r="AE518" s="378"/>
      <c r="AF518" s="378"/>
      <c r="AG518" s="378"/>
      <c r="AH518" s="379">
        <v>0</v>
      </c>
      <c r="AI518" s="379">
        <v>0</v>
      </c>
      <c r="AJ518" s="378"/>
      <c r="AK518" s="378"/>
      <c r="AL518" s="376" t="s">
        <v>181</v>
      </c>
      <c r="AM518" s="378"/>
      <c r="AN518" s="378"/>
      <c r="AO518" s="379">
        <v>0</v>
      </c>
      <c r="AP518" s="385">
        <v>0</v>
      </c>
      <c r="AQ518" s="385">
        <v>0</v>
      </c>
      <c r="AR518" s="384"/>
      <c r="AS518" s="387">
        <f t="shared" si="379"/>
        <v>0</v>
      </c>
      <c r="AT518">
        <f t="shared" si="380"/>
        <v>0</v>
      </c>
      <c r="AU518" s="387" t="str">
        <f>IF(AT518=0,"",IF(AND(AT518=1,M518="F",SUMIF(C2:C1334,C518,AS2:AS1334)&lt;=1),SUMIF(C2:C1334,C518,AS2:AS1334),IF(AND(AT518=1,M518="F",SUMIF(C2:C1334,C518,AS2:AS1334)&gt;1),1,"")))</f>
        <v/>
      </c>
      <c r="AV518" s="387" t="str">
        <f>IF(AT518=0,"",IF(AND(AT518=3,M518="F",SUMIF(C2:C1334,C518,AS2:AS1334)&lt;=1),SUMIF(C2:C1334,C518,AS2:AS1334),IF(AND(AT518=3,M518="F",SUMIF(C2:C1334,C518,AS2:AS1334)&gt;1),1,"")))</f>
        <v/>
      </c>
      <c r="AW518" s="387">
        <f>SUMIF(C2:C1334,C518,O2:O1334)</f>
        <v>0</v>
      </c>
      <c r="AX518" s="387">
        <f>IF(AND(M518="F",AS518&lt;&gt;0),SUMIF(C2:C1334,C518,W2:W1334),0)</f>
        <v>0</v>
      </c>
      <c r="AY518" s="387" t="str">
        <f t="shared" si="381"/>
        <v/>
      </c>
      <c r="AZ518" s="387" t="str">
        <f t="shared" si="382"/>
        <v/>
      </c>
      <c r="BA518" s="387">
        <f t="shared" si="383"/>
        <v>0</v>
      </c>
      <c r="BB518" s="387">
        <f t="shared" si="352"/>
        <v>0</v>
      </c>
      <c r="BC518" s="387">
        <f t="shared" si="353"/>
        <v>0</v>
      </c>
      <c r="BD518" s="387">
        <f t="shared" si="354"/>
        <v>0</v>
      </c>
      <c r="BE518" s="387">
        <f t="shared" si="355"/>
        <v>0</v>
      </c>
      <c r="BF518" s="387">
        <f t="shared" si="356"/>
        <v>0</v>
      </c>
      <c r="BG518" s="387">
        <f t="shared" si="357"/>
        <v>0</v>
      </c>
      <c r="BH518" s="387">
        <f t="shared" si="358"/>
        <v>0</v>
      </c>
      <c r="BI518" s="387">
        <f t="shared" si="359"/>
        <v>0</v>
      </c>
      <c r="BJ518" s="387">
        <f t="shared" si="360"/>
        <v>0</v>
      </c>
      <c r="BK518" s="387">
        <f t="shared" si="361"/>
        <v>0</v>
      </c>
      <c r="BL518" s="387">
        <f t="shared" si="384"/>
        <v>0</v>
      </c>
      <c r="BM518" s="387">
        <f t="shared" si="385"/>
        <v>0</v>
      </c>
      <c r="BN518" s="387">
        <f t="shared" si="362"/>
        <v>0</v>
      </c>
      <c r="BO518" s="387">
        <f t="shared" si="363"/>
        <v>0</v>
      </c>
      <c r="BP518" s="387">
        <f t="shared" si="364"/>
        <v>0</v>
      </c>
      <c r="BQ518" s="387">
        <f t="shared" si="365"/>
        <v>0</v>
      </c>
      <c r="BR518" s="387">
        <f t="shared" si="366"/>
        <v>0</v>
      </c>
      <c r="BS518" s="387">
        <f t="shared" si="367"/>
        <v>0</v>
      </c>
      <c r="BT518" s="387">
        <f t="shared" si="368"/>
        <v>0</v>
      </c>
      <c r="BU518" s="387">
        <f t="shared" si="369"/>
        <v>0</v>
      </c>
      <c r="BV518" s="387">
        <f t="shared" si="370"/>
        <v>0</v>
      </c>
      <c r="BW518" s="387">
        <f t="shared" si="371"/>
        <v>0</v>
      </c>
      <c r="BX518" s="387">
        <f t="shared" si="386"/>
        <v>0</v>
      </c>
      <c r="BY518" s="387">
        <f t="shared" si="387"/>
        <v>0</v>
      </c>
      <c r="BZ518" s="387">
        <f t="shared" si="388"/>
        <v>0</v>
      </c>
      <c r="CA518" s="387">
        <f t="shared" si="389"/>
        <v>0</v>
      </c>
      <c r="CB518" s="387">
        <f t="shared" si="390"/>
        <v>0</v>
      </c>
      <c r="CC518" s="387">
        <f t="shared" si="372"/>
        <v>0</v>
      </c>
      <c r="CD518" s="387">
        <f t="shared" si="373"/>
        <v>0</v>
      </c>
      <c r="CE518" s="387">
        <f t="shared" si="374"/>
        <v>0</v>
      </c>
      <c r="CF518" s="387">
        <f t="shared" si="375"/>
        <v>0</v>
      </c>
      <c r="CG518" s="387">
        <f t="shared" si="376"/>
        <v>0</v>
      </c>
      <c r="CH518" s="387">
        <f t="shared" si="377"/>
        <v>0</v>
      </c>
      <c r="CI518" s="387">
        <f t="shared" si="378"/>
        <v>0</v>
      </c>
      <c r="CJ518" s="387">
        <f t="shared" si="391"/>
        <v>0</v>
      </c>
      <c r="CK518" s="387" t="str">
        <f t="shared" si="392"/>
        <v/>
      </c>
      <c r="CL518" s="387" t="str">
        <f t="shared" si="393"/>
        <v/>
      </c>
      <c r="CM518" s="387" t="str">
        <f t="shared" si="394"/>
        <v/>
      </c>
      <c r="CN518" s="387" t="str">
        <f t="shared" si="395"/>
        <v>0348-31</v>
      </c>
    </row>
    <row r="519" spans="1:92" ht="15.75" thickBot="1" x14ac:dyDescent="0.3">
      <c r="A519" s="376" t="s">
        <v>161</v>
      </c>
      <c r="B519" s="376" t="s">
        <v>162</v>
      </c>
      <c r="C519" s="376" t="s">
        <v>1659</v>
      </c>
      <c r="D519" s="376" t="s">
        <v>862</v>
      </c>
      <c r="E519" s="376" t="s">
        <v>224</v>
      </c>
      <c r="F519" s="382" t="s">
        <v>225</v>
      </c>
      <c r="G519" s="376" t="s">
        <v>781</v>
      </c>
      <c r="H519" s="378"/>
      <c r="I519" s="378"/>
      <c r="J519" s="376" t="s">
        <v>239</v>
      </c>
      <c r="K519" s="376" t="s">
        <v>863</v>
      </c>
      <c r="L519" s="376" t="s">
        <v>252</v>
      </c>
      <c r="M519" s="376" t="s">
        <v>171</v>
      </c>
      <c r="N519" s="376" t="s">
        <v>172</v>
      </c>
      <c r="O519" s="379">
        <v>1</v>
      </c>
      <c r="P519" s="385">
        <v>0.4</v>
      </c>
      <c r="Q519" s="385">
        <v>0.4</v>
      </c>
      <c r="R519" s="380">
        <v>80</v>
      </c>
      <c r="S519" s="385">
        <v>0.4</v>
      </c>
      <c r="T519" s="380">
        <v>29705.62</v>
      </c>
      <c r="U519" s="380">
        <v>0</v>
      </c>
      <c r="V519" s="380">
        <v>14171.99</v>
      </c>
      <c r="W519" s="380">
        <v>19077.759999999998</v>
      </c>
      <c r="X519" s="380">
        <v>8785.5499999999993</v>
      </c>
      <c r="Y519" s="380">
        <v>19077.759999999998</v>
      </c>
      <c r="Z519" s="380">
        <v>8705.42</v>
      </c>
      <c r="AA519" s="376" t="s">
        <v>1660</v>
      </c>
      <c r="AB519" s="376" t="s">
        <v>1661</v>
      </c>
      <c r="AC519" s="376" t="s">
        <v>1662</v>
      </c>
      <c r="AD519" s="376" t="s">
        <v>324</v>
      </c>
      <c r="AE519" s="376" t="s">
        <v>863</v>
      </c>
      <c r="AF519" s="376" t="s">
        <v>393</v>
      </c>
      <c r="AG519" s="376" t="s">
        <v>178</v>
      </c>
      <c r="AH519" s="381">
        <v>22.93</v>
      </c>
      <c r="AI519" s="379">
        <v>36070</v>
      </c>
      <c r="AJ519" s="376" t="s">
        <v>179</v>
      </c>
      <c r="AK519" s="376" t="s">
        <v>180</v>
      </c>
      <c r="AL519" s="376" t="s">
        <v>181</v>
      </c>
      <c r="AM519" s="376" t="s">
        <v>182</v>
      </c>
      <c r="AN519" s="376" t="s">
        <v>68</v>
      </c>
      <c r="AO519" s="379">
        <v>80</v>
      </c>
      <c r="AP519" s="385">
        <v>1</v>
      </c>
      <c r="AQ519" s="385">
        <v>0.4</v>
      </c>
      <c r="AR519" s="383" t="s">
        <v>183</v>
      </c>
      <c r="AS519" s="387">
        <f t="shared" si="379"/>
        <v>0.4</v>
      </c>
      <c r="AT519">
        <f t="shared" si="380"/>
        <v>1</v>
      </c>
      <c r="AU519" s="387">
        <f>IF(AT519=0,"",IF(AND(AT519=1,M519="F",SUMIF(C2:C1334,C519,AS2:AS1334)&lt;=1),SUMIF(C2:C1334,C519,AS2:AS1334),IF(AND(AT519=1,M519="F",SUMIF(C2:C1334,C519,AS2:AS1334)&gt;1),1,"")))</f>
        <v>1</v>
      </c>
      <c r="AV519" s="387" t="str">
        <f>IF(AT519=0,"",IF(AND(AT519=3,M519="F",SUMIF(C2:C1334,C519,AS2:AS1334)&lt;=1),SUMIF(C2:C1334,C519,AS2:AS1334),IF(AND(AT519=3,M519="F",SUMIF(C2:C1334,C519,AS2:AS1334)&gt;1),1,"")))</f>
        <v/>
      </c>
      <c r="AW519" s="387">
        <f>SUMIF(C2:C1334,C519,O2:O1334)</f>
        <v>3</v>
      </c>
      <c r="AX519" s="387">
        <f>IF(AND(M519="F",AS519&lt;&gt;0),SUMIF(C2:C1334,C519,W2:W1334),0)</f>
        <v>47694.399999999994</v>
      </c>
      <c r="AY519" s="387">
        <f t="shared" si="381"/>
        <v>19077.759999999998</v>
      </c>
      <c r="AZ519" s="387" t="str">
        <f t="shared" si="382"/>
        <v/>
      </c>
      <c r="BA519" s="387">
        <f t="shared" si="383"/>
        <v>0</v>
      </c>
      <c r="BB519" s="387">
        <f t="shared" si="352"/>
        <v>4660</v>
      </c>
      <c r="BC519" s="387">
        <f t="shared" si="353"/>
        <v>0</v>
      </c>
      <c r="BD519" s="387">
        <f t="shared" si="354"/>
        <v>1182.8211199999998</v>
      </c>
      <c r="BE519" s="387">
        <f t="shared" si="355"/>
        <v>276.62752</v>
      </c>
      <c r="BF519" s="387">
        <f t="shared" si="356"/>
        <v>2277.884544</v>
      </c>
      <c r="BG519" s="387">
        <f t="shared" si="357"/>
        <v>137.55064959999999</v>
      </c>
      <c r="BH519" s="387">
        <f t="shared" si="358"/>
        <v>93.481023999999991</v>
      </c>
      <c r="BI519" s="387">
        <f t="shared" si="359"/>
        <v>105.59540159999999</v>
      </c>
      <c r="BJ519" s="387">
        <f t="shared" si="360"/>
        <v>51.509951999999998</v>
      </c>
      <c r="BK519" s="387">
        <f t="shared" si="361"/>
        <v>0</v>
      </c>
      <c r="BL519" s="387">
        <f t="shared" si="384"/>
        <v>4125.4702112000004</v>
      </c>
      <c r="BM519" s="387">
        <f t="shared" si="385"/>
        <v>0</v>
      </c>
      <c r="BN519" s="387">
        <f t="shared" si="362"/>
        <v>4660</v>
      </c>
      <c r="BO519" s="387">
        <f t="shared" si="363"/>
        <v>0</v>
      </c>
      <c r="BP519" s="387">
        <f t="shared" si="364"/>
        <v>1182.8211199999998</v>
      </c>
      <c r="BQ519" s="387">
        <f t="shared" si="365"/>
        <v>276.62752</v>
      </c>
      <c r="BR519" s="387">
        <f t="shared" si="366"/>
        <v>2277.884544</v>
      </c>
      <c r="BS519" s="387">
        <f t="shared" si="367"/>
        <v>137.55064959999999</v>
      </c>
      <c r="BT519" s="387">
        <f t="shared" si="368"/>
        <v>0</v>
      </c>
      <c r="BU519" s="387">
        <f t="shared" si="369"/>
        <v>105.59540159999999</v>
      </c>
      <c r="BV519" s="387">
        <f t="shared" si="370"/>
        <v>64.864383999999987</v>
      </c>
      <c r="BW519" s="387">
        <f t="shared" si="371"/>
        <v>0</v>
      </c>
      <c r="BX519" s="387">
        <f t="shared" si="386"/>
        <v>4045.3436191999999</v>
      </c>
      <c r="BY519" s="387">
        <f t="shared" si="387"/>
        <v>0</v>
      </c>
      <c r="BZ519" s="387">
        <f t="shared" si="388"/>
        <v>0</v>
      </c>
      <c r="CA519" s="387">
        <f t="shared" si="389"/>
        <v>0</v>
      </c>
      <c r="CB519" s="387">
        <f t="shared" si="390"/>
        <v>0</v>
      </c>
      <c r="CC519" s="387">
        <f t="shared" si="372"/>
        <v>0</v>
      </c>
      <c r="CD519" s="387">
        <f t="shared" si="373"/>
        <v>0</v>
      </c>
      <c r="CE519" s="387">
        <f t="shared" si="374"/>
        <v>0</v>
      </c>
      <c r="CF519" s="387">
        <f t="shared" si="375"/>
        <v>-93.481023999999991</v>
      </c>
      <c r="CG519" s="387">
        <f t="shared" si="376"/>
        <v>0</v>
      </c>
      <c r="CH519" s="387">
        <f t="shared" si="377"/>
        <v>13.354431999999992</v>
      </c>
      <c r="CI519" s="387">
        <f t="shared" si="378"/>
        <v>0</v>
      </c>
      <c r="CJ519" s="387">
        <f t="shared" si="391"/>
        <v>-80.126592000000002</v>
      </c>
      <c r="CK519" s="387" t="str">
        <f t="shared" si="392"/>
        <v/>
      </c>
      <c r="CL519" s="387" t="str">
        <f t="shared" si="393"/>
        <v/>
      </c>
      <c r="CM519" s="387" t="str">
        <f t="shared" si="394"/>
        <v/>
      </c>
      <c r="CN519" s="387" t="str">
        <f t="shared" si="395"/>
        <v>0348-31</v>
      </c>
    </row>
    <row r="520" spans="1:92" ht="15.75" thickBot="1" x14ac:dyDescent="0.3">
      <c r="A520" s="376" t="s">
        <v>161</v>
      </c>
      <c r="B520" s="376" t="s">
        <v>162</v>
      </c>
      <c r="C520" s="376" t="s">
        <v>602</v>
      </c>
      <c r="D520" s="376" t="s">
        <v>238</v>
      </c>
      <c r="E520" s="376" t="s">
        <v>224</v>
      </c>
      <c r="F520" s="382" t="s">
        <v>225</v>
      </c>
      <c r="G520" s="376" t="s">
        <v>781</v>
      </c>
      <c r="H520" s="378"/>
      <c r="I520" s="378"/>
      <c r="J520" s="376" t="s">
        <v>215</v>
      </c>
      <c r="K520" s="376" t="s">
        <v>240</v>
      </c>
      <c r="L520" s="376" t="s">
        <v>210</v>
      </c>
      <c r="M520" s="376" t="s">
        <v>171</v>
      </c>
      <c r="N520" s="376" t="s">
        <v>172</v>
      </c>
      <c r="O520" s="379">
        <v>1</v>
      </c>
      <c r="P520" s="385">
        <v>0</v>
      </c>
      <c r="Q520" s="385">
        <v>0</v>
      </c>
      <c r="R520" s="380">
        <v>80</v>
      </c>
      <c r="S520" s="385">
        <v>0</v>
      </c>
      <c r="T520" s="380">
        <v>8114.41</v>
      </c>
      <c r="U520" s="380">
        <v>0</v>
      </c>
      <c r="V520" s="380">
        <v>3130.26</v>
      </c>
      <c r="W520" s="380">
        <v>0</v>
      </c>
      <c r="X520" s="380">
        <v>0</v>
      </c>
      <c r="Y520" s="380">
        <v>0</v>
      </c>
      <c r="Z520" s="380">
        <v>0</v>
      </c>
      <c r="AA520" s="376" t="s">
        <v>603</v>
      </c>
      <c r="AB520" s="376" t="s">
        <v>604</v>
      </c>
      <c r="AC520" s="376" t="s">
        <v>605</v>
      </c>
      <c r="AD520" s="376" t="s">
        <v>606</v>
      </c>
      <c r="AE520" s="376" t="s">
        <v>240</v>
      </c>
      <c r="AF520" s="376" t="s">
        <v>245</v>
      </c>
      <c r="AG520" s="376" t="s">
        <v>178</v>
      </c>
      <c r="AH520" s="381">
        <v>33.81</v>
      </c>
      <c r="AI520" s="381">
        <v>19060.599999999999</v>
      </c>
      <c r="AJ520" s="376" t="s">
        <v>179</v>
      </c>
      <c r="AK520" s="376" t="s">
        <v>180</v>
      </c>
      <c r="AL520" s="376" t="s">
        <v>181</v>
      </c>
      <c r="AM520" s="376" t="s">
        <v>182</v>
      </c>
      <c r="AN520" s="376" t="s">
        <v>68</v>
      </c>
      <c r="AO520" s="379">
        <v>80</v>
      </c>
      <c r="AP520" s="385">
        <v>1</v>
      </c>
      <c r="AQ520" s="385">
        <v>0</v>
      </c>
      <c r="AR520" s="383" t="s">
        <v>183</v>
      </c>
      <c r="AS520" s="387">
        <f t="shared" si="379"/>
        <v>0</v>
      </c>
      <c r="AT520">
        <f t="shared" si="380"/>
        <v>0</v>
      </c>
      <c r="AU520" s="387" t="str">
        <f>IF(AT520=0,"",IF(AND(AT520=1,M520="F",SUMIF(C2:C1334,C520,AS2:AS1334)&lt;=1),SUMIF(C2:C1334,C520,AS2:AS1334),IF(AND(AT520=1,M520="F",SUMIF(C2:C1334,C520,AS2:AS1334)&gt;1),1,"")))</f>
        <v/>
      </c>
      <c r="AV520" s="387" t="str">
        <f>IF(AT520=0,"",IF(AND(AT520=3,M520="F",SUMIF(C2:C1334,C520,AS2:AS1334)&lt;=1),SUMIF(C2:C1334,C520,AS2:AS1334),IF(AND(AT520=3,M520="F",SUMIF(C2:C1334,C520,AS2:AS1334)&gt;1),1,"")))</f>
        <v/>
      </c>
      <c r="AW520" s="387">
        <f>SUMIF(C2:C1334,C520,O2:O1334)</f>
        <v>2</v>
      </c>
      <c r="AX520" s="387">
        <f>IF(AND(M520="F",AS520&lt;&gt;0),SUMIF(C2:C1334,C520,W2:W1334),0)</f>
        <v>0</v>
      </c>
      <c r="AY520" s="387" t="str">
        <f t="shared" si="381"/>
        <v/>
      </c>
      <c r="AZ520" s="387" t="str">
        <f t="shared" si="382"/>
        <v/>
      </c>
      <c r="BA520" s="387">
        <f t="shared" si="383"/>
        <v>0</v>
      </c>
      <c r="BB520" s="387">
        <f t="shared" si="352"/>
        <v>0</v>
      </c>
      <c r="BC520" s="387">
        <f t="shared" si="353"/>
        <v>0</v>
      </c>
      <c r="BD520" s="387">
        <f t="shared" si="354"/>
        <v>0</v>
      </c>
      <c r="BE520" s="387">
        <f t="shared" si="355"/>
        <v>0</v>
      </c>
      <c r="BF520" s="387">
        <f t="shared" si="356"/>
        <v>0</v>
      </c>
      <c r="BG520" s="387">
        <f t="shared" si="357"/>
        <v>0</v>
      </c>
      <c r="BH520" s="387">
        <f t="shared" si="358"/>
        <v>0</v>
      </c>
      <c r="BI520" s="387">
        <f t="shared" si="359"/>
        <v>0</v>
      </c>
      <c r="BJ520" s="387">
        <f t="shared" si="360"/>
        <v>0</v>
      </c>
      <c r="BK520" s="387">
        <f t="shared" si="361"/>
        <v>0</v>
      </c>
      <c r="BL520" s="387">
        <f t="shared" si="384"/>
        <v>0</v>
      </c>
      <c r="BM520" s="387">
        <f t="shared" si="385"/>
        <v>0</v>
      </c>
      <c r="BN520" s="387">
        <f t="shared" si="362"/>
        <v>0</v>
      </c>
      <c r="BO520" s="387">
        <f t="shared" si="363"/>
        <v>0</v>
      </c>
      <c r="BP520" s="387">
        <f t="shared" si="364"/>
        <v>0</v>
      </c>
      <c r="BQ520" s="387">
        <f t="shared" si="365"/>
        <v>0</v>
      </c>
      <c r="BR520" s="387">
        <f t="shared" si="366"/>
        <v>0</v>
      </c>
      <c r="BS520" s="387">
        <f t="shared" si="367"/>
        <v>0</v>
      </c>
      <c r="BT520" s="387">
        <f t="shared" si="368"/>
        <v>0</v>
      </c>
      <c r="BU520" s="387">
        <f t="shared" si="369"/>
        <v>0</v>
      </c>
      <c r="BV520" s="387">
        <f t="shared" si="370"/>
        <v>0</v>
      </c>
      <c r="BW520" s="387">
        <f t="shared" si="371"/>
        <v>0</v>
      </c>
      <c r="BX520" s="387">
        <f t="shared" si="386"/>
        <v>0</v>
      </c>
      <c r="BY520" s="387">
        <f t="shared" si="387"/>
        <v>0</v>
      </c>
      <c r="BZ520" s="387">
        <f t="shared" si="388"/>
        <v>0</v>
      </c>
      <c r="CA520" s="387">
        <f t="shared" si="389"/>
        <v>0</v>
      </c>
      <c r="CB520" s="387">
        <f t="shared" si="390"/>
        <v>0</v>
      </c>
      <c r="CC520" s="387">
        <f t="shared" si="372"/>
        <v>0</v>
      </c>
      <c r="CD520" s="387">
        <f t="shared" si="373"/>
        <v>0</v>
      </c>
      <c r="CE520" s="387">
        <f t="shared" si="374"/>
        <v>0</v>
      </c>
      <c r="CF520" s="387">
        <f t="shared" si="375"/>
        <v>0</v>
      </c>
      <c r="CG520" s="387">
        <f t="shared" si="376"/>
        <v>0</v>
      </c>
      <c r="CH520" s="387">
        <f t="shared" si="377"/>
        <v>0</v>
      </c>
      <c r="CI520" s="387">
        <f t="shared" si="378"/>
        <v>0</v>
      </c>
      <c r="CJ520" s="387">
        <f t="shared" si="391"/>
        <v>0</v>
      </c>
      <c r="CK520" s="387" t="str">
        <f t="shared" si="392"/>
        <v/>
      </c>
      <c r="CL520" s="387" t="str">
        <f t="shared" si="393"/>
        <v/>
      </c>
      <c r="CM520" s="387" t="str">
        <f t="shared" si="394"/>
        <v/>
      </c>
      <c r="CN520" s="387" t="str">
        <f t="shared" si="395"/>
        <v>0348-31</v>
      </c>
    </row>
    <row r="521" spans="1:92" ht="15.75" thickBot="1" x14ac:dyDescent="0.3">
      <c r="A521" s="376" t="s">
        <v>161</v>
      </c>
      <c r="B521" s="376" t="s">
        <v>162</v>
      </c>
      <c r="C521" s="376" t="s">
        <v>1663</v>
      </c>
      <c r="D521" s="376" t="s">
        <v>792</v>
      </c>
      <c r="E521" s="376" t="s">
        <v>224</v>
      </c>
      <c r="F521" s="382" t="s">
        <v>225</v>
      </c>
      <c r="G521" s="376" t="s">
        <v>781</v>
      </c>
      <c r="H521" s="378"/>
      <c r="I521" s="378"/>
      <c r="J521" s="376" t="s">
        <v>239</v>
      </c>
      <c r="K521" s="376" t="s">
        <v>793</v>
      </c>
      <c r="L521" s="376" t="s">
        <v>170</v>
      </c>
      <c r="M521" s="376" t="s">
        <v>171</v>
      </c>
      <c r="N521" s="376" t="s">
        <v>172</v>
      </c>
      <c r="O521" s="379">
        <v>1</v>
      </c>
      <c r="P521" s="385">
        <v>0.65</v>
      </c>
      <c r="Q521" s="385">
        <v>0.65</v>
      </c>
      <c r="R521" s="380">
        <v>80</v>
      </c>
      <c r="S521" s="385">
        <v>0.65</v>
      </c>
      <c r="T521" s="380">
        <v>40544.03</v>
      </c>
      <c r="U521" s="380">
        <v>0</v>
      </c>
      <c r="V521" s="380">
        <v>17988.669999999998</v>
      </c>
      <c r="W521" s="380">
        <v>31650.32</v>
      </c>
      <c r="X521" s="380">
        <v>14416.86</v>
      </c>
      <c r="Y521" s="380">
        <v>31650.32</v>
      </c>
      <c r="Z521" s="380">
        <v>14283.93</v>
      </c>
      <c r="AA521" s="376" t="s">
        <v>1664</v>
      </c>
      <c r="AB521" s="376" t="s">
        <v>1665</v>
      </c>
      <c r="AC521" s="376" t="s">
        <v>587</v>
      </c>
      <c r="AD521" s="376" t="s">
        <v>324</v>
      </c>
      <c r="AE521" s="376" t="s">
        <v>793</v>
      </c>
      <c r="AF521" s="376" t="s">
        <v>177</v>
      </c>
      <c r="AG521" s="376" t="s">
        <v>178</v>
      </c>
      <c r="AH521" s="381">
        <v>23.41</v>
      </c>
      <c r="AI521" s="379">
        <v>25167</v>
      </c>
      <c r="AJ521" s="376" t="s">
        <v>179</v>
      </c>
      <c r="AK521" s="376" t="s">
        <v>180</v>
      </c>
      <c r="AL521" s="376" t="s">
        <v>181</v>
      </c>
      <c r="AM521" s="376" t="s">
        <v>182</v>
      </c>
      <c r="AN521" s="376" t="s">
        <v>68</v>
      </c>
      <c r="AO521" s="379">
        <v>80</v>
      </c>
      <c r="AP521" s="385">
        <v>1</v>
      </c>
      <c r="AQ521" s="385">
        <v>0.65</v>
      </c>
      <c r="AR521" s="383" t="s">
        <v>183</v>
      </c>
      <c r="AS521" s="387">
        <f t="shared" si="379"/>
        <v>0.65</v>
      </c>
      <c r="AT521">
        <f t="shared" si="380"/>
        <v>1</v>
      </c>
      <c r="AU521" s="387">
        <f>IF(AT521=0,"",IF(AND(AT521=1,M521="F",SUMIF(C2:C1334,C521,AS2:AS1334)&lt;=1),SUMIF(C2:C1334,C521,AS2:AS1334),IF(AND(AT521=1,M521="F",SUMIF(C2:C1334,C521,AS2:AS1334)&gt;1),1,"")))</f>
        <v>1</v>
      </c>
      <c r="AV521" s="387" t="str">
        <f>IF(AT521=0,"",IF(AND(AT521=3,M521="F",SUMIF(C2:C1334,C521,AS2:AS1334)&lt;=1),SUMIF(C2:C1334,C521,AS2:AS1334),IF(AND(AT521=3,M521="F",SUMIF(C2:C1334,C521,AS2:AS1334)&gt;1),1,"")))</f>
        <v/>
      </c>
      <c r="AW521" s="387">
        <f>SUMIF(C2:C1334,C521,O2:O1334)</f>
        <v>3</v>
      </c>
      <c r="AX521" s="387">
        <f>IF(AND(M521="F",AS521&lt;&gt;0),SUMIF(C2:C1334,C521,W2:W1334),0)</f>
        <v>48692.800000000003</v>
      </c>
      <c r="AY521" s="387">
        <f t="shared" si="381"/>
        <v>31650.32</v>
      </c>
      <c r="AZ521" s="387" t="str">
        <f t="shared" si="382"/>
        <v/>
      </c>
      <c r="BA521" s="387">
        <f t="shared" si="383"/>
        <v>0</v>
      </c>
      <c r="BB521" s="387">
        <f t="shared" si="352"/>
        <v>7572.5</v>
      </c>
      <c r="BC521" s="387">
        <f t="shared" si="353"/>
        <v>0</v>
      </c>
      <c r="BD521" s="387">
        <f t="shared" si="354"/>
        <v>1962.3198399999999</v>
      </c>
      <c r="BE521" s="387">
        <f t="shared" si="355"/>
        <v>458.92964000000001</v>
      </c>
      <c r="BF521" s="387">
        <f t="shared" si="356"/>
        <v>3779.0482080000002</v>
      </c>
      <c r="BG521" s="387">
        <f t="shared" si="357"/>
        <v>228.1988072</v>
      </c>
      <c r="BH521" s="387">
        <f t="shared" si="358"/>
        <v>155.086568</v>
      </c>
      <c r="BI521" s="387">
        <f t="shared" si="359"/>
        <v>175.18452120000001</v>
      </c>
      <c r="BJ521" s="387">
        <f t="shared" si="360"/>
        <v>85.455864000000005</v>
      </c>
      <c r="BK521" s="387">
        <f t="shared" si="361"/>
        <v>0</v>
      </c>
      <c r="BL521" s="387">
        <f t="shared" si="384"/>
        <v>6844.2234484000001</v>
      </c>
      <c r="BM521" s="387">
        <f t="shared" si="385"/>
        <v>0</v>
      </c>
      <c r="BN521" s="387">
        <f t="shared" si="362"/>
        <v>7572.5</v>
      </c>
      <c r="BO521" s="387">
        <f t="shared" si="363"/>
        <v>0</v>
      </c>
      <c r="BP521" s="387">
        <f t="shared" si="364"/>
        <v>1962.3198399999999</v>
      </c>
      <c r="BQ521" s="387">
        <f t="shared" si="365"/>
        <v>458.92964000000001</v>
      </c>
      <c r="BR521" s="387">
        <f t="shared" si="366"/>
        <v>3779.0482080000002</v>
      </c>
      <c r="BS521" s="387">
        <f t="shared" si="367"/>
        <v>228.1988072</v>
      </c>
      <c r="BT521" s="387">
        <f t="shared" si="368"/>
        <v>0</v>
      </c>
      <c r="BU521" s="387">
        <f t="shared" si="369"/>
        <v>175.18452120000001</v>
      </c>
      <c r="BV521" s="387">
        <f t="shared" si="370"/>
        <v>107.611088</v>
      </c>
      <c r="BW521" s="387">
        <f t="shared" si="371"/>
        <v>0</v>
      </c>
      <c r="BX521" s="387">
        <f t="shared" si="386"/>
        <v>6711.2921044000004</v>
      </c>
      <c r="BY521" s="387">
        <f t="shared" si="387"/>
        <v>0</v>
      </c>
      <c r="BZ521" s="387">
        <f t="shared" si="388"/>
        <v>0</v>
      </c>
      <c r="CA521" s="387">
        <f t="shared" si="389"/>
        <v>0</v>
      </c>
      <c r="CB521" s="387">
        <f t="shared" si="390"/>
        <v>0</v>
      </c>
      <c r="CC521" s="387">
        <f t="shared" si="372"/>
        <v>0</v>
      </c>
      <c r="CD521" s="387">
        <f t="shared" si="373"/>
        <v>0</v>
      </c>
      <c r="CE521" s="387">
        <f t="shared" si="374"/>
        <v>0</v>
      </c>
      <c r="CF521" s="387">
        <f t="shared" si="375"/>
        <v>-155.086568</v>
      </c>
      <c r="CG521" s="387">
        <f t="shared" si="376"/>
        <v>0</v>
      </c>
      <c r="CH521" s="387">
        <f t="shared" si="377"/>
        <v>22.15522399999999</v>
      </c>
      <c r="CI521" s="387">
        <f t="shared" si="378"/>
        <v>0</v>
      </c>
      <c r="CJ521" s="387">
        <f t="shared" si="391"/>
        <v>-132.93134400000002</v>
      </c>
      <c r="CK521" s="387" t="str">
        <f t="shared" si="392"/>
        <v/>
      </c>
      <c r="CL521" s="387" t="str">
        <f t="shared" si="393"/>
        <v/>
      </c>
      <c r="CM521" s="387" t="str">
        <f t="shared" si="394"/>
        <v/>
      </c>
      <c r="CN521" s="387" t="str">
        <f t="shared" si="395"/>
        <v>0348-31</v>
      </c>
    </row>
    <row r="522" spans="1:92" ht="15.75" thickBot="1" x14ac:dyDescent="0.3">
      <c r="A522" s="376" t="s">
        <v>161</v>
      </c>
      <c r="B522" s="376" t="s">
        <v>162</v>
      </c>
      <c r="C522" s="376" t="s">
        <v>1666</v>
      </c>
      <c r="D522" s="376" t="s">
        <v>974</v>
      </c>
      <c r="E522" s="376" t="s">
        <v>224</v>
      </c>
      <c r="F522" s="382" t="s">
        <v>225</v>
      </c>
      <c r="G522" s="376" t="s">
        <v>781</v>
      </c>
      <c r="H522" s="378"/>
      <c r="I522" s="378"/>
      <c r="J522" s="376" t="s">
        <v>215</v>
      </c>
      <c r="K522" s="376" t="s">
        <v>975</v>
      </c>
      <c r="L522" s="376" t="s">
        <v>296</v>
      </c>
      <c r="M522" s="376" t="s">
        <v>171</v>
      </c>
      <c r="N522" s="376" t="s">
        <v>172</v>
      </c>
      <c r="O522" s="379">
        <v>1</v>
      </c>
      <c r="P522" s="385">
        <v>0</v>
      </c>
      <c r="Q522" s="385">
        <v>0</v>
      </c>
      <c r="R522" s="380">
        <v>80</v>
      </c>
      <c r="S522" s="385">
        <v>0</v>
      </c>
      <c r="T522" s="380">
        <v>777.2</v>
      </c>
      <c r="U522" s="380">
        <v>0</v>
      </c>
      <c r="V522" s="380">
        <v>394.39</v>
      </c>
      <c r="W522" s="380">
        <v>0</v>
      </c>
      <c r="X522" s="380">
        <v>0</v>
      </c>
      <c r="Y522" s="380">
        <v>0</v>
      </c>
      <c r="Z522" s="380">
        <v>0</v>
      </c>
      <c r="AA522" s="376" t="s">
        <v>1667</v>
      </c>
      <c r="AB522" s="376" t="s">
        <v>1668</v>
      </c>
      <c r="AC522" s="376" t="s">
        <v>888</v>
      </c>
      <c r="AD522" s="376" t="s">
        <v>279</v>
      </c>
      <c r="AE522" s="376" t="s">
        <v>975</v>
      </c>
      <c r="AF522" s="376" t="s">
        <v>301</v>
      </c>
      <c r="AG522" s="376" t="s">
        <v>178</v>
      </c>
      <c r="AH522" s="381">
        <v>20.81</v>
      </c>
      <c r="AI522" s="379">
        <v>2959</v>
      </c>
      <c r="AJ522" s="376" t="s">
        <v>179</v>
      </c>
      <c r="AK522" s="376" t="s">
        <v>180</v>
      </c>
      <c r="AL522" s="376" t="s">
        <v>181</v>
      </c>
      <c r="AM522" s="376" t="s">
        <v>182</v>
      </c>
      <c r="AN522" s="376" t="s">
        <v>68</v>
      </c>
      <c r="AO522" s="379">
        <v>80</v>
      </c>
      <c r="AP522" s="385">
        <v>1</v>
      </c>
      <c r="AQ522" s="385">
        <v>0</v>
      </c>
      <c r="AR522" s="383" t="s">
        <v>183</v>
      </c>
      <c r="AS522" s="387">
        <f t="shared" si="379"/>
        <v>0</v>
      </c>
      <c r="AT522">
        <f t="shared" si="380"/>
        <v>0</v>
      </c>
      <c r="AU522" s="387" t="str">
        <f>IF(AT522=0,"",IF(AND(AT522=1,M522="F",SUMIF(C2:C1334,C522,AS2:AS1334)&lt;=1),SUMIF(C2:C1334,C522,AS2:AS1334),IF(AND(AT522=1,M522="F",SUMIF(C2:C1334,C522,AS2:AS1334)&gt;1),1,"")))</f>
        <v/>
      </c>
      <c r="AV522" s="387" t="str">
        <f>IF(AT522=0,"",IF(AND(AT522=3,M522="F",SUMIF(C2:C1334,C522,AS2:AS1334)&lt;=1),SUMIF(C2:C1334,C522,AS2:AS1334),IF(AND(AT522=3,M522="F",SUMIF(C2:C1334,C522,AS2:AS1334)&gt;1),1,"")))</f>
        <v/>
      </c>
      <c r="AW522" s="387">
        <f>SUMIF(C2:C1334,C522,O2:O1334)</f>
        <v>2</v>
      </c>
      <c r="AX522" s="387">
        <f>IF(AND(M522="F",AS522&lt;&gt;0),SUMIF(C2:C1334,C522,W2:W1334),0)</f>
        <v>0</v>
      </c>
      <c r="AY522" s="387" t="str">
        <f t="shared" si="381"/>
        <v/>
      </c>
      <c r="AZ522" s="387" t="str">
        <f t="shared" si="382"/>
        <v/>
      </c>
      <c r="BA522" s="387">
        <f t="shared" si="383"/>
        <v>0</v>
      </c>
      <c r="BB522" s="387">
        <f t="shared" si="352"/>
        <v>0</v>
      </c>
      <c r="BC522" s="387">
        <f t="shared" si="353"/>
        <v>0</v>
      </c>
      <c r="BD522" s="387">
        <f t="shared" si="354"/>
        <v>0</v>
      </c>
      <c r="BE522" s="387">
        <f t="shared" si="355"/>
        <v>0</v>
      </c>
      <c r="BF522" s="387">
        <f t="shared" si="356"/>
        <v>0</v>
      </c>
      <c r="BG522" s="387">
        <f t="shared" si="357"/>
        <v>0</v>
      </c>
      <c r="BH522" s="387">
        <f t="shared" si="358"/>
        <v>0</v>
      </c>
      <c r="BI522" s="387">
        <f t="shared" si="359"/>
        <v>0</v>
      </c>
      <c r="BJ522" s="387">
        <f t="shared" si="360"/>
        <v>0</v>
      </c>
      <c r="BK522" s="387">
        <f t="shared" si="361"/>
        <v>0</v>
      </c>
      <c r="BL522" s="387">
        <f t="shared" si="384"/>
        <v>0</v>
      </c>
      <c r="BM522" s="387">
        <f t="shared" si="385"/>
        <v>0</v>
      </c>
      <c r="BN522" s="387">
        <f t="shared" si="362"/>
        <v>0</v>
      </c>
      <c r="BO522" s="387">
        <f t="shared" si="363"/>
        <v>0</v>
      </c>
      <c r="BP522" s="387">
        <f t="shared" si="364"/>
        <v>0</v>
      </c>
      <c r="BQ522" s="387">
        <f t="shared" si="365"/>
        <v>0</v>
      </c>
      <c r="BR522" s="387">
        <f t="shared" si="366"/>
        <v>0</v>
      </c>
      <c r="BS522" s="387">
        <f t="shared" si="367"/>
        <v>0</v>
      </c>
      <c r="BT522" s="387">
        <f t="shared" si="368"/>
        <v>0</v>
      </c>
      <c r="BU522" s="387">
        <f t="shared" si="369"/>
        <v>0</v>
      </c>
      <c r="BV522" s="387">
        <f t="shared" si="370"/>
        <v>0</v>
      </c>
      <c r="BW522" s="387">
        <f t="shared" si="371"/>
        <v>0</v>
      </c>
      <c r="BX522" s="387">
        <f t="shared" si="386"/>
        <v>0</v>
      </c>
      <c r="BY522" s="387">
        <f t="shared" si="387"/>
        <v>0</v>
      </c>
      <c r="BZ522" s="387">
        <f t="shared" si="388"/>
        <v>0</v>
      </c>
      <c r="CA522" s="387">
        <f t="shared" si="389"/>
        <v>0</v>
      </c>
      <c r="CB522" s="387">
        <f t="shared" si="390"/>
        <v>0</v>
      </c>
      <c r="CC522" s="387">
        <f t="shared" si="372"/>
        <v>0</v>
      </c>
      <c r="CD522" s="387">
        <f t="shared" si="373"/>
        <v>0</v>
      </c>
      <c r="CE522" s="387">
        <f t="shared" si="374"/>
        <v>0</v>
      </c>
      <c r="CF522" s="387">
        <f t="shared" si="375"/>
        <v>0</v>
      </c>
      <c r="CG522" s="387">
        <f t="shared" si="376"/>
        <v>0</v>
      </c>
      <c r="CH522" s="387">
        <f t="shared" si="377"/>
        <v>0</v>
      </c>
      <c r="CI522" s="387">
        <f t="shared" si="378"/>
        <v>0</v>
      </c>
      <c r="CJ522" s="387">
        <f t="shared" si="391"/>
        <v>0</v>
      </c>
      <c r="CK522" s="387" t="str">
        <f t="shared" si="392"/>
        <v/>
      </c>
      <c r="CL522" s="387" t="str">
        <f t="shared" si="393"/>
        <v/>
      </c>
      <c r="CM522" s="387" t="str">
        <f t="shared" si="394"/>
        <v/>
      </c>
      <c r="CN522" s="387" t="str">
        <f t="shared" si="395"/>
        <v>0348-31</v>
      </c>
    </row>
    <row r="523" spans="1:92" ht="15.75" thickBot="1" x14ac:dyDescent="0.3">
      <c r="A523" s="376" t="s">
        <v>161</v>
      </c>
      <c r="B523" s="376" t="s">
        <v>162</v>
      </c>
      <c r="C523" s="376" t="s">
        <v>1669</v>
      </c>
      <c r="D523" s="376" t="s">
        <v>868</v>
      </c>
      <c r="E523" s="376" t="s">
        <v>224</v>
      </c>
      <c r="F523" s="382" t="s">
        <v>225</v>
      </c>
      <c r="G523" s="376" t="s">
        <v>781</v>
      </c>
      <c r="H523" s="378"/>
      <c r="I523" s="378"/>
      <c r="J523" s="376" t="s">
        <v>215</v>
      </c>
      <c r="K523" s="376" t="s">
        <v>869</v>
      </c>
      <c r="L523" s="376" t="s">
        <v>296</v>
      </c>
      <c r="M523" s="376" t="s">
        <v>171</v>
      </c>
      <c r="N523" s="376" t="s">
        <v>172</v>
      </c>
      <c r="O523" s="379">
        <v>1</v>
      </c>
      <c r="P523" s="385">
        <v>0</v>
      </c>
      <c r="Q523" s="385">
        <v>0</v>
      </c>
      <c r="R523" s="380">
        <v>80</v>
      </c>
      <c r="S523" s="385">
        <v>0</v>
      </c>
      <c r="T523" s="380">
        <v>49674.35</v>
      </c>
      <c r="U523" s="380">
        <v>5911.01</v>
      </c>
      <c r="V523" s="380">
        <v>23093.919999999998</v>
      </c>
      <c r="W523" s="380">
        <v>0</v>
      </c>
      <c r="X523" s="380">
        <v>0</v>
      </c>
      <c r="Y523" s="380">
        <v>0</v>
      </c>
      <c r="Z523" s="380">
        <v>0</v>
      </c>
      <c r="AA523" s="376" t="s">
        <v>1670</v>
      </c>
      <c r="AB523" s="376" t="s">
        <v>1671</v>
      </c>
      <c r="AC523" s="376" t="s">
        <v>716</v>
      </c>
      <c r="AD523" s="376" t="s">
        <v>292</v>
      </c>
      <c r="AE523" s="376" t="s">
        <v>869</v>
      </c>
      <c r="AF523" s="376" t="s">
        <v>301</v>
      </c>
      <c r="AG523" s="376" t="s">
        <v>178</v>
      </c>
      <c r="AH523" s="381">
        <v>24.7</v>
      </c>
      <c r="AI523" s="381">
        <v>20156.3</v>
      </c>
      <c r="AJ523" s="376" t="s">
        <v>179</v>
      </c>
      <c r="AK523" s="376" t="s">
        <v>180</v>
      </c>
      <c r="AL523" s="376" t="s">
        <v>181</v>
      </c>
      <c r="AM523" s="376" t="s">
        <v>182</v>
      </c>
      <c r="AN523" s="376" t="s">
        <v>68</v>
      </c>
      <c r="AO523" s="379">
        <v>80</v>
      </c>
      <c r="AP523" s="385">
        <v>1</v>
      </c>
      <c r="AQ523" s="385">
        <v>0</v>
      </c>
      <c r="AR523" s="383" t="s">
        <v>183</v>
      </c>
      <c r="AS523" s="387">
        <f t="shared" si="379"/>
        <v>0</v>
      </c>
      <c r="AT523">
        <f t="shared" si="380"/>
        <v>0</v>
      </c>
      <c r="AU523" s="387" t="str">
        <f>IF(AT523=0,"",IF(AND(AT523=1,M523="F",SUMIF(C2:C1334,C523,AS2:AS1334)&lt;=1),SUMIF(C2:C1334,C523,AS2:AS1334),IF(AND(AT523=1,M523="F",SUMIF(C2:C1334,C523,AS2:AS1334)&gt;1),1,"")))</f>
        <v/>
      </c>
      <c r="AV523" s="387" t="str">
        <f>IF(AT523=0,"",IF(AND(AT523=3,M523="F",SUMIF(C2:C1334,C523,AS2:AS1334)&lt;=1),SUMIF(C2:C1334,C523,AS2:AS1334),IF(AND(AT523=3,M523="F",SUMIF(C2:C1334,C523,AS2:AS1334)&gt;1),1,"")))</f>
        <v/>
      </c>
      <c r="AW523" s="387">
        <f>SUMIF(C2:C1334,C523,O2:O1334)</f>
        <v>2</v>
      </c>
      <c r="AX523" s="387">
        <f>IF(AND(M523="F",AS523&lt;&gt;0),SUMIF(C2:C1334,C523,W2:W1334),0)</f>
        <v>0</v>
      </c>
      <c r="AY523" s="387" t="str">
        <f t="shared" si="381"/>
        <v/>
      </c>
      <c r="AZ523" s="387" t="str">
        <f t="shared" si="382"/>
        <v/>
      </c>
      <c r="BA523" s="387">
        <f t="shared" si="383"/>
        <v>0</v>
      </c>
      <c r="BB523" s="387">
        <f t="shared" si="352"/>
        <v>0</v>
      </c>
      <c r="BC523" s="387">
        <f t="shared" si="353"/>
        <v>0</v>
      </c>
      <c r="BD523" s="387">
        <f t="shared" si="354"/>
        <v>0</v>
      </c>
      <c r="BE523" s="387">
        <f t="shared" si="355"/>
        <v>0</v>
      </c>
      <c r="BF523" s="387">
        <f t="shared" si="356"/>
        <v>0</v>
      </c>
      <c r="BG523" s="387">
        <f t="shared" si="357"/>
        <v>0</v>
      </c>
      <c r="BH523" s="387">
        <f t="shared" si="358"/>
        <v>0</v>
      </c>
      <c r="BI523" s="387">
        <f t="shared" si="359"/>
        <v>0</v>
      </c>
      <c r="BJ523" s="387">
        <f t="shared" si="360"/>
        <v>0</v>
      </c>
      <c r="BK523" s="387">
        <f t="shared" si="361"/>
        <v>0</v>
      </c>
      <c r="BL523" s="387">
        <f t="shared" si="384"/>
        <v>0</v>
      </c>
      <c r="BM523" s="387">
        <f t="shared" si="385"/>
        <v>0</v>
      </c>
      <c r="BN523" s="387">
        <f t="shared" si="362"/>
        <v>0</v>
      </c>
      <c r="BO523" s="387">
        <f t="shared" si="363"/>
        <v>0</v>
      </c>
      <c r="BP523" s="387">
        <f t="shared" si="364"/>
        <v>0</v>
      </c>
      <c r="BQ523" s="387">
        <f t="shared" si="365"/>
        <v>0</v>
      </c>
      <c r="BR523" s="387">
        <f t="shared" si="366"/>
        <v>0</v>
      </c>
      <c r="BS523" s="387">
        <f t="shared" si="367"/>
        <v>0</v>
      </c>
      <c r="BT523" s="387">
        <f t="shared" si="368"/>
        <v>0</v>
      </c>
      <c r="BU523" s="387">
        <f t="shared" si="369"/>
        <v>0</v>
      </c>
      <c r="BV523" s="387">
        <f t="shared" si="370"/>
        <v>0</v>
      </c>
      <c r="BW523" s="387">
        <f t="shared" si="371"/>
        <v>0</v>
      </c>
      <c r="BX523" s="387">
        <f t="shared" si="386"/>
        <v>0</v>
      </c>
      <c r="BY523" s="387">
        <f t="shared" si="387"/>
        <v>0</v>
      </c>
      <c r="BZ523" s="387">
        <f t="shared" si="388"/>
        <v>0</v>
      </c>
      <c r="CA523" s="387">
        <f t="shared" si="389"/>
        <v>0</v>
      </c>
      <c r="CB523" s="387">
        <f t="shared" si="390"/>
        <v>0</v>
      </c>
      <c r="CC523" s="387">
        <f t="shared" si="372"/>
        <v>0</v>
      </c>
      <c r="CD523" s="387">
        <f t="shared" si="373"/>
        <v>0</v>
      </c>
      <c r="CE523" s="387">
        <f t="shared" si="374"/>
        <v>0</v>
      </c>
      <c r="CF523" s="387">
        <f t="shared" si="375"/>
        <v>0</v>
      </c>
      <c r="CG523" s="387">
        <f t="shared" si="376"/>
        <v>0</v>
      </c>
      <c r="CH523" s="387">
        <f t="shared" si="377"/>
        <v>0</v>
      </c>
      <c r="CI523" s="387">
        <f t="shared" si="378"/>
        <v>0</v>
      </c>
      <c r="CJ523" s="387">
        <f t="shared" si="391"/>
        <v>0</v>
      </c>
      <c r="CK523" s="387" t="str">
        <f t="shared" si="392"/>
        <v/>
      </c>
      <c r="CL523" s="387" t="str">
        <f t="shared" si="393"/>
        <v/>
      </c>
      <c r="CM523" s="387" t="str">
        <f t="shared" si="394"/>
        <v/>
      </c>
      <c r="CN523" s="387" t="str">
        <f t="shared" si="395"/>
        <v>0348-31</v>
      </c>
    </row>
    <row r="524" spans="1:92" ht="15.75" thickBot="1" x14ac:dyDescent="0.3">
      <c r="A524" s="376" t="s">
        <v>161</v>
      </c>
      <c r="B524" s="376" t="s">
        <v>162</v>
      </c>
      <c r="C524" s="376" t="s">
        <v>459</v>
      </c>
      <c r="D524" s="376" t="s">
        <v>368</v>
      </c>
      <c r="E524" s="376" t="s">
        <v>224</v>
      </c>
      <c r="F524" s="382" t="s">
        <v>225</v>
      </c>
      <c r="G524" s="376" t="s">
        <v>781</v>
      </c>
      <c r="H524" s="378"/>
      <c r="I524" s="378"/>
      <c r="J524" s="376" t="s">
        <v>239</v>
      </c>
      <c r="K524" s="376" t="s">
        <v>424</v>
      </c>
      <c r="L524" s="376" t="s">
        <v>210</v>
      </c>
      <c r="M524" s="376" t="s">
        <v>171</v>
      </c>
      <c r="N524" s="376" t="s">
        <v>172</v>
      </c>
      <c r="O524" s="379">
        <v>1</v>
      </c>
      <c r="P524" s="385">
        <v>0</v>
      </c>
      <c r="Q524" s="385">
        <v>0</v>
      </c>
      <c r="R524" s="380">
        <v>80</v>
      </c>
      <c r="S524" s="385">
        <v>0</v>
      </c>
      <c r="T524" s="380">
        <v>8050.84</v>
      </c>
      <c r="U524" s="380">
        <v>0</v>
      </c>
      <c r="V524" s="380">
        <v>2753.9</v>
      </c>
      <c r="W524" s="380">
        <v>0</v>
      </c>
      <c r="X524" s="380">
        <v>0</v>
      </c>
      <c r="Y524" s="380">
        <v>0</v>
      </c>
      <c r="Z524" s="380">
        <v>0</v>
      </c>
      <c r="AA524" s="376" t="s">
        <v>460</v>
      </c>
      <c r="AB524" s="376" t="s">
        <v>461</v>
      </c>
      <c r="AC524" s="376" t="s">
        <v>462</v>
      </c>
      <c r="AD524" s="376" t="s">
        <v>463</v>
      </c>
      <c r="AE524" s="376" t="s">
        <v>424</v>
      </c>
      <c r="AF524" s="376" t="s">
        <v>245</v>
      </c>
      <c r="AG524" s="376" t="s">
        <v>178</v>
      </c>
      <c r="AH524" s="381">
        <v>43.92</v>
      </c>
      <c r="AI524" s="381">
        <v>48998.2</v>
      </c>
      <c r="AJ524" s="376" t="s">
        <v>179</v>
      </c>
      <c r="AK524" s="376" t="s">
        <v>180</v>
      </c>
      <c r="AL524" s="376" t="s">
        <v>181</v>
      </c>
      <c r="AM524" s="376" t="s">
        <v>182</v>
      </c>
      <c r="AN524" s="376" t="s">
        <v>68</v>
      </c>
      <c r="AO524" s="379">
        <v>80</v>
      </c>
      <c r="AP524" s="385">
        <v>1</v>
      </c>
      <c r="AQ524" s="385">
        <v>0</v>
      </c>
      <c r="AR524" s="383" t="s">
        <v>183</v>
      </c>
      <c r="AS524" s="387">
        <f t="shared" si="379"/>
        <v>0</v>
      </c>
      <c r="AT524">
        <f t="shared" si="380"/>
        <v>0</v>
      </c>
      <c r="AU524" s="387" t="str">
        <f>IF(AT524=0,"",IF(AND(AT524=1,M524="F",SUMIF(C2:C1334,C524,AS2:AS1334)&lt;=1),SUMIF(C2:C1334,C524,AS2:AS1334),IF(AND(AT524=1,M524="F",SUMIF(C2:C1334,C524,AS2:AS1334)&gt;1),1,"")))</f>
        <v/>
      </c>
      <c r="AV524" s="387" t="str">
        <f>IF(AT524=0,"",IF(AND(AT524=3,M524="F",SUMIF(C2:C1334,C524,AS2:AS1334)&lt;=1),SUMIF(C2:C1334,C524,AS2:AS1334),IF(AND(AT524=3,M524="F",SUMIF(C2:C1334,C524,AS2:AS1334)&gt;1),1,"")))</f>
        <v/>
      </c>
      <c r="AW524" s="387">
        <f>SUMIF(C2:C1334,C524,O2:O1334)</f>
        <v>3</v>
      </c>
      <c r="AX524" s="387">
        <f>IF(AND(M524="F",AS524&lt;&gt;0),SUMIF(C2:C1334,C524,W2:W1334),0)</f>
        <v>0</v>
      </c>
      <c r="AY524" s="387" t="str">
        <f t="shared" si="381"/>
        <v/>
      </c>
      <c r="AZ524" s="387" t="str">
        <f t="shared" si="382"/>
        <v/>
      </c>
      <c r="BA524" s="387">
        <f t="shared" si="383"/>
        <v>0</v>
      </c>
      <c r="BB524" s="387">
        <f t="shared" si="352"/>
        <v>0</v>
      </c>
      <c r="BC524" s="387">
        <f t="shared" si="353"/>
        <v>0</v>
      </c>
      <c r="BD524" s="387">
        <f t="shared" si="354"/>
        <v>0</v>
      </c>
      <c r="BE524" s="387">
        <f t="shared" si="355"/>
        <v>0</v>
      </c>
      <c r="BF524" s="387">
        <f t="shared" si="356"/>
        <v>0</v>
      </c>
      <c r="BG524" s="387">
        <f t="shared" si="357"/>
        <v>0</v>
      </c>
      <c r="BH524" s="387">
        <f t="shared" si="358"/>
        <v>0</v>
      </c>
      <c r="BI524" s="387">
        <f t="shared" si="359"/>
        <v>0</v>
      </c>
      <c r="BJ524" s="387">
        <f t="shared" si="360"/>
        <v>0</v>
      </c>
      <c r="BK524" s="387">
        <f t="shared" si="361"/>
        <v>0</v>
      </c>
      <c r="BL524" s="387">
        <f t="shared" si="384"/>
        <v>0</v>
      </c>
      <c r="BM524" s="387">
        <f t="shared" si="385"/>
        <v>0</v>
      </c>
      <c r="BN524" s="387">
        <f t="shared" si="362"/>
        <v>0</v>
      </c>
      <c r="BO524" s="387">
        <f t="shared" si="363"/>
        <v>0</v>
      </c>
      <c r="BP524" s="387">
        <f t="shared" si="364"/>
        <v>0</v>
      </c>
      <c r="BQ524" s="387">
        <f t="shared" si="365"/>
        <v>0</v>
      </c>
      <c r="BR524" s="387">
        <f t="shared" si="366"/>
        <v>0</v>
      </c>
      <c r="BS524" s="387">
        <f t="shared" si="367"/>
        <v>0</v>
      </c>
      <c r="BT524" s="387">
        <f t="shared" si="368"/>
        <v>0</v>
      </c>
      <c r="BU524" s="387">
        <f t="shared" si="369"/>
        <v>0</v>
      </c>
      <c r="BV524" s="387">
        <f t="shared" si="370"/>
        <v>0</v>
      </c>
      <c r="BW524" s="387">
        <f t="shared" si="371"/>
        <v>0</v>
      </c>
      <c r="BX524" s="387">
        <f t="shared" si="386"/>
        <v>0</v>
      </c>
      <c r="BY524" s="387">
        <f t="shared" si="387"/>
        <v>0</v>
      </c>
      <c r="BZ524" s="387">
        <f t="shared" si="388"/>
        <v>0</v>
      </c>
      <c r="CA524" s="387">
        <f t="shared" si="389"/>
        <v>0</v>
      </c>
      <c r="CB524" s="387">
        <f t="shared" si="390"/>
        <v>0</v>
      </c>
      <c r="CC524" s="387">
        <f t="shared" si="372"/>
        <v>0</v>
      </c>
      <c r="CD524" s="387">
        <f t="shared" si="373"/>
        <v>0</v>
      </c>
      <c r="CE524" s="387">
        <f t="shared" si="374"/>
        <v>0</v>
      </c>
      <c r="CF524" s="387">
        <f t="shared" si="375"/>
        <v>0</v>
      </c>
      <c r="CG524" s="387">
        <f t="shared" si="376"/>
        <v>0</v>
      </c>
      <c r="CH524" s="387">
        <f t="shared" si="377"/>
        <v>0</v>
      </c>
      <c r="CI524" s="387">
        <f t="shared" si="378"/>
        <v>0</v>
      </c>
      <c r="CJ524" s="387">
        <f t="shared" si="391"/>
        <v>0</v>
      </c>
      <c r="CK524" s="387" t="str">
        <f t="shared" si="392"/>
        <v/>
      </c>
      <c r="CL524" s="387" t="str">
        <f t="shared" si="393"/>
        <v/>
      </c>
      <c r="CM524" s="387" t="str">
        <f t="shared" si="394"/>
        <v/>
      </c>
      <c r="CN524" s="387" t="str">
        <f t="shared" si="395"/>
        <v>0348-31</v>
      </c>
    </row>
    <row r="525" spans="1:92" ht="15.75" thickBot="1" x14ac:dyDescent="0.3">
      <c r="A525" s="376" t="s">
        <v>161</v>
      </c>
      <c r="B525" s="376" t="s">
        <v>162</v>
      </c>
      <c r="C525" s="376" t="s">
        <v>1672</v>
      </c>
      <c r="D525" s="376" t="s">
        <v>375</v>
      </c>
      <c r="E525" s="376" t="s">
        <v>224</v>
      </c>
      <c r="F525" s="382" t="s">
        <v>225</v>
      </c>
      <c r="G525" s="376" t="s">
        <v>781</v>
      </c>
      <c r="H525" s="378"/>
      <c r="I525" s="378"/>
      <c r="J525" s="376" t="s">
        <v>215</v>
      </c>
      <c r="K525" s="376" t="s">
        <v>376</v>
      </c>
      <c r="L525" s="376" t="s">
        <v>178</v>
      </c>
      <c r="M525" s="376" t="s">
        <v>171</v>
      </c>
      <c r="N525" s="376" t="s">
        <v>172</v>
      </c>
      <c r="O525" s="379">
        <v>1</v>
      </c>
      <c r="P525" s="385">
        <v>1</v>
      </c>
      <c r="Q525" s="385">
        <v>1</v>
      </c>
      <c r="R525" s="380">
        <v>80</v>
      </c>
      <c r="S525" s="385">
        <v>1</v>
      </c>
      <c r="T525" s="380">
        <v>30921.61</v>
      </c>
      <c r="U525" s="380">
        <v>0</v>
      </c>
      <c r="V525" s="380">
        <v>16125.26</v>
      </c>
      <c r="W525" s="380">
        <v>38292.800000000003</v>
      </c>
      <c r="X525" s="380">
        <v>19930.8</v>
      </c>
      <c r="Y525" s="380">
        <v>38292.800000000003</v>
      </c>
      <c r="Z525" s="380">
        <v>19769.97</v>
      </c>
      <c r="AA525" s="376" t="s">
        <v>1673</v>
      </c>
      <c r="AB525" s="376" t="s">
        <v>1674</v>
      </c>
      <c r="AC525" s="376" t="s">
        <v>1675</v>
      </c>
      <c r="AD525" s="376" t="s">
        <v>252</v>
      </c>
      <c r="AE525" s="376" t="s">
        <v>376</v>
      </c>
      <c r="AF525" s="376" t="s">
        <v>253</v>
      </c>
      <c r="AG525" s="376" t="s">
        <v>178</v>
      </c>
      <c r="AH525" s="381">
        <v>18.41</v>
      </c>
      <c r="AI525" s="381">
        <v>14760.9</v>
      </c>
      <c r="AJ525" s="376" t="s">
        <v>179</v>
      </c>
      <c r="AK525" s="376" t="s">
        <v>180</v>
      </c>
      <c r="AL525" s="376" t="s">
        <v>181</v>
      </c>
      <c r="AM525" s="376" t="s">
        <v>182</v>
      </c>
      <c r="AN525" s="376" t="s">
        <v>68</v>
      </c>
      <c r="AO525" s="379">
        <v>80</v>
      </c>
      <c r="AP525" s="385">
        <v>1</v>
      </c>
      <c r="AQ525" s="385">
        <v>1</v>
      </c>
      <c r="AR525" s="383" t="s">
        <v>183</v>
      </c>
      <c r="AS525" s="387">
        <f t="shared" si="379"/>
        <v>1</v>
      </c>
      <c r="AT525">
        <f t="shared" si="380"/>
        <v>1</v>
      </c>
      <c r="AU525" s="387">
        <f>IF(AT525=0,"",IF(AND(AT525=1,M525="F",SUMIF(C2:C1334,C525,AS2:AS1334)&lt;=1),SUMIF(C2:C1334,C525,AS2:AS1334),IF(AND(AT525=1,M525="F",SUMIF(C2:C1334,C525,AS2:AS1334)&gt;1),1,"")))</f>
        <v>1</v>
      </c>
      <c r="AV525" s="387" t="str">
        <f>IF(AT525=0,"",IF(AND(AT525=3,M525="F",SUMIF(C2:C1334,C525,AS2:AS1334)&lt;=1),SUMIF(C2:C1334,C525,AS2:AS1334),IF(AND(AT525=3,M525="F",SUMIF(C2:C1334,C525,AS2:AS1334)&gt;1),1,"")))</f>
        <v/>
      </c>
      <c r="AW525" s="387">
        <f>SUMIF(C2:C1334,C525,O2:O1334)</f>
        <v>1</v>
      </c>
      <c r="AX525" s="387">
        <f>IF(AND(M525="F",AS525&lt;&gt;0),SUMIF(C2:C1334,C525,W2:W1334),0)</f>
        <v>38292.800000000003</v>
      </c>
      <c r="AY525" s="387">
        <f t="shared" si="381"/>
        <v>38292.800000000003</v>
      </c>
      <c r="AZ525" s="387" t="str">
        <f t="shared" si="382"/>
        <v/>
      </c>
      <c r="BA525" s="387">
        <f t="shared" si="383"/>
        <v>0</v>
      </c>
      <c r="BB525" s="387">
        <f t="shared" si="352"/>
        <v>11650</v>
      </c>
      <c r="BC525" s="387">
        <f t="shared" si="353"/>
        <v>0</v>
      </c>
      <c r="BD525" s="387">
        <f t="shared" si="354"/>
        <v>2374.1536000000001</v>
      </c>
      <c r="BE525" s="387">
        <f t="shared" si="355"/>
        <v>555.24560000000008</v>
      </c>
      <c r="BF525" s="387">
        <f t="shared" si="356"/>
        <v>4572.1603200000009</v>
      </c>
      <c r="BG525" s="387">
        <f t="shared" si="357"/>
        <v>276.09108800000001</v>
      </c>
      <c r="BH525" s="387">
        <f t="shared" si="358"/>
        <v>187.63472000000002</v>
      </c>
      <c r="BI525" s="387">
        <f t="shared" si="359"/>
        <v>211.95064800000003</v>
      </c>
      <c r="BJ525" s="387">
        <f t="shared" si="360"/>
        <v>103.39056000000001</v>
      </c>
      <c r="BK525" s="387">
        <f t="shared" si="361"/>
        <v>0</v>
      </c>
      <c r="BL525" s="387">
        <f t="shared" si="384"/>
        <v>8280.6265360000016</v>
      </c>
      <c r="BM525" s="387">
        <f t="shared" si="385"/>
        <v>0</v>
      </c>
      <c r="BN525" s="387">
        <f t="shared" si="362"/>
        <v>11650</v>
      </c>
      <c r="BO525" s="387">
        <f t="shared" si="363"/>
        <v>0</v>
      </c>
      <c r="BP525" s="387">
        <f t="shared" si="364"/>
        <v>2374.1536000000001</v>
      </c>
      <c r="BQ525" s="387">
        <f t="shared" si="365"/>
        <v>555.24560000000008</v>
      </c>
      <c r="BR525" s="387">
        <f t="shared" si="366"/>
        <v>4572.1603200000009</v>
      </c>
      <c r="BS525" s="387">
        <f t="shared" si="367"/>
        <v>276.09108800000001</v>
      </c>
      <c r="BT525" s="387">
        <f t="shared" si="368"/>
        <v>0</v>
      </c>
      <c r="BU525" s="387">
        <f t="shared" si="369"/>
        <v>211.95064800000003</v>
      </c>
      <c r="BV525" s="387">
        <f t="shared" si="370"/>
        <v>130.19552000000002</v>
      </c>
      <c r="BW525" s="387">
        <f t="shared" si="371"/>
        <v>0</v>
      </c>
      <c r="BX525" s="387">
        <f t="shared" si="386"/>
        <v>8119.796776000001</v>
      </c>
      <c r="BY525" s="387">
        <f t="shared" si="387"/>
        <v>0</v>
      </c>
      <c r="BZ525" s="387">
        <f t="shared" si="388"/>
        <v>0</v>
      </c>
      <c r="CA525" s="387">
        <f t="shared" si="389"/>
        <v>0</v>
      </c>
      <c r="CB525" s="387">
        <f t="shared" si="390"/>
        <v>0</v>
      </c>
      <c r="CC525" s="387">
        <f t="shared" si="372"/>
        <v>0</v>
      </c>
      <c r="CD525" s="387">
        <f t="shared" si="373"/>
        <v>0</v>
      </c>
      <c r="CE525" s="387">
        <f t="shared" si="374"/>
        <v>0</v>
      </c>
      <c r="CF525" s="387">
        <f t="shared" si="375"/>
        <v>-187.63472000000002</v>
      </c>
      <c r="CG525" s="387">
        <f t="shared" si="376"/>
        <v>0</v>
      </c>
      <c r="CH525" s="387">
        <f t="shared" si="377"/>
        <v>26.804959999999991</v>
      </c>
      <c r="CI525" s="387">
        <f t="shared" si="378"/>
        <v>0</v>
      </c>
      <c r="CJ525" s="387">
        <f t="shared" si="391"/>
        <v>-160.82976000000002</v>
      </c>
      <c r="CK525" s="387" t="str">
        <f t="shared" si="392"/>
        <v/>
      </c>
      <c r="CL525" s="387" t="str">
        <f t="shared" si="393"/>
        <v/>
      </c>
      <c r="CM525" s="387" t="str">
        <f t="shared" si="394"/>
        <v/>
      </c>
      <c r="CN525" s="387" t="str">
        <f t="shared" si="395"/>
        <v>0348-31</v>
      </c>
    </row>
    <row r="526" spans="1:92" ht="15.75" thickBot="1" x14ac:dyDescent="0.3">
      <c r="A526" s="376" t="s">
        <v>161</v>
      </c>
      <c r="B526" s="376" t="s">
        <v>162</v>
      </c>
      <c r="C526" s="376" t="s">
        <v>1676</v>
      </c>
      <c r="D526" s="376" t="s">
        <v>868</v>
      </c>
      <c r="E526" s="376" t="s">
        <v>224</v>
      </c>
      <c r="F526" s="382" t="s">
        <v>225</v>
      </c>
      <c r="G526" s="376" t="s">
        <v>781</v>
      </c>
      <c r="H526" s="378"/>
      <c r="I526" s="378"/>
      <c r="J526" s="376" t="s">
        <v>215</v>
      </c>
      <c r="K526" s="376" t="s">
        <v>869</v>
      </c>
      <c r="L526" s="376" t="s">
        <v>296</v>
      </c>
      <c r="M526" s="376" t="s">
        <v>171</v>
      </c>
      <c r="N526" s="376" t="s">
        <v>172</v>
      </c>
      <c r="O526" s="379">
        <v>1</v>
      </c>
      <c r="P526" s="385">
        <v>0</v>
      </c>
      <c r="Q526" s="385">
        <v>0</v>
      </c>
      <c r="R526" s="380">
        <v>80</v>
      </c>
      <c r="S526" s="385">
        <v>0</v>
      </c>
      <c r="T526" s="380">
        <v>4944</v>
      </c>
      <c r="U526" s="380">
        <v>0</v>
      </c>
      <c r="V526" s="380">
        <v>2507.52</v>
      </c>
      <c r="W526" s="380">
        <v>0</v>
      </c>
      <c r="X526" s="380">
        <v>0</v>
      </c>
      <c r="Y526" s="380">
        <v>0</v>
      </c>
      <c r="Z526" s="380">
        <v>0</v>
      </c>
      <c r="AA526" s="376" t="s">
        <v>1677</v>
      </c>
      <c r="AB526" s="376" t="s">
        <v>831</v>
      </c>
      <c r="AC526" s="376" t="s">
        <v>418</v>
      </c>
      <c r="AD526" s="376" t="s">
        <v>577</v>
      </c>
      <c r="AE526" s="376" t="s">
        <v>873</v>
      </c>
      <c r="AF526" s="376" t="s">
        <v>393</v>
      </c>
      <c r="AG526" s="376" t="s">
        <v>178</v>
      </c>
      <c r="AH526" s="381">
        <v>20.6</v>
      </c>
      <c r="AI526" s="379">
        <v>320</v>
      </c>
      <c r="AJ526" s="376" t="s">
        <v>179</v>
      </c>
      <c r="AK526" s="376" t="s">
        <v>180</v>
      </c>
      <c r="AL526" s="376" t="s">
        <v>181</v>
      </c>
      <c r="AM526" s="376" t="s">
        <v>182</v>
      </c>
      <c r="AN526" s="376" t="s">
        <v>68</v>
      </c>
      <c r="AO526" s="379">
        <v>80</v>
      </c>
      <c r="AP526" s="385">
        <v>1</v>
      </c>
      <c r="AQ526" s="385">
        <v>0</v>
      </c>
      <c r="AR526" s="383">
        <v>3</v>
      </c>
      <c r="AS526" s="387">
        <f t="shared" si="379"/>
        <v>0</v>
      </c>
      <c r="AT526">
        <f t="shared" si="380"/>
        <v>0</v>
      </c>
      <c r="AU526" s="387" t="str">
        <f>IF(AT526=0,"",IF(AND(AT526=1,M526="F",SUMIF(C2:C1334,C526,AS2:AS1334)&lt;=1),SUMIF(C2:C1334,C526,AS2:AS1334),IF(AND(AT526=1,M526="F",SUMIF(C2:C1334,C526,AS2:AS1334)&gt;1),1,"")))</f>
        <v/>
      </c>
      <c r="AV526" s="387" t="str">
        <f>IF(AT526=0,"",IF(AND(AT526=3,M526="F",SUMIF(C2:C1334,C526,AS2:AS1334)&lt;=1),SUMIF(C2:C1334,C526,AS2:AS1334),IF(AND(AT526=3,M526="F",SUMIF(C2:C1334,C526,AS2:AS1334)&gt;1),1,"")))</f>
        <v/>
      </c>
      <c r="AW526" s="387">
        <f>SUMIF(C2:C1334,C526,O2:O1334)</f>
        <v>2</v>
      </c>
      <c r="AX526" s="387">
        <f>IF(AND(M526="F",AS526&lt;&gt;0),SUMIF(C2:C1334,C526,W2:W1334),0)</f>
        <v>0</v>
      </c>
      <c r="AY526" s="387" t="str">
        <f t="shared" si="381"/>
        <v/>
      </c>
      <c r="AZ526" s="387" t="str">
        <f t="shared" si="382"/>
        <v/>
      </c>
      <c r="BA526" s="387">
        <f t="shared" si="383"/>
        <v>0</v>
      </c>
      <c r="BB526" s="387">
        <f t="shared" si="352"/>
        <v>0</v>
      </c>
      <c r="BC526" s="387">
        <f t="shared" si="353"/>
        <v>0</v>
      </c>
      <c r="BD526" s="387">
        <f t="shared" si="354"/>
        <v>0</v>
      </c>
      <c r="BE526" s="387">
        <f t="shared" si="355"/>
        <v>0</v>
      </c>
      <c r="BF526" s="387">
        <f t="shared" si="356"/>
        <v>0</v>
      </c>
      <c r="BG526" s="387">
        <f t="shared" si="357"/>
        <v>0</v>
      </c>
      <c r="BH526" s="387">
        <f t="shared" si="358"/>
        <v>0</v>
      </c>
      <c r="BI526" s="387">
        <f t="shared" si="359"/>
        <v>0</v>
      </c>
      <c r="BJ526" s="387">
        <f t="shared" si="360"/>
        <v>0</v>
      </c>
      <c r="BK526" s="387">
        <f t="shared" si="361"/>
        <v>0</v>
      </c>
      <c r="BL526" s="387">
        <f t="shared" si="384"/>
        <v>0</v>
      </c>
      <c r="BM526" s="387">
        <f t="shared" si="385"/>
        <v>0</v>
      </c>
      <c r="BN526" s="387">
        <f t="shared" si="362"/>
        <v>0</v>
      </c>
      <c r="BO526" s="387">
        <f t="shared" si="363"/>
        <v>0</v>
      </c>
      <c r="BP526" s="387">
        <f t="shared" si="364"/>
        <v>0</v>
      </c>
      <c r="BQ526" s="387">
        <f t="shared" si="365"/>
        <v>0</v>
      </c>
      <c r="BR526" s="387">
        <f t="shared" si="366"/>
        <v>0</v>
      </c>
      <c r="BS526" s="387">
        <f t="shared" si="367"/>
        <v>0</v>
      </c>
      <c r="BT526" s="387">
        <f t="shared" si="368"/>
        <v>0</v>
      </c>
      <c r="BU526" s="387">
        <f t="shared" si="369"/>
        <v>0</v>
      </c>
      <c r="BV526" s="387">
        <f t="shared" si="370"/>
        <v>0</v>
      </c>
      <c r="BW526" s="387">
        <f t="shared" si="371"/>
        <v>0</v>
      </c>
      <c r="BX526" s="387">
        <f t="shared" si="386"/>
        <v>0</v>
      </c>
      <c r="BY526" s="387">
        <f t="shared" si="387"/>
        <v>0</v>
      </c>
      <c r="BZ526" s="387">
        <f t="shared" si="388"/>
        <v>0</v>
      </c>
      <c r="CA526" s="387">
        <f t="shared" si="389"/>
        <v>0</v>
      </c>
      <c r="CB526" s="387">
        <f t="shared" si="390"/>
        <v>0</v>
      </c>
      <c r="CC526" s="387">
        <f t="shared" si="372"/>
        <v>0</v>
      </c>
      <c r="CD526" s="387">
        <f t="shared" si="373"/>
        <v>0</v>
      </c>
      <c r="CE526" s="387">
        <f t="shared" si="374"/>
        <v>0</v>
      </c>
      <c r="CF526" s="387">
        <f t="shared" si="375"/>
        <v>0</v>
      </c>
      <c r="CG526" s="387">
        <f t="shared" si="376"/>
        <v>0</v>
      </c>
      <c r="CH526" s="387">
        <f t="shared" si="377"/>
        <v>0</v>
      </c>
      <c r="CI526" s="387">
        <f t="shared" si="378"/>
        <v>0</v>
      </c>
      <c r="CJ526" s="387">
        <f t="shared" si="391"/>
        <v>0</v>
      </c>
      <c r="CK526" s="387" t="str">
        <f t="shared" si="392"/>
        <v/>
      </c>
      <c r="CL526" s="387" t="str">
        <f t="shared" si="393"/>
        <v/>
      </c>
      <c r="CM526" s="387" t="str">
        <f t="shared" si="394"/>
        <v/>
      </c>
      <c r="CN526" s="387" t="str">
        <f t="shared" si="395"/>
        <v>0348-31</v>
      </c>
    </row>
    <row r="527" spans="1:92" ht="15.75" thickBot="1" x14ac:dyDescent="0.3">
      <c r="A527" s="376" t="s">
        <v>161</v>
      </c>
      <c r="B527" s="376" t="s">
        <v>162</v>
      </c>
      <c r="C527" s="376" t="s">
        <v>1678</v>
      </c>
      <c r="D527" s="376" t="s">
        <v>1679</v>
      </c>
      <c r="E527" s="376" t="s">
        <v>224</v>
      </c>
      <c r="F527" s="382" t="s">
        <v>225</v>
      </c>
      <c r="G527" s="376" t="s">
        <v>781</v>
      </c>
      <c r="H527" s="378"/>
      <c r="I527" s="378"/>
      <c r="J527" s="376" t="s">
        <v>215</v>
      </c>
      <c r="K527" s="376" t="s">
        <v>1680</v>
      </c>
      <c r="L527" s="376" t="s">
        <v>210</v>
      </c>
      <c r="M527" s="376" t="s">
        <v>171</v>
      </c>
      <c r="N527" s="376" t="s">
        <v>877</v>
      </c>
      <c r="O527" s="379">
        <v>1</v>
      </c>
      <c r="P527" s="385">
        <v>1</v>
      </c>
      <c r="Q527" s="385">
        <v>1</v>
      </c>
      <c r="R527" s="380">
        <v>80</v>
      </c>
      <c r="S527" s="385">
        <v>1</v>
      </c>
      <c r="T527" s="380">
        <v>75436.11</v>
      </c>
      <c r="U527" s="380">
        <v>0</v>
      </c>
      <c r="V527" s="380">
        <v>27281.24</v>
      </c>
      <c r="W527" s="380">
        <v>78436.800000000003</v>
      </c>
      <c r="X527" s="380">
        <v>28611.919999999998</v>
      </c>
      <c r="Y527" s="380">
        <v>78436.800000000003</v>
      </c>
      <c r="Z527" s="380">
        <v>28282.49</v>
      </c>
      <c r="AA527" s="376" t="s">
        <v>1681</v>
      </c>
      <c r="AB527" s="376" t="s">
        <v>1682</v>
      </c>
      <c r="AC527" s="376" t="s">
        <v>1683</v>
      </c>
      <c r="AD527" s="376" t="s">
        <v>197</v>
      </c>
      <c r="AE527" s="376" t="s">
        <v>1680</v>
      </c>
      <c r="AF527" s="376" t="s">
        <v>245</v>
      </c>
      <c r="AG527" s="376" t="s">
        <v>178</v>
      </c>
      <c r="AH527" s="381">
        <v>37.71</v>
      </c>
      <c r="AI527" s="379">
        <v>22544</v>
      </c>
      <c r="AJ527" s="376" t="s">
        <v>179</v>
      </c>
      <c r="AK527" s="376" t="s">
        <v>180</v>
      </c>
      <c r="AL527" s="376" t="s">
        <v>181</v>
      </c>
      <c r="AM527" s="376" t="s">
        <v>182</v>
      </c>
      <c r="AN527" s="376" t="s">
        <v>68</v>
      </c>
      <c r="AO527" s="379">
        <v>80</v>
      </c>
      <c r="AP527" s="385">
        <v>1</v>
      </c>
      <c r="AQ527" s="385">
        <v>1</v>
      </c>
      <c r="AR527" s="383" t="s">
        <v>183</v>
      </c>
      <c r="AS527" s="387">
        <f t="shared" si="379"/>
        <v>1</v>
      </c>
      <c r="AT527">
        <f t="shared" si="380"/>
        <v>1</v>
      </c>
      <c r="AU527" s="387">
        <f>IF(AT527=0,"",IF(AND(AT527=1,M527="F",SUMIF(C2:C1334,C527,AS2:AS1334)&lt;=1),SUMIF(C2:C1334,C527,AS2:AS1334),IF(AND(AT527=1,M527="F",SUMIF(C2:C1334,C527,AS2:AS1334)&gt;1),1,"")))</f>
        <v>1</v>
      </c>
      <c r="AV527" s="387" t="str">
        <f>IF(AT527=0,"",IF(AND(AT527=3,M527="F",SUMIF(C2:C1334,C527,AS2:AS1334)&lt;=1),SUMIF(C2:C1334,C527,AS2:AS1334),IF(AND(AT527=3,M527="F",SUMIF(C2:C1334,C527,AS2:AS1334)&gt;1),1,"")))</f>
        <v/>
      </c>
      <c r="AW527" s="387">
        <f>SUMIF(C2:C1334,C527,O2:O1334)</f>
        <v>1</v>
      </c>
      <c r="AX527" s="387">
        <f>IF(AND(M527="F",AS527&lt;&gt;0),SUMIF(C2:C1334,C527,W2:W1334),0)</f>
        <v>78436.800000000003</v>
      </c>
      <c r="AY527" s="387">
        <f t="shared" si="381"/>
        <v>78436.800000000003</v>
      </c>
      <c r="AZ527" s="387" t="str">
        <f t="shared" si="382"/>
        <v/>
      </c>
      <c r="BA527" s="387">
        <f t="shared" si="383"/>
        <v>0</v>
      </c>
      <c r="BB527" s="387">
        <f t="shared" si="352"/>
        <v>11650</v>
      </c>
      <c r="BC527" s="387">
        <f t="shared" si="353"/>
        <v>0</v>
      </c>
      <c r="BD527" s="387">
        <f t="shared" si="354"/>
        <v>4863.0816000000004</v>
      </c>
      <c r="BE527" s="387">
        <f t="shared" si="355"/>
        <v>1137.3336000000002</v>
      </c>
      <c r="BF527" s="387">
        <f t="shared" si="356"/>
        <v>9365.3539200000014</v>
      </c>
      <c r="BG527" s="387">
        <f t="shared" si="357"/>
        <v>565.52932800000008</v>
      </c>
      <c r="BH527" s="387">
        <f t="shared" si="358"/>
        <v>384.34032000000002</v>
      </c>
      <c r="BI527" s="387">
        <f t="shared" si="359"/>
        <v>434.14768800000002</v>
      </c>
      <c r="BJ527" s="387">
        <f t="shared" si="360"/>
        <v>211.77936000000003</v>
      </c>
      <c r="BK527" s="387">
        <f t="shared" si="361"/>
        <v>0</v>
      </c>
      <c r="BL527" s="387">
        <f t="shared" si="384"/>
        <v>16961.565816000002</v>
      </c>
      <c r="BM527" s="387">
        <f t="shared" si="385"/>
        <v>0</v>
      </c>
      <c r="BN527" s="387">
        <f t="shared" si="362"/>
        <v>11650</v>
      </c>
      <c r="BO527" s="387">
        <f t="shared" si="363"/>
        <v>0</v>
      </c>
      <c r="BP527" s="387">
        <f t="shared" si="364"/>
        <v>4863.0816000000004</v>
      </c>
      <c r="BQ527" s="387">
        <f t="shared" si="365"/>
        <v>1137.3336000000002</v>
      </c>
      <c r="BR527" s="387">
        <f t="shared" si="366"/>
        <v>9365.3539200000014</v>
      </c>
      <c r="BS527" s="387">
        <f t="shared" si="367"/>
        <v>565.52932800000008</v>
      </c>
      <c r="BT527" s="387">
        <f t="shared" si="368"/>
        <v>0</v>
      </c>
      <c r="BU527" s="387">
        <f t="shared" si="369"/>
        <v>434.14768800000002</v>
      </c>
      <c r="BV527" s="387">
        <f t="shared" si="370"/>
        <v>266.68511999999998</v>
      </c>
      <c r="BW527" s="387">
        <f t="shared" si="371"/>
        <v>0</v>
      </c>
      <c r="BX527" s="387">
        <f t="shared" si="386"/>
        <v>16632.131256000001</v>
      </c>
      <c r="BY527" s="387">
        <f t="shared" si="387"/>
        <v>0</v>
      </c>
      <c r="BZ527" s="387">
        <f t="shared" si="388"/>
        <v>0</v>
      </c>
      <c r="CA527" s="387">
        <f t="shared" si="389"/>
        <v>0</v>
      </c>
      <c r="CB527" s="387">
        <f t="shared" si="390"/>
        <v>0</v>
      </c>
      <c r="CC527" s="387">
        <f t="shared" si="372"/>
        <v>0</v>
      </c>
      <c r="CD527" s="387">
        <f t="shared" si="373"/>
        <v>0</v>
      </c>
      <c r="CE527" s="387">
        <f t="shared" si="374"/>
        <v>0</v>
      </c>
      <c r="CF527" s="387">
        <f t="shared" si="375"/>
        <v>-384.34032000000002</v>
      </c>
      <c r="CG527" s="387">
        <f t="shared" si="376"/>
        <v>0</v>
      </c>
      <c r="CH527" s="387">
        <f t="shared" si="377"/>
        <v>54.905759999999979</v>
      </c>
      <c r="CI527" s="387">
        <f t="shared" si="378"/>
        <v>0</v>
      </c>
      <c r="CJ527" s="387">
        <f t="shared" si="391"/>
        <v>-329.43456000000003</v>
      </c>
      <c r="CK527" s="387" t="str">
        <f t="shared" si="392"/>
        <v/>
      </c>
      <c r="CL527" s="387" t="str">
        <f t="shared" si="393"/>
        <v/>
      </c>
      <c r="CM527" s="387" t="str">
        <f t="shared" si="394"/>
        <v/>
      </c>
      <c r="CN527" s="387" t="str">
        <f t="shared" si="395"/>
        <v>0348-31</v>
      </c>
    </row>
    <row r="528" spans="1:92" ht="15.75" thickBot="1" x14ac:dyDescent="0.3">
      <c r="A528" s="376" t="s">
        <v>161</v>
      </c>
      <c r="B528" s="376" t="s">
        <v>162</v>
      </c>
      <c r="C528" s="376" t="s">
        <v>1684</v>
      </c>
      <c r="D528" s="376" t="s">
        <v>862</v>
      </c>
      <c r="E528" s="376" t="s">
        <v>224</v>
      </c>
      <c r="F528" s="382" t="s">
        <v>225</v>
      </c>
      <c r="G528" s="376" t="s">
        <v>781</v>
      </c>
      <c r="H528" s="378"/>
      <c r="I528" s="378"/>
      <c r="J528" s="376" t="s">
        <v>239</v>
      </c>
      <c r="K528" s="376" t="s">
        <v>863</v>
      </c>
      <c r="L528" s="376" t="s">
        <v>252</v>
      </c>
      <c r="M528" s="376" t="s">
        <v>171</v>
      </c>
      <c r="N528" s="376" t="s">
        <v>172</v>
      </c>
      <c r="O528" s="379">
        <v>1</v>
      </c>
      <c r="P528" s="385">
        <v>0.65</v>
      </c>
      <c r="Q528" s="385">
        <v>0.65</v>
      </c>
      <c r="R528" s="380">
        <v>80</v>
      </c>
      <c r="S528" s="385">
        <v>0.65</v>
      </c>
      <c r="T528" s="380">
        <v>32966.83</v>
      </c>
      <c r="U528" s="380">
        <v>0</v>
      </c>
      <c r="V528" s="380">
        <v>14787.15</v>
      </c>
      <c r="W528" s="380">
        <v>32515.599999999999</v>
      </c>
      <c r="X528" s="380">
        <v>14603.97</v>
      </c>
      <c r="Y528" s="380">
        <v>32515.599999999999</v>
      </c>
      <c r="Z528" s="380">
        <v>14467.41</v>
      </c>
      <c r="AA528" s="376" t="s">
        <v>1685</v>
      </c>
      <c r="AB528" s="376" t="s">
        <v>1686</v>
      </c>
      <c r="AC528" s="376" t="s">
        <v>840</v>
      </c>
      <c r="AD528" s="376" t="s">
        <v>210</v>
      </c>
      <c r="AE528" s="376" t="s">
        <v>863</v>
      </c>
      <c r="AF528" s="376" t="s">
        <v>393</v>
      </c>
      <c r="AG528" s="376" t="s">
        <v>178</v>
      </c>
      <c r="AH528" s="381">
        <v>24.05</v>
      </c>
      <c r="AI528" s="381">
        <v>34902.6</v>
      </c>
      <c r="AJ528" s="376" t="s">
        <v>179</v>
      </c>
      <c r="AK528" s="376" t="s">
        <v>180</v>
      </c>
      <c r="AL528" s="376" t="s">
        <v>181</v>
      </c>
      <c r="AM528" s="376" t="s">
        <v>182</v>
      </c>
      <c r="AN528" s="376" t="s">
        <v>68</v>
      </c>
      <c r="AO528" s="379">
        <v>80</v>
      </c>
      <c r="AP528" s="385">
        <v>1</v>
      </c>
      <c r="AQ528" s="385">
        <v>0.65</v>
      </c>
      <c r="AR528" s="383" t="s">
        <v>183</v>
      </c>
      <c r="AS528" s="387">
        <f t="shared" si="379"/>
        <v>0.65</v>
      </c>
      <c r="AT528">
        <f t="shared" si="380"/>
        <v>1</v>
      </c>
      <c r="AU528" s="387">
        <f>IF(AT528=0,"",IF(AND(AT528=1,M528="F",SUMIF(C2:C1334,C528,AS2:AS1334)&lt;=1),SUMIF(C2:C1334,C528,AS2:AS1334),IF(AND(AT528=1,M528="F",SUMIF(C2:C1334,C528,AS2:AS1334)&gt;1),1,"")))</f>
        <v>1</v>
      </c>
      <c r="AV528" s="387" t="str">
        <f>IF(AT528=0,"",IF(AND(AT528=3,M528="F",SUMIF(C2:C1334,C528,AS2:AS1334)&lt;=1),SUMIF(C2:C1334,C528,AS2:AS1334),IF(AND(AT528=3,M528="F",SUMIF(C2:C1334,C528,AS2:AS1334)&gt;1),1,"")))</f>
        <v/>
      </c>
      <c r="AW528" s="387">
        <f>SUMIF(C2:C1334,C528,O2:O1334)</f>
        <v>3</v>
      </c>
      <c r="AX528" s="387">
        <f>IF(AND(M528="F",AS528&lt;&gt;0),SUMIF(C2:C1334,C528,W2:W1334),0)</f>
        <v>50024</v>
      </c>
      <c r="AY528" s="387">
        <f t="shared" si="381"/>
        <v>32515.599999999999</v>
      </c>
      <c r="AZ528" s="387" t="str">
        <f t="shared" si="382"/>
        <v/>
      </c>
      <c r="BA528" s="387">
        <f t="shared" si="383"/>
        <v>0</v>
      </c>
      <c r="BB528" s="387">
        <f t="shared" si="352"/>
        <v>7572.5</v>
      </c>
      <c r="BC528" s="387">
        <f t="shared" si="353"/>
        <v>0</v>
      </c>
      <c r="BD528" s="387">
        <f t="shared" si="354"/>
        <v>2015.9671999999998</v>
      </c>
      <c r="BE528" s="387">
        <f t="shared" si="355"/>
        <v>471.47620000000001</v>
      </c>
      <c r="BF528" s="387">
        <f t="shared" si="356"/>
        <v>3882.3626399999998</v>
      </c>
      <c r="BG528" s="387">
        <f t="shared" si="357"/>
        <v>234.437476</v>
      </c>
      <c r="BH528" s="387">
        <f t="shared" si="358"/>
        <v>159.32643999999999</v>
      </c>
      <c r="BI528" s="387">
        <f t="shared" si="359"/>
        <v>179.97384599999998</v>
      </c>
      <c r="BJ528" s="387">
        <f t="shared" si="360"/>
        <v>87.792119999999997</v>
      </c>
      <c r="BK528" s="387">
        <f t="shared" si="361"/>
        <v>0</v>
      </c>
      <c r="BL528" s="387">
        <f t="shared" si="384"/>
        <v>7031.3359219999993</v>
      </c>
      <c r="BM528" s="387">
        <f t="shared" si="385"/>
        <v>0</v>
      </c>
      <c r="BN528" s="387">
        <f t="shared" si="362"/>
        <v>7572.5</v>
      </c>
      <c r="BO528" s="387">
        <f t="shared" si="363"/>
        <v>0</v>
      </c>
      <c r="BP528" s="387">
        <f t="shared" si="364"/>
        <v>2015.9671999999998</v>
      </c>
      <c r="BQ528" s="387">
        <f t="shared" si="365"/>
        <v>471.47620000000001</v>
      </c>
      <c r="BR528" s="387">
        <f t="shared" si="366"/>
        <v>3882.3626399999998</v>
      </c>
      <c r="BS528" s="387">
        <f t="shared" si="367"/>
        <v>234.437476</v>
      </c>
      <c r="BT528" s="387">
        <f t="shared" si="368"/>
        <v>0</v>
      </c>
      <c r="BU528" s="387">
        <f t="shared" si="369"/>
        <v>179.97384599999998</v>
      </c>
      <c r="BV528" s="387">
        <f t="shared" si="370"/>
        <v>110.55304</v>
      </c>
      <c r="BW528" s="387">
        <f t="shared" si="371"/>
        <v>0</v>
      </c>
      <c r="BX528" s="387">
        <f t="shared" si="386"/>
        <v>6894.7704019999992</v>
      </c>
      <c r="BY528" s="387">
        <f t="shared" si="387"/>
        <v>0</v>
      </c>
      <c r="BZ528" s="387">
        <f t="shared" si="388"/>
        <v>0</v>
      </c>
      <c r="CA528" s="387">
        <f t="shared" si="389"/>
        <v>0</v>
      </c>
      <c r="CB528" s="387">
        <f t="shared" si="390"/>
        <v>0</v>
      </c>
      <c r="CC528" s="387">
        <f t="shared" si="372"/>
        <v>0</v>
      </c>
      <c r="CD528" s="387">
        <f t="shared" si="373"/>
        <v>0</v>
      </c>
      <c r="CE528" s="387">
        <f t="shared" si="374"/>
        <v>0</v>
      </c>
      <c r="CF528" s="387">
        <f t="shared" si="375"/>
        <v>-159.32643999999999</v>
      </c>
      <c r="CG528" s="387">
        <f t="shared" si="376"/>
        <v>0</v>
      </c>
      <c r="CH528" s="387">
        <f t="shared" si="377"/>
        <v>22.760919999999988</v>
      </c>
      <c r="CI528" s="387">
        <f t="shared" si="378"/>
        <v>0</v>
      </c>
      <c r="CJ528" s="387">
        <f t="shared" si="391"/>
        <v>-136.56551999999999</v>
      </c>
      <c r="CK528" s="387" t="str">
        <f t="shared" si="392"/>
        <v/>
      </c>
      <c r="CL528" s="387" t="str">
        <f t="shared" si="393"/>
        <v/>
      </c>
      <c r="CM528" s="387" t="str">
        <f t="shared" si="394"/>
        <v/>
      </c>
      <c r="CN528" s="387" t="str">
        <f t="shared" si="395"/>
        <v>0348-31</v>
      </c>
    </row>
    <row r="529" spans="1:92" ht="15.75" thickBot="1" x14ac:dyDescent="0.3">
      <c r="A529" s="376" t="s">
        <v>161</v>
      </c>
      <c r="B529" s="376" t="s">
        <v>162</v>
      </c>
      <c r="C529" s="376" t="s">
        <v>464</v>
      </c>
      <c r="D529" s="376" t="s">
        <v>238</v>
      </c>
      <c r="E529" s="376" t="s">
        <v>224</v>
      </c>
      <c r="F529" s="382" t="s">
        <v>225</v>
      </c>
      <c r="G529" s="376" t="s">
        <v>781</v>
      </c>
      <c r="H529" s="378"/>
      <c r="I529" s="378"/>
      <c r="J529" s="376" t="s">
        <v>239</v>
      </c>
      <c r="K529" s="376" t="s">
        <v>343</v>
      </c>
      <c r="L529" s="376" t="s">
        <v>296</v>
      </c>
      <c r="M529" s="376" t="s">
        <v>171</v>
      </c>
      <c r="N529" s="376" t="s">
        <v>172</v>
      </c>
      <c r="O529" s="379">
        <v>1</v>
      </c>
      <c r="P529" s="385">
        <v>0</v>
      </c>
      <c r="Q529" s="385">
        <v>0</v>
      </c>
      <c r="R529" s="380">
        <v>80</v>
      </c>
      <c r="S529" s="385">
        <v>0</v>
      </c>
      <c r="T529" s="380">
        <v>38548.76</v>
      </c>
      <c r="U529" s="380">
        <v>0</v>
      </c>
      <c r="V529" s="380">
        <v>18377.27</v>
      </c>
      <c r="W529" s="380">
        <v>0</v>
      </c>
      <c r="X529" s="380">
        <v>0</v>
      </c>
      <c r="Y529" s="380">
        <v>0</v>
      </c>
      <c r="Z529" s="380">
        <v>0</v>
      </c>
      <c r="AA529" s="376" t="s">
        <v>465</v>
      </c>
      <c r="AB529" s="376" t="s">
        <v>466</v>
      </c>
      <c r="AC529" s="376" t="s">
        <v>467</v>
      </c>
      <c r="AD529" s="376" t="s">
        <v>468</v>
      </c>
      <c r="AE529" s="376" t="s">
        <v>343</v>
      </c>
      <c r="AF529" s="376" t="s">
        <v>301</v>
      </c>
      <c r="AG529" s="376" t="s">
        <v>178</v>
      </c>
      <c r="AH529" s="381">
        <v>19.82</v>
      </c>
      <c r="AI529" s="381">
        <v>16065.6</v>
      </c>
      <c r="AJ529" s="376" t="s">
        <v>179</v>
      </c>
      <c r="AK529" s="376" t="s">
        <v>180</v>
      </c>
      <c r="AL529" s="376" t="s">
        <v>181</v>
      </c>
      <c r="AM529" s="376" t="s">
        <v>182</v>
      </c>
      <c r="AN529" s="376" t="s">
        <v>68</v>
      </c>
      <c r="AO529" s="379">
        <v>80</v>
      </c>
      <c r="AP529" s="385">
        <v>1</v>
      </c>
      <c r="AQ529" s="385">
        <v>0</v>
      </c>
      <c r="AR529" s="383" t="s">
        <v>183</v>
      </c>
      <c r="AS529" s="387">
        <f t="shared" si="379"/>
        <v>0</v>
      </c>
      <c r="AT529">
        <f t="shared" si="380"/>
        <v>0</v>
      </c>
      <c r="AU529" s="387" t="str">
        <f>IF(AT529=0,"",IF(AND(AT529=1,M529="F",SUMIF(C2:C1334,C529,AS2:AS1334)&lt;=1),SUMIF(C2:C1334,C529,AS2:AS1334),IF(AND(AT529=1,M529="F",SUMIF(C2:C1334,C529,AS2:AS1334)&gt;1),1,"")))</f>
        <v/>
      </c>
      <c r="AV529" s="387" t="str">
        <f>IF(AT529=0,"",IF(AND(AT529=3,M529="F",SUMIF(C2:C1334,C529,AS2:AS1334)&lt;=1),SUMIF(C2:C1334,C529,AS2:AS1334),IF(AND(AT529=3,M529="F",SUMIF(C2:C1334,C529,AS2:AS1334)&gt;1),1,"")))</f>
        <v/>
      </c>
      <c r="AW529" s="387">
        <f>SUMIF(C2:C1334,C529,O2:O1334)</f>
        <v>3</v>
      </c>
      <c r="AX529" s="387">
        <f>IF(AND(M529="F",AS529&lt;&gt;0),SUMIF(C2:C1334,C529,W2:W1334),0)</f>
        <v>0</v>
      </c>
      <c r="AY529" s="387" t="str">
        <f t="shared" si="381"/>
        <v/>
      </c>
      <c r="AZ529" s="387" t="str">
        <f t="shared" si="382"/>
        <v/>
      </c>
      <c r="BA529" s="387">
        <f t="shared" si="383"/>
        <v>0</v>
      </c>
      <c r="BB529" s="387">
        <f t="shared" si="352"/>
        <v>0</v>
      </c>
      <c r="BC529" s="387">
        <f t="shared" si="353"/>
        <v>0</v>
      </c>
      <c r="BD529" s="387">
        <f t="shared" si="354"/>
        <v>0</v>
      </c>
      <c r="BE529" s="387">
        <f t="shared" si="355"/>
        <v>0</v>
      </c>
      <c r="BF529" s="387">
        <f t="shared" si="356"/>
        <v>0</v>
      </c>
      <c r="BG529" s="387">
        <f t="shared" si="357"/>
        <v>0</v>
      </c>
      <c r="BH529" s="387">
        <f t="shared" si="358"/>
        <v>0</v>
      </c>
      <c r="BI529" s="387">
        <f t="shared" si="359"/>
        <v>0</v>
      </c>
      <c r="BJ529" s="387">
        <f t="shared" si="360"/>
        <v>0</v>
      </c>
      <c r="BK529" s="387">
        <f t="shared" si="361"/>
        <v>0</v>
      </c>
      <c r="BL529" s="387">
        <f t="shared" si="384"/>
        <v>0</v>
      </c>
      <c r="BM529" s="387">
        <f t="shared" si="385"/>
        <v>0</v>
      </c>
      <c r="BN529" s="387">
        <f t="shared" si="362"/>
        <v>0</v>
      </c>
      <c r="BO529" s="387">
        <f t="shared" si="363"/>
        <v>0</v>
      </c>
      <c r="BP529" s="387">
        <f t="shared" si="364"/>
        <v>0</v>
      </c>
      <c r="BQ529" s="387">
        <f t="shared" si="365"/>
        <v>0</v>
      </c>
      <c r="BR529" s="387">
        <f t="shared" si="366"/>
        <v>0</v>
      </c>
      <c r="BS529" s="387">
        <f t="shared" si="367"/>
        <v>0</v>
      </c>
      <c r="BT529" s="387">
        <f t="shared" si="368"/>
        <v>0</v>
      </c>
      <c r="BU529" s="387">
        <f t="shared" si="369"/>
        <v>0</v>
      </c>
      <c r="BV529" s="387">
        <f t="shared" si="370"/>
        <v>0</v>
      </c>
      <c r="BW529" s="387">
        <f t="shared" si="371"/>
        <v>0</v>
      </c>
      <c r="BX529" s="387">
        <f t="shared" si="386"/>
        <v>0</v>
      </c>
      <c r="BY529" s="387">
        <f t="shared" si="387"/>
        <v>0</v>
      </c>
      <c r="BZ529" s="387">
        <f t="shared" si="388"/>
        <v>0</v>
      </c>
      <c r="CA529" s="387">
        <f t="shared" si="389"/>
        <v>0</v>
      </c>
      <c r="CB529" s="387">
        <f t="shared" si="390"/>
        <v>0</v>
      </c>
      <c r="CC529" s="387">
        <f t="shared" si="372"/>
        <v>0</v>
      </c>
      <c r="CD529" s="387">
        <f t="shared" si="373"/>
        <v>0</v>
      </c>
      <c r="CE529" s="387">
        <f t="shared" si="374"/>
        <v>0</v>
      </c>
      <c r="CF529" s="387">
        <f t="shared" si="375"/>
        <v>0</v>
      </c>
      <c r="CG529" s="387">
        <f t="shared" si="376"/>
        <v>0</v>
      </c>
      <c r="CH529" s="387">
        <f t="shared" si="377"/>
        <v>0</v>
      </c>
      <c r="CI529" s="387">
        <f t="shared" si="378"/>
        <v>0</v>
      </c>
      <c r="CJ529" s="387">
        <f t="shared" si="391"/>
        <v>0</v>
      </c>
      <c r="CK529" s="387" t="str">
        <f t="shared" si="392"/>
        <v/>
      </c>
      <c r="CL529" s="387" t="str">
        <f t="shared" si="393"/>
        <v/>
      </c>
      <c r="CM529" s="387" t="str">
        <f t="shared" si="394"/>
        <v/>
      </c>
      <c r="CN529" s="387" t="str">
        <f t="shared" si="395"/>
        <v>0348-31</v>
      </c>
    </row>
    <row r="530" spans="1:92" ht="15.75" thickBot="1" x14ac:dyDescent="0.3">
      <c r="A530" s="376" t="s">
        <v>161</v>
      </c>
      <c r="B530" s="376" t="s">
        <v>162</v>
      </c>
      <c r="C530" s="376" t="s">
        <v>1687</v>
      </c>
      <c r="D530" s="376" t="s">
        <v>868</v>
      </c>
      <c r="E530" s="376" t="s">
        <v>224</v>
      </c>
      <c r="F530" s="382" t="s">
        <v>225</v>
      </c>
      <c r="G530" s="376" t="s">
        <v>781</v>
      </c>
      <c r="H530" s="378"/>
      <c r="I530" s="378"/>
      <c r="J530" s="376" t="s">
        <v>215</v>
      </c>
      <c r="K530" s="376" t="s">
        <v>869</v>
      </c>
      <c r="L530" s="376" t="s">
        <v>296</v>
      </c>
      <c r="M530" s="376" t="s">
        <v>272</v>
      </c>
      <c r="N530" s="376" t="s">
        <v>172</v>
      </c>
      <c r="O530" s="379">
        <v>0</v>
      </c>
      <c r="P530" s="385">
        <v>0</v>
      </c>
      <c r="Q530" s="385">
        <v>0</v>
      </c>
      <c r="R530" s="380">
        <v>80</v>
      </c>
      <c r="S530" s="385">
        <v>0</v>
      </c>
      <c r="T530" s="380">
        <v>37933.230000000003</v>
      </c>
      <c r="U530" s="380">
        <v>52.54</v>
      </c>
      <c r="V530" s="380">
        <v>17513.38</v>
      </c>
      <c r="W530" s="380">
        <v>0</v>
      </c>
      <c r="X530" s="380">
        <v>0</v>
      </c>
      <c r="Y530" s="380">
        <v>0</v>
      </c>
      <c r="Z530" s="380">
        <v>0</v>
      </c>
      <c r="AA530" s="378"/>
      <c r="AB530" s="376" t="s">
        <v>45</v>
      </c>
      <c r="AC530" s="376" t="s">
        <v>45</v>
      </c>
      <c r="AD530" s="378"/>
      <c r="AE530" s="378"/>
      <c r="AF530" s="378"/>
      <c r="AG530" s="378"/>
      <c r="AH530" s="379">
        <v>0</v>
      </c>
      <c r="AI530" s="379">
        <v>0</v>
      </c>
      <c r="AJ530" s="378"/>
      <c r="AK530" s="378"/>
      <c r="AL530" s="376" t="s">
        <v>181</v>
      </c>
      <c r="AM530" s="378"/>
      <c r="AN530" s="378"/>
      <c r="AO530" s="379">
        <v>0</v>
      </c>
      <c r="AP530" s="385">
        <v>0</v>
      </c>
      <c r="AQ530" s="385">
        <v>0</v>
      </c>
      <c r="AR530" s="384"/>
      <c r="AS530" s="387">
        <f t="shared" si="379"/>
        <v>0</v>
      </c>
      <c r="AT530">
        <f t="shared" si="380"/>
        <v>0</v>
      </c>
      <c r="AU530" s="387" t="str">
        <f>IF(AT530=0,"",IF(AND(AT530=1,M530="F",SUMIF(C2:C1334,C530,AS2:AS1334)&lt;=1),SUMIF(C2:C1334,C530,AS2:AS1334),IF(AND(AT530=1,M530="F",SUMIF(C2:C1334,C530,AS2:AS1334)&gt;1),1,"")))</f>
        <v/>
      </c>
      <c r="AV530" s="387" t="str">
        <f>IF(AT530=0,"",IF(AND(AT530=3,M530="F",SUMIF(C2:C1334,C530,AS2:AS1334)&lt;=1),SUMIF(C2:C1334,C530,AS2:AS1334),IF(AND(AT530=3,M530="F",SUMIF(C2:C1334,C530,AS2:AS1334)&gt;1),1,"")))</f>
        <v/>
      </c>
      <c r="AW530" s="387">
        <f>SUMIF(C2:C1334,C530,O2:O1334)</f>
        <v>0</v>
      </c>
      <c r="AX530" s="387">
        <f>IF(AND(M530="F",AS530&lt;&gt;0),SUMIF(C2:C1334,C530,W2:W1334),0)</f>
        <v>0</v>
      </c>
      <c r="AY530" s="387" t="str">
        <f t="shared" si="381"/>
        <v/>
      </c>
      <c r="AZ530" s="387" t="str">
        <f t="shared" si="382"/>
        <v/>
      </c>
      <c r="BA530" s="387">
        <f t="shared" si="383"/>
        <v>0</v>
      </c>
      <c r="BB530" s="387">
        <f t="shared" si="352"/>
        <v>0</v>
      </c>
      <c r="BC530" s="387">
        <f t="shared" si="353"/>
        <v>0</v>
      </c>
      <c r="BD530" s="387">
        <f t="shared" si="354"/>
        <v>0</v>
      </c>
      <c r="BE530" s="387">
        <f t="shared" si="355"/>
        <v>0</v>
      </c>
      <c r="BF530" s="387">
        <f t="shared" si="356"/>
        <v>0</v>
      </c>
      <c r="BG530" s="387">
        <f t="shared" si="357"/>
        <v>0</v>
      </c>
      <c r="BH530" s="387">
        <f t="shared" si="358"/>
        <v>0</v>
      </c>
      <c r="BI530" s="387">
        <f t="shared" si="359"/>
        <v>0</v>
      </c>
      <c r="BJ530" s="387">
        <f t="shared" si="360"/>
        <v>0</v>
      </c>
      <c r="BK530" s="387">
        <f t="shared" si="361"/>
        <v>0</v>
      </c>
      <c r="BL530" s="387">
        <f t="shared" si="384"/>
        <v>0</v>
      </c>
      <c r="BM530" s="387">
        <f t="shared" si="385"/>
        <v>0</v>
      </c>
      <c r="BN530" s="387">
        <f t="shared" si="362"/>
        <v>0</v>
      </c>
      <c r="BO530" s="387">
        <f t="shared" si="363"/>
        <v>0</v>
      </c>
      <c r="BP530" s="387">
        <f t="shared" si="364"/>
        <v>0</v>
      </c>
      <c r="BQ530" s="387">
        <f t="shared" si="365"/>
        <v>0</v>
      </c>
      <c r="BR530" s="387">
        <f t="shared" si="366"/>
        <v>0</v>
      </c>
      <c r="BS530" s="387">
        <f t="shared" si="367"/>
        <v>0</v>
      </c>
      <c r="BT530" s="387">
        <f t="shared" si="368"/>
        <v>0</v>
      </c>
      <c r="BU530" s="387">
        <f t="shared" si="369"/>
        <v>0</v>
      </c>
      <c r="BV530" s="387">
        <f t="shared" si="370"/>
        <v>0</v>
      </c>
      <c r="BW530" s="387">
        <f t="shared" si="371"/>
        <v>0</v>
      </c>
      <c r="BX530" s="387">
        <f t="shared" si="386"/>
        <v>0</v>
      </c>
      <c r="BY530" s="387">
        <f t="shared" si="387"/>
        <v>0</v>
      </c>
      <c r="BZ530" s="387">
        <f t="shared" si="388"/>
        <v>0</v>
      </c>
      <c r="CA530" s="387">
        <f t="shared" si="389"/>
        <v>0</v>
      </c>
      <c r="CB530" s="387">
        <f t="shared" si="390"/>
        <v>0</v>
      </c>
      <c r="CC530" s="387">
        <f t="shared" si="372"/>
        <v>0</v>
      </c>
      <c r="CD530" s="387">
        <f t="shared" si="373"/>
        <v>0</v>
      </c>
      <c r="CE530" s="387">
        <f t="shared" si="374"/>
        <v>0</v>
      </c>
      <c r="CF530" s="387">
        <f t="shared" si="375"/>
        <v>0</v>
      </c>
      <c r="CG530" s="387">
        <f t="shared" si="376"/>
        <v>0</v>
      </c>
      <c r="CH530" s="387">
        <f t="shared" si="377"/>
        <v>0</v>
      </c>
      <c r="CI530" s="387">
        <f t="shared" si="378"/>
        <v>0</v>
      </c>
      <c r="CJ530" s="387">
        <f t="shared" si="391"/>
        <v>0</v>
      </c>
      <c r="CK530" s="387" t="str">
        <f t="shared" si="392"/>
        <v/>
      </c>
      <c r="CL530" s="387" t="str">
        <f t="shared" si="393"/>
        <v/>
      </c>
      <c r="CM530" s="387" t="str">
        <f t="shared" si="394"/>
        <v/>
      </c>
      <c r="CN530" s="387" t="str">
        <f t="shared" si="395"/>
        <v>0348-31</v>
      </c>
    </row>
    <row r="531" spans="1:92" ht="15.75" thickBot="1" x14ac:dyDescent="0.3">
      <c r="A531" s="376" t="s">
        <v>161</v>
      </c>
      <c r="B531" s="376" t="s">
        <v>162</v>
      </c>
      <c r="C531" s="376" t="s">
        <v>1688</v>
      </c>
      <c r="D531" s="376" t="s">
        <v>862</v>
      </c>
      <c r="E531" s="376" t="s">
        <v>224</v>
      </c>
      <c r="F531" s="382" t="s">
        <v>225</v>
      </c>
      <c r="G531" s="376" t="s">
        <v>781</v>
      </c>
      <c r="H531" s="378"/>
      <c r="I531" s="378"/>
      <c r="J531" s="376" t="s">
        <v>215</v>
      </c>
      <c r="K531" s="376" t="s">
        <v>863</v>
      </c>
      <c r="L531" s="376" t="s">
        <v>252</v>
      </c>
      <c r="M531" s="376" t="s">
        <v>171</v>
      </c>
      <c r="N531" s="376" t="s">
        <v>172</v>
      </c>
      <c r="O531" s="379">
        <v>1</v>
      </c>
      <c r="P531" s="385">
        <v>1</v>
      </c>
      <c r="Q531" s="385">
        <v>1</v>
      </c>
      <c r="R531" s="380">
        <v>80</v>
      </c>
      <c r="S531" s="385">
        <v>1</v>
      </c>
      <c r="T531" s="380">
        <v>28041.759999999998</v>
      </c>
      <c r="U531" s="380">
        <v>0</v>
      </c>
      <c r="V531" s="380">
        <v>13240.55</v>
      </c>
      <c r="W531" s="380">
        <v>47902.400000000001</v>
      </c>
      <c r="X531" s="380">
        <v>22008.85</v>
      </c>
      <c r="Y531" s="380">
        <v>47902.400000000001</v>
      </c>
      <c r="Z531" s="380">
        <v>21807.66</v>
      </c>
      <c r="AA531" s="376" t="s">
        <v>1689</v>
      </c>
      <c r="AB531" s="376" t="s">
        <v>1690</v>
      </c>
      <c r="AC531" s="376" t="s">
        <v>1691</v>
      </c>
      <c r="AD531" s="376" t="s">
        <v>1692</v>
      </c>
      <c r="AE531" s="376" t="s">
        <v>863</v>
      </c>
      <c r="AF531" s="376" t="s">
        <v>393</v>
      </c>
      <c r="AG531" s="376" t="s">
        <v>178</v>
      </c>
      <c r="AH531" s="381">
        <v>23.03</v>
      </c>
      <c r="AI531" s="381">
        <v>36356.5</v>
      </c>
      <c r="AJ531" s="376" t="s">
        <v>179</v>
      </c>
      <c r="AK531" s="376" t="s">
        <v>180</v>
      </c>
      <c r="AL531" s="376" t="s">
        <v>181</v>
      </c>
      <c r="AM531" s="376" t="s">
        <v>182</v>
      </c>
      <c r="AN531" s="376" t="s">
        <v>68</v>
      </c>
      <c r="AO531" s="379">
        <v>80</v>
      </c>
      <c r="AP531" s="385">
        <v>1</v>
      </c>
      <c r="AQ531" s="385">
        <v>1</v>
      </c>
      <c r="AR531" s="383" t="s">
        <v>183</v>
      </c>
      <c r="AS531" s="387">
        <f t="shared" si="379"/>
        <v>1</v>
      </c>
      <c r="AT531">
        <f t="shared" si="380"/>
        <v>1</v>
      </c>
      <c r="AU531" s="387">
        <f>IF(AT531=0,"",IF(AND(AT531=1,M531="F",SUMIF(C2:C1334,C531,AS2:AS1334)&lt;=1),SUMIF(C2:C1334,C531,AS2:AS1334),IF(AND(AT531=1,M531="F",SUMIF(C2:C1334,C531,AS2:AS1334)&gt;1),1,"")))</f>
        <v>1</v>
      </c>
      <c r="AV531" s="387" t="str">
        <f>IF(AT531=0,"",IF(AND(AT531=3,M531="F",SUMIF(C2:C1334,C531,AS2:AS1334)&lt;=1),SUMIF(C2:C1334,C531,AS2:AS1334),IF(AND(AT531=3,M531="F",SUMIF(C2:C1334,C531,AS2:AS1334)&gt;1),1,"")))</f>
        <v/>
      </c>
      <c r="AW531" s="387">
        <f>SUMIF(C2:C1334,C531,O2:O1334)</f>
        <v>3</v>
      </c>
      <c r="AX531" s="387">
        <f>IF(AND(M531="F",AS531&lt;&gt;0),SUMIF(C2:C1334,C531,W2:W1334),0)</f>
        <v>47902.400000000001</v>
      </c>
      <c r="AY531" s="387">
        <f t="shared" si="381"/>
        <v>47902.400000000001</v>
      </c>
      <c r="AZ531" s="387" t="str">
        <f t="shared" si="382"/>
        <v/>
      </c>
      <c r="BA531" s="387">
        <f t="shared" si="383"/>
        <v>0</v>
      </c>
      <c r="BB531" s="387">
        <f t="shared" si="352"/>
        <v>11650</v>
      </c>
      <c r="BC531" s="387">
        <f t="shared" si="353"/>
        <v>0</v>
      </c>
      <c r="BD531" s="387">
        <f t="shared" si="354"/>
        <v>2969.9488000000001</v>
      </c>
      <c r="BE531" s="387">
        <f t="shared" si="355"/>
        <v>694.58480000000009</v>
      </c>
      <c r="BF531" s="387">
        <f t="shared" si="356"/>
        <v>5719.5465600000007</v>
      </c>
      <c r="BG531" s="387">
        <f t="shared" si="357"/>
        <v>345.376304</v>
      </c>
      <c r="BH531" s="387">
        <f t="shared" si="358"/>
        <v>234.72175999999999</v>
      </c>
      <c r="BI531" s="387">
        <f t="shared" si="359"/>
        <v>265.13978400000002</v>
      </c>
      <c r="BJ531" s="387">
        <f t="shared" si="360"/>
        <v>129.33648000000002</v>
      </c>
      <c r="BK531" s="387">
        <f t="shared" si="361"/>
        <v>0</v>
      </c>
      <c r="BL531" s="387">
        <f t="shared" si="384"/>
        <v>10358.654488000002</v>
      </c>
      <c r="BM531" s="387">
        <f t="shared" si="385"/>
        <v>0</v>
      </c>
      <c r="BN531" s="387">
        <f t="shared" si="362"/>
        <v>11650</v>
      </c>
      <c r="BO531" s="387">
        <f t="shared" si="363"/>
        <v>0</v>
      </c>
      <c r="BP531" s="387">
        <f t="shared" si="364"/>
        <v>2969.9488000000001</v>
      </c>
      <c r="BQ531" s="387">
        <f t="shared" si="365"/>
        <v>694.58480000000009</v>
      </c>
      <c r="BR531" s="387">
        <f t="shared" si="366"/>
        <v>5719.5465600000007</v>
      </c>
      <c r="BS531" s="387">
        <f t="shared" si="367"/>
        <v>345.376304</v>
      </c>
      <c r="BT531" s="387">
        <f t="shared" si="368"/>
        <v>0</v>
      </c>
      <c r="BU531" s="387">
        <f t="shared" si="369"/>
        <v>265.13978400000002</v>
      </c>
      <c r="BV531" s="387">
        <f t="shared" si="370"/>
        <v>162.86815999999999</v>
      </c>
      <c r="BW531" s="387">
        <f t="shared" si="371"/>
        <v>0</v>
      </c>
      <c r="BX531" s="387">
        <f t="shared" si="386"/>
        <v>10157.464408000002</v>
      </c>
      <c r="BY531" s="387">
        <f t="shared" si="387"/>
        <v>0</v>
      </c>
      <c r="BZ531" s="387">
        <f t="shared" si="388"/>
        <v>0</v>
      </c>
      <c r="CA531" s="387">
        <f t="shared" si="389"/>
        <v>0</v>
      </c>
      <c r="CB531" s="387">
        <f t="shared" si="390"/>
        <v>0</v>
      </c>
      <c r="CC531" s="387">
        <f t="shared" si="372"/>
        <v>0</v>
      </c>
      <c r="CD531" s="387">
        <f t="shared" si="373"/>
        <v>0</v>
      </c>
      <c r="CE531" s="387">
        <f t="shared" si="374"/>
        <v>0</v>
      </c>
      <c r="CF531" s="387">
        <f t="shared" si="375"/>
        <v>-234.72175999999999</v>
      </c>
      <c r="CG531" s="387">
        <f t="shared" si="376"/>
        <v>0</v>
      </c>
      <c r="CH531" s="387">
        <f t="shared" si="377"/>
        <v>33.531679999999987</v>
      </c>
      <c r="CI531" s="387">
        <f t="shared" si="378"/>
        <v>0</v>
      </c>
      <c r="CJ531" s="387">
        <f t="shared" si="391"/>
        <v>-201.19007999999999</v>
      </c>
      <c r="CK531" s="387" t="str">
        <f t="shared" si="392"/>
        <v/>
      </c>
      <c r="CL531" s="387" t="str">
        <f t="shared" si="393"/>
        <v/>
      </c>
      <c r="CM531" s="387" t="str">
        <f t="shared" si="394"/>
        <v/>
      </c>
      <c r="CN531" s="387" t="str">
        <f t="shared" si="395"/>
        <v>0348-31</v>
      </c>
    </row>
    <row r="532" spans="1:92" ht="15.75" thickBot="1" x14ac:dyDescent="0.3">
      <c r="A532" s="376" t="s">
        <v>161</v>
      </c>
      <c r="B532" s="376" t="s">
        <v>162</v>
      </c>
      <c r="C532" s="376" t="s">
        <v>1693</v>
      </c>
      <c r="D532" s="376" t="s">
        <v>862</v>
      </c>
      <c r="E532" s="376" t="s">
        <v>224</v>
      </c>
      <c r="F532" s="382" t="s">
        <v>225</v>
      </c>
      <c r="G532" s="376" t="s">
        <v>781</v>
      </c>
      <c r="H532" s="378"/>
      <c r="I532" s="378"/>
      <c r="J532" s="376" t="s">
        <v>215</v>
      </c>
      <c r="K532" s="376" t="s">
        <v>863</v>
      </c>
      <c r="L532" s="376" t="s">
        <v>252</v>
      </c>
      <c r="M532" s="376" t="s">
        <v>171</v>
      </c>
      <c r="N532" s="376" t="s">
        <v>172</v>
      </c>
      <c r="O532" s="379">
        <v>1</v>
      </c>
      <c r="P532" s="385">
        <v>0</v>
      </c>
      <c r="Q532" s="385">
        <v>0</v>
      </c>
      <c r="R532" s="380">
        <v>80</v>
      </c>
      <c r="S532" s="385">
        <v>0</v>
      </c>
      <c r="T532" s="380">
        <v>3403.2</v>
      </c>
      <c r="U532" s="380">
        <v>0</v>
      </c>
      <c r="V532" s="380">
        <v>1668.56</v>
      </c>
      <c r="W532" s="380">
        <v>0</v>
      </c>
      <c r="X532" s="380">
        <v>0</v>
      </c>
      <c r="Y532" s="380">
        <v>0</v>
      </c>
      <c r="Z532" s="380">
        <v>0</v>
      </c>
      <c r="AA532" s="376" t="s">
        <v>1694</v>
      </c>
      <c r="AB532" s="376" t="s">
        <v>1695</v>
      </c>
      <c r="AC532" s="376" t="s">
        <v>1696</v>
      </c>
      <c r="AD532" s="376" t="s">
        <v>324</v>
      </c>
      <c r="AE532" s="376" t="s">
        <v>863</v>
      </c>
      <c r="AF532" s="376" t="s">
        <v>393</v>
      </c>
      <c r="AG532" s="376" t="s">
        <v>178</v>
      </c>
      <c r="AH532" s="381">
        <v>21.27</v>
      </c>
      <c r="AI532" s="381">
        <v>16004.3</v>
      </c>
      <c r="AJ532" s="376" t="s">
        <v>179</v>
      </c>
      <c r="AK532" s="376" t="s">
        <v>180</v>
      </c>
      <c r="AL532" s="376" t="s">
        <v>181</v>
      </c>
      <c r="AM532" s="376" t="s">
        <v>182</v>
      </c>
      <c r="AN532" s="376" t="s">
        <v>68</v>
      </c>
      <c r="AO532" s="379">
        <v>80</v>
      </c>
      <c r="AP532" s="385">
        <v>1</v>
      </c>
      <c r="AQ532" s="385">
        <v>0</v>
      </c>
      <c r="AR532" s="383" t="s">
        <v>183</v>
      </c>
      <c r="AS532" s="387">
        <f t="shared" si="379"/>
        <v>0</v>
      </c>
      <c r="AT532">
        <f t="shared" si="380"/>
        <v>0</v>
      </c>
      <c r="AU532" s="387" t="str">
        <f>IF(AT532=0,"",IF(AND(AT532=1,M532="F",SUMIF(C2:C1334,C532,AS2:AS1334)&lt;=1),SUMIF(C2:C1334,C532,AS2:AS1334),IF(AND(AT532=1,M532="F",SUMIF(C2:C1334,C532,AS2:AS1334)&gt;1),1,"")))</f>
        <v/>
      </c>
      <c r="AV532" s="387" t="str">
        <f>IF(AT532=0,"",IF(AND(AT532=3,M532="F",SUMIF(C2:C1334,C532,AS2:AS1334)&lt;=1),SUMIF(C2:C1334,C532,AS2:AS1334),IF(AND(AT532=3,M532="F",SUMIF(C2:C1334,C532,AS2:AS1334)&gt;1),1,"")))</f>
        <v/>
      </c>
      <c r="AW532" s="387">
        <f>SUMIF(C2:C1334,C532,O2:O1334)</f>
        <v>2</v>
      </c>
      <c r="AX532" s="387">
        <f>IF(AND(M532="F",AS532&lt;&gt;0),SUMIF(C2:C1334,C532,W2:W1334),0)</f>
        <v>0</v>
      </c>
      <c r="AY532" s="387" t="str">
        <f t="shared" si="381"/>
        <v/>
      </c>
      <c r="AZ532" s="387" t="str">
        <f t="shared" si="382"/>
        <v/>
      </c>
      <c r="BA532" s="387">
        <f t="shared" si="383"/>
        <v>0</v>
      </c>
      <c r="BB532" s="387">
        <f t="shared" si="352"/>
        <v>0</v>
      </c>
      <c r="BC532" s="387">
        <f t="shared" si="353"/>
        <v>0</v>
      </c>
      <c r="BD532" s="387">
        <f t="shared" si="354"/>
        <v>0</v>
      </c>
      <c r="BE532" s="387">
        <f t="shared" si="355"/>
        <v>0</v>
      </c>
      <c r="BF532" s="387">
        <f t="shared" si="356"/>
        <v>0</v>
      </c>
      <c r="BG532" s="387">
        <f t="shared" si="357"/>
        <v>0</v>
      </c>
      <c r="BH532" s="387">
        <f t="shared" si="358"/>
        <v>0</v>
      </c>
      <c r="BI532" s="387">
        <f t="shared" si="359"/>
        <v>0</v>
      </c>
      <c r="BJ532" s="387">
        <f t="shared" si="360"/>
        <v>0</v>
      </c>
      <c r="BK532" s="387">
        <f t="shared" si="361"/>
        <v>0</v>
      </c>
      <c r="BL532" s="387">
        <f t="shared" si="384"/>
        <v>0</v>
      </c>
      <c r="BM532" s="387">
        <f t="shared" si="385"/>
        <v>0</v>
      </c>
      <c r="BN532" s="387">
        <f t="shared" si="362"/>
        <v>0</v>
      </c>
      <c r="BO532" s="387">
        <f t="shared" si="363"/>
        <v>0</v>
      </c>
      <c r="BP532" s="387">
        <f t="shared" si="364"/>
        <v>0</v>
      </c>
      <c r="BQ532" s="387">
        <f t="shared" si="365"/>
        <v>0</v>
      </c>
      <c r="BR532" s="387">
        <f t="shared" si="366"/>
        <v>0</v>
      </c>
      <c r="BS532" s="387">
        <f t="shared" si="367"/>
        <v>0</v>
      </c>
      <c r="BT532" s="387">
        <f t="shared" si="368"/>
        <v>0</v>
      </c>
      <c r="BU532" s="387">
        <f t="shared" si="369"/>
        <v>0</v>
      </c>
      <c r="BV532" s="387">
        <f t="shared" si="370"/>
        <v>0</v>
      </c>
      <c r="BW532" s="387">
        <f t="shared" si="371"/>
        <v>0</v>
      </c>
      <c r="BX532" s="387">
        <f t="shared" si="386"/>
        <v>0</v>
      </c>
      <c r="BY532" s="387">
        <f t="shared" si="387"/>
        <v>0</v>
      </c>
      <c r="BZ532" s="387">
        <f t="shared" si="388"/>
        <v>0</v>
      </c>
      <c r="CA532" s="387">
        <f t="shared" si="389"/>
        <v>0</v>
      </c>
      <c r="CB532" s="387">
        <f t="shared" si="390"/>
        <v>0</v>
      </c>
      <c r="CC532" s="387">
        <f t="shared" si="372"/>
        <v>0</v>
      </c>
      <c r="CD532" s="387">
        <f t="shared" si="373"/>
        <v>0</v>
      </c>
      <c r="CE532" s="387">
        <f t="shared" si="374"/>
        <v>0</v>
      </c>
      <c r="CF532" s="387">
        <f t="shared" si="375"/>
        <v>0</v>
      </c>
      <c r="CG532" s="387">
        <f t="shared" si="376"/>
        <v>0</v>
      </c>
      <c r="CH532" s="387">
        <f t="shared" si="377"/>
        <v>0</v>
      </c>
      <c r="CI532" s="387">
        <f t="shared" si="378"/>
        <v>0</v>
      </c>
      <c r="CJ532" s="387">
        <f t="shared" si="391"/>
        <v>0</v>
      </c>
      <c r="CK532" s="387" t="str">
        <f t="shared" si="392"/>
        <v/>
      </c>
      <c r="CL532" s="387" t="str">
        <f t="shared" si="393"/>
        <v/>
      </c>
      <c r="CM532" s="387" t="str">
        <f t="shared" si="394"/>
        <v/>
      </c>
      <c r="CN532" s="387" t="str">
        <f t="shared" si="395"/>
        <v>0348-31</v>
      </c>
    </row>
    <row r="533" spans="1:92" ht="15.75" thickBot="1" x14ac:dyDescent="0.3">
      <c r="A533" s="376" t="s">
        <v>161</v>
      </c>
      <c r="B533" s="376" t="s">
        <v>162</v>
      </c>
      <c r="C533" s="376" t="s">
        <v>1697</v>
      </c>
      <c r="D533" s="376" t="s">
        <v>862</v>
      </c>
      <c r="E533" s="376" t="s">
        <v>224</v>
      </c>
      <c r="F533" s="382" t="s">
        <v>225</v>
      </c>
      <c r="G533" s="376" t="s">
        <v>781</v>
      </c>
      <c r="H533" s="378"/>
      <c r="I533" s="378"/>
      <c r="J533" s="376" t="s">
        <v>239</v>
      </c>
      <c r="K533" s="376" t="s">
        <v>863</v>
      </c>
      <c r="L533" s="376" t="s">
        <v>252</v>
      </c>
      <c r="M533" s="376" t="s">
        <v>171</v>
      </c>
      <c r="N533" s="376" t="s">
        <v>172</v>
      </c>
      <c r="O533" s="379">
        <v>1</v>
      </c>
      <c r="P533" s="385">
        <v>1</v>
      </c>
      <c r="Q533" s="385">
        <v>1</v>
      </c>
      <c r="R533" s="380">
        <v>80</v>
      </c>
      <c r="S533" s="385">
        <v>1</v>
      </c>
      <c r="T533" s="380">
        <v>42460.84</v>
      </c>
      <c r="U533" s="380">
        <v>0</v>
      </c>
      <c r="V533" s="380">
        <v>19054.46</v>
      </c>
      <c r="W533" s="380">
        <v>50211.199999999997</v>
      </c>
      <c r="X533" s="380">
        <v>22508.14</v>
      </c>
      <c r="Y533" s="380">
        <v>50211.199999999997</v>
      </c>
      <c r="Z533" s="380">
        <v>22297.25</v>
      </c>
      <c r="AA533" s="376" t="s">
        <v>1698</v>
      </c>
      <c r="AB533" s="376" t="s">
        <v>1699</v>
      </c>
      <c r="AC533" s="376" t="s">
        <v>1605</v>
      </c>
      <c r="AD533" s="376" t="s">
        <v>566</v>
      </c>
      <c r="AE533" s="376" t="s">
        <v>863</v>
      </c>
      <c r="AF533" s="376" t="s">
        <v>393</v>
      </c>
      <c r="AG533" s="376" t="s">
        <v>178</v>
      </c>
      <c r="AH533" s="381">
        <v>24.14</v>
      </c>
      <c r="AI533" s="379">
        <v>19382</v>
      </c>
      <c r="AJ533" s="376" t="s">
        <v>179</v>
      </c>
      <c r="AK533" s="376" t="s">
        <v>180</v>
      </c>
      <c r="AL533" s="376" t="s">
        <v>181</v>
      </c>
      <c r="AM533" s="376" t="s">
        <v>182</v>
      </c>
      <c r="AN533" s="376" t="s">
        <v>68</v>
      </c>
      <c r="AO533" s="379">
        <v>80</v>
      </c>
      <c r="AP533" s="385">
        <v>1</v>
      </c>
      <c r="AQ533" s="385">
        <v>1</v>
      </c>
      <c r="AR533" s="383" t="s">
        <v>183</v>
      </c>
      <c r="AS533" s="387">
        <f t="shared" si="379"/>
        <v>1</v>
      </c>
      <c r="AT533">
        <f t="shared" si="380"/>
        <v>1</v>
      </c>
      <c r="AU533" s="387">
        <f>IF(AT533=0,"",IF(AND(AT533=1,M533="F",SUMIF(C2:C1334,C533,AS2:AS1334)&lt;=1),SUMIF(C2:C1334,C533,AS2:AS1334),IF(AND(AT533=1,M533="F",SUMIF(C2:C1334,C533,AS2:AS1334)&gt;1),1,"")))</f>
        <v>1</v>
      </c>
      <c r="AV533" s="387" t="str">
        <f>IF(AT533=0,"",IF(AND(AT533=3,M533="F",SUMIF(C2:C1334,C533,AS2:AS1334)&lt;=1),SUMIF(C2:C1334,C533,AS2:AS1334),IF(AND(AT533=3,M533="F",SUMIF(C2:C1334,C533,AS2:AS1334)&gt;1),1,"")))</f>
        <v/>
      </c>
      <c r="AW533" s="387">
        <f>SUMIF(C2:C1334,C533,O2:O1334)</f>
        <v>3</v>
      </c>
      <c r="AX533" s="387">
        <f>IF(AND(M533="F",AS533&lt;&gt;0),SUMIF(C2:C1334,C533,W2:W1334),0)</f>
        <v>50211.199999999997</v>
      </c>
      <c r="AY533" s="387">
        <f t="shared" si="381"/>
        <v>50211.199999999997</v>
      </c>
      <c r="AZ533" s="387" t="str">
        <f t="shared" si="382"/>
        <v/>
      </c>
      <c r="BA533" s="387">
        <f t="shared" si="383"/>
        <v>0</v>
      </c>
      <c r="BB533" s="387">
        <f t="shared" si="352"/>
        <v>11650</v>
      </c>
      <c r="BC533" s="387">
        <f t="shared" si="353"/>
        <v>0</v>
      </c>
      <c r="BD533" s="387">
        <f t="shared" si="354"/>
        <v>3113.0944</v>
      </c>
      <c r="BE533" s="387">
        <f t="shared" si="355"/>
        <v>728.06240000000003</v>
      </c>
      <c r="BF533" s="387">
        <f t="shared" si="356"/>
        <v>5995.2172799999998</v>
      </c>
      <c r="BG533" s="387">
        <f t="shared" si="357"/>
        <v>362.02275199999997</v>
      </c>
      <c r="BH533" s="387">
        <f t="shared" si="358"/>
        <v>246.03487999999999</v>
      </c>
      <c r="BI533" s="387">
        <f t="shared" si="359"/>
        <v>277.918992</v>
      </c>
      <c r="BJ533" s="387">
        <f t="shared" si="360"/>
        <v>135.57024000000001</v>
      </c>
      <c r="BK533" s="387">
        <f t="shared" si="361"/>
        <v>0</v>
      </c>
      <c r="BL533" s="387">
        <f t="shared" si="384"/>
        <v>10857.920944000001</v>
      </c>
      <c r="BM533" s="387">
        <f t="shared" si="385"/>
        <v>0</v>
      </c>
      <c r="BN533" s="387">
        <f t="shared" si="362"/>
        <v>11650</v>
      </c>
      <c r="BO533" s="387">
        <f t="shared" si="363"/>
        <v>0</v>
      </c>
      <c r="BP533" s="387">
        <f t="shared" si="364"/>
        <v>3113.0944</v>
      </c>
      <c r="BQ533" s="387">
        <f t="shared" si="365"/>
        <v>728.06240000000003</v>
      </c>
      <c r="BR533" s="387">
        <f t="shared" si="366"/>
        <v>5995.2172799999998</v>
      </c>
      <c r="BS533" s="387">
        <f t="shared" si="367"/>
        <v>362.02275199999997</v>
      </c>
      <c r="BT533" s="387">
        <f t="shared" si="368"/>
        <v>0</v>
      </c>
      <c r="BU533" s="387">
        <f t="shared" si="369"/>
        <v>277.918992</v>
      </c>
      <c r="BV533" s="387">
        <f t="shared" si="370"/>
        <v>170.71807999999999</v>
      </c>
      <c r="BW533" s="387">
        <f t="shared" si="371"/>
        <v>0</v>
      </c>
      <c r="BX533" s="387">
        <f t="shared" si="386"/>
        <v>10647.033904000002</v>
      </c>
      <c r="BY533" s="387">
        <f t="shared" si="387"/>
        <v>0</v>
      </c>
      <c r="BZ533" s="387">
        <f t="shared" si="388"/>
        <v>0</v>
      </c>
      <c r="CA533" s="387">
        <f t="shared" si="389"/>
        <v>0</v>
      </c>
      <c r="CB533" s="387">
        <f t="shared" si="390"/>
        <v>0</v>
      </c>
      <c r="CC533" s="387">
        <f t="shared" si="372"/>
        <v>0</v>
      </c>
      <c r="CD533" s="387">
        <f t="shared" si="373"/>
        <v>0</v>
      </c>
      <c r="CE533" s="387">
        <f t="shared" si="374"/>
        <v>0</v>
      </c>
      <c r="CF533" s="387">
        <f t="shared" si="375"/>
        <v>-246.03487999999999</v>
      </c>
      <c r="CG533" s="387">
        <f t="shared" si="376"/>
        <v>0</v>
      </c>
      <c r="CH533" s="387">
        <f t="shared" si="377"/>
        <v>35.147839999999981</v>
      </c>
      <c r="CI533" s="387">
        <f t="shared" si="378"/>
        <v>0</v>
      </c>
      <c r="CJ533" s="387">
        <f t="shared" si="391"/>
        <v>-210.88704000000001</v>
      </c>
      <c r="CK533" s="387" t="str">
        <f t="shared" si="392"/>
        <v/>
      </c>
      <c r="CL533" s="387" t="str">
        <f t="shared" si="393"/>
        <v/>
      </c>
      <c r="CM533" s="387" t="str">
        <f t="shared" si="394"/>
        <v/>
      </c>
      <c r="CN533" s="387" t="str">
        <f t="shared" si="395"/>
        <v>0348-31</v>
      </c>
    </row>
    <row r="534" spans="1:92" ht="15.75" thickBot="1" x14ac:dyDescent="0.3">
      <c r="A534" s="376" t="s">
        <v>161</v>
      </c>
      <c r="B534" s="376" t="s">
        <v>162</v>
      </c>
      <c r="C534" s="376" t="s">
        <v>1700</v>
      </c>
      <c r="D534" s="376" t="s">
        <v>974</v>
      </c>
      <c r="E534" s="376" t="s">
        <v>224</v>
      </c>
      <c r="F534" s="382" t="s">
        <v>225</v>
      </c>
      <c r="G534" s="376" t="s">
        <v>781</v>
      </c>
      <c r="H534" s="378"/>
      <c r="I534" s="378"/>
      <c r="J534" s="376" t="s">
        <v>215</v>
      </c>
      <c r="K534" s="376" t="s">
        <v>975</v>
      </c>
      <c r="L534" s="376" t="s">
        <v>296</v>
      </c>
      <c r="M534" s="376" t="s">
        <v>171</v>
      </c>
      <c r="N534" s="376" t="s">
        <v>172</v>
      </c>
      <c r="O534" s="379">
        <v>1</v>
      </c>
      <c r="P534" s="385">
        <v>0</v>
      </c>
      <c r="Q534" s="385">
        <v>0</v>
      </c>
      <c r="R534" s="380">
        <v>80</v>
      </c>
      <c r="S534" s="385">
        <v>0</v>
      </c>
      <c r="T534" s="380">
        <v>777.2</v>
      </c>
      <c r="U534" s="380">
        <v>0</v>
      </c>
      <c r="V534" s="380">
        <v>392.04</v>
      </c>
      <c r="W534" s="380">
        <v>0</v>
      </c>
      <c r="X534" s="380">
        <v>0</v>
      </c>
      <c r="Y534" s="380">
        <v>0</v>
      </c>
      <c r="Z534" s="380">
        <v>0</v>
      </c>
      <c r="AA534" s="376" t="s">
        <v>1701</v>
      </c>
      <c r="AB534" s="376" t="s">
        <v>1702</v>
      </c>
      <c r="AC534" s="376" t="s">
        <v>623</v>
      </c>
      <c r="AD534" s="376" t="s">
        <v>1703</v>
      </c>
      <c r="AE534" s="376" t="s">
        <v>975</v>
      </c>
      <c r="AF534" s="376" t="s">
        <v>301</v>
      </c>
      <c r="AG534" s="376" t="s">
        <v>178</v>
      </c>
      <c r="AH534" s="381">
        <v>20.81</v>
      </c>
      <c r="AI534" s="381">
        <v>16452.900000000001</v>
      </c>
      <c r="AJ534" s="376" t="s">
        <v>179</v>
      </c>
      <c r="AK534" s="376" t="s">
        <v>180</v>
      </c>
      <c r="AL534" s="376" t="s">
        <v>181</v>
      </c>
      <c r="AM534" s="376" t="s">
        <v>182</v>
      </c>
      <c r="AN534" s="376" t="s">
        <v>68</v>
      </c>
      <c r="AO534" s="379">
        <v>80</v>
      </c>
      <c r="AP534" s="385">
        <v>1</v>
      </c>
      <c r="AQ534" s="385">
        <v>0</v>
      </c>
      <c r="AR534" s="383" t="s">
        <v>183</v>
      </c>
      <c r="AS534" s="387">
        <f t="shared" si="379"/>
        <v>0</v>
      </c>
      <c r="AT534">
        <f t="shared" si="380"/>
        <v>0</v>
      </c>
      <c r="AU534" s="387" t="str">
        <f>IF(AT534=0,"",IF(AND(AT534=1,M534="F",SUMIF(C2:C1334,C534,AS2:AS1334)&lt;=1),SUMIF(C2:C1334,C534,AS2:AS1334),IF(AND(AT534=1,M534="F",SUMIF(C2:C1334,C534,AS2:AS1334)&gt;1),1,"")))</f>
        <v/>
      </c>
      <c r="AV534" s="387" t="str">
        <f>IF(AT534=0,"",IF(AND(AT534=3,M534="F",SUMIF(C2:C1334,C534,AS2:AS1334)&lt;=1),SUMIF(C2:C1334,C534,AS2:AS1334),IF(AND(AT534=3,M534="F",SUMIF(C2:C1334,C534,AS2:AS1334)&gt;1),1,"")))</f>
        <v/>
      </c>
      <c r="AW534" s="387">
        <f>SUMIF(C2:C1334,C534,O2:O1334)</f>
        <v>2</v>
      </c>
      <c r="AX534" s="387">
        <f>IF(AND(M534="F",AS534&lt;&gt;0),SUMIF(C2:C1334,C534,W2:W1334),0)</f>
        <v>0</v>
      </c>
      <c r="AY534" s="387" t="str">
        <f t="shared" si="381"/>
        <v/>
      </c>
      <c r="AZ534" s="387" t="str">
        <f t="shared" si="382"/>
        <v/>
      </c>
      <c r="BA534" s="387">
        <f t="shared" si="383"/>
        <v>0</v>
      </c>
      <c r="BB534" s="387">
        <f t="shared" si="352"/>
        <v>0</v>
      </c>
      <c r="BC534" s="387">
        <f t="shared" si="353"/>
        <v>0</v>
      </c>
      <c r="BD534" s="387">
        <f t="shared" si="354"/>
        <v>0</v>
      </c>
      <c r="BE534" s="387">
        <f t="shared" si="355"/>
        <v>0</v>
      </c>
      <c r="BF534" s="387">
        <f t="shared" si="356"/>
        <v>0</v>
      </c>
      <c r="BG534" s="387">
        <f t="shared" si="357"/>
        <v>0</v>
      </c>
      <c r="BH534" s="387">
        <f t="shared" si="358"/>
        <v>0</v>
      </c>
      <c r="BI534" s="387">
        <f t="shared" si="359"/>
        <v>0</v>
      </c>
      <c r="BJ534" s="387">
        <f t="shared" si="360"/>
        <v>0</v>
      </c>
      <c r="BK534" s="387">
        <f t="shared" si="361"/>
        <v>0</v>
      </c>
      <c r="BL534" s="387">
        <f t="shared" si="384"/>
        <v>0</v>
      </c>
      <c r="BM534" s="387">
        <f t="shared" si="385"/>
        <v>0</v>
      </c>
      <c r="BN534" s="387">
        <f t="shared" si="362"/>
        <v>0</v>
      </c>
      <c r="BO534" s="387">
        <f t="shared" si="363"/>
        <v>0</v>
      </c>
      <c r="BP534" s="387">
        <f t="shared" si="364"/>
        <v>0</v>
      </c>
      <c r="BQ534" s="387">
        <f t="shared" si="365"/>
        <v>0</v>
      </c>
      <c r="BR534" s="387">
        <f t="shared" si="366"/>
        <v>0</v>
      </c>
      <c r="BS534" s="387">
        <f t="shared" si="367"/>
        <v>0</v>
      </c>
      <c r="BT534" s="387">
        <f t="shared" si="368"/>
        <v>0</v>
      </c>
      <c r="BU534" s="387">
        <f t="shared" si="369"/>
        <v>0</v>
      </c>
      <c r="BV534" s="387">
        <f t="shared" si="370"/>
        <v>0</v>
      </c>
      <c r="BW534" s="387">
        <f t="shared" si="371"/>
        <v>0</v>
      </c>
      <c r="BX534" s="387">
        <f t="shared" si="386"/>
        <v>0</v>
      </c>
      <c r="BY534" s="387">
        <f t="shared" si="387"/>
        <v>0</v>
      </c>
      <c r="BZ534" s="387">
        <f t="shared" si="388"/>
        <v>0</v>
      </c>
      <c r="CA534" s="387">
        <f t="shared" si="389"/>
        <v>0</v>
      </c>
      <c r="CB534" s="387">
        <f t="shared" si="390"/>
        <v>0</v>
      </c>
      <c r="CC534" s="387">
        <f t="shared" si="372"/>
        <v>0</v>
      </c>
      <c r="CD534" s="387">
        <f t="shared" si="373"/>
        <v>0</v>
      </c>
      <c r="CE534" s="387">
        <f t="shared" si="374"/>
        <v>0</v>
      </c>
      <c r="CF534" s="387">
        <f t="shared" si="375"/>
        <v>0</v>
      </c>
      <c r="CG534" s="387">
        <f t="shared" si="376"/>
        <v>0</v>
      </c>
      <c r="CH534" s="387">
        <f t="shared" si="377"/>
        <v>0</v>
      </c>
      <c r="CI534" s="387">
        <f t="shared" si="378"/>
        <v>0</v>
      </c>
      <c r="CJ534" s="387">
        <f t="shared" si="391"/>
        <v>0</v>
      </c>
      <c r="CK534" s="387" t="str">
        <f t="shared" si="392"/>
        <v/>
      </c>
      <c r="CL534" s="387" t="str">
        <f t="shared" si="393"/>
        <v/>
      </c>
      <c r="CM534" s="387" t="str">
        <f t="shared" si="394"/>
        <v/>
      </c>
      <c r="CN534" s="387" t="str">
        <f t="shared" si="395"/>
        <v>0348-31</v>
      </c>
    </row>
    <row r="535" spans="1:92" ht="15.75" thickBot="1" x14ac:dyDescent="0.3">
      <c r="A535" s="376" t="s">
        <v>161</v>
      </c>
      <c r="B535" s="376" t="s">
        <v>162</v>
      </c>
      <c r="C535" s="376" t="s">
        <v>1704</v>
      </c>
      <c r="D535" s="376" t="s">
        <v>608</v>
      </c>
      <c r="E535" s="376" t="s">
        <v>224</v>
      </c>
      <c r="F535" s="382" t="s">
        <v>225</v>
      </c>
      <c r="G535" s="376" t="s">
        <v>781</v>
      </c>
      <c r="H535" s="378"/>
      <c r="I535" s="378"/>
      <c r="J535" s="376" t="s">
        <v>215</v>
      </c>
      <c r="K535" s="376" t="s">
        <v>609</v>
      </c>
      <c r="L535" s="376" t="s">
        <v>181</v>
      </c>
      <c r="M535" s="376" t="s">
        <v>171</v>
      </c>
      <c r="N535" s="376" t="s">
        <v>172</v>
      </c>
      <c r="O535" s="379">
        <v>1</v>
      </c>
      <c r="P535" s="385">
        <v>0</v>
      </c>
      <c r="Q535" s="385">
        <v>0</v>
      </c>
      <c r="R535" s="380">
        <v>80</v>
      </c>
      <c r="S535" s="385">
        <v>0</v>
      </c>
      <c r="T535" s="380">
        <v>91748.91</v>
      </c>
      <c r="U535" s="380">
        <v>0</v>
      </c>
      <c r="V535" s="380">
        <v>30745.78</v>
      </c>
      <c r="W535" s="380">
        <v>0</v>
      </c>
      <c r="X535" s="380">
        <v>0</v>
      </c>
      <c r="Y535" s="380">
        <v>0</v>
      </c>
      <c r="Z535" s="380">
        <v>0</v>
      </c>
      <c r="AA535" s="376" t="s">
        <v>1705</v>
      </c>
      <c r="AB535" s="376" t="s">
        <v>1706</v>
      </c>
      <c r="AC535" s="376" t="s">
        <v>1707</v>
      </c>
      <c r="AD535" s="376" t="s">
        <v>1708</v>
      </c>
      <c r="AE535" s="376" t="s">
        <v>609</v>
      </c>
      <c r="AF535" s="376" t="s">
        <v>211</v>
      </c>
      <c r="AG535" s="376" t="s">
        <v>178</v>
      </c>
      <c r="AH535" s="381">
        <v>45.95</v>
      </c>
      <c r="AI535" s="381">
        <v>59441.1</v>
      </c>
      <c r="AJ535" s="376" t="s">
        <v>179</v>
      </c>
      <c r="AK535" s="376" t="s">
        <v>180</v>
      </c>
      <c r="AL535" s="376" t="s">
        <v>181</v>
      </c>
      <c r="AM535" s="376" t="s">
        <v>182</v>
      </c>
      <c r="AN535" s="376" t="s">
        <v>68</v>
      </c>
      <c r="AO535" s="379">
        <v>80</v>
      </c>
      <c r="AP535" s="385">
        <v>1</v>
      </c>
      <c r="AQ535" s="385">
        <v>0</v>
      </c>
      <c r="AR535" s="383" t="s">
        <v>183</v>
      </c>
      <c r="AS535" s="387">
        <f t="shared" si="379"/>
        <v>0</v>
      </c>
      <c r="AT535">
        <f t="shared" si="380"/>
        <v>0</v>
      </c>
      <c r="AU535" s="387" t="str">
        <f>IF(AT535=0,"",IF(AND(AT535=1,M535="F",SUMIF(C2:C1334,C535,AS2:AS1334)&lt;=1),SUMIF(C2:C1334,C535,AS2:AS1334),IF(AND(AT535=1,M535="F",SUMIF(C2:C1334,C535,AS2:AS1334)&gt;1),1,"")))</f>
        <v/>
      </c>
      <c r="AV535" s="387" t="str">
        <f>IF(AT535=0,"",IF(AND(AT535=3,M535="F",SUMIF(C2:C1334,C535,AS2:AS1334)&lt;=1),SUMIF(C2:C1334,C535,AS2:AS1334),IF(AND(AT535=3,M535="F",SUMIF(C2:C1334,C535,AS2:AS1334)&gt;1),1,"")))</f>
        <v/>
      </c>
      <c r="AW535" s="387">
        <f>SUMIF(C2:C1334,C535,O2:O1334)</f>
        <v>2</v>
      </c>
      <c r="AX535" s="387">
        <f>IF(AND(M535="F",AS535&lt;&gt;0),SUMIF(C2:C1334,C535,W2:W1334),0)</f>
        <v>0</v>
      </c>
      <c r="AY535" s="387" t="str">
        <f t="shared" si="381"/>
        <v/>
      </c>
      <c r="AZ535" s="387" t="str">
        <f t="shared" si="382"/>
        <v/>
      </c>
      <c r="BA535" s="387">
        <f t="shared" si="383"/>
        <v>0</v>
      </c>
      <c r="BB535" s="387">
        <f t="shared" si="352"/>
        <v>0</v>
      </c>
      <c r="BC535" s="387">
        <f t="shared" si="353"/>
        <v>0</v>
      </c>
      <c r="BD535" s="387">
        <f t="shared" si="354"/>
        <v>0</v>
      </c>
      <c r="BE535" s="387">
        <f t="shared" si="355"/>
        <v>0</v>
      </c>
      <c r="BF535" s="387">
        <f t="shared" si="356"/>
        <v>0</v>
      </c>
      <c r="BG535" s="387">
        <f t="shared" si="357"/>
        <v>0</v>
      </c>
      <c r="BH535" s="387">
        <f t="shared" si="358"/>
        <v>0</v>
      </c>
      <c r="BI535" s="387">
        <f t="shared" si="359"/>
        <v>0</v>
      </c>
      <c r="BJ535" s="387">
        <f t="shared" si="360"/>
        <v>0</v>
      </c>
      <c r="BK535" s="387">
        <f t="shared" si="361"/>
        <v>0</v>
      </c>
      <c r="BL535" s="387">
        <f t="shared" si="384"/>
        <v>0</v>
      </c>
      <c r="BM535" s="387">
        <f t="shared" si="385"/>
        <v>0</v>
      </c>
      <c r="BN535" s="387">
        <f t="shared" si="362"/>
        <v>0</v>
      </c>
      <c r="BO535" s="387">
        <f t="shared" si="363"/>
        <v>0</v>
      </c>
      <c r="BP535" s="387">
        <f t="shared" si="364"/>
        <v>0</v>
      </c>
      <c r="BQ535" s="387">
        <f t="shared" si="365"/>
        <v>0</v>
      </c>
      <c r="BR535" s="387">
        <f t="shared" si="366"/>
        <v>0</v>
      </c>
      <c r="BS535" s="387">
        <f t="shared" si="367"/>
        <v>0</v>
      </c>
      <c r="BT535" s="387">
        <f t="shared" si="368"/>
        <v>0</v>
      </c>
      <c r="BU535" s="387">
        <f t="shared" si="369"/>
        <v>0</v>
      </c>
      <c r="BV535" s="387">
        <f t="shared" si="370"/>
        <v>0</v>
      </c>
      <c r="BW535" s="387">
        <f t="shared" si="371"/>
        <v>0</v>
      </c>
      <c r="BX535" s="387">
        <f t="shared" si="386"/>
        <v>0</v>
      </c>
      <c r="BY535" s="387">
        <f t="shared" si="387"/>
        <v>0</v>
      </c>
      <c r="BZ535" s="387">
        <f t="shared" si="388"/>
        <v>0</v>
      </c>
      <c r="CA535" s="387">
        <f t="shared" si="389"/>
        <v>0</v>
      </c>
      <c r="CB535" s="387">
        <f t="shared" si="390"/>
        <v>0</v>
      </c>
      <c r="CC535" s="387">
        <f t="shared" si="372"/>
        <v>0</v>
      </c>
      <c r="CD535" s="387">
        <f t="shared" si="373"/>
        <v>0</v>
      </c>
      <c r="CE535" s="387">
        <f t="shared" si="374"/>
        <v>0</v>
      </c>
      <c r="CF535" s="387">
        <f t="shared" si="375"/>
        <v>0</v>
      </c>
      <c r="CG535" s="387">
        <f t="shared" si="376"/>
        <v>0</v>
      </c>
      <c r="CH535" s="387">
        <f t="shared" si="377"/>
        <v>0</v>
      </c>
      <c r="CI535" s="387">
        <f t="shared" si="378"/>
        <v>0</v>
      </c>
      <c r="CJ535" s="387">
        <f t="shared" si="391"/>
        <v>0</v>
      </c>
      <c r="CK535" s="387" t="str">
        <f t="shared" si="392"/>
        <v/>
      </c>
      <c r="CL535" s="387" t="str">
        <f t="shared" si="393"/>
        <v/>
      </c>
      <c r="CM535" s="387" t="str">
        <f t="shared" si="394"/>
        <v/>
      </c>
      <c r="CN535" s="387" t="str">
        <f t="shared" si="395"/>
        <v>0348-31</v>
      </c>
    </row>
    <row r="536" spans="1:92" ht="15.75" thickBot="1" x14ac:dyDescent="0.3">
      <c r="A536" s="376" t="s">
        <v>161</v>
      </c>
      <c r="B536" s="376" t="s">
        <v>162</v>
      </c>
      <c r="C536" s="376" t="s">
        <v>1709</v>
      </c>
      <c r="D536" s="376" t="s">
        <v>862</v>
      </c>
      <c r="E536" s="376" t="s">
        <v>224</v>
      </c>
      <c r="F536" s="382" t="s">
        <v>225</v>
      </c>
      <c r="G536" s="376" t="s">
        <v>781</v>
      </c>
      <c r="H536" s="378"/>
      <c r="I536" s="378"/>
      <c r="J536" s="376" t="s">
        <v>239</v>
      </c>
      <c r="K536" s="376" t="s">
        <v>863</v>
      </c>
      <c r="L536" s="376" t="s">
        <v>252</v>
      </c>
      <c r="M536" s="376" t="s">
        <v>171</v>
      </c>
      <c r="N536" s="376" t="s">
        <v>172</v>
      </c>
      <c r="O536" s="379">
        <v>1</v>
      </c>
      <c r="P536" s="385">
        <v>0.75</v>
      </c>
      <c r="Q536" s="385">
        <v>0.75</v>
      </c>
      <c r="R536" s="380">
        <v>80</v>
      </c>
      <c r="S536" s="385">
        <v>0.75</v>
      </c>
      <c r="T536" s="380">
        <v>38962.61</v>
      </c>
      <c r="U536" s="380">
        <v>0</v>
      </c>
      <c r="V536" s="380">
        <v>16655.349999999999</v>
      </c>
      <c r="W536" s="380">
        <v>39234</v>
      </c>
      <c r="X536" s="380">
        <v>17221.82</v>
      </c>
      <c r="Y536" s="380">
        <v>39234</v>
      </c>
      <c r="Z536" s="380">
        <v>17057.04</v>
      </c>
      <c r="AA536" s="376" t="s">
        <v>1710</v>
      </c>
      <c r="AB536" s="376" t="s">
        <v>1711</v>
      </c>
      <c r="AC536" s="376" t="s">
        <v>1712</v>
      </c>
      <c r="AD536" s="376" t="s">
        <v>1713</v>
      </c>
      <c r="AE536" s="376" t="s">
        <v>863</v>
      </c>
      <c r="AF536" s="376" t="s">
        <v>393</v>
      </c>
      <c r="AG536" s="376" t="s">
        <v>178</v>
      </c>
      <c r="AH536" s="381">
        <v>25.15</v>
      </c>
      <c r="AI536" s="381">
        <v>73305.5</v>
      </c>
      <c r="AJ536" s="376" t="s">
        <v>179</v>
      </c>
      <c r="AK536" s="376" t="s">
        <v>180</v>
      </c>
      <c r="AL536" s="376" t="s">
        <v>181</v>
      </c>
      <c r="AM536" s="376" t="s">
        <v>182</v>
      </c>
      <c r="AN536" s="376" t="s">
        <v>68</v>
      </c>
      <c r="AO536" s="379">
        <v>80</v>
      </c>
      <c r="AP536" s="385">
        <v>1</v>
      </c>
      <c r="AQ536" s="385">
        <v>0.75</v>
      </c>
      <c r="AR536" s="383" t="s">
        <v>183</v>
      </c>
      <c r="AS536" s="387">
        <f t="shared" si="379"/>
        <v>0.75</v>
      </c>
      <c r="AT536">
        <f t="shared" si="380"/>
        <v>1</v>
      </c>
      <c r="AU536" s="387">
        <f>IF(AT536=0,"",IF(AND(AT536=1,M536="F",SUMIF(C2:C1334,C536,AS2:AS1334)&lt;=1),SUMIF(C2:C1334,C536,AS2:AS1334),IF(AND(AT536=1,M536="F",SUMIF(C2:C1334,C536,AS2:AS1334)&gt;1),1,"")))</f>
        <v>1</v>
      </c>
      <c r="AV536" s="387" t="str">
        <f>IF(AT536=0,"",IF(AND(AT536=3,M536="F",SUMIF(C2:C1334,C536,AS2:AS1334)&lt;=1),SUMIF(C2:C1334,C536,AS2:AS1334),IF(AND(AT536=3,M536="F",SUMIF(C2:C1334,C536,AS2:AS1334)&gt;1),1,"")))</f>
        <v/>
      </c>
      <c r="AW536" s="387">
        <f>SUMIF(C2:C1334,C536,O2:O1334)</f>
        <v>3</v>
      </c>
      <c r="AX536" s="387">
        <f>IF(AND(M536="F",AS536&lt;&gt;0),SUMIF(C2:C1334,C536,W2:W1334),0)</f>
        <v>52312</v>
      </c>
      <c r="AY536" s="387">
        <f t="shared" si="381"/>
        <v>39234</v>
      </c>
      <c r="AZ536" s="387" t="str">
        <f t="shared" si="382"/>
        <v/>
      </c>
      <c r="BA536" s="387">
        <f t="shared" si="383"/>
        <v>0</v>
      </c>
      <c r="BB536" s="387">
        <f t="shared" si="352"/>
        <v>8737.5</v>
      </c>
      <c r="BC536" s="387">
        <f t="shared" si="353"/>
        <v>0</v>
      </c>
      <c r="BD536" s="387">
        <f t="shared" si="354"/>
        <v>2432.5079999999998</v>
      </c>
      <c r="BE536" s="387">
        <f t="shared" si="355"/>
        <v>568.89300000000003</v>
      </c>
      <c r="BF536" s="387">
        <f t="shared" si="356"/>
        <v>4684.5396000000001</v>
      </c>
      <c r="BG536" s="387">
        <f t="shared" si="357"/>
        <v>282.87714</v>
      </c>
      <c r="BH536" s="387">
        <f t="shared" si="358"/>
        <v>192.2466</v>
      </c>
      <c r="BI536" s="387">
        <f t="shared" si="359"/>
        <v>217.16019</v>
      </c>
      <c r="BJ536" s="387">
        <f t="shared" si="360"/>
        <v>105.93180000000001</v>
      </c>
      <c r="BK536" s="387">
        <f t="shared" si="361"/>
        <v>0</v>
      </c>
      <c r="BL536" s="387">
        <f t="shared" si="384"/>
        <v>8484.1563299999998</v>
      </c>
      <c r="BM536" s="387">
        <f t="shared" si="385"/>
        <v>0</v>
      </c>
      <c r="BN536" s="387">
        <f t="shared" si="362"/>
        <v>8737.5</v>
      </c>
      <c r="BO536" s="387">
        <f t="shared" si="363"/>
        <v>0</v>
      </c>
      <c r="BP536" s="387">
        <f t="shared" si="364"/>
        <v>2432.5079999999998</v>
      </c>
      <c r="BQ536" s="387">
        <f t="shared" si="365"/>
        <v>568.89300000000003</v>
      </c>
      <c r="BR536" s="387">
        <f t="shared" si="366"/>
        <v>4684.5396000000001</v>
      </c>
      <c r="BS536" s="387">
        <f t="shared" si="367"/>
        <v>282.87714</v>
      </c>
      <c r="BT536" s="387">
        <f t="shared" si="368"/>
        <v>0</v>
      </c>
      <c r="BU536" s="387">
        <f t="shared" si="369"/>
        <v>217.16019</v>
      </c>
      <c r="BV536" s="387">
        <f t="shared" si="370"/>
        <v>133.3956</v>
      </c>
      <c r="BW536" s="387">
        <f t="shared" si="371"/>
        <v>0</v>
      </c>
      <c r="BX536" s="387">
        <f t="shared" si="386"/>
        <v>8319.3735299999989</v>
      </c>
      <c r="BY536" s="387">
        <f t="shared" si="387"/>
        <v>0</v>
      </c>
      <c r="BZ536" s="387">
        <f t="shared" si="388"/>
        <v>0</v>
      </c>
      <c r="CA536" s="387">
        <f t="shared" si="389"/>
        <v>0</v>
      </c>
      <c r="CB536" s="387">
        <f t="shared" si="390"/>
        <v>0</v>
      </c>
      <c r="CC536" s="387">
        <f t="shared" si="372"/>
        <v>0</v>
      </c>
      <c r="CD536" s="387">
        <f t="shared" si="373"/>
        <v>0</v>
      </c>
      <c r="CE536" s="387">
        <f t="shared" si="374"/>
        <v>0</v>
      </c>
      <c r="CF536" s="387">
        <f t="shared" si="375"/>
        <v>-192.2466</v>
      </c>
      <c r="CG536" s="387">
        <f t="shared" si="376"/>
        <v>0</v>
      </c>
      <c r="CH536" s="387">
        <f t="shared" si="377"/>
        <v>27.463799999999988</v>
      </c>
      <c r="CI536" s="387">
        <f t="shared" si="378"/>
        <v>0</v>
      </c>
      <c r="CJ536" s="387">
        <f t="shared" si="391"/>
        <v>-164.78280000000001</v>
      </c>
      <c r="CK536" s="387" t="str">
        <f t="shared" si="392"/>
        <v/>
      </c>
      <c r="CL536" s="387" t="str">
        <f t="shared" si="393"/>
        <v/>
      </c>
      <c r="CM536" s="387" t="str">
        <f t="shared" si="394"/>
        <v/>
      </c>
      <c r="CN536" s="387" t="str">
        <f t="shared" si="395"/>
        <v>0348-31</v>
      </c>
    </row>
    <row r="537" spans="1:92" ht="15.75" thickBot="1" x14ac:dyDescent="0.3">
      <c r="A537" s="376" t="s">
        <v>161</v>
      </c>
      <c r="B537" s="376" t="s">
        <v>162</v>
      </c>
      <c r="C537" s="376" t="s">
        <v>403</v>
      </c>
      <c r="D537" s="376" t="s">
        <v>238</v>
      </c>
      <c r="E537" s="376" t="s">
        <v>224</v>
      </c>
      <c r="F537" s="382" t="s">
        <v>225</v>
      </c>
      <c r="G537" s="376" t="s">
        <v>781</v>
      </c>
      <c r="H537" s="378"/>
      <c r="I537" s="378"/>
      <c r="J537" s="376" t="s">
        <v>239</v>
      </c>
      <c r="K537" s="376" t="s">
        <v>343</v>
      </c>
      <c r="L537" s="376" t="s">
        <v>296</v>
      </c>
      <c r="M537" s="376" t="s">
        <v>171</v>
      </c>
      <c r="N537" s="376" t="s">
        <v>172</v>
      </c>
      <c r="O537" s="379">
        <v>1</v>
      </c>
      <c r="P537" s="385">
        <v>0.85</v>
      </c>
      <c r="Q537" s="385">
        <v>0.85</v>
      </c>
      <c r="R537" s="380">
        <v>80</v>
      </c>
      <c r="S537" s="385">
        <v>0.85</v>
      </c>
      <c r="T537" s="380">
        <v>44107.99</v>
      </c>
      <c r="U537" s="380">
        <v>0</v>
      </c>
      <c r="V537" s="380">
        <v>20572.009999999998</v>
      </c>
      <c r="W537" s="380">
        <v>39302.639999999999</v>
      </c>
      <c r="X537" s="380">
        <v>18401.66</v>
      </c>
      <c r="Y537" s="380">
        <v>39302.639999999999</v>
      </c>
      <c r="Z537" s="380">
        <v>18236.599999999999</v>
      </c>
      <c r="AA537" s="376" t="s">
        <v>404</v>
      </c>
      <c r="AB537" s="376" t="s">
        <v>405</v>
      </c>
      <c r="AC537" s="376" t="s">
        <v>229</v>
      </c>
      <c r="AD537" s="376" t="s">
        <v>406</v>
      </c>
      <c r="AE537" s="376" t="s">
        <v>343</v>
      </c>
      <c r="AF537" s="376" t="s">
        <v>301</v>
      </c>
      <c r="AG537" s="376" t="s">
        <v>178</v>
      </c>
      <c r="AH537" s="381">
        <v>22.23</v>
      </c>
      <c r="AI537" s="381">
        <v>63543.7</v>
      </c>
      <c r="AJ537" s="376" t="s">
        <v>179</v>
      </c>
      <c r="AK537" s="376" t="s">
        <v>180</v>
      </c>
      <c r="AL537" s="376" t="s">
        <v>181</v>
      </c>
      <c r="AM537" s="376" t="s">
        <v>182</v>
      </c>
      <c r="AN537" s="376" t="s">
        <v>68</v>
      </c>
      <c r="AO537" s="379">
        <v>80</v>
      </c>
      <c r="AP537" s="385">
        <v>1</v>
      </c>
      <c r="AQ537" s="385">
        <v>0.85</v>
      </c>
      <c r="AR537" s="383" t="s">
        <v>183</v>
      </c>
      <c r="AS537" s="387">
        <f t="shared" si="379"/>
        <v>0.85</v>
      </c>
      <c r="AT537">
        <f t="shared" si="380"/>
        <v>1</v>
      </c>
      <c r="AU537" s="387">
        <f>IF(AT537=0,"",IF(AND(AT537=1,M537="F",SUMIF(C2:C1334,C537,AS2:AS1334)&lt;=1),SUMIF(C2:C1334,C537,AS2:AS1334),IF(AND(AT537=1,M537="F",SUMIF(C2:C1334,C537,AS2:AS1334)&gt;1),1,"")))</f>
        <v>1</v>
      </c>
      <c r="AV537" s="387" t="str">
        <f>IF(AT537=0,"",IF(AND(AT537=3,M537="F",SUMIF(C2:C1334,C537,AS2:AS1334)&lt;=1),SUMIF(C2:C1334,C537,AS2:AS1334),IF(AND(AT537=3,M537="F",SUMIF(C2:C1334,C537,AS2:AS1334)&gt;1),1,"")))</f>
        <v/>
      </c>
      <c r="AW537" s="387">
        <f>SUMIF(C2:C1334,C537,O2:O1334)</f>
        <v>3</v>
      </c>
      <c r="AX537" s="387">
        <f>IF(AND(M537="F",AS537&lt;&gt;0),SUMIF(C2:C1334,C537,W2:W1334),0)</f>
        <v>46238.400000000001</v>
      </c>
      <c r="AY537" s="387">
        <f t="shared" si="381"/>
        <v>39302.639999999999</v>
      </c>
      <c r="AZ537" s="387" t="str">
        <f t="shared" si="382"/>
        <v/>
      </c>
      <c r="BA537" s="387">
        <f t="shared" si="383"/>
        <v>0</v>
      </c>
      <c r="BB537" s="387">
        <f t="shared" si="352"/>
        <v>9902.5</v>
      </c>
      <c r="BC537" s="387">
        <f t="shared" si="353"/>
        <v>0</v>
      </c>
      <c r="BD537" s="387">
        <f t="shared" si="354"/>
        <v>2436.76368</v>
      </c>
      <c r="BE537" s="387">
        <f t="shared" si="355"/>
        <v>569.88828000000001</v>
      </c>
      <c r="BF537" s="387">
        <f t="shared" si="356"/>
        <v>4692.735216</v>
      </c>
      <c r="BG537" s="387">
        <f t="shared" si="357"/>
        <v>283.37203440000002</v>
      </c>
      <c r="BH537" s="387">
        <f t="shared" si="358"/>
        <v>192.58293599999999</v>
      </c>
      <c r="BI537" s="387">
        <f t="shared" si="359"/>
        <v>217.5401124</v>
      </c>
      <c r="BJ537" s="387">
        <f t="shared" si="360"/>
        <v>106.11712800000001</v>
      </c>
      <c r="BK537" s="387">
        <f t="shared" si="361"/>
        <v>0</v>
      </c>
      <c r="BL537" s="387">
        <f t="shared" si="384"/>
        <v>8498.9993868000001</v>
      </c>
      <c r="BM537" s="387">
        <f t="shared" si="385"/>
        <v>0</v>
      </c>
      <c r="BN537" s="387">
        <f t="shared" si="362"/>
        <v>9902.5</v>
      </c>
      <c r="BO537" s="387">
        <f t="shared" si="363"/>
        <v>0</v>
      </c>
      <c r="BP537" s="387">
        <f t="shared" si="364"/>
        <v>2436.76368</v>
      </c>
      <c r="BQ537" s="387">
        <f t="shared" si="365"/>
        <v>569.88828000000001</v>
      </c>
      <c r="BR537" s="387">
        <f t="shared" si="366"/>
        <v>4692.735216</v>
      </c>
      <c r="BS537" s="387">
        <f t="shared" si="367"/>
        <v>283.37203440000002</v>
      </c>
      <c r="BT537" s="387">
        <f t="shared" si="368"/>
        <v>0</v>
      </c>
      <c r="BU537" s="387">
        <f t="shared" si="369"/>
        <v>217.5401124</v>
      </c>
      <c r="BV537" s="387">
        <f t="shared" si="370"/>
        <v>133.62897599999999</v>
      </c>
      <c r="BW537" s="387">
        <f t="shared" si="371"/>
        <v>0</v>
      </c>
      <c r="BX537" s="387">
        <f t="shared" si="386"/>
        <v>8333.9282988000014</v>
      </c>
      <c r="BY537" s="387">
        <f t="shared" si="387"/>
        <v>0</v>
      </c>
      <c r="BZ537" s="387">
        <f t="shared" si="388"/>
        <v>0</v>
      </c>
      <c r="CA537" s="387">
        <f t="shared" si="389"/>
        <v>0</v>
      </c>
      <c r="CB537" s="387">
        <f t="shared" si="390"/>
        <v>0</v>
      </c>
      <c r="CC537" s="387">
        <f t="shared" si="372"/>
        <v>0</v>
      </c>
      <c r="CD537" s="387">
        <f t="shared" si="373"/>
        <v>0</v>
      </c>
      <c r="CE537" s="387">
        <f t="shared" si="374"/>
        <v>0</v>
      </c>
      <c r="CF537" s="387">
        <f t="shared" si="375"/>
        <v>-192.58293599999999</v>
      </c>
      <c r="CG537" s="387">
        <f t="shared" si="376"/>
        <v>0</v>
      </c>
      <c r="CH537" s="387">
        <f t="shared" si="377"/>
        <v>27.511847999999986</v>
      </c>
      <c r="CI537" s="387">
        <f t="shared" si="378"/>
        <v>0</v>
      </c>
      <c r="CJ537" s="387">
        <f t="shared" si="391"/>
        <v>-165.071088</v>
      </c>
      <c r="CK537" s="387" t="str">
        <f t="shared" si="392"/>
        <v/>
      </c>
      <c r="CL537" s="387" t="str">
        <f t="shared" si="393"/>
        <v/>
      </c>
      <c r="CM537" s="387" t="str">
        <f t="shared" si="394"/>
        <v/>
      </c>
      <c r="CN537" s="387" t="str">
        <f t="shared" si="395"/>
        <v>0348-31</v>
      </c>
    </row>
    <row r="538" spans="1:92" ht="15.75" thickBot="1" x14ac:dyDescent="0.3">
      <c r="A538" s="376" t="s">
        <v>161</v>
      </c>
      <c r="B538" s="376" t="s">
        <v>162</v>
      </c>
      <c r="C538" s="376" t="s">
        <v>1714</v>
      </c>
      <c r="D538" s="376" t="s">
        <v>868</v>
      </c>
      <c r="E538" s="376" t="s">
        <v>224</v>
      </c>
      <c r="F538" s="382" t="s">
        <v>225</v>
      </c>
      <c r="G538" s="376" t="s">
        <v>781</v>
      </c>
      <c r="H538" s="378"/>
      <c r="I538" s="378"/>
      <c r="J538" s="376" t="s">
        <v>215</v>
      </c>
      <c r="K538" s="376" t="s">
        <v>869</v>
      </c>
      <c r="L538" s="376" t="s">
        <v>296</v>
      </c>
      <c r="M538" s="376" t="s">
        <v>171</v>
      </c>
      <c r="N538" s="376" t="s">
        <v>172</v>
      </c>
      <c r="O538" s="379">
        <v>1</v>
      </c>
      <c r="P538" s="385">
        <v>0</v>
      </c>
      <c r="Q538" s="385">
        <v>0</v>
      </c>
      <c r="R538" s="380">
        <v>80</v>
      </c>
      <c r="S538" s="385">
        <v>0</v>
      </c>
      <c r="T538" s="380">
        <v>30704</v>
      </c>
      <c r="U538" s="380">
        <v>0</v>
      </c>
      <c r="V538" s="380">
        <v>15204.92</v>
      </c>
      <c r="W538" s="380">
        <v>0</v>
      </c>
      <c r="X538" s="380">
        <v>0</v>
      </c>
      <c r="Y538" s="380">
        <v>0</v>
      </c>
      <c r="Z538" s="380">
        <v>0</v>
      </c>
      <c r="AA538" s="376" t="s">
        <v>1715</v>
      </c>
      <c r="AB538" s="376" t="s">
        <v>1716</v>
      </c>
      <c r="AC538" s="376" t="s">
        <v>176</v>
      </c>
      <c r="AD538" s="376" t="s">
        <v>1028</v>
      </c>
      <c r="AE538" s="376" t="s">
        <v>873</v>
      </c>
      <c r="AF538" s="376" t="s">
        <v>393</v>
      </c>
      <c r="AG538" s="376" t="s">
        <v>178</v>
      </c>
      <c r="AH538" s="381">
        <v>20.2</v>
      </c>
      <c r="AI538" s="381">
        <v>27088.400000000001</v>
      </c>
      <c r="AJ538" s="376" t="s">
        <v>179</v>
      </c>
      <c r="AK538" s="376" t="s">
        <v>180</v>
      </c>
      <c r="AL538" s="376" t="s">
        <v>181</v>
      </c>
      <c r="AM538" s="376" t="s">
        <v>182</v>
      </c>
      <c r="AN538" s="376" t="s">
        <v>68</v>
      </c>
      <c r="AO538" s="379">
        <v>80</v>
      </c>
      <c r="AP538" s="385">
        <v>1</v>
      </c>
      <c r="AQ538" s="385">
        <v>0</v>
      </c>
      <c r="AR538" s="383">
        <v>3</v>
      </c>
      <c r="AS538" s="387">
        <f t="shared" si="379"/>
        <v>0</v>
      </c>
      <c r="AT538">
        <f t="shared" si="380"/>
        <v>0</v>
      </c>
      <c r="AU538" s="387" t="str">
        <f>IF(AT538=0,"",IF(AND(AT538=1,M538="F",SUMIF(C2:C1334,C538,AS2:AS1334)&lt;=1),SUMIF(C2:C1334,C538,AS2:AS1334),IF(AND(AT538=1,M538="F",SUMIF(C2:C1334,C538,AS2:AS1334)&gt;1),1,"")))</f>
        <v/>
      </c>
      <c r="AV538" s="387" t="str">
        <f>IF(AT538=0,"",IF(AND(AT538=3,M538="F",SUMIF(C2:C1334,C538,AS2:AS1334)&lt;=1),SUMIF(C2:C1334,C538,AS2:AS1334),IF(AND(AT538=3,M538="F",SUMIF(C2:C1334,C538,AS2:AS1334)&gt;1),1,"")))</f>
        <v/>
      </c>
      <c r="AW538" s="387">
        <f>SUMIF(C2:C1334,C538,O2:O1334)</f>
        <v>2</v>
      </c>
      <c r="AX538" s="387">
        <f>IF(AND(M538="F",AS538&lt;&gt;0),SUMIF(C2:C1334,C538,W2:W1334),0)</f>
        <v>0</v>
      </c>
      <c r="AY538" s="387" t="str">
        <f t="shared" si="381"/>
        <v/>
      </c>
      <c r="AZ538" s="387" t="str">
        <f t="shared" si="382"/>
        <v/>
      </c>
      <c r="BA538" s="387">
        <f t="shared" si="383"/>
        <v>0</v>
      </c>
      <c r="BB538" s="387">
        <f t="shared" si="352"/>
        <v>0</v>
      </c>
      <c r="BC538" s="387">
        <f t="shared" si="353"/>
        <v>0</v>
      </c>
      <c r="BD538" s="387">
        <f t="shared" si="354"/>
        <v>0</v>
      </c>
      <c r="BE538" s="387">
        <f t="shared" si="355"/>
        <v>0</v>
      </c>
      <c r="BF538" s="387">
        <f t="shared" si="356"/>
        <v>0</v>
      </c>
      <c r="BG538" s="387">
        <f t="shared" si="357"/>
        <v>0</v>
      </c>
      <c r="BH538" s="387">
        <f t="shared" si="358"/>
        <v>0</v>
      </c>
      <c r="BI538" s="387">
        <f t="shared" si="359"/>
        <v>0</v>
      </c>
      <c r="BJ538" s="387">
        <f t="shared" si="360"/>
        <v>0</v>
      </c>
      <c r="BK538" s="387">
        <f t="shared" si="361"/>
        <v>0</v>
      </c>
      <c r="BL538" s="387">
        <f t="shared" si="384"/>
        <v>0</v>
      </c>
      <c r="BM538" s="387">
        <f t="shared" si="385"/>
        <v>0</v>
      </c>
      <c r="BN538" s="387">
        <f t="shared" si="362"/>
        <v>0</v>
      </c>
      <c r="BO538" s="387">
        <f t="shared" si="363"/>
        <v>0</v>
      </c>
      <c r="BP538" s="387">
        <f t="shared" si="364"/>
        <v>0</v>
      </c>
      <c r="BQ538" s="387">
        <f t="shared" si="365"/>
        <v>0</v>
      </c>
      <c r="BR538" s="387">
        <f t="shared" si="366"/>
        <v>0</v>
      </c>
      <c r="BS538" s="387">
        <f t="shared" si="367"/>
        <v>0</v>
      </c>
      <c r="BT538" s="387">
        <f t="shared" si="368"/>
        <v>0</v>
      </c>
      <c r="BU538" s="387">
        <f t="shared" si="369"/>
        <v>0</v>
      </c>
      <c r="BV538" s="387">
        <f t="shared" si="370"/>
        <v>0</v>
      </c>
      <c r="BW538" s="387">
        <f t="shared" si="371"/>
        <v>0</v>
      </c>
      <c r="BX538" s="387">
        <f t="shared" si="386"/>
        <v>0</v>
      </c>
      <c r="BY538" s="387">
        <f t="shared" si="387"/>
        <v>0</v>
      </c>
      <c r="BZ538" s="387">
        <f t="shared" si="388"/>
        <v>0</v>
      </c>
      <c r="CA538" s="387">
        <f t="shared" si="389"/>
        <v>0</v>
      </c>
      <c r="CB538" s="387">
        <f t="shared" si="390"/>
        <v>0</v>
      </c>
      <c r="CC538" s="387">
        <f t="shared" si="372"/>
        <v>0</v>
      </c>
      <c r="CD538" s="387">
        <f t="shared" si="373"/>
        <v>0</v>
      </c>
      <c r="CE538" s="387">
        <f t="shared" si="374"/>
        <v>0</v>
      </c>
      <c r="CF538" s="387">
        <f t="shared" si="375"/>
        <v>0</v>
      </c>
      <c r="CG538" s="387">
        <f t="shared" si="376"/>
        <v>0</v>
      </c>
      <c r="CH538" s="387">
        <f t="shared" si="377"/>
        <v>0</v>
      </c>
      <c r="CI538" s="387">
        <f t="shared" si="378"/>
        <v>0</v>
      </c>
      <c r="CJ538" s="387">
        <f t="shared" si="391"/>
        <v>0</v>
      </c>
      <c r="CK538" s="387" t="str">
        <f t="shared" si="392"/>
        <v/>
      </c>
      <c r="CL538" s="387" t="str">
        <f t="shared" si="393"/>
        <v/>
      </c>
      <c r="CM538" s="387" t="str">
        <f t="shared" si="394"/>
        <v/>
      </c>
      <c r="CN538" s="387" t="str">
        <f t="shared" si="395"/>
        <v>0348-31</v>
      </c>
    </row>
    <row r="539" spans="1:92" ht="15.75" thickBot="1" x14ac:dyDescent="0.3">
      <c r="A539" s="376" t="s">
        <v>161</v>
      </c>
      <c r="B539" s="376" t="s">
        <v>162</v>
      </c>
      <c r="C539" s="376" t="s">
        <v>1717</v>
      </c>
      <c r="D539" s="376" t="s">
        <v>1718</v>
      </c>
      <c r="E539" s="376" t="s">
        <v>224</v>
      </c>
      <c r="F539" s="382" t="s">
        <v>225</v>
      </c>
      <c r="G539" s="376" t="s">
        <v>781</v>
      </c>
      <c r="H539" s="378"/>
      <c r="I539" s="378"/>
      <c r="J539" s="376" t="s">
        <v>215</v>
      </c>
      <c r="K539" s="376" t="s">
        <v>1719</v>
      </c>
      <c r="L539" s="376" t="s">
        <v>296</v>
      </c>
      <c r="M539" s="376" t="s">
        <v>171</v>
      </c>
      <c r="N539" s="376" t="s">
        <v>877</v>
      </c>
      <c r="O539" s="379">
        <v>1</v>
      </c>
      <c r="P539" s="385">
        <v>1</v>
      </c>
      <c r="Q539" s="385">
        <v>1</v>
      </c>
      <c r="R539" s="380">
        <v>80</v>
      </c>
      <c r="S539" s="385">
        <v>1</v>
      </c>
      <c r="T539" s="380">
        <v>54270.720000000001</v>
      </c>
      <c r="U539" s="380">
        <v>0</v>
      </c>
      <c r="V539" s="380">
        <v>21612.87</v>
      </c>
      <c r="W539" s="380">
        <v>60569.599999999999</v>
      </c>
      <c r="X539" s="380">
        <v>24748.14</v>
      </c>
      <c r="Y539" s="380">
        <v>60569.599999999999</v>
      </c>
      <c r="Z539" s="380">
        <v>24493.75</v>
      </c>
      <c r="AA539" s="376" t="s">
        <v>1720</v>
      </c>
      <c r="AB539" s="376" t="s">
        <v>1388</v>
      </c>
      <c r="AC539" s="376" t="s">
        <v>1721</v>
      </c>
      <c r="AD539" s="376" t="s">
        <v>1722</v>
      </c>
      <c r="AE539" s="376" t="s">
        <v>1719</v>
      </c>
      <c r="AF539" s="376" t="s">
        <v>301</v>
      </c>
      <c r="AG539" s="376" t="s">
        <v>178</v>
      </c>
      <c r="AH539" s="381">
        <v>29.12</v>
      </c>
      <c r="AI539" s="379">
        <v>2057</v>
      </c>
      <c r="AJ539" s="376" t="s">
        <v>179</v>
      </c>
      <c r="AK539" s="376" t="s">
        <v>180</v>
      </c>
      <c r="AL539" s="376" t="s">
        <v>181</v>
      </c>
      <c r="AM539" s="376" t="s">
        <v>182</v>
      </c>
      <c r="AN539" s="376" t="s">
        <v>68</v>
      </c>
      <c r="AO539" s="379">
        <v>80</v>
      </c>
      <c r="AP539" s="385">
        <v>1</v>
      </c>
      <c r="AQ539" s="385">
        <v>1</v>
      </c>
      <c r="AR539" s="383" t="s">
        <v>183</v>
      </c>
      <c r="AS539" s="387">
        <f t="shared" si="379"/>
        <v>1</v>
      </c>
      <c r="AT539">
        <f t="shared" si="380"/>
        <v>1</v>
      </c>
      <c r="AU539" s="387">
        <f>IF(AT539=0,"",IF(AND(AT539=1,M539="F",SUMIF(C2:C1334,C539,AS2:AS1334)&lt;=1),SUMIF(C2:C1334,C539,AS2:AS1334),IF(AND(AT539=1,M539="F",SUMIF(C2:C1334,C539,AS2:AS1334)&gt;1),1,"")))</f>
        <v>1</v>
      </c>
      <c r="AV539" s="387" t="str">
        <f>IF(AT539=0,"",IF(AND(AT539=3,M539="F",SUMIF(C2:C1334,C539,AS2:AS1334)&lt;=1),SUMIF(C2:C1334,C539,AS2:AS1334),IF(AND(AT539=3,M539="F",SUMIF(C2:C1334,C539,AS2:AS1334)&gt;1),1,"")))</f>
        <v/>
      </c>
      <c r="AW539" s="387">
        <f>SUMIF(C2:C1334,C539,O2:O1334)</f>
        <v>1</v>
      </c>
      <c r="AX539" s="387">
        <f>IF(AND(M539="F",AS539&lt;&gt;0),SUMIF(C2:C1334,C539,W2:W1334),0)</f>
        <v>60569.599999999999</v>
      </c>
      <c r="AY539" s="387">
        <f t="shared" si="381"/>
        <v>60569.599999999999</v>
      </c>
      <c r="AZ539" s="387" t="str">
        <f t="shared" si="382"/>
        <v/>
      </c>
      <c r="BA539" s="387">
        <f t="shared" si="383"/>
        <v>0</v>
      </c>
      <c r="BB539" s="387">
        <f t="shared" si="352"/>
        <v>11650</v>
      </c>
      <c r="BC539" s="387">
        <f t="shared" si="353"/>
        <v>0</v>
      </c>
      <c r="BD539" s="387">
        <f t="shared" si="354"/>
        <v>3755.3152</v>
      </c>
      <c r="BE539" s="387">
        <f t="shared" si="355"/>
        <v>878.25920000000008</v>
      </c>
      <c r="BF539" s="387">
        <f t="shared" si="356"/>
        <v>7232.0102400000005</v>
      </c>
      <c r="BG539" s="387">
        <f t="shared" si="357"/>
        <v>436.706816</v>
      </c>
      <c r="BH539" s="387">
        <f t="shared" si="358"/>
        <v>296.79104000000001</v>
      </c>
      <c r="BI539" s="387">
        <f t="shared" si="359"/>
        <v>335.25273599999997</v>
      </c>
      <c r="BJ539" s="387">
        <f t="shared" si="360"/>
        <v>163.53792000000001</v>
      </c>
      <c r="BK539" s="387">
        <f t="shared" si="361"/>
        <v>0</v>
      </c>
      <c r="BL539" s="387">
        <f t="shared" si="384"/>
        <v>13097.873152000002</v>
      </c>
      <c r="BM539" s="387">
        <f t="shared" si="385"/>
        <v>0</v>
      </c>
      <c r="BN539" s="387">
        <f t="shared" si="362"/>
        <v>11650</v>
      </c>
      <c r="BO539" s="387">
        <f t="shared" si="363"/>
        <v>0</v>
      </c>
      <c r="BP539" s="387">
        <f t="shared" si="364"/>
        <v>3755.3152</v>
      </c>
      <c r="BQ539" s="387">
        <f t="shared" si="365"/>
        <v>878.25920000000008</v>
      </c>
      <c r="BR539" s="387">
        <f t="shared" si="366"/>
        <v>7232.0102400000005</v>
      </c>
      <c r="BS539" s="387">
        <f t="shared" si="367"/>
        <v>436.706816</v>
      </c>
      <c r="BT539" s="387">
        <f t="shared" si="368"/>
        <v>0</v>
      </c>
      <c r="BU539" s="387">
        <f t="shared" si="369"/>
        <v>335.25273599999997</v>
      </c>
      <c r="BV539" s="387">
        <f t="shared" si="370"/>
        <v>205.93663999999998</v>
      </c>
      <c r="BW539" s="387">
        <f t="shared" si="371"/>
        <v>0</v>
      </c>
      <c r="BX539" s="387">
        <f t="shared" si="386"/>
        <v>12843.480832000001</v>
      </c>
      <c r="BY539" s="387">
        <f t="shared" si="387"/>
        <v>0</v>
      </c>
      <c r="BZ539" s="387">
        <f t="shared" si="388"/>
        <v>0</v>
      </c>
      <c r="CA539" s="387">
        <f t="shared" si="389"/>
        <v>0</v>
      </c>
      <c r="CB539" s="387">
        <f t="shared" si="390"/>
        <v>0</v>
      </c>
      <c r="CC539" s="387">
        <f t="shared" si="372"/>
        <v>0</v>
      </c>
      <c r="CD539" s="387">
        <f t="shared" si="373"/>
        <v>0</v>
      </c>
      <c r="CE539" s="387">
        <f t="shared" si="374"/>
        <v>0</v>
      </c>
      <c r="CF539" s="387">
        <f t="shared" si="375"/>
        <v>-296.79104000000001</v>
      </c>
      <c r="CG539" s="387">
        <f t="shared" si="376"/>
        <v>0</v>
      </c>
      <c r="CH539" s="387">
        <f t="shared" si="377"/>
        <v>42.398719999999976</v>
      </c>
      <c r="CI539" s="387">
        <f t="shared" si="378"/>
        <v>0</v>
      </c>
      <c r="CJ539" s="387">
        <f t="shared" si="391"/>
        <v>-254.39232000000004</v>
      </c>
      <c r="CK539" s="387" t="str">
        <f t="shared" si="392"/>
        <v/>
      </c>
      <c r="CL539" s="387" t="str">
        <f t="shared" si="393"/>
        <v/>
      </c>
      <c r="CM539" s="387" t="str">
        <f t="shared" si="394"/>
        <v/>
      </c>
      <c r="CN539" s="387" t="str">
        <f t="shared" si="395"/>
        <v>0348-31</v>
      </c>
    </row>
    <row r="540" spans="1:92" ht="15.75" thickBot="1" x14ac:dyDescent="0.3">
      <c r="A540" s="376" t="s">
        <v>161</v>
      </c>
      <c r="B540" s="376" t="s">
        <v>162</v>
      </c>
      <c r="C540" s="376" t="s">
        <v>1723</v>
      </c>
      <c r="D540" s="376" t="s">
        <v>792</v>
      </c>
      <c r="E540" s="376" t="s">
        <v>224</v>
      </c>
      <c r="F540" s="382" t="s">
        <v>225</v>
      </c>
      <c r="G540" s="376" t="s">
        <v>781</v>
      </c>
      <c r="H540" s="378"/>
      <c r="I540" s="378"/>
      <c r="J540" s="376" t="s">
        <v>239</v>
      </c>
      <c r="K540" s="376" t="s">
        <v>793</v>
      </c>
      <c r="L540" s="376" t="s">
        <v>170</v>
      </c>
      <c r="M540" s="376" t="s">
        <v>171</v>
      </c>
      <c r="N540" s="376" t="s">
        <v>172</v>
      </c>
      <c r="O540" s="379">
        <v>1</v>
      </c>
      <c r="P540" s="385">
        <v>0.8</v>
      </c>
      <c r="Q540" s="385">
        <v>0.8</v>
      </c>
      <c r="R540" s="380">
        <v>80</v>
      </c>
      <c r="S540" s="385">
        <v>0.8</v>
      </c>
      <c r="T540" s="380">
        <v>53616.95</v>
      </c>
      <c r="U540" s="380">
        <v>0</v>
      </c>
      <c r="V540" s="380">
        <v>21147.69</v>
      </c>
      <c r="W540" s="380">
        <v>52366.080000000002</v>
      </c>
      <c r="X540" s="380">
        <v>20644.13</v>
      </c>
      <c r="Y540" s="380">
        <v>52366.080000000002</v>
      </c>
      <c r="Z540" s="380">
        <v>20424.2</v>
      </c>
      <c r="AA540" s="376" t="s">
        <v>1724</v>
      </c>
      <c r="AB540" s="376" t="s">
        <v>1725</v>
      </c>
      <c r="AC540" s="376" t="s">
        <v>1726</v>
      </c>
      <c r="AD540" s="376" t="s">
        <v>324</v>
      </c>
      <c r="AE540" s="376" t="s">
        <v>793</v>
      </c>
      <c r="AF540" s="376" t="s">
        <v>177</v>
      </c>
      <c r="AG540" s="376" t="s">
        <v>178</v>
      </c>
      <c r="AH540" s="381">
        <v>31.47</v>
      </c>
      <c r="AI540" s="379">
        <v>60469</v>
      </c>
      <c r="AJ540" s="376" t="s">
        <v>179</v>
      </c>
      <c r="AK540" s="376" t="s">
        <v>180</v>
      </c>
      <c r="AL540" s="376" t="s">
        <v>181</v>
      </c>
      <c r="AM540" s="376" t="s">
        <v>182</v>
      </c>
      <c r="AN540" s="376" t="s">
        <v>68</v>
      </c>
      <c r="AO540" s="379">
        <v>80</v>
      </c>
      <c r="AP540" s="385">
        <v>1</v>
      </c>
      <c r="AQ540" s="385">
        <v>0.8</v>
      </c>
      <c r="AR540" s="383" t="s">
        <v>183</v>
      </c>
      <c r="AS540" s="387">
        <f t="shared" si="379"/>
        <v>0.8</v>
      </c>
      <c r="AT540">
        <f t="shared" si="380"/>
        <v>1</v>
      </c>
      <c r="AU540" s="387">
        <f>IF(AT540=0,"",IF(AND(AT540=1,M540="F",SUMIF(C2:C1334,C540,AS2:AS1334)&lt;=1),SUMIF(C2:C1334,C540,AS2:AS1334),IF(AND(AT540=1,M540="F",SUMIF(C2:C1334,C540,AS2:AS1334)&gt;1),1,"")))</f>
        <v>1</v>
      </c>
      <c r="AV540" s="387" t="str">
        <f>IF(AT540=0,"",IF(AND(AT540=3,M540="F",SUMIF(C2:C1334,C540,AS2:AS1334)&lt;=1),SUMIF(C2:C1334,C540,AS2:AS1334),IF(AND(AT540=3,M540="F",SUMIF(C2:C1334,C540,AS2:AS1334)&gt;1),1,"")))</f>
        <v/>
      </c>
      <c r="AW540" s="387">
        <f>SUMIF(C2:C1334,C540,O2:O1334)</f>
        <v>3</v>
      </c>
      <c r="AX540" s="387">
        <f>IF(AND(M540="F",AS540&lt;&gt;0),SUMIF(C2:C1334,C540,W2:W1334),0)</f>
        <v>65457.600000000006</v>
      </c>
      <c r="AY540" s="387">
        <f t="shared" si="381"/>
        <v>52366.080000000002</v>
      </c>
      <c r="AZ540" s="387" t="str">
        <f t="shared" si="382"/>
        <v/>
      </c>
      <c r="BA540" s="387">
        <f t="shared" si="383"/>
        <v>0</v>
      </c>
      <c r="BB540" s="387">
        <f t="shared" si="352"/>
        <v>9320</v>
      </c>
      <c r="BC540" s="387">
        <f t="shared" si="353"/>
        <v>0</v>
      </c>
      <c r="BD540" s="387">
        <f t="shared" si="354"/>
        <v>3246.6969600000002</v>
      </c>
      <c r="BE540" s="387">
        <f t="shared" si="355"/>
        <v>759.30816000000004</v>
      </c>
      <c r="BF540" s="387">
        <f t="shared" si="356"/>
        <v>6252.5099520000003</v>
      </c>
      <c r="BG540" s="387">
        <f t="shared" si="357"/>
        <v>377.55943680000001</v>
      </c>
      <c r="BH540" s="387">
        <f t="shared" si="358"/>
        <v>256.59379200000001</v>
      </c>
      <c r="BI540" s="387">
        <f t="shared" si="359"/>
        <v>289.8462528</v>
      </c>
      <c r="BJ540" s="387">
        <f t="shared" si="360"/>
        <v>141.38841600000001</v>
      </c>
      <c r="BK540" s="387">
        <f t="shared" si="361"/>
        <v>0</v>
      </c>
      <c r="BL540" s="387">
        <f t="shared" si="384"/>
        <v>11323.9029696</v>
      </c>
      <c r="BM540" s="387">
        <f t="shared" si="385"/>
        <v>0</v>
      </c>
      <c r="BN540" s="387">
        <f t="shared" si="362"/>
        <v>9320</v>
      </c>
      <c r="BO540" s="387">
        <f t="shared" si="363"/>
        <v>0</v>
      </c>
      <c r="BP540" s="387">
        <f t="shared" si="364"/>
        <v>3246.6969600000002</v>
      </c>
      <c r="BQ540" s="387">
        <f t="shared" si="365"/>
        <v>759.30816000000004</v>
      </c>
      <c r="BR540" s="387">
        <f t="shared" si="366"/>
        <v>6252.5099520000003</v>
      </c>
      <c r="BS540" s="387">
        <f t="shared" si="367"/>
        <v>377.55943680000001</v>
      </c>
      <c r="BT540" s="387">
        <f t="shared" si="368"/>
        <v>0</v>
      </c>
      <c r="BU540" s="387">
        <f t="shared" si="369"/>
        <v>289.8462528</v>
      </c>
      <c r="BV540" s="387">
        <f t="shared" si="370"/>
        <v>178.04467199999999</v>
      </c>
      <c r="BW540" s="387">
        <f t="shared" si="371"/>
        <v>0</v>
      </c>
      <c r="BX540" s="387">
        <f t="shared" si="386"/>
        <v>11103.9654336</v>
      </c>
      <c r="BY540" s="387">
        <f t="shared" si="387"/>
        <v>0</v>
      </c>
      <c r="BZ540" s="387">
        <f t="shared" si="388"/>
        <v>0</v>
      </c>
      <c r="CA540" s="387">
        <f t="shared" si="389"/>
        <v>0</v>
      </c>
      <c r="CB540" s="387">
        <f t="shared" si="390"/>
        <v>0</v>
      </c>
      <c r="CC540" s="387">
        <f t="shared" si="372"/>
        <v>0</v>
      </c>
      <c r="CD540" s="387">
        <f t="shared" si="373"/>
        <v>0</v>
      </c>
      <c r="CE540" s="387">
        <f t="shared" si="374"/>
        <v>0</v>
      </c>
      <c r="CF540" s="387">
        <f t="shared" si="375"/>
        <v>-256.59379200000001</v>
      </c>
      <c r="CG540" s="387">
        <f t="shared" si="376"/>
        <v>0</v>
      </c>
      <c r="CH540" s="387">
        <f t="shared" si="377"/>
        <v>36.656255999999985</v>
      </c>
      <c r="CI540" s="387">
        <f t="shared" si="378"/>
        <v>0</v>
      </c>
      <c r="CJ540" s="387">
        <f t="shared" si="391"/>
        <v>-219.93753600000002</v>
      </c>
      <c r="CK540" s="387" t="str">
        <f t="shared" si="392"/>
        <v/>
      </c>
      <c r="CL540" s="387" t="str">
        <f t="shared" si="393"/>
        <v/>
      </c>
      <c r="CM540" s="387" t="str">
        <f t="shared" si="394"/>
        <v/>
      </c>
      <c r="CN540" s="387" t="str">
        <f t="shared" si="395"/>
        <v>0348-31</v>
      </c>
    </row>
    <row r="541" spans="1:92" ht="15.75" thickBot="1" x14ac:dyDescent="0.3">
      <c r="A541" s="376" t="s">
        <v>161</v>
      </c>
      <c r="B541" s="376" t="s">
        <v>162</v>
      </c>
      <c r="C541" s="376" t="s">
        <v>478</v>
      </c>
      <c r="D541" s="376" t="s">
        <v>479</v>
      </c>
      <c r="E541" s="376" t="s">
        <v>224</v>
      </c>
      <c r="F541" s="382" t="s">
        <v>225</v>
      </c>
      <c r="G541" s="376" t="s">
        <v>781</v>
      </c>
      <c r="H541" s="378"/>
      <c r="I541" s="378"/>
      <c r="J541" s="376" t="s">
        <v>215</v>
      </c>
      <c r="K541" s="376" t="s">
        <v>480</v>
      </c>
      <c r="L541" s="376" t="s">
        <v>210</v>
      </c>
      <c r="M541" s="376" t="s">
        <v>171</v>
      </c>
      <c r="N541" s="376" t="s">
        <v>172</v>
      </c>
      <c r="O541" s="379">
        <v>1</v>
      </c>
      <c r="P541" s="385">
        <v>0</v>
      </c>
      <c r="Q541" s="385">
        <v>0</v>
      </c>
      <c r="R541" s="380">
        <v>80</v>
      </c>
      <c r="S541" s="385">
        <v>0</v>
      </c>
      <c r="T541" s="380">
        <v>81646.69</v>
      </c>
      <c r="U541" s="380">
        <v>0</v>
      </c>
      <c r="V541" s="380">
        <v>28661.23</v>
      </c>
      <c r="W541" s="380">
        <v>0</v>
      </c>
      <c r="X541" s="380">
        <v>0</v>
      </c>
      <c r="Y541" s="380">
        <v>0</v>
      </c>
      <c r="Z541" s="380">
        <v>0</v>
      </c>
      <c r="AA541" s="376" t="s">
        <v>481</v>
      </c>
      <c r="AB541" s="376" t="s">
        <v>482</v>
      </c>
      <c r="AC541" s="376" t="s">
        <v>483</v>
      </c>
      <c r="AD541" s="376" t="s">
        <v>210</v>
      </c>
      <c r="AE541" s="376" t="s">
        <v>480</v>
      </c>
      <c r="AF541" s="376" t="s">
        <v>245</v>
      </c>
      <c r="AG541" s="376" t="s">
        <v>178</v>
      </c>
      <c r="AH541" s="381">
        <v>40.590000000000003</v>
      </c>
      <c r="AI541" s="381">
        <v>64659.4</v>
      </c>
      <c r="AJ541" s="376" t="s">
        <v>179</v>
      </c>
      <c r="AK541" s="376" t="s">
        <v>180</v>
      </c>
      <c r="AL541" s="376" t="s">
        <v>181</v>
      </c>
      <c r="AM541" s="376" t="s">
        <v>182</v>
      </c>
      <c r="AN541" s="376" t="s">
        <v>68</v>
      </c>
      <c r="AO541" s="379">
        <v>80</v>
      </c>
      <c r="AP541" s="385">
        <v>1</v>
      </c>
      <c r="AQ541" s="385">
        <v>0</v>
      </c>
      <c r="AR541" s="383" t="s">
        <v>183</v>
      </c>
      <c r="AS541" s="387">
        <f t="shared" si="379"/>
        <v>0</v>
      </c>
      <c r="AT541">
        <f t="shared" si="380"/>
        <v>0</v>
      </c>
      <c r="AU541" s="387" t="str">
        <f>IF(AT541=0,"",IF(AND(AT541=1,M541="F",SUMIF(C2:C1334,C541,AS2:AS1334)&lt;=1),SUMIF(C2:C1334,C541,AS2:AS1334),IF(AND(AT541=1,M541="F",SUMIF(C2:C1334,C541,AS2:AS1334)&gt;1),1,"")))</f>
        <v/>
      </c>
      <c r="AV541" s="387" t="str">
        <f>IF(AT541=0,"",IF(AND(AT541=3,M541="F",SUMIF(C2:C1334,C541,AS2:AS1334)&lt;=1),SUMIF(C2:C1334,C541,AS2:AS1334),IF(AND(AT541=3,M541="F",SUMIF(C2:C1334,C541,AS2:AS1334)&gt;1),1,"")))</f>
        <v/>
      </c>
      <c r="AW541" s="387">
        <f>SUMIF(C2:C1334,C541,O2:O1334)</f>
        <v>2</v>
      </c>
      <c r="AX541" s="387">
        <f>IF(AND(M541="F",AS541&lt;&gt;0),SUMIF(C2:C1334,C541,W2:W1334),0)</f>
        <v>0</v>
      </c>
      <c r="AY541" s="387" t="str">
        <f t="shared" si="381"/>
        <v/>
      </c>
      <c r="AZ541" s="387" t="str">
        <f t="shared" si="382"/>
        <v/>
      </c>
      <c r="BA541" s="387">
        <f t="shared" si="383"/>
        <v>0</v>
      </c>
      <c r="BB541" s="387">
        <f t="shared" si="352"/>
        <v>0</v>
      </c>
      <c r="BC541" s="387">
        <f t="shared" si="353"/>
        <v>0</v>
      </c>
      <c r="BD541" s="387">
        <f t="shared" si="354"/>
        <v>0</v>
      </c>
      <c r="BE541" s="387">
        <f t="shared" si="355"/>
        <v>0</v>
      </c>
      <c r="BF541" s="387">
        <f t="shared" si="356"/>
        <v>0</v>
      </c>
      <c r="BG541" s="387">
        <f t="shared" si="357"/>
        <v>0</v>
      </c>
      <c r="BH541" s="387">
        <f t="shared" si="358"/>
        <v>0</v>
      </c>
      <c r="BI541" s="387">
        <f t="shared" si="359"/>
        <v>0</v>
      </c>
      <c r="BJ541" s="387">
        <f t="shared" si="360"/>
        <v>0</v>
      </c>
      <c r="BK541" s="387">
        <f t="shared" si="361"/>
        <v>0</v>
      </c>
      <c r="BL541" s="387">
        <f t="shared" si="384"/>
        <v>0</v>
      </c>
      <c r="BM541" s="387">
        <f t="shared" si="385"/>
        <v>0</v>
      </c>
      <c r="BN541" s="387">
        <f t="shared" si="362"/>
        <v>0</v>
      </c>
      <c r="BO541" s="387">
        <f t="shared" si="363"/>
        <v>0</v>
      </c>
      <c r="BP541" s="387">
        <f t="shared" si="364"/>
        <v>0</v>
      </c>
      <c r="BQ541" s="387">
        <f t="shared" si="365"/>
        <v>0</v>
      </c>
      <c r="BR541" s="387">
        <f t="shared" si="366"/>
        <v>0</v>
      </c>
      <c r="BS541" s="387">
        <f t="shared" si="367"/>
        <v>0</v>
      </c>
      <c r="BT541" s="387">
        <f t="shared" si="368"/>
        <v>0</v>
      </c>
      <c r="BU541" s="387">
        <f t="shared" si="369"/>
        <v>0</v>
      </c>
      <c r="BV541" s="387">
        <f t="shared" si="370"/>
        <v>0</v>
      </c>
      <c r="BW541" s="387">
        <f t="shared" si="371"/>
        <v>0</v>
      </c>
      <c r="BX541" s="387">
        <f t="shared" si="386"/>
        <v>0</v>
      </c>
      <c r="BY541" s="387">
        <f t="shared" si="387"/>
        <v>0</v>
      </c>
      <c r="BZ541" s="387">
        <f t="shared" si="388"/>
        <v>0</v>
      </c>
      <c r="CA541" s="387">
        <f t="shared" si="389"/>
        <v>0</v>
      </c>
      <c r="CB541" s="387">
        <f t="shared" si="390"/>
        <v>0</v>
      </c>
      <c r="CC541" s="387">
        <f t="shared" si="372"/>
        <v>0</v>
      </c>
      <c r="CD541" s="387">
        <f t="shared" si="373"/>
        <v>0</v>
      </c>
      <c r="CE541" s="387">
        <f t="shared" si="374"/>
        <v>0</v>
      </c>
      <c r="CF541" s="387">
        <f t="shared" si="375"/>
        <v>0</v>
      </c>
      <c r="CG541" s="387">
        <f t="shared" si="376"/>
        <v>0</v>
      </c>
      <c r="CH541" s="387">
        <f t="shared" si="377"/>
        <v>0</v>
      </c>
      <c r="CI541" s="387">
        <f t="shared" si="378"/>
        <v>0</v>
      </c>
      <c r="CJ541" s="387">
        <f t="shared" si="391"/>
        <v>0</v>
      </c>
      <c r="CK541" s="387" t="str">
        <f t="shared" si="392"/>
        <v/>
      </c>
      <c r="CL541" s="387" t="str">
        <f t="shared" si="393"/>
        <v/>
      </c>
      <c r="CM541" s="387" t="str">
        <f t="shared" si="394"/>
        <v/>
      </c>
      <c r="CN541" s="387" t="str">
        <f t="shared" si="395"/>
        <v>0348-31</v>
      </c>
    </row>
    <row r="542" spans="1:92" ht="15.75" thickBot="1" x14ac:dyDescent="0.3">
      <c r="A542" s="376" t="s">
        <v>161</v>
      </c>
      <c r="B542" s="376" t="s">
        <v>162</v>
      </c>
      <c r="C542" s="376" t="s">
        <v>1727</v>
      </c>
      <c r="D542" s="376" t="s">
        <v>862</v>
      </c>
      <c r="E542" s="376" t="s">
        <v>224</v>
      </c>
      <c r="F542" s="382" t="s">
        <v>225</v>
      </c>
      <c r="G542" s="376" t="s">
        <v>781</v>
      </c>
      <c r="H542" s="378"/>
      <c r="I542" s="378"/>
      <c r="J542" s="376" t="s">
        <v>239</v>
      </c>
      <c r="K542" s="376" t="s">
        <v>863</v>
      </c>
      <c r="L542" s="376" t="s">
        <v>252</v>
      </c>
      <c r="M542" s="376" t="s">
        <v>171</v>
      </c>
      <c r="N542" s="376" t="s">
        <v>172</v>
      </c>
      <c r="O542" s="379">
        <v>1</v>
      </c>
      <c r="P542" s="385">
        <v>0.9</v>
      </c>
      <c r="Q542" s="385">
        <v>0.9</v>
      </c>
      <c r="R542" s="380">
        <v>80</v>
      </c>
      <c r="S542" s="385">
        <v>0.9</v>
      </c>
      <c r="T542" s="380">
        <v>30325.82</v>
      </c>
      <c r="U542" s="380">
        <v>0</v>
      </c>
      <c r="V542" s="380">
        <v>12817.37</v>
      </c>
      <c r="W542" s="380">
        <v>46706.400000000001</v>
      </c>
      <c r="X542" s="380">
        <v>20585.240000000002</v>
      </c>
      <c r="Y542" s="380">
        <v>46706.400000000001</v>
      </c>
      <c r="Z542" s="380">
        <v>20389.07</v>
      </c>
      <c r="AA542" s="376" t="s">
        <v>1728</v>
      </c>
      <c r="AB542" s="376" t="s">
        <v>1729</v>
      </c>
      <c r="AC542" s="376" t="s">
        <v>836</v>
      </c>
      <c r="AD542" s="376" t="s">
        <v>324</v>
      </c>
      <c r="AE542" s="376" t="s">
        <v>863</v>
      </c>
      <c r="AF542" s="376" t="s">
        <v>393</v>
      </c>
      <c r="AG542" s="376" t="s">
        <v>178</v>
      </c>
      <c r="AH542" s="381">
        <v>24.95</v>
      </c>
      <c r="AI542" s="381">
        <v>32143.599999999999</v>
      </c>
      <c r="AJ542" s="376" t="s">
        <v>179</v>
      </c>
      <c r="AK542" s="376" t="s">
        <v>180</v>
      </c>
      <c r="AL542" s="376" t="s">
        <v>181</v>
      </c>
      <c r="AM542" s="376" t="s">
        <v>182</v>
      </c>
      <c r="AN542" s="376" t="s">
        <v>68</v>
      </c>
      <c r="AO542" s="379">
        <v>80</v>
      </c>
      <c r="AP542" s="385">
        <v>1</v>
      </c>
      <c r="AQ542" s="385">
        <v>0.9</v>
      </c>
      <c r="AR542" s="383" t="s">
        <v>183</v>
      </c>
      <c r="AS542" s="387">
        <f t="shared" si="379"/>
        <v>0.9</v>
      </c>
      <c r="AT542">
        <f t="shared" si="380"/>
        <v>1</v>
      </c>
      <c r="AU542" s="387">
        <f>IF(AT542=0,"",IF(AND(AT542=1,M542="F",SUMIF(C2:C1334,C542,AS2:AS1334)&lt;=1),SUMIF(C2:C1334,C542,AS2:AS1334),IF(AND(AT542=1,M542="F",SUMIF(C2:C1334,C542,AS2:AS1334)&gt;1),1,"")))</f>
        <v>1</v>
      </c>
      <c r="AV542" s="387" t="str">
        <f>IF(AT542=0,"",IF(AND(AT542=3,M542="F",SUMIF(C2:C1334,C542,AS2:AS1334)&lt;=1),SUMIF(C2:C1334,C542,AS2:AS1334),IF(AND(AT542=3,M542="F",SUMIF(C2:C1334,C542,AS2:AS1334)&gt;1),1,"")))</f>
        <v/>
      </c>
      <c r="AW542" s="387">
        <f>SUMIF(C2:C1334,C542,O2:O1334)</f>
        <v>3</v>
      </c>
      <c r="AX542" s="387">
        <f>IF(AND(M542="F",AS542&lt;&gt;0),SUMIF(C2:C1334,C542,W2:W1334),0)</f>
        <v>51896</v>
      </c>
      <c r="AY542" s="387">
        <f t="shared" si="381"/>
        <v>46706.400000000001</v>
      </c>
      <c r="AZ542" s="387" t="str">
        <f t="shared" si="382"/>
        <v/>
      </c>
      <c r="BA542" s="387">
        <f t="shared" si="383"/>
        <v>0</v>
      </c>
      <c r="BB542" s="387">
        <f t="shared" si="352"/>
        <v>10485</v>
      </c>
      <c r="BC542" s="387">
        <f t="shared" si="353"/>
        <v>0</v>
      </c>
      <c r="BD542" s="387">
        <f t="shared" si="354"/>
        <v>2895.7968000000001</v>
      </c>
      <c r="BE542" s="387">
        <f t="shared" si="355"/>
        <v>677.2428000000001</v>
      </c>
      <c r="BF542" s="387">
        <f t="shared" si="356"/>
        <v>5576.7441600000002</v>
      </c>
      <c r="BG542" s="387">
        <f t="shared" si="357"/>
        <v>336.75314400000002</v>
      </c>
      <c r="BH542" s="387">
        <f t="shared" si="358"/>
        <v>228.86135999999999</v>
      </c>
      <c r="BI542" s="387">
        <f t="shared" si="359"/>
        <v>258.519924</v>
      </c>
      <c r="BJ542" s="387">
        <f t="shared" si="360"/>
        <v>126.10728000000002</v>
      </c>
      <c r="BK542" s="387">
        <f t="shared" si="361"/>
        <v>0</v>
      </c>
      <c r="BL542" s="387">
        <f t="shared" si="384"/>
        <v>10100.025468000002</v>
      </c>
      <c r="BM542" s="387">
        <f t="shared" si="385"/>
        <v>0</v>
      </c>
      <c r="BN542" s="387">
        <f t="shared" si="362"/>
        <v>10485</v>
      </c>
      <c r="BO542" s="387">
        <f t="shared" si="363"/>
        <v>0</v>
      </c>
      <c r="BP542" s="387">
        <f t="shared" si="364"/>
        <v>2895.7968000000001</v>
      </c>
      <c r="BQ542" s="387">
        <f t="shared" si="365"/>
        <v>677.2428000000001</v>
      </c>
      <c r="BR542" s="387">
        <f t="shared" si="366"/>
        <v>5576.7441600000002</v>
      </c>
      <c r="BS542" s="387">
        <f t="shared" si="367"/>
        <v>336.75314400000002</v>
      </c>
      <c r="BT542" s="387">
        <f t="shared" si="368"/>
        <v>0</v>
      </c>
      <c r="BU542" s="387">
        <f t="shared" si="369"/>
        <v>258.519924</v>
      </c>
      <c r="BV542" s="387">
        <f t="shared" si="370"/>
        <v>158.80176</v>
      </c>
      <c r="BW542" s="387">
        <f t="shared" si="371"/>
        <v>0</v>
      </c>
      <c r="BX542" s="387">
        <f t="shared" si="386"/>
        <v>9903.858588000001</v>
      </c>
      <c r="BY542" s="387">
        <f t="shared" si="387"/>
        <v>0</v>
      </c>
      <c r="BZ542" s="387">
        <f t="shared" si="388"/>
        <v>0</v>
      </c>
      <c r="CA542" s="387">
        <f t="shared" si="389"/>
        <v>0</v>
      </c>
      <c r="CB542" s="387">
        <f t="shared" si="390"/>
        <v>0</v>
      </c>
      <c r="CC542" s="387">
        <f t="shared" si="372"/>
        <v>0</v>
      </c>
      <c r="CD542" s="387">
        <f t="shared" si="373"/>
        <v>0</v>
      </c>
      <c r="CE542" s="387">
        <f t="shared" si="374"/>
        <v>0</v>
      </c>
      <c r="CF542" s="387">
        <f t="shared" si="375"/>
        <v>-228.86135999999999</v>
      </c>
      <c r="CG542" s="387">
        <f t="shared" si="376"/>
        <v>0</v>
      </c>
      <c r="CH542" s="387">
        <f t="shared" si="377"/>
        <v>32.694479999999984</v>
      </c>
      <c r="CI542" s="387">
        <f t="shared" si="378"/>
        <v>0</v>
      </c>
      <c r="CJ542" s="387">
        <f t="shared" si="391"/>
        <v>-196.16687999999999</v>
      </c>
      <c r="CK542" s="387" t="str">
        <f t="shared" si="392"/>
        <v/>
      </c>
      <c r="CL542" s="387" t="str">
        <f t="shared" si="393"/>
        <v/>
      </c>
      <c r="CM542" s="387" t="str">
        <f t="shared" si="394"/>
        <v/>
      </c>
      <c r="CN542" s="387" t="str">
        <f t="shared" si="395"/>
        <v>0348-31</v>
      </c>
    </row>
    <row r="543" spans="1:92" ht="15.75" thickBot="1" x14ac:dyDescent="0.3">
      <c r="A543" s="376" t="s">
        <v>161</v>
      </c>
      <c r="B543" s="376" t="s">
        <v>162</v>
      </c>
      <c r="C543" s="376" t="s">
        <v>1730</v>
      </c>
      <c r="D543" s="376" t="s">
        <v>862</v>
      </c>
      <c r="E543" s="376" t="s">
        <v>224</v>
      </c>
      <c r="F543" s="382" t="s">
        <v>225</v>
      </c>
      <c r="G543" s="376" t="s">
        <v>781</v>
      </c>
      <c r="H543" s="378"/>
      <c r="I543" s="378"/>
      <c r="J543" s="376" t="s">
        <v>215</v>
      </c>
      <c r="K543" s="376" t="s">
        <v>863</v>
      </c>
      <c r="L543" s="376" t="s">
        <v>252</v>
      </c>
      <c r="M543" s="376" t="s">
        <v>171</v>
      </c>
      <c r="N543" s="376" t="s">
        <v>172</v>
      </c>
      <c r="O543" s="379">
        <v>1</v>
      </c>
      <c r="P543" s="385">
        <v>0</v>
      </c>
      <c r="Q543" s="385">
        <v>0</v>
      </c>
      <c r="R543" s="380">
        <v>80</v>
      </c>
      <c r="S543" s="385">
        <v>0</v>
      </c>
      <c r="T543" s="380">
        <v>11071.6</v>
      </c>
      <c r="U543" s="380">
        <v>0</v>
      </c>
      <c r="V543" s="380">
        <v>5423.52</v>
      </c>
      <c r="W543" s="380">
        <v>0</v>
      </c>
      <c r="X543" s="380">
        <v>0</v>
      </c>
      <c r="Y543" s="380">
        <v>0</v>
      </c>
      <c r="Z543" s="380">
        <v>0</v>
      </c>
      <c r="AA543" s="376" t="s">
        <v>1731</v>
      </c>
      <c r="AB543" s="376" t="s">
        <v>1695</v>
      </c>
      <c r="AC543" s="376" t="s">
        <v>1732</v>
      </c>
      <c r="AD543" s="376" t="s">
        <v>324</v>
      </c>
      <c r="AE543" s="376" t="s">
        <v>863</v>
      </c>
      <c r="AF543" s="376" t="s">
        <v>393</v>
      </c>
      <c r="AG543" s="376" t="s">
        <v>178</v>
      </c>
      <c r="AH543" s="381">
        <v>19.89</v>
      </c>
      <c r="AI543" s="381">
        <v>3907.9</v>
      </c>
      <c r="AJ543" s="376" t="s">
        <v>179</v>
      </c>
      <c r="AK543" s="376" t="s">
        <v>180</v>
      </c>
      <c r="AL543" s="376" t="s">
        <v>181</v>
      </c>
      <c r="AM543" s="376" t="s">
        <v>182</v>
      </c>
      <c r="AN543" s="376" t="s">
        <v>68</v>
      </c>
      <c r="AO543" s="379">
        <v>80</v>
      </c>
      <c r="AP543" s="385">
        <v>1</v>
      </c>
      <c r="AQ543" s="385">
        <v>0</v>
      </c>
      <c r="AR543" s="383" t="s">
        <v>183</v>
      </c>
      <c r="AS543" s="387">
        <f t="shared" si="379"/>
        <v>0</v>
      </c>
      <c r="AT543">
        <f t="shared" si="380"/>
        <v>0</v>
      </c>
      <c r="AU543" s="387" t="str">
        <f>IF(AT543=0,"",IF(AND(AT543=1,M543="F",SUMIF(C2:C1334,C543,AS2:AS1334)&lt;=1),SUMIF(C2:C1334,C543,AS2:AS1334),IF(AND(AT543=1,M543="F",SUMIF(C2:C1334,C543,AS2:AS1334)&gt;1),1,"")))</f>
        <v/>
      </c>
      <c r="AV543" s="387" t="str">
        <f>IF(AT543=0,"",IF(AND(AT543=3,M543="F",SUMIF(C2:C1334,C543,AS2:AS1334)&lt;=1),SUMIF(C2:C1334,C543,AS2:AS1334),IF(AND(AT543=3,M543="F",SUMIF(C2:C1334,C543,AS2:AS1334)&gt;1),1,"")))</f>
        <v/>
      </c>
      <c r="AW543" s="387">
        <f>SUMIF(C2:C1334,C543,O2:O1334)</f>
        <v>2</v>
      </c>
      <c r="AX543" s="387">
        <f>IF(AND(M543="F",AS543&lt;&gt;0),SUMIF(C2:C1334,C543,W2:W1334),0)</f>
        <v>0</v>
      </c>
      <c r="AY543" s="387" t="str">
        <f t="shared" si="381"/>
        <v/>
      </c>
      <c r="AZ543" s="387" t="str">
        <f t="shared" si="382"/>
        <v/>
      </c>
      <c r="BA543" s="387">
        <f t="shared" si="383"/>
        <v>0</v>
      </c>
      <c r="BB543" s="387">
        <f t="shared" si="352"/>
        <v>0</v>
      </c>
      <c r="BC543" s="387">
        <f t="shared" si="353"/>
        <v>0</v>
      </c>
      <c r="BD543" s="387">
        <f t="shared" si="354"/>
        <v>0</v>
      </c>
      <c r="BE543" s="387">
        <f t="shared" si="355"/>
        <v>0</v>
      </c>
      <c r="BF543" s="387">
        <f t="shared" si="356"/>
        <v>0</v>
      </c>
      <c r="BG543" s="387">
        <f t="shared" si="357"/>
        <v>0</v>
      </c>
      <c r="BH543" s="387">
        <f t="shared" si="358"/>
        <v>0</v>
      </c>
      <c r="BI543" s="387">
        <f t="shared" si="359"/>
        <v>0</v>
      </c>
      <c r="BJ543" s="387">
        <f t="shared" si="360"/>
        <v>0</v>
      </c>
      <c r="BK543" s="387">
        <f t="shared" si="361"/>
        <v>0</v>
      </c>
      <c r="BL543" s="387">
        <f t="shared" si="384"/>
        <v>0</v>
      </c>
      <c r="BM543" s="387">
        <f t="shared" si="385"/>
        <v>0</v>
      </c>
      <c r="BN543" s="387">
        <f t="shared" si="362"/>
        <v>0</v>
      </c>
      <c r="BO543" s="387">
        <f t="shared" si="363"/>
        <v>0</v>
      </c>
      <c r="BP543" s="387">
        <f t="shared" si="364"/>
        <v>0</v>
      </c>
      <c r="BQ543" s="387">
        <f t="shared" si="365"/>
        <v>0</v>
      </c>
      <c r="BR543" s="387">
        <f t="shared" si="366"/>
        <v>0</v>
      </c>
      <c r="BS543" s="387">
        <f t="shared" si="367"/>
        <v>0</v>
      </c>
      <c r="BT543" s="387">
        <f t="shared" si="368"/>
        <v>0</v>
      </c>
      <c r="BU543" s="387">
        <f t="shared" si="369"/>
        <v>0</v>
      </c>
      <c r="BV543" s="387">
        <f t="shared" si="370"/>
        <v>0</v>
      </c>
      <c r="BW543" s="387">
        <f t="shared" si="371"/>
        <v>0</v>
      </c>
      <c r="BX543" s="387">
        <f t="shared" si="386"/>
        <v>0</v>
      </c>
      <c r="BY543" s="387">
        <f t="shared" si="387"/>
        <v>0</v>
      </c>
      <c r="BZ543" s="387">
        <f t="shared" si="388"/>
        <v>0</v>
      </c>
      <c r="CA543" s="387">
        <f t="shared" si="389"/>
        <v>0</v>
      </c>
      <c r="CB543" s="387">
        <f t="shared" si="390"/>
        <v>0</v>
      </c>
      <c r="CC543" s="387">
        <f t="shared" si="372"/>
        <v>0</v>
      </c>
      <c r="CD543" s="387">
        <f t="shared" si="373"/>
        <v>0</v>
      </c>
      <c r="CE543" s="387">
        <f t="shared" si="374"/>
        <v>0</v>
      </c>
      <c r="CF543" s="387">
        <f t="shared" si="375"/>
        <v>0</v>
      </c>
      <c r="CG543" s="387">
        <f t="shared" si="376"/>
        <v>0</v>
      </c>
      <c r="CH543" s="387">
        <f t="shared" si="377"/>
        <v>0</v>
      </c>
      <c r="CI543" s="387">
        <f t="shared" si="378"/>
        <v>0</v>
      </c>
      <c r="CJ543" s="387">
        <f t="shared" si="391"/>
        <v>0</v>
      </c>
      <c r="CK543" s="387" t="str">
        <f t="shared" si="392"/>
        <v/>
      </c>
      <c r="CL543" s="387" t="str">
        <f t="shared" si="393"/>
        <v/>
      </c>
      <c r="CM543" s="387" t="str">
        <f t="shared" si="394"/>
        <v/>
      </c>
      <c r="CN543" s="387" t="str">
        <f t="shared" si="395"/>
        <v>0348-31</v>
      </c>
    </row>
    <row r="544" spans="1:92" ht="15.75" thickBot="1" x14ac:dyDescent="0.3">
      <c r="A544" s="376" t="s">
        <v>161</v>
      </c>
      <c r="B544" s="376" t="s">
        <v>162</v>
      </c>
      <c r="C544" s="376" t="s">
        <v>1733</v>
      </c>
      <c r="D544" s="376" t="s">
        <v>862</v>
      </c>
      <c r="E544" s="376" t="s">
        <v>224</v>
      </c>
      <c r="F544" s="382" t="s">
        <v>225</v>
      </c>
      <c r="G544" s="376" t="s">
        <v>781</v>
      </c>
      <c r="H544" s="378"/>
      <c r="I544" s="378"/>
      <c r="J544" s="376" t="s">
        <v>215</v>
      </c>
      <c r="K544" s="376" t="s">
        <v>863</v>
      </c>
      <c r="L544" s="376" t="s">
        <v>252</v>
      </c>
      <c r="M544" s="376" t="s">
        <v>272</v>
      </c>
      <c r="N544" s="376" t="s">
        <v>877</v>
      </c>
      <c r="O544" s="379">
        <v>0</v>
      </c>
      <c r="P544" s="385">
        <v>0</v>
      </c>
      <c r="Q544" s="385">
        <v>0</v>
      </c>
      <c r="R544" s="380">
        <v>80</v>
      </c>
      <c r="S544" s="385">
        <v>0</v>
      </c>
      <c r="T544" s="380">
        <v>20834.09</v>
      </c>
      <c r="U544" s="380">
        <v>0</v>
      </c>
      <c r="V544" s="380">
        <v>11015.44</v>
      </c>
      <c r="W544" s="380">
        <v>0</v>
      </c>
      <c r="X544" s="380">
        <v>0</v>
      </c>
      <c r="Y544" s="380">
        <v>0</v>
      </c>
      <c r="Z544" s="380">
        <v>0</v>
      </c>
      <c r="AA544" s="378"/>
      <c r="AB544" s="376" t="s">
        <v>45</v>
      </c>
      <c r="AC544" s="376" t="s">
        <v>45</v>
      </c>
      <c r="AD544" s="378"/>
      <c r="AE544" s="378"/>
      <c r="AF544" s="378"/>
      <c r="AG544" s="378"/>
      <c r="AH544" s="379">
        <v>0</v>
      </c>
      <c r="AI544" s="379">
        <v>0</v>
      </c>
      <c r="AJ544" s="378"/>
      <c r="AK544" s="378"/>
      <c r="AL544" s="376" t="s">
        <v>181</v>
      </c>
      <c r="AM544" s="378"/>
      <c r="AN544" s="378"/>
      <c r="AO544" s="379">
        <v>0</v>
      </c>
      <c r="AP544" s="385">
        <v>0</v>
      </c>
      <c r="AQ544" s="385">
        <v>0</v>
      </c>
      <c r="AR544" s="384"/>
      <c r="AS544" s="387">
        <f t="shared" si="379"/>
        <v>0</v>
      </c>
      <c r="AT544">
        <f t="shared" si="380"/>
        <v>0</v>
      </c>
      <c r="AU544" s="387" t="str">
        <f>IF(AT544=0,"",IF(AND(AT544=1,M544="F",SUMIF(C2:C1334,C544,AS2:AS1334)&lt;=1),SUMIF(C2:C1334,C544,AS2:AS1334),IF(AND(AT544=1,M544="F",SUMIF(C2:C1334,C544,AS2:AS1334)&gt;1),1,"")))</f>
        <v/>
      </c>
      <c r="AV544" s="387" t="str">
        <f>IF(AT544=0,"",IF(AND(AT544=3,M544="F",SUMIF(C2:C1334,C544,AS2:AS1334)&lt;=1),SUMIF(C2:C1334,C544,AS2:AS1334),IF(AND(AT544=3,M544="F",SUMIF(C2:C1334,C544,AS2:AS1334)&gt;1),1,"")))</f>
        <v/>
      </c>
      <c r="AW544" s="387">
        <f>SUMIF(C2:C1334,C544,O2:O1334)</f>
        <v>0</v>
      </c>
      <c r="AX544" s="387">
        <f>IF(AND(M544="F",AS544&lt;&gt;0),SUMIF(C2:C1334,C544,W2:W1334),0)</f>
        <v>0</v>
      </c>
      <c r="AY544" s="387" t="str">
        <f t="shared" si="381"/>
        <v/>
      </c>
      <c r="AZ544" s="387" t="str">
        <f t="shared" si="382"/>
        <v/>
      </c>
      <c r="BA544" s="387">
        <f t="shared" si="383"/>
        <v>0</v>
      </c>
      <c r="BB544" s="387">
        <f t="shared" si="352"/>
        <v>0</v>
      </c>
      <c r="BC544" s="387">
        <f t="shared" si="353"/>
        <v>0</v>
      </c>
      <c r="BD544" s="387">
        <f t="shared" si="354"/>
        <v>0</v>
      </c>
      <c r="BE544" s="387">
        <f t="shared" si="355"/>
        <v>0</v>
      </c>
      <c r="BF544" s="387">
        <f t="shared" si="356"/>
        <v>0</v>
      </c>
      <c r="BG544" s="387">
        <f t="shared" si="357"/>
        <v>0</v>
      </c>
      <c r="BH544" s="387">
        <f t="shared" si="358"/>
        <v>0</v>
      </c>
      <c r="BI544" s="387">
        <f t="shared" si="359"/>
        <v>0</v>
      </c>
      <c r="BJ544" s="387">
        <f t="shared" si="360"/>
        <v>0</v>
      </c>
      <c r="BK544" s="387">
        <f t="shared" si="361"/>
        <v>0</v>
      </c>
      <c r="BL544" s="387">
        <f t="shared" si="384"/>
        <v>0</v>
      </c>
      <c r="BM544" s="387">
        <f t="shared" si="385"/>
        <v>0</v>
      </c>
      <c r="BN544" s="387">
        <f t="shared" si="362"/>
        <v>0</v>
      </c>
      <c r="BO544" s="387">
        <f t="shared" si="363"/>
        <v>0</v>
      </c>
      <c r="BP544" s="387">
        <f t="shared" si="364"/>
        <v>0</v>
      </c>
      <c r="BQ544" s="387">
        <f t="shared" si="365"/>
        <v>0</v>
      </c>
      <c r="BR544" s="387">
        <f t="shared" si="366"/>
        <v>0</v>
      </c>
      <c r="BS544" s="387">
        <f t="shared" si="367"/>
        <v>0</v>
      </c>
      <c r="BT544" s="387">
        <f t="shared" si="368"/>
        <v>0</v>
      </c>
      <c r="BU544" s="387">
        <f t="shared" si="369"/>
        <v>0</v>
      </c>
      <c r="BV544" s="387">
        <f t="shared" si="370"/>
        <v>0</v>
      </c>
      <c r="BW544" s="387">
        <f t="shared" si="371"/>
        <v>0</v>
      </c>
      <c r="BX544" s="387">
        <f t="shared" si="386"/>
        <v>0</v>
      </c>
      <c r="BY544" s="387">
        <f t="shared" si="387"/>
        <v>0</v>
      </c>
      <c r="BZ544" s="387">
        <f t="shared" si="388"/>
        <v>0</v>
      </c>
      <c r="CA544" s="387">
        <f t="shared" si="389"/>
        <v>0</v>
      </c>
      <c r="CB544" s="387">
        <f t="shared" si="390"/>
        <v>0</v>
      </c>
      <c r="CC544" s="387">
        <f t="shared" si="372"/>
        <v>0</v>
      </c>
      <c r="CD544" s="387">
        <f t="shared" si="373"/>
        <v>0</v>
      </c>
      <c r="CE544" s="387">
        <f t="shared" si="374"/>
        <v>0</v>
      </c>
      <c r="CF544" s="387">
        <f t="shared" si="375"/>
        <v>0</v>
      </c>
      <c r="CG544" s="387">
        <f t="shared" si="376"/>
        <v>0</v>
      </c>
      <c r="CH544" s="387">
        <f t="shared" si="377"/>
        <v>0</v>
      </c>
      <c r="CI544" s="387">
        <f t="shared" si="378"/>
        <v>0</v>
      </c>
      <c r="CJ544" s="387">
        <f t="shared" si="391"/>
        <v>0</v>
      </c>
      <c r="CK544" s="387" t="str">
        <f t="shared" si="392"/>
        <v/>
      </c>
      <c r="CL544" s="387" t="str">
        <f t="shared" si="393"/>
        <v/>
      </c>
      <c r="CM544" s="387" t="str">
        <f t="shared" si="394"/>
        <v/>
      </c>
      <c r="CN544" s="387" t="str">
        <f t="shared" si="395"/>
        <v>0348-31</v>
      </c>
    </row>
    <row r="545" spans="1:92" ht="15.75" thickBot="1" x14ac:dyDescent="0.3">
      <c r="A545" s="376" t="s">
        <v>161</v>
      </c>
      <c r="B545" s="376" t="s">
        <v>162</v>
      </c>
      <c r="C545" s="376" t="s">
        <v>1734</v>
      </c>
      <c r="D545" s="376" t="s">
        <v>862</v>
      </c>
      <c r="E545" s="376" t="s">
        <v>224</v>
      </c>
      <c r="F545" s="382" t="s">
        <v>225</v>
      </c>
      <c r="G545" s="376" t="s">
        <v>781</v>
      </c>
      <c r="H545" s="378"/>
      <c r="I545" s="378"/>
      <c r="J545" s="376" t="s">
        <v>168</v>
      </c>
      <c r="K545" s="376" t="s">
        <v>863</v>
      </c>
      <c r="L545" s="376" t="s">
        <v>252</v>
      </c>
      <c r="M545" s="376" t="s">
        <v>171</v>
      </c>
      <c r="N545" s="376" t="s">
        <v>172</v>
      </c>
      <c r="O545" s="379">
        <v>1</v>
      </c>
      <c r="P545" s="385">
        <v>0.8</v>
      </c>
      <c r="Q545" s="385">
        <v>0.8</v>
      </c>
      <c r="R545" s="380">
        <v>80</v>
      </c>
      <c r="S545" s="385">
        <v>0.8</v>
      </c>
      <c r="T545" s="380">
        <v>25123.93</v>
      </c>
      <c r="U545" s="380">
        <v>0</v>
      </c>
      <c r="V545" s="380">
        <v>13899.55</v>
      </c>
      <c r="W545" s="380">
        <v>30850.560000000001</v>
      </c>
      <c r="X545" s="380">
        <v>15991.39</v>
      </c>
      <c r="Y545" s="380">
        <v>30850.560000000001</v>
      </c>
      <c r="Z545" s="380">
        <v>15861.83</v>
      </c>
      <c r="AA545" s="376" t="s">
        <v>1735</v>
      </c>
      <c r="AB545" s="376" t="s">
        <v>1736</v>
      </c>
      <c r="AC545" s="376" t="s">
        <v>365</v>
      </c>
      <c r="AD545" s="376" t="s">
        <v>1066</v>
      </c>
      <c r="AE545" s="376" t="s">
        <v>863</v>
      </c>
      <c r="AF545" s="376" t="s">
        <v>393</v>
      </c>
      <c r="AG545" s="376" t="s">
        <v>178</v>
      </c>
      <c r="AH545" s="381">
        <v>18.54</v>
      </c>
      <c r="AI545" s="381">
        <v>28635.4</v>
      </c>
      <c r="AJ545" s="376" t="s">
        <v>179</v>
      </c>
      <c r="AK545" s="376" t="s">
        <v>180</v>
      </c>
      <c r="AL545" s="376" t="s">
        <v>181</v>
      </c>
      <c r="AM545" s="376" t="s">
        <v>182</v>
      </c>
      <c r="AN545" s="376" t="s">
        <v>68</v>
      </c>
      <c r="AO545" s="379">
        <v>80</v>
      </c>
      <c r="AP545" s="385">
        <v>1</v>
      </c>
      <c r="AQ545" s="385">
        <v>0.8</v>
      </c>
      <c r="AR545" s="383" t="s">
        <v>183</v>
      </c>
      <c r="AS545" s="387">
        <f t="shared" si="379"/>
        <v>0.8</v>
      </c>
      <c r="AT545">
        <f t="shared" si="380"/>
        <v>1</v>
      </c>
      <c r="AU545" s="387">
        <f>IF(AT545=0,"",IF(AND(AT545=1,M545="F",SUMIF(C2:C1334,C545,AS2:AS1334)&lt;=1),SUMIF(C2:C1334,C545,AS2:AS1334),IF(AND(AT545=1,M545="F",SUMIF(C2:C1334,C545,AS2:AS1334)&gt;1),1,"")))</f>
        <v>1</v>
      </c>
      <c r="AV545" s="387" t="str">
        <f>IF(AT545=0,"",IF(AND(AT545=3,M545="F",SUMIF(C2:C1334,C545,AS2:AS1334)&lt;=1),SUMIF(C2:C1334,C545,AS2:AS1334),IF(AND(AT545=3,M545="F",SUMIF(C2:C1334,C545,AS2:AS1334)&gt;1),1,"")))</f>
        <v/>
      </c>
      <c r="AW545" s="387">
        <f>SUMIF(C2:C1334,C545,O2:O1334)</f>
        <v>3</v>
      </c>
      <c r="AX545" s="387">
        <f>IF(AND(M545="F",AS545&lt;&gt;0),SUMIF(C2:C1334,C545,W2:W1334),0)</f>
        <v>38563.200000000004</v>
      </c>
      <c r="AY545" s="387">
        <f t="shared" si="381"/>
        <v>30850.560000000001</v>
      </c>
      <c r="AZ545" s="387" t="str">
        <f t="shared" si="382"/>
        <v/>
      </c>
      <c r="BA545" s="387">
        <f t="shared" si="383"/>
        <v>0</v>
      </c>
      <c r="BB545" s="387">
        <f t="shared" si="352"/>
        <v>9320</v>
      </c>
      <c r="BC545" s="387">
        <f t="shared" si="353"/>
        <v>0</v>
      </c>
      <c r="BD545" s="387">
        <f t="shared" si="354"/>
        <v>1912.7347200000002</v>
      </c>
      <c r="BE545" s="387">
        <f t="shared" si="355"/>
        <v>447.33312000000006</v>
      </c>
      <c r="BF545" s="387">
        <f t="shared" si="356"/>
        <v>3683.5568640000001</v>
      </c>
      <c r="BG545" s="387">
        <f t="shared" si="357"/>
        <v>222.43253760000002</v>
      </c>
      <c r="BH545" s="387">
        <f t="shared" si="358"/>
        <v>151.167744</v>
      </c>
      <c r="BI545" s="387">
        <f t="shared" si="359"/>
        <v>170.75784960000001</v>
      </c>
      <c r="BJ545" s="387">
        <f t="shared" si="360"/>
        <v>83.296512000000007</v>
      </c>
      <c r="BK545" s="387">
        <f t="shared" si="361"/>
        <v>0</v>
      </c>
      <c r="BL545" s="387">
        <f t="shared" si="384"/>
        <v>6671.2793471999994</v>
      </c>
      <c r="BM545" s="387">
        <f t="shared" si="385"/>
        <v>0</v>
      </c>
      <c r="BN545" s="387">
        <f t="shared" si="362"/>
        <v>9320</v>
      </c>
      <c r="BO545" s="387">
        <f t="shared" si="363"/>
        <v>0</v>
      </c>
      <c r="BP545" s="387">
        <f t="shared" si="364"/>
        <v>1912.7347200000002</v>
      </c>
      <c r="BQ545" s="387">
        <f t="shared" si="365"/>
        <v>447.33312000000006</v>
      </c>
      <c r="BR545" s="387">
        <f t="shared" si="366"/>
        <v>3683.5568640000001</v>
      </c>
      <c r="BS545" s="387">
        <f t="shared" si="367"/>
        <v>222.43253760000002</v>
      </c>
      <c r="BT545" s="387">
        <f t="shared" si="368"/>
        <v>0</v>
      </c>
      <c r="BU545" s="387">
        <f t="shared" si="369"/>
        <v>170.75784960000001</v>
      </c>
      <c r="BV545" s="387">
        <f t="shared" si="370"/>
        <v>104.891904</v>
      </c>
      <c r="BW545" s="387">
        <f t="shared" si="371"/>
        <v>0</v>
      </c>
      <c r="BX545" s="387">
        <f t="shared" si="386"/>
        <v>6541.7069951999993</v>
      </c>
      <c r="BY545" s="387">
        <f t="shared" si="387"/>
        <v>0</v>
      </c>
      <c r="BZ545" s="387">
        <f t="shared" si="388"/>
        <v>0</v>
      </c>
      <c r="CA545" s="387">
        <f t="shared" si="389"/>
        <v>0</v>
      </c>
      <c r="CB545" s="387">
        <f t="shared" si="390"/>
        <v>0</v>
      </c>
      <c r="CC545" s="387">
        <f t="shared" si="372"/>
        <v>0</v>
      </c>
      <c r="CD545" s="387">
        <f t="shared" si="373"/>
        <v>0</v>
      </c>
      <c r="CE545" s="387">
        <f t="shared" si="374"/>
        <v>0</v>
      </c>
      <c r="CF545" s="387">
        <f t="shared" si="375"/>
        <v>-151.167744</v>
      </c>
      <c r="CG545" s="387">
        <f t="shared" si="376"/>
        <v>0</v>
      </c>
      <c r="CH545" s="387">
        <f t="shared" si="377"/>
        <v>21.59539199999999</v>
      </c>
      <c r="CI545" s="387">
        <f t="shared" si="378"/>
        <v>0</v>
      </c>
      <c r="CJ545" s="387">
        <f t="shared" si="391"/>
        <v>-129.57235200000002</v>
      </c>
      <c r="CK545" s="387" t="str">
        <f t="shared" si="392"/>
        <v/>
      </c>
      <c r="CL545" s="387" t="str">
        <f t="shared" si="393"/>
        <v/>
      </c>
      <c r="CM545" s="387" t="str">
        <f t="shared" si="394"/>
        <v/>
      </c>
      <c r="CN545" s="387" t="str">
        <f t="shared" si="395"/>
        <v>0348-31</v>
      </c>
    </row>
    <row r="546" spans="1:92" ht="15.75" thickBot="1" x14ac:dyDescent="0.3">
      <c r="A546" s="376" t="s">
        <v>161</v>
      </c>
      <c r="B546" s="376" t="s">
        <v>162</v>
      </c>
      <c r="C546" s="376" t="s">
        <v>1737</v>
      </c>
      <c r="D546" s="376" t="s">
        <v>974</v>
      </c>
      <c r="E546" s="376" t="s">
        <v>224</v>
      </c>
      <c r="F546" s="382" t="s">
        <v>225</v>
      </c>
      <c r="G546" s="376" t="s">
        <v>781</v>
      </c>
      <c r="H546" s="378"/>
      <c r="I546" s="378"/>
      <c r="J546" s="376" t="s">
        <v>215</v>
      </c>
      <c r="K546" s="376" t="s">
        <v>975</v>
      </c>
      <c r="L546" s="376" t="s">
        <v>296</v>
      </c>
      <c r="M546" s="376" t="s">
        <v>171</v>
      </c>
      <c r="N546" s="376" t="s">
        <v>172</v>
      </c>
      <c r="O546" s="379">
        <v>1</v>
      </c>
      <c r="P546" s="385">
        <v>0</v>
      </c>
      <c r="Q546" s="385">
        <v>0</v>
      </c>
      <c r="R546" s="380">
        <v>80</v>
      </c>
      <c r="S546" s="385">
        <v>0</v>
      </c>
      <c r="T546" s="380">
        <v>1596.8</v>
      </c>
      <c r="U546" s="380">
        <v>0</v>
      </c>
      <c r="V546" s="380">
        <v>575.42999999999995</v>
      </c>
      <c r="W546" s="380">
        <v>0</v>
      </c>
      <c r="X546" s="380">
        <v>0</v>
      </c>
      <c r="Y546" s="380">
        <v>0</v>
      </c>
      <c r="Z546" s="380">
        <v>0</v>
      </c>
      <c r="AA546" s="376" t="s">
        <v>1738</v>
      </c>
      <c r="AB546" s="376" t="s">
        <v>1739</v>
      </c>
      <c r="AC546" s="376" t="s">
        <v>1740</v>
      </c>
      <c r="AD546" s="376" t="s">
        <v>366</v>
      </c>
      <c r="AE546" s="376" t="s">
        <v>975</v>
      </c>
      <c r="AF546" s="376" t="s">
        <v>301</v>
      </c>
      <c r="AG546" s="376" t="s">
        <v>178</v>
      </c>
      <c r="AH546" s="381">
        <v>20.83</v>
      </c>
      <c r="AI546" s="381">
        <v>30444.2</v>
      </c>
      <c r="AJ546" s="376" t="s">
        <v>179</v>
      </c>
      <c r="AK546" s="376" t="s">
        <v>180</v>
      </c>
      <c r="AL546" s="376" t="s">
        <v>181</v>
      </c>
      <c r="AM546" s="376" t="s">
        <v>182</v>
      </c>
      <c r="AN546" s="376" t="s">
        <v>68</v>
      </c>
      <c r="AO546" s="379">
        <v>80</v>
      </c>
      <c r="AP546" s="385">
        <v>1</v>
      </c>
      <c r="AQ546" s="385">
        <v>0</v>
      </c>
      <c r="AR546" s="383" t="s">
        <v>183</v>
      </c>
      <c r="AS546" s="387">
        <f t="shared" si="379"/>
        <v>0</v>
      </c>
      <c r="AT546">
        <f t="shared" si="380"/>
        <v>0</v>
      </c>
      <c r="AU546" s="387" t="str">
        <f>IF(AT546=0,"",IF(AND(AT546=1,M546="F",SUMIF(C2:C1334,C546,AS2:AS1334)&lt;=1),SUMIF(C2:C1334,C546,AS2:AS1334),IF(AND(AT546=1,M546="F",SUMIF(C2:C1334,C546,AS2:AS1334)&gt;1),1,"")))</f>
        <v/>
      </c>
      <c r="AV546" s="387" t="str">
        <f>IF(AT546=0,"",IF(AND(AT546=3,M546="F",SUMIF(C2:C1334,C546,AS2:AS1334)&lt;=1),SUMIF(C2:C1334,C546,AS2:AS1334),IF(AND(AT546=3,M546="F",SUMIF(C2:C1334,C546,AS2:AS1334)&gt;1),1,"")))</f>
        <v/>
      </c>
      <c r="AW546" s="387">
        <f>SUMIF(C2:C1334,C546,O2:O1334)</f>
        <v>2</v>
      </c>
      <c r="AX546" s="387">
        <f>IF(AND(M546="F",AS546&lt;&gt;0),SUMIF(C2:C1334,C546,W2:W1334),0)</f>
        <v>0</v>
      </c>
      <c r="AY546" s="387" t="str">
        <f t="shared" si="381"/>
        <v/>
      </c>
      <c r="AZ546" s="387" t="str">
        <f t="shared" si="382"/>
        <v/>
      </c>
      <c r="BA546" s="387">
        <f t="shared" si="383"/>
        <v>0</v>
      </c>
      <c r="BB546" s="387">
        <f t="shared" si="352"/>
        <v>0</v>
      </c>
      <c r="BC546" s="387">
        <f t="shared" si="353"/>
        <v>0</v>
      </c>
      <c r="BD546" s="387">
        <f t="shared" si="354"/>
        <v>0</v>
      </c>
      <c r="BE546" s="387">
        <f t="shared" si="355"/>
        <v>0</v>
      </c>
      <c r="BF546" s="387">
        <f t="shared" si="356"/>
        <v>0</v>
      </c>
      <c r="BG546" s="387">
        <f t="shared" si="357"/>
        <v>0</v>
      </c>
      <c r="BH546" s="387">
        <f t="shared" si="358"/>
        <v>0</v>
      </c>
      <c r="BI546" s="387">
        <f t="shared" si="359"/>
        <v>0</v>
      </c>
      <c r="BJ546" s="387">
        <f t="shared" si="360"/>
        <v>0</v>
      </c>
      <c r="BK546" s="387">
        <f t="shared" si="361"/>
        <v>0</v>
      </c>
      <c r="BL546" s="387">
        <f t="shared" si="384"/>
        <v>0</v>
      </c>
      <c r="BM546" s="387">
        <f t="shared" si="385"/>
        <v>0</v>
      </c>
      <c r="BN546" s="387">
        <f t="shared" si="362"/>
        <v>0</v>
      </c>
      <c r="BO546" s="387">
        <f t="shared" si="363"/>
        <v>0</v>
      </c>
      <c r="BP546" s="387">
        <f t="shared" si="364"/>
        <v>0</v>
      </c>
      <c r="BQ546" s="387">
        <f t="shared" si="365"/>
        <v>0</v>
      </c>
      <c r="BR546" s="387">
        <f t="shared" si="366"/>
        <v>0</v>
      </c>
      <c r="BS546" s="387">
        <f t="shared" si="367"/>
        <v>0</v>
      </c>
      <c r="BT546" s="387">
        <f t="shared" si="368"/>
        <v>0</v>
      </c>
      <c r="BU546" s="387">
        <f t="shared" si="369"/>
        <v>0</v>
      </c>
      <c r="BV546" s="387">
        <f t="shared" si="370"/>
        <v>0</v>
      </c>
      <c r="BW546" s="387">
        <f t="shared" si="371"/>
        <v>0</v>
      </c>
      <c r="BX546" s="387">
        <f t="shared" si="386"/>
        <v>0</v>
      </c>
      <c r="BY546" s="387">
        <f t="shared" si="387"/>
        <v>0</v>
      </c>
      <c r="BZ546" s="387">
        <f t="shared" si="388"/>
        <v>0</v>
      </c>
      <c r="CA546" s="387">
        <f t="shared" si="389"/>
        <v>0</v>
      </c>
      <c r="CB546" s="387">
        <f t="shared" si="390"/>
        <v>0</v>
      </c>
      <c r="CC546" s="387">
        <f t="shared" si="372"/>
        <v>0</v>
      </c>
      <c r="CD546" s="387">
        <f t="shared" si="373"/>
        <v>0</v>
      </c>
      <c r="CE546" s="387">
        <f t="shared" si="374"/>
        <v>0</v>
      </c>
      <c r="CF546" s="387">
        <f t="shared" si="375"/>
        <v>0</v>
      </c>
      <c r="CG546" s="387">
        <f t="shared" si="376"/>
        <v>0</v>
      </c>
      <c r="CH546" s="387">
        <f t="shared" si="377"/>
        <v>0</v>
      </c>
      <c r="CI546" s="387">
        <f t="shared" si="378"/>
        <v>0</v>
      </c>
      <c r="CJ546" s="387">
        <f t="shared" si="391"/>
        <v>0</v>
      </c>
      <c r="CK546" s="387" t="str">
        <f t="shared" si="392"/>
        <v/>
      </c>
      <c r="CL546" s="387" t="str">
        <f t="shared" si="393"/>
        <v/>
      </c>
      <c r="CM546" s="387" t="str">
        <f t="shared" si="394"/>
        <v/>
      </c>
      <c r="CN546" s="387" t="str">
        <f t="shared" si="395"/>
        <v>0348-31</v>
      </c>
    </row>
    <row r="547" spans="1:92" ht="15.75" thickBot="1" x14ac:dyDescent="0.3">
      <c r="A547" s="376" t="s">
        <v>161</v>
      </c>
      <c r="B547" s="376" t="s">
        <v>162</v>
      </c>
      <c r="C547" s="376" t="s">
        <v>1741</v>
      </c>
      <c r="D547" s="376" t="s">
        <v>992</v>
      </c>
      <c r="E547" s="376" t="s">
        <v>224</v>
      </c>
      <c r="F547" s="382" t="s">
        <v>225</v>
      </c>
      <c r="G547" s="376" t="s">
        <v>781</v>
      </c>
      <c r="H547" s="378"/>
      <c r="I547" s="378"/>
      <c r="J547" s="376" t="s">
        <v>215</v>
      </c>
      <c r="K547" s="376" t="s">
        <v>993</v>
      </c>
      <c r="L547" s="376" t="s">
        <v>210</v>
      </c>
      <c r="M547" s="376" t="s">
        <v>171</v>
      </c>
      <c r="N547" s="376" t="s">
        <v>172</v>
      </c>
      <c r="O547" s="379">
        <v>1</v>
      </c>
      <c r="P547" s="385">
        <v>0</v>
      </c>
      <c r="Q547" s="385">
        <v>0</v>
      </c>
      <c r="R547" s="380">
        <v>80</v>
      </c>
      <c r="S547" s="385">
        <v>0</v>
      </c>
      <c r="T547" s="380">
        <v>67094.399999999994</v>
      </c>
      <c r="U547" s="380">
        <v>0</v>
      </c>
      <c r="V547" s="380">
        <v>25475.33</v>
      </c>
      <c r="W547" s="380">
        <v>0</v>
      </c>
      <c r="X547" s="380">
        <v>0</v>
      </c>
      <c r="Y547" s="380">
        <v>0</v>
      </c>
      <c r="Z547" s="380">
        <v>0</v>
      </c>
      <c r="AA547" s="376" t="s">
        <v>1742</v>
      </c>
      <c r="AB547" s="376" t="s">
        <v>1743</v>
      </c>
      <c r="AC547" s="376" t="s">
        <v>1707</v>
      </c>
      <c r="AD547" s="376" t="s">
        <v>252</v>
      </c>
      <c r="AE547" s="376" t="s">
        <v>993</v>
      </c>
      <c r="AF547" s="376" t="s">
        <v>245</v>
      </c>
      <c r="AG547" s="376" t="s">
        <v>178</v>
      </c>
      <c r="AH547" s="381">
        <v>33.46</v>
      </c>
      <c r="AI547" s="381">
        <v>17716.099999999999</v>
      </c>
      <c r="AJ547" s="376" t="s">
        <v>179</v>
      </c>
      <c r="AK547" s="376" t="s">
        <v>180</v>
      </c>
      <c r="AL547" s="376" t="s">
        <v>181</v>
      </c>
      <c r="AM547" s="376" t="s">
        <v>182</v>
      </c>
      <c r="AN547" s="376" t="s">
        <v>68</v>
      </c>
      <c r="AO547" s="379">
        <v>80</v>
      </c>
      <c r="AP547" s="385">
        <v>1</v>
      </c>
      <c r="AQ547" s="385">
        <v>0</v>
      </c>
      <c r="AR547" s="383" t="s">
        <v>183</v>
      </c>
      <c r="AS547" s="387">
        <f t="shared" si="379"/>
        <v>0</v>
      </c>
      <c r="AT547">
        <f t="shared" si="380"/>
        <v>0</v>
      </c>
      <c r="AU547" s="387" t="str">
        <f>IF(AT547=0,"",IF(AND(AT547=1,M547="F",SUMIF(C2:C1334,C547,AS2:AS1334)&lt;=1),SUMIF(C2:C1334,C547,AS2:AS1334),IF(AND(AT547=1,M547="F",SUMIF(C2:C1334,C547,AS2:AS1334)&gt;1),1,"")))</f>
        <v/>
      </c>
      <c r="AV547" s="387" t="str">
        <f>IF(AT547=0,"",IF(AND(AT547=3,M547="F",SUMIF(C2:C1334,C547,AS2:AS1334)&lt;=1),SUMIF(C2:C1334,C547,AS2:AS1334),IF(AND(AT547=3,M547="F",SUMIF(C2:C1334,C547,AS2:AS1334)&gt;1),1,"")))</f>
        <v/>
      </c>
      <c r="AW547" s="387">
        <f>SUMIF(C2:C1334,C547,O2:O1334)</f>
        <v>2</v>
      </c>
      <c r="AX547" s="387">
        <f>IF(AND(M547="F",AS547&lt;&gt;0),SUMIF(C2:C1334,C547,W2:W1334),0)</f>
        <v>0</v>
      </c>
      <c r="AY547" s="387" t="str">
        <f t="shared" si="381"/>
        <v/>
      </c>
      <c r="AZ547" s="387" t="str">
        <f t="shared" si="382"/>
        <v/>
      </c>
      <c r="BA547" s="387">
        <f t="shared" si="383"/>
        <v>0</v>
      </c>
      <c r="BB547" s="387">
        <f t="shared" si="352"/>
        <v>0</v>
      </c>
      <c r="BC547" s="387">
        <f t="shared" si="353"/>
        <v>0</v>
      </c>
      <c r="BD547" s="387">
        <f t="shared" si="354"/>
        <v>0</v>
      </c>
      <c r="BE547" s="387">
        <f t="shared" si="355"/>
        <v>0</v>
      </c>
      <c r="BF547" s="387">
        <f t="shared" si="356"/>
        <v>0</v>
      </c>
      <c r="BG547" s="387">
        <f t="shared" si="357"/>
        <v>0</v>
      </c>
      <c r="BH547" s="387">
        <f t="shared" si="358"/>
        <v>0</v>
      </c>
      <c r="BI547" s="387">
        <f t="shared" si="359"/>
        <v>0</v>
      </c>
      <c r="BJ547" s="387">
        <f t="shared" si="360"/>
        <v>0</v>
      </c>
      <c r="BK547" s="387">
        <f t="shared" si="361"/>
        <v>0</v>
      </c>
      <c r="BL547" s="387">
        <f t="shared" si="384"/>
        <v>0</v>
      </c>
      <c r="BM547" s="387">
        <f t="shared" si="385"/>
        <v>0</v>
      </c>
      <c r="BN547" s="387">
        <f t="shared" si="362"/>
        <v>0</v>
      </c>
      <c r="BO547" s="387">
        <f t="shared" si="363"/>
        <v>0</v>
      </c>
      <c r="BP547" s="387">
        <f t="shared" si="364"/>
        <v>0</v>
      </c>
      <c r="BQ547" s="387">
        <f t="shared" si="365"/>
        <v>0</v>
      </c>
      <c r="BR547" s="387">
        <f t="shared" si="366"/>
        <v>0</v>
      </c>
      <c r="BS547" s="387">
        <f t="shared" si="367"/>
        <v>0</v>
      </c>
      <c r="BT547" s="387">
        <f t="shared" si="368"/>
        <v>0</v>
      </c>
      <c r="BU547" s="387">
        <f t="shared" si="369"/>
        <v>0</v>
      </c>
      <c r="BV547" s="387">
        <f t="shared" si="370"/>
        <v>0</v>
      </c>
      <c r="BW547" s="387">
        <f t="shared" si="371"/>
        <v>0</v>
      </c>
      <c r="BX547" s="387">
        <f t="shared" si="386"/>
        <v>0</v>
      </c>
      <c r="BY547" s="387">
        <f t="shared" si="387"/>
        <v>0</v>
      </c>
      <c r="BZ547" s="387">
        <f t="shared" si="388"/>
        <v>0</v>
      </c>
      <c r="CA547" s="387">
        <f t="shared" si="389"/>
        <v>0</v>
      </c>
      <c r="CB547" s="387">
        <f t="shared" si="390"/>
        <v>0</v>
      </c>
      <c r="CC547" s="387">
        <f t="shared" si="372"/>
        <v>0</v>
      </c>
      <c r="CD547" s="387">
        <f t="shared" si="373"/>
        <v>0</v>
      </c>
      <c r="CE547" s="387">
        <f t="shared" si="374"/>
        <v>0</v>
      </c>
      <c r="CF547" s="387">
        <f t="shared" si="375"/>
        <v>0</v>
      </c>
      <c r="CG547" s="387">
        <f t="shared" si="376"/>
        <v>0</v>
      </c>
      <c r="CH547" s="387">
        <f t="shared" si="377"/>
        <v>0</v>
      </c>
      <c r="CI547" s="387">
        <f t="shared" si="378"/>
        <v>0</v>
      </c>
      <c r="CJ547" s="387">
        <f t="shared" si="391"/>
        <v>0</v>
      </c>
      <c r="CK547" s="387" t="str">
        <f t="shared" si="392"/>
        <v/>
      </c>
      <c r="CL547" s="387" t="str">
        <f t="shared" si="393"/>
        <v/>
      </c>
      <c r="CM547" s="387" t="str">
        <f t="shared" si="394"/>
        <v/>
      </c>
      <c r="CN547" s="387" t="str">
        <f t="shared" si="395"/>
        <v>0348-31</v>
      </c>
    </row>
    <row r="548" spans="1:92" ht="15.75" thickBot="1" x14ac:dyDescent="0.3">
      <c r="A548" s="376" t="s">
        <v>161</v>
      </c>
      <c r="B548" s="376" t="s">
        <v>162</v>
      </c>
      <c r="C548" s="376" t="s">
        <v>1744</v>
      </c>
      <c r="D548" s="376" t="s">
        <v>792</v>
      </c>
      <c r="E548" s="376" t="s">
        <v>224</v>
      </c>
      <c r="F548" s="382" t="s">
        <v>225</v>
      </c>
      <c r="G548" s="376" t="s">
        <v>781</v>
      </c>
      <c r="H548" s="378"/>
      <c r="I548" s="378"/>
      <c r="J548" s="376" t="s">
        <v>239</v>
      </c>
      <c r="K548" s="376" t="s">
        <v>793</v>
      </c>
      <c r="L548" s="376" t="s">
        <v>170</v>
      </c>
      <c r="M548" s="376" t="s">
        <v>171</v>
      </c>
      <c r="N548" s="376" t="s">
        <v>172</v>
      </c>
      <c r="O548" s="379">
        <v>1</v>
      </c>
      <c r="P548" s="385">
        <v>0.5</v>
      </c>
      <c r="Q548" s="385">
        <v>0.5</v>
      </c>
      <c r="R548" s="380">
        <v>80</v>
      </c>
      <c r="S548" s="385">
        <v>0.5</v>
      </c>
      <c r="T548" s="380">
        <v>24653.87</v>
      </c>
      <c r="U548" s="380">
        <v>0</v>
      </c>
      <c r="V548" s="380">
        <v>10716.25</v>
      </c>
      <c r="W548" s="380">
        <v>25584</v>
      </c>
      <c r="X548" s="380">
        <v>11357.52</v>
      </c>
      <c r="Y548" s="380">
        <v>25584</v>
      </c>
      <c r="Z548" s="380">
        <v>11250.07</v>
      </c>
      <c r="AA548" s="376" t="s">
        <v>1745</v>
      </c>
      <c r="AB548" s="376" t="s">
        <v>1746</v>
      </c>
      <c r="AC548" s="376" t="s">
        <v>1747</v>
      </c>
      <c r="AD548" s="376" t="s">
        <v>1748</v>
      </c>
      <c r="AE548" s="376" t="s">
        <v>793</v>
      </c>
      <c r="AF548" s="376" t="s">
        <v>177</v>
      </c>
      <c r="AG548" s="376" t="s">
        <v>178</v>
      </c>
      <c r="AH548" s="381">
        <v>24.6</v>
      </c>
      <c r="AI548" s="381">
        <v>62754.6</v>
      </c>
      <c r="AJ548" s="376" t="s">
        <v>179</v>
      </c>
      <c r="AK548" s="376" t="s">
        <v>180</v>
      </c>
      <c r="AL548" s="376" t="s">
        <v>181</v>
      </c>
      <c r="AM548" s="376" t="s">
        <v>182</v>
      </c>
      <c r="AN548" s="376" t="s">
        <v>68</v>
      </c>
      <c r="AO548" s="379">
        <v>80</v>
      </c>
      <c r="AP548" s="385">
        <v>1</v>
      </c>
      <c r="AQ548" s="385">
        <v>0.5</v>
      </c>
      <c r="AR548" s="383" t="s">
        <v>183</v>
      </c>
      <c r="AS548" s="387">
        <f t="shared" si="379"/>
        <v>0.5</v>
      </c>
      <c r="AT548">
        <f t="shared" si="380"/>
        <v>1</v>
      </c>
      <c r="AU548" s="387">
        <f>IF(AT548=0,"",IF(AND(AT548=1,M548="F",SUMIF(C2:C1334,C548,AS2:AS1334)&lt;=1),SUMIF(C2:C1334,C548,AS2:AS1334),IF(AND(AT548=1,M548="F",SUMIF(C2:C1334,C548,AS2:AS1334)&gt;1),1,"")))</f>
        <v>1</v>
      </c>
      <c r="AV548" s="387" t="str">
        <f>IF(AT548=0,"",IF(AND(AT548=3,M548="F",SUMIF(C2:C1334,C548,AS2:AS1334)&lt;=1),SUMIF(C2:C1334,C548,AS2:AS1334),IF(AND(AT548=3,M548="F",SUMIF(C2:C1334,C548,AS2:AS1334)&gt;1),1,"")))</f>
        <v/>
      </c>
      <c r="AW548" s="387">
        <f>SUMIF(C2:C1334,C548,O2:O1334)</f>
        <v>3</v>
      </c>
      <c r="AX548" s="387">
        <f>IF(AND(M548="F",AS548&lt;&gt;0),SUMIF(C2:C1334,C548,W2:W1334),0)</f>
        <v>51168</v>
      </c>
      <c r="AY548" s="387">
        <f t="shared" si="381"/>
        <v>25584</v>
      </c>
      <c r="AZ548" s="387" t="str">
        <f t="shared" si="382"/>
        <v/>
      </c>
      <c r="BA548" s="387">
        <f t="shared" si="383"/>
        <v>0</v>
      </c>
      <c r="BB548" s="387">
        <f t="shared" si="352"/>
        <v>5825</v>
      </c>
      <c r="BC548" s="387">
        <f t="shared" si="353"/>
        <v>0</v>
      </c>
      <c r="BD548" s="387">
        <f t="shared" si="354"/>
        <v>1586.2080000000001</v>
      </c>
      <c r="BE548" s="387">
        <f t="shared" si="355"/>
        <v>370.96800000000002</v>
      </c>
      <c r="BF548" s="387">
        <f t="shared" si="356"/>
        <v>3054.7296000000001</v>
      </c>
      <c r="BG548" s="387">
        <f t="shared" si="357"/>
        <v>184.46064000000001</v>
      </c>
      <c r="BH548" s="387">
        <f t="shared" si="358"/>
        <v>125.3616</v>
      </c>
      <c r="BI548" s="387">
        <f t="shared" si="359"/>
        <v>141.60744</v>
      </c>
      <c r="BJ548" s="387">
        <f t="shared" si="360"/>
        <v>69.076800000000006</v>
      </c>
      <c r="BK548" s="387">
        <f t="shared" si="361"/>
        <v>0</v>
      </c>
      <c r="BL548" s="387">
        <f t="shared" si="384"/>
        <v>5532.4120800000001</v>
      </c>
      <c r="BM548" s="387">
        <f t="shared" si="385"/>
        <v>0</v>
      </c>
      <c r="BN548" s="387">
        <f t="shared" si="362"/>
        <v>5825</v>
      </c>
      <c r="BO548" s="387">
        <f t="shared" si="363"/>
        <v>0</v>
      </c>
      <c r="BP548" s="387">
        <f t="shared" si="364"/>
        <v>1586.2080000000001</v>
      </c>
      <c r="BQ548" s="387">
        <f t="shared" si="365"/>
        <v>370.96800000000002</v>
      </c>
      <c r="BR548" s="387">
        <f t="shared" si="366"/>
        <v>3054.7296000000001</v>
      </c>
      <c r="BS548" s="387">
        <f t="shared" si="367"/>
        <v>184.46064000000001</v>
      </c>
      <c r="BT548" s="387">
        <f t="shared" si="368"/>
        <v>0</v>
      </c>
      <c r="BU548" s="387">
        <f t="shared" si="369"/>
        <v>141.60744</v>
      </c>
      <c r="BV548" s="387">
        <f t="shared" si="370"/>
        <v>86.985599999999991</v>
      </c>
      <c r="BW548" s="387">
        <f t="shared" si="371"/>
        <v>0</v>
      </c>
      <c r="BX548" s="387">
        <f t="shared" si="386"/>
        <v>5424.95928</v>
      </c>
      <c r="BY548" s="387">
        <f t="shared" si="387"/>
        <v>0</v>
      </c>
      <c r="BZ548" s="387">
        <f t="shared" si="388"/>
        <v>0</v>
      </c>
      <c r="CA548" s="387">
        <f t="shared" si="389"/>
        <v>0</v>
      </c>
      <c r="CB548" s="387">
        <f t="shared" si="390"/>
        <v>0</v>
      </c>
      <c r="CC548" s="387">
        <f t="shared" si="372"/>
        <v>0</v>
      </c>
      <c r="CD548" s="387">
        <f t="shared" si="373"/>
        <v>0</v>
      </c>
      <c r="CE548" s="387">
        <f t="shared" si="374"/>
        <v>0</v>
      </c>
      <c r="CF548" s="387">
        <f t="shared" si="375"/>
        <v>-125.3616</v>
      </c>
      <c r="CG548" s="387">
        <f t="shared" si="376"/>
        <v>0</v>
      </c>
      <c r="CH548" s="387">
        <f t="shared" si="377"/>
        <v>17.908799999999992</v>
      </c>
      <c r="CI548" s="387">
        <f t="shared" si="378"/>
        <v>0</v>
      </c>
      <c r="CJ548" s="387">
        <f t="shared" si="391"/>
        <v>-107.4528</v>
      </c>
      <c r="CK548" s="387" t="str">
        <f t="shared" si="392"/>
        <v/>
      </c>
      <c r="CL548" s="387" t="str">
        <f t="shared" si="393"/>
        <v/>
      </c>
      <c r="CM548" s="387" t="str">
        <f t="shared" si="394"/>
        <v/>
      </c>
      <c r="CN548" s="387" t="str">
        <f t="shared" si="395"/>
        <v>0348-31</v>
      </c>
    </row>
    <row r="549" spans="1:92" ht="15.75" thickBot="1" x14ac:dyDescent="0.3">
      <c r="A549" s="376" t="s">
        <v>161</v>
      </c>
      <c r="B549" s="376" t="s">
        <v>162</v>
      </c>
      <c r="C549" s="376" t="s">
        <v>423</v>
      </c>
      <c r="D549" s="376" t="s">
        <v>368</v>
      </c>
      <c r="E549" s="376" t="s">
        <v>224</v>
      </c>
      <c r="F549" s="382" t="s">
        <v>225</v>
      </c>
      <c r="G549" s="376" t="s">
        <v>781</v>
      </c>
      <c r="H549" s="378"/>
      <c r="I549" s="378"/>
      <c r="J549" s="376" t="s">
        <v>239</v>
      </c>
      <c r="K549" s="376" t="s">
        <v>424</v>
      </c>
      <c r="L549" s="376" t="s">
        <v>210</v>
      </c>
      <c r="M549" s="376" t="s">
        <v>171</v>
      </c>
      <c r="N549" s="376" t="s">
        <v>172</v>
      </c>
      <c r="O549" s="379">
        <v>1</v>
      </c>
      <c r="P549" s="385">
        <v>0</v>
      </c>
      <c r="Q549" s="385">
        <v>0</v>
      </c>
      <c r="R549" s="380">
        <v>80</v>
      </c>
      <c r="S549" s="385">
        <v>0</v>
      </c>
      <c r="T549" s="380">
        <v>40822.32</v>
      </c>
      <c r="U549" s="380">
        <v>0</v>
      </c>
      <c r="V549" s="380">
        <v>13776.39</v>
      </c>
      <c r="W549" s="380">
        <v>0</v>
      </c>
      <c r="X549" s="380">
        <v>0</v>
      </c>
      <c r="Y549" s="380">
        <v>0</v>
      </c>
      <c r="Z549" s="380">
        <v>0</v>
      </c>
      <c r="AA549" s="376" t="s">
        <v>425</v>
      </c>
      <c r="AB549" s="376" t="s">
        <v>426</v>
      </c>
      <c r="AC549" s="376" t="s">
        <v>427</v>
      </c>
      <c r="AD549" s="376" t="s">
        <v>428</v>
      </c>
      <c r="AE549" s="376" t="s">
        <v>424</v>
      </c>
      <c r="AF549" s="376" t="s">
        <v>245</v>
      </c>
      <c r="AG549" s="376" t="s">
        <v>178</v>
      </c>
      <c r="AH549" s="381">
        <v>43.02</v>
      </c>
      <c r="AI549" s="381">
        <v>13905.9</v>
      </c>
      <c r="AJ549" s="376" t="s">
        <v>179</v>
      </c>
      <c r="AK549" s="376" t="s">
        <v>180</v>
      </c>
      <c r="AL549" s="376" t="s">
        <v>181</v>
      </c>
      <c r="AM549" s="376" t="s">
        <v>182</v>
      </c>
      <c r="AN549" s="376" t="s">
        <v>68</v>
      </c>
      <c r="AO549" s="379">
        <v>80</v>
      </c>
      <c r="AP549" s="385">
        <v>1</v>
      </c>
      <c r="AQ549" s="385">
        <v>0</v>
      </c>
      <c r="AR549" s="383" t="s">
        <v>183</v>
      </c>
      <c r="AS549" s="387">
        <f t="shared" si="379"/>
        <v>0</v>
      </c>
      <c r="AT549">
        <f t="shared" si="380"/>
        <v>0</v>
      </c>
      <c r="AU549" s="387" t="str">
        <f>IF(AT549=0,"",IF(AND(AT549=1,M549="F",SUMIF(C2:C1334,C549,AS2:AS1334)&lt;=1),SUMIF(C2:C1334,C549,AS2:AS1334),IF(AND(AT549=1,M549="F",SUMIF(C2:C1334,C549,AS2:AS1334)&gt;1),1,"")))</f>
        <v/>
      </c>
      <c r="AV549" s="387" t="str">
        <f>IF(AT549=0,"",IF(AND(AT549=3,M549="F",SUMIF(C2:C1334,C549,AS2:AS1334)&lt;=1),SUMIF(C2:C1334,C549,AS2:AS1334),IF(AND(AT549=3,M549="F",SUMIF(C2:C1334,C549,AS2:AS1334)&gt;1),1,"")))</f>
        <v/>
      </c>
      <c r="AW549" s="387">
        <f>SUMIF(C2:C1334,C549,O2:O1334)</f>
        <v>3</v>
      </c>
      <c r="AX549" s="387">
        <f>IF(AND(M549="F",AS549&lt;&gt;0),SUMIF(C2:C1334,C549,W2:W1334),0)</f>
        <v>0</v>
      </c>
      <c r="AY549" s="387" t="str">
        <f t="shared" si="381"/>
        <v/>
      </c>
      <c r="AZ549" s="387" t="str">
        <f t="shared" si="382"/>
        <v/>
      </c>
      <c r="BA549" s="387">
        <f t="shared" si="383"/>
        <v>0</v>
      </c>
      <c r="BB549" s="387">
        <f t="shared" si="352"/>
        <v>0</v>
      </c>
      <c r="BC549" s="387">
        <f t="shared" si="353"/>
        <v>0</v>
      </c>
      <c r="BD549" s="387">
        <f t="shared" si="354"/>
        <v>0</v>
      </c>
      <c r="BE549" s="387">
        <f t="shared" si="355"/>
        <v>0</v>
      </c>
      <c r="BF549" s="387">
        <f t="shared" si="356"/>
        <v>0</v>
      </c>
      <c r="BG549" s="387">
        <f t="shared" si="357"/>
        <v>0</v>
      </c>
      <c r="BH549" s="387">
        <f t="shared" si="358"/>
        <v>0</v>
      </c>
      <c r="BI549" s="387">
        <f t="shared" si="359"/>
        <v>0</v>
      </c>
      <c r="BJ549" s="387">
        <f t="shared" si="360"/>
        <v>0</v>
      </c>
      <c r="BK549" s="387">
        <f t="shared" si="361"/>
        <v>0</v>
      </c>
      <c r="BL549" s="387">
        <f t="shared" si="384"/>
        <v>0</v>
      </c>
      <c r="BM549" s="387">
        <f t="shared" si="385"/>
        <v>0</v>
      </c>
      <c r="BN549" s="387">
        <f t="shared" si="362"/>
        <v>0</v>
      </c>
      <c r="BO549" s="387">
        <f t="shared" si="363"/>
        <v>0</v>
      </c>
      <c r="BP549" s="387">
        <f t="shared" si="364"/>
        <v>0</v>
      </c>
      <c r="BQ549" s="387">
        <f t="shared" si="365"/>
        <v>0</v>
      </c>
      <c r="BR549" s="387">
        <f t="shared" si="366"/>
        <v>0</v>
      </c>
      <c r="BS549" s="387">
        <f t="shared" si="367"/>
        <v>0</v>
      </c>
      <c r="BT549" s="387">
        <f t="shared" si="368"/>
        <v>0</v>
      </c>
      <c r="BU549" s="387">
        <f t="shared" si="369"/>
        <v>0</v>
      </c>
      <c r="BV549" s="387">
        <f t="shared" si="370"/>
        <v>0</v>
      </c>
      <c r="BW549" s="387">
        <f t="shared" si="371"/>
        <v>0</v>
      </c>
      <c r="BX549" s="387">
        <f t="shared" si="386"/>
        <v>0</v>
      </c>
      <c r="BY549" s="387">
        <f t="shared" si="387"/>
        <v>0</v>
      </c>
      <c r="BZ549" s="387">
        <f t="shared" si="388"/>
        <v>0</v>
      </c>
      <c r="CA549" s="387">
        <f t="shared" si="389"/>
        <v>0</v>
      </c>
      <c r="CB549" s="387">
        <f t="shared" si="390"/>
        <v>0</v>
      </c>
      <c r="CC549" s="387">
        <f t="shared" si="372"/>
        <v>0</v>
      </c>
      <c r="CD549" s="387">
        <f t="shared" si="373"/>
        <v>0</v>
      </c>
      <c r="CE549" s="387">
        <f t="shared" si="374"/>
        <v>0</v>
      </c>
      <c r="CF549" s="387">
        <f t="shared" si="375"/>
        <v>0</v>
      </c>
      <c r="CG549" s="387">
        <f t="shared" si="376"/>
        <v>0</v>
      </c>
      <c r="CH549" s="387">
        <f t="shared" si="377"/>
        <v>0</v>
      </c>
      <c r="CI549" s="387">
        <f t="shared" si="378"/>
        <v>0</v>
      </c>
      <c r="CJ549" s="387">
        <f t="shared" si="391"/>
        <v>0</v>
      </c>
      <c r="CK549" s="387" t="str">
        <f t="shared" si="392"/>
        <v/>
      </c>
      <c r="CL549" s="387" t="str">
        <f t="shared" si="393"/>
        <v/>
      </c>
      <c r="CM549" s="387" t="str">
        <f t="shared" si="394"/>
        <v/>
      </c>
      <c r="CN549" s="387" t="str">
        <f t="shared" si="395"/>
        <v>0348-31</v>
      </c>
    </row>
    <row r="550" spans="1:92" ht="15.75" thickBot="1" x14ac:dyDescent="0.3">
      <c r="A550" s="376" t="s">
        <v>161</v>
      </c>
      <c r="B550" s="376" t="s">
        <v>162</v>
      </c>
      <c r="C550" s="376" t="s">
        <v>1749</v>
      </c>
      <c r="D550" s="376" t="s">
        <v>868</v>
      </c>
      <c r="E550" s="376" t="s">
        <v>224</v>
      </c>
      <c r="F550" s="382" t="s">
        <v>225</v>
      </c>
      <c r="G550" s="376" t="s">
        <v>781</v>
      </c>
      <c r="H550" s="378"/>
      <c r="I550" s="378"/>
      <c r="J550" s="376" t="s">
        <v>215</v>
      </c>
      <c r="K550" s="376" t="s">
        <v>869</v>
      </c>
      <c r="L550" s="376" t="s">
        <v>296</v>
      </c>
      <c r="M550" s="376" t="s">
        <v>171</v>
      </c>
      <c r="N550" s="376" t="s">
        <v>172</v>
      </c>
      <c r="O550" s="379">
        <v>1</v>
      </c>
      <c r="P550" s="385">
        <v>0</v>
      </c>
      <c r="Q550" s="385">
        <v>0</v>
      </c>
      <c r="R550" s="380">
        <v>80</v>
      </c>
      <c r="S550" s="385">
        <v>0</v>
      </c>
      <c r="T550" s="380">
        <v>4944</v>
      </c>
      <c r="U550" s="380">
        <v>0</v>
      </c>
      <c r="V550" s="380">
        <v>2465.64</v>
      </c>
      <c r="W550" s="380">
        <v>0</v>
      </c>
      <c r="X550" s="380">
        <v>0</v>
      </c>
      <c r="Y550" s="380">
        <v>0</v>
      </c>
      <c r="Z550" s="380">
        <v>0</v>
      </c>
      <c r="AA550" s="376" t="s">
        <v>1750</v>
      </c>
      <c r="AB550" s="376" t="s">
        <v>1751</v>
      </c>
      <c r="AC550" s="376" t="s">
        <v>1752</v>
      </c>
      <c r="AD550" s="376" t="s">
        <v>419</v>
      </c>
      <c r="AE550" s="376" t="s">
        <v>873</v>
      </c>
      <c r="AF550" s="376" t="s">
        <v>393</v>
      </c>
      <c r="AG550" s="376" t="s">
        <v>178</v>
      </c>
      <c r="AH550" s="381">
        <v>20.6</v>
      </c>
      <c r="AI550" s="381">
        <v>33355.4</v>
      </c>
      <c r="AJ550" s="376" t="s">
        <v>179</v>
      </c>
      <c r="AK550" s="376" t="s">
        <v>180</v>
      </c>
      <c r="AL550" s="376" t="s">
        <v>181</v>
      </c>
      <c r="AM550" s="376" t="s">
        <v>182</v>
      </c>
      <c r="AN550" s="376" t="s">
        <v>68</v>
      </c>
      <c r="AO550" s="379">
        <v>80</v>
      </c>
      <c r="AP550" s="385">
        <v>1</v>
      </c>
      <c r="AQ550" s="385">
        <v>0</v>
      </c>
      <c r="AR550" s="383">
        <v>3</v>
      </c>
      <c r="AS550" s="387">
        <f t="shared" si="379"/>
        <v>0</v>
      </c>
      <c r="AT550">
        <f t="shared" si="380"/>
        <v>0</v>
      </c>
      <c r="AU550" s="387" t="str">
        <f>IF(AT550=0,"",IF(AND(AT550=1,M550="F",SUMIF(C2:C1334,C550,AS2:AS1334)&lt;=1),SUMIF(C2:C1334,C550,AS2:AS1334),IF(AND(AT550=1,M550="F",SUMIF(C2:C1334,C550,AS2:AS1334)&gt;1),1,"")))</f>
        <v/>
      </c>
      <c r="AV550" s="387" t="str">
        <f>IF(AT550=0,"",IF(AND(AT550=3,M550="F",SUMIF(C2:C1334,C550,AS2:AS1334)&lt;=1),SUMIF(C2:C1334,C550,AS2:AS1334),IF(AND(AT550=3,M550="F",SUMIF(C2:C1334,C550,AS2:AS1334)&gt;1),1,"")))</f>
        <v/>
      </c>
      <c r="AW550" s="387">
        <f>SUMIF(C2:C1334,C550,O2:O1334)</f>
        <v>2</v>
      </c>
      <c r="AX550" s="387">
        <f>IF(AND(M550="F",AS550&lt;&gt;0),SUMIF(C2:C1334,C550,W2:W1334),0)</f>
        <v>0</v>
      </c>
      <c r="AY550" s="387" t="str">
        <f t="shared" si="381"/>
        <v/>
      </c>
      <c r="AZ550" s="387" t="str">
        <f t="shared" si="382"/>
        <v/>
      </c>
      <c r="BA550" s="387">
        <f t="shared" si="383"/>
        <v>0</v>
      </c>
      <c r="BB550" s="387">
        <f t="shared" si="352"/>
        <v>0</v>
      </c>
      <c r="BC550" s="387">
        <f t="shared" si="353"/>
        <v>0</v>
      </c>
      <c r="BD550" s="387">
        <f t="shared" si="354"/>
        <v>0</v>
      </c>
      <c r="BE550" s="387">
        <f t="shared" si="355"/>
        <v>0</v>
      </c>
      <c r="BF550" s="387">
        <f t="shared" si="356"/>
        <v>0</v>
      </c>
      <c r="BG550" s="387">
        <f t="shared" si="357"/>
        <v>0</v>
      </c>
      <c r="BH550" s="387">
        <f t="shared" si="358"/>
        <v>0</v>
      </c>
      <c r="BI550" s="387">
        <f t="shared" si="359"/>
        <v>0</v>
      </c>
      <c r="BJ550" s="387">
        <f t="shared" si="360"/>
        <v>0</v>
      </c>
      <c r="BK550" s="387">
        <f t="shared" si="361"/>
        <v>0</v>
      </c>
      <c r="BL550" s="387">
        <f t="shared" si="384"/>
        <v>0</v>
      </c>
      <c r="BM550" s="387">
        <f t="shared" si="385"/>
        <v>0</v>
      </c>
      <c r="BN550" s="387">
        <f t="shared" si="362"/>
        <v>0</v>
      </c>
      <c r="BO550" s="387">
        <f t="shared" si="363"/>
        <v>0</v>
      </c>
      <c r="BP550" s="387">
        <f t="shared" si="364"/>
        <v>0</v>
      </c>
      <c r="BQ550" s="387">
        <f t="shared" si="365"/>
        <v>0</v>
      </c>
      <c r="BR550" s="387">
        <f t="shared" si="366"/>
        <v>0</v>
      </c>
      <c r="BS550" s="387">
        <f t="shared" si="367"/>
        <v>0</v>
      </c>
      <c r="BT550" s="387">
        <f t="shared" si="368"/>
        <v>0</v>
      </c>
      <c r="BU550" s="387">
        <f t="shared" si="369"/>
        <v>0</v>
      </c>
      <c r="BV550" s="387">
        <f t="shared" si="370"/>
        <v>0</v>
      </c>
      <c r="BW550" s="387">
        <f t="shared" si="371"/>
        <v>0</v>
      </c>
      <c r="BX550" s="387">
        <f t="shared" si="386"/>
        <v>0</v>
      </c>
      <c r="BY550" s="387">
        <f t="shared" si="387"/>
        <v>0</v>
      </c>
      <c r="BZ550" s="387">
        <f t="shared" si="388"/>
        <v>0</v>
      </c>
      <c r="CA550" s="387">
        <f t="shared" si="389"/>
        <v>0</v>
      </c>
      <c r="CB550" s="387">
        <f t="shared" si="390"/>
        <v>0</v>
      </c>
      <c r="CC550" s="387">
        <f t="shared" si="372"/>
        <v>0</v>
      </c>
      <c r="CD550" s="387">
        <f t="shared" si="373"/>
        <v>0</v>
      </c>
      <c r="CE550" s="387">
        <f t="shared" si="374"/>
        <v>0</v>
      </c>
      <c r="CF550" s="387">
        <f t="shared" si="375"/>
        <v>0</v>
      </c>
      <c r="CG550" s="387">
        <f t="shared" si="376"/>
        <v>0</v>
      </c>
      <c r="CH550" s="387">
        <f t="shared" si="377"/>
        <v>0</v>
      </c>
      <c r="CI550" s="387">
        <f t="shared" si="378"/>
        <v>0</v>
      </c>
      <c r="CJ550" s="387">
        <f t="shared" si="391"/>
        <v>0</v>
      </c>
      <c r="CK550" s="387" t="str">
        <f t="shared" si="392"/>
        <v/>
      </c>
      <c r="CL550" s="387" t="str">
        <f t="shared" si="393"/>
        <v/>
      </c>
      <c r="CM550" s="387" t="str">
        <f t="shared" si="394"/>
        <v/>
      </c>
      <c r="CN550" s="387" t="str">
        <f t="shared" si="395"/>
        <v>0348-31</v>
      </c>
    </row>
    <row r="551" spans="1:92" ht="15.75" thickBot="1" x14ac:dyDescent="0.3">
      <c r="A551" s="376" t="s">
        <v>161</v>
      </c>
      <c r="B551" s="376" t="s">
        <v>162</v>
      </c>
      <c r="C551" s="376" t="s">
        <v>1753</v>
      </c>
      <c r="D551" s="376" t="s">
        <v>862</v>
      </c>
      <c r="E551" s="376" t="s">
        <v>224</v>
      </c>
      <c r="F551" s="382" t="s">
        <v>225</v>
      </c>
      <c r="G551" s="376" t="s">
        <v>781</v>
      </c>
      <c r="H551" s="378"/>
      <c r="I551" s="378"/>
      <c r="J551" s="376" t="s">
        <v>239</v>
      </c>
      <c r="K551" s="376" t="s">
        <v>863</v>
      </c>
      <c r="L551" s="376" t="s">
        <v>252</v>
      </c>
      <c r="M551" s="376" t="s">
        <v>272</v>
      </c>
      <c r="N551" s="376" t="s">
        <v>172</v>
      </c>
      <c r="O551" s="379">
        <v>0</v>
      </c>
      <c r="P551" s="385">
        <v>0.5</v>
      </c>
      <c r="Q551" s="385">
        <v>0.5</v>
      </c>
      <c r="R551" s="380">
        <v>80</v>
      </c>
      <c r="S551" s="385">
        <v>0.5</v>
      </c>
      <c r="T551" s="380">
        <v>9363.81</v>
      </c>
      <c r="U551" s="380">
        <v>0</v>
      </c>
      <c r="V551" s="380">
        <v>4647.7299999999996</v>
      </c>
      <c r="W551" s="380">
        <v>21164</v>
      </c>
      <c r="X551" s="380">
        <v>9269.83</v>
      </c>
      <c r="Y551" s="380">
        <v>21164</v>
      </c>
      <c r="Z551" s="380">
        <v>9164.01</v>
      </c>
      <c r="AA551" s="378"/>
      <c r="AB551" s="376" t="s">
        <v>45</v>
      </c>
      <c r="AC551" s="376" t="s">
        <v>45</v>
      </c>
      <c r="AD551" s="378"/>
      <c r="AE551" s="378"/>
      <c r="AF551" s="378"/>
      <c r="AG551" s="378"/>
      <c r="AH551" s="379">
        <v>0</v>
      </c>
      <c r="AI551" s="379">
        <v>0</v>
      </c>
      <c r="AJ551" s="378"/>
      <c r="AK551" s="378"/>
      <c r="AL551" s="376" t="s">
        <v>181</v>
      </c>
      <c r="AM551" s="378"/>
      <c r="AN551" s="378"/>
      <c r="AO551" s="379">
        <v>0</v>
      </c>
      <c r="AP551" s="385">
        <v>0</v>
      </c>
      <c r="AQ551" s="385">
        <v>0</v>
      </c>
      <c r="AR551" s="384"/>
      <c r="AS551" s="387">
        <f t="shared" si="379"/>
        <v>0</v>
      </c>
      <c r="AT551">
        <f t="shared" si="380"/>
        <v>0</v>
      </c>
      <c r="AU551" s="387" t="str">
        <f>IF(AT551=0,"",IF(AND(AT551=1,M551="F",SUMIF(C2:C1334,C551,AS2:AS1334)&lt;=1),SUMIF(C2:C1334,C551,AS2:AS1334),IF(AND(AT551=1,M551="F",SUMIF(C2:C1334,C551,AS2:AS1334)&gt;1),1,"")))</f>
        <v/>
      </c>
      <c r="AV551" s="387" t="str">
        <f>IF(AT551=0,"",IF(AND(AT551=3,M551="F",SUMIF(C2:C1334,C551,AS2:AS1334)&lt;=1),SUMIF(C2:C1334,C551,AS2:AS1334),IF(AND(AT551=3,M551="F",SUMIF(C2:C1334,C551,AS2:AS1334)&gt;1),1,"")))</f>
        <v/>
      </c>
      <c r="AW551" s="387">
        <f>SUMIF(C2:C1334,C551,O2:O1334)</f>
        <v>0</v>
      </c>
      <c r="AX551" s="387">
        <f>IF(AND(M551="F",AS551&lt;&gt;0),SUMIF(C2:C1334,C551,W2:W1334),0)</f>
        <v>0</v>
      </c>
      <c r="AY551" s="387" t="str">
        <f t="shared" si="381"/>
        <v/>
      </c>
      <c r="AZ551" s="387" t="str">
        <f t="shared" si="382"/>
        <v/>
      </c>
      <c r="BA551" s="387">
        <f t="shared" si="383"/>
        <v>0</v>
      </c>
      <c r="BB551" s="387">
        <f t="shared" si="352"/>
        <v>0</v>
      </c>
      <c r="BC551" s="387">
        <f t="shared" si="353"/>
        <v>0</v>
      </c>
      <c r="BD551" s="387">
        <f t="shared" si="354"/>
        <v>0</v>
      </c>
      <c r="BE551" s="387">
        <f t="shared" si="355"/>
        <v>0</v>
      </c>
      <c r="BF551" s="387">
        <f t="shared" si="356"/>
        <v>0</v>
      </c>
      <c r="BG551" s="387">
        <f t="shared" si="357"/>
        <v>0</v>
      </c>
      <c r="BH551" s="387">
        <f t="shared" si="358"/>
        <v>0</v>
      </c>
      <c r="BI551" s="387">
        <f t="shared" si="359"/>
        <v>0</v>
      </c>
      <c r="BJ551" s="387">
        <f t="shared" si="360"/>
        <v>0</v>
      </c>
      <c r="BK551" s="387">
        <f t="shared" si="361"/>
        <v>0</v>
      </c>
      <c r="BL551" s="387">
        <f t="shared" si="384"/>
        <v>0</v>
      </c>
      <c r="BM551" s="387">
        <f t="shared" si="385"/>
        <v>0</v>
      </c>
      <c r="BN551" s="387">
        <f t="shared" si="362"/>
        <v>0</v>
      </c>
      <c r="BO551" s="387">
        <f t="shared" si="363"/>
        <v>0</v>
      </c>
      <c r="BP551" s="387">
        <f t="shared" si="364"/>
        <v>0</v>
      </c>
      <c r="BQ551" s="387">
        <f t="shared" si="365"/>
        <v>0</v>
      </c>
      <c r="BR551" s="387">
        <f t="shared" si="366"/>
        <v>0</v>
      </c>
      <c r="BS551" s="387">
        <f t="shared" si="367"/>
        <v>0</v>
      </c>
      <c r="BT551" s="387">
        <f t="shared" si="368"/>
        <v>0</v>
      </c>
      <c r="BU551" s="387">
        <f t="shared" si="369"/>
        <v>0</v>
      </c>
      <c r="BV551" s="387">
        <f t="shared" si="370"/>
        <v>0</v>
      </c>
      <c r="BW551" s="387">
        <f t="shared" si="371"/>
        <v>0</v>
      </c>
      <c r="BX551" s="387">
        <f t="shared" si="386"/>
        <v>0</v>
      </c>
      <c r="BY551" s="387">
        <f t="shared" si="387"/>
        <v>0</v>
      </c>
      <c r="BZ551" s="387">
        <f t="shared" si="388"/>
        <v>0</v>
      </c>
      <c r="CA551" s="387">
        <f t="shared" si="389"/>
        <v>0</v>
      </c>
      <c r="CB551" s="387">
        <f t="shared" si="390"/>
        <v>0</v>
      </c>
      <c r="CC551" s="387">
        <f t="shared" si="372"/>
        <v>0</v>
      </c>
      <c r="CD551" s="387">
        <f t="shared" si="373"/>
        <v>0</v>
      </c>
      <c r="CE551" s="387">
        <f t="shared" si="374"/>
        <v>0</v>
      </c>
      <c r="CF551" s="387">
        <f t="shared" si="375"/>
        <v>0</v>
      </c>
      <c r="CG551" s="387">
        <f t="shared" si="376"/>
        <v>0</v>
      </c>
      <c r="CH551" s="387">
        <f t="shared" si="377"/>
        <v>0</v>
      </c>
      <c r="CI551" s="387">
        <f t="shared" si="378"/>
        <v>0</v>
      </c>
      <c r="CJ551" s="387">
        <f t="shared" si="391"/>
        <v>0</v>
      </c>
      <c r="CK551" s="387" t="str">
        <f t="shared" si="392"/>
        <v/>
      </c>
      <c r="CL551" s="387" t="str">
        <f t="shared" si="393"/>
        <v/>
      </c>
      <c r="CM551" s="387" t="str">
        <f t="shared" si="394"/>
        <v/>
      </c>
      <c r="CN551" s="387" t="str">
        <f t="shared" si="395"/>
        <v>0348-31</v>
      </c>
    </row>
    <row r="552" spans="1:92" ht="15.75" thickBot="1" x14ac:dyDescent="0.3">
      <c r="A552" s="376" t="s">
        <v>161</v>
      </c>
      <c r="B552" s="376" t="s">
        <v>162</v>
      </c>
      <c r="C552" s="376" t="s">
        <v>1754</v>
      </c>
      <c r="D552" s="376" t="s">
        <v>213</v>
      </c>
      <c r="E552" s="376" t="s">
        <v>224</v>
      </c>
      <c r="F552" s="382" t="s">
        <v>225</v>
      </c>
      <c r="G552" s="376" t="s">
        <v>781</v>
      </c>
      <c r="H552" s="378"/>
      <c r="I552" s="378"/>
      <c r="J552" s="376" t="s">
        <v>215</v>
      </c>
      <c r="K552" s="376" t="s">
        <v>216</v>
      </c>
      <c r="L552" s="376" t="s">
        <v>217</v>
      </c>
      <c r="M552" s="376" t="s">
        <v>171</v>
      </c>
      <c r="N552" s="376" t="s">
        <v>877</v>
      </c>
      <c r="O552" s="379">
        <v>1</v>
      </c>
      <c r="P552" s="385">
        <v>1</v>
      </c>
      <c r="Q552" s="385">
        <v>1</v>
      </c>
      <c r="R552" s="380">
        <v>80</v>
      </c>
      <c r="S552" s="385">
        <v>1</v>
      </c>
      <c r="T552" s="380">
        <v>48926.3</v>
      </c>
      <c r="U552" s="380">
        <v>2043.95</v>
      </c>
      <c r="V552" s="380">
        <v>22151.83</v>
      </c>
      <c r="W552" s="380">
        <v>50752</v>
      </c>
      <c r="X552" s="380">
        <v>22625.09</v>
      </c>
      <c r="Y552" s="380">
        <v>50752</v>
      </c>
      <c r="Z552" s="380">
        <v>22411.93</v>
      </c>
      <c r="AA552" s="376" t="s">
        <v>1755</v>
      </c>
      <c r="AB552" s="376" t="s">
        <v>1756</v>
      </c>
      <c r="AC552" s="376" t="s">
        <v>292</v>
      </c>
      <c r="AD552" s="376" t="s">
        <v>268</v>
      </c>
      <c r="AE552" s="376" t="s">
        <v>216</v>
      </c>
      <c r="AF552" s="376" t="s">
        <v>221</v>
      </c>
      <c r="AG552" s="376" t="s">
        <v>178</v>
      </c>
      <c r="AH552" s="381">
        <v>24.4</v>
      </c>
      <c r="AI552" s="381">
        <v>8849.7000000000007</v>
      </c>
      <c r="AJ552" s="376" t="s">
        <v>179</v>
      </c>
      <c r="AK552" s="376" t="s">
        <v>180</v>
      </c>
      <c r="AL552" s="376" t="s">
        <v>181</v>
      </c>
      <c r="AM552" s="376" t="s">
        <v>182</v>
      </c>
      <c r="AN552" s="376" t="s">
        <v>68</v>
      </c>
      <c r="AO552" s="379">
        <v>80</v>
      </c>
      <c r="AP552" s="385">
        <v>1</v>
      </c>
      <c r="AQ552" s="385">
        <v>1</v>
      </c>
      <c r="AR552" s="383" t="s">
        <v>183</v>
      </c>
      <c r="AS552" s="387">
        <f t="shared" si="379"/>
        <v>1</v>
      </c>
      <c r="AT552">
        <f t="shared" si="380"/>
        <v>1</v>
      </c>
      <c r="AU552" s="387">
        <f>IF(AT552=0,"",IF(AND(AT552=1,M552="F",SUMIF(C2:C1334,C552,AS2:AS1334)&lt;=1),SUMIF(C2:C1334,C552,AS2:AS1334),IF(AND(AT552=1,M552="F",SUMIF(C2:C1334,C552,AS2:AS1334)&gt;1),1,"")))</f>
        <v>1</v>
      </c>
      <c r="AV552" s="387" t="str">
        <f>IF(AT552=0,"",IF(AND(AT552=3,M552="F",SUMIF(C2:C1334,C552,AS2:AS1334)&lt;=1),SUMIF(C2:C1334,C552,AS2:AS1334),IF(AND(AT552=3,M552="F",SUMIF(C2:C1334,C552,AS2:AS1334)&gt;1),1,"")))</f>
        <v/>
      </c>
      <c r="AW552" s="387">
        <f>SUMIF(C2:C1334,C552,O2:O1334)</f>
        <v>1</v>
      </c>
      <c r="AX552" s="387">
        <f>IF(AND(M552="F",AS552&lt;&gt;0),SUMIF(C2:C1334,C552,W2:W1334),0)</f>
        <v>50752</v>
      </c>
      <c r="AY552" s="387">
        <f t="shared" si="381"/>
        <v>50752</v>
      </c>
      <c r="AZ552" s="387" t="str">
        <f t="shared" si="382"/>
        <v/>
      </c>
      <c r="BA552" s="387">
        <f t="shared" si="383"/>
        <v>0</v>
      </c>
      <c r="BB552" s="387">
        <f t="shared" si="352"/>
        <v>11650</v>
      </c>
      <c r="BC552" s="387">
        <f t="shared" si="353"/>
        <v>0</v>
      </c>
      <c r="BD552" s="387">
        <f t="shared" si="354"/>
        <v>3146.6239999999998</v>
      </c>
      <c r="BE552" s="387">
        <f t="shared" si="355"/>
        <v>735.904</v>
      </c>
      <c r="BF552" s="387">
        <f t="shared" si="356"/>
        <v>6059.7888000000003</v>
      </c>
      <c r="BG552" s="387">
        <f t="shared" si="357"/>
        <v>365.92192</v>
      </c>
      <c r="BH552" s="387">
        <f t="shared" si="358"/>
        <v>248.6848</v>
      </c>
      <c r="BI552" s="387">
        <f t="shared" si="359"/>
        <v>280.91232000000002</v>
      </c>
      <c r="BJ552" s="387">
        <f t="shared" si="360"/>
        <v>137.03040000000001</v>
      </c>
      <c r="BK552" s="387">
        <f t="shared" si="361"/>
        <v>0</v>
      </c>
      <c r="BL552" s="387">
        <f t="shared" si="384"/>
        <v>10974.866239999999</v>
      </c>
      <c r="BM552" s="387">
        <f t="shared" si="385"/>
        <v>0</v>
      </c>
      <c r="BN552" s="387">
        <f t="shared" si="362"/>
        <v>11650</v>
      </c>
      <c r="BO552" s="387">
        <f t="shared" si="363"/>
        <v>0</v>
      </c>
      <c r="BP552" s="387">
        <f t="shared" si="364"/>
        <v>3146.6239999999998</v>
      </c>
      <c r="BQ552" s="387">
        <f t="shared" si="365"/>
        <v>735.904</v>
      </c>
      <c r="BR552" s="387">
        <f t="shared" si="366"/>
        <v>6059.7888000000003</v>
      </c>
      <c r="BS552" s="387">
        <f t="shared" si="367"/>
        <v>365.92192</v>
      </c>
      <c r="BT552" s="387">
        <f t="shared" si="368"/>
        <v>0</v>
      </c>
      <c r="BU552" s="387">
        <f t="shared" si="369"/>
        <v>280.91232000000002</v>
      </c>
      <c r="BV552" s="387">
        <f t="shared" si="370"/>
        <v>172.55679999999998</v>
      </c>
      <c r="BW552" s="387">
        <f t="shared" si="371"/>
        <v>0</v>
      </c>
      <c r="BX552" s="387">
        <f t="shared" si="386"/>
        <v>10761.707840000001</v>
      </c>
      <c r="BY552" s="387">
        <f t="shared" si="387"/>
        <v>0</v>
      </c>
      <c r="BZ552" s="387">
        <f t="shared" si="388"/>
        <v>0</v>
      </c>
      <c r="CA552" s="387">
        <f t="shared" si="389"/>
        <v>0</v>
      </c>
      <c r="CB552" s="387">
        <f t="shared" si="390"/>
        <v>0</v>
      </c>
      <c r="CC552" s="387">
        <f t="shared" si="372"/>
        <v>0</v>
      </c>
      <c r="CD552" s="387">
        <f t="shared" si="373"/>
        <v>0</v>
      </c>
      <c r="CE552" s="387">
        <f t="shared" si="374"/>
        <v>0</v>
      </c>
      <c r="CF552" s="387">
        <f t="shared" si="375"/>
        <v>-248.6848</v>
      </c>
      <c r="CG552" s="387">
        <f t="shared" si="376"/>
        <v>0</v>
      </c>
      <c r="CH552" s="387">
        <f t="shared" si="377"/>
        <v>35.526399999999981</v>
      </c>
      <c r="CI552" s="387">
        <f t="shared" si="378"/>
        <v>0</v>
      </c>
      <c r="CJ552" s="387">
        <f t="shared" si="391"/>
        <v>-213.15840000000003</v>
      </c>
      <c r="CK552" s="387" t="str">
        <f t="shared" si="392"/>
        <v/>
      </c>
      <c r="CL552" s="387" t="str">
        <f t="shared" si="393"/>
        <v/>
      </c>
      <c r="CM552" s="387" t="str">
        <f t="shared" si="394"/>
        <v/>
      </c>
      <c r="CN552" s="387" t="str">
        <f t="shared" si="395"/>
        <v>0348-31</v>
      </c>
    </row>
    <row r="553" spans="1:92" ht="15.75" thickBot="1" x14ac:dyDescent="0.3">
      <c r="A553" s="376" t="s">
        <v>161</v>
      </c>
      <c r="B553" s="376" t="s">
        <v>162</v>
      </c>
      <c r="C553" s="376" t="s">
        <v>705</v>
      </c>
      <c r="D553" s="376" t="s">
        <v>706</v>
      </c>
      <c r="E553" s="376" t="s">
        <v>224</v>
      </c>
      <c r="F553" s="382" t="s">
        <v>225</v>
      </c>
      <c r="G553" s="376" t="s">
        <v>781</v>
      </c>
      <c r="H553" s="378"/>
      <c r="I553" s="378"/>
      <c r="J553" s="376" t="s">
        <v>215</v>
      </c>
      <c r="K553" s="376" t="s">
        <v>707</v>
      </c>
      <c r="L553" s="376" t="s">
        <v>210</v>
      </c>
      <c r="M553" s="376" t="s">
        <v>171</v>
      </c>
      <c r="N553" s="376" t="s">
        <v>172</v>
      </c>
      <c r="O553" s="379">
        <v>1</v>
      </c>
      <c r="P553" s="385">
        <v>0</v>
      </c>
      <c r="Q553" s="385">
        <v>0</v>
      </c>
      <c r="R553" s="380">
        <v>80</v>
      </c>
      <c r="S553" s="385">
        <v>0</v>
      </c>
      <c r="T553" s="380">
        <v>-10166.120000000001</v>
      </c>
      <c r="U553" s="380">
        <v>0</v>
      </c>
      <c r="V553" s="380">
        <v>-4754.95</v>
      </c>
      <c r="W553" s="380">
        <v>0</v>
      </c>
      <c r="X553" s="380">
        <v>0</v>
      </c>
      <c r="Y553" s="380">
        <v>0</v>
      </c>
      <c r="Z553" s="380">
        <v>0</v>
      </c>
      <c r="AA553" s="376" t="s">
        <v>708</v>
      </c>
      <c r="AB553" s="376" t="s">
        <v>709</v>
      </c>
      <c r="AC553" s="376" t="s">
        <v>710</v>
      </c>
      <c r="AD553" s="376" t="s">
        <v>170</v>
      </c>
      <c r="AE553" s="376" t="s">
        <v>707</v>
      </c>
      <c r="AF553" s="376" t="s">
        <v>245</v>
      </c>
      <c r="AG553" s="376" t="s">
        <v>178</v>
      </c>
      <c r="AH553" s="381">
        <v>34.869999999999997</v>
      </c>
      <c r="AI553" s="381">
        <v>47786.3</v>
      </c>
      <c r="AJ553" s="376" t="s">
        <v>179</v>
      </c>
      <c r="AK553" s="376" t="s">
        <v>180</v>
      </c>
      <c r="AL553" s="376" t="s">
        <v>181</v>
      </c>
      <c r="AM553" s="376" t="s">
        <v>182</v>
      </c>
      <c r="AN553" s="376" t="s">
        <v>68</v>
      </c>
      <c r="AO553" s="379">
        <v>80</v>
      </c>
      <c r="AP553" s="385">
        <v>1</v>
      </c>
      <c r="AQ553" s="385">
        <v>0</v>
      </c>
      <c r="AR553" s="383" t="s">
        <v>183</v>
      </c>
      <c r="AS553" s="387">
        <f t="shared" si="379"/>
        <v>0</v>
      </c>
      <c r="AT553">
        <f t="shared" si="380"/>
        <v>0</v>
      </c>
      <c r="AU553" s="387" t="str">
        <f>IF(AT553=0,"",IF(AND(AT553=1,M553="F",SUMIF(C2:C1334,C553,AS2:AS1334)&lt;=1),SUMIF(C2:C1334,C553,AS2:AS1334),IF(AND(AT553=1,M553="F",SUMIF(C2:C1334,C553,AS2:AS1334)&gt;1),1,"")))</f>
        <v/>
      </c>
      <c r="AV553" s="387" t="str">
        <f>IF(AT553=0,"",IF(AND(AT553=3,M553="F",SUMIF(C2:C1334,C553,AS2:AS1334)&lt;=1),SUMIF(C2:C1334,C553,AS2:AS1334),IF(AND(AT553=3,M553="F",SUMIF(C2:C1334,C553,AS2:AS1334)&gt;1),1,"")))</f>
        <v/>
      </c>
      <c r="AW553" s="387">
        <f>SUMIF(C2:C1334,C553,O2:O1334)</f>
        <v>4</v>
      </c>
      <c r="AX553" s="387">
        <f>IF(AND(M553="F",AS553&lt;&gt;0),SUMIF(C2:C1334,C553,W2:W1334),0)</f>
        <v>0</v>
      </c>
      <c r="AY553" s="387" t="str">
        <f t="shared" si="381"/>
        <v/>
      </c>
      <c r="AZ553" s="387" t="str">
        <f t="shared" si="382"/>
        <v/>
      </c>
      <c r="BA553" s="387">
        <f t="shared" si="383"/>
        <v>0</v>
      </c>
      <c r="BB553" s="387">
        <f t="shared" si="352"/>
        <v>0</v>
      </c>
      <c r="BC553" s="387">
        <f t="shared" si="353"/>
        <v>0</v>
      </c>
      <c r="BD553" s="387">
        <f t="shared" si="354"/>
        <v>0</v>
      </c>
      <c r="BE553" s="387">
        <f t="shared" si="355"/>
        <v>0</v>
      </c>
      <c r="BF553" s="387">
        <f t="shared" si="356"/>
        <v>0</v>
      </c>
      <c r="BG553" s="387">
        <f t="shared" si="357"/>
        <v>0</v>
      </c>
      <c r="BH553" s="387">
        <f t="shared" si="358"/>
        <v>0</v>
      </c>
      <c r="BI553" s="387">
        <f t="shared" si="359"/>
        <v>0</v>
      </c>
      <c r="BJ553" s="387">
        <f t="shared" si="360"/>
        <v>0</v>
      </c>
      <c r="BK553" s="387">
        <f t="shared" si="361"/>
        <v>0</v>
      </c>
      <c r="BL553" s="387">
        <f t="shared" si="384"/>
        <v>0</v>
      </c>
      <c r="BM553" s="387">
        <f t="shared" si="385"/>
        <v>0</v>
      </c>
      <c r="BN553" s="387">
        <f t="shared" si="362"/>
        <v>0</v>
      </c>
      <c r="BO553" s="387">
        <f t="shared" si="363"/>
        <v>0</v>
      </c>
      <c r="BP553" s="387">
        <f t="shared" si="364"/>
        <v>0</v>
      </c>
      <c r="BQ553" s="387">
        <f t="shared" si="365"/>
        <v>0</v>
      </c>
      <c r="BR553" s="387">
        <f t="shared" si="366"/>
        <v>0</v>
      </c>
      <c r="BS553" s="387">
        <f t="shared" si="367"/>
        <v>0</v>
      </c>
      <c r="BT553" s="387">
        <f t="shared" si="368"/>
        <v>0</v>
      </c>
      <c r="BU553" s="387">
        <f t="shared" si="369"/>
        <v>0</v>
      </c>
      <c r="BV553" s="387">
        <f t="shared" si="370"/>
        <v>0</v>
      </c>
      <c r="BW553" s="387">
        <f t="shared" si="371"/>
        <v>0</v>
      </c>
      <c r="BX553" s="387">
        <f t="shared" si="386"/>
        <v>0</v>
      </c>
      <c r="BY553" s="387">
        <f t="shared" si="387"/>
        <v>0</v>
      </c>
      <c r="BZ553" s="387">
        <f t="shared" si="388"/>
        <v>0</v>
      </c>
      <c r="CA553" s="387">
        <f t="shared" si="389"/>
        <v>0</v>
      </c>
      <c r="CB553" s="387">
        <f t="shared" si="390"/>
        <v>0</v>
      </c>
      <c r="CC553" s="387">
        <f t="shared" si="372"/>
        <v>0</v>
      </c>
      <c r="CD553" s="387">
        <f t="shared" si="373"/>
        <v>0</v>
      </c>
      <c r="CE553" s="387">
        <f t="shared" si="374"/>
        <v>0</v>
      </c>
      <c r="CF553" s="387">
        <f t="shared" si="375"/>
        <v>0</v>
      </c>
      <c r="CG553" s="387">
        <f t="shared" si="376"/>
        <v>0</v>
      </c>
      <c r="CH553" s="387">
        <f t="shared" si="377"/>
        <v>0</v>
      </c>
      <c r="CI553" s="387">
        <f t="shared" si="378"/>
        <v>0</v>
      </c>
      <c r="CJ553" s="387">
        <f t="shared" si="391"/>
        <v>0</v>
      </c>
      <c r="CK553" s="387" t="str">
        <f t="shared" si="392"/>
        <v/>
      </c>
      <c r="CL553" s="387" t="str">
        <f t="shared" si="393"/>
        <v/>
      </c>
      <c r="CM553" s="387" t="str">
        <f t="shared" si="394"/>
        <v/>
      </c>
      <c r="CN553" s="387" t="str">
        <f t="shared" si="395"/>
        <v>0348-31</v>
      </c>
    </row>
    <row r="554" spans="1:92" ht="15.75" thickBot="1" x14ac:dyDescent="0.3">
      <c r="A554" s="376" t="s">
        <v>161</v>
      </c>
      <c r="B554" s="376" t="s">
        <v>162</v>
      </c>
      <c r="C554" s="376" t="s">
        <v>1757</v>
      </c>
      <c r="D554" s="376" t="s">
        <v>783</v>
      </c>
      <c r="E554" s="376" t="s">
        <v>224</v>
      </c>
      <c r="F554" s="382" t="s">
        <v>225</v>
      </c>
      <c r="G554" s="376" t="s">
        <v>781</v>
      </c>
      <c r="H554" s="378"/>
      <c r="I554" s="378"/>
      <c r="J554" s="376" t="s">
        <v>168</v>
      </c>
      <c r="K554" s="376" t="s">
        <v>784</v>
      </c>
      <c r="L554" s="376" t="s">
        <v>351</v>
      </c>
      <c r="M554" s="376" t="s">
        <v>171</v>
      </c>
      <c r="N554" s="376" t="s">
        <v>172</v>
      </c>
      <c r="O554" s="379">
        <v>1</v>
      </c>
      <c r="P554" s="385">
        <v>1</v>
      </c>
      <c r="Q554" s="385">
        <v>1</v>
      </c>
      <c r="R554" s="380">
        <v>80</v>
      </c>
      <c r="S554" s="385">
        <v>1</v>
      </c>
      <c r="T554" s="380">
        <v>75283.199999999997</v>
      </c>
      <c r="U554" s="380">
        <v>0</v>
      </c>
      <c r="V554" s="380">
        <v>27465.87</v>
      </c>
      <c r="W554" s="380">
        <v>78998.399999999994</v>
      </c>
      <c r="X554" s="380">
        <v>28733.35</v>
      </c>
      <c r="Y554" s="380">
        <v>78998.399999999994</v>
      </c>
      <c r="Z554" s="380">
        <v>28401.56</v>
      </c>
      <c r="AA554" s="376" t="s">
        <v>1758</v>
      </c>
      <c r="AB554" s="376" t="s">
        <v>1759</v>
      </c>
      <c r="AC554" s="376" t="s">
        <v>1760</v>
      </c>
      <c r="AD554" s="376" t="s">
        <v>210</v>
      </c>
      <c r="AE554" s="376" t="s">
        <v>784</v>
      </c>
      <c r="AF554" s="376" t="s">
        <v>355</v>
      </c>
      <c r="AG554" s="376" t="s">
        <v>178</v>
      </c>
      <c r="AH554" s="381">
        <v>37.979999999999997</v>
      </c>
      <c r="AI554" s="381">
        <v>3010.4</v>
      </c>
      <c r="AJ554" s="376" t="s">
        <v>179</v>
      </c>
      <c r="AK554" s="376" t="s">
        <v>180</v>
      </c>
      <c r="AL554" s="376" t="s">
        <v>181</v>
      </c>
      <c r="AM554" s="376" t="s">
        <v>182</v>
      </c>
      <c r="AN554" s="376" t="s">
        <v>68</v>
      </c>
      <c r="AO554" s="379">
        <v>80</v>
      </c>
      <c r="AP554" s="385">
        <v>1</v>
      </c>
      <c r="AQ554" s="385">
        <v>1</v>
      </c>
      <c r="AR554" s="383" t="s">
        <v>183</v>
      </c>
      <c r="AS554" s="387">
        <f t="shared" si="379"/>
        <v>1</v>
      </c>
      <c r="AT554">
        <f t="shared" si="380"/>
        <v>1</v>
      </c>
      <c r="AU554" s="387">
        <f>IF(AT554=0,"",IF(AND(AT554=1,M554="F",SUMIF(C2:C1334,C554,AS2:AS1334)&lt;=1),SUMIF(C2:C1334,C554,AS2:AS1334),IF(AND(AT554=1,M554="F",SUMIF(C2:C1334,C554,AS2:AS1334)&gt;1),1,"")))</f>
        <v>1</v>
      </c>
      <c r="AV554" s="387" t="str">
        <f>IF(AT554=0,"",IF(AND(AT554=3,M554="F",SUMIF(C2:C1334,C554,AS2:AS1334)&lt;=1),SUMIF(C2:C1334,C554,AS2:AS1334),IF(AND(AT554=3,M554="F",SUMIF(C2:C1334,C554,AS2:AS1334)&gt;1),1,"")))</f>
        <v/>
      </c>
      <c r="AW554" s="387">
        <f>SUMIF(C2:C1334,C554,O2:O1334)</f>
        <v>1</v>
      </c>
      <c r="AX554" s="387">
        <f>IF(AND(M554="F",AS554&lt;&gt;0),SUMIF(C2:C1334,C554,W2:W1334),0)</f>
        <v>78998.399999999994</v>
      </c>
      <c r="AY554" s="387">
        <f t="shared" si="381"/>
        <v>78998.399999999994</v>
      </c>
      <c r="AZ554" s="387" t="str">
        <f t="shared" si="382"/>
        <v/>
      </c>
      <c r="BA554" s="387">
        <f t="shared" si="383"/>
        <v>0</v>
      </c>
      <c r="BB554" s="387">
        <f t="shared" si="352"/>
        <v>11650</v>
      </c>
      <c r="BC554" s="387">
        <f t="shared" si="353"/>
        <v>0</v>
      </c>
      <c r="BD554" s="387">
        <f t="shared" si="354"/>
        <v>4897.9007999999994</v>
      </c>
      <c r="BE554" s="387">
        <f t="shared" si="355"/>
        <v>1145.4767999999999</v>
      </c>
      <c r="BF554" s="387">
        <f t="shared" si="356"/>
        <v>9432.4089600000007</v>
      </c>
      <c r="BG554" s="387">
        <f t="shared" si="357"/>
        <v>569.57846399999994</v>
      </c>
      <c r="BH554" s="387">
        <f t="shared" si="358"/>
        <v>387.09215999999998</v>
      </c>
      <c r="BI554" s="387">
        <f t="shared" si="359"/>
        <v>437.25614399999995</v>
      </c>
      <c r="BJ554" s="387">
        <f t="shared" si="360"/>
        <v>213.29568</v>
      </c>
      <c r="BK554" s="387">
        <f t="shared" si="361"/>
        <v>0</v>
      </c>
      <c r="BL554" s="387">
        <f t="shared" si="384"/>
        <v>17083.009007999997</v>
      </c>
      <c r="BM554" s="387">
        <f t="shared" si="385"/>
        <v>0</v>
      </c>
      <c r="BN554" s="387">
        <f t="shared" si="362"/>
        <v>11650</v>
      </c>
      <c r="BO554" s="387">
        <f t="shared" si="363"/>
        <v>0</v>
      </c>
      <c r="BP554" s="387">
        <f t="shared" si="364"/>
        <v>4897.9007999999994</v>
      </c>
      <c r="BQ554" s="387">
        <f t="shared" si="365"/>
        <v>1145.4767999999999</v>
      </c>
      <c r="BR554" s="387">
        <f t="shared" si="366"/>
        <v>9432.4089600000007</v>
      </c>
      <c r="BS554" s="387">
        <f t="shared" si="367"/>
        <v>569.57846399999994</v>
      </c>
      <c r="BT554" s="387">
        <f t="shared" si="368"/>
        <v>0</v>
      </c>
      <c r="BU554" s="387">
        <f t="shared" si="369"/>
        <v>437.25614399999995</v>
      </c>
      <c r="BV554" s="387">
        <f t="shared" si="370"/>
        <v>268.59455999999994</v>
      </c>
      <c r="BW554" s="387">
        <f t="shared" si="371"/>
        <v>0</v>
      </c>
      <c r="BX554" s="387">
        <f t="shared" si="386"/>
        <v>16751.215728000003</v>
      </c>
      <c r="BY554" s="387">
        <f t="shared" si="387"/>
        <v>0</v>
      </c>
      <c r="BZ554" s="387">
        <f t="shared" si="388"/>
        <v>0</v>
      </c>
      <c r="CA554" s="387">
        <f t="shared" si="389"/>
        <v>0</v>
      </c>
      <c r="CB554" s="387">
        <f t="shared" si="390"/>
        <v>0</v>
      </c>
      <c r="CC554" s="387">
        <f t="shared" si="372"/>
        <v>0</v>
      </c>
      <c r="CD554" s="387">
        <f t="shared" si="373"/>
        <v>0</v>
      </c>
      <c r="CE554" s="387">
        <f t="shared" si="374"/>
        <v>0</v>
      </c>
      <c r="CF554" s="387">
        <f t="shared" si="375"/>
        <v>-387.09215999999998</v>
      </c>
      <c r="CG554" s="387">
        <f t="shared" si="376"/>
        <v>0</v>
      </c>
      <c r="CH554" s="387">
        <f t="shared" si="377"/>
        <v>55.298879999999969</v>
      </c>
      <c r="CI554" s="387">
        <f t="shared" si="378"/>
        <v>0</v>
      </c>
      <c r="CJ554" s="387">
        <f t="shared" si="391"/>
        <v>-331.79327999999998</v>
      </c>
      <c r="CK554" s="387" t="str">
        <f t="shared" si="392"/>
        <v/>
      </c>
      <c r="CL554" s="387" t="str">
        <f t="shared" si="393"/>
        <v/>
      </c>
      <c r="CM554" s="387" t="str">
        <f t="shared" si="394"/>
        <v/>
      </c>
      <c r="CN554" s="387" t="str">
        <f t="shared" si="395"/>
        <v>0348-31</v>
      </c>
    </row>
    <row r="555" spans="1:92" ht="15.75" thickBot="1" x14ac:dyDescent="0.3">
      <c r="A555" s="376" t="s">
        <v>161</v>
      </c>
      <c r="B555" s="376" t="s">
        <v>162</v>
      </c>
      <c r="C555" s="376" t="s">
        <v>791</v>
      </c>
      <c r="D555" s="376" t="s">
        <v>792</v>
      </c>
      <c r="E555" s="376" t="s">
        <v>224</v>
      </c>
      <c r="F555" s="382" t="s">
        <v>225</v>
      </c>
      <c r="G555" s="376" t="s">
        <v>781</v>
      </c>
      <c r="H555" s="378"/>
      <c r="I555" s="378"/>
      <c r="J555" s="376" t="s">
        <v>239</v>
      </c>
      <c r="K555" s="376" t="s">
        <v>793</v>
      </c>
      <c r="L555" s="376" t="s">
        <v>170</v>
      </c>
      <c r="M555" s="376" t="s">
        <v>171</v>
      </c>
      <c r="N555" s="376" t="s">
        <v>172</v>
      </c>
      <c r="O555" s="379">
        <v>1</v>
      </c>
      <c r="P555" s="385">
        <v>1</v>
      </c>
      <c r="Q555" s="385">
        <v>1</v>
      </c>
      <c r="R555" s="380">
        <v>80</v>
      </c>
      <c r="S555" s="385">
        <v>1</v>
      </c>
      <c r="T555" s="380">
        <v>46342.99</v>
      </c>
      <c r="U555" s="380">
        <v>0</v>
      </c>
      <c r="V555" s="380">
        <v>20639.48</v>
      </c>
      <c r="W555" s="380">
        <v>51584</v>
      </c>
      <c r="X555" s="380">
        <v>22805</v>
      </c>
      <c r="Y555" s="380">
        <v>51584</v>
      </c>
      <c r="Z555" s="380">
        <v>22588.34</v>
      </c>
      <c r="AA555" s="376" t="s">
        <v>794</v>
      </c>
      <c r="AB555" s="376" t="s">
        <v>795</v>
      </c>
      <c r="AC555" s="376" t="s">
        <v>796</v>
      </c>
      <c r="AD555" s="376" t="s">
        <v>296</v>
      </c>
      <c r="AE555" s="376" t="s">
        <v>793</v>
      </c>
      <c r="AF555" s="376" t="s">
        <v>177</v>
      </c>
      <c r="AG555" s="376" t="s">
        <v>178</v>
      </c>
      <c r="AH555" s="381">
        <v>24.8</v>
      </c>
      <c r="AI555" s="381">
        <v>35674.6</v>
      </c>
      <c r="AJ555" s="376" t="s">
        <v>179</v>
      </c>
      <c r="AK555" s="376" t="s">
        <v>180</v>
      </c>
      <c r="AL555" s="376" t="s">
        <v>181</v>
      </c>
      <c r="AM555" s="376" t="s">
        <v>182</v>
      </c>
      <c r="AN555" s="376" t="s">
        <v>68</v>
      </c>
      <c r="AO555" s="379">
        <v>80</v>
      </c>
      <c r="AP555" s="385">
        <v>1</v>
      </c>
      <c r="AQ555" s="385">
        <v>1</v>
      </c>
      <c r="AR555" s="383" t="s">
        <v>183</v>
      </c>
      <c r="AS555" s="387">
        <f t="shared" si="379"/>
        <v>1</v>
      </c>
      <c r="AT555">
        <f t="shared" si="380"/>
        <v>1</v>
      </c>
      <c r="AU555" s="387">
        <f>IF(AT555=0,"",IF(AND(AT555=1,M555="F",SUMIF(C2:C1334,C555,AS2:AS1334)&lt;=1),SUMIF(C2:C1334,C555,AS2:AS1334),IF(AND(AT555=1,M555="F",SUMIF(C2:C1334,C555,AS2:AS1334)&gt;1),1,"")))</f>
        <v>1</v>
      </c>
      <c r="AV555" s="387" t="str">
        <f>IF(AT555=0,"",IF(AND(AT555=3,M555="F",SUMIF(C2:C1334,C555,AS2:AS1334)&lt;=1),SUMIF(C2:C1334,C555,AS2:AS1334),IF(AND(AT555=3,M555="F",SUMIF(C2:C1334,C555,AS2:AS1334)&gt;1),1,"")))</f>
        <v/>
      </c>
      <c r="AW555" s="387">
        <f>SUMIF(C2:C1334,C555,O2:O1334)</f>
        <v>3</v>
      </c>
      <c r="AX555" s="387">
        <f>IF(AND(M555="F",AS555&lt;&gt;0),SUMIF(C2:C1334,C555,W2:W1334),0)</f>
        <v>51584</v>
      </c>
      <c r="AY555" s="387">
        <f t="shared" si="381"/>
        <v>51584</v>
      </c>
      <c r="AZ555" s="387" t="str">
        <f t="shared" si="382"/>
        <v/>
      </c>
      <c r="BA555" s="387">
        <f t="shared" si="383"/>
        <v>0</v>
      </c>
      <c r="BB555" s="387">
        <f t="shared" si="352"/>
        <v>11650</v>
      </c>
      <c r="BC555" s="387">
        <f t="shared" si="353"/>
        <v>0</v>
      </c>
      <c r="BD555" s="387">
        <f t="shared" si="354"/>
        <v>3198.2080000000001</v>
      </c>
      <c r="BE555" s="387">
        <f t="shared" si="355"/>
        <v>747.96800000000007</v>
      </c>
      <c r="BF555" s="387">
        <f t="shared" si="356"/>
        <v>6159.1296000000002</v>
      </c>
      <c r="BG555" s="387">
        <f t="shared" si="357"/>
        <v>371.92063999999999</v>
      </c>
      <c r="BH555" s="387">
        <f t="shared" si="358"/>
        <v>252.76159999999999</v>
      </c>
      <c r="BI555" s="387">
        <f t="shared" si="359"/>
        <v>285.51744000000002</v>
      </c>
      <c r="BJ555" s="387">
        <f t="shared" si="360"/>
        <v>139.27680000000001</v>
      </c>
      <c r="BK555" s="387">
        <f t="shared" si="361"/>
        <v>0</v>
      </c>
      <c r="BL555" s="387">
        <f t="shared" si="384"/>
        <v>11154.782079999999</v>
      </c>
      <c r="BM555" s="387">
        <f t="shared" si="385"/>
        <v>0</v>
      </c>
      <c r="BN555" s="387">
        <f t="shared" si="362"/>
        <v>11650</v>
      </c>
      <c r="BO555" s="387">
        <f t="shared" si="363"/>
        <v>0</v>
      </c>
      <c r="BP555" s="387">
        <f t="shared" si="364"/>
        <v>3198.2080000000001</v>
      </c>
      <c r="BQ555" s="387">
        <f t="shared" si="365"/>
        <v>747.96800000000007</v>
      </c>
      <c r="BR555" s="387">
        <f t="shared" si="366"/>
        <v>6159.1296000000002</v>
      </c>
      <c r="BS555" s="387">
        <f t="shared" si="367"/>
        <v>371.92063999999999</v>
      </c>
      <c r="BT555" s="387">
        <f t="shared" si="368"/>
        <v>0</v>
      </c>
      <c r="BU555" s="387">
        <f t="shared" si="369"/>
        <v>285.51744000000002</v>
      </c>
      <c r="BV555" s="387">
        <f t="shared" si="370"/>
        <v>175.38559999999998</v>
      </c>
      <c r="BW555" s="387">
        <f t="shared" si="371"/>
        <v>0</v>
      </c>
      <c r="BX555" s="387">
        <f t="shared" si="386"/>
        <v>10938.129279999999</v>
      </c>
      <c r="BY555" s="387">
        <f t="shared" si="387"/>
        <v>0</v>
      </c>
      <c r="BZ555" s="387">
        <f t="shared" si="388"/>
        <v>0</v>
      </c>
      <c r="CA555" s="387">
        <f t="shared" si="389"/>
        <v>0</v>
      </c>
      <c r="CB555" s="387">
        <f t="shared" si="390"/>
        <v>0</v>
      </c>
      <c r="CC555" s="387">
        <f t="shared" si="372"/>
        <v>0</v>
      </c>
      <c r="CD555" s="387">
        <f t="shared" si="373"/>
        <v>0</v>
      </c>
      <c r="CE555" s="387">
        <f t="shared" si="374"/>
        <v>0</v>
      </c>
      <c r="CF555" s="387">
        <f t="shared" si="375"/>
        <v>-252.76159999999999</v>
      </c>
      <c r="CG555" s="387">
        <f t="shared" si="376"/>
        <v>0</v>
      </c>
      <c r="CH555" s="387">
        <f t="shared" si="377"/>
        <v>36.108799999999981</v>
      </c>
      <c r="CI555" s="387">
        <f t="shared" si="378"/>
        <v>0</v>
      </c>
      <c r="CJ555" s="387">
        <f t="shared" si="391"/>
        <v>-216.65280000000001</v>
      </c>
      <c r="CK555" s="387" t="str">
        <f t="shared" si="392"/>
        <v/>
      </c>
      <c r="CL555" s="387" t="str">
        <f t="shared" si="393"/>
        <v/>
      </c>
      <c r="CM555" s="387" t="str">
        <f t="shared" si="394"/>
        <v/>
      </c>
      <c r="CN555" s="387" t="str">
        <f t="shared" si="395"/>
        <v>0348-31</v>
      </c>
    </row>
    <row r="556" spans="1:92" ht="15.75" thickBot="1" x14ac:dyDescent="0.3">
      <c r="A556" s="376" t="s">
        <v>161</v>
      </c>
      <c r="B556" s="376" t="s">
        <v>162</v>
      </c>
      <c r="C556" s="376" t="s">
        <v>613</v>
      </c>
      <c r="D556" s="376" t="s">
        <v>614</v>
      </c>
      <c r="E556" s="376" t="s">
        <v>224</v>
      </c>
      <c r="F556" s="382" t="s">
        <v>225</v>
      </c>
      <c r="G556" s="376" t="s">
        <v>781</v>
      </c>
      <c r="H556" s="378"/>
      <c r="I556" s="378"/>
      <c r="J556" s="376" t="s">
        <v>215</v>
      </c>
      <c r="K556" s="376" t="s">
        <v>615</v>
      </c>
      <c r="L556" s="376" t="s">
        <v>181</v>
      </c>
      <c r="M556" s="376" t="s">
        <v>171</v>
      </c>
      <c r="N556" s="376" t="s">
        <v>172</v>
      </c>
      <c r="O556" s="379">
        <v>1</v>
      </c>
      <c r="P556" s="385">
        <v>0</v>
      </c>
      <c r="Q556" s="385">
        <v>0</v>
      </c>
      <c r="R556" s="380">
        <v>80</v>
      </c>
      <c r="S556" s="385">
        <v>0</v>
      </c>
      <c r="T556" s="380">
        <v>41143.199999999997</v>
      </c>
      <c r="U556" s="380">
        <v>0</v>
      </c>
      <c r="V556" s="380">
        <v>16899.810000000001</v>
      </c>
      <c r="W556" s="380">
        <v>0</v>
      </c>
      <c r="X556" s="380">
        <v>0</v>
      </c>
      <c r="Y556" s="380">
        <v>0</v>
      </c>
      <c r="Z556" s="380">
        <v>0</v>
      </c>
      <c r="AA556" s="376" t="s">
        <v>616</v>
      </c>
      <c r="AB556" s="376" t="s">
        <v>617</v>
      </c>
      <c r="AC556" s="376" t="s">
        <v>618</v>
      </c>
      <c r="AD556" s="376" t="s">
        <v>170</v>
      </c>
      <c r="AE556" s="376" t="s">
        <v>615</v>
      </c>
      <c r="AF556" s="376" t="s">
        <v>211</v>
      </c>
      <c r="AG556" s="376" t="s">
        <v>178</v>
      </c>
      <c r="AH556" s="381">
        <v>31.43</v>
      </c>
      <c r="AI556" s="381">
        <v>3473.5</v>
      </c>
      <c r="AJ556" s="376" t="s">
        <v>179</v>
      </c>
      <c r="AK556" s="376" t="s">
        <v>180</v>
      </c>
      <c r="AL556" s="376" t="s">
        <v>181</v>
      </c>
      <c r="AM556" s="376" t="s">
        <v>182</v>
      </c>
      <c r="AN556" s="376" t="s">
        <v>68</v>
      </c>
      <c r="AO556" s="379">
        <v>80</v>
      </c>
      <c r="AP556" s="385">
        <v>1</v>
      </c>
      <c r="AQ556" s="385">
        <v>0</v>
      </c>
      <c r="AR556" s="383" t="s">
        <v>183</v>
      </c>
      <c r="AS556" s="387">
        <f t="shared" si="379"/>
        <v>0</v>
      </c>
      <c r="AT556">
        <f t="shared" si="380"/>
        <v>0</v>
      </c>
      <c r="AU556" s="387" t="str">
        <f>IF(AT556=0,"",IF(AND(AT556=1,M556="F",SUMIF(C2:C1334,C556,AS2:AS1334)&lt;=1),SUMIF(C2:C1334,C556,AS2:AS1334),IF(AND(AT556=1,M556="F",SUMIF(C2:C1334,C556,AS2:AS1334)&gt;1),1,"")))</f>
        <v/>
      </c>
      <c r="AV556" s="387" t="str">
        <f>IF(AT556=0,"",IF(AND(AT556=3,M556="F",SUMIF(C2:C1334,C556,AS2:AS1334)&lt;=1),SUMIF(C2:C1334,C556,AS2:AS1334),IF(AND(AT556=3,M556="F",SUMIF(C2:C1334,C556,AS2:AS1334)&gt;1),1,"")))</f>
        <v/>
      </c>
      <c r="AW556" s="387">
        <f>SUMIF(C2:C1334,C556,O2:O1334)</f>
        <v>3</v>
      </c>
      <c r="AX556" s="387">
        <f>IF(AND(M556="F",AS556&lt;&gt;0),SUMIF(C2:C1334,C556,W2:W1334),0)</f>
        <v>0</v>
      </c>
      <c r="AY556" s="387" t="str">
        <f t="shared" si="381"/>
        <v/>
      </c>
      <c r="AZ556" s="387" t="str">
        <f t="shared" si="382"/>
        <v/>
      </c>
      <c r="BA556" s="387">
        <f t="shared" si="383"/>
        <v>0</v>
      </c>
      <c r="BB556" s="387">
        <f t="shared" si="352"/>
        <v>0</v>
      </c>
      <c r="BC556" s="387">
        <f t="shared" si="353"/>
        <v>0</v>
      </c>
      <c r="BD556" s="387">
        <f t="shared" si="354"/>
        <v>0</v>
      </c>
      <c r="BE556" s="387">
        <f t="shared" si="355"/>
        <v>0</v>
      </c>
      <c r="BF556" s="387">
        <f t="shared" si="356"/>
        <v>0</v>
      </c>
      <c r="BG556" s="387">
        <f t="shared" si="357"/>
        <v>0</v>
      </c>
      <c r="BH556" s="387">
        <f t="shared" si="358"/>
        <v>0</v>
      </c>
      <c r="BI556" s="387">
        <f t="shared" si="359"/>
        <v>0</v>
      </c>
      <c r="BJ556" s="387">
        <f t="shared" si="360"/>
        <v>0</v>
      </c>
      <c r="BK556" s="387">
        <f t="shared" si="361"/>
        <v>0</v>
      </c>
      <c r="BL556" s="387">
        <f t="shared" si="384"/>
        <v>0</v>
      </c>
      <c r="BM556" s="387">
        <f t="shared" si="385"/>
        <v>0</v>
      </c>
      <c r="BN556" s="387">
        <f t="shared" si="362"/>
        <v>0</v>
      </c>
      <c r="BO556" s="387">
        <f t="shared" si="363"/>
        <v>0</v>
      </c>
      <c r="BP556" s="387">
        <f t="shared" si="364"/>
        <v>0</v>
      </c>
      <c r="BQ556" s="387">
        <f t="shared" si="365"/>
        <v>0</v>
      </c>
      <c r="BR556" s="387">
        <f t="shared" si="366"/>
        <v>0</v>
      </c>
      <c r="BS556" s="387">
        <f t="shared" si="367"/>
        <v>0</v>
      </c>
      <c r="BT556" s="387">
        <f t="shared" si="368"/>
        <v>0</v>
      </c>
      <c r="BU556" s="387">
        <f t="shared" si="369"/>
        <v>0</v>
      </c>
      <c r="BV556" s="387">
        <f t="shared" si="370"/>
        <v>0</v>
      </c>
      <c r="BW556" s="387">
        <f t="shared" si="371"/>
        <v>0</v>
      </c>
      <c r="BX556" s="387">
        <f t="shared" si="386"/>
        <v>0</v>
      </c>
      <c r="BY556" s="387">
        <f t="shared" si="387"/>
        <v>0</v>
      </c>
      <c r="BZ556" s="387">
        <f t="shared" si="388"/>
        <v>0</v>
      </c>
      <c r="CA556" s="387">
        <f t="shared" si="389"/>
        <v>0</v>
      </c>
      <c r="CB556" s="387">
        <f t="shared" si="390"/>
        <v>0</v>
      </c>
      <c r="CC556" s="387">
        <f t="shared" si="372"/>
        <v>0</v>
      </c>
      <c r="CD556" s="387">
        <f t="shared" si="373"/>
        <v>0</v>
      </c>
      <c r="CE556" s="387">
        <f t="shared" si="374"/>
        <v>0</v>
      </c>
      <c r="CF556" s="387">
        <f t="shared" si="375"/>
        <v>0</v>
      </c>
      <c r="CG556" s="387">
        <f t="shared" si="376"/>
        <v>0</v>
      </c>
      <c r="CH556" s="387">
        <f t="shared" si="377"/>
        <v>0</v>
      </c>
      <c r="CI556" s="387">
        <f t="shared" si="378"/>
        <v>0</v>
      </c>
      <c r="CJ556" s="387">
        <f t="shared" si="391"/>
        <v>0</v>
      </c>
      <c r="CK556" s="387" t="str">
        <f t="shared" si="392"/>
        <v/>
      </c>
      <c r="CL556" s="387" t="str">
        <f t="shared" si="393"/>
        <v/>
      </c>
      <c r="CM556" s="387" t="str">
        <f t="shared" si="394"/>
        <v/>
      </c>
      <c r="CN556" s="387" t="str">
        <f t="shared" si="395"/>
        <v>0348-31</v>
      </c>
    </row>
    <row r="557" spans="1:92" ht="15.75" thickBot="1" x14ac:dyDescent="0.3">
      <c r="A557" s="376" t="s">
        <v>161</v>
      </c>
      <c r="B557" s="376" t="s">
        <v>162</v>
      </c>
      <c r="C557" s="376" t="s">
        <v>1761</v>
      </c>
      <c r="D557" s="376" t="s">
        <v>247</v>
      </c>
      <c r="E557" s="376" t="s">
        <v>224</v>
      </c>
      <c r="F557" s="382" t="s">
        <v>225</v>
      </c>
      <c r="G557" s="376" t="s">
        <v>781</v>
      </c>
      <c r="H557" s="378"/>
      <c r="I557" s="378"/>
      <c r="J557" s="376" t="s">
        <v>215</v>
      </c>
      <c r="K557" s="376" t="s">
        <v>248</v>
      </c>
      <c r="L557" s="376" t="s">
        <v>178</v>
      </c>
      <c r="M557" s="376" t="s">
        <v>272</v>
      </c>
      <c r="N557" s="376" t="s">
        <v>172</v>
      </c>
      <c r="O557" s="379">
        <v>0</v>
      </c>
      <c r="P557" s="385">
        <v>0</v>
      </c>
      <c r="Q557" s="385">
        <v>0</v>
      </c>
      <c r="R557" s="380">
        <v>80</v>
      </c>
      <c r="S557" s="385">
        <v>0</v>
      </c>
      <c r="T557" s="380">
        <v>0</v>
      </c>
      <c r="U557" s="380">
        <v>0</v>
      </c>
      <c r="V557" s="380">
        <v>14.96</v>
      </c>
      <c r="W557" s="380">
        <v>0</v>
      </c>
      <c r="X557" s="380">
        <v>0</v>
      </c>
      <c r="Y557" s="380">
        <v>0</v>
      </c>
      <c r="Z557" s="380">
        <v>0</v>
      </c>
      <c r="AA557" s="378"/>
      <c r="AB557" s="376" t="s">
        <v>45</v>
      </c>
      <c r="AC557" s="376" t="s">
        <v>45</v>
      </c>
      <c r="AD557" s="378"/>
      <c r="AE557" s="378"/>
      <c r="AF557" s="378"/>
      <c r="AG557" s="378"/>
      <c r="AH557" s="379">
        <v>0</v>
      </c>
      <c r="AI557" s="379">
        <v>0</v>
      </c>
      <c r="AJ557" s="378"/>
      <c r="AK557" s="378"/>
      <c r="AL557" s="376" t="s">
        <v>181</v>
      </c>
      <c r="AM557" s="378"/>
      <c r="AN557" s="378"/>
      <c r="AO557" s="379">
        <v>0</v>
      </c>
      <c r="AP557" s="385">
        <v>0</v>
      </c>
      <c r="AQ557" s="385">
        <v>0</v>
      </c>
      <c r="AR557" s="384"/>
      <c r="AS557" s="387">
        <f t="shared" si="379"/>
        <v>0</v>
      </c>
      <c r="AT557">
        <f t="shared" si="380"/>
        <v>0</v>
      </c>
      <c r="AU557" s="387" t="str">
        <f>IF(AT557=0,"",IF(AND(AT557=1,M557="F",SUMIF(C2:C1334,C557,AS2:AS1334)&lt;=1),SUMIF(C2:C1334,C557,AS2:AS1334),IF(AND(AT557=1,M557="F",SUMIF(C2:C1334,C557,AS2:AS1334)&gt;1),1,"")))</f>
        <v/>
      </c>
      <c r="AV557" s="387" t="str">
        <f>IF(AT557=0,"",IF(AND(AT557=3,M557="F",SUMIF(C2:C1334,C557,AS2:AS1334)&lt;=1),SUMIF(C2:C1334,C557,AS2:AS1334),IF(AND(AT557=3,M557="F",SUMIF(C2:C1334,C557,AS2:AS1334)&gt;1),1,"")))</f>
        <v/>
      </c>
      <c r="AW557" s="387">
        <f>SUMIF(C2:C1334,C557,O2:O1334)</f>
        <v>0</v>
      </c>
      <c r="AX557" s="387">
        <f>IF(AND(M557="F",AS557&lt;&gt;0),SUMIF(C2:C1334,C557,W2:W1334),0)</f>
        <v>0</v>
      </c>
      <c r="AY557" s="387" t="str">
        <f t="shared" si="381"/>
        <v/>
      </c>
      <c r="AZ557" s="387" t="str">
        <f t="shared" si="382"/>
        <v/>
      </c>
      <c r="BA557" s="387">
        <f t="shared" si="383"/>
        <v>0</v>
      </c>
      <c r="BB557" s="387">
        <f t="shared" si="352"/>
        <v>0</v>
      </c>
      <c r="BC557" s="387">
        <f t="shared" si="353"/>
        <v>0</v>
      </c>
      <c r="BD557" s="387">
        <f t="shared" si="354"/>
        <v>0</v>
      </c>
      <c r="BE557" s="387">
        <f t="shared" si="355"/>
        <v>0</v>
      </c>
      <c r="BF557" s="387">
        <f t="shared" si="356"/>
        <v>0</v>
      </c>
      <c r="BG557" s="387">
        <f t="shared" si="357"/>
        <v>0</v>
      </c>
      <c r="BH557" s="387">
        <f t="shared" si="358"/>
        <v>0</v>
      </c>
      <c r="BI557" s="387">
        <f t="shared" si="359"/>
        <v>0</v>
      </c>
      <c r="BJ557" s="387">
        <f t="shared" si="360"/>
        <v>0</v>
      </c>
      <c r="BK557" s="387">
        <f t="shared" si="361"/>
        <v>0</v>
      </c>
      <c r="BL557" s="387">
        <f t="shared" si="384"/>
        <v>0</v>
      </c>
      <c r="BM557" s="387">
        <f t="shared" si="385"/>
        <v>0</v>
      </c>
      <c r="BN557" s="387">
        <f t="shared" si="362"/>
        <v>0</v>
      </c>
      <c r="BO557" s="387">
        <f t="shared" si="363"/>
        <v>0</v>
      </c>
      <c r="BP557" s="387">
        <f t="shared" si="364"/>
        <v>0</v>
      </c>
      <c r="BQ557" s="387">
        <f t="shared" si="365"/>
        <v>0</v>
      </c>
      <c r="BR557" s="387">
        <f t="shared" si="366"/>
        <v>0</v>
      </c>
      <c r="BS557" s="387">
        <f t="shared" si="367"/>
        <v>0</v>
      </c>
      <c r="BT557" s="387">
        <f t="shared" si="368"/>
        <v>0</v>
      </c>
      <c r="BU557" s="387">
        <f t="shared" si="369"/>
        <v>0</v>
      </c>
      <c r="BV557" s="387">
        <f t="shared" si="370"/>
        <v>0</v>
      </c>
      <c r="BW557" s="387">
        <f t="shared" si="371"/>
        <v>0</v>
      </c>
      <c r="BX557" s="387">
        <f t="shared" si="386"/>
        <v>0</v>
      </c>
      <c r="BY557" s="387">
        <f t="shared" si="387"/>
        <v>0</v>
      </c>
      <c r="BZ557" s="387">
        <f t="shared" si="388"/>
        <v>0</v>
      </c>
      <c r="CA557" s="387">
        <f t="shared" si="389"/>
        <v>0</v>
      </c>
      <c r="CB557" s="387">
        <f t="shared" si="390"/>
        <v>0</v>
      </c>
      <c r="CC557" s="387">
        <f t="shared" si="372"/>
        <v>0</v>
      </c>
      <c r="CD557" s="387">
        <f t="shared" si="373"/>
        <v>0</v>
      </c>
      <c r="CE557" s="387">
        <f t="shared" si="374"/>
        <v>0</v>
      </c>
      <c r="CF557" s="387">
        <f t="shared" si="375"/>
        <v>0</v>
      </c>
      <c r="CG557" s="387">
        <f t="shared" si="376"/>
        <v>0</v>
      </c>
      <c r="CH557" s="387">
        <f t="shared" si="377"/>
        <v>0</v>
      </c>
      <c r="CI557" s="387">
        <f t="shared" si="378"/>
        <v>0</v>
      </c>
      <c r="CJ557" s="387">
        <f t="shared" si="391"/>
        <v>0</v>
      </c>
      <c r="CK557" s="387" t="str">
        <f t="shared" si="392"/>
        <v/>
      </c>
      <c r="CL557" s="387" t="str">
        <f t="shared" si="393"/>
        <v/>
      </c>
      <c r="CM557" s="387" t="str">
        <f t="shared" si="394"/>
        <v/>
      </c>
      <c r="CN557" s="387" t="str">
        <f t="shared" si="395"/>
        <v>0348-31</v>
      </c>
    </row>
    <row r="558" spans="1:92" ht="15.75" thickBot="1" x14ac:dyDescent="0.3">
      <c r="A558" s="376" t="s">
        <v>161</v>
      </c>
      <c r="B558" s="376" t="s">
        <v>162</v>
      </c>
      <c r="C558" s="376" t="s">
        <v>1762</v>
      </c>
      <c r="D558" s="376" t="s">
        <v>862</v>
      </c>
      <c r="E558" s="376" t="s">
        <v>224</v>
      </c>
      <c r="F558" s="382" t="s">
        <v>225</v>
      </c>
      <c r="G558" s="376" t="s">
        <v>781</v>
      </c>
      <c r="H558" s="378"/>
      <c r="I558" s="378"/>
      <c r="J558" s="376" t="s">
        <v>239</v>
      </c>
      <c r="K558" s="376" t="s">
        <v>863</v>
      </c>
      <c r="L558" s="376" t="s">
        <v>252</v>
      </c>
      <c r="M558" s="376" t="s">
        <v>171</v>
      </c>
      <c r="N558" s="376" t="s">
        <v>172</v>
      </c>
      <c r="O558" s="379">
        <v>1</v>
      </c>
      <c r="P558" s="385">
        <v>0.7</v>
      </c>
      <c r="Q558" s="385">
        <v>0.7</v>
      </c>
      <c r="R558" s="380">
        <v>80</v>
      </c>
      <c r="S558" s="385">
        <v>0.7</v>
      </c>
      <c r="T558" s="380">
        <v>43581.68</v>
      </c>
      <c r="U558" s="380">
        <v>0</v>
      </c>
      <c r="V558" s="380">
        <v>18543.16</v>
      </c>
      <c r="W558" s="380">
        <v>38773.279999999999</v>
      </c>
      <c r="X558" s="380">
        <v>16539.7</v>
      </c>
      <c r="Y558" s="380">
        <v>38773.279999999999</v>
      </c>
      <c r="Z558" s="380">
        <v>16376.85</v>
      </c>
      <c r="AA558" s="376" t="s">
        <v>1763</v>
      </c>
      <c r="AB558" s="376" t="s">
        <v>1764</v>
      </c>
      <c r="AC558" s="376" t="s">
        <v>1765</v>
      </c>
      <c r="AD558" s="376" t="s">
        <v>406</v>
      </c>
      <c r="AE558" s="376" t="s">
        <v>863</v>
      </c>
      <c r="AF558" s="376" t="s">
        <v>393</v>
      </c>
      <c r="AG558" s="376" t="s">
        <v>178</v>
      </c>
      <c r="AH558" s="381">
        <v>26.63</v>
      </c>
      <c r="AI558" s="381">
        <v>50638.9</v>
      </c>
      <c r="AJ558" s="376" t="s">
        <v>179</v>
      </c>
      <c r="AK558" s="376" t="s">
        <v>180</v>
      </c>
      <c r="AL558" s="376" t="s">
        <v>181</v>
      </c>
      <c r="AM558" s="376" t="s">
        <v>182</v>
      </c>
      <c r="AN558" s="376" t="s">
        <v>68</v>
      </c>
      <c r="AO558" s="379">
        <v>80</v>
      </c>
      <c r="AP558" s="385">
        <v>1</v>
      </c>
      <c r="AQ558" s="385">
        <v>0.7</v>
      </c>
      <c r="AR558" s="383" t="s">
        <v>183</v>
      </c>
      <c r="AS558" s="387">
        <f t="shared" si="379"/>
        <v>0.7</v>
      </c>
      <c r="AT558">
        <f t="shared" si="380"/>
        <v>1</v>
      </c>
      <c r="AU558" s="387">
        <f>IF(AT558=0,"",IF(AND(AT558=1,M558="F",SUMIF(C2:C1334,C558,AS2:AS1334)&lt;=1),SUMIF(C2:C1334,C558,AS2:AS1334),IF(AND(AT558=1,M558="F",SUMIF(C2:C1334,C558,AS2:AS1334)&gt;1),1,"")))</f>
        <v>1</v>
      </c>
      <c r="AV558" s="387" t="str">
        <f>IF(AT558=0,"",IF(AND(AT558=3,M558="F",SUMIF(C2:C1334,C558,AS2:AS1334)&lt;=1),SUMIF(C2:C1334,C558,AS2:AS1334),IF(AND(AT558=3,M558="F",SUMIF(C2:C1334,C558,AS2:AS1334)&gt;1),1,"")))</f>
        <v/>
      </c>
      <c r="AW558" s="387">
        <f>SUMIF(C2:C1334,C558,O2:O1334)</f>
        <v>3</v>
      </c>
      <c r="AX558" s="387">
        <f>IF(AND(M558="F",AS558&lt;&gt;0),SUMIF(C2:C1334,C558,W2:W1334),0)</f>
        <v>55390.399999999994</v>
      </c>
      <c r="AY558" s="387">
        <f t="shared" si="381"/>
        <v>38773.279999999999</v>
      </c>
      <c r="AZ558" s="387" t="str">
        <f t="shared" si="382"/>
        <v/>
      </c>
      <c r="BA558" s="387">
        <f t="shared" si="383"/>
        <v>0</v>
      </c>
      <c r="BB558" s="387">
        <f t="shared" si="352"/>
        <v>8154.9999999999991</v>
      </c>
      <c r="BC558" s="387">
        <f t="shared" si="353"/>
        <v>0</v>
      </c>
      <c r="BD558" s="387">
        <f t="shared" si="354"/>
        <v>2403.9433599999998</v>
      </c>
      <c r="BE558" s="387">
        <f t="shared" si="355"/>
        <v>562.21256000000005</v>
      </c>
      <c r="BF558" s="387">
        <f t="shared" si="356"/>
        <v>4629.5296319999998</v>
      </c>
      <c r="BG558" s="387">
        <f t="shared" si="357"/>
        <v>279.55534879999999</v>
      </c>
      <c r="BH558" s="387">
        <f t="shared" si="358"/>
        <v>189.98907199999999</v>
      </c>
      <c r="BI558" s="387">
        <f t="shared" si="359"/>
        <v>214.61010479999999</v>
      </c>
      <c r="BJ558" s="387">
        <f t="shared" si="360"/>
        <v>104.687856</v>
      </c>
      <c r="BK558" s="387">
        <f t="shared" si="361"/>
        <v>0</v>
      </c>
      <c r="BL558" s="387">
        <f t="shared" si="384"/>
        <v>8384.5279335999985</v>
      </c>
      <c r="BM558" s="387">
        <f t="shared" si="385"/>
        <v>0</v>
      </c>
      <c r="BN558" s="387">
        <f t="shared" si="362"/>
        <v>8154.9999999999991</v>
      </c>
      <c r="BO558" s="387">
        <f t="shared" si="363"/>
        <v>0</v>
      </c>
      <c r="BP558" s="387">
        <f t="shared" si="364"/>
        <v>2403.9433599999998</v>
      </c>
      <c r="BQ558" s="387">
        <f t="shared" si="365"/>
        <v>562.21256000000005</v>
      </c>
      <c r="BR558" s="387">
        <f t="shared" si="366"/>
        <v>4629.5296319999998</v>
      </c>
      <c r="BS558" s="387">
        <f t="shared" si="367"/>
        <v>279.55534879999999</v>
      </c>
      <c r="BT558" s="387">
        <f t="shared" si="368"/>
        <v>0</v>
      </c>
      <c r="BU558" s="387">
        <f t="shared" si="369"/>
        <v>214.61010479999999</v>
      </c>
      <c r="BV558" s="387">
        <f t="shared" si="370"/>
        <v>131.82915199999999</v>
      </c>
      <c r="BW558" s="387">
        <f t="shared" si="371"/>
        <v>0</v>
      </c>
      <c r="BX558" s="387">
        <f t="shared" si="386"/>
        <v>8221.680157599998</v>
      </c>
      <c r="BY558" s="387">
        <f t="shared" si="387"/>
        <v>0</v>
      </c>
      <c r="BZ558" s="387">
        <f t="shared" si="388"/>
        <v>0</v>
      </c>
      <c r="CA558" s="387">
        <f t="shared" si="389"/>
        <v>0</v>
      </c>
      <c r="CB558" s="387">
        <f t="shared" si="390"/>
        <v>0</v>
      </c>
      <c r="CC558" s="387">
        <f t="shared" si="372"/>
        <v>0</v>
      </c>
      <c r="CD558" s="387">
        <f t="shared" si="373"/>
        <v>0</v>
      </c>
      <c r="CE558" s="387">
        <f t="shared" si="374"/>
        <v>0</v>
      </c>
      <c r="CF558" s="387">
        <f t="shared" si="375"/>
        <v>-189.98907199999999</v>
      </c>
      <c r="CG558" s="387">
        <f t="shared" si="376"/>
        <v>0</v>
      </c>
      <c r="CH558" s="387">
        <f t="shared" si="377"/>
        <v>27.141295999999986</v>
      </c>
      <c r="CI558" s="387">
        <f t="shared" si="378"/>
        <v>0</v>
      </c>
      <c r="CJ558" s="387">
        <f t="shared" si="391"/>
        <v>-162.84777600000001</v>
      </c>
      <c r="CK558" s="387" t="str">
        <f t="shared" si="392"/>
        <v/>
      </c>
      <c r="CL558" s="387" t="str">
        <f t="shared" si="393"/>
        <v/>
      </c>
      <c r="CM558" s="387" t="str">
        <f t="shared" si="394"/>
        <v/>
      </c>
      <c r="CN558" s="387" t="str">
        <f t="shared" si="395"/>
        <v>0348-31</v>
      </c>
    </row>
    <row r="559" spans="1:92" ht="15.75" thickBot="1" x14ac:dyDescent="0.3">
      <c r="A559" s="376" t="s">
        <v>161</v>
      </c>
      <c r="B559" s="376" t="s">
        <v>162</v>
      </c>
      <c r="C559" s="376" t="s">
        <v>1766</v>
      </c>
      <c r="D559" s="376" t="s">
        <v>1767</v>
      </c>
      <c r="E559" s="376" t="s">
        <v>224</v>
      </c>
      <c r="F559" s="382" t="s">
        <v>225</v>
      </c>
      <c r="G559" s="376" t="s">
        <v>781</v>
      </c>
      <c r="H559" s="378"/>
      <c r="I559" s="378"/>
      <c r="J559" s="376" t="s">
        <v>215</v>
      </c>
      <c r="K559" s="376" t="s">
        <v>1768</v>
      </c>
      <c r="L559" s="376" t="s">
        <v>296</v>
      </c>
      <c r="M559" s="376" t="s">
        <v>171</v>
      </c>
      <c r="N559" s="376" t="s">
        <v>172</v>
      </c>
      <c r="O559" s="379">
        <v>1</v>
      </c>
      <c r="P559" s="385">
        <v>0</v>
      </c>
      <c r="Q559" s="385">
        <v>0</v>
      </c>
      <c r="R559" s="380">
        <v>80</v>
      </c>
      <c r="S559" s="385">
        <v>0</v>
      </c>
      <c r="T559" s="380">
        <v>1226.03</v>
      </c>
      <c r="U559" s="380">
        <v>0</v>
      </c>
      <c r="V559" s="380">
        <v>-319.62</v>
      </c>
      <c r="W559" s="380">
        <v>0</v>
      </c>
      <c r="X559" s="380">
        <v>0</v>
      </c>
      <c r="Y559" s="380">
        <v>0</v>
      </c>
      <c r="Z559" s="380">
        <v>0</v>
      </c>
      <c r="AA559" s="376" t="s">
        <v>1769</v>
      </c>
      <c r="AB559" s="376" t="s">
        <v>1770</v>
      </c>
      <c r="AC559" s="376" t="s">
        <v>1771</v>
      </c>
      <c r="AD559" s="376" t="s">
        <v>198</v>
      </c>
      <c r="AE559" s="376" t="s">
        <v>1768</v>
      </c>
      <c r="AF559" s="376" t="s">
        <v>301</v>
      </c>
      <c r="AG559" s="376" t="s">
        <v>178</v>
      </c>
      <c r="AH559" s="381">
        <v>20.74</v>
      </c>
      <c r="AI559" s="381">
        <v>4992.7</v>
      </c>
      <c r="AJ559" s="376" t="s">
        <v>179</v>
      </c>
      <c r="AK559" s="376" t="s">
        <v>180</v>
      </c>
      <c r="AL559" s="376" t="s">
        <v>181</v>
      </c>
      <c r="AM559" s="376" t="s">
        <v>182</v>
      </c>
      <c r="AN559" s="376" t="s">
        <v>68</v>
      </c>
      <c r="AO559" s="379">
        <v>80</v>
      </c>
      <c r="AP559" s="385">
        <v>1</v>
      </c>
      <c r="AQ559" s="385">
        <v>0</v>
      </c>
      <c r="AR559" s="383" t="s">
        <v>183</v>
      </c>
      <c r="AS559" s="387">
        <f t="shared" si="379"/>
        <v>0</v>
      </c>
      <c r="AT559">
        <f t="shared" si="380"/>
        <v>0</v>
      </c>
      <c r="AU559" s="387" t="str">
        <f>IF(AT559=0,"",IF(AND(AT559=1,M559="F",SUMIF(C2:C1334,C559,AS2:AS1334)&lt;=1),SUMIF(C2:C1334,C559,AS2:AS1334),IF(AND(AT559=1,M559="F",SUMIF(C2:C1334,C559,AS2:AS1334)&gt;1),1,"")))</f>
        <v/>
      </c>
      <c r="AV559" s="387" t="str">
        <f>IF(AT559=0,"",IF(AND(AT559=3,M559="F",SUMIF(C2:C1334,C559,AS2:AS1334)&lt;=1),SUMIF(C2:C1334,C559,AS2:AS1334),IF(AND(AT559=3,M559="F",SUMIF(C2:C1334,C559,AS2:AS1334)&gt;1),1,"")))</f>
        <v/>
      </c>
      <c r="AW559" s="387">
        <f>SUMIF(C2:C1334,C559,O2:O1334)</f>
        <v>2</v>
      </c>
      <c r="AX559" s="387">
        <f>IF(AND(M559="F",AS559&lt;&gt;0),SUMIF(C2:C1334,C559,W2:W1334),0)</f>
        <v>0</v>
      </c>
      <c r="AY559" s="387" t="str">
        <f t="shared" si="381"/>
        <v/>
      </c>
      <c r="AZ559" s="387" t="str">
        <f t="shared" si="382"/>
        <v/>
      </c>
      <c r="BA559" s="387">
        <f t="shared" si="383"/>
        <v>0</v>
      </c>
      <c r="BB559" s="387">
        <f t="shared" si="352"/>
        <v>0</v>
      </c>
      <c r="BC559" s="387">
        <f t="shared" si="353"/>
        <v>0</v>
      </c>
      <c r="BD559" s="387">
        <f t="shared" si="354"/>
        <v>0</v>
      </c>
      <c r="BE559" s="387">
        <f t="shared" si="355"/>
        <v>0</v>
      </c>
      <c r="BF559" s="387">
        <f t="shared" si="356"/>
        <v>0</v>
      </c>
      <c r="BG559" s="387">
        <f t="shared" si="357"/>
        <v>0</v>
      </c>
      <c r="BH559" s="387">
        <f t="shared" si="358"/>
        <v>0</v>
      </c>
      <c r="BI559" s="387">
        <f t="shared" si="359"/>
        <v>0</v>
      </c>
      <c r="BJ559" s="387">
        <f t="shared" si="360"/>
        <v>0</v>
      </c>
      <c r="BK559" s="387">
        <f t="shared" si="361"/>
        <v>0</v>
      </c>
      <c r="BL559" s="387">
        <f t="shared" si="384"/>
        <v>0</v>
      </c>
      <c r="BM559" s="387">
        <f t="shared" si="385"/>
        <v>0</v>
      </c>
      <c r="BN559" s="387">
        <f t="shared" si="362"/>
        <v>0</v>
      </c>
      <c r="BO559" s="387">
        <f t="shared" si="363"/>
        <v>0</v>
      </c>
      <c r="BP559" s="387">
        <f t="shared" si="364"/>
        <v>0</v>
      </c>
      <c r="BQ559" s="387">
        <f t="shared" si="365"/>
        <v>0</v>
      </c>
      <c r="BR559" s="387">
        <f t="shared" si="366"/>
        <v>0</v>
      </c>
      <c r="BS559" s="387">
        <f t="shared" si="367"/>
        <v>0</v>
      </c>
      <c r="BT559" s="387">
        <f t="shared" si="368"/>
        <v>0</v>
      </c>
      <c r="BU559" s="387">
        <f t="shared" si="369"/>
        <v>0</v>
      </c>
      <c r="BV559" s="387">
        <f t="shared" si="370"/>
        <v>0</v>
      </c>
      <c r="BW559" s="387">
        <f t="shared" si="371"/>
        <v>0</v>
      </c>
      <c r="BX559" s="387">
        <f t="shared" si="386"/>
        <v>0</v>
      </c>
      <c r="BY559" s="387">
        <f t="shared" si="387"/>
        <v>0</v>
      </c>
      <c r="BZ559" s="387">
        <f t="shared" si="388"/>
        <v>0</v>
      </c>
      <c r="CA559" s="387">
        <f t="shared" si="389"/>
        <v>0</v>
      </c>
      <c r="CB559" s="387">
        <f t="shared" si="390"/>
        <v>0</v>
      </c>
      <c r="CC559" s="387">
        <f t="shared" si="372"/>
        <v>0</v>
      </c>
      <c r="CD559" s="387">
        <f t="shared" si="373"/>
        <v>0</v>
      </c>
      <c r="CE559" s="387">
        <f t="shared" si="374"/>
        <v>0</v>
      </c>
      <c r="CF559" s="387">
        <f t="shared" si="375"/>
        <v>0</v>
      </c>
      <c r="CG559" s="387">
        <f t="shared" si="376"/>
        <v>0</v>
      </c>
      <c r="CH559" s="387">
        <f t="shared" si="377"/>
        <v>0</v>
      </c>
      <c r="CI559" s="387">
        <f t="shared" si="378"/>
        <v>0</v>
      </c>
      <c r="CJ559" s="387">
        <f t="shared" si="391"/>
        <v>0</v>
      </c>
      <c r="CK559" s="387" t="str">
        <f t="shared" si="392"/>
        <v/>
      </c>
      <c r="CL559" s="387" t="str">
        <f t="shared" si="393"/>
        <v/>
      </c>
      <c r="CM559" s="387" t="str">
        <f t="shared" si="394"/>
        <v/>
      </c>
      <c r="CN559" s="387" t="str">
        <f t="shared" si="395"/>
        <v>0348-31</v>
      </c>
    </row>
    <row r="560" spans="1:92" ht="15.75" thickBot="1" x14ac:dyDescent="0.3">
      <c r="A560" s="376" t="s">
        <v>161</v>
      </c>
      <c r="B560" s="376" t="s">
        <v>162</v>
      </c>
      <c r="C560" s="376" t="s">
        <v>1772</v>
      </c>
      <c r="D560" s="376" t="s">
        <v>247</v>
      </c>
      <c r="E560" s="376" t="s">
        <v>224</v>
      </c>
      <c r="F560" s="382" t="s">
        <v>225</v>
      </c>
      <c r="G560" s="376" t="s">
        <v>781</v>
      </c>
      <c r="H560" s="378"/>
      <c r="I560" s="378"/>
      <c r="J560" s="376" t="s">
        <v>215</v>
      </c>
      <c r="K560" s="376" t="s">
        <v>248</v>
      </c>
      <c r="L560" s="376" t="s">
        <v>178</v>
      </c>
      <c r="M560" s="376" t="s">
        <v>171</v>
      </c>
      <c r="N560" s="376" t="s">
        <v>172</v>
      </c>
      <c r="O560" s="379">
        <v>1</v>
      </c>
      <c r="P560" s="385">
        <v>0</v>
      </c>
      <c r="Q560" s="385">
        <v>0</v>
      </c>
      <c r="R560" s="380">
        <v>80</v>
      </c>
      <c r="S560" s="385">
        <v>0</v>
      </c>
      <c r="T560" s="380">
        <v>27384</v>
      </c>
      <c r="U560" s="380">
        <v>0</v>
      </c>
      <c r="V560" s="380">
        <v>15473.34</v>
      </c>
      <c r="W560" s="380">
        <v>0</v>
      </c>
      <c r="X560" s="380">
        <v>0</v>
      </c>
      <c r="Y560" s="380">
        <v>0</v>
      </c>
      <c r="Z560" s="380">
        <v>0</v>
      </c>
      <c r="AA560" s="376" t="s">
        <v>1773</v>
      </c>
      <c r="AB560" s="376" t="s">
        <v>1774</v>
      </c>
      <c r="AC560" s="376" t="s">
        <v>1775</v>
      </c>
      <c r="AD560" s="376" t="s">
        <v>296</v>
      </c>
      <c r="AE560" s="376" t="s">
        <v>248</v>
      </c>
      <c r="AF560" s="376" t="s">
        <v>253</v>
      </c>
      <c r="AG560" s="376" t="s">
        <v>178</v>
      </c>
      <c r="AH560" s="381">
        <v>15.25</v>
      </c>
      <c r="AI560" s="379">
        <v>40</v>
      </c>
      <c r="AJ560" s="376" t="s">
        <v>179</v>
      </c>
      <c r="AK560" s="376" t="s">
        <v>180</v>
      </c>
      <c r="AL560" s="376" t="s">
        <v>181</v>
      </c>
      <c r="AM560" s="376" t="s">
        <v>182</v>
      </c>
      <c r="AN560" s="376" t="s">
        <v>68</v>
      </c>
      <c r="AO560" s="379">
        <v>80</v>
      </c>
      <c r="AP560" s="385">
        <v>1</v>
      </c>
      <c r="AQ560" s="385">
        <v>0</v>
      </c>
      <c r="AR560" s="383" t="s">
        <v>183</v>
      </c>
      <c r="AS560" s="387">
        <f t="shared" si="379"/>
        <v>0</v>
      </c>
      <c r="AT560">
        <f t="shared" si="380"/>
        <v>0</v>
      </c>
      <c r="AU560" s="387" t="str">
        <f>IF(AT560=0,"",IF(AND(AT560=1,M560="F",SUMIF(C2:C1334,C560,AS2:AS1334)&lt;=1),SUMIF(C2:C1334,C560,AS2:AS1334),IF(AND(AT560=1,M560="F",SUMIF(C2:C1334,C560,AS2:AS1334)&gt;1),1,"")))</f>
        <v/>
      </c>
      <c r="AV560" s="387" t="str">
        <f>IF(AT560=0,"",IF(AND(AT560=3,M560="F",SUMIF(C2:C1334,C560,AS2:AS1334)&lt;=1),SUMIF(C2:C1334,C560,AS2:AS1334),IF(AND(AT560=3,M560="F",SUMIF(C2:C1334,C560,AS2:AS1334)&gt;1),1,"")))</f>
        <v/>
      </c>
      <c r="AW560" s="387">
        <f>SUMIF(C2:C1334,C560,O2:O1334)</f>
        <v>2</v>
      </c>
      <c r="AX560" s="387">
        <f>IF(AND(M560="F",AS560&lt;&gt;0),SUMIF(C2:C1334,C560,W2:W1334),0)</f>
        <v>0</v>
      </c>
      <c r="AY560" s="387" t="str">
        <f t="shared" si="381"/>
        <v/>
      </c>
      <c r="AZ560" s="387" t="str">
        <f t="shared" si="382"/>
        <v/>
      </c>
      <c r="BA560" s="387">
        <f t="shared" si="383"/>
        <v>0</v>
      </c>
      <c r="BB560" s="387">
        <f t="shared" si="352"/>
        <v>0</v>
      </c>
      <c r="BC560" s="387">
        <f t="shared" si="353"/>
        <v>0</v>
      </c>
      <c r="BD560" s="387">
        <f t="shared" si="354"/>
        <v>0</v>
      </c>
      <c r="BE560" s="387">
        <f t="shared" si="355"/>
        <v>0</v>
      </c>
      <c r="BF560" s="387">
        <f t="shared" si="356"/>
        <v>0</v>
      </c>
      <c r="BG560" s="387">
        <f t="shared" si="357"/>
        <v>0</v>
      </c>
      <c r="BH560" s="387">
        <f t="shared" si="358"/>
        <v>0</v>
      </c>
      <c r="BI560" s="387">
        <f t="shared" si="359"/>
        <v>0</v>
      </c>
      <c r="BJ560" s="387">
        <f t="shared" si="360"/>
        <v>0</v>
      </c>
      <c r="BK560" s="387">
        <f t="shared" si="361"/>
        <v>0</v>
      </c>
      <c r="BL560" s="387">
        <f t="shared" si="384"/>
        <v>0</v>
      </c>
      <c r="BM560" s="387">
        <f t="shared" si="385"/>
        <v>0</v>
      </c>
      <c r="BN560" s="387">
        <f t="shared" si="362"/>
        <v>0</v>
      </c>
      <c r="BO560" s="387">
        <f t="shared" si="363"/>
        <v>0</v>
      </c>
      <c r="BP560" s="387">
        <f t="shared" si="364"/>
        <v>0</v>
      </c>
      <c r="BQ560" s="387">
        <f t="shared" si="365"/>
        <v>0</v>
      </c>
      <c r="BR560" s="387">
        <f t="shared" si="366"/>
        <v>0</v>
      </c>
      <c r="BS560" s="387">
        <f t="shared" si="367"/>
        <v>0</v>
      </c>
      <c r="BT560" s="387">
        <f t="shared" si="368"/>
        <v>0</v>
      </c>
      <c r="BU560" s="387">
        <f t="shared" si="369"/>
        <v>0</v>
      </c>
      <c r="BV560" s="387">
        <f t="shared" si="370"/>
        <v>0</v>
      </c>
      <c r="BW560" s="387">
        <f t="shared" si="371"/>
        <v>0</v>
      </c>
      <c r="BX560" s="387">
        <f t="shared" si="386"/>
        <v>0</v>
      </c>
      <c r="BY560" s="387">
        <f t="shared" si="387"/>
        <v>0</v>
      </c>
      <c r="BZ560" s="387">
        <f t="shared" si="388"/>
        <v>0</v>
      </c>
      <c r="CA560" s="387">
        <f t="shared" si="389"/>
        <v>0</v>
      </c>
      <c r="CB560" s="387">
        <f t="shared" si="390"/>
        <v>0</v>
      </c>
      <c r="CC560" s="387">
        <f t="shared" si="372"/>
        <v>0</v>
      </c>
      <c r="CD560" s="387">
        <f t="shared" si="373"/>
        <v>0</v>
      </c>
      <c r="CE560" s="387">
        <f t="shared" si="374"/>
        <v>0</v>
      </c>
      <c r="CF560" s="387">
        <f t="shared" si="375"/>
        <v>0</v>
      </c>
      <c r="CG560" s="387">
        <f t="shared" si="376"/>
        <v>0</v>
      </c>
      <c r="CH560" s="387">
        <f t="shared" si="377"/>
        <v>0</v>
      </c>
      <c r="CI560" s="387">
        <f t="shared" si="378"/>
        <v>0</v>
      </c>
      <c r="CJ560" s="387">
        <f t="shared" si="391"/>
        <v>0</v>
      </c>
      <c r="CK560" s="387" t="str">
        <f t="shared" si="392"/>
        <v/>
      </c>
      <c r="CL560" s="387" t="str">
        <f t="shared" si="393"/>
        <v/>
      </c>
      <c r="CM560" s="387" t="str">
        <f t="shared" si="394"/>
        <v/>
      </c>
      <c r="CN560" s="387" t="str">
        <f t="shared" si="395"/>
        <v>0348-31</v>
      </c>
    </row>
    <row r="561" spans="1:92" ht="15.75" thickBot="1" x14ac:dyDescent="0.3">
      <c r="A561" s="376" t="s">
        <v>161</v>
      </c>
      <c r="B561" s="376" t="s">
        <v>162</v>
      </c>
      <c r="C561" s="376" t="s">
        <v>1776</v>
      </c>
      <c r="D561" s="376" t="s">
        <v>823</v>
      </c>
      <c r="E561" s="376" t="s">
        <v>224</v>
      </c>
      <c r="F561" s="382" t="s">
        <v>225</v>
      </c>
      <c r="G561" s="376" t="s">
        <v>781</v>
      </c>
      <c r="H561" s="378"/>
      <c r="I561" s="378"/>
      <c r="J561" s="376" t="s">
        <v>215</v>
      </c>
      <c r="K561" s="376" t="s">
        <v>824</v>
      </c>
      <c r="L561" s="376" t="s">
        <v>166</v>
      </c>
      <c r="M561" s="376" t="s">
        <v>171</v>
      </c>
      <c r="N561" s="376" t="s">
        <v>780</v>
      </c>
      <c r="O561" s="379">
        <v>0</v>
      </c>
      <c r="P561" s="385">
        <v>0</v>
      </c>
      <c r="Q561" s="385">
        <v>0</v>
      </c>
      <c r="R561" s="380">
        <v>0</v>
      </c>
      <c r="S561" s="385">
        <v>0</v>
      </c>
      <c r="T561" s="380">
        <v>3318.75</v>
      </c>
      <c r="U561" s="380">
        <v>52.05</v>
      </c>
      <c r="V561" s="380">
        <v>3164.12</v>
      </c>
      <c r="W561" s="380">
        <v>0</v>
      </c>
      <c r="X561" s="380">
        <v>0</v>
      </c>
      <c r="Y561" s="380">
        <v>0</v>
      </c>
      <c r="Z561" s="380">
        <v>0</v>
      </c>
      <c r="AA561" s="378"/>
      <c r="AB561" s="376" t="s">
        <v>45</v>
      </c>
      <c r="AC561" s="376" t="s">
        <v>45</v>
      </c>
      <c r="AD561" s="378"/>
      <c r="AE561" s="378"/>
      <c r="AF561" s="378"/>
      <c r="AG561" s="378"/>
      <c r="AH561" s="379">
        <v>0</v>
      </c>
      <c r="AI561" s="379">
        <v>0</v>
      </c>
      <c r="AJ561" s="378"/>
      <c r="AK561" s="378"/>
      <c r="AL561" s="376" t="s">
        <v>181</v>
      </c>
      <c r="AM561" s="378"/>
      <c r="AN561" s="378"/>
      <c r="AO561" s="379">
        <v>0</v>
      </c>
      <c r="AP561" s="385">
        <v>0</v>
      </c>
      <c r="AQ561" s="385">
        <v>0</v>
      </c>
      <c r="AR561" s="384"/>
      <c r="AS561" s="387">
        <f t="shared" si="379"/>
        <v>0</v>
      </c>
      <c r="AT561">
        <f t="shared" si="380"/>
        <v>0</v>
      </c>
      <c r="AU561" s="387" t="str">
        <f>IF(AT561=0,"",IF(AND(AT561=1,M561="F",SUMIF(C2:C1334,C561,AS2:AS1334)&lt;=1),SUMIF(C2:C1334,C561,AS2:AS1334),IF(AND(AT561=1,M561="F",SUMIF(C2:C1334,C561,AS2:AS1334)&gt;1),1,"")))</f>
        <v/>
      </c>
      <c r="AV561" s="387" t="str">
        <f>IF(AT561=0,"",IF(AND(AT561=3,M561="F",SUMIF(C2:C1334,C561,AS2:AS1334)&lt;=1),SUMIF(C2:C1334,C561,AS2:AS1334),IF(AND(AT561=3,M561="F",SUMIF(C2:C1334,C561,AS2:AS1334)&gt;1),1,"")))</f>
        <v/>
      </c>
      <c r="AW561" s="387">
        <f>SUMIF(C2:C1334,C561,O2:O1334)</f>
        <v>0</v>
      </c>
      <c r="AX561" s="387">
        <f>IF(AND(M561="F",AS561&lt;&gt;0),SUMIF(C2:C1334,C561,W2:W1334),0)</f>
        <v>0</v>
      </c>
      <c r="AY561" s="387" t="str">
        <f t="shared" si="381"/>
        <v/>
      </c>
      <c r="AZ561" s="387" t="str">
        <f t="shared" si="382"/>
        <v/>
      </c>
      <c r="BA561" s="387">
        <f t="shared" si="383"/>
        <v>0</v>
      </c>
      <c r="BB561" s="387">
        <f t="shared" si="352"/>
        <v>0</v>
      </c>
      <c r="BC561" s="387">
        <f t="shared" si="353"/>
        <v>0</v>
      </c>
      <c r="BD561" s="387">
        <f t="shared" si="354"/>
        <v>0</v>
      </c>
      <c r="BE561" s="387">
        <f t="shared" si="355"/>
        <v>0</v>
      </c>
      <c r="BF561" s="387">
        <f t="shared" si="356"/>
        <v>0</v>
      </c>
      <c r="BG561" s="387">
        <f t="shared" si="357"/>
        <v>0</v>
      </c>
      <c r="BH561" s="387">
        <f t="shared" si="358"/>
        <v>0</v>
      </c>
      <c r="BI561" s="387">
        <f t="shared" si="359"/>
        <v>0</v>
      </c>
      <c r="BJ561" s="387">
        <f t="shared" si="360"/>
        <v>0</v>
      </c>
      <c r="BK561" s="387">
        <f t="shared" si="361"/>
        <v>0</v>
      </c>
      <c r="BL561" s="387">
        <f t="shared" si="384"/>
        <v>0</v>
      </c>
      <c r="BM561" s="387">
        <f t="shared" si="385"/>
        <v>0</v>
      </c>
      <c r="BN561" s="387">
        <f t="shared" si="362"/>
        <v>0</v>
      </c>
      <c r="BO561" s="387">
        <f t="shared" si="363"/>
        <v>0</v>
      </c>
      <c r="BP561" s="387">
        <f t="shared" si="364"/>
        <v>0</v>
      </c>
      <c r="BQ561" s="387">
        <f t="shared" si="365"/>
        <v>0</v>
      </c>
      <c r="BR561" s="387">
        <f t="shared" si="366"/>
        <v>0</v>
      </c>
      <c r="BS561" s="387">
        <f t="shared" si="367"/>
        <v>0</v>
      </c>
      <c r="BT561" s="387">
        <f t="shared" si="368"/>
        <v>0</v>
      </c>
      <c r="BU561" s="387">
        <f t="shared" si="369"/>
        <v>0</v>
      </c>
      <c r="BV561" s="387">
        <f t="shared" si="370"/>
        <v>0</v>
      </c>
      <c r="BW561" s="387">
        <f t="shared" si="371"/>
        <v>0</v>
      </c>
      <c r="BX561" s="387">
        <f t="shared" si="386"/>
        <v>0</v>
      </c>
      <c r="BY561" s="387">
        <f t="shared" si="387"/>
        <v>0</v>
      </c>
      <c r="BZ561" s="387">
        <f t="shared" si="388"/>
        <v>0</v>
      </c>
      <c r="CA561" s="387">
        <f t="shared" si="389"/>
        <v>0</v>
      </c>
      <c r="CB561" s="387">
        <f t="shared" si="390"/>
        <v>0</v>
      </c>
      <c r="CC561" s="387">
        <f t="shared" si="372"/>
        <v>0</v>
      </c>
      <c r="CD561" s="387">
        <f t="shared" si="373"/>
        <v>0</v>
      </c>
      <c r="CE561" s="387">
        <f t="shared" si="374"/>
        <v>0</v>
      </c>
      <c r="CF561" s="387">
        <f t="shared" si="375"/>
        <v>0</v>
      </c>
      <c r="CG561" s="387">
        <f t="shared" si="376"/>
        <v>0</v>
      </c>
      <c r="CH561" s="387">
        <f t="shared" si="377"/>
        <v>0</v>
      </c>
      <c r="CI561" s="387">
        <f t="shared" si="378"/>
        <v>0</v>
      </c>
      <c r="CJ561" s="387">
        <f t="shared" si="391"/>
        <v>0</v>
      </c>
      <c r="CK561" s="387" t="str">
        <f t="shared" si="392"/>
        <v/>
      </c>
      <c r="CL561" s="387">
        <f t="shared" si="393"/>
        <v>3370.8</v>
      </c>
      <c r="CM561" s="387">
        <f t="shared" si="394"/>
        <v>3164.12</v>
      </c>
      <c r="CN561" s="387" t="str">
        <f t="shared" si="395"/>
        <v>0348-31</v>
      </c>
    </row>
    <row r="562" spans="1:92" ht="15.75" thickBot="1" x14ac:dyDescent="0.3">
      <c r="A562" s="376" t="s">
        <v>161</v>
      </c>
      <c r="B562" s="376" t="s">
        <v>162</v>
      </c>
      <c r="C562" s="376" t="s">
        <v>1777</v>
      </c>
      <c r="D562" s="376" t="s">
        <v>862</v>
      </c>
      <c r="E562" s="376" t="s">
        <v>224</v>
      </c>
      <c r="F562" s="382" t="s">
        <v>225</v>
      </c>
      <c r="G562" s="376" t="s">
        <v>781</v>
      </c>
      <c r="H562" s="378"/>
      <c r="I562" s="378"/>
      <c r="J562" s="376" t="s">
        <v>239</v>
      </c>
      <c r="K562" s="376" t="s">
        <v>863</v>
      </c>
      <c r="L562" s="376" t="s">
        <v>252</v>
      </c>
      <c r="M562" s="376" t="s">
        <v>171</v>
      </c>
      <c r="N562" s="376" t="s">
        <v>172</v>
      </c>
      <c r="O562" s="379">
        <v>1</v>
      </c>
      <c r="P562" s="385">
        <v>0.7</v>
      </c>
      <c r="Q562" s="385">
        <v>0.7</v>
      </c>
      <c r="R562" s="380">
        <v>80</v>
      </c>
      <c r="S562" s="385">
        <v>0.7</v>
      </c>
      <c r="T562" s="380">
        <v>30394.69</v>
      </c>
      <c r="U562" s="380">
        <v>0</v>
      </c>
      <c r="V562" s="380">
        <v>13894.69</v>
      </c>
      <c r="W562" s="380">
        <v>34492.639999999999</v>
      </c>
      <c r="X562" s="380">
        <v>15614.01</v>
      </c>
      <c r="Y562" s="380">
        <v>34492.639999999999</v>
      </c>
      <c r="Z562" s="380">
        <v>15469.14</v>
      </c>
      <c r="AA562" s="376" t="s">
        <v>1778</v>
      </c>
      <c r="AB562" s="376" t="s">
        <v>1779</v>
      </c>
      <c r="AC562" s="376" t="s">
        <v>1048</v>
      </c>
      <c r="AD562" s="376" t="s">
        <v>180</v>
      </c>
      <c r="AE562" s="376" t="s">
        <v>863</v>
      </c>
      <c r="AF562" s="376" t="s">
        <v>393</v>
      </c>
      <c r="AG562" s="376" t="s">
        <v>178</v>
      </c>
      <c r="AH562" s="381">
        <v>23.69</v>
      </c>
      <c r="AI562" s="381">
        <v>35097.9</v>
      </c>
      <c r="AJ562" s="376" t="s">
        <v>179</v>
      </c>
      <c r="AK562" s="376" t="s">
        <v>180</v>
      </c>
      <c r="AL562" s="376" t="s">
        <v>181</v>
      </c>
      <c r="AM562" s="376" t="s">
        <v>182</v>
      </c>
      <c r="AN562" s="376" t="s">
        <v>68</v>
      </c>
      <c r="AO562" s="379">
        <v>80</v>
      </c>
      <c r="AP562" s="385">
        <v>1</v>
      </c>
      <c r="AQ562" s="385">
        <v>0.7</v>
      </c>
      <c r="AR562" s="383" t="s">
        <v>183</v>
      </c>
      <c r="AS562" s="387">
        <f t="shared" si="379"/>
        <v>0.7</v>
      </c>
      <c r="AT562">
        <f t="shared" si="380"/>
        <v>1</v>
      </c>
      <c r="AU562" s="387">
        <f>IF(AT562=0,"",IF(AND(AT562=1,M562="F",SUMIF(C2:C1334,C562,AS2:AS1334)&lt;=1),SUMIF(C2:C1334,C562,AS2:AS1334),IF(AND(AT562=1,M562="F",SUMIF(C2:C1334,C562,AS2:AS1334)&gt;1),1,"")))</f>
        <v>1</v>
      </c>
      <c r="AV562" s="387" t="str">
        <f>IF(AT562=0,"",IF(AND(AT562=3,M562="F",SUMIF(C2:C1334,C562,AS2:AS1334)&lt;=1),SUMIF(C2:C1334,C562,AS2:AS1334),IF(AND(AT562=3,M562="F",SUMIF(C2:C1334,C562,AS2:AS1334)&gt;1),1,"")))</f>
        <v/>
      </c>
      <c r="AW562" s="387">
        <f>SUMIF(C2:C1334,C562,O2:O1334)</f>
        <v>3</v>
      </c>
      <c r="AX562" s="387">
        <f>IF(AND(M562="F",AS562&lt;&gt;0),SUMIF(C2:C1334,C562,W2:W1334),0)</f>
        <v>49275.199999999997</v>
      </c>
      <c r="AY562" s="387">
        <f t="shared" si="381"/>
        <v>34492.639999999999</v>
      </c>
      <c r="AZ562" s="387" t="str">
        <f t="shared" si="382"/>
        <v/>
      </c>
      <c r="BA562" s="387">
        <f t="shared" si="383"/>
        <v>0</v>
      </c>
      <c r="BB562" s="387">
        <f t="shared" si="352"/>
        <v>8154.9999999999991</v>
      </c>
      <c r="BC562" s="387">
        <f t="shared" si="353"/>
        <v>0</v>
      </c>
      <c r="BD562" s="387">
        <f t="shared" si="354"/>
        <v>2138.5436799999998</v>
      </c>
      <c r="BE562" s="387">
        <f t="shared" si="355"/>
        <v>500.14328</v>
      </c>
      <c r="BF562" s="387">
        <f t="shared" si="356"/>
        <v>4118.4212159999997</v>
      </c>
      <c r="BG562" s="387">
        <f t="shared" si="357"/>
        <v>248.69193440000001</v>
      </c>
      <c r="BH562" s="387">
        <f t="shared" si="358"/>
        <v>169.013936</v>
      </c>
      <c r="BI562" s="387">
        <f t="shared" si="359"/>
        <v>190.91676240000001</v>
      </c>
      <c r="BJ562" s="387">
        <f t="shared" si="360"/>
        <v>93.130127999999999</v>
      </c>
      <c r="BK562" s="387">
        <f t="shared" si="361"/>
        <v>0</v>
      </c>
      <c r="BL562" s="387">
        <f t="shared" si="384"/>
        <v>7458.8609367999998</v>
      </c>
      <c r="BM562" s="387">
        <f t="shared" si="385"/>
        <v>0</v>
      </c>
      <c r="BN562" s="387">
        <f t="shared" si="362"/>
        <v>8154.9999999999991</v>
      </c>
      <c r="BO562" s="387">
        <f t="shared" si="363"/>
        <v>0</v>
      </c>
      <c r="BP562" s="387">
        <f t="shared" si="364"/>
        <v>2138.5436799999998</v>
      </c>
      <c r="BQ562" s="387">
        <f t="shared" si="365"/>
        <v>500.14328</v>
      </c>
      <c r="BR562" s="387">
        <f t="shared" si="366"/>
        <v>4118.4212159999997</v>
      </c>
      <c r="BS562" s="387">
        <f t="shared" si="367"/>
        <v>248.69193440000001</v>
      </c>
      <c r="BT562" s="387">
        <f t="shared" si="368"/>
        <v>0</v>
      </c>
      <c r="BU562" s="387">
        <f t="shared" si="369"/>
        <v>190.91676240000001</v>
      </c>
      <c r="BV562" s="387">
        <f t="shared" si="370"/>
        <v>117.274976</v>
      </c>
      <c r="BW562" s="387">
        <f t="shared" si="371"/>
        <v>0</v>
      </c>
      <c r="BX562" s="387">
        <f t="shared" si="386"/>
        <v>7313.9918487999994</v>
      </c>
      <c r="BY562" s="387">
        <f t="shared" si="387"/>
        <v>0</v>
      </c>
      <c r="BZ562" s="387">
        <f t="shared" si="388"/>
        <v>0</v>
      </c>
      <c r="CA562" s="387">
        <f t="shared" si="389"/>
        <v>0</v>
      </c>
      <c r="CB562" s="387">
        <f t="shared" si="390"/>
        <v>0</v>
      </c>
      <c r="CC562" s="387">
        <f t="shared" si="372"/>
        <v>0</v>
      </c>
      <c r="CD562" s="387">
        <f t="shared" si="373"/>
        <v>0</v>
      </c>
      <c r="CE562" s="387">
        <f t="shared" si="374"/>
        <v>0</v>
      </c>
      <c r="CF562" s="387">
        <f t="shared" si="375"/>
        <v>-169.013936</v>
      </c>
      <c r="CG562" s="387">
        <f t="shared" si="376"/>
        <v>0</v>
      </c>
      <c r="CH562" s="387">
        <f t="shared" si="377"/>
        <v>24.144847999999989</v>
      </c>
      <c r="CI562" s="387">
        <f t="shared" si="378"/>
        <v>0</v>
      </c>
      <c r="CJ562" s="387">
        <f t="shared" si="391"/>
        <v>-144.869088</v>
      </c>
      <c r="CK562" s="387" t="str">
        <f t="shared" si="392"/>
        <v/>
      </c>
      <c r="CL562" s="387" t="str">
        <f t="shared" si="393"/>
        <v/>
      </c>
      <c r="CM562" s="387" t="str">
        <f t="shared" si="394"/>
        <v/>
      </c>
      <c r="CN562" s="387" t="str">
        <f t="shared" si="395"/>
        <v>0348-31</v>
      </c>
    </row>
    <row r="563" spans="1:92" ht="15.75" thickBot="1" x14ac:dyDescent="0.3">
      <c r="A563" s="376" t="s">
        <v>161</v>
      </c>
      <c r="B563" s="376" t="s">
        <v>162</v>
      </c>
      <c r="C563" s="376" t="s">
        <v>1780</v>
      </c>
      <c r="D563" s="376" t="s">
        <v>1124</v>
      </c>
      <c r="E563" s="376" t="s">
        <v>224</v>
      </c>
      <c r="F563" s="382" t="s">
        <v>225</v>
      </c>
      <c r="G563" s="376" t="s">
        <v>781</v>
      </c>
      <c r="H563" s="378"/>
      <c r="I563" s="378"/>
      <c r="J563" s="376" t="s">
        <v>239</v>
      </c>
      <c r="K563" s="376" t="s">
        <v>1125</v>
      </c>
      <c r="L563" s="376" t="s">
        <v>170</v>
      </c>
      <c r="M563" s="376" t="s">
        <v>171</v>
      </c>
      <c r="N563" s="376" t="s">
        <v>172</v>
      </c>
      <c r="O563" s="379">
        <v>1</v>
      </c>
      <c r="P563" s="385">
        <v>1</v>
      </c>
      <c r="Q563" s="385">
        <v>1</v>
      </c>
      <c r="R563" s="380">
        <v>80</v>
      </c>
      <c r="S563" s="385">
        <v>1</v>
      </c>
      <c r="T563" s="380">
        <v>46116.86</v>
      </c>
      <c r="U563" s="380">
        <v>0</v>
      </c>
      <c r="V563" s="380">
        <v>21049.439999999999</v>
      </c>
      <c r="W563" s="380">
        <v>48692.800000000003</v>
      </c>
      <c r="X563" s="380">
        <v>22179.78</v>
      </c>
      <c r="Y563" s="380">
        <v>48692.800000000003</v>
      </c>
      <c r="Z563" s="380">
        <v>21975.27</v>
      </c>
      <c r="AA563" s="376" t="s">
        <v>1781</v>
      </c>
      <c r="AB563" s="376" t="s">
        <v>1782</v>
      </c>
      <c r="AC563" s="376" t="s">
        <v>1783</v>
      </c>
      <c r="AD563" s="376" t="s">
        <v>1683</v>
      </c>
      <c r="AE563" s="376" t="s">
        <v>1125</v>
      </c>
      <c r="AF563" s="376" t="s">
        <v>177</v>
      </c>
      <c r="AG563" s="376" t="s">
        <v>178</v>
      </c>
      <c r="AH563" s="381">
        <v>23.41</v>
      </c>
      <c r="AI563" s="381">
        <v>10922.8</v>
      </c>
      <c r="AJ563" s="376" t="s">
        <v>179</v>
      </c>
      <c r="AK563" s="376" t="s">
        <v>180</v>
      </c>
      <c r="AL563" s="376" t="s">
        <v>181</v>
      </c>
      <c r="AM563" s="376" t="s">
        <v>182</v>
      </c>
      <c r="AN563" s="376" t="s">
        <v>68</v>
      </c>
      <c r="AO563" s="379">
        <v>80</v>
      </c>
      <c r="AP563" s="385">
        <v>1</v>
      </c>
      <c r="AQ563" s="385">
        <v>1</v>
      </c>
      <c r="AR563" s="383" t="s">
        <v>183</v>
      </c>
      <c r="AS563" s="387">
        <f t="shared" si="379"/>
        <v>1</v>
      </c>
      <c r="AT563">
        <f t="shared" si="380"/>
        <v>1</v>
      </c>
      <c r="AU563" s="387">
        <f>IF(AT563=0,"",IF(AND(AT563=1,M563="F",SUMIF(C2:C1334,C563,AS2:AS1334)&lt;=1),SUMIF(C2:C1334,C563,AS2:AS1334),IF(AND(AT563=1,M563="F",SUMIF(C2:C1334,C563,AS2:AS1334)&gt;1),1,"")))</f>
        <v>1</v>
      </c>
      <c r="AV563" s="387" t="str">
        <f>IF(AT563=0,"",IF(AND(AT563=3,M563="F",SUMIF(C2:C1334,C563,AS2:AS1334)&lt;=1),SUMIF(C2:C1334,C563,AS2:AS1334),IF(AND(AT563=3,M563="F",SUMIF(C2:C1334,C563,AS2:AS1334)&gt;1),1,"")))</f>
        <v/>
      </c>
      <c r="AW563" s="387">
        <f>SUMIF(C2:C1334,C563,O2:O1334)</f>
        <v>1</v>
      </c>
      <c r="AX563" s="387">
        <f>IF(AND(M563="F",AS563&lt;&gt;0),SUMIF(C2:C1334,C563,W2:W1334),0)</f>
        <v>48692.800000000003</v>
      </c>
      <c r="AY563" s="387">
        <f t="shared" si="381"/>
        <v>48692.800000000003</v>
      </c>
      <c r="AZ563" s="387" t="str">
        <f t="shared" si="382"/>
        <v/>
      </c>
      <c r="BA563" s="387">
        <f t="shared" si="383"/>
        <v>0</v>
      </c>
      <c r="BB563" s="387">
        <f t="shared" si="352"/>
        <v>11650</v>
      </c>
      <c r="BC563" s="387">
        <f t="shared" si="353"/>
        <v>0</v>
      </c>
      <c r="BD563" s="387">
        <f t="shared" si="354"/>
        <v>3018.9536000000003</v>
      </c>
      <c r="BE563" s="387">
        <f t="shared" si="355"/>
        <v>706.04560000000004</v>
      </c>
      <c r="BF563" s="387">
        <f t="shared" si="356"/>
        <v>5813.9203200000011</v>
      </c>
      <c r="BG563" s="387">
        <f t="shared" si="357"/>
        <v>351.07508800000005</v>
      </c>
      <c r="BH563" s="387">
        <f t="shared" si="358"/>
        <v>238.59472</v>
      </c>
      <c r="BI563" s="387">
        <f t="shared" si="359"/>
        <v>269.51464800000002</v>
      </c>
      <c r="BJ563" s="387">
        <f t="shared" si="360"/>
        <v>131.47056000000001</v>
      </c>
      <c r="BK563" s="387">
        <f t="shared" si="361"/>
        <v>0</v>
      </c>
      <c r="BL563" s="387">
        <f t="shared" si="384"/>
        <v>10529.574536</v>
      </c>
      <c r="BM563" s="387">
        <f t="shared" si="385"/>
        <v>0</v>
      </c>
      <c r="BN563" s="387">
        <f t="shared" si="362"/>
        <v>11650</v>
      </c>
      <c r="BO563" s="387">
        <f t="shared" si="363"/>
        <v>0</v>
      </c>
      <c r="BP563" s="387">
        <f t="shared" si="364"/>
        <v>3018.9536000000003</v>
      </c>
      <c r="BQ563" s="387">
        <f t="shared" si="365"/>
        <v>706.04560000000004</v>
      </c>
      <c r="BR563" s="387">
        <f t="shared" si="366"/>
        <v>5813.9203200000011</v>
      </c>
      <c r="BS563" s="387">
        <f t="shared" si="367"/>
        <v>351.07508800000005</v>
      </c>
      <c r="BT563" s="387">
        <f t="shared" si="368"/>
        <v>0</v>
      </c>
      <c r="BU563" s="387">
        <f t="shared" si="369"/>
        <v>269.51464800000002</v>
      </c>
      <c r="BV563" s="387">
        <f t="shared" si="370"/>
        <v>165.55552</v>
      </c>
      <c r="BW563" s="387">
        <f t="shared" si="371"/>
        <v>0</v>
      </c>
      <c r="BX563" s="387">
        <f t="shared" si="386"/>
        <v>10325.064776000001</v>
      </c>
      <c r="BY563" s="387">
        <f t="shared" si="387"/>
        <v>0</v>
      </c>
      <c r="BZ563" s="387">
        <f t="shared" si="388"/>
        <v>0</v>
      </c>
      <c r="CA563" s="387">
        <f t="shared" si="389"/>
        <v>0</v>
      </c>
      <c r="CB563" s="387">
        <f t="shared" si="390"/>
        <v>0</v>
      </c>
      <c r="CC563" s="387">
        <f t="shared" si="372"/>
        <v>0</v>
      </c>
      <c r="CD563" s="387">
        <f t="shared" si="373"/>
        <v>0</v>
      </c>
      <c r="CE563" s="387">
        <f t="shared" si="374"/>
        <v>0</v>
      </c>
      <c r="CF563" s="387">
        <f t="shared" si="375"/>
        <v>-238.59472</v>
      </c>
      <c r="CG563" s="387">
        <f t="shared" si="376"/>
        <v>0</v>
      </c>
      <c r="CH563" s="387">
        <f t="shared" si="377"/>
        <v>34.084959999999988</v>
      </c>
      <c r="CI563" s="387">
        <f t="shared" si="378"/>
        <v>0</v>
      </c>
      <c r="CJ563" s="387">
        <f t="shared" si="391"/>
        <v>-204.50976</v>
      </c>
      <c r="CK563" s="387" t="str">
        <f t="shared" si="392"/>
        <v/>
      </c>
      <c r="CL563" s="387" t="str">
        <f t="shared" si="393"/>
        <v/>
      </c>
      <c r="CM563" s="387" t="str">
        <f t="shared" si="394"/>
        <v/>
      </c>
      <c r="CN563" s="387" t="str">
        <f t="shared" si="395"/>
        <v>0348-31</v>
      </c>
    </row>
    <row r="564" spans="1:92" ht="15.75" thickBot="1" x14ac:dyDescent="0.3">
      <c r="A564" s="376" t="s">
        <v>161</v>
      </c>
      <c r="B564" s="376" t="s">
        <v>162</v>
      </c>
      <c r="C564" s="376" t="s">
        <v>1784</v>
      </c>
      <c r="D564" s="376" t="s">
        <v>1088</v>
      </c>
      <c r="E564" s="376" t="s">
        <v>224</v>
      </c>
      <c r="F564" s="382" t="s">
        <v>225</v>
      </c>
      <c r="G564" s="376" t="s">
        <v>781</v>
      </c>
      <c r="H564" s="378"/>
      <c r="I564" s="378"/>
      <c r="J564" s="376" t="s">
        <v>215</v>
      </c>
      <c r="K564" s="376" t="s">
        <v>1089</v>
      </c>
      <c r="L564" s="376" t="s">
        <v>181</v>
      </c>
      <c r="M564" s="376" t="s">
        <v>171</v>
      </c>
      <c r="N564" s="376" t="s">
        <v>172</v>
      </c>
      <c r="O564" s="379">
        <v>1</v>
      </c>
      <c r="P564" s="385">
        <v>0</v>
      </c>
      <c r="Q564" s="385">
        <v>0</v>
      </c>
      <c r="R564" s="380">
        <v>80</v>
      </c>
      <c r="S564" s="385">
        <v>0</v>
      </c>
      <c r="T564" s="380">
        <v>76754.47</v>
      </c>
      <c r="U564" s="380">
        <v>0</v>
      </c>
      <c r="V564" s="380">
        <v>27612.65</v>
      </c>
      <c r="W564" s="380">
        <v>0</v>
      </c>
      <c r="X564" s="380">
        <v>0</v>
      </c>
      <c r="Y564" s="380">
        <v>0</v>
      </c>
      <c r="Z564" s="380">
        <v>0</v>
      </c>
      <c r="AA564" s="376" t="s">
        <v>1785</v>
      </c>
      <c r="AB564" s="376" t="s">
        <v>1786</v>
      </c>
      <c r="AC564" s="376" t="s">
        <v>1707</v>
      </c>
      <c r="AD564" s="376" t="s">
        <v>170</v>
      </c>
      <c r="AE564" s="376" t="s">
        <v>1089</v>
      </c>
      <c r="AF564" s="376" t="s">
        <v>211</v>
      </c>
      <c r="AG564" s="376" t="s">
        <v>178</v>
      </c>
      <c r="AH564" s="381">
        <v>38.520000000000003</v>
      </c>
      <c r="AI564" s="381">
        <v>60085.1</v>
      </c>
      <c r="AJ564" s="376" t="s">
        <v>179</v>
      </c>
      <c r="AK564" s="376" t="s">
        <v>180</v>
      </c>
      <c r="AL564" s="376" t="s">
        <v>181</v>
      </c>
      <c r="AM564" s="376" t="s">
        <v>182</v>
      </c>
      <c r="AN564" s="376" t="s">
        <v>68</v>
      </c>
      <c r="AO564" s="379">
        <v>80</v>
      </c>
      <c r="AP564" s="385">
        <v>1</v>
      </c>
      <c r="AQ564" s="385">
        <v>0</v>
      </c>
      <c r="AR564" s="383" t="s">
        <v>183</v>
      </c>
      <c r="AS564" s="387">
        <f t="shared" si="379"/>
        <v>0</v>
      </c>
      <c r="AT564">
        <f t="shared" si="380"/>
        <v>0</v>
      </c>
      <c r="AU564" s="387" t="str">
        <f>IF(AT564=0,"",IF(AND(AT564=1,M564="F",SUMIF(C2:C1334,C564,AS2:AS1334)&lt;=1),SUMIF(C2:C1334,C564,AS2:AS1334),IF(AND(AT564=1,M564="F",SUMIF(C2:C1334,C564,AS2:AS1334)&gt;1),1,"")))</f>
        <v/>
      </c>
      <c r="AV564" s="387" t="str">
        <f>IF(AT564=0,"",IF(AND(AT564=3,M564="F",SUMIF(C2:C1334,C564,AS2:AS1334)&lt;=1),SUMIF(C2:C1334,C564,AS2:AS1334),IF(AND(AT564=3,M564="F",SUMIF(C2:C1334,C564,AS2:AS1334)&gt;1),1,"")))</f>
        <v/>
      </c>
      <c r="AW564" s="387">
        <f>SUMIF(C2:C1334,C564,O2:O1334)</f>
        <v>2</v>
      </c>
      <c r="AX564" s="387">
        <f>IF(AND(M564="F",AS564&lt;&gt;0),SUMIF(C2:C1334,C564,W2:W1334),0)</f>
        <v>0</v>
      </c>
      <c r="AY564" s="387" t="str">
        <f t="shared" si="381"/>
        <v/>
      </c>
      <c r="AZ564" s="387" t="str">
        <f t="shared" si="382"/>
        <v/>
      </c>
      <c r="BA564" s="387">
        <f t="shared" si="383"/>
        <v>0</v>
      </c>
      <c r="BB564" s="387">
        <f t="shared" si="352"/>
        <v>0</v>
      </c>
      <c r="BC564" s="387">
        <f t="shared" si="353"/>
        <v>0</v>
      </c>
      <c r="BD564" s="387">
        <f t="shared" si="354"/>
        <v>0</v>
      </c>
      <c r="BE564" s="387">
        <f t="shared" si="355"/>
        <v>0</v>
      </c>
      <c r="BF564" s="387">
        <f t="shared" si="356"/>
        <v>0</v>
      </c>
      <c r="BG564" s="387">
        <f t="shared" si="357"/>
        <v>0</v>
      </c>
      <c r="BH564" s="387">
        <f t="shared" si="358"/>
        <v>0</v>
      </c>
      <c r="BI564" s="387">
        <f t="shared" si="359"/>
        <v>0</v>
      </c>
      <c r="BJ564" s="387">
        <f t="shared" si="360"/>
        <v>0</v>
      </c>
      <c r="BK564" s="387">
        <f t="shared" si="361"/>
        <v>0</v>
      </c>
      <c r="BL564" s="387">
        <f t="shared" si="384"/>
        <v>0</v>
      </c>
      <c r="BM564" s="387">
        <f t="shared" si="385"/>
        <v>0</v>
      </c>
      <c r="BN564" s="387">
        <f t="shared" si="362"/>
        <v>0</v>
      </c>
      <c r="BO564" s="387">
        <f t="shared" si="363"/>
        <v>0</v>
      </c>
      <c r="BP564" s="387">
        <f t="shared" si="364"/>
        <v>0</v>
      </c>
      <c r="BQ564" s="387">
        <f t="shared" si="365"/>
        <v>0</v>
      </c>
      <c r="BR564" s="387">
        <f t="shared" si="366"/>
        <v>0</v>
      </c>
      <c r="BS564" s="387">
        <f t="shared" si="367"/>
        <v>0</v>
      </c>
      <c r="BT564" s="387">
        <f t="shared" si="368"/>
        <v>0</v>
      </c>
      <c r="BU564" s="387">
        <f t="shared" si="369"/>
        <v>0</v>
      </c>
      <c r="BV564" s="387">
        <f t="shared" si="370"/>
        <v>0</v>
      </c>
      <c r="BW564" s="387">
        <f t="shared" si="371"/>
        <v>0</v>
      </c>
      <c r="BX564" s="387">
        <f t="shared" si="386"/>
        <v>0</v>
      </c>
      <c r="BY564" s="387">
        <f t="shared" si="387"/>
        <v>0</v>
      </c>
      <c r="BZ564" s="387">
        <f t="shared" si="388"/>
        <v>0</v>
      </c>
      <c r="CA564" s="387">
        <f t="shared" si="389"/>
        <v>0</v>
      </c>
      <c r="CB564" s="387">
        <f t="shared" si="390"/>
        <v>0</v>
      </c>
      <c r="CC564" s="387">
        <f t="shared" si="372"/>
        <v>0</v>
      </c>
      <c r="CD564" s="387">
        <f t="shared" si="373"/>
        <v>0</v>
      </c>
      <c r="CE564" s="387">
        <f t="shared" si="374"/>
        <v>0</v>
      </c>
      <c r="CF564" s="387">
        <f t="shared" si="375"/>
        <v>0</v>
      </c>
      <c r="CG564" s="387">
        <f t="shared" si="376"/>
        <v>0</v>
      </c>
      <c r="CH564" s="387">
        <f t="shared" si="377"/>
        <v>0</v>
      </c>
      <c r="CI564" s="387">
        <f t="shared" si="378"/>
        <v>0</v>
      </c>
      <c r="CJ564" s="387">
        <f t="shared" si="391"/>
        <v>0</v>
      </c>
      <c r="CK564" s="387" t="str">
        <f t="shared" si="392"/>
        <v/>
      </c>
      <c r="CL564" s="387" t="str">
        <f t="shared" si="393"/>
        <v/>
      </c>
      <c r="CM564" s="387" t="str">
        <f t="shared" si="394"/>
        <v/>
      </c>
      <c r="CN564" s="387" t="str">
        <f t="shared" si="395"/>
        <v>0348-31</v>
      </c>
    </row>
    <row r="565" spans="1:92" ht="15.75" thickBot="1" x14ac:dyDescent="0.3">
      <c r="A565" s="376" t="s">
        <v>161</v>
      </c>
      <c r="B565" s="376" t="s">
        <v>162</v>
      </c>
      <c r="C565" s="376" t="s">
        <v>1787</v>
      </c>
      <c r="D565" s="376" t="s">
        <v>247</v>
      </c>
      <c r="E565" s="376" t="s">
        <v>224</v>
      </c>
      <c r="F565" s="382" t="s">
        <v>225</v>
      </c>
      <c r="G565" s="376" t="s">
        <v>781</v>
      </c>
      <c r="H565" s="378"/>
      <c r="I565" s="378"/>
      <c r="J565" s="376" t="s">
        <v>215</v>
      </c>
      <c r="K565" s="376" t="s">
        <v>248</v>
      </c>
      <c r="L565" s="376" t="s">
        <v>178</v>
      </c>
      <c r="M565" s="376" t="s">
        <v>171</v>
      </c>
      <c r="N565" s="376" t="s">
        <v>877</v>
      </c>
      <c r="O565" s="379">
        <v>1</v>
      </c>
      <c r="P565" s="385">
        <v>1</v>
      </c>
      <c r="Q565" s="385">
        <v>1</v>
      </c>
      <c r="R565" s="380">
        <v>80</v>
      </c>
      <c r="S565" s="385">
        <v>1</v>
      </c>
      <c r="T565" s="380">
        <v>24828</v>
      </c>
      <c r="U565" s="380">
        <v>495</v>
      </c>
      <c r="V565" s="380">
        <v>13878.16</v>
      </c>
      <c r="W565" s="380">
        <v>31720</v>
      </c>
      <c r="X565" s="380">
        <v>18509.419999999998</v>
      </c>
      <c r="Y565" s="380">
        <v>31720</v>
      </c>
      <c r="Z565" s="380">
        <v>18376.2</v>
      </c>
      <c r="AA565" s="376" t="s">
        <v>1788</v>
      </c>
      <c r="AB565" s="376" t="s">
        <v>1789</v>
      </c>
      <c r="AC565" s="376" t="s">
        <v>1790</v>
      </c>
      <c r="AD565" s="376" t="s">
        <v>653</v>
      </c>
      <c r="AE565" s="376" t="s">
        <v>248</v>
      </c>
      <c r="AF565" s="376" t="s">
        <v>253</v>
      </c>
      <c r="AG565" s="376" t="s">
        <v>178</v>
      </c>
      <c r="AH565" s="381">
        <v>15.25</v>
      </c>
      <c r="AI565" s="381">
        <v>40.5</v>
      </c>
      <c r="AJ565" s="376" t="s">
        <v>179</v>
      </c>
      <c r="AK565" s="376" t="s">
        <v>180</v>
      </c>
      <c r="AL565" s="376" t="s">
        <v>181</v>
      </c>
      <c r="AM565" s="376" t="s">
        <v>182</v>
      </c>
      <c r="AN565" s="376" t="s">
        <v>68</v>
      </c>
      <c r="AO565" s="379">
        <v>80</v>
      </c>
      <c r="AP565" s="385">
        <v>1</v>
      </c>
      <c r="AQ565" s="385">
        <v>1</v>
      </c>
      <c r="AR565" s="383" t="s">
        <v>183</v>
      </c>
      <c r="AS565" s="387">
        <f t="shared" si="379"/>
        <v>1</v>
      </c>
      <c r="AT565">
        <f t="shared" si="380"/>
        <v>1</v>
      </c>
      <c r="AU565" s="387">
        <f>IF(AT565=0,"",IF(AND(AT565=1,M565="F",SUMIF(C2:C1334,C565,AS2:AS1334)&lt;=1),SUMIF(C2:C1334,C565,AS2:AS1334),IF(AND(AT565=1,M565="F",SUMIF(C2:C1334,C565,AS2:AS1334)&gt;1),1,"")))</f>
        <v>1</v>
      </c>
      <c r="AV565" s="387" t="str">
        <f>IF(AT565=0,"",IF(AND(AT565=3,M565="F",SUMIF(C2:C1334,C565,AS2:AS1334)&lt;=1),SUMIF(C2:C1334,C565,AS2:AS1334),IF(AND(AT565=3,M565="F",SUMIF(C2:C1334,C565,AS2:AS1334)&gt;1),1,"")))</f>
        <v/>
      </c>
      <c r="AW565" s="387">
        <f>SUMIF(C2:C1334,C565,O2:O1334)</f>
        <v>1</v>
      </c>
      <c r="AX565" s="387">
        <f>IF(AND(M565="F",AS565&lt;&gt;0),SUMIF(C2:C1334,C565,W2:W1334),0)</f>
        <v>31720</v>
      </c>
      <c r="AY565" s="387">
        <f t="shared" si="381"/>
        <v>31720</v>
      </c>
      <c r="AZ565" s="387" t="str">
        <f t="shared" si="382"/>
        <v/>
      </c>
      <c r="BA565" s="387">
        <f t="shared" si="383"/>
        <v>0</v>
      </c>
      <c r="BB565" s="387">
        <f t="shared" si="352"/>
        <v>11650</v>
      </c>
      <c r="BC565" s="387">
        <f t="shared" si="353"/>
        <v>0</v>
      </c>
      <c r="BD565" s="387">
        <f t="shared" si="354"/>
        <v>1966.6399999999999</v>
      </c>
      <c r="BE565" s="387">
        <f t="shared" si="355"/>
        <v>459.94</v>
      </c>
      <c r="BF565" s="387">
        <f t="shared" si="356"/>
        <v>3787.3680000000004</v>
      </c>
      <c r="BG565" s="387">
        <f t="shared" si="357"/>
        <v>228.7012</v>
      </c>
      <c r="BH565" s="387">
        <f t="shared" si="358"/>
        <v>155.428</v>
      </c>
      <c r="BI565" s="387">
        <f t="shared" si="359"/>
        <v>175.5702</v>
      </c>
      <c r="BJ565" s="387">
        <f t="shared" si="360"/>
        <v>85.644000000000005</v>
      </c>
      <c r="BK565" s="387">
        <f t="shared" si="361"/>
        <v>0</v>
      </c>
      <c r="BL565" s="387">
        <f t="shared" si="384"/>
        <v>6859.291400000001</v>
      </c>
      <c r="BM565" s="387">
        <f t="shared" si="385"/>
        <v>0</v>
      </c>
      <c r="BN565" s="387">
        <f t="shared" si="362"/>
        <v>11650</v>
      </c>
      <c r="BO565" s="387">
        <f t="shared" si="363"/>
        <v>0</v>
      </c>
      <c r="BP565" s="387">
        <f t="shared" si="364"/>
        <v>1966.6399999999999</v>
      </c>
      <c r="BQ565" s="387">
        <f t="shared" si="365"/>
        <v>459.94</v>
      </c>
      <c r="BR565" s="387">
        <f t="shared" si="366"/>
        <v>3787.3680000000004</v>
      </c>
      <c r="BS565" s="387">
        <f t="shared" si="367"/>
        <v>228.7012</v>
      </c>
      <c r="BT565" s="387">
        <f t="shared" si="368"/>
        <v>0</v>
      </c>
      <c r="BU565" s="387">
        <f t="shared" si="369"/>
        <v>175.5702</v>
      </c>
      <c r="BV565" s="387">
        <f t="shared" si="370"/>
        <v>107.848</v>
      </c>
      <c r="BW565" s="387">
        <f t="shared" si="371"/>
        <v>0</v>
      </c>
      <c r="BX565" s="387">
        <f t="shared" si="386"/>
        <v>6726.0674000000008</v>
      </c>
      <c r="BY565" s="387">
        <f t="shared" si="387"/>
        <v>0</v>
      </c>
      <c r="BZ565" s="387">
        <f t="shared" si="388"/>
        <v>0</v>
      </c>
      <c r="CA565" s="387">
        <f t="shared" si="389"/>
        <v>0</v>
      </c>
      <c r="CB565" s="387">
        <f t="shared" si="390"/>
        <v>0</v>
      </c>
      <c r="CC565" s="387">
        <f t="shared" si="372"/>
        <v>0</v>
      </c>
      <c r="CD565" s="387">
        <f t="shared" si="373"/>
        <v>0</v>
      </c>
      <c r="CE565" s="387">
        <f t="shared" si="374"/>
        <v>0</v>
      </c>
      <c r="CF565" s="387">
        <f t="shared" si="375"/>
        <v>-155.428</v>
      </c>
      <c r="CG565" s="387">
        <f t="shared" si="376"/>
        <v>0</v>
      </c>
      <c r="CH565" s="387">
        <f t="shared" si="377"/>
        <v>22.20399999999999</v>
      </c>
      <c r="CI565" s="387">
        <f t="shared" si="378"/>
        <v>0</v>
      </c>
      <c r="CJ565" s="387">
        <f t="shared" si="391"/>
        <v>-133.22400000000002</v>
      </c>
      <c r="CK565" s="387" t="str">
        <f t="shared" si="392"/>
        <v/>
      </c>
      <c r="CL565" s="387" t="str">
        <f t="shared" si="393"/>
        <v/>
      </c>
      <c r="CM565" s="387" t="str">
        <f t="shared" si="394"/>
        <v/>
      </c>
      <c r="CN565" s="387" t="str">
        <f t="shared" si="395"/>
        <v>0348-31</v>
      </c>
    </row>
    <row r="566" spans="1:92" ht="15.75" thickBot="1" x14ac:dyDescent="0.3">
      <c r="A566" s="376" t="s">
        <v>161</v>
      </c>
      <c r="B566" s="376" t="s">
        <v>162</v>
      </c>
      <c r="C566" s="376" t="s">
        <v>573</v>
      </c>
      <c r="D566" s="376" t="s">
        <v>574</v>
      </c>
      <c r="E566" s="376" t="s">
        <v>224</v>
      </c>
      <c r="F566" s="382" t="s">
        <v>225</v>
      </c>
      <c r="G566" s="376" t="s">
        <v>781</v>
      </c>
      <c r="H566" s="378"/>
      <c r="I566" s="378"/>
      <c r="J566" s="376" t="s">
        <v>215</v>
      </c>
      <c r="K566" s="376" t="s">
        <v>575</v>
      </c>
      <c r="L566" s="376" t="s">
        <v>351</v>
      </c>
      <c r="M566" s="376" t="s">
        <v>171</v>
      </c>
      <c r="N566" s="376" t="s">
        <v>172</v>
      </c>
      <c r="O566" s="379">
        <v>1</v>
      </c>
      <c r="P566" s="385">
        <v>0</v>
      </c>
      <c r="Q566" s="385">
        <v>0</v>
      </c>
      <c r="R566" s="380">
        <v>80</v>
      </c>
      <c r="S566" s="385">
        <v>0</v>
      </c>
      <c r="T566" s="380">
        <v>117035.46</v>
      </c>
      <c r="U566" s="380">
        <v>0</v>
      </c>
      <c r="V566" s="380">
        <v>35933.08</v>
      </c>
      <c r="W566" s="380">
        <v>0</v>
      </c>
      <c r="X566" s="380">
        <v>0</v>
      </c>
      <c r="Y566" s="380">
        <v>0</v>
      </c>
      <c r="Z566" s="380">
        <v>0</v>
      </c>
      <c r="AA566" s="376" t="s">
        <v>576</v>
      </c>
      <c r="AB566" s="376" t="s">
        <v>577</v>
      </c>
      <c r="AC566" s="376" t="s">
        <v>578</v>
      </c>
      <c r="AD566" s="376" t="s">
        <v>324</v>
      </c>
      <c r="AE566" s="376" t="s">
        <v>575</v>
      </c>
      <c r="AF566" s="376" t="s">
        <v>355</v>
      </c>
      <c r="AG566" s="376" t="s">
        <v>178</v>
      </c>
      <c r="AH566" s="381">
        <v>59.11</v>
      </c>
      <c r="AI566" s="381">
        <v>60583.6</v>
      </c>
      <c r="AJ566" s="376" t="s">
        <v>179</v>
      </c>
      <c r="AK566" s="376" t="s">
        <v>180</v>
      </c>
      <c r="AL566" s="376" t="s">
        <v>181</v>
      </c>
      <c r="AM566" s="376" t="s">
        <v>182</v>
      </c>
      <c r="AN566" s="376" t="s">
        <v>68</v>
      </c>
      <c r="AO566" s="379">
        <v>80</v>
      </c>
      <c r="AP566" s="385">
        <v>1</v>
      </c>
      <c r="AQ566" s="385">
        <v>0</v>
      </c>
      <c r="AR566" s="383" t="s">
        <v>183</v>
      </c>
      <c r="AS566" s="387">
        <f t="shared" si="379"/>
        <v>0</v>
      </c>
      <c r="AT566">
        <f t="shared" si="380"/>
        <v>0</v>
      </c>
      <c r="AU566" s="387" t="str">
        <f>IF(AT566=0,"",IF(AND(AT566=1,M566="F",SUMIF(C2:C1334,C566,AS2:AS1334)&lt;=1),SUMIF(C2:C1334,C566,AS2:AS1334),IF(AND(AT566=1,M566="F",SUMIF(C2:C1334,C566,AS2:AS1334)&gt;1),1,"")))</f>
        <v/>
      </c>
      <c r="AV566" s="387" t="str">
        <f>IF(AT566=0,"",IF(AND(AT566=3,M566="F",SUMIF(C2:C1334,C566,AS2:AS1334)&lt;=1),SUMIF(C2:C1334,C566,AS2:AS1334),IF(AND(AT566=3,M566="F",SUMIF(C2:C1334,C566,AS2:AS1334)&gt;1),1,"")))</f>
        <v/>
      </c>
      <c r="AW566" s="387">
        <f>SUMIF(C2:C1334,C566,O2:O1334)</f>
        <v>3</v>
      </c>
      <c r="AX566" s="387">
        <f>IF(AND(M566="F",AS566&lt;&gt;0),SUMIF(C2:C1334,C566,W2:W1334),0)</f>
        <v>0</v>
      </c>
      <c r="AY566" s="387" t="str">
        <f t="shared" si="381"/>
        <v/>
      </c>
      <c r="AZ566" s="387" t="str">
        <f t="shared" si="382"/>
        <v/>
      </c>
      <c r="BA566" s="387">
        <f t="shared" si="383"/>
        <v>0</v>
      </c>
      <c r="BB566" s="387">
        <f t="shared" si="352"/>
        <v>0</v>
      </c>
      <c r="BC566" s="387">
        <f t="shared" si="353"/>
        <v>0</v>
      </c>
      <c r="BD566" s="387">
        <f t="shared" si="354"/>
        <v>0</v>
      </c>
      <c r="BE566" s="387">
        <f t="shared" si="355"/>
        <v>0</v>
      </c>
      <c r="BF566" s="387">
        <f t="shared" si="356"/>
        <v>0</v>
      </c>
      <c r="BG566" s="387">
        <f t="shared" si="357"/>
        <v>0</v>
      </c>
      <c r="BH566" s="387">
        <f t="shared" si="358"/>
        <v>0</v>
      </c>
      <c r="BI566" s="387">
        <f t="shared" si="359"/>
        <v>0</v>
      </c>
      <c r="BJ566" s="387">
        <f t="shared" si="360"/>
        <v>0</v>
      </c>
      <c r="BK566" s="387">
        <f t="shared" si="361"/>
        <v>0</v>
      </c>
      <c r="BL566" s="387">
        <f t="shared" si="384"/>
        <v>0</v>
      </c>
      <c r="BM566" s="387">
        <f t="shared" si="385"/>
        <v>0</v>
      </c>
      <c r="BN566" s="387">
        <f t="shared" si="362"/>
        <v>0</v>
      </c>
      <c r="BO566" s="387">
        <f t="shared" si="363"/>
        <v>0</v>
      </c>
      <c r="BP566" s="387">
        <f t="shared" si="364"/>
        <v>0</v>
      </c>
      <c r="BQ566" s="387">
        <f t="shared" si="365"/>
        <v>0</v>
      </c>
      <c r="BR566" s="387">
        <f t="shared" si="366"/>
        <v>0</v>
      </c>
      <c r="BS566" s="387">
        <f t="shared" si="367"/>
        <v>0</v>
      </c>
      <c r="BT566" s="387">
        <f t="shared" si="368"/>
        <v>0</v>
      </c>
      <c r="BU566" s="387">
        <f t="shared" si="369"/>
        <v>0</v>
      </c>
      <c r="BV566" s="387">
        <f t="shared" si="370"/>
        <v>0</v>
      </c>
      <c r="BW566" s="387">
        <f t="shared" si="371"/>
        <v>0</v>
      </c>
      <c r="BX566" s="387">
        <f t="shared" si="386"/>
        <v>0</v>
      </c>
      <c r="BY566" s="387">
        <f t="shared" si="387"/>
        <v>0</v>
      </c>
      <c r="BZ566" s="387">
        <f t="shared" si="388"/>
        <v>0</v>
      </c>
      <c r="CA566" s="387">
        <f t="shared" si="389"/>
        <v>0</v>
      </c>
      <c r="CB566" s="387">
        <f t="shared" si="390"/>
        <v>0</v>
      </c>
      <c r="CC566" s="387">
        <f t="shared" si="372"/>
        <v>0</v>
      </c>
      <c r="CD566" s="387">
        <f t="shared" si="373"/>
        <v>0</v>
      </c>
      <c r="CE566" s="387">
        <f t="shared" si="374"/>
        <v>0</v>
      </c>
      <c r="CF566" s="387">
        <f t="shared" si="375"/>
        <v>0</v>
      </c>
      <c r="CG566" s="387">
        <f t="shared" si="376"/>
        <v>0</v>
      </c>
      <c r="CH566" s="387">
        <f t="shared" si="377"/>
        <v>0</v>
      </c>
      <c r="CI566" s="387">
        <f t="shared" si="378"/>
        <v>0</v>
      </c>
      <c r="CJ566" s="387">
        <f t="shared" si="391"/>
        <v>0</v>
      </c>
      <c r="CK566" s="387" t="str">
        <f t="shared" si="392"/>
        <v/>
      </c>
      <c r="CL566" s="387" t="str">
        <f t="shared" si="393"/>
        <v/>
      </c>
      <c r="CM566" s="387" t="str">
        <f t="shared" si="394"/>
        <v/>
      </c>
      <c r="CN566" s="387" t="str">
        <f t="shared" si="395"/>
        <v>0348-31</v>
      </c>
    </row>
    <row r="567" spans="1:92" ht="15.75" thickBot="1" x14ac:dyDescent="0.3">
      <c r="A567" s="376" t="s">
        <v>161</v>
      </c>
      <c r="B567" s="376" t="s">
        <v>162</v>
      </c>
      <c r="C567" s="376" t="s">
        <v>490</v>
      </c>
      <c r="D567" s="376" t="s">
        <v>491</v>
      </c>
      <c r="E567" s="376" t="s">
        <v>224</v>
      </c>
      <c r="F567" s="382" t="s">
        <v>225</v>
      </c>
      <c r="G567" s="376" t="s">
        <v>781</v>
      </c>
      <c r="H567" s="378"/>
      <c r="I567" s="378"/>
      <c r="J567" s="376" t="s">
        <v>215</v>
      </c>
      <c r="K567" s="376" t="s">
        <v>492</v>
      </c>
      <c r="L567" s="376" t="s">
        <v>296</v>
      </c>
      <c r="M567" s="376" t="s">
        <v>171</v>
      </c>
      <c r="N567" s="376" t="s">
        <v>172</v>
      </c>
      <c r="O567" s="379">
        <v>1</v>
      </c>
      <c r="P567" s="385">
        <v>0</v>
      </c>
      <c r="Q567" s="385">
        <v>0</v>
      </c>
      <c r="R567" s="380">
        <v>80</v>
      </c>
      <c r="S567" s="385">
        <v>0</v>
      </c>
      <c r="T567" s="380">
        <v>52531.21</v>
      </c>
      <c r="U567" s="380">
        <v>0</v>
      </c>
      <c r="V567" s="380">
        <v>24596.17</v>
      </c>
      <c r="W567" s="380">
        <v>0</v>
      </c>
      <c r="X567" s="380">
        <v>0</v>
      </c>
      <c r="Y567" s="380">
        <v>0</v>
      </c>
      <c r="Z567" s="380">
        <v>0</v>
      </c>
      <c r="AA567" s="376" t="s">
        <v>493</v>
      </c>
      <c r="AB567" s="376" t="s">
        <v>494</v>
      </c>
      <c r="AC567" s="376" t="s">
        <v>495</v>
      </c>
      <c r="AD567" s="376" t="s">
        <v>198</v>
      </c>
      <c r="AE567" s="376" t="s">
        <v>492</v>
      </c>
      <c r="AF567" s="376" t="s">
        <v>301</v>
      </c>
      <c r="AG567" s="376" t="s">
        <v>178</v>
      </c>
      <c r="AH567" s="381">
        <v>26.37</v>
      </c>
      <c r="AI567" s="381">
        <v>29028.1</v>
      </c>
      <c r="AJ567" s="376" t="s">
        <v>179</v>
      </c>
      <c r="AK567" s="376" t="s">
        <v>180</v>
      </c>
      <c r="AL567" s="376" t="s">
        <v>181</v>
      </c>
      <c r="AM567" s="376" t="s">
        <v>182</v>
      </c>
      <c r="AN567" s="376" t="s">
        <v>68</v>
      </c>
      <c r="AO567" s="379">
        <v>80</v>
      </c>
      <c r="AP567" s="385">
        <v>1</v>
      </c>
      <c r="AQ567" s="385">
        <v>0</v>
      </c>
      <c r="AR567" s="383" t="s">
        <v>183</v>
      </c>
      <c r="AS567" s="387">
        <f t="shared" si="379"/>
        <v>0</v>
      </c>
      <c r="AT567">
        <f t="shared" si="380"/>
        <v>0</v>
      </c>
      <c r="AU567" s="387" t="str">
        <f>IF(AT567=0,"",IF(AND(AT567=1,M567="F",SUMIF(C2:C1334,C567,AS2:AS1334)&lt;=1),SUMIF(C2:C1334,C567,AS2:AS1334),IF(AND(AT567=1,M567="F",SUMIF(C2:C1334,C567,AS2:AS1334)&gt;1),1,"")))</f>
        <v/>
      </c>
      <c r="AV567" s="387" t="str">
        <f>IF(AT567=0,"",IF(AND(AT567=3,M567="F",SUMIF(C2:C1334,C567,AS2:AS1334)&lt;=1),SUMIF(C2:C1334,C567,AS2:AS1334),IF(AND(AT567=3,M567="F",SUMIF(C2:C1334,C567,AS2:AS1334)&gt;1),1,"")))</f>
        <v/>
      </c>
      <c r="AW567" s="387">
        <f>SUMIF(C2:C1334,C567,O2:O1334)</f>
        <v>2</v>
      </c>
      <c r="AX567" s="387">
        <f>IF(AND(M567="F",AS567&lt;&gt;0),SUMIF(C2:C1334,C567,W2:W1334),0)</f>
        <v>0</v>
      </c>
      <c r="AY567" s="387" t="str">
        <f t="shared" si="381"/>
        <v/>
      </c>
      <c r="AZ567" s="387" t="str">
        <f t="shared" si="382"/>
        <v/>
      </c>
      <c r="BA567" s="387">
        <f t="shared" si="383"/>
        <v>0</v>
      </c>
      <c r="BB567" s="387">
        <f t="shared" si="352"/>
        <v>0</v>
      </c>
      <c r="BC567" s="387">
        <f t="shared" si="353"/>
        <v>0</v>
      </c>
      <c r="BD567" s="387">
        <f t="shared" si="354"/>
        <v>0</v>
      </c>
      <c r="BE567" s="387">
        <f t="shared" si="355"/>
        <v>0</v>
      </c>
      <c r="BF567" s="387">
        <f t="shared" si="356"/>
        <v>0</v>
      </c>
      <c r="BG567" s="387">
        <f t="shared" si="357"/>
        <v>0</v>
      </c>
      <c r="BH567" s="387">
        <f t="shared" si="358"/>
        <v>0</v>
      </c>
      <c r="BI567" s="387">
        <f t="shared" si="359"/>
        <v>0</v>
      </c>
      <c r="BJ567" s="387">
        <f t="shared" si="360"/>
        <v>0</v>
      </c>
      <c r="BK567" s="387">
        <f t="shared" si="361"/>
        <v>0</v>
      </c>
      <c r="BL567" s="387">
        <f t="shared" si="384"/>
        <v>0</v>
      </c>
      <c r="BM567" s="387">
        <f t="shared" si="385"/>
        <v>0</v>
      </c>
      <c r="BN567" s="387">
        <f t="shared" si="362"/>
        <v>0</v>
      </c>
      <c r="BO567" s="387">
        <f t="shared" si="363"/>
        <v>0</v>
      </c>
      <c r="BP567" s="387">
        <f t="shared" si="364"/>
        <v>0</v>
      </c>
      <c r="BQ567" s="387">
        <f t="shared" si="365"/>
        <v>0</v>
      </c>
      <c r="BR567" s="387">
        <f t="shared" si="366"/>
        <v>0</v>
      </c>
      <c r="BS567" s="387">
        <f t="shared" si="367"/>
        <v>0</v>
      </c>
      <c r="BT567" s="387">
        <f t="shared" si="368"/>
        <v>0</v>
      </c>
      <c r="BU567" s="387">
        <f t="shared" si="369"/>
        <v>0</v>
      </c>
      <c r="BV567" s="387">
        <f t="shared" si="370"/>
        <v>0</v>
      </c>
      <c r="BW567" s="387">
        <f t="shared" si="371"/>
        <v>0</v>
      </c>
      <c r="BX567" s="387">
        <f t="shared" si="386"/>
        <v>0</v>
      </c>
      <c r="BY567" s="387">
        <f t="shared" si="387"/>
        <v>0</v>
      </c>
      <c r="BZ567" s="387">
        <f t="shared" si="388"/>
        <v>0</v>
      </c>
      <c r="CA567" s="387">
        <f t="shared" si="389"/>
        <v>0</v>
      </c>
      <c r="CB567" s="387">
        <f t="shared" si="390"/>
        <v>0</v>
      </c>
      <c r="CC567" s="387">
        <f t="shared" si="372"/>
        <v>0</v>
      </c>
      <c r="CD567" s="387">
        <f t="shared" si="373"/>
        <v>0</v>
      </c>
      <c r="CE567" s="387">
        <f t="shared" si="374"/>
        <v>0</v>
      </c>
      <c r="CF567" s="387">
        <f t="shared" si="375"/>
        <v>0</v>
      </c>
      <c r="CG567" s="387">
        <f t="shared" si="376"/>
        <v>0</v>
      </c>
      <c r="CH567" s="387">
        <f t="shared" si="377"/>
        <v>0</v>
      </c>
      <c r="CI567" s="387">
        <f t="shared" si="378"/>
        <v>0</v>
      </c>
      <c r="CJ567" s="387">
        <f t="shared" si="391"/>
        <v>0</v>
      </c>
      <c r="CK567" s="387" t="str">
        <f t="shared" si="392"/>
        <v/>
      </c>
      <c r="CL567" s="387" t="str">
        <f t="shared" si="393"/>
        <v/>
      </c>
      <c r="CM567" s="387" t="str">
        <f t="shared" si="394"/>
        <v/>
      </c>
      <c r="CN567" s="387" t="str">
        <f t="shared" si="395"/>
        <v>0348-31</v>
      </c>
    </row>
    <row r="568" spans="1:92" ht="15.75" thickBot="1" x14ac:dyDescent="0.3">
      <c r="A568" s="376" t="s">
        <v>161</v>
      </c>
      <c r="B568" s="376" t="s">
        <v>162</v>
      </c>
      <c r="C568" s="376" t="s">
        <v>1791</v>
      </c>
      <c r="D568" s="376" t="s">
        <v>868</v>
      </c>
      <c r="E568" s="376" t="s">
        <v>224</v>
      </c>
      <c r="F568" s="382" t="s">
        <v>225</v>
      </c>
      <c r="G568" s="376" t="s">
        <v>781</v>
      </c>
      <c r="H568" s="378"/>
      <c r="I568" s="378"/>
      <c r="J568" s="376" t="s">
        <v>215</v>
      </c>
      <c r="K568" s="376" t="s">
        <v>869</v>
      </c>
      <c r="L568" s="376" t="s">
        <v>296</v>
      </c>
      <c r="M568" s="376" t="s">
        <v>272</v>
      </c>
      <c r="N568" s="376" t="s">
        <v>172</v>
      </c>
      <c r="O568" s="379">
        <v>0</v>
      </c>
      <c r="P568" s="385">
        <v>0</v>
      </c>
      <c r="Q568" s="385">
        <v>0</v>
      </c>
      <c r="R568" s="380">
        <v>80</v>
      </c>
      <c r="S568" s="385">
        <v>0</v>
      </c>
      <c r="T568" s="380">
        <v>39801.599999999999</v>
      </c>
      <c r="U568" s="380">
        <v>0</v>
      </c>
      <c r="V568" s="380">
        <v>16559.349999999999</v>
      </c>
      <c r="W568" s="380">
        <v>0</v>
      </c>
      <c r="X568" s="380">
        <v>0</v>
      </c>
      <c r="Y568" s="380">
        <v>0</v>
      </c>
      <c r="Z568" s="380">
        <v>0</v>
      </c>
      <c r="AA568" s="378"/>
      <c r="AB568" s="376" t="s">
        <v>45</v>
      </c>
      <c r="AC568" s="376" t="s">
        <v>45</v>
      </c>
      <c r="AD568" s="378"/>
      <c r="AE568" s="378"/>
      <c r="AF568" s="378"/>
      <c r="AG568" s="378"/>
      <c r="AH568" s="379">
        <v>0</v>
      </c>
      <c r="AI568" s="379">
        <v>0</v>
      </c>
      <c r="AJ568" s="378"/>
      <c r="AK568" s="378"/>
      <c r="AL568" s="376" t="s">
        <v>181</v>
      </c>
      <c r="AM568" s="378"/>
      <c r="AN568" s="378"/>
      <c r="AO568" s="379">
        <v>0</v>
      </c>
      <c r="AP568" s="385">
        <v>0</v>
      </c>
      <c r="AQ568" s="385">
        <v>0</v>
      </c>
      <c r="AR568" s="384"/>
      <c r="AS568" s="387">
        <f t="shared" si="379"/>
        <v>0</v>
      </c>
      <c r="AT568">
        <f t="shared" si="380"/>
        <v>0</v>
      </c>
      <c r="AU568" s="387" t="str">
        <f>IF(AT568=0,"",IF(AND(AT568=1,M568="F",SUMIF(C2:C1334,C568,AS2:AS1334)&lt;=1),SUMIF(C2:C1334,C568,AS2:AS1334),IF(AND(AT568=1,M568="F",SUMIF(C2:C1334,C568,AS2:AS1334)&gt;1),1,"")))</f>
        <v/>
      </c>
      <c r="AV568" s="387" t="str">
        <f>IF(AT568=0,"",IF(AND(AT568=3,M568="F",SUMIF(C2:C1334,C568,AS2:AS1334)&lt;=1),SUMIF(C2:C1334,C568,AS2:AS1334),IF(AND(AT568=3,M568="F",SUMIF(C2:C1334,C568,AS2:AS1334)&gt;1),1,"")))</f>
        <v/>
      </c>
      <c r="AW568" s="387">
        <f>SUMIF(C2:C1334,C568,O2:O1334)</f>
        <v>0</v>
      </c>
      <c r="AX568" s="387">
        <f>IF(AND(M568="F",AS568&lt;&gt;0),SUMIF(C2:C1334,C568,W2:W1334),0)</f>
        <v>0</v>
      </c>
      <c r="AY568" s="387" t="str">
        <f t="shared" si="381"/>
        <v/>
      </c>
      <c r="AZ568" s="387" t="str">
        <f t="shared" si="382"/>
        <v/>
      </c>
      <c r="BA568" s="387">
        <f t="shared" si="383"/>
        <v>0</v>
      </c>
      <c r="BB568" s="387">
        <f t="shared" si="352"/>
        <v>0</v>
      </c>
      <c r="BC568" s="387">
        <f t="shared" si="353"/>
        <v>0</v>
      </c>
      <c r="BD568" s="387">
        <f t="shared" si="354"/>
        <v>0</v>
      </c>
      <c r="BE568" s="387">
        <f t="shared" si="355"/>
        <v>0</v>
      </c>
      <c r="BF568" s="387">
        <f t="shared" si="356"/>
        <v>0</v>
      </c>
      <c r="BG568" s="387">
        <f t="shared" si="357"/>
        <v>0</v>
      </c>
      <c r="BH568" s="387">
        <f t="shared" si="358"/>
        <v>0</v>
      </c>
      <c r="BI568" s="387">
        <f t="shared" si="359"/>
        <v>0</v>
      </c>
      <c r="BJ568" s="387">
        <f t="shared" si="360"/>
        <v>0</v>
      </c>
      <c r="BK568" s="387">
        <f t="shared" si="361"/>
        <v>0</v>
      </c>
      <c r="BL568" s="387">
        <f t="shared" si="384"/>
        <v>0</v>
      </c>
      <c r="BM568" s="387">
        <f t="shared" si="385"/>
        <v>0</v>
      </c>
      <c r="BN568" s="387">
        <f t="shared" si="362"/>
        <v>0</v>
      </c>
      <c r="BO568" s="387">
        <f t="shared" si="363"/>
        <v>0</v>
      </c>
      <c r="BP568" s="387">
        <f t="shared" si="364"/>
        <v>0</v>
      </c>
      <c r="BQ568" s="387">
        <f t="shared" si="365"/>
        <v>0</v>
      </c>
      <c r="BR568" s="387">
        <f t="shared" si="366"/>
        <v>0</v>
      </c>
      <c r="BS568" s="387">
        <f t="shared" si="367"/>
        <v>0</v>
      </c>
      <c r="BT568" s="387">
        <f t="shared" si="368"/>
        <v>0</v>
      </c>
      <c r="BU568" s="387">
        <f t="shared" si="369"/>
        <v>0</v>
      </c>
      <c r="BV568" s="387">
        <f t="shared" si="370"/>
        <v>0</v>
      </c>
      <c r="BW568" s="387">
        <f t="shared" si="371"/>
        <v>0</v>
      </c>
      <c r="BX568" s="387">
        <f t="shared" si="386"/>
        <v>0</v>
      </c>
      <c r="BY568" s="387">
        <f t="shared" si="387"/>
        <v>0</v>
      </c>
      <c r="BZ568" s="387">
        <f t="shared" si="388"/>
        <v>0</v>
      </c>
      <c r="CA568" s="387">
        <f t="shared" si="389"/>
        <v>0</v>
      </c>
      <c r="CB568" s="387">
        <f t="shared" si="390"/>
        <v>0</v>
      </c>
      <c r="CC568" s="387">
        <f t="shared" si="372"/>
        <v>0</v>
      </c>
      <c r="CD568" s="387">
        <f t="shared" si="373"/>
        <v>0</v>
      </c>
      <c r="CE568" s="387">
        <f t="shared" si="374"/>
        <v>0</v>
      </c>
      <c r="CF568" s="387">
        <f t="shared" si="375"/>
        <v>0</v>
      </c>
      <c r="CG568" s="387">
        <f t="shared" si="376"/>
        <v>0</v>
      </c>
      <c r="CH568" s="387">
        <f t="shared" si="377"/>
        <v>0</v>
      </c>
      <c r="CI568" s="387">
        <f t="shared" si="378"/>
        <v>0</v>
      </c>
      <c r="CJ568" s="387">
        <f t="shared" si="391"/>
        <v>0</v>
      </c>
      <c r="CK568" s="387" t="str">
        <f t="shared" si="392"/>
        <v/>
      </c>
      <c r="CL568" s="387" t="str">
        <f t="shared" si="393"/>
        <v/>
      </c>
      <c r="CM568" s="387" t="str">
        <f t="shared" si="394"/>
        <v/>
      </c>
      <c r="CN568" s="387" t="str">
        <f t="shared" si="395"/>
        <v>0348-31</v>
      </c>
    </row>
    <row r="569" spans="1:92" ht="15.75" thickBot="1" x14ac:dyDescent="0.3">
      <c r="A569" s="376" t="s">
        <v>161</v>
      </c>
      <c r="B569" s="376" t="s">
        <v>162</v>
      </c>
      <c r="C569" s="376" t="s">
        <v>1792</v>
      </c>
      <c r="D569" s="376" t="s">
        <v>862</v>
      </c>
      <c r="E569" s="376" t="s">
        <v>224</v>
      </c>
      <c r="F569" s="382" t="s">
        <v>225</v>
      </c>
      <c r="G569" s="376" t="s">
        <v>781</v>
      </c>
      <c r="H569" s="378"/>
      <c r="I569" s="378"/>
      <c r="J569" s="376" t="s">
        <v>215</v>
      </c>
      <c r="K569" s="376" t="s">
        <v>863</v>
      </c>
      <c r="L569" s="376" t="s">
        <v>252</v>
      </c>
      <c r="M569" s="376" t="s">
        <v>171</v>
      </c>
      <c r="N569" s="376" t="s">
        <v>172</v>
      </c>
      <c r="O569" s="379">
        <v>1</v>
      </c>
      <c r="P569" s="385">
        <v>1</v>
      </c>
      <c r="Q569" s="385">
        <v>1</v>
      </c>
      <c r="R569" s="380">
        <v>80</v>
      </c>
      <c r="S569" s="385">
        <v>1</v>
      </c>
      <c r="T569" s="380">
        <v>38294.42</v>
      </c>
      <c r="U569" s="380">
        <v>0</v>
      </c>
      <c r="V569" s="380">
        <v>19441.72</v>
      </c>
      <c r="W569" s="380">
        <v>43409.599999999999</v>
      </c>
      <c r="X569" s="380">
        <v>21037.279999999999</v>
      </c>
      <c r="Y569" s="380">
        <v>43409.599999999999</v>
      </c>
      <c r="Z569" s="380">
        <v>20854.97</v>
      </c>
      <c r="AA569" s="376" t="s">
        <v>1793</v>
      </c>
      <c r="AB569" s="376" t="s">
        <v>1794</v>
      </c>
      <c r="AC569" s="376" t="s">
        <v>1368</v>
      </c>
      <c r="AD569" s="376" t="s">
        <v>198</v>
      </c>
      <c r="AE569" s="376" t="s">
        <v>863</v>
      </c>
      <c r="AF569" s="376" t="s">
        <v>393</v>
      </c>
      <c r="AG569" s="376" t="s">
        <v>178</v>
      </c>
      <c r="AH569" s="381">
        <v>20.87</v>
      </c>
      <c r="AI569" s="381">
        <v>48131.9</v>
      </c>
      <c r="AJ569" s="376" t="s">
        <v>179</v>
      </c>
      <c r="AK569" s="376" t="s">
        <v>180</v>
      </c>
      <c r="AL569" s="376" t="s">
        <v>181</v>
      </c>
      <c r="AM569" s="376" t="s">
        <v>182</v>
      </c>
      <c r="AN569" s="376" t="s">
        <v>68</v>
      </c>
      <c r="AO569" s="379">
        <v>80</v>
      </c>
      <c r="AP569" s="385">
        <v>1</v>
      </c>
      <c r="AQ569" s="385">
        <v>1</v>
      </c>
      <c r="AR569" s="383" t="s">
        <v>183</v>
      </c>
      <c r="AS569" s="387">
        <f t="shared" si="379"/>
        <v>1</v>
      </c>
      <c r="AT569">
        <f t="shared" si="380"/>
        <v>1</v>
      </c>
      <c r="AU569" s="387">
        <f>IF(AT569=0,"",IF(AND(AT569=1,M569="F",SUMIF(C2:C1334,C569,AS2:AS1334)&lt;=1),SUMIF(C2:C1334,C569,AS2:AS1334),IF(AND(AT569=1,M569="F",SUMIF(C2:C1334,C569,AS2:AS1334)&gt;1),1,"")))</f>
        <v>1</v>
      </c>
      <c r="AV569" s="387" t="str">
        <f>IF(AT569=0,"",IF(AND(AT569=3,M569="F",SUMIF(C2:C1334,C569,AS2:AS1334)&lt;=1),SUMIF(C2:C1334,C569,AS2:AS1334),IF(AND(AT569=3,M569="F",SUMIF(C2:C1334,C569,AS2:AS1334)&gt;1),1,"")))</f>
        <v/>
      </c>
      <c r="AW569" s="387">
        <f>SUMIF(C2:C1334,C569,O2:O1334)</f>
        <v>1</v>
      </c>
      <c r="AX569" s="387">
        <f>IF(AND(M569="F",AS569&lt;&gt;0),SUMIF(C2:C1334,C569,W2:W1334),0)</f>
        <v>43409.599999999999</v>
      </c>
      <c r="AY569" s="387">
        <f t="shared" si="381"/>
        <v>43409.599999999999</v>
      </c>
      <c r="AZ569" s="387" t="str">
        <f t="shared" si="382"/>
        <v/>
      </c>
      <c r="BA569" s="387">
        <f t="shared" si="383"/>
        <v>0</v>
      </c>
      <c r="BB569" s="387">
        <f t="shared" si="352"/>
        <v>11650</v>
      </c>
      <c r="BC569" s="387">
        <f t="shared" si="353"/>
        <v>0</v>
      </c>
      <c r="BD569" s="387">
        <f t="shared" si="354"/>
        <v>2691.3951999999999</v>
      </c>
      <c r="BE569" s="387">
        <f t="shared" si="355"/>
        <v>629.43920000000003</v>
      </c>
      <c r="BF569" s="387">
        <f t="shared" si="356"/>
        <v>5183.1062400000001</v>
      </c>
      <c r="BG569" s="387">
        <f t="shared" si="357"/>
        <v>312.98321600000003</v>
      </c>
      <c r="BH569" s="387">
        <f t="shared" si="358"/>
        <v>212.70703999999998</v>
      </c>
      <c r="BI569" s="387">
        <f t="shared" si="359"/>
        <v>240.27213599999999</v>
      </c>
      <c r="BJ569" s="387">
        <f t="shared" si="360"/>
        <v>117.20592000000001</v>
      </c>
      <c r="BK569" s="387">
        <f t="shared" si="361"/>
        <v>0</v>
      </c>
      <c r="BL569" s="387">
        <f t="shared" si="384"/>
        <v>9387.1089520000005</v>
      </c>
      <c r="BM569" s="387">
        <f t="shared" si="385"/>
        <v>0</v>
      </c>
      <c r="BN569" s="387">
        <f t="shared" si="362"/>
        <v>11650</v>
      </c>
      <c r="BO569" s="387">
        <f t="shared" si="363"/>
        <v>0</v>
      </c>
      <c r="BP569" s="387">
        <f t="shared" si="364"/>
        <v>2691.3951999999999</v>
      </c>
      <c r="BQ569" s="387">
        <f t="shared" si="365"/>
        <v>629.43920000000003</v>
      </c>
      <c r="BR569" s="387">
        <f t="shared" si="366"/>
        <v>5183.1062400000001</v>
      </c>
      <c r="BS569" s="387">
        <f t="shared" si="367"/>
        <v>312.98321600000003</v>
      </c>
      <c r="BT569" s="387">
        <f t="shared" si="368"/>
        <v>0</v>
      </c>
      <c r="BU569" s="387">
        <f t="shared" si="369"/>
        <v>240.27213599999999</v>
      </c>
      <c r="BV569" s="387">
        <f t="shared" si="370"/>
        <v>147.59263999999999</v>
      </c>
      <c r="BW569" s="387">
        <f t="shared" si="371"/>
        <v>0</v>
      </c>
      <c r="BX569" s="387">
        <f t="shared" si="386"/>
        <v>9204.7886320000016</v>
      </c>
      <c r="BY569" s="387">
        <f t="shared" si="387"/>
        <v>0</v>
      </c>
      <c r="BZ569" s="387">
        <f t="shared" si="388"/>
        <v>0</v>
      </c>
      <c r="CA569" s="387">
        <f t="shared" si="389"/>
        <v>0</v>
      </c>
      <c r="CB569" s="387">
        <f t="shared" si="390"/>
        <v>0</v>
      </c>
      <c r="CC569" s="387">
        <f t="shared" si="372"/>
        <v>0</v>
      </c>
      <c r="CD569" s="387">
        <f t="shared" si="373"/>
        <v>0</v>
      </c>
      <c r="CE569" s="387">
        <f t="shared" si="374"/>
        <v>0</v>
      </c>
      <c r="CF569" s="387">
        <f t="shared" si="375"/>
        <v>-212.70703999999998</v>
      </c>
      <c r="CG569" s="387">
        <f t="shared" si="376"/>
        <v>0</v>
      </c>
      <c r="CH569" s="387">
        <f t="shared" si="377"/>
        <v>30.386719999999986</v>
      </c>
      <c r="CI569" s="387">
        <f t="shared" si="378"/>
        <v>0</v>
      </c>
      <c r="CJ569" s="387">
        <f t="shared" si="391"/>
        <v>-182.32031999999998</v>
      </c>
      <c r="CK569" s="387" t="str">
        <f t="shared" si="392"/>
        <v/>
      </c>
      <c r="CL569" s="387" t="str">
        <f t="shared" si="393"/>
        <v/>
      </c>
      <c r="CM569" s="387" t="str">
        <f t="shared" si="394"/>
        <v/>
      </c>
      <c r="CN569" s="387" t="str">
        <f t="shared" si="395"/>
        <v>0348-31</v>
      </c>
    </row>
    <row r="570" spans="1:92" ht="15.75" thickBot="1" x14ac:dyDescent="0.3">
      <c r="A570" s="376" t="s">
        <v>161</v>
      </c>
      <c r="B570" s="376" t="s">
        <v>162</v>
      </c>
      <c r="C570" s="376" t="s">
        <v>624</v>
      </c>
      <c r="D570" s="376" t="s">
        <v>625</v>
      </c>
      <c r="E570" s="376" t="s">
        <v>224</v>
      </c>
      <c r="F570" s="382" t="s">
        <v>225</v>
      </c>
      <c r="G570" s="376" t="s">
        <v>781</v>
      </c>
      <c r="H570" s="378"/>
      <c r="I570" s="378"/>
      <c r="J570" s="376" t="s">
        <v>215</v>
      </c>
      <c r="K570" s="376" t="s">
        <v>626</v>
      </c>
      <c r="L570" s="376" t="s">
        <v>217</v>
      </c>
      <c r="M570" s="376" t="s">
        <v>171</v>
      </c>
      <c r="N570" s="376" t="s">
        <v>172</v>
      </c>
      <c r="O570" s="379">
        <v>1</v>
      </c>
      <c r="P570" s="385">
        <v>0</v>
      </c>
      <c r="Q570" s="385">
        <v>0</v>
      </c>
      <c r="R570" s="380">
        <v>80</v>
      </c>
      <c r="S570" s="385">
        <v>0</v>
      </c>
      <c r="T570" s="380">
        <v>45205.84</v>
      </c>
      <c r="U570" s="380">
        <v>65.55</v>
      </c>
      <c r="V570" s="380">
        <v>20909.72</v>
      </c>
      <c r="W570" s="380">
        <v>0</v>
      </c>
      <c r="X570" s="380">
        <v>0</v>
      </c>
      <c r="Y570" s="380">
        <v>0</v>
      </c>
      <c r="Z570" s="380">
        <v>0</v>
      </c>
      <c r="AA570" s="376" t="s">
        <v>627</v>
      </c>
      <c r="AB570" s="376" t="s">
        <v>628</v>
      </c>
      <c r="AC570" s="376" t="s">
        <v>629</v>
      </c>
      <c r="AD570" s="376" t="s">
        <v>252</v>
      </c>
      <c r="AE570" s="376" t="s">
        <v>626</v>
      </c>
      <c r="AF570" s="376" t="s">
        <v>221</v>
      </c>
      <c r="AG570" s="376" t="s">
        <v>178</v>
      </c>
      <c r="AH570" s="381">
        <v>22.78</v>
      </c>
      <c r="AI570" s="381">
        <v>24627.7</v>
      </c>
      <c r="AJ570" s="376" t="s">
        <v>179</v>
      </c>
      <c r="AK570" s="376" t="s">
        <v>180</v>
      </c>
      <c r="AL570" s="376" t="s">
        <v>181</v>
      </c>
      <c r="AM570" s="376" t="s">
        <v>182</v>
      </c>
      <c r="AN570" s="376" t="s">
        <v>68</v>
      </c>
      <c r="AO570" s="379">
        <v>80</v>
      </c>
      <c r="AP570" s="385">
        <v>1</v>
      </c>
      <c r="AQ570" s="385">
        <v>0</v>
      </c>
      <c r="AR570" s="383" t="s">
        <v>183</v>
      </c>
      <c r="AS570" s="387">
        <f t="shared" si="379"/>
        <v>0</v>
      </c>
      <c r="AT570">
        <f t="shared" si="380"/>
        <v>0</v>
      </c>
      <c r="AU570" s="387" t="str">
        <f>IF(AT570=0,"",IF(AND(AT570=1,M570="F",SUMIF(C2:C1334,C570,AS2:AS1334)&lt;=1),SUMIF(C2:C1334,C570,AS2:AS1334),IF(AND(AT570=1,M570="F",SUMIF(C2:C1334,C570,AS2:AS1334)&gt;1),1,"")))</f>
        <v/>
      </c>
      <c r="AV570" s="387" t="str">
        <f>IF(AT570=0,"",IF(AND(AT570=3,M570="F",SUMIF(C2:C1334,C570,AS2:AS1334)&lt;=1),SUMIF(C2:C1334,C570,AS2:AS1334),IF(AND(AT570=3,M570="F",SUMIF(C2:C1334,C570,AS2:AS1334)&gt;1),1,"")))</f>
        <v/>
      </c>
      <c r="AW570" s="387">
        <f>SUMIF(C2:C1334,C570,O2:O1334)</f>
        <v>3</v>
      </c>
      <c r="AX570" s="387">
        <f>IF(AND(M570="F",AS570&lt;&gt;0),SUMIF(C2:C1334,C570,W2:W1334),0)</f>
        <v>0</v>
      </c>
      <c r="AY570" s="387" t="str">
        <f t="shared" si="381"/>
        <v/>
      </c>
      <c r="AZ570" s="387" t="str">
        <f t="shared" si="382"/>
        <v/>
      </c>
      <c r="BA570" s="387">
        <f t="shared" si="383"/>
        <v>0</v>
      </c>
      <c r="BB570" s="387">
        <f t="shared" si="352"/>
        <v>0</v>
      </c>
      <c r="BC570" s="387">
        <f t="shared" si="353"/>
        <v>0</v>
      </c>
      <c r="BD570" s="387">
        <f t="shared" si="354"/>
        <v>0</v>
      </c>
      <c r="BE570" s="387">
        <f t="shared" si="355"/>
        <v>0</v>
      </c>
      <c r="BF570" s="387">
        <f t="shared" si="356"/>
        <v>0</v>
      </c>
      <c r="BG570" s="387">
        <f t="shared" si="357"/>
        <v>0</v>
      </c>
      <c r="BH570" s="387">
        <f t="shared" si="358"/>
        <v>0</v>
      </c>
      <c r="BI570" s="387">
        <f t="shared" si="359"/>
        <v>0</v>
      </c>
      <c r="BJ570" s="387">
        <f t="shared" si="360"/>
        <v>0</v>
      </c>
      <c r="BK570" s="387">
        <f t="shared" si="361"/>
        <v>0</v>
      </c>
      <c r="BL570" s="387">
        <f t="shared" si="384"/>
        <v>0</v>
      </c>
      <c r="BM570" s="387">
        <f t="shared" si="385"/>
        <v>0</v>
      </c>
      <c r="BN570" s="387">
        <f t="shared" si="362"/>
        <v>0</v>
      </c>
      <c r="BO570" s="387">
        <f t="shared" si="363"/>
        <v>0</v>
      </c>
      <c r="BP570" s="387">
        <f t="shared" si="364"/>
        <v>0</v>
      </c>
      <c r="BQ570" s="387">
        <f t="shared" si="365"/>
        <v>0</v>
      </c>
      <c r="BR570" s="387">
        <f t="shared" si="366"/>
        <v>0</v>
      </c>
      <c r="BS570" s="387">
        <f t="shared" si="367"/>
        <v>0</v>
      </c>
      <c r="BT570" s="387">
        <f t="shared" si="368"/>
        <v>0</v>
      </c>
      <c r="BU570" s="387">
        <f t="shared" si="369"/>
        <v>0</v>
      </c>
      <c r="BV570" s="387">
        <f t="shared" si="370"/>
        <v>0</v>
      </c>
      <c r="BW570" s="387">
        <f t="shared" si="371"/>
        <v>0</v>
      </c>
      <c r="BX570" s="387">
        <f t="shared" si="386"/>
        <v>0</v>
      </c>
      <c r="BY570" s="387">
        <f t="shared" si="387"/>
        <v>0</v>
      </c>
      <c r="BZ570" s="387">
        <f t="shared" si="388"/>
        <v>0</v>
      </c>
      <c r="CA570" s="387">
        <f t="shared" si="389"/>
        <v>0</v>
      </c>
      <c r="CB570" s="387">
        <f t="shared" si="390"/>
        <v>0</v>
      </c>
      <c r="CC570" s="387">
        <f t="shared" si="372"/>
        <v>0</v>
      </c>
      <c r="CD570" s="387">
        <f t="shared" si="373"/>
        <v>0</v>
      </c>
      <c r="CE570" s="387">
        <f t="shared" si="374"/>
        <v>0</v>
      </c>
      <c r="CF570" s="387">
        <f t="shared" si="375"/>
        <v>0</v>
      </c>
      <c r="CG570" s="387">
        <f t="shared" si="376"/>
        <v>0</v>
      </c>
      <c r="CH570" s="387">
        <f t="shared" si="377"/>
        <v>0</v>
      </c>
      <c r="CI570" s="387">
        <f t="shared" si="378"/>
        <v>0</v>
      </c>
      <c r="CJ570" s="387">
        <f t="shared" si="391"/>
        <v>0</v>
      </c>
      <c r="CK570" s="387" t="str">
        <f t="shared" si="392"/>
        <v/>
      </c>
      <c r="CL570" s="387" t="str">
        <f t="shared" si="393"/>
        <v/>
      </c>
      <c r="CM570" s="387" t="str">
        <f t="shared" si="394"/>
        <v/>
      </c>
      <c r="CN570" s="387" t="str">
        <f t="shared" si="395"/>
        <v>0348-31</v>
      </c>
    </row>
    <row r="571" spans="1:92" ht="15.75" thickBot="1" x14ac:dyDescent="0.3">
      <c r="A571" s="376" t="s">
        <v>161</v>
      </c>
      <c r="B571" s="376" t="s">
        <v>162</v>
      </c>
      <c r="C571" s="376" t="s">
        <v>1795</v>
      </c>
      <c r="D571" s="376" t="s">
        <v>862</v>
      </c>
      <c r="E571" s="376" t="s">
        <v>224</v>
      </c>
      <c r="F571" s="382" t="s">
        <v>225</v>
      </c>
      <c r="G571" s="376" t="s">
        <v>781</v>
      </c>
      <c r="H571" s="378"/>
      <c r="I571" s="378"/>
      <c r="J571" s="376" t="s">
        <v>215</v>
      </c>
      <c r="K571" s="376" t="s">
        <v>863</v>
      </c>
      <c r="L571" s="376" t="s">
        <v>252</v>
      </c>
      <c r="M571" s="376" t="s">
        <v>272</v>
      </c>
      <c r="N571" s="376" t="s">
        <v>877</v>
      </c>
      <c r="O571" s="379">
        <v>0</v>
      </c>
      <c r="P571" s="385">
        <v>0</v>
      </c>
      <c r="Q571" s="385">
        <v>0</v>
      </c>
      <c r="R571" s="380">
        <v>80</v>
      </c>
      <c r="S571" s="385">
        <v>0</v>
      </c>
      <c r="T571" s="380">
        <v>0</v>
      </c>
      <c r="U571" s="380">
        <v>0</v>
      </c>
      <c r="V571" s="380">
        <v>485.42</v>
      </c>
      <c r="W571" s="380">
        <v>0</v>
      </c>
      <c r="X571" s="380">
        <v>0</v>
      </c>
      <c r="Y571" s="380">
        <v>0</v>
      </c>
      <c r="Z571" s="380">
        <v>0</v>
      </c>
      <c r="AA571" s="378"/>
      <c r="AB571" s="376" t="s">
        <v>45</v>
      </c>
      <c r="AC571" s="376" t="s">
        <v>45</v>
      </c>
      <c r="AD571" s="378"/>
      <c r="AE571" s="378"/>
      <c r="AF571" s="378"/>
      <c r="AG571" s="378"/>
      <c r="AH571" s="379">
        <v>0</v>
      </c>
      <c r="AI571" s="379">
        <v>0</v>
      </c>
      <c r="AJ571" s="378"/>
      <c r="AK571" s="378"/>
      <c r="AL571" s="376" t="s">
        <v>181</v>
      </c>
      <c r="AM571" s="378"/>
      <c r="AN571" s="378"/>
      <c r="AO571" s="379">
        <v>0</v>
      </c>
      <c r="AP571" s="385">
        <v>0</v>
      </c>
      <c r="AQ571" s="385">
        <v>0</v>
      </c>
      <c r="AR571" s="384"/>
      <c r="AS571" s="387">
        <f t="shared" si="379"/>
        <v>0</v>
      </c>
      <c r="AT571">
        <f t="shared" si="380"/>
        <v>0</v>
      </c>
      <c r="AU571" s="387" t="str">
        <f>IF(AT571=0,"",IF(AND(AT571=1,M571="F",SUMIF(C2:C1334,C571,AS2:AS1334)&lt;=1),SUMIF(C2:C1334,C571,AS2:AS1334),IF(AND(AT571=1,M571="F",SUMIF(C2:C1334,C571,AS2:AS1334)&gt;1),1,"")))</f>
        <v/>
      </c>
      <c r="AV571" s="387" t="str">
        <f>IF(AT571=0,"",IF(AND(AT571=3,M571="F",SUMIF(C2:C1334,C571,AS2:AS1334)&lt;=1),SUMIF(C2:C1334,C571,AS2:AS1334),IF(AND(AT571=3,M571="F",SUMIF(C2:C1334,C571,AS2:AS1334)&gt;1),1,"")))</f>
        <v/>
      </c>
      <c r="AW571" s="387">
        <f>SUMIF(C2:C1334,C571,O2:O1334)</f>
        <v>0</v>
      </c>
      <c r="AX571" s="387">
        <f>IF(AND(M571="F",AS571&lt;&gt;0),SUMIF(C2:C1334,C571,W2:W1334),0)</f>
        <v>0</v>
      </c>
      <c r="AY571" s="387" t="str">
        <f t="shared" si="381"/>
        <v/>
      </c>
      <c r="AZ571" s="387" t="str">
        <f t="shared" si="382"/>
        <v/>
      </c>
      <c r="BA571" s="387">
        <f t="shared" si="383"/>
        <v>0</v>
      </c>
      <c r="BB571" s="387">
        <f t="shared" si="352"/>
        <v>0</v>
      </c>
      <c r="BC571" s="387">
        <f t="shared" si="353"/>
        <v>0</v>
      </c>
      <c r="BD571" s="387">
        <f t="shared" si="354"/>
        <v>0</v>
      </c>
      <c r="BE571" s="387">
        <f t="shared" si="355"/>
        <v>0</v>
      </c>
      <c r="BF571" s="387">
        <f t="shared" si="356"/>
        <v>0</v>
      </c>
      <c r="BG571" s="387">
        <f t="shared" si="357"/>
        <v>0</v>
      </c>
      <c r="BH571" s="387">
        <f t="shared" si="358"/>
        <v>0</v>
      </c>
      <c r="BI571" s="387">
        <f t="shared" si="359"/>
        <v>0</v>
      </c>
      <c r="BJ571" s="387">
        <f t="shared" si="360"/>
        <v>0</v>
      </c>
      <c r="BK571" s="387">
        <f t="shared" si="361"/>
        <v>0</v>
      </c>
      <c r="BL571" s="387">
        <f t="shared" si="384"/>
        <v>0</v>
      </c>
      <c r="BM571" s="387">
        <f t="shared" si="385"/>
        <v>0</v>
      </c>
      <c r="BN571" s="387">
        <f t="shared" si="362"/>
        <v>0</v>
      </c>
      <c r="BO571" s="387">
        <f t="shared" si="363"/>
        <v>0</v>
      </c>
      <c r="BP571" s="387">
        <f t="shared" si="364"/>
        <v>0</v>
      </c>
      <c r="BQ571" s="387">
        <f t="shared" si="365"/>
        <v>0</v>
      </c>
      <c r="BR571" s="387">
        <f t="shared" si="366"/>
        <v>0</v>
      </c>
      <c r="BS571" s="387">
        <f t="shared" si="367"/>
        <v>0</v>
      </c>
      <c r="BT571" s="387">
        <f t="shared" si="368"/>
        <v>0</v>
      </c>
      <c r="BU571" s="387">
        <f t="shared" si="369"/>
        <v>0</v>
      </c>
      <c r="BV571" s="387">
        <f t="shared" si="370"/>
        <v>0</v>
      </c>
      <c r="BW571" s="387">
        <f t="shared" si="371"/>
        <v>0</v>
      </c>
      <c r="BX571" s="387">
        <f t="shared" si="386"/>
        <v>0</v>
      </c>
      <c r="BY571" s="387">
        <f t="shared" si="387"/>
        <v>0</v>
      </c>
      <c r="BZ571" s="387">
        <f t="shared" si="388"/>
        <v>0</v>
      </c>
      <c r="CA571" s="387">
        <f t="shared" si="389"/>
        <v>0</v>
      </c>
      <c r="CB571" s="387">
        <f t="shared" si="390"/>
        <v>0</v>
      </c>
      <c r="CC571" s="387">
        <f t="shared" si="372"/>
        <v>0</v>
      </c>
      <c r="CD571" s="387">
        <f t="shared" si="373"/>
        <v>0</v>
      </c>
      <c r="CE571" s="387">
        <f t="shared" si="374"/>
        <v>0</v>
      </c>
      <c r="CF571" s="387">
        <f t="shared" si="375"/>
        <v>0</v>
      </c>
      <c r="CG571" s="387">
        <f t="shared" si="376"/>
        <v>0</v>
      </c>
      <c r="CH571" s="387">
        <f t="shared" si="377"/>
        <v>0</v>
      </c>
      <c r="CI571" s="387">
        <f t="shared" si="378"/>
        <v>0</v>
      </c>
      <c r="CJ571" s="387">
        <f t="shared" si="391"/>
        <v>0</v>
      </c>
      <c r="CK571" s="387" t="str">
        <f t="shared" si="392"/>
        <v/>
      </c>
      <c r="CL571" s="387" t="str">
        <f t="shared" si="393"/>
        <v/>
      </c>
      <c r="CM571" s="387" t="str">
        <f t="shared" si="394"/>
        <v/>
      </c>
      <c r="CN571" s="387" t="str">
        <f t="shared" si="395"/>
        <v>0348-31</v>
      </c>
    </row>
    <row r="572" spans="1:92" ht="15.75" thickBot="1" x14ac:dyDescent="0.3">
      <c r="A572" s="376" t="s">
        <v>161</v>
      </c>
      <c r="B572" s="376" t="s">
        <v>162</v>
      </c>
      <c r="C572" s="376" t="s">
        <v>1796</v>
      </c>
      <c r="D572" s="376" t="s">
        <v>862</v>
      </c>
      <c r="E572" s="376" t="s">
        <v>224</v>
      </c>
      <c r="F572" s="382" t="s">
        <v>225</v>
      </c>
      <c r="G572" s="376" t="s">
        <v>781</v>
      </c>
      <c r="H572" s="378"/>
      <c r="I572" s="378"/>
      <c r="J572" s="376" t="s">
        <v>239</v>
      </c>
      <c r="K572" s="376" t="s">
        <v>863</v>
      </c>
      <c r="L572" s="376" t="s">
        <v>252</v>
      </c>
      <c r="M572" s="376" t="s">
        <v>171</v>
      </c>
      <c r="N572" s="376" t="s">
        <v>172</v>
      </c>
      <c r="O572" s="379">
        <v>1</v>
      </c>
      <c r="P572" s="385">
        <v>0.65</v>
      </c>
      <c r="Q572" s="385">
        <v>0.65</v>
      </c>
      <c r="R572" s="380">
        <v>80</v>
      </c>
      <c r="S572" s="385">
        <v>0.65</v>
      </c>
      <c r="T572" s="380">
        <v>22534.39</v>
      </c>
      <c r="U572" s="380">
        <v>0</v>
      </c>
      <c r="V572" s="380">
        <v>11758.38</v>
      </c>
      <c r="W572" s="380">
        <v>25620.400000000001</v>
      </c>
      <c r="X572" s="380">
        <v>13112.89</v>
      </c>
      <c r="Y572" s="380">
        <v>25620.400000000001</v>
      </c>
      <c r="Z572" s="380">
        <v>13005.29</v>
      </c>
      <c r="AA572" s="376" t="s">
        <v>1797</v>
      </c>
      <c r="AB572" s="376" t="s">
        <v>1798</v>
      </c>
      <c r="AC572" s="376" t="s">
        <v>1799</v>
      </c>
      <c r="AD572" s="376" t="s">
        <v>1800</v>
      </c>
      <c r="AE572" s="376" t="s">
        <v>863</v>
      </c>
      <c r="AF572" s="376" t="s">
        <v>393</v>
      </c>
      <c r="AG572" s="376" t="s">
        <v>178</v>
      </c>
      <c r="AH572" s="381">
        <v>18.95</v>
      </c>
      <c r="AI572" s="379">
        <v>3680</v>
      </c>
      <c r="AJ572" s="376" t="s">
        <v>179</v>
      </c>
      <c r="AK572" s="376" t="s">
        <v>180</v>
      </c>
      <c r="AL572" s="376" t="s">
        <v>181</v>
      </c>
      <c r="AM572" s="376" t="s">
        <v>182</v>
      </c>
      <c r="AN572" s="376" t="s">
        <v>68</v>
      </c>
      <c r="AO572" s="379">
        <v>80</v>
      </c>
      <c r="AP572" s="385">
        <v>1</v>
      </c>
      <c r="AQ572" s="385">
        <v>0.65</v>
      </c>
      <c r="AR572" s="383" t="s">
        <v>183</v>
      </c>
      <c r="AS572" s="387">
        <f t="shared" si="379"/>
        <v>0.65</v>
      </c>
      <c r="AT572">
        <f t="shared" si="380"/>
        <v>1</v>
      </c>
      <c r="AU572" s="387">
        <f>IF(AT572=0,"",IF(AND(AT572=1,M572="F",SUMIF(C2:C1334,C572,AS2:AS1334)&lt;=1),SUMIF(C2:C1334,C572,AS2:AS1334),IF(AND(AT572=1,M572="F",SUMIF(C2:C1334,C572,AS2:AS1334)&gt;1),1,"")))</f>
        <v>1</v>
      </c>
      <c r="AV572" s="387" t="str">
        <f>IF(AT572=0,"",IF(AND(AT572=3,M572="F",SUMIF(C2:C1334,C572,AS2:AS1334)&lt;=1),SUMIF(C2:C1334,C572,AS2:AS1334),IF(AND(AT572=3,M572="F",SUMIF(C2:C1334,C572,AS2:AS1334)&gt;1),1,"")))</f>
        <v/>
      </c>
      <c r="AW572" s="387">
        <f>SUMIF(C2:C1334,C572,O2:O1334)</f>
        <v>3</v>
      </c>
      <c r="AX572" s="387">
        <f>IF(AND(M572="F",AS572&lt;&gt;0),SUMIF(C2:C1334,C572,W2:W1334),0)</f>
        <v>39416</v>
      </c>
      <c r="AY572" s="387">
        <f t="shared" si="381"/>
        <v>25620.400000000001</v>
      </c>
      <c r="AZ572" s="387" t="str">
        <f t="shared" si="382"/>
        <v/>
      </c>
      <c r="BA572" s="387">
        <f t="shared" si="383"/>
        <v>0</v>
      </c>
      <c r="BB572" s="387">
        <f t="shared" si="352"/>
        <v>7572.5</v>
      </c>
      <c r="BC572" s="387">
        <f t="shared" si="353"/>
        <v>0</v>
      </c>
      <c r="BD572" s="387">
        <f t="shared" si="354"/>
        <v>1588.4648</v>
      </c>
      <c r="BE572" s="387">
        <f t="shared" si="355"/>
        <v>371.49580000000003</v>
      </c>
      <c r="BF572" s="387">
        <f t="shared" si="356"/>
        <v>3059.0757600000002</v>
      </c>
      <c r="BG572" s="387">
        <f t="shared" si="357"/>
        <v>184.72308400000003</v>
      </c>
      <c r="BH572" s="387">
        <f t="shared" si="358"/>
        <v>125.53996000000001</v>
      </c>
      <c r="BI572" s="387">
        <f t="shared" si="359"/>
        <v>141.80891400000002</v>
      </c>
      <c r="BJ572" s="387">
        <f t="shared" si="360"/>
        <v>69.175080000000008</v>
      </c>
      <c r="BK572" s="387">
        <f t="shared" si="361"/>
        <v>0</v>
      </c>
      <c r="BL572" s="387">
        <f t="shared" si="384"/>
        <v>5540.2833980000005</v>
      </c>
      <c r="BM572" s="387">
        <f t="shared" si="385"/>
        <v>0</v>
      </c>
      <c r="BN572" s="387">
        <f t="shared" si="362"/>
        <v>7572.5</v>
      </c>
      <c r="BO572" s="387">
        <f t="shared" si="363"/>
        <v>0</v>
      </c>
      <c r="BP572" s="387">
        <f t="shared" si="364"/>
        <v>1588.4648</v>
      </c>
      <c r="BQ572" s="387">
        <f t="shared" si="365"/>
        <v>371.49580000000003</v>
      </c>
      <c r="BR572" s="387">
        <f t="shared" si="366"/>
        <v>3059.0757600000002</v>
      </c>
      <c r="BS572" s="387">
        <f t="shared" si="367"/>
        <v>184.72308400000003</v>
      </c>
      <c r="BT572" s="387">
        <f t="shared" si="368"/>
        <v>0</v>
      </c>
      <c r="BU572" s="387">
        <f t="shared" si="369"/>
        <v>141.80891400000002</v>
      </c>
      <c r="BV572" s="387">
        <f t="shared" si="370"/>
        <v>87.109359999999995</v>
      </c>
      <c r="BW572" s="387">
        <f t="shared" si="371"/>
        <v>0</v>
      </c>
      <c r="BX572" s="387">
        <f t="shared" si="386"/>
        <v>5432.6777180000008</v>
      </c>
      <c r="BY572" s="387">
        <f t="shared" si="387"/>
        <v>0</v>
      </c>
      <c r="BZ572" s="387">
        <f t="shared" si="388"/>
        <v>0</v>
      </c>
      <c r="CA572" s="387">
        <f t="shared" si="389"/>
        <v>0</v>
      </c>
      <c r="CB572" s="387">
        <f t="shared" si="390"/>
        <v>0</v>
      </c>
      <c r="CC572" s="387">
        <f t="shared" si="372"/>
        <v>0</v>
      </c>
      <c r="CD572" s="387">
        <f t="shared" si="373"/>
        <v>0</v>
      </c>
      <c r="CE572" s="387">
        <f t="shared" si="374"/>
        <v>0</v>
      </c>
      <c r="CF572" s="387">
        <f t="shared" si="375"/>
        <v>-125.53996000000001</v>
      </c>
      <c r="CG572" s="387">
        <f t="shared" si="376"/>
        <v>0</v>
      </c>
      <c r="CH572" s="387">
        <f t="shared" si="377"/>
        <v>17.934279999999994</v>
      </c>
      <c r="CI572" s="387">
        <f t="shared" si="378"/>
        <v>0</v>
      </c>
      <c r="CJ572" s="387">
        <f t="shared" si="391"/>
        <v>-107.60568000000001</v>
      </c>
      <c r="CK572" s="387" t="str">
        <f t="shared" si="392"/>
        <v/>
      </c>
      <c r="CL572" s="387" t="str">
        <f t="shared" si="393"/>
        <v/>
      </c>
      <c r="CM572" s="387" t="str">
        <f t="shared" si="394"/>
        <v/>
      </c>
      <c r="CN572" s="387" t="str">
        <f t="shared" si="395"/>
        <v>0348-31</v>
      </c>
    </row>
    <row r="573" spans="1:92" ht="15.75" thickBot="1" x14ac:dyDescent="0.3">
      <c r="A573" s="376" t="s">
        <v>161</v>
      </c>
      <c r="B573" s="376" t="s">
        <v>162</v>
      </c>
      <c r="C573" s="376" t="s">
        <v>1801</v>
      </c>
      <c r="D573" s="376" t="s">
        <v>792</v>
      </c>
      <c r="E573" s="376" t="s">
        <v>224</v>
      </c>
      <c r="F573" s="382" t="s">
        <v>225</v>
      </c>
      <c r="G573" s="376" t="s">
        <v>781</v>
      </c>
      <c r="H573" s="378"/>
      <c r="I573" s="378"/>
      <c r="J573" s="376" t="s">
        <v>215</v>
      </c>
      <c r="K573" s="376" t="s">
        <v>793</v>
      </c>
      <c r="L573" s="376" t="s">
        <v>170</v>
      </c>
      <c r="M573" s="376" t="s">
        <v>171</v>
      </c>
      <c r="N573" s="376" t="s">
        <v>172</v>
      </c>
      <c r="O573" s="379">
        <v>1</v>
      </c>
      <c r="P573" s="385">
        <v>0</v>
      </c>
      <c r="Q573" s="385">
        <v>0</v>
      </c>
      <c r="R573" s="380">
        <v>80</v>
      </c>
      <c r="S573" s="385">
        <v>0</v>
      </c>
      <c r="T573" s="380">
        <v>880</v>
      </c>
      <c r="U573" s="380">
        <v>0</v>
      </c>
      <c r="V573" s="380">
        <v>420.09</v>
      </c>
      <c r="W573" s="380">
        <v>0</v>
      </c>
      <c r="X573" s="380">
        <v>0</v>
      </c>
      <c r="Y573" s="380">
        <v>0</v>
      </c>
      <c r="Z573" s="380">
        <v>0</v>
      </c>
      <c r="AA573" s="376" t="s">
        <v>1802</v>
      </c>
      <c r="AB573" s="376" t="s">
        <v>1533</v>
      </c>
      <c r="AC573" s="376" t="s">
        <v>1423</v>
      </c>
      <c r="AD573" s="376" t="s">
        <v>252</v>
      </c>
      <c r="AE573" s="376" t="s">
        <v>793</v>
      </c>
      <c r="AF573" s="376" t="s">
        <v>177</v>
      </c>
      <c r="AG573" s="376" t="s">
        <v>178</v>
      </c>
      <c r="AH573" s="381">
        <v>23.41</v>
      </c>
      <c r="AI573" s="381">
        <v>27567.200000000001</v>
      </c>
      <c r="AJ573" s="376" t="s">
        <v>179</v>
      </c>
      <c r="AK573" s="376" t="s">
        <v>180</v>
      </c>
      <c r="AL573" s="376" t="s">
        <v>181</v>
      </c>
      <c r="AM573" s="376" t="s">
        <v>182</v>
      </c>
      <c r="AN573" s="376" t="s">
        <v>68</v>
      </c>
      <c r="AO573" s="379">
        <v>80</v>
      </c>
      <c r="AP573" s="385">
        <v>1</v>
      </c>
      <c r="AQ573" s="385">
        <v>0</v>
      </c>
      <c r="AR573" s="383" t="s">
        <v>183</v>
      </c>
      <c r="AS573" s="387">
        <f t="shared" si="379"/>
        <v>0</v>
      </c>
      <c r="AT573">
        <f t="shared" si="380"/>
        <v>0</v>
      </c>
      <c r="AU573" s="387" t="str">
        <f>IF(AT573=0,"",IF(AND(AT573=1,M573="F",SUMIF(C2:C1334,C573,AS2:AS1334)&lt;=1),SUMIF(C2:C1334,C573,AS2:AS1334),IF(AND(AT573=1,M573="F",SUMIF(C2:C1334,C573,AS2:AS1334)&gt;1),1,"")))</f>
        <v/>
      </c>
      <c r="AV573" s="387" t="str">
        <f>IF(AT573=0,"",IF(AND(AT573=3,M573="F",SUMIF(C2:C1334,C573,AS2:AS1334)&lt;=1),SUMIF(C2:C1334,C573,AS2:AS1334),IF(AND(AT573=3,M573="F",SUMIF(C2:C1334,C573,AS2:AS1334)&gt;1),1,"")))</f>
        <v/>
      </c>
      <c r="AW573" s="387">
        <f>SUMIF(C2:C1334,C573,O2:O1334)</f>
        <v>2</v>
      </c>
      <c r="AX573" s="387">
        <f>IF(AND(M573="F",AS573&lt;&gt;0),SUMIF(C2:C1334,C573,W2:W1334),0)</f>
        <v>0</v>
      </c>
      <c r="AY573" s="387" t="str">
        <f t="shared" si="381"/>
        <v/>
      </c>
      <c r="AZ573" s="387" t="str">
        <f t="shared" si="382"/>
        <v/>
      </c>
      <c r="BA573" s="387">
        <f t="shared" si="383"/>
        <v>0</v>
      </c>
      <c r="BB573" s="387">
        <f t="shared" si="352"/>
        <v>0</v>
      </c>
      <c r="BC573" s="387">
        <f t="shared" si="353"/>
        <v>0</v>
      </c>
      <c r="BD573" s="387">
        <f t="shared" si="354"/>
        <v>0</v>
      </c>
      <c r="BE573" s="387">
        <f t="shared" si="355"/>
        <v>0</v>
      </c>
      <c r="BF573" s="387">
        <f t="shared" si="356"/>
        <v>0</v>
      </c>
      <c r="BG573" s="387">
        <f t="shared" si="357"/>
        <v>0</v>
      </c>
      <c r="BH573" s="387">
        <f t="shared" si="358"/>
        <v>0</v>
      </c>
      <c r="BI573" s="387">
        <f t="shared" si="359"/>
        <v>0</v>
      </c>
      <c r="BJ573" s="387">
        <f t="shared" si="360"/>
        <v>0</v>
      </c>
      <c r="BK573" s="387">
        <f t="shared" si="361"/>
        <v>0</v>
      </c>
      <c r="BL573" s="387">
        <f t="shared" si="384"/>
        <v>0</v>
      </c>
      <c r="BM573" s="387">
        <f t="shared" si="385"/>
        <v>0</v>
      </c>
      <c r="BN573" s="387">
        <f t="shared" si="362"/>
        <v>0</v>
      </c>
      <c r="BO573" s="387">
        <f t="shared" si="363"/>
        <v>0</v>
      </c>
      <c r="BP573" s="387">
        <f t="shared" si="364"/>
        <v>0</v>
      </c>
      <c r="BQ573" s="387">
        <f t="shared" si="365"/>
        <v>0</v>
      </c>
      <c r="BR573" s="387">
        <f t="shared" si="366"/>
        <v>0</v>
      </c>
      <c r="BS573" s="387">
        <f t="shared" si="367"/>
        <v>0</v>
      </c>
      <c r="BT573" s="387">
        <f t="shared" si="368"/>
        <v>0</v>
      </c>
      <c r="BU573" s="387">
        <f t="shared" si="369"/>
        <v>0</v>
      </c>
      <c r="BV573" s="387">
        <f t="shared" si="370"/>
        <v>0</v>
      </c>
      <c r="BW573" s="387">
        <f t="shared" si="371"/>
        <v>0</v>
      </c>
      <c r="BX573" s="387">
        <f t="shared" si="386"/>
        <v>0</v>
      </c>
      <c r="BY573" s="387">
        <f t="shared" si="387"/>
        <v>0</v>
      </c>
      <c r="BZ573" s="387">
        <f t="shared" si="388"/>
        <v>0</v>
      </c>
      <c r="CA573" s="387">
        <f t="shared" si="389"/>
        <v>0</v>
      </c>
      <c r="CB573" s="387">
        <f t="shared" si="390"/>
        <v>0</v>
      </c>
      <c r="CC573" s="387">
        <f t="shared" si="372"/>
        <v>0</v>
      </c>
      <c r="CD573" s="387">
        <f t="shared" si="373"/>
        <v>0</v>
      </c>
      <c r="CE573" s="387">
        <f t="shared" si="374"/>
        <v>0</v>
      </c>
      <c r="CF573" s="387">
        <f t="shared" si="375"/>
        <v>0</v>
      </c>
      <c r="CG573" s="387">
        <f t="shared" si="376"/>
        <v>0</v>
      </c>
      <c r="CH573" s="387">
        <f t="shared" si="377"/>
        <v>0</v>
      </c>
      <c r="CI573" s="387">
        <f t="shared" si="378"/>
        <v>0</v>
      </c>
      <c r="CJ573" s="387">
        <f t="shared" si="391"/>
        <v>0</v>
      </c>
      <c r="CK573" s="387" t="str">
        <f t="shared" si="392"/>
        <v/>
      </c>
      <c r="CL573" s="387" t="str">
        <f t="shared" si="393"/>
        <v/>
      </c>
      <c r="CM573" s="387" t="str">
        <f t="shared" si="394"/>
        <v/>
      </c>
      <c r="CN573" s="387" t="str">
        <f t="shared" si="395"/>
        <v>0348-31</v>
      </c>
    </row>
    <row r="574" spans="1:92" ht="15.75" thickBot="1" x14ac:dyDescent="0.3">
      <c r="A574" s="376" t="s">
        <v>161</v>
      </c>
      <c r="B574" s="376" t="s">
        <v>162</v>
      </c>
      <c r="C574" s="376" t="s">
        <v>1803</v>
      </c>
      <c r="D574" s="376" t="s">
        <v>270</v>
      </c>
      <c r="E574" s="376" t="s">
        <v>224</v>
      </c>
      <c r="F574" s="382" t="s">
        <v>225</v>
      </c>
      <c r="G574" s="376" t="s">
        <v>781</v>
      </c>
      <c r="H574" s="378"/>
      <c r="I574" s="378"/>
      <c r="J574" s="376" t="s">
        <v>215</v>
      </c>
      <c r="K574" s="376" t="s">
        <v>271</v>
      </c>
      <c r="L574" s="376" t="s">
        <v>217</v>
      </c>
      <c r="M574" s="376" t="s">
        <v>171</v>
      </c>
      <c r="N574" s="376" t="s">
        <v>172</v>
      </c>
      <c r="O574" s="379">
        <v>1</v>
      </c>
      <c r="P574" s="385">
        <v>0</v>
      </c>
      <c r="Q574" s="385">
        <v>0</v>
      </c>
      <c r="R574" s="380">
        <v>80</v>
      </c>
      <c r="S574" s="385">
        <v>0</v>
      </c>
      <c r="T574" s="380">
        <v>10284</v>
      </c>
      <c r="U574" s="380">
        <v>0</v>
      </c>
      <c r="V574" s="380">
        <v>6038.92</v>
      </c>
      <c r="W574" s="380">
        <v>0</v>
      </c>
      <c r="X574" s="380">
        <v>0</v>
      </c>
      <c r="Y574" s="380">
        <v>0</v>
      </c>
      <c r="Z574" s="380">
        <v>0</v>
      </c>
      <c r="AA574" s="376" t="s">
        <v>1804</v>
      </c>
      <c r="AB574" s="376" t="s">
        <v>1805</v>
      </c>
      <c r="AC574" s="376" t="s">
        <v>1806</v>
      </c>
      <c r="AD574" s="376" t="s">
        <v>279</v>
      </c>
      <c r="AE574" s="376" t="s">
        <v>271</v>
      </c>
      <c r="AF574" s="376" t="s">
        <v>221</v>
      </c>
      <c r="AG574" s="376" t="s">
        <v>178</v>
      </c>
      <c r="AH574" s="381">
        <v>17.07</v>
      </c>
      <c r="AI574" s="379">
        <v>10854</v>
      </c>
      <c r="AJ574" s="376" t="s">
        <v>179</v>
      </c>
      <c r="AK574" s="376" t="s">
        <v>180</v>
      </c>
      <c r="AL574" s="376" t="s">
        <v>181</v>
      </c>
      <c r="AM574" s="376" t="s">
        <v>182</v>
      </c>
      <c r="AN574" s="376" t="s">
        <v>68</v>
      </c>
      <c r="AO574" s="379">
        <v>80</v>
      </c>
      <c r="AP574" s="385">
        <v>1</v>
      </c>
      <c r="AQ574" s="385">
        <v>0</v>
      </c>
      <c r="AR574" s="383" t="s">
        <v>183</v>
      </c>
      <c r="AS574" s="387">
        <f t="shared" si="379"/>
        <v>0</v>
      </c>
      <c r="AT574">
        <f t="shared" si="380"/>
        <v>0</v>
      </c>
      <c r="AU574" s="387" t="str">
        <f>IF(AT574=0,"",IF(AND(AT574=1,M574="F",SUMIF(C2:C1334,C574,AS2:AS1334)&lt;=1),SUMIF(C2:C1334,C574,AS2:AS1334),IF(AND(AT574=1,M574="F",SUMIF(C2:C1334,C574,AS2:AS1334)&gt;1),1,"")))</f>
        <v/>
      </c>
      <c r="AV574" s="387" t="str">
        <f>IF(AT574=0,"",IF(AND(AT574=3,M574="F",SUMIF(C2:C1334,C574,AS2:AS1334)&lt;=1),SUMIF(C2:C1334,C574,AS2:AS1334),IF(AND(AT574=3,M574="F",SUMIF(C2:C1334,C574,AS2:AS1334)&gt;1),1,"")))</f>
        <v/>
      </c>
      <c r="AW574" s="387">
        <f>SUMIF(C2:C1334,C574,O2:O1334)</f>
        <v>2</v>
      </c>
      <c r="AX574" s="387">
        <f>IF(AND(M574="F",AS574&lt;&gt;0),SUMIF(C2:C1334,C574,W2:W1334),0)</f>
        <v>0</v>
      </c>
      <c r="AY574" s="387" t="str">
        <f t="shared" si="381"/>
        <v/>
      </c>
      <c r="AZ574" s="387" t="str">
        <f t="shared" si="382"/>
        <v/>
      </c>
      <c r="BA574" s="387">
        <f t="shared" si="383"/>
        <v>0</v>
      </c>
      <c r="BB574" s="387">
        <f t="shared" si="352"/>
        <v>0</v>
      </c>
      <c r="BC574" s="387">
        <f t="shared" si="353"/>
        <v>0</v>
      </c>
      <c r="BD574" s="387">
        <f t="shared" si="354"/>
        <v>0</v>
      </c>
      <c r="BE574" s="387">
        <f t="shared" si="355"/>
        <v>0</v>
      </c>
      <c r="BF574" s="387">
        <f t="shared" si="356"/>
        <v>0</v>
      </c>
      <c r="BG574" s="387">
        <f t="shared" si="357"/>
        <v>0</v>
      </c>
      <c r="BH574" s="387">
        <f t="shared" si="358"/>
        <v>0</v>
      </c>
      <c r="BI574" s="387">
        <f t="shared" si="359"/>
        <v>0</v>
      </c>
      <c r="BJ574" s="387">
        <f t="shared" si="360"/>
        <v>0</v>
      </c>
      <c r="BK574" s="387">
        <f t="shared" si="361"/>
        <v>0</v>
      </c>
      <c r="BL574" s="387">
        <f t="shared" si="384"/>
        <v>0</v>
      </c>
      <c r="BM574" s="387">
        <f t="shared" si="385"/>
        <v>0</v>
      </c>
      <c r="BN574" s="387">
        <f t="shared" si="362"/>
        <v>0</v>
      </c>
      <c r="BO574" s="387">
        <f t="shared" si="363"/>
        <v>0</v>
      </c>
      <c r="BP574" s="387">
        <f t="shared" si="364"/>
        <v>0</v>
      </c>
      <c r="BQ574" s="387">
        <f t="shared" si="365"/>
        <v>0</v>
      </c>
      <c r="BR574" s="387">
        <f t="shared" si="366"/>
        <v>0</v>
      </c>
      <c r="BS574" s="387">
        <f t="shared" si="367"/>
        <v>0</v>
      </c>
      <c r="BT574" s="387">
        <f t="shared" si="368"/>
        <v>0</v>
      </c>
      <c r="BU574" s="387">
        <f t="shared" si="369"/>
        <v>0</v>
      </c>
      <c r="BV574" s="387">
        <f t="shared" si="370"/>
        <v>0</v>
      </c>
      <c r="BW574" s="387">
        <f t="shared" si="371"/>
        <v>0</v>
      </c>
      <c r="BX574" s="387">
        <f t="shared" si="386"/>
        <v>0</v>
      </c>
      <c r="BY574" s="387">
        <f t="shared" si="387"/>
        <v>0</v>
      </c>
      <c r="BZ574" s="387">
        <f t="shared" si="388"/>
        <v>0</v>
      </c>
      <c r="CA574" s="387">
        <f t="shared" si="389"/>
        <v>0</v>
      </c>
      <c r="CB574" s="387">
        <f t="shared" si="390"/>
        <v>0</v>
      </c>
      <c r="CC574" s="387">
        <f t="shared" si="372"/>
        <v>0</v>
      </c>
      <c r="CD574" s="387">
        <f t="shared" si="373"/>
        <v>0</v>
      </c>
      <c r="CE574" s="387">
        <f t="shared" si="374"/>
        <v>0</v>
      </c>
      <c r="CF574" s="387">
        <f t="shared" si="375"/>
        <v>0</v>
      </c>
      <c r="CG574" s="387">
        <f t="shared" si="376"/>
        <v>0</v>
      </c>
      <c r="CH574" s="387">
        <f t="shared" si="377"/>
        <v>0</v>
      </c>
      <c r="CI574" s="387">
        <f t="shared" si="378"/>
        <v>0</v>
      </c>
      <c r="CJ574" s="387">
        <f t="shared" si="391"/>
        <v>0</v>
      </c>
      <c r="CK574" s="387" t="str">
        <f t="shared" si="392"/>
        <v/>
      </c>
      <c r="CL574" s="387" t="str">
        <f t="shared" si="393"/>
        <v/>
      </c>
      <c r="CM574" s="387" t="str">
        <f t="shared" si="394"/>
        <v/>
      </c>
      <c r="CN574" s="387" t="str">
        <f t="shared" si="395"/>
        <v>0348-31</v>
      </c>
    </row>
    <row r="575" spans="1:92" ht="15.75" thickBot="1" x14ac:dyDescent="0.3">
      <c r="A575" s="376" t="s">
        <v>161</v>
      </c>
      <c r="B575" s="376" t="s">
        <v>162</v>
      </c>
      <c r="C575" s="376" t="s">
        <v>1807</v>
      </c>
      <c r="D575" s="376" t="s">
        <v>247</v>
      </c>
      <c r="E575" s="376" t="s">
        <v>224</v>
      </c>
      <c r="F575" s="382" t="s">
        <v>225</v>
      </c>
      <c r="G575" s="376" t="s">
        <v>781</v>
      </c>
      <c r="H575" s="378"/>
      <c r="I575" s="378"/>
      <c r="J575" s="376" t="s">
        <v>215</v>
      </c>
      <c r="K575" s="376" t="s">
        <v>248</v>
      </c>
      <c r="L575" s="376" t="s">
        <v>178</v>
      </c>
      <c r="M575" s="376" t="s">
        <v>272</v>
      </c>
      <c r="N575" s="376" t="s">
        <v>172</v>
      </c>
      <c r="O575" s="379">
        <v>0</v>
      </c>
      <c r="P575" s="385">
        <v>0</v>
      </c>
      <c r="Q575" s="385">
        <v>0</v>
      </c>
      <c r="R575" s="380">
        <v>80</v>
      </c>
      <c r="S575" s="385">
        <v>0</v>
      </c>
      <c r="T575" s="380">
        <v>0</v>
      </c>
      <c r="U575" s="380">
        <v>0</v>
      </c>
      <c r="V575" s="380">
        <v>8.34</v>
      </c>
      <c r="W575" s="380">
        <v>0</v>
      </c>
      <c r="X575" s="380">
        <v>0</v>
      </c>
      <c r="Y575" s="380">
        <v>0</v>
      </c>
      <c r="Z575" s="380">
        <v>0</v>
      </c>
      <c r="AA575" s="378"/>
      <c r="AB575" s="376" t="s">
        <v>45</v>
      </c>
      <c r="AC575" s="376" t="s">
        <v>45</v>
      </c>
      <c r="AD575" s="378"/>
      <c r="AE575" s="378"/>
      <c r="AF575" s="378"/>
      <c r="AG575" s="378"/>
      <c r="AH575" s="379">
        <v>0</v>
      </c>
      <c r="AI575" s="379">
        <v>0</v>
      </c>
      <c r="AJ575" s="378"/>
      <c r="AK575" s="378"/>
      <c r="AL575" s="376" t="s">
        <v>181</v>
      </c>
      <c r="AM575" s="378"/>
      <c r="AN575" s="378"/>
      <c r="AO575" s="379">
        <v>0</v>
      </c>
      <c r="AP575" s="385">
        <v>0</v>
      </c>
      <c r="AQ575" s="385">
        <v>0</v>
      </c>
      <c r="AR575" s="384"/>
      <c r="AS575" s="387">
        <f t="shared" si="379"/>
        <v>0</v>
      </c>
      <c r="AT575">
        <f t="shared" si="380"/>
        <v>0</v>
      </c>
      <c r="AU575" s="387" t="str">
        <f>IF(AT575=0,"",IF(AND(AT575=1,M575="F",SUMIF(C2:C1334,C575,AS2:AS1334)&lt;=1),SUMIF(C2:C1334,C575,AS2:AS1334),IF(AND(AT575=1,M575="F",SUMIF(C2:C1334,C575,AS2:AS1334)&gt;1),1,"")))</f>
        <v/>
      </c>
      <c r="AV575" s="387" t="str">
        <f>IF(AT575=0,"",IF(AND(AT575=3,M575="F",SUMIF(C2:C1334,C575,AS2:AS1334)&lt;=1),SUMIF(C2:C1334,C575,AS2:AS1334),IF(AND(AT575=3,M575="F",SUMIF(C2:C1334,C575,AS2:AS1334)&gt;1),1,"")))</f>
        <v/>
      </c>
      <c r="AW575" s="387">
        <f>SUMIF(C2:C1334,C575,O2:O1334)</f>
        <v>0</v>
      </c>
      <c r="AX575" s="387">
        <f>IF(AND(M575="F",AS575&lt;&gt;0),SUMIF(C2:C1334,C575,W2:W1334),0)</f>
        <v>0</v>
      </c>
      <c r="AY575" s="387" t="str">
        <f t="shared" si="381"/>
        <v/>
      </c>
      <c r="AZ575" s="387" t="str">
        <f t="shared" si="382"/>
        <v/>
      </c>
      <c r="BA575" s="387">
        <f t="shared" si="383"/>
        <v>0</v>
      </c>
      <c r="BB575" s="387">
        <f t="shared" si="352"/>
        <v>0</v>
      </c>
      <c r="BC575" s="387">
        <f t="shared" si="353"/>
        <v>0</v>
      </c>
      <c r="BD575" s="387">
        <f t="shared" si="354"/>
        <v>0</v>
      </c>
      <c r="BE575" s="387">
        <f t="shared" si="355"/>
        <v>0</v>
      </c>
      <c r="BF575" s="387">
        <f t="shared" si="356"/>
        <v>0</v>
      </c>
      <c r="BG575" s="387">
        <f t="shared" si="357"/>
        <v>0</v>
      </c>
      <c r="BH575" s="387">
        <f t="shared" si="358"/>
        <v>0</v>
      </c>
      <c r="BI575" s="387">
        <f t="shared" si="359"/>
        <v>0</v>
      </c>
      <c r="BJ575" s="387">
        <f t="shared" si="360"/>
        <v>0</v>
      </c>
      <c r="BK575" s="387">
        <f t="shared" si="361"/>
        <v>0</v>
      </c>
      <c r="BL575" s="387">
        <f t="shared" si="384"/>
        <v>0</v>
      </c>
      <c r="BM575" s="387">
        <f t="shared" si="385"/>
        <v>0</v>
      </c>
      <c r="BN575" s="387">
        <f t="shared" si="362"/>
        <v>0</v>
      </c>
      <c r="BO575" s="387">
        <f t="shared" si="363"/>
        <v>0</v>
      </c>
      <c r="BP575" s="387">
        <f t="shared" si="364"/>
        <v>0</v>
      </c>
      <c r="BQ575" s="387">
        <f t="shared" si="365"/>
        <v>0</v>
      </c>
      <c r="BR575" s="387">
        <f t="shared" si="366"/>
        <v>0</v>
      </c>
      <c r="BS575" s="387">
        <f t="shared" si="367"/>
        <v>0</v>
      </c>
      <c r="BT575" s="387">
        <f t="shared" si="368"/>
        <v>0</v>
      </c>
      <c r="BU575" s="387">
        <f t="shared" si="369"/>
        <v>0</v>
      </c>
      <c r="BV575" s="387">
        <f t="shared" si="370"/>
        <v>0</v>
      </c>
      <c r="BW575" s="387">
        <f t="shared" si="371"/>
        <v>0</v>
      </c>
      <c r="BX575" s="387">
        <f t="shared" si="386"/>
        <v>0</v>
      </c>
      <c r="BY575" s="387">
        <f t="shared" si="387"/>
        <v>0</v>
      </c>
      <c r="BZ575" s="387">
        <f t="shared" si="388"/>
        <v>0</v>
      </c>
      <c r="CA575" s="387">
        <f t="shared" si="389"/>
        <v>0</v>
      </c>
      <c r="CB575" s="387">
        <f t="shared" si="390"/>
        <v>0</v>
      </c>
      <c r="CC575" s="387">
        <f t="shared" si="372"/>
        <v>0</v>
      </c>
      <c r="CD575" s="387">
        <f t="shared" si="373"/>
        <v>0</v>
      </c>
      <c r="CE575" s="387">
        <f t="shared" si="374"/>
        <v>0</v>
      </c>
      <c r="CF575" s="387">
        <f t="shared" si="375"/>
        <v>0</v>
      </c>
      <c r="CG575" s="387">
        <f t="shared" si="376"/>
        <v>0</v>
      </c>
      <c r="CH575" s="387">
        <f t="shared" si="377"/>
        <v>0</v>
      </c>
      <c r="CI575" s="387">
        <f t="shared" si="378"/>
        <v>0</v>
      </c>
      <c r="CJ575" s="387">
        <f t="shared" si="391"/>
        <v>0</v>
      </c>
      <c r="CK575" s="387" t="str">
        <f t="shared" si="392"/>
        <v/>
      </c>
      <c r="CL575" s="387" t="str">
        <f t="shared" si="393"/>
        <v/>
      </c>
      <c r="CM575" s="387" t="str">
        <f t="shared" si="394"/>
        <v/>
      </c>
      <c r="CN575" s="387" t="str">
        <f t="shared" si="395"/>
        <v>0348-31</v>
      </c>
    </row>
    <row r="576" spans="1:92" ht="15.75" thickBot="1" x14ac:dyDescent="0.3">
      <c r="A576" s="376" t="s">
        <v>161</v>
      </c>
      <c r="B576" s="376" t="s">
        <v>162</v>
      </c>
      <c r="C576" s="376" t="s">
        <v>1808</v>
      </c>
      <c r="D576" s="376" t="s">
        <v>862</v>
      </c>
      <c r="E576" s="376" t="s">
        <v>224</v>
      </c>
      <c r="F576" s="382" t="s">
        <v>225</v>
      </c>
      <c r="G576" s="376" t="s">
        <v>781</v>
      </c>
      <c r="H576" s="378"/>
      <c r="I576" s="378"/>
      <c r="J576" s="376" t="s">
        <v>168</v>
      </c>
      <c r="K576" s="376" t="s">
        <v>863</v>
      </c>
      <c r="L576" s="376" t="s">
        <v>252</v>
      </c>
      <c r="M576" s="376" t="s">
        <v>171</v>
      </c>
      <c r="N576" s="376" t="s">
        <v>172</v>
      </c>
      <c r="O576" s="379">
        <v>1</v>
      </c>
      <c r="P576" s="385">
        <v>0.55000000000000004</v>
      </c>
      <c r="Q576" s="385">
        <v>0.55000000000000004</v>
      </c>
      <c r="R576" s="380">
        <v>80</v>
      </c>
      <c r="S576" s="385">
        <v>0.55000000000000004</v>
      </c>
      <c r="T576" s="380">
        <v>25890.5</v>
      </c>
      <c r="U576" s="380">
        <v>0</v>
      </c>
      <c r="V576" s="380">
        <v>12951.24</v>
      </c>
      <c r="W576" s="380">
        <v>24321.439999999999</v>
      </c>
      <c r="X576" s="380">
        <v>11666.99</v>
      </c>
      <c r="Y576" s="380">
        <v>24321.439999999999</v>
      </c>
      <c r="Z576" s="380">
        <v>11564.85</v>
      </c>
      <c r="AA576" s="376" t="s">
        <v>1809</v>
      </c>
      <c r="AB576" s="376" t="s">
        <v>1810</v>
      </c>
      <c r="AC576" s="376" t="s">
        <v>1811</v>
      </c>
      <c r="AD576" s="376" t="s">
        <v>1692</v>
      </c>
      <c r="AE576" s="376" t="s">
        <v>863</v>
      </c>
      <c r="AF576" s="376" t="s">
        <v>393</v>
      </c>
      <c r="AG576" s="376" t="s">
        <v>178</v>
      </c>
      <c r="AH576" s="381">
        <v>21.26</v>
      </c>
      <c r="AI576" s="381">
        <v>20565.400000000001</v>
      </c>
      <c r="AJ576" s="376" t="s">
        <v>179</v>
      </c>
      <c r="AK576" s="376" t="s">
        <v>180</v>
      </c>
      <c r="AL576" s="376" t="s">
        <v>181</v>
      </c>
      <c r="AM576" s="376" t="s">
        <v>182</v>
      </c>
      <c r="AN576" s="376" t="s">
        <v>68</v>
      </c>
      <c r="AO576" s="379">
        <v>80</v>
      </c>
      <c r="AP576" s="385">
        <v>1</v>
      </c>
      <c r="AQ576" s="385">
        <v>0.55000000000000004</v>
      </c>
      <c r="AR576" s="383" t="s">
        <v>183</v>
      </c>
      <c r="AS576" s="387">
        <f t="shared" si="379"/>
        <v>0.55000000000000004</v>
      </c>
      <c r="AT576">
        <f t="shared" si="380"/>
        <v>1</v>
      </c>
      <c r="AU576" s="387">
        <f>IF(AT576=0,"",IF(AND(AT576=1,M576="F",SUMIF(C2:C1334,C576,AS2:AS1334)&lt;=1),SUMIF(C2:C1334,C576,AS2:AS1334),IF(AND(AT576=1,M576="F",SUMIF(C2:C1334,C576,AS2:AS1334)&gt;1),1,"")))</f>
        <v>1</v>
      </c>
      <c r="AV576" s="387" t="str">
        <f>IF(AT576=0,"",IF(AND(AT576=3,M576="F",SUMIF(C2:C1334,C576,AS2:AS1334)&lt;=1),SUMIF(C2:C1334,C576,AS2:AS1334),IF(AND(AT576=3,M576="F",SUMIF(C2:C1334,C576,AS2:AS1334)&gt;1),1,"")))</f>
        <v/>
      </c>
      <c r="AW576" s="387">
        <f>SUMIF(C2:C1334,C576,O2:O1334)</f>
        <v>3</v>
      </c>
      <c r="AX576" s="387">
        <f>IF(AND(M576="F",AS576&lt;&gt;0),SUMIF(C2:C1334,C576,W2:W1334),0)</f>
        <v>44220.800000000003</v>
      </c>
      <c r="AY576" s="387">
        <f t="shared" si="381"/>
        <v>24321.439999999999</v>
      </c>
      <c r="AZ576" s="387" t="str">
        <f t="shared" si="382"/>
        <v/>
      </c>
      <c r="BA576" s="387">
        <f t="shared" si="383"/>
        <v>0</v>
      </c>
      <c r="BB576" s="387">
        <f t="shared" si="352"/>
        <v>6407.5000000000009</v>
      </c>
      <c r="BC576" s="387">
        <f t="shared" si="353"/>
        <v>0</v>
      </c>
      <c r="BD576" s="387">
        <f t="shared" si="354"/>
        <v>1507.9292799999998</v>
      </c>
      <c r="BE576" s="387">
        <f t="shared" si="355"/>
        <v>352.66088000000002</v>
      </c>
      <c r="BF576" s="387">
        <f t="shared" si="356"/>
        <v>2903.9799360000002</v>
      </c>
      <c r="BG576" s="387">
        <f t="shared" si="357"/>
        <v>175.35758239999998</v>
      </c>
      <c r="BH576" s="387">
        <f t="shared" si="358"/>
        <v>119.17505599999998</v>
      </c>
      <c r="BI576" s="387">
        <f t="shared" si="359"/>
        <v>134.6191704</v>
      </c>
      <c r="BJ576" s="387">
        <f t="shared" si="360"/>
        <v>65.667888000000005</v>
      </c>
      <c r="BK576" s="387">
        <f t="shared" si="361"/>
        <v>0</v>
      </c>
      <c r="BL576" s="387">
        <f t="shared" si="384"/>
        <v>5259.3897927999997</v>
      </c>
      <c r="BM576" s="387">
        <f t="shared" si="385"/>
        <v>0</v>
      </c>
      <c r="BN576" s="387">
        <f t="shared" si="362"/>
        <v>6407.5000000000009</v>
      </c>
      <c r="BO576" s="387">
        <f t="shared" si="363"/>
        <v>0</v>
      </c>
      <c r="BP576" s="387">
        <f t="shared" si="364"/>
        <v>1507.9292799999998</v>
      </c>
      <c r="BQ576" s="387">
        <f t="shared" si="365"/>
        <v>352.66088000000002</v>
      </c>
      <c r="BR576" s="387">
        <f t="shared" si="366"/>
        <v>2903.9799360000002</v>
      </c>
      <c r="BS576" s="387">
        <f t="shared" si="367"/>
        <v>175.35758239999998</v>
      </c>
      <c r="BT576" s="387">
        <f t="shared" si="368"/>
        <v>0</v>
      </c>
      <c r="BU576" s="387">
        <f t="shared" si="369"/>
        <v>134.6191704</v>
      </c>
      <c r="BV576" s="387">
        <f t="shared" si="370"/>
        <v>82.69289599999999</v>
      </c>
      <c r="BW576" s="387">
        <f t="shared" si="371"/>
        <v>0</v>
      </c>
      <c r="BX576" s="387">
        <f t="shared" si="386"/>
        <v>5157.2397447999992</v>
      </c>
      <c r="BY576" s="387">
        <f t="shared" si="387"/>
        <v>0</v>
      </c>
      <c r="BZ576" s="387">
        <f t="shared" si="388"/>
        <v>0</v>
      </c>
      <c r="CA576" s="387">
        <f t="shared" si="389"/>
        <v>0</v>
      </c>
      <c r="CB576" s="387">
        <f t="shared" si="390"/>
        <v>0</v>
      </c>
      <c r="CC576" s="387">
        <f t="shared" si="372"/>
        <v>0</v>
      </c>
      <c r="CD576" s="387">
        <f t="shared" si="373"/>
        <v>0</v>
      </c>
      <c r="CE576" s="387">
        <f t="shared" si="374"/>
        <v>0</v>
      </c>
      <c r="CF576" s="387">
        <f t="shared" si="375"/>
        <v>-119.17505599999998</v>
      </c>
      <c r="CG576" s="387">
        <f t="shared" si="376"/>
        <v>0</v>
      </c>
      <c r="CH576" s="387">
        <f t="shared" si="377"/>
        <v>17.025007999999993</v>
      </c>
      <c r="CI576" s="387">
        <f t="shared" si="378"/>
        <v>0</v>
      </c>
      <c r="CJ576" s="387">
        <f t="shared" si="391"/>
        <v>-102.150048</v>
      </c>
      <c r="CK576" s="387" t="str">
        <f t="shared" si="392"/>
        <v/>
      </c>
      <c r="CL576" s="387" t="str">
        <f t="shared" si="393"/>
        <v/>
      </c>
      <c r="CM576" s="387" t="str">
        <f t="shared" si="394"/>
        <v/>
      </c>
      <c r="CN576" s="387" t="str">
        <f t="shared" si="395"/>
        <v>0348-31</v>
      </c>
    </row>
    <row r="577" spans="1:92" ht="15.75" thickBot="1" x14ac:dyDescent="0.3">
      <c r="A577" s="376" t="s">
        <v>161</v>
      </c>
      <c r="B577" s="376" t="s">
        <v>162</v>
      </c>
      <c r="C577" s="376" t="s">
        <v>1812</v>
      </c>
      <c r="D577" s="376" t="s">
        <v>726</v>
      </c>
      <c r="E577" s="376" t="s">
        <v>224</v>
      </c>
      <c r="F577" s="382" t="s">
        <v>225</v>
      </c>
      <c r="G577" s="376" t="s">
        <v>781</v>
      </c>
      <c r="H577" s="378"/>
      <c r="I577" s="378"/>
      <c r="J577" s="376" t="s">
        <v>215</v>
      </c>
      <c r="K577" s="376" t="s">
        <v>727</v>
      </c>
      <c r="L577" s="376" t="s">
        <v>170</v>
      </c>
      <c r="M577" s="376" t="s">
        <v>171</v>
      </c>
      <c r="N577" s="376" t="s">
        <v>172</v>
      </c>
      <c r="O577" s="379">
        <v>1</v>
      </c>
      <c r="P577" s="385">
        <v>1</v>
      </c>
      <c r="Q577" s="385">
        <v>1</v>
      </c>
      <c r="R577" s="380">
        <v>80</v>
      </c>
      <c r="S577" s="385">
        <v>1</v>
      </c>
      <c r="T577" s="380">
        <v>48668</v>
      </c>
      <c r="U577" s="380">
        <v>0</v>
      </c>
      <c r="V577" s="380">
        <v>21781.21</v>
      </c>
      <c r="W577" s="380">
        <v>50710.400000000001</v>
      </c>
      <c r="X577" s="380">
        <v>22616.1</v>
      </c>
      <c r="Y577" s="380">
        <v>50710.400000000001</v>
      </c>
      <c r="Z577" s="380">
        <v>22403.119999999999</v>
      </c>
      <c r="AA577" s="376" t="s">
        <v>1813</v>
      </c>
      <c r="AB577" s="376" t="s">
        <v>1814</v>
      </c>
      <c r="AC577" s="376" t="s">
        <v>1815</v>
      </c>
      <c r="AD577" s="376" t="s">
        <v>1816</v>
      </c>
      <c r="AE577" s="376" t="s">
        <v>727</v>
      </c>
      <c r="AF577" s="376" t="s">
        <v>177</v>
      </c>
      <c r="AG577" s="376" t="s">
        <v>178</v>
      </c>
      <c r="AH577" s="381">
        <v>24.38</v>
      </c>
      <c r="AI577" s="381">
        <v>14082.5</v>
      </c>
      <c r="AJ577" s="376" t="s">
        <v>179</v>
      </c>
      <c r="AK577" s="376" t="s">
        <v>180</v>
      </c>
      <c r="AL577" s="376" t="s">
        <v>181</v>
      </c>
      <c r="AM577" s="376" t="s">
        <v>182</v>
      </c>
      <c r="AN577" s="376" t="s">
        <v>68</v>
      </c>
      <c r="AO577" s="379">
        <v>80</v>
      </c>
      <c r="AP577" s="385">
        <v>1</v>
      </c>
      <c r="AQ577" s="385">
        <v>1</v>
      </c>
      <c r="AR577" s="383" t="s">
        <v>183</v>
      </c>
      <c r="AS577" s="387">
        <f t="shared" si="379"/>
        <v>1</v>
      </c>
      <c r="AT577">
        <f t="shared" si="380"/>
        <v>1</v>
      </c>
      <c r="AU577" s="387">
        <f>IF(AT577=0,"",IF(AND(AT577=1,M577="F",SUMIF(C2:C1334,C577,AS2:AS1334)&lt;=1),SUMIF(C2:C1334,C577,AS2:AS1334),IF(AND(AT577=1,M577="F",SUMIF(C2:C1334,C577,AS2:AS1334)&gt;1),1,"")))</f>
        <v>1</v>
      </c>
      <c r="AV577" s="387" t="str">
        <f>IF(AT577=0,"",IF(AND(AT577=3,M577="F",SUMIF(C2:C1334,C577,AS2:AS1334)&lt;=1),SUMIF(C2:C1334,C577,AS2:AS1334),IF(AND(AT577=3,M577="F",SUMIF(C2:C1334,C577,AS2:AS1334)&gt;1),1,"")))</f>
        <v/>
      </c>
      <c r="AW577" s="387">
        <f>SUMIF(C2:C1334,C577,O2:O1334)</f>
        <v>1</v>
      </c>
      <c r="AX577" s="387">
        <f>IF(AND(M577="F",AS577&lt;&gt;0),SUMIF(C2:C1334,C577,W2:W1334),0)</f>
        <v>50710.400000000001</v>
      </c>
      <c r="AY577" s="387">
        <f t="shared" si="381"/>
        <v>50710.400000000001</v>
      </c>
      <c r="AZ577" s="387" t="str">
        <f t="shared" si="382"/>
        <v/>
      </c>
      <c r="BA577" s="387">
        <f t="shared" si="383"/>
        <v>0</v>
      </c>
      <c r="BB577" s="387">
        <f t="shared" si="352"/>
        <v>11650</v>
      </c>
      <c r="BC577" s="387">
        <f t="shared" si="353"/>
        <v>0</v>
      </c>
      <c r="BD577" s="387">
        <f t="shared" si="354"/>
        <v>3144.0448000000001</v>
      </c>
      <c r="BE577" s="387">
        <f t="shared" si="355"/>
        <v>735.30080000000009</v>
      </c>
      <c r="BF577" s="387">
        <f t="shared" si="356"/>
        <v>6054.8217600000007</v>
      </c>
      <c r="BG577" s="387">
        <f t="shared" si="357"/>
        <v>365.621984</v>
      </c>
      <c r="BH577" s="387">
        <f t="shared" si="358"/>
        <v>248.48096000000001</v>
      </c>
      <c r="BI577" s="387">
        <f t="shared" si="359"/>
        <v>280.68206400000003</v>
      </c>
      <c r="BJ577" s="387">
        <f t="shared" si="360"/>
        <v>136.91808</v>
      </c>
      <c r="BK577" s="387">
        <f t="shared" si="361"/>
        <v>0</v>
      </c>
      <c r="BL577" s="387">
        <f t="shared" si="384"/>
        <v>10965.870448000001</v>
      </c>
      <c r="BM577" s="387">
        <f t="shared" si="385"/>
        <v>0</v>
      </c>
      <c r="BN577" s="387">
        <f t="shared" si="362"/>
        <v>11650</v>
      </c>
      <c r="BO577" s="387">
        <f t="shared" si="363"/>
        <v>0</v>
      </c>
      <c r="BP577" s="387">
        <f t="shared" si="364"/>
        <v>3144.0448000000001</v>
      </c>
      <c r="BQ577" s="387">
        <f t="shared" si="365"/>
        <v>735.30080000000009</v>
      </c>
      <c r="BR577" s="387">
        <f t="shared" si="366"/>
        <v>6054.8217600000007</v>
      </c>
      <c r="BS577" s="387">
        <f t="shared" si="367"/>
        <v>365.621984</v>
      </c>
      <c r="BT577" s="387">
        <f t="shared" si="368"/>
        <v>0</v>
      </c>
      <c r="BU577" s="387">
        <f t="shared" si="369"/>
        <v>280.68206400000003</v>
      </c>
      <c r="BV577" s="387">
        <f t="shared" si="370"/>
        <v>172.41535999999999</v>
      </c>
      <c r="BW577" s="387">
        <f t="shared" si="371"/>
        <v>0</v>
      </c>
      <c r="BX577" s="387">
        <f t="shared" si="386"/>
        <v>10752.886768000002</v>
      </c>
      <c r="BY577" s="387">
        <f t="shared" si="387"/>
        <v>0</v>
      </c>
      <c r="BZ577" s="387">
        <f t="shared" si="388"/>
        <v>0</v>
      </c>
      <c r="CA577" s="387">
        <f t="shared" si="389"/>
        <v>0</v>
      </c>
      <c r="CB577" s="387">
        <f t="shared" si="390"/>
        <v>0</v>
      </c>
      <c r="CC577" s="387">
        <f t="shared" si="372"/>
        <v>0</v>
      </c>
      <c r="CD577" s="387">
        <f t="shared" si="373"/>
        <v>0</v>
      </c>
      <c r="CE577" s="387">
        <f t="shared" si="374"/>
        <v>0</v>
      </c>
      <c r="CF577" s="387">
        <f t="shared" si="375"/>
        <v>-248.48096000000001</v>
      </c>
      <c r="CG577" s="387">
        <f t="shared" si="376"/>
        <v>0</v>
      </c>
      <c r="CH577" s="387">
        <f t="shared" si="377"/>
        <v>35.497279999999982</v>
      </c>
      <c r="CI577" s="387">
        <f t="shared" si="378"/>
        <v>0</v>
      </c>
      <c r="CJ577" s="387">
        <f t="shared" si="391"/>
        <v>-212.98368000000002</v>
      </c>
      <c r="CK577" s="387" t="str">
        <f t="shared" si="392"/>
        <v/>
      </c>
      <c r="CL577" s="387" t="str">
        <f t="shared" si="393"/>
        <v/>
      </c>
      <c r="CM577" s="387" t="str">
        <f t="shared" si="394"/>
        <v/>
      </c>
      <c r="CN577" s="387" t="str">
        <f t="shared" si="395"/>
        <v>0348-31</v>
      </c>
    </row>
    <row r="578" spans="1:92" ht="15.75" thickBot="1" x14ac:dyDescent="0.3">
      <c r="A578" s="376" t="s">
        <v>161</v>
      </c>
      <c r="B578" s="376" t="s">
        <v>162</v>
      </c>
      <c r="C578" s="376" t="s">
        <v>1817</v>
      </c>
      <c r="D578" s="376" t="s">
        <v>868</v>
      </c>
      <c r="E578" s="376" t="s">
        <v>224</v>
      </c>
      <c r="F578" s="382" t="s">
        <v>225</v>
      </c>
      <c r="G578" s="376" t="s">
        <v>781</v>
      </c>
      <c r="H578" s="378"/>
      <c r="I578" s="378"/>
      <c r="J578" s="376" t="s">
        <v>215</v>
      </c>
      <c r="K578" s="376" t="s">
        <v>869</v>
      </c>
      <c r="L578" s="376" t="s">
        <v>296</v>
      </c>
      <c r="M578" s="376" t="s">
        <v>171</v>
      </c>
      <c r="N578" s="376" t="s">
        <v>172</v>
      </c>
      <c r="O578" s="379">
        <v>1</v>
      </c>
      <c r="P578" s="385">
        <v>0</v>
      </c>
      <c r="Q578" s="385">
        <v>0</v>
      </c>
      <c r="R578" s="380">
        <v>80</v>
      </c>
      <c r="S578" s="385">
        <v>0</v>
      </c>
      <c r="T578" s="380">
        <v>4944</v>
      </c>
      <c r="U578" s="380">
        <v>0</v>
      </c>
      <c r="V578" s="380">
        <v>2964.46</v>
      </c>
      <c r="W578" s="380">
        <v>0</v>
      </c>
      <c r="X578" s="380">
        <v>0</v>
      </c>
      <c r="Y578" s="380">
        <v>0</v>
      </c>
      <c r="Z578" s="380">
        <v>0</v>
      </c>
      <c r="AA578" s="376" t="s">
        <v>1818</v>
      </c>
      <c r="AB578" s="376" t="s">
        <v>1819</v>
      </c>
      <c r="AC578" s="376" t="s">
        <v>1518</v>
      </c>
      <c r="AD578" s="376" t="s">
        <v>1820</v>
      </c>
      <c r="AE578" s="376" t="s">
        <v>873</v>
      </c>
      <c r="AF578" s="376" t="s">
        <v>393</v>
      </c>
      <c r="AG578" s="376" t="s">
        <v>178</v>
      </c>
      <c r="AH578" s="381">
        <v>20.6</v>
      </c>
      <c r="AI578" s="379">
        <v>320</v>
      </c>
      <c r="AJ578" s="376" t="s">
        <v>179</v>
      </c>
      <c r="AK578" s="376" t="s">
        <v>180</v>
      </c>
      <c r="AL578" s="376" t="s">
        <v>181</v>
      </c>
      <c r="AM578" s="376" t="s">
        <v>182</v>
      </c>
      <c r="AN578" s="376" t="s">
        <v>68</v>
      </c>
      <c r="AO578" s="379">
        <v>80</v>
      </c>
      <c r="AP578" s="385">
        <v>1</v>
      </c>
      <c r="AQ578" s="385">
        <v>0</v>
      </c>
      <c r="AR578" s="383">
        <v>3</v>
      </c>
      <c r="AS578" s="387">
        <f t="shared" si="379"/>
        <v>0</v>
      </c>
      <c r="AT578">
        <f t="shared" si="380"/>
        <v>0</v>
      </c>
      <c r="AU578" s="387" t="str">
        <f>IF(AT578=0,"",IF(AND(AT578=1,M578="F",SUMIF(C2:C1334,C578,AS2:AS1334)&lt;=1),SUMIF(C2:C1334,C578,AS2:AS1334),IF(AND(AT578=1,M578="F",SUMIF(C2:C1334,C578,AS2:AS1334)&gt;1),1,"")))</f>
        <v/>
      </c>
      <c r="AV578" s="387" t="str">
        <f>IF(AT578=0,"",IF(AND(AT578=3,M578="F",SUMIF(C2:C1334,C578,AS2:AS1334)&lt;=1),SUMIF(C2:C1334,C578,AS2:AS1334),IF(AND(AT578=3,M578="F",SUMIF(C2:C1334,C578,AS2:AS1334)&gt;1),1,"")))</f>
        <v/>
      </c>
      <c r="AW578" s="387">
        <f>SUMIF(C2:C1334,C578,O2:O1334)</f>
        <v>2</v>
      </c>
      <c r="AX578" s="387">
        <f>IF(AND(M578="F",AS578&lt;&gt;0),SUMIF(C2:C1334,C578,W2:W1334),0)</f>
        <v>0</v>
      </c>
      <c r="AY578" s="387" t="str">
        <f t="shared" si="381"/>
        <v/>
      </c>
      <c r="AZ578" s="387" t="str">
        <f t="shared" si="382"/>
        <v/>
      </c>
      <c r="BA578" s="387">
        <f t="shared" si="383"/>
        <v>0</v>
      </c>
      <c r="BB578" s="387">
        <f t="shared" ref="BB578:BB641" si="396">IF(AND(AT578=1,AK578="E",AU578&gt;=0.75,AW578=1),Health,IF(AND(AT578=1,AK578="E",AU578&gt;=0.75),Health*P578,IF(AND(AT578=1,AK578="E",AU578&gt;=0.5,AW578=1),PTHealth,IF(AND(AT578=1,AK578="E",AU578&gt;=0.5),PTHealth*P578,0))))</f>
        <v>0</v>
      </c>
      <c r="BC578" s="387">
        <f t="shared" ref="BC578:BC641" si="397">IF(AND(AT578=3,AK578="E",AV578&gt;=0.75,AW578=1),Health,IF(AND(AT578=3,AK578="E",AV578&gt;=0.75),Health*P578,IF(AND(AT578=3,AK578="E",AV578&gt;=0.5,AW578=1),PTHealth,IF(AND(AT578=3,AK578="E",AV578&gt;=0.5),PTHealth*P578,0))))</f>
        <v>0</v>
      </c>
      <c r="BD578" s="387">
        <f t="shared" ref="BD578:BD641" si="398">IF(AND(AT578&lt;&gt;0,AX578&gt;=MAXSSDI),SSDI*MAXSSDI*P578,IF(AT578&lt;&gt;0,SSDI*W578,0))</f>
        <v>0</v>
      </c>
      <c r="BE578" s="387">
        <f t="shared" ref="BE578:BE641" si="399">IF(AT578&lt;&gt;0,SSHI*W578,0)</f>
        <v>0</v>
      </c>
      <c r="BF578" s="387">
        <f t="shared" ref="BF578:BF641" si="400">IF(AND(AT578&lt;&gt;0,AN578&lt;&gt;"NE"),VLOOKUP(AN578,Retirement_Rates,3,FALSE)*W578,0)</f>
        <v>0</v>
      </c>
      <c r="BG578" s="387">
        <f t="shared" ref="BG578:BG641" si="401">IF(AND(AT578&lt;&gt;0,AJ578&lt;&gt;"PF"),Life*W578,0)</f>
        <v>0</v>
      </c>
      <c r="BH578" s="387">
        <f t="shared" ref="BH578:BH641" si="402">IF(AND(AT578&lt;&gt;0,AM578="Y"),UI*W578,0)</f>
        <v>0</v>
      </c>
      <c r="BI578" s="387">
        <f t="shared" ref="BI578:BI641" si="403">IF(AND(AT578&lt;&gt;0,N578&lt;&gt;"NR"),DHR*W578,0)</f>
        <v>0</v>
      </c>
      <c r="BJ578" s="387">
        <f t="shared" ref="BJ578:BJ641" si="404">IF(AT578&lt;&gt;0,WC*W578,0)</f>
        <v>0</v>
      </c>
      <c r="BK578" s="387">
        <f t="shared" ref="BK578:BK641" si="405">IF(OR(AND(AT578&lt;&gt;0,AJ578&lt;&gt;"PF",AN578&lt;&gt;"NE",AG578&lt;&gt;"A"),AND(AL578="E",OR(AT578=1,AT578=3))),Sick*W578,0)</f>
        <v>0</v>
      </c>
      <c r="BL578" s="387">
        <f t="shared" si="384"/>
        <v>0</v>
      </c>
      <c r="BM578" s="387">
        <f t="shared" si="385"/>
        <v>0</v>
      </c>
      <c r="BN578" s="387">
        <f t="shared" ref="BN578:BN641" si="406">IF(AND(AT578=1,AK578="E",AU578&gt;=0.75,AW578=1),HealthBY,IF(AND(AT578=1,AK578="E",AU578&gt;=0.75),HealthBY*P578,IF(AND(AT578=1,AK578="E",AU578&gt;=0.5,AW578=1),PTHealthBY,IF(AND(AT578=1,AK578="E",AU578&gt;=0.5),PTHealthBY*P578,0))))</f>
        <v>0</v>
      </c>
      <c r="BO578" s="387">
        <f t="shared" ref="BO578:BO641" si="407">IF(AND(AT578=3,AK578="E",AV578&gt;=0.75,AW578=1),HealthBY,IF(AND(AT578=3,AK578="E",AV578&gt;=0.75),HealthBY*P578,IF(AND(AT578=3,AK578="E",AV578&gt;=0.5,AW578=1),PTHealthBY,IF(AND(AT578=3,AK578="E",AV578&gt;=0.5),PTHealthBY*P578,0))))</f>
        <v>0</v>
      </c>
      <c r="BP578" s="387">
        <f t="shared" ref="BP578:BP641" si="408">IF(AND(AT578&lt;&gt;0,(AX578+BA578)&gt;=MAXSSDIBY),SSDIBY*MAXSSDIBY*P578,IF(AT578&lt;&gt;0,SSDIBY*W578,0))</f>
        <v>0</v>
      </c>
      <c r="BQ578" s="387">
        <f t="shared" ref="BQ578:BQ641" si="409">IF(AT578&lt;&gt;0,SSHIBY*W578,0)</f>
        <v>0</v>
      </c>
      <c r="BR578" s="387">
        <f t="shared" ref="BR578:BR641" si="410">IF(AND(AT578&lt;&gt;0,AN578&lt;&gt;"NE"),VLOOKUP(AN578,Retirement_Rates,4,FALSE)*W578,0)</f>
        <v>0</v>
      </c>
      <c r="BS578" s="387">
        <f t="shared" ref="BS578:BS641" si="411">IF(AND(AT578&lt;&gt;0,AJ578&lt;&gt;"PF"),LifeBY*W578,0)</f>
        <v>0</v>
      </c>
      <c r="BT578" s="387">
        <f t="shared" ref="BT578:BT641" si="412">IF(AND(AT578&lt;&gt;0,AM578="Y"),UIBY*W578,0)</f>
        <v>0</v>
      </c>
      <c r="BU578" s="387">
        <f t="shared" ref="BU578:BU641" si="413">IF(AND(AT578&lt;&gt;0,N578&lt;&gt;"NR"),DHRBY*W578,0)</f>
        <v>0</v>
      </c>
      <c r="BV578" s="387">
        <f t="shared" ref="BV578:BV641" si="414">IF(AT578&lt;&gt;0,WCBY*W578,0)</f>
        <v>0</v>
      </c>
      <c r="BW578" s="387">
        <f t="shared" ref="BW578:BW641" si="415">IF(OR(AND(AT578&lt;&gt;0,AJ578&lt;&gt;"PF",AN578&lt;&gt;"NE",AG578&lt;&gt;"A"),AND(AL578="E",OR(AT578=1,AT578=3))),SickBY*W578,0)</f>
        <v>0</v>
      </c>
      <c r="BX578" s="387">
        <f t="shared" si="386"/>
        <v>0</v>
      </c>
      <c r="BY578" s="387">
        <f t="shared" si="387"/>
        <v>0</v>
      </c>
      <c r="BZ578" s="387">
        <f t="shared" si="388"/>
        <v>0</v>
      </c>
      <c r="CA578" s="387">
        <f t="shared" si="389"/>
        <v>0</v>
      </c>
      <c r="CB578" s="387">
        <f t="shared" si="390"/>
        <v>0</v>
      </c>
      <c r="CC578" s="387">
        <f t="shared" ref="CC578:CC641" si="416">IF(AT578&lt;&gt;0,SSHICHG*Y578,0)</f>
        <v>0</v>
      </c>
      <c r="CD578" s="387">
        <f t="shared" ref="CD578:CD641" si="417">IF(AND(AT578&lt;&gt;0,AN578&lt;&gt;"NE"),VLOOKUP(AN578,Retirement_Rates,5,FALSE)*Y578,0)</f>
        <v>0</v>
      </c>
      <c r="CE578" s="387">
        <f t="shared" ref="CE578:CE641" si="418">IF(AND(AT578&lt;&gt;0,AJ578&lt;&gt;"PF"),LifeCHG*Y578,0)</f>
        <v>0</v>
      </c>
      <c r="CF578" s="387">
        <f t="shared" ref="CF578:CF641" si="419">IF(AND(AT578&lt;&gt;0,AM578="Y"),UICHG*Y578,0)</f>
        <v>0</v>
      </c>
      <c r="CG578" s="387">
        <f t="shared" ref="CG578:CG641" si="420">IF(AND(AT578&lt;&gt;0,N578&lt;&gt;"NR"),DHRCHG*Y578,0)</f>
        <v>0</v>
      </c>
      <c r="CH578" s="387">
        <f t="shared" ref="CH578:CH641" si="421">IF(AT578&lt;&gt;0,WCCHG*Y578,0)</f>
        <v>0</v>
      </c>
      <c r="CI578" s="387">
        <f t="shared" ref="CI578:CI641" si="422">IF(OR(AND(AT578&lt;&gt;0,AJ578&lt;&gt;"PF",AN578&lt;&gt;"NE",AG578&lt;&gt;"A"),AND(AL578="E",OR(AT578=1,AT578=3))),SickCHG*Y578,0)</f>
        <v>0</v>
      </c>
      <c r="CJ578" s="387">
        <f t="shared" si="391"/>
        <v>0</v>
      </c>
      <c r="CK578" s="387" t="str">
        <f t="shared" si="392"/>
        <v/>
      </c>
      <c r="CL578" s="387" t="str">
        <f t="shared" si="393"/>
        <v/>
      </c>
      <c r="CM578" s="387" t="str">
        <f t="shared" si="394"/>
        <v/>
      </c>
      <c r="CN578" s="387" t="str">
        <f t="shared" si="395"/>
        <v>0348-31</v>
      </c>
    </row>
    <row r="579" spans="1:92" ht="15.75" thickBot="1" x14ac:dyDescent="0.3">
      <c r="A579" s="376" t="s">
        <v>161</v>
      </c>
      <c r="B579" s="376" t="s">
        <v>162</v>
      </c>
      <c r="C579" s="376" t="s">
        <v>1821</v>
      </c>
      <c r="D579" s="376" t="s">
        <v>375</v>
      </c>
      <c r="E579" s="376" t="s">
        <v>224</v>
      </c>
      <c r="F579" s="382" t="s">
        <v>225</v>
      </c>
      <c r="G579" s="376" t="s">
        <v>781</v>
      </c>
      <c r="H579" s="378"/>
      <c r="I579" s="378"/>
      <c r="J579" s="376" t="s">
        <v>215</v>
      </c>
      <c r="K579" s="376" t="s">
        <v>376</v>
      </c>
      <c r="L579" s="376" t="s">
        <v>178</v>
      </c>
      <c r="M579" s="376" t="s">
        <v>272</v>
      </c>
      <c r="N579" s="376" t="s">
        <v>172</v>
      </c>
      <c r="O579" s="379">
        <v>0</v>
      </c>
      <c r="P579" s="385">
        <v>0</v>
      </c>
      <c r="Q579" s="385">
        <v>0</v>
      </c>
      <c r="R579" s="380">
        <v>80</v>
      </c>
      <c r="S579" s="385">
        <v>0</v>
      </c>
      <c r="T579" s="380">
        <v>3254.62</v>
      </c>
      <c r="U579" s="380">
        <v>0</v>
      </c>
      <c r="V579" s="380">
        <v>1383.35</v>
      </c>
      <c r="W579" s="380">
        <v>0</v>
      </c>
      <c r="X579" s="380">
        <v>0</v>
      </c>
      <c r="Y579" s="380">
        <v>0</v>
      </c>
      <c r="Z579" s="380">
        <v>0</v>
      </c>
      <c r="AA579" s="378"/>
      <c r="AB579" s="376" t="s">
        <v>45</v>
      </c>
      <c r="AC579" s="376" t="s">
        <v>45</v>
      </c>
      <c r="AD579" s="378"/>
      <c r="AE579" s="378"/>
      <c r="AF579" s="378"/>
      <c r="AG579" s="378"/>
      <c r="AH579" s="379">
        <v>0</v>
      </c>
      <c r="AI579" s="379">
        <v>0</v>
      </c>
      <c r="AJ579" s="378"/>
      <c r="AK579" s="378"/>
      <c r="AL579" s="376" t="s">
        <v>181</v>
      </c>
      <c r="AM579" s="378"/>
      <c r="AN579" s="378"/>
      <c r="AO579" s="379">
        <v>0</v>
      </c>
      <c r="AP579" s="385">
        <v>0</v>
      </c>
      <c r="AQ579" s="385">
        <v>0</v>
      </c>
      <c r="AR579" s="384"/>
      <c r="AS579" s="387">
        <f t="shared" ref="AS579:AS642" si="423">IF(((AO579/80)*AP579*P579)&gt;1,AQ579,((AO579/80)*AP579*P579))</f>
        <v>0</v>
      </c>
      <c r="AT579">
        <f t="shared" ref="AT579:AT642" si="424">IF(AND(M579="F",N579&lt;&gt;"NG",AS579&lt;&gt;0,AND(AR579&lt;&gt;6,AR579&lt;&gt;36,AR579&lt;&gt;56),AG579&lt;&gt;"A",OR(AG579="H",AJ579="FS")),1,IF(AND(M579="F",N579&lt;&gt;"NG",AS579&lt;&gt;0,AG579="A"),3,0))</f>
        <v>0</v>
      </c>
      <c r="AU579" s="387" t="str">
        <f>IF(AT579=0,"",IF(AND(AT579=1,M579="F",SUMIF(C2:C1334,C579,AS2:AS1334)&lt;=1),SUMIF(C2:C1334,C579,AS2:AS1334),IF(AND(AT579=1,M579="F",SUMIF(C2:C1334,C579,AS2:AS1334)&gt;1),1,"")))</f>
        <v/>
      </c>
      <c r="AV579" s="387" t="str">
        <f>IF(AT579=0,"",IF(AND(AT579=3,M579="F",SUMIF(C2:C1334,C579,AS2:AS1334)&lt;=1),SUMIF(C2:C1334,C579,AS2:AS1334),IF(AND(AT579=3,M579="F",SUMIF(C2:C1334,C579,AS2:AS1334)&gt;1),1,"")))</f>
        <v/>
      </c>
      <c r="AW579" s="387">
        <f>SUMIF(C2:C1334,C579,O2:O1334)</f>
        <v>0</v>
      </c>
      <c r="AX579" s="387">
        <f>IF(AND(M579="F",AS579&lt;&gt;0),SUMIF(C2:C1334,C579,W2:W1334),0)</f>
        <v>0</v>
      </c>
      <c r="AY579" s="387" t="str">
        <f t="shared" ref="AY579:AY642" si="425">IF(AT579=1,W579,"")</f>
        <v/>
      </c>
      <c r="AZ579" s="387" t="str">
        <f t="shared" ref="AZ579:AZ642" si="426">IF(AT579=3,W579,"")</f>
        <v/>
      </c>
      <c r="BA579" s="387">
        <f t="shared" ref="BA579:BA642" si="427">IF(AT579=1,Y579-W579,0)</f>
        <v>0</v>
      </c>
      <c r="BB579" s="387">
        <f t="shared" si="396"/>
        <v>0</v>
      </c>
      <c r="BC579" s="387">
        <f t="shared" si="397"/>
        <v>0</v>
      </c>
      <c r="BD579" s="387">
        <f t="shared" si="398"/>
        <v>0</v>
      </c>
      <c r="BE579" s="387">
        <f t="shared" si="399"/>
        <v>0</v>
      </c>
      <c r="BF579" s="387">
        <f t="shared" si="400"/>
        <v>0</v>
      </c>
      <c r="BG579" s="387">
        <f t="shared" si="401"/>
        <v>0</v>
      </c>
      <c r="BH579" s="387">
        <f t="shared" si="402"/>
        <v>0</v>
      </c>
      <c r="BI579" s="387">
        <f t="shared" si="403"/>
        <v>0</v>
      </c>
      <c r="BJ579" s="387">
        <f t="shared" si="404"/>
        <v>0</v>
      </c>
      <c r="BK579" s="387">
        <f t="shared" si="405"/>
        <v>0</v>
      </c>
      <c r="BL579" s="387">
        <f t="shared" ref="BL579:BL642" si="428">IF(AT579=1,SUM(BD579:BK579),0)</f>
        <v>0</v>
      </c>
      <c r="BM579" s="387">
        <f t="shared" ref="BM579:BM642" si="429">IF(AT579=3,SUM(BD579:BK579),0)</f>
        <v>0</v>
      </c>
      <c r="BN579" s="387">
        <f t="shared" si="406"/>
        <v>0</v>
      </c>
      <c r="BO579" s="387">
        <f t="shared" si="407"/>
        <v>0</v>
      </c>
      <c r="BP579" s="387">
        <f t="shared" si="408"/>
        <v>0</v>
      </c>
      <c r="BQ579" s="387">
        <f t="shared" si="409"/>
        <v>0</v>
      </c>
      <c r="BR579" s="387">
        <f t="shared" si="410"/>
        <v>0</v>
      </c>
      <c r="BS579" s="387">
        <f t="shared" si="411"/>
        <v>0</v>
      </c>
      <c r="BT579" s="387">
        <f t="shared" si="412"/>
        <v>0</v>
      </c>
      <c r="BU579" s="387">
        <f t="shared" si="413"/>
        <v>0</v>
      </c>
      <c r="BV579" s="387">
        <f t="shared" si="414"/>
        <v>0</v>
      </c>
      <c r="BW579" s="387">
        <f t="shared" si="415"/>
        <v>0</v>
      </c>
      <c r="BX579" s="387">
        <f t="shared" ref="BX579:BX642" si="430">IF(AT579=1,SUM(BP579:BW579),0)</f>
        <v>0</v>
      </c>
      <c r="BY579" s="387">
        <f t="shared" ref="BY579:BY642" si="431">IF(AT579=3,SUM(BP579:BW579),0)</f>
        <v>0</v>
      </c>
      <c r="BZ579" s="387">
        <f t="shared" ref="BZ579:BZ642" si="432">IF(AT579=1,BN579-BB579,0)</f>
        <v>0</v>
      </c>
      <c r="CA579" s="387">
        <f t="shared" ref="CA579:CA642" si="433">IF(AT579=3,BO579-BC579,0)</f>
        <v>0</v>
      </c>
      <c r="CB579" s="387">
        <f t="shared" ref="CB579:CB642" si="434">BP579-BD579</f>
        <v>0</v>
      </c>
      <c r="CC579" s="387">
        <f t="shared" si="416"/>
        <v>0</v>
      </c>
      <c r="CD579" s="387">
        <f t="shared" si="417"/>
        <v>0</v>
      </c>
      <c r="CE579" s="387">
        <f t="shared" si="418"/>
        <v>0</v>
      </c>
      <c r="CF579" s="387">
        <f t="shared" si="419"/>
        <v>0</v>
      </c>
      <c r="CG579" s="387">
        <f t="shared" si="420"/>
        <v>0</v>
      </c>
      <c r="CH579" s="387">
        <f t="shared" si="421"/>
        <v>0</v>
      </c>
      <c r="CI579" s="387">
        <f t="shared" si="422"/>
        <v>0</v>
      </c>
      <c r="CJ579" s="387">
        <f t="shared" ref="CJ579:CJ642" si="435">IF(AT579=1,SUM(CB579:CI579),0)</f>
        <v>0</v>
      </c>
      <c r="CK579" s="387" t="str">
        <f t="shared" ref="CK579:CK642" si="436">IF(AT579=3,SUM(CB579:CI579),"")</f>
        <v/>
      </c>
      <c r="CL579" s="387" t="str">
        <f t="shared" ref="CL579:CL642" si="437">IF(OR(N579="NG",AG579="D"),(T579+U579),"")</f>
        <v/>
      </c>
      <c r="CM579" s="387" t="str">
        <f t="shared" ref="CM579:CM642" si="438">IF(OR(N579="NG",AG579="D"),V579,"")</f>
        <v/>
      </c>
      <c r="CN579" s="387" t="str">
        <f t="shared" ref="CN579:CN642" si="439">E579 &amp; "-" &amp; F579</f>
        <v>0348-31</v>
      </c>
    </row>
    <row r="580" spans="1:92" ht="15.75" thickBot="1" x14ac:dyDescent="0.3">
      <c r="A580" s="376" t="s">
        <v>161</v>
      </c>
      <c r="B580" s="376" t="s">
        <v>162</v>
      </c>
      <c r="C580" s="376" t="s">
        <v>1822</v>
      </c>
      <c r="D580" s="376" t="s">
        <v>862</v>
      </c>
      <c r="E580" s="376" t="s">
        <v>224</v>
      </c>
      <c r="F580" s="382" t="s">
        <v>225</v>
      </c>
      <c r="G580" s="376" t="s">
        <v>781</v>
      </c>
      <c r="H580" s="378"/>
      <c r="I580" s="378"/>
      <c r="J580" s="376" t="s">
        <v>215</v>
      </c>
      <c r="K580" s="376" t="s">
        <v>863</v>
      </c>
      <c r="L580" s="376" t="s">
        <v>252</v>
      </c>
      <c r="M580" s="376" t="s">
        <v>171</v>
      </c>
      <c r="N580" s="376" t="s">
        <v>877</v>
      </c>
      <c r="O580" s="379">
        <v>1</v>
      </c>
      <c r="P580" s="385">
        <v>1</v>
      </c>
      <c r="Q580" s="385">
        <v>1</v>
      </c>
      <c r="R580" s="380">
        <v>80</v>
      </c>
      <c r="S580" s="385">
        <v>1</v>
      </c>
      <c r="T580" s="380">
        <v>36700.519999999997</v>
      </c>
      <c r="U580" s="380">
        <v>395</v>
      </c>
      <c r="V580" s="380">
        <v>19884.11</v>
      </c>
      <c r="W580" s="380">
        <v>39291.199999999997</v>
      </c>
      <c r="X580" s="380">
        <v>20146.68</v>
      </c>
      <c r="Y580" s="380">
        <v>39291.199999999997</v>
      </c>
      <c r="Z580" s="380">
        <v>19981.669999999998</v>
      </c>
      <c r="AA580" s="376" t="s">
        <v>1823</v>
      </c>
      <c r="AB580" s="376" t="s">
        <v>1824</v>
      </c>
      <c r="AC580" s="376" t="s">
        <v>1825</v>
      </c>
      <c r="AD580" s="376" t="s">
        <v>419</v>
      </c>
      <c r="AE580" s="376" t="s">
        <v>863</v>
      </c>
      <c r="AF580" s="376" t="s">
        <v>393</v>
      </c>
      <c r="AG580" s="376" t="s">
        <v>178</v>
      </c>
      <c r="AH580" s="381">
        <v>18.89</v>
      </c>
      <c r="AI580" s="381">
        <v>3228.3</v>
      </c>
      <c r="AJ580" s="376" t="s">
        <v>179</v>
      </c>
      <c r="AK580" s="376" t="s">
        <v>180</v>
      </c>
      <c r="AL580" s="376" t="s">
        <v>181</v>
      </c>
      <c r="AM580" s="376" t="s">
        <v>182</v>
      </c>
      <c r="AN580" s="376" t="s">
        <v>68</v>
      </c>
      <c r="AO580" s="379">
        <v>80</v>
      </c>
      <c r="AP580" s="385">
        <v>1</v>
      </c>
      <c r="AQ580" s="385">
        <v>1</v>
      </c>
      <c r="AR580" s="383" t="s">
        <v>183</v>
      </c>
      <c r="AS580" s="387">
        <f t="shared" si="423"/>
        <v>1</v>
      </c>
      <c r="AT580">
        <f t="shared" si="424"/>
        <v>1</v>
      </c>
      <c r="AU580" s="387">
        <f>IF(AT580=0,"",IF(AND(AT580=1,M580="F",SUMIF(C2:C1334,C580,AS2:AS1334)&lt;=1),SUMIF(C2:C1334,C580,AS2:AS1334),IF(AND(AT580=1,M580="F",SUMIF(C2:C1334,C580,AS2:AS1334)&gt;1),1,"")))</f>
        <v>1</v>
      </c>
      <c r="AV580" s="387" t="str">
        <f>IF(AT580=0,"",IF(AND(AT580=3,M580="F",SUMIF(C2:C1334,C580,AS2:AS1334)&lt;=1),SUMIF(C2:C1334,C580,AS2:AS1334),IF(AND(AT580=3,M580="F",SUMIF(C2:C1334,C580,AS2:AS1334)&gt;1),1,"")))</f>
        <v/>
      </c>
      <c r="AW580" s="387">
        <f>SUMIF(C2:C1334,C580,O2:O1334)</f>
        <v>1</v>
      </c>
      <c r="AX580" s="387">
        <f>IF(AND(M580="F",AS580&lt;&gt;0),SUMIF(C2:C1334,C580,W2:W1334),0)</f>
        <v>39291.199999999997</v>
      </c>
      <c r="AY580" s="387">
        <f t="shared" si="425"/>
        <v>39291.199999999997</v>
      </c>
      <c r="AZ580" s="387" t="str">
        <f t="shared" si="426"/>
        <v/>
      </c>
      <c r="BA580" s="387">
        <f t="shared" si="427"/>
        <v>0</v>
      </c>
      <c r="BB580" s="387">
        <f t="shared" si="396"/>
        <v>11650</v>
      </c>
      <c r="BC580" s="387">
        <f t="shared" si="397"/>
        <v>0</v>
      </c>
      <c r="BD580" s="387">
        <f t="shared" si="398"/>
        <v>2436.0544</v>
      </c>
      <c r="BE580" s="387">
        <f t="shared" si="399"/>
        <v>569.72239999999999</v>
      </c>
      <c r="BF580" s="387">
        <f t="shared" si="400"/>
        <v>4691.3692799999999</v>
      </c>
      <c r="BG580" s="387">
        <f t="shared" si="401"/>
        <v>283.28955200000001</v>
      </c>
      <c r="BH580" s="387">
        <f t="shared" si="402"/>
        <v>192.52687999999998</v>
      </c>
      <c r="BI580" s="387">
        <f t="shared" si="403"/>
        <v>217.47679199999999</v>
      </c>
      <c r="BJ580" s="387">
        <f t="shared" si="404"/>
        <v>106.08624</v>
      </c>
      <c r="BK580" s="387">
        <f t="shared" si="405"/>
        <v>0</v>
      </c>
      <c r="BL580" s="387">
        <f t="shared" si="428"/>
        <v>8496.5255440000019</v>
      </c>
      <c r="BM580" s="387">
        <f t="shared" si="429"/>
        <v>0</v>
      </c>
      <c r="BN580" s="387">
        <f t="shared" si="406"/>
        <v>11650</v>
      </c>
      <c r="BO580" s="387">
        <f t="shared" si="407"/>
        <v>0</v>
      </c>
      <c r="BP580" s="387">
        <f t="shared" si="408"/>
        <v>2436.0544</v>
      </c>
      <c r="BQ580" s="387">
        <f t="shared" si="409"/>
        <v>569.72239999999999</v>
      </c>
      <c r="BR580" s="387">
        <f t="shared" si="410"/>
        <v>4691.3692799999999</v>
      </c>
      <c r="BS580" s="387">
        <f t="shared" si="411"/>
        <v>283.28955200000001</v>
      </c>
      <c r="BT580" s="387">
        <f t="shared" si="412"/>
        <v>0</v>
      </c>
      <c r="BU580" s="387">
        <f t="shared" si="413"/>
        <v>217.47679199999999</v>
      </c>
      <c r="BV580" s="387">
        <f t="shared" si="414"/>
        <v>133.59007999999997</v>
      </c>
      <c r="BW580" s="387">
        <f t="shared" si="415"/>
        <v>0</v>
      </c>
      <c r="BX580" s="387">
        <f t="shared" si="430"/>
        <v>8331.502504</v>
      </c>
      <c r="BY580" s="387">
        <f t="shared" si="431"/>
        <v>0</v>
      </c>
      <c r="BZ580" s="387">
        <f t="shared" si="432"/>
        <v>0</v>
      </c>
      <c r="CA580" s="387">
        <f t="shared" si="433"/>
        <v>0</v>
      </c>
      <c r="CB580" s="387">
        <f t="shared" si="434"/>
        <v>0</v>
      </c>
      <c r="CC580" s="387">
        <f t="shared" si="416"/>
        <v>0</v>
      </c>
      <c r="CD580" s="387">
        <f t="shared" si="417"/>
        <v>0</v>
      </c>
      <c r="CE580" s="387">
        <f t="shared" si="418"/>
        <v>0</v>
      </c>
      <c r="CF580" s="387">
        <f t="shared" si="419"/>
        <v>-192.52687999999998</v>
      </c>
      <c r="CG580" s="387">
        <f t="shared" si="420"/>
        <v>0</v>
      </c>
      <c r="CH580" s="387">
        <f t="shared" si="421"/>
        <v>27.503839999999986</v>
      </c>
      <c r="CI580" s="387">
        <f t="shared" si="422"/>
        <v>0</v>
      </c>
      <c r="CJ580" s="387">
        <f t="shared" si="435"/>
        <v>-165.02303999999998</v>
      </c>
      <c r="CK580" s="387" t="str">
        <f t="shared" si="436"/>
        <v/>
      </c>
      <c r="CL580" s="387" t="str">
        <f t="shared" si="437"/>
        <v/>
      </c>
      <c r="CM580" s="387" t="str">
        <f t="shared" si="438"/>
        <v/>
      </c>
      <c r="CN580" s="387" t="str">
        <f t="shared" si="439"/>
        <v>0348-31</v>
      </c>
    </row>
    <row r="581" spans="1:92" ht="15.75" thickBot="1" x14ac:dyDescent="0.3">
      <c r="A581" s="376" t="s">
        <v>161</v>
      </c>
      <c r="B581" s="376" t="s">
        <v>162</v>
      </c>
      <c r="C581" s="376" t="s">
        <v>1826</v>
      </c>
      <c r="D581" s="376" t="s">
        <v>862</v>
      </c>
      <c r="E581" s="376" t="s">
        <v>224</v>
      </c>
      <c r="F581" s="382" t="s">
        <v>225</v>
      </c>
      <c r="G581" s="376" t="s">
        <v>781</v>
      </c>
      <c r="H581" s="378"/>
      <c r="I581" s="378"/>
      <c r="J581" s="376" t="s">
        <v>239</v>
      </c>
      <c r="K581" s="376" t="s">
        <v>863</v>
      </c>
      <c r="L581" s="376" t="s">
        <v>252</v>
      </c>
      <c r="M581" s="376" t="s">
        <v>171</v>
      </c>
      <c r="N581" s="376" t="s">
        <v>172</v>
      </c>
      <c r="O581" s="379">
        <v>1</v>
      </c>
      <c r="P581" s="385">
        <v>0.25</v>
      </c>
      <c r="Q581" s="385">
        <v>0.25</v>
      </c>
      <c r="R581" s="380">
        <v>80</v>
      </c>
      <c r="S581" s="385">
        <v>0.25</v>
      </c>
      <c r="T581" s="380">
        <v>10397.469999999999</v>
      </c>
      <c r="U581" s="380">
        <v>0</v>
      </c>
      <c r="V581" s="380">
        <v>5349.16</v>
      </c>
      <c r="W581" s="380">
        <v>9755.2000000000007</v>
      </c>
      <c r="X581" s="380">
        <v>5022.05</v>
      </c>
      <c r="Y581" s="380">
        <v>9755.2000000000007</v>
      </c>
      <c r="Z581" s="380">
        <v>4981.08</v>
      </c>
      <c r="AA581" s="376" t="s">
        <v>1827</v>
      </c>
      <c r="AB581" s="376" t="s">
        <v>1828</v>
      </c>
      <c r="AC581" s="376" t="s">
        <v>176</v>
      </c>
      <c r="AD581" s="376" t="s">
        <v>324</v>
      </c>
      <c r="AE581" s="376" t="s">
        <v>863</v>
      </c>
      <c r="AF581" s="376" t="s">
        <v>393</v>
      </c>
      <c r="AG581" s="376" t="s">
        <v>178</v>
      </c>
      <c r="AH581" s="381">
        <v>18.760000000000002</v>
      </c>
      <c r="AI581" s="381">
        <v>3227.5</v>
      </c>
      <c r="AJ581" s="376" t="s">
        <v>179</v>
      </c>
      <c r="AK581" s="376" t="s">
        <v>180</v>
      </c>
      <c r="AL581" s="376" t="s">
        <v>181</v>
      </c>
      <c r="AM581" s="376" t="s">
        <v>182</v>
      </c>
      <c r="AN581" s="376" t="s">
        <v>68</v>
      </c>
      <c r="AO581" s="379">
        <v>80</v>
      </c>
      <c r="AP581" s="385">
        <v>1</v>
      </c>
      <c r="AQ581" s="385">
        <v>0.25</v>
      </c>
      <c r="AR581" s="383" t="s">
        <v>183</v>
      </c>
      <c r="AS581" s="387">
        <f t="shared" si="423"/>
        <v>0.25</v>
      </c>
      <c r="AT581">
        <f t="shared" si="424"/>
        <v>1</v>
      </c>
      <c r="AU581" s="387">
        <f>IF(AT581=0,"",IF(AND(AT581=1,M581="F",SUMIF(C2:C1334,C581,AS2:AS1334)&lt;=1),SUMIF(C2:C1334,C581,AS2:AS1334),IF(AND(AT581=1,M581="F",SUMIF(C2:C1334,C581,AS2:AS1334)&gt;1),1,"")))</f>
        <v>1</v>
      </c>
      <c r="AV581" s="387" t="str">
        <f>IF(AT581=0,"",IF(AND(AT581=3,M581="F",SUMIF(C2:C1334,C581,AS2:AS1334)&lt;=1),SUMIF(C2:C1334,C581,AS2:AS1334),IF(AND(AT581=3,M581="F",SUMIF(C2:C1334,C581,AS2:AS1334)&gt;1),1,"")))</f>
        <v/>
      </c>
      <c r="AW581" s="387">
        <f>SUMIF(C2:C1334,C581,O2:O1334)</f>
        <v>3</v>
      </c>
      <c r="AX581" s="387">
        <f>IF(AND(M581="F",AS581&lt;&gt;0),SUMIF(C2:C1334,C581,W2:W1334),0)</f>
        <v>39020.800000000003</v>
      </c>
      <c r="AY581" s="387">
        <f t="shared" si="425"/>
        <v>9755.2000000000007</v>
      </c>
      <c r="AZ581" s="387" t="str">
        <f t="shared" si="426"/>
        <v/>
      </c>
      <c r="BA581" s="387">
        <f t="shared" si="427"/>
        <v>0</v>
      </c>
      <c r="BB581" s="387">
        <f t="shared" si="396"/>
        <v>2912.5</v>
      </c>
      <c r="BC581" s="387">
        <f t="shared" si="397"/>
        <v>0</v>
      </c>
      <c r="BD581" s="387">
        <f t="shared" si="398"/>
        <v>604.82240000000002</v>
      </c>
      <c r="BE581" s="387">
        <f t="shared" si="399"/>
        <v>141.45040000000003</v>
      </c>
      <c r="BF581" s="387">
        <f t="shared" si="400"/>
        <v>1164.77088</v>
      </c>
      <c r="BG581" s="387">
        <f t="shared" si="401"/>
        <v>70.334992000000014</v>
      </c>
      <c r="BH581" s="387">
        <f t="shared" si="402"/>
        <v>47.80048</v>
      </c>
      <c r="BI581" s="387">
        <f t="shared" si="403"/>
        <v>53.995032000000002</v>
      </c>
      <c r="BJ581" s="387">
        <f t="shared" si="404"/>
        <v>26.339040000000004</v>
      </c>
      <c r="BK581" s="387">
        <f t="shared" si="405"/>
        <v>0</v>
      </c>
      <c r="BL581" s="387">
        <f t="shared" si="428"/>
        <v>2109.5132240000003</v>
      </c>
      <c r="BM581" s="387">
        <f t="shared" si="429"/>
        <v>0</v>
      </c>
      <c r="BN581" s="387">
        <f t="shared" si="406"/>
        <v>2912.5</v>
      </c>
      <c r="BO581" s="387">
        <f t="shared" si="407"/>
        <v>0</v>
      </c>
      <c r="BP581" s="387">
        <f t="shared" si="408"/>
        <v>604.82240000000002</v>
      </c>
      <c r="BQ581" s="387">
        <f t="shared" si="409"/>
        <v>141.45040000000003</v>
      </c>
      <c r="BR581" s="387">
        <f t="shared" si="410"/>
        <v>1164.77088</v>
      </c>
      <c r="BS581" s="387">
        <f t="shared" si="411"/>
        <v>70.334992000000014</v>
      </c>
      <c r="BT581" s="387">
        <f t="shared" si="412"/>
        <v>0</v>
      </c>
      <c r="BU581" s="387">
        <f t="shared" si="413"/>
        <v>53.995032000000002</v>
      </c>
      <c r="BV581" s="387">
        <f t="shared" si="414"/>
        <v>33.167679999999997</v>
      </c>
      <c r="BW581" s="387">
        <f t="shared" si="415"/>
        <v>0</v>
      </c>
      <c r="BX581" s="387">
        <f t="shared" si="430"/>
        <v>2068.5413840000001</v>
      </c>
      <c r="BY581" s="387">
        <f t="shared" si="431"/>
        <v>0</v>
      </c>
      <c r="BZ581" s="387">
        <f t="shared" si="432"/>
        <v>0</v>
      </c>
      <c r="CA581" s="387">
        <f t="shared" si="433"/>
        <v>0</v>
      </c>
      <c r="CB581" s="387">
        <f t="shared" si="434"/>
        <v>0</v>
      </c>
      <c r="CC581" s="387">
        <f t="shared" si="416"/>
        <v>0</v>
      </c>
      <c r="CD581" s="387">
        <f t="shared" si="417"/>
        <v>0</v>
      </c>
      <c r="CE581" s="387">
        <f t="shared" si="418"/>
        <v>0</v>
      </c>
      <c r="CF581" s="387">
        <f t="shared" si="419"/>
        <v>-47.80048</v>
      </c>
      <c r="CG581" s="387">
        <f t="shared" si="420"/>
        <v>0</v>
      </c>
      <c r="CH581" s="387">
        <f t="shared" si="421"/>
        <v>6.8286399999999974</v>
      </c>
      <c r="CI581" s="387">
        <f t="shared" si="422"/>
        <v>0</v>
      </c>
      <c r="CJ581" s="387">
        <f t="shared" si="435"/>
        <v>-40.97184</v>
      </c>
      <c r="CK581" s="387" t="str">
        <f t="shared" si="436"/>
        <v/>
      </c>
      <c r="CL581" s="387" t="str">
        <f t="shared" si="437"/>
        <v/>
      </c>
      <c r="CM581" s="387" t="str">
        <f t="shared" si="438"/>
        <v/>
      </c>
      <c r="CN581" s="387" t="str">
        <f t="shared" si="439"/>
        <v>0348-31</v>
      </c>
    </row>
    <row r="582" spans="1:92" ht="15.75" thickBot="1" x14ac:dyDescent="0.3">
      <c r="A582" s="376" t="s">
        <v>161</v>
      </c>
      <c r="B582" s="376" t="s">
        <v>162</v>
      </c>
      <c r="C582" s="376" t="s">
        <v>509</v>
      </c>
      <c r="D582" s="376" t="s">
        <v>238</v>
      </c>
      <c r="E582" s="376" t="s">
        <v>224</v>
      </c>
      <c r="F582" s="382" t="s">
        <v>225</v>
      </c>
      <c r="G582" s="376" t="s">
        <v>781</v>
      </c>
      <c r="H582" s="378"/>
      <c r="I582" s="378"/>
      <c r="J582" s="376" t="s">
        <v>215</v>
      </c>
      <c r="K582" s="376" t="s">
        <v>285</v>
      </c>
      <c r="L582" s="376" t="s">
        <v>170</v>
      </c>
      <c r="M582" s="376" t="s">
        <v>171</v>
      </c>
      <c r="N582" s="376" t="s">
        <v>172</v>
      </c>
      <c r="O582" s="379">
        <v>1</v>
      </c>
      <c r="P582" s="385">
        <v>0</v>
      </c>
      <c r="Q582" s="385">
        <v>0</v>
      </c>
      <c r="R582" s="380">
        <v>80</v>
      </c>
      <c r="S582" s="385">
        <v>0</v>
      </c>
      <c r="T582" s="380">
        <v>55432.35</v>
      </c>
      <c r="U582" s="380">
        <v>0</v>
      </c>
      <c r="V582" s="380">
        <v>22100.3</v>
      </c>
      <c r="W582" s="380">
        <v>0</v>
      </c>
      <c r="X582" s="380">
        <v>0</v>
      </c>
      <c r="Y582" s="380">
        <v>0</v>
      </c>
      <c r="Z582" s="380">
        <v>0</v>
      </c>
      <c r="AA582" s="376" t="s">
        <v>510</v>
      </c>
      <c r="AB582" s="376" t="s">
        <v>511</v>
      </c>
      <c r="AC582" s="376" t="s">
        <v>512</v>
      </c>
      <c r="AD582" s="376" t="s">
        <v>513</v>
      </c>
      <c r="AE582" s="376" t="s">
        <v>285</v>
      </c>
      <c r="AF582" s="376" t="s">
        <v>177</v>
      </c>
      <c r="AG582" s="376" t="s">
        <v>178</v>
      </c>
      <c r="AH582" s="381">
        <v>29.16</v>
      </c>
      <c r="AI582" s="379">
        <v>17505</v>
      </c>
      <c r="AJ582" s="376" t="s">
        <v>179</v>
      </c>
      <c r="AK582" s="376" t="s">
        <v>180</v>
      </c>
      <c r="AL582" s="376" t="s">
        <v>181</v>
      </c>
      <c r="AM582" s="376" t="s">
        <v>182</v>
      </c>
      <c r="AN582" s="376" t="s">
        <v>68</v>
      </c>
      <c r="AO582" s="379">
        <v>80</v>
      </c>
      <c r="AP582" s="385">
        <v>1</v>
      </c>
      <c r="AQ582" s="385">
        <v>0</v>
      </c>
      <c r="AR582" s="383" t="s">
        <v>183</v>
      </c>
      <c r="AS582" s="387">
        <f t="shared" si="423"/>
        <v>0</v>
      </c>
      <c r="AT582">
        <f t="shared" si="424"/>
        <v>0</v>
      </c>
      <c r="AU582" s="387" t="str">
        <f>IF(AT582=0,"",IF(AND(AT582=1,M582="F",SUMIF(C2:C1334,C582,AS2:AS1334)&lt;=1),SUMIF(C2:C1334,C582,AS2:AS1334),IF(AND(AT582=1,M582="F",SUMIF(C2:C1334,C582,AS2:AS1334)&gt;1),1,"")))</f>
        <v/>
      </c>
      <c r="AV582" s="387" t="str">
        <f>IF(AT582=0,"",IF(AND(AT582=3,M582="F",SUMIF(C2:C1334,C582,AS2:AS1334)&lt;=1),SUMIF(C2:C1334,C582,AS2:AS1334),IF(AND(AT582=3,M582="F",SUMIF(C2:C1334,C582,AS2:AS1334)&gt;1),1,"")))</f>
        <v/>
      </c>
      <c r="AW582" s="387">
        <f>SUMIF(C2:C1334,C582,O2:O1334)</f>
        <v>3</v>
      </c>
      <c r="AX582" s="387">
        <f>IF(AND(M582="F",AS582&lt;&gt;0),SUMIF(C2:C1334,C582,W2:W1334),0)</f>
        <v>0</v>
      </c>
      <c r="AY582" s="387" t="str">
        <f t="shared" si="425"/>
        <v/>
      </c>
      <c r="AZ582" s="387" t="str">
        <f t="shared" si="426"/>
        <v/>
      </c>
      <c r="BA582" s="387">
        <f t="shared" si="427"/>
        <v>0</v>
      </c>
      <c r="BB582" s="387">
        <f t="shared" si="396"/>
        <v>0</v>
      </c>
      <c r="BC582" s="387">
        <f t="shared" si="397"/>
        <v>0</v>
      </c>
      <c r="BD582" s="387">
        <f t="shared" si="398"/>
        <v>0</v>
      </c>
      <c r="BE582" s="387">
        <f t="shared" si="399"/>
        <v>0</v>
      </c>
      <c r="BF582" s="387">
        <f t="shared" si="400"/>
        <v>0</v>
      </c>
      <c r="BG582" s="387">
        <f t="shared" si="401"/>
        <v>0</v>
      </c>
      <c r="BH582" s="387">
        <f t="shared" si="402"/>
        <v>0</v>
      </c>
      <c r="BI582" s="387">
        <f t="shared" si="403"/>
        <v>0</v>
      </c>
      <c r="BJ582" s="387">
        <f t="shared" si="404"/>
        <v>0</v>
      </c>
      <c r="BK582" s="387">
        <f t="shared" si="405"/>
        <v>0</v>
      </c>
      <c r="BL582" s="387">
        <f t="shared" si="428"/>
        <v>0</v>
      </c>
      <c r="BM582" s="387">
        <f t="shared" si="429"/>
        <v>0</v>
      </c>
      <c r="BN582" s="387">
        <f t="shared" si="406"/>
        <v>0</v>
      </c>
      <c r="BO582" s="387">
        <f t="shared" si="407"/>
        <v>0</v>
      </c>
      <c r="BP582" s="387">
        <f t="shared" si="408"/>
        <v>0</v>
      </c>
      <c r="BQ582" s="387">
        <f t="shared" si="409"/>
        <v>0</v>
      </c>
      <c r="BR582" s="387">
        <f t="shared" si="410"/>
        <v>0</v>
      </c>
      <c r="BS582" s="387">
        <f t="shared" si="411"/>
        <v>0</v>
      </c>
      <c r="BT582" s="387">
        <f t="shared" si="412"/>
        <v>0</v>
      </c>
      <c r="BU582" s="387">
        <f t="shared" si="413"/>
        <v>0</v>
      </c>
      <c r="BV582" s="387">
        <f t="shared" si="414"/>
        <v>0</v>
      </c>
      <c r="BW582" s="387">
        <f t="shared" si="415"/>
        <v>0</v>
      </c>
      <c r="BX582" s="387">
        <f t="shared" si="430"/>
        <v>0</v>
      </c>
      <c r="BY582" s="387">
        <f t="shared" si="431"/>
        <v>0</v>
      </c>
      <c r="BZ582" s="387">
        <f t="shared" si="432"/>
        <v>0</v>
      </c>
      <c r="CA582" s="387">
        <f t="shared" si="433"/>
        <v>0</v>
      </c>
      <c r="CB582" s="387">
        <f t="shared" si="434"/>
        <v>0</v>
      </c>
      <c r="CC582" s="387">
        <f t="shared" si="416"/>
        <v>0</v>
      </c>
      <c r="CD582" s="387">
        <f t="shared" si="417"/>
        <v>0</v>
      </c>
      <c r="CE582" s="387">
        <f t="shared" si="418"/>
        <v>0</v>
      </c>
      <c r="CF582" s="387">
        <f t="shared" si="419"/>
        <v>0</v>
      </c>
      <c r="CG582" s="387">
        <f t="shared" si="420"/>
        <v>0</v>
      </c>
      <c r="CH582" s="387">
        <f t="shared" si="421"/>
        <v>0</v>
      </c>
      <c r="CI582" s="387">
        <f t="shared" si="422"/>
        <v>0</v>
      </c>
      <c r="CJ582" s="387">
        <f t="shared" si="435"/>
        <v>0</v>
      </c>
      <c r="CK582" s="387" t="str">
        <f t="shared" si="436"/>
        <v/>
      </c>
      <c r="CL582" s="387" t="str">
        <f t="shared" si="437"/>
        <v/>
      </c>
      <c r="CM582" s="387" t="str">
        <f t="shared" si="438"/>
        <v/>
      </c>
      <c r="CN582" s="387" t="str">
        <f t="shared" si="439"/>
        <v>0348-31</v>
      </c>
    </row>
    <row r="583" spans="1:92" ht="15.75" thickBot="1" x14ac:dyDescent="0.3">
      <c r="A583" s="376" t="s">
        <v>161</v>
      </c>
      <c r="B583" s="376" t="s">
        <v>162</v>
      </c>
      <c r="C583" s="376" t="s">
        <v>1829</v>
      </c>
      <c r="D583" s="376" t="s">
        <v>862</v>
      </c>
      <c r="E583" s="376" t="s">
        <v>224</v>
      </c>
      <c r="F583" s="382" t="s">
        <v>225</v>
      </c>
      <c r="G583" s="376" t="s">
        <v>781</v>
      </c>
      <c r="H583" s="378"/>
      <c r="I583" s="378"/>
      <c r="J583" s="376" t="s">
        <v>168</v>
      </c>
      <c r="K583" s="376" t="s">
        <v>863</v>
      </c>
      <c r="L583" s="376" t="s">
        <v>252</v>
      </c>
      <c r="M583" s="376" t="s">
        <v>272</v>
      </c>
      <c r="N583" s="376" t="s">
        <v>172</v>
      </c>
      <c r="O583" s="379">
        <v>0</v>
      </c>
      <c r="P583" s="385">
        <v>0.95</v>
      </c>
      <c r="Q583" s="385">
        <v>0.95</v>
      </c>
      <c r="R583" s="380">
        <v>80</v>
      </c>
      <c r="S583" s="385">
        <v>0.95</v>
      </c>
      <c r="T583" s="380">
        <v>42868.86</v>
      </c>
      <c r="U583" s="380">
        <v>0</v>
      </c>
      <c r="V583" s="380">
        <v>19977.7</v>
      </c>
      <c r="W583" s="380">
        <v>40211.599999999999</v>
      </c>
      <c r="X583" s="380">
        <v>17612.669999999998</v>
      </c>
      <c r="Y583" s="380">
        <v>40211.599999999999</v>
      </c>
      <c r="Z583" s="380">
        <v>17411.61</v>
      </c>
      <c r="AA583" s="378"/>
      <c r="AB583" s="376" t="s">
        <v>45</v>
      </c>
      <c r="AC583" s="376" t="s">
        <v>45</v>
      </c>
      <c r="AD583" s="378"/>
      <c r="AE583" s="378"/>
      <c r="AF583" s="378"/>
      <c r="AG583" s="378"/>
      <c r="AH583" s="379">
        <v>0</v>
      </c>
      <c r="AI583" s="379">
        <v>0</v>
      </c>
      <c r="AJ583" s="378"/>
      <c r="AK583" s="378"/>
      <c r="AL583" s="376" t="s">
        <v>181</v>
      </c>
      <c r="AM583" s="378"/>
      <c r="AN583" s="378"/>
      <c r="AO583" s="379">
        <v>0</v>
      </c>
      <c r="AP583" s="385">
        <v>0</v>
      </c>
      <c r="AQ583" s="385">
        <v>0</v>
      </c>
      <c r="AR583" s="384"/>
      <c r="AS583" s="387">
        <f t="shared" si="423"/>
        <v>0</v>
      </c>
      <c r="AT583">
        <f t="shared" si="424"/>
        <v>0</v>
      </c>
      <c r="AU583" s="387" t="str">
        <f>IF(AT583=0,"",IF(AND(AT583=1,M583="F",SUMIF(C2:C1334,C583,AS2:AS1334)&lt;=1),SUMIF(C2:C1334,C583,AS2:AS1334),IF(AND(AT583=1,M583="F",SUMIF(C2:C1334,C583,AS2:AS1334)&gt;1),1,"")))</f>
        <v/>
      </c>
      <c r="AV583" s="387" t="str">
        <f>IF(AT583=0,"",IF(AND(AT583=3,M583="F",SUMIF(C2:C1334,C583,AS2:AS1334)&lt;=1),SUMIF(C2:C1334,C583,AS2:AS1334),IF(AND(AT583=3,M583="F",SUMIF(C2:C1334,C583,AS2:AS1334)&gt;1),1,"")))</f>
        <v/>
      </c>
      <c r="AW583" s="387">
        <f>SUMIF(C2:C1334,C583,O2:O1334)</f>
        <v>0</v>
      </c>
      <c r="AX583" s="387">
        <f>IF(AND(M583="F",AS583&lt;&gt;0),SUMIF(C2:C1334,C583,W2:W1334),0)</f>
        <v>0</v>
      </c>
      <c r="AY583" s="387" t="str">
        <f t="shared" si="425"/>
        <v/>
      </c>
      <c r="AZ583" s="387" t="str">
        <f t="shared" si="426"/>
        <v/>
      </c>
      <c r="BA583" s="387">
        <f t="shared" si="427"/>
        <v>0</v>
      </c>
      <c r="BB583" s="387">
        <f t="shared" si="396"/>
        <v>0</v>
      </c>
      <c r="BC583" s="387">
        <f t="shared" si="397"/>
        <v>0</v>
      </c>
      <c r="BD583" s="387">
        <f t="shared" si="398"/>
        <v>0</v>
      </c>
      <c r="BE583" s="387">
        <f t="shared" si="399"/>
        <v>0</v>
      </c>
      <c r="BF583" s="387">
        <f t="shared" si="400"/>
        <v>0</v>
      </c>
      <c r="BG583" s="387">
        <f t="shared" si="401"/>
        <v>0</v>
      </c>
      <c r="BH583" s="387">
        <f t="shared" si="402"/>
        <v>0</v>
      </c>
      <c r="BI583" s="387">
        <f t="shared" si="403"/>
        <v>0</v>
      </c>
      <c r="BJ583" s="387">
        <f t="shared" si="404"/>
        <v>0</v>
      </c>
      <c r="BK583" s="387">
        <f t="shared" si="405"/>
        <v>0</v>
      </c>
      <c r="BL583" s="387">
        <f t="shared" si="428"/>
        <v>0</v>
      </c>
      <c r="BM583" s="387">
        <f t="shared" si="429"/>
        <v>0</v>
      </c>
      <c r="BN583" s="387">
        <f t="shared" si="406"/>
        <v>0</v>
      </c>
      <c r="BO583" s="387">
        <f t="shared" si="407"/>
        <v>0</v>
      </c>
      <c r="BP583" s="387">
        <f t="shared" si="408"/>
        <v>0</v>
      </c>
      <c r="BQ583" s="387">
        <f t="shared" si="409"/>
        <v>0</v>
      </c>
      <c r="BR583" s="387">
        <f t="shared" si="410"/>
        <v>0</v>
      </c>
      <c r="BS583" s="387">
        <f t="shared" si="411"/>
        <v>0</v>
      </c>
      <c r="BT583" s="387">
        <f t="shared" si="412"/>
        <v>0</v>
      </c>
      <c r="BU583" s="387">
        <f t="shared" si="413"/>
        <v>0</v>
      </c>
      <c r="BV583" s="387">
        <f t="shared" si="414"/>
        <v>0</v>
      </c>
      <c r="BW583" s="387">
        <f t="shared" si="415"/>
        <v>0</v>
      </c>
      <c r="BX583" s="387">
        <f t="shared" si="430"/>
        <v>0</v>
      </c>
      <c r="BY583" s="387">
        <f t="shared" si="431"/>
        <v>0</v>
      </c>
      <c r="BZ583" s="387">
        <f t="shared" si="432"/>
        <v>0</v>
      </c>
      <c r="CA583" s="387">
        <f t="shared" si="433"/>
        <v>0</v>
      </c>
      <c r="CB583" s="387">
        <f t="shared" si="434"/>
        <v>0</v>
      </c>
      <c r="CC583" s="387">
        <f t="shared" si="416"/>
        <v>0</v>
      </c>
      <c r="CD583" s="387">
        <f t="shared" si="417"/>
        <v>0</v>
      </c>
      <c r="CE583" s="387">
        <f t="shared" si="418"/>
        <v>0</v>
      </c>
      <c r="CF583" s="387">
        <f t="shared" si="419"/>
        <v>0</v>
      </c>
      <c r="CG583" s="387">
        <f t="shared" si="420"/>
        <v>0</v>
      </c>
      <c r="CH583" s="387">
        <f t="shared" si="421"/>
        <v>0</v>
      </c>
      <c r="CI583" s="387">
        <f t="shared" si="422"/>
        <v>0</v>
      </c>
      <c r="CJ583" s="387">
        <f t="shared" si="435"/>
        <v>0</v>
      </c>
      <c r="CK583" s="387" t="str">
        <f t="shared" si="436"/>
        <v/>
      </c>
      <c r="CL583" s="387" t="str">
        <f t="shared" si="437"/>
        <v/>
      </c>
      <c r="CM583" s="387" t="str">
        <f t="shared" si="438"/>
        <v/>
      </c>
      <c r="CN583" s="387" t="str">
        <f t="shared" si="439"/>
        <v>0348-31</v>
      </c>
    </row>
    <row r="584" spans="1:92" ht="15.75" thickBot="1" x14ac:dyDescent="0.3">
      <c r="A584" s="376" t="s">
        <v>161</v>
      </c>
      <c r="B584" s="376" t="s">
        <v>162</v>
      </c>
      <c r="C584" s="376" t="s">
        <v>189</v>
      </c>
      <c r="D584" s="376" t="s">
        <v>164</v>
      </c>
      <c r="E584" s="376" t="s">
        <v>224</v>
      </c>
      <c r="F584" s="382" t="s">
        <v>225</v>
      </c>
      <c r="G584" s="376" t="s">
        <v>781</v>
      </c>
      <c r="H584" s="378"/>
      <c r="I584" s="378"/>
      <c r="J584" s="376" t="s">
        <v>168</v>
      </c>
      <c r="K584" s="376" t="s">
        <v>169</v>
      </c>
      <c r="L584" s="376" t="s">
        <v>170</v>
      </c>
      <c r="M584" s="376" t="s">
        <v>171</v>
      </c>
      <c r="N584" s="376" t="s">
        <v>172</v>
      </c>
      <c r="O584" s="379">
        <v>1</v>
      </c>
      <c r="P584" s="385">
        <v>0.25</v>
      </c>
      <c r="Q584" s="385">
        <v>0.25</v>
      </c>
      <c r="R584" s="380">
        <v>80</v>
      </c>
      <c r="S584" s="385">
        <v>0.25</v>
      </c>
      <c r="T584" s="380">
        <v>5197.3599999999997</v>
      </c>
      <c r="U584" s="380">
        <v>0</v>
      </c>
      <c r="V584" s="380">
        <v>2117.17</v>
      </c>
      <c r="W584" s="380">
        <v>14232.4</v>
      </c>
      <c r="X584" s="380">
        <v>5990.24</v>
      </c>
      <c r="Y584" s="380">
        <v>14232.4</v>
      </c>
      <c r="Z584" s="380">
        <v>5930.47</v>
      </c>
      <c r="AA584" s="376" t="s">
        <v>190</v>
      </c>
      <c r="AB584" s="376" t="s">
        <v>191</v>
      </c>
      <c r="AC584" s="376" t="s">
        <v>192</v>
      </c>
      <c r="AD584" s="376" t="s">
        <v>193</v>
      </c>
      <c r="AE584" s="376" t="s">
        <v>169</v>
      </c>
      <c r="AF584" s="376" t="s">
        <v>177</v>
      </c>
      <c r="AG584" s="376" t="s">
        <v>178</v>
      </c>
      <c r="AH584" s="381">
        <v>27.37</v>
      </c>
      <c r="AI584" s="379">
        <v>1764</v>
      </c>
      <c r="AJ584" s="376" t="s">
        <v>179</v>
      </c>
      <c r="AK584" s="376" t="s">
        <v>180</v>
      </c>
      <c r="AL584" s="376" t="s">
        <v>181</v>
      </c>
      <c r="AM584" s="376" t="s">
        <v>182</v>
      </c>
      <c r="AN584" s="376" t="s">
        <v>68</v>
      </c>
      <c r="AO584" s="379">
        <v>80</v>
      </c>
      <c r="AP584" s="385">
        <v>1</v>
      </c>
      <c r="AQ584" s="385">
        <v>0.25</v>
      </c>
      <c r="AR584" s="383" t="s">
        <v>183</v>
      </c>
      <c r="AS584" s="387">
        <f t="shared" si="423"/>
        <v>0.25</v>
      </c>
      <c r="AT584">
        <f t="shared" si="424"/>
        <v>1</v>
      </c>
      <c r="AU584" s="387">
        <f>IF(AT584=0,"",IF(AND(AT584=1,M584="F",SUMIF(C2:C1334,C584,AS2:AS1334)&lt;=1),SUMIF(C2:C1334,C584,AS2:AS1334),IF(AND(AT584=1,M584="F",SUMIF(C2:C1334,C584,AS2:AS1334)&gt;1),1,"")))</f>
        <v>1</v>
      </c>
      <c r="AV584" s="387" t="str">
        <f>IF(AT584=0,"",IF(AND(AT584=3,M584="F",SUMIF(C2:C1334,C584,AS2:AS1334)&lt;=1),SUMIF(C2:C1334,C584,AS2:AS1334),IF(AND(AT584=3,M584="F",SUMIF(C2:C1334,C584,AS2:AS1334)&gt;1),1,"")))</f>
        <v/>
      </c>
      <c r="AW584" s="387">
        <f>SUMIF(C2:C1334,C584,O2:O1334)</f>
        <v>4</v>
      </c>
      <c r="AX584" s="387">
        <f>IF(AND(M584="F",AS584&lt;&gt;0),SUMIF(C2:C1334,C584,W2:W1334),0)</f>
        <v>56929.599999999999</v>
      </c>
      <c r="AY584" s="387">
        <f t="shared" si="425"/>
        <v>14232.4</v>
      </c>
      <c r="AZ584" s="387" t="str">
        <f t="shared" si="426"/>
        <v/>
      </c>
      <c r="BA584" s="387">
        <f t="shared" si="427"/>
        <v>0</v>
      </c>
      <c r="BB584" s="387">
        <f t="shared" si="396"/>
        <v>2912.5</v>
      </c>
      <c r="BC584" s="387">
        <f t="shared" si="397"/>
        <v>0</v>
      </c>
      <c r="BD584" s="387">
        <f t="shared" si="398"/>
        <v>882.40879999999993</v>
      </c>
      <c r="BE584" s="387">
        <f t="shared" si="399"/>
        <v>206.3698</v>
      </c>
      <c r="BF584" s="387">
        <f t="shared" si="400"/>
        <v>1699.3485600000001</v>
      </c>
      <c r="BG584" s="387">
        <f t="shared" si="401"/>
        <v>102.615604</v>
      </c>
      <c r="BH584" s="387">
        <f t="shared" si="402"/>
        <v>69.738759999999999</v>
      </c>
      <c r="BI584" s="387">
        <f t="shared" si="403"/>
        <v>78.776333999999991</v>
      </c>
      <c r="BJ584" s="387">
        <f t="shared" si="404"/>
        <v>38.427480000000003</v>
      </c>
      <c r="BK584" s="387">
        <f t="shared" si="405"/>
        <v>0</v>
      </c>
      <c r="BL584" s="387">
        <f t="shared" si="428"/>
        <v>3077.6853380000002</v>
      </c>
      <c r="BM584" s="387">
        <f t="shared" si="429"/>
        <v>0</v>
      </c>
      <c r="BN584" s="387">
        <f t="shared" si="406"/>
        <v>2912.5</v>
      </c>
      <c r="BO584" s="387">
        <f t="shared" si="407"/>
        <v>0</v>
      </c>
      <c r="BP584" s="387">
        <f t="shared" si="408"/>
        <v>882.40879999999993</v>
      </c>
      <c r="BQ584" s="387">
        <f t="shared" si="409"/>
        <v>206.3698</v>
      </c>
      <c r="BR584" s="387">
        <f t="shared" si="410"/>
        <v>1699.3485600000001</v>
      </c>
      <c r="BS584" s="387">
        <f t="shared" si="411"/>
        <v>102.615604</v>
      </c>
      <c r="BT584" s="387">
        <f t="shared" si="412"/>
        <v>0</v>
      </c>
      <c r="BU584" s="387">
        <f t="shared" si="413"/>
        <v>78.776333999999991</v>
      </c>
      <c r="BV584" s="387">
        <f t="shared" si="414"/>
        <v>48.390159999999995</v>
      </c>
      <c r="BW584" s="387">
        <f t="shared" si="415"/>
        <v>0</v>
      </c>
      <c r="BX584" s="387">
        <f t="shared" si="430"/>
        <v>3017.9092580000001</v>
      </c>
      <c r="BY584" s="387">
        <f t="shared" si="431"/>
        <v>0</v>
      </c>
      <c r="BZ584" s="387">
        <f t="shared" si="432"/>
        <v>0</v>
      </c>
      <c r="CA584" s="387">
        <f t="shared" si="433"/>
        <v>0</v>
      </c>
      <c r="CB584" s="387">
        <f t="shared" si="434"/>
        <v>0</v>
      </c>
      <c r="CC584" s="387">
        <f t="shared" si="416"/>
        <v>0</v>
      </c>
      <c r="CD584" s="387">
        <f t="shared" si="417"/>
        <v>0</v>
      </c>
      <c r="CE584" s="387">
        <f t="shared" si="418"/>
        <v>0</v>
      </c>
      <c r="CF584" s="387">
        <f t="shared" si="419"/>
        <v>-69.738759999999999</v>
      </c>
      <c r="CG584" s="387">
        <f t="shared" si="420"/>
        <v>0</v>
      </c>
      <c r="CH584" s="387">
        <f t="shared" si="421"/>
        <v>9.9626799999999953</v>
      </c>
      <c r="CI584" s="387">
        <f t="shared" si="422"/>
        <v>0</v>
      </c>
      <c r="CJ584" s="387">
        <f t="shared" si="435"/>
        <v>-59.776080000000007</v>
      </c>
      <c r="CK584" s="387" t="str">
        <f t="shared" si="436"/>
        <v/>
      </c>
      <c r="CL584" s="387" t="str">
        <f t="shared" si="437"/>
        <v/>
      </c>
      <c r="CM584" s="387" t="str">
        <f t="shared" si="438"/>
        <v/>
      </c>
      <c r="CN584" s="387" t="str">
        <f t="shared" si="439"/>
        <v>0348-31</v>
      </c>
    </row>
    <row r="585" spans="1:92" ht="15.75" thickBot="1" x14ac:dyDescent="0.3">
      <c r="A585" s="376" t="s">
        <v>161</v>
      </c>
      <c r="B585" s="376" t="s">
        <v>162</v>
      </c>
      <c r="C585" s="376" t="s">
        <v>634</v>
      </c>
      <c r="D585" s="376" t="s">
        <v>408</v>
      </c>
      <c r="E585" s="376" t="s">
        <v>224</v>
      </c>
      <c r="F585" s="382" t="s">
        <v>225</v>
      </c>
      <c r="G585" s="376" t="s">
        <v>781</v>
      </c>
      <c r="H585" s="378"/>
      <c r="I585" s="378"/>
      <c r="J585" s="376" t="s">
        <v>215</v>
      </c>
      <c r="K585" s="376" t="s">
        <v>409</v>
      </c>
      <c r="L585" s="376" t="s">
        <v>181</v>
      </c>
      <c r="M585" s="376" t="s">
        <v>171</v>
      </c>
      <c r="N585" s="376" t="s">
        <v>172</v>
      </c>
      <c r="O585" s="379">
        <v>1</v>
      </c>
      <c r="P585" s="385">
        <v>0</v>
      </c>
      <c r="Q585" s="385">
        <v>0</v>
      </c>
      <c r="R585" s="380">
        <v>80</v>
      </c>
      <c r="S585" s="385">
        <v>0</v>
      </c>
      <c r="T585" s="380">
        <v>82100.710000000006</v>
      </c>
      <c r="U585" s="380">
        <v>0</v>
      </c>
      <c r="V585" s="380">
        <v>28914.17</v>
      </c>
      <c r="W585" s="380">
        <v>0</v>
      </c>
      <c r="X585" s="380">
        <v>0</v>
      </c>
      <c r="Y585" s="380">
        <v>0</v>
      </c>
      <c r="Z585" s="380">
        <v>0</v>
      </c>
      <c r="AA585" s="376" t="s">
        <v>635</v>
      </c>
      <c r="AB585" s="376" t="s">
        <v>636</v>
      </c>
      <c r="AC585" s="376" t="s">
        <v>637</v>
      </c>
      <c r="AD585" s="376" t="s">
        <v>300</v>
      </c>
      <c r="AE585" s="376" t="s">
        <v>409</v>
      </c>
      <c r="AF585" s="376" t="s">
        <v>211</v>
      </c>
      <c r="AG585" s="376" t="s">
        <v>178</v>
      </c>
      <c r="AH585" s="381">
        <v>40.39</v>
      </c>
      <c r="AI585" s="381">
        <v>12265.1</v>
      </c>
      <c r="AJ585" s="376" t="s">
        <v>179</v>
      </c>
      <c r="AK585" s="376" t="s">
        <v>180</v>
      </c>
      <c r="AL585" s="376" t="s">
        <v>181</v>
      </c>
      <c r="AM585" s="376" t="s">
        <v>182</v>
      </c>
      <c r="AN585" s="376" t="s">
        <v>68</v>
      </c>
      <c r="AO585" s="379">
        <v>80</v>
      </c>
      <c r="AP585" s="385">
        <v>1</v>
      </c>
      <c r="AQ585" s="385">
        <v>0</v>
      </c>
      <c r="AR585" s="383" t="s">
        <v>183</v>
      </c>
      <c r="AS585" s="387">
        <f t="shared" si="423"/>
        <v>0</v>
      </c>
      <c r="AT585">
        <f t="shared" si="424"/>
        <v>0</v>
      </c>
      <c r="AU585" s="387" t="str">
        <f>IF(AT585=0,"",IF(AND(AT585=1,M585="F",SUMIF(C2:C1334,C585,AS2:AS1334)&lt;=1),SUMIF(C2:C1334,C585,AS2:AS1334),IF(AND(AT585=1,M585="F",SUMIF(C2:C1334,C585,AS2:AS1334)&gt;1),1,"")))</f>
        <v/>
      </c>
      <c r="AV585" s="387" t="str">
        <f>IF(AT585=0,"",IF(AND(AT585=3,M585="F",SUMIF(C2:C1334,C585,AS2:AS1334)&lt;=1),SUMIF(C2:C1334,C585,AS2:AS1334),IF(AND(AT585=3,M585="F",SUMIF(C2:C1334,C585,AS2:AS1334)&gt;1),1,"")))</f>
        <v/>
      </c>
      <c r="AW585" s="387">
        <f>SUMIF(C2:C1334,C585,O2:O1334)</f>
        <v>2</v>
      </c>
      <c r="AX585" s="387">
        <f>IF(AND(M585="F",AS585&lt;&gt;0),SUMIF(C2:C1334,C585,W2:W1334),0)</f>
        <v>0</v>
      </c>
      <c r="AY585" s="387" t="str">
        <f t="shared" si="425"/>
        <v/>
      </c>
      <c r="AZ585" s="387" t="str">
        <f t="shared" si="426"/>
        <v/>
      </c>
      <c r="BA585" s="387">
        <f t="shared" si="427"/>
        <v>0</v>
      </c>
      <c r="BB585" s="387">
        <f t="shared" si="396"/>
        <v>0</v>
      </c>
      <c r="BC585" s="387">
        <f t="shared" si="397"/>
        <v>0</v>
      </c>
      <c r="BD585" s="387">
        <f t="shared" si="398"/>
        <v>0</v>
      </c>
      <c r="BE585" s="387">
        <f t="shared" si="399"/>
        <v>0</v>
      </c>
      <c r="BF585" s="387">
        <f t="shared" si="400"/>
        <v>0</v>
      </c>
      <c r="BG585" s="387">
        <f t="shared" si="401"/>
        <v>0</v>
      </c>
      <c r="BH585" s="387">
        <f t="shared" si="402"/>
        <v>0</v>
      </c>
      <c r="BI585" s="387">
        <f t="shared" si="403"/>
        <v>0</v>
      </c>
      <c r="BJ585" s="387">
        <f t="shared" si="404"/>
        <v>0</v>
      </c>
      <c r="BK585" s="387">
        <f t="shared" si="405"/>
        <v>0</v>
      </c>
      <c r="BL585" s="387">
        <f t="shared" si="428"/>
        <v>0</v>
      </c>
      <c r="BM585" s="387">
        <f t="shared" si="429"/>
        <v>0</v>
      </c>
      <c r="BN585" s="387">
        <f t="shared" si="406"/>
        <v>0</v>
      </c>
      <c r="BO585" s="387">
        <f t="shared" si="407"/>
        <v>0</v>
      </c>
      <c r="BP585" s="387">
        <f t="shared" si="408"/>
        <v>0</v>
      </c>
      <c r="BQ585" s="387">
        <f t="shared" si="409"/>
        <v>0</v>
      </c>
      <c r="BR585" s="387">
        <f t="shared" si="410"/>
        <v>0</v>
      </c>
      <c r="BS585" s="387">
        <f t="shared" si="411"/>
        <v>0</v>
      </c>
      <c r="BT585" s="387">
        <f t="shared" si="412"/>
        <v>0</v>
      </c>
      <c r="BU585" s="387">
        <f t="shared" si="413"/>
        <v>0</v>
      </c>
      <c r="BV585" s="387">
        <f t="shared" si="414"/>
        <v>0</v>
      </c>
      <c r="BW585" s="387">
        <f t="shared" si="415"/>
        <v>0</v>
      </c>
      <c r="BX585" s="387">
        <f t="shared" si="430"/>
        <v>0</v>
      </c>
      <c r="BY585" s="387">
        <f t="shared" si="431"/>
        <v>0</v>
      </c>
      <c r="BZ585" s="387">
        <f t="shared" si="432"/>
        <v>0</v>
      </c>
      <c r="CA585" s="387">
        <f t="shared" si="433"/>
        <v>0</v>
      </c>
      <c r="CB585" s="387">
        <f t="shared" si="434"/>
        <v>0</v>
      </c>
      <c r="CC585" s="387">
        <f t="shared" si="416"/>
        <v>0</v>
      </c>
      <c r="CD585" s="387">
        <f t="shared" si="417"/>
        <v>0</v>
      </c>
      <c r="CE585" s="387">
        <f t="shared" si="418"/>
        <v>0</v>
      </c>
      <c r="CF585" s="387">
        <f t="shared" si="419"/>
        <v>0</v>
      </c>
      <c r="CG585" s="387">
        <f t="shared" si="420"/>
        <v>0</v>
      </c>
      <c r="CH585" s="387">
        <f t="shared" si="421"/>
        <v>0</v>
      </c>
      <c r="CI585" s="387">
        <f t="shared" si="422"/>
        <v>0</v>
      </c>
      <c r="CJ585" s="387">
        <f t="shared" si="435"/>
        <v>0</v>
      </c>
      <c r="CK585" s="387" t="str">
        <f t="shared" si="436"/>
        <v/>
      </c>
      <c r="CL585" s="387" t="str">
        <f t="shared" si="437"/>
        <v/>
      </c>
      <c r="CM585" s="387" t="str">
        <f t="shared" si="438"/>
        <v/>
      </c>
      <c r="CN585" s="387" t="str">
        <f t="shared" si="439"/>
        <v>0348-31</v>
      </c>
    </row>
    <row r="586" spans="1:92" ht="15.75" thickBot="1" x14ac:dyDescent="0.3">
      <c r="A586" s="376" t="s">
        <v>161</v>
      </c>
      <c r="B586" s="376" t="s">
        <v>162</v>
      </c>
      <c r="C586" s="376" t="s">
        <v>1830</v>
      </c>
      <c r="D586" s="376" t="s">
        <v>862</v>
      </c>
      <c r="E586" s="376" t="s">
        <v>224</v>
      </c>
      <c r="F586" s="382" t="s">
        <v>225</v>
      </c>
      <c r="G586" s="376" t="s">
        <v>781</v>
      </c>
      <c r="H586" s="378"/>
      <c r="I586" s="378"/>
      <c r="J586" s="376" t="s">
        <v>215</v>
      </c>
      <c r="K586" s="376" t="s">
        <v>863</v>
      </c>
      <c r="L586" s="376" t="s">
        <v>252</v>
      </c>
      <c r="M586" s="376" t="s">
        <v>171</v>
      </c>
      <c r="N586" s="376" t="s">
        <v>172</v>
      </c>
      <c r="O586" s="379">
        <v>1</v>
      </c>
      <c r="P586" s="385">
        <v>1</v>
      </c>
      <c r="Q586" s="385">
        <v>1</v>
      </c>
      <c r="R586" s="380">
        <v>80</v>
      </c>
      <c r="S586" s="385">
        <v>1</v>
      </c>
      <c r="T586" s="380">
        <v>44336.83</v>
      </c>
      <c r="U586" s="380">
        <v>0</v>
      </c>
      <c r="V586" s="380">
        <v>20893.810000000001</v>
      </c>
      <c r="W586" s="380">
        <v>48256</v>
      </c>
      <c r="X586" s="380">
        <v>22085.33</v>
      </c>
      <c r="Y586" s="380">
        <v>48256</v>
      </c>
      <c r="Z586" s="380">
        <v>21882.66</v>
      </c>
      <c r="AA586" s="376" t="s">
        <v>1831</v>
      </c>
      <c r="AB586" s="376" t="s">
        <v>1832</v>
      </c>
      <c r="AC586" s="376" t="s">
        <v>847</v>
      </c>
      <c r="AD586" s="376" t="s">
        <v>419</v>
      </c>
      <c r="AE586" s="376" t="s">
        <v>863</v>
      </c>
      <c r="AF586" s="376" t="s">
        <v>393</v>
      </c>
      <c r="AG586" s="376" t="s">
        <v>178</v>
      </c>
      <c r="AH586" s="381">
        <v>23.2</v>
      </c>
      <c r="AI586" s="381">
        <v>31316.7</v>
      </c>
      <c r="AJ586" s="376" t="s">
        <v>179</v>
      </c>
      <c r="AK586" s="376" t="s">
        <v>180</v>
      </c>
      <c r="AL586" s="376" t="s">
        <v>181</v>
      </c>
      <c r="AM586" s="376" t="s">
        <v>182</v>
      </c>
      <c r="AN586" s="376" t="s">
        <v>68</v>
      </c>
      <c r="AO586" s="379">
        <v>80</v>
      </c>
      <c r="AP586" s="385">
        <v>1</v>
      </c>
      <c r="AQ586" s="385">
        <v>1</v>
      </c>
      <c r="AR586" s="383" t="s">
        <v>183</v>
      </c>
      <c r="AS586" s="387">
        <f t="shared" si="423"/>
        <v>1</v>
      </c>
      <c r="AT586">
        <f t="shared" si="424"/>
        <v>1</v>
      </c>
      <c r="AU586" s="387">
        <f>IF(AT586=0,"",IF(AND(AT586=1,M586="F",SUMIF(C2:C1334,C586,AS2:AS1334)&lt;=1),SUMIF(C2:C1334,C586,AS2:AS1334),IF(AND(AT586=1,M586="F",SUMIF(C2:C1334,C586,AS2:AS1334)&gt;1),1,"")))</f>
        <v>1</v>
      </c>
      <c r="AV586" s="387" t="str">
        <f>IF(AT586=0,"",IF(AND(AT586=3,M586="F",SUMIF(C2:C1334,C586,AS2:AS1334)&lt;=1),SUMIF(C2:C1334,C586,AS2:AS1334),IF(AND(AT586=3,M586="F",SUMIF(C2:C1334,C586,AS2:AS1334)&gt;1),1,"")))</f>
        <v/>
      </c>
      <c r="AW586" s="387">
        <f>SUMIF(C2:C1334,C586,O2:O1334)</f>
        <v>1</v>
      </c>
      <c r="AX586" s="387">
        <f>IF(AND(M586="F",AS586&lt;&gt;0),SUMIF(C2:C1334,C586,W2:W1334),0)</f>
        <v>48256</v>
      </c>
      <c r="AY586" s="387">
        <f t="shared" si="425"/>
        <v>48256</v>
      </c>
      <c r="AZ586" s="387" t="str">
        <f t="shared" si="426"/>
        <v/>
      </c>
      <c r="BA586" s="387">
        <f t="shared" si="427"/>
        <v>0</v>
      </c>
      <c r="BB586" s="387">
        <f t="shared" si="396"/>
        <v>11650</v>
      </c>
      <c r="BC586" s="387">
        <f t="shared" si="397"/>
        <v>0</v>
      </c>
      <c r="BD586" s="387">
        <f t="shared" si="398"/>
        <v>2991.8719999999998</v>
      </c>
      <c r="BE586" s="387">
        <f t="shared" si="399"/>
        <v>699.71199999999999</v>
      </c>
      <c r="BF586" s="387">
        <f t="shared" si="400"/>
        <v>5761.7664000000004</v>
      </c>
      <c r="BG586" s="387">
        <f t="shared" si="401"/>
        <v>347.92576000000003</v>
      </c>
      <c r="BH586" s="387">
        <f t="shared" si="402"/>
        <v>236.45439999999999</v>
      </c>
      <c r="BI586" s="387">
        <f t="shared" si="403"/>
        <v>267.09696000000002</v>
      </c>
      <c r="BJ586" s="387">
        <f t="shared" si="404"/>
        <v>130.2912</v>
      </c>
      <c r="BK586" s="387">
        <f t="shared" si="405"/>
        <v>0</v>
      </c>
      <c r="BL586" s="387">
        <f t="shared" si="428"/>
        <v>10435.11872</v>
      </c>
      <c r="BM586" s="387">
        <f t="shared" si="429"/>
        <v>0</v>
      </c>
      <c r="BN586" s="387">
        <f t="shared" si="406"/>
        <v>11650</v>
      </c>
      <c r="BO586" s="387">
        <f t="shared" si="407"/>
        <v>0</v>
      </c>
      <c r="BP586" s="387">
        <f t="shared" si="408"/>
        <v>2991.8719999999998</v>
      </c>
      <c r="BQ586" s="387">
        <f t="shared" si="409"/>
        <v>699.71199999999999</v>
      </c>
      <c r="BR586" s="387">
        <f t="shared" si="410"/>
        <v>5761.7664000000004</v>
      </c>
      <c r="BS586" s="387">
        <f t="shared" si="411"/>
        <v>347.92576000000003</v>
      </c>
      <c r="BT586" s="387">
        <f t="shared" si="412"/>
        <v>0</v>
      </c>
      <c r="BU586" s="387">
        <f t="shared" si="413"/>
        <v>267.09696000000002</v>
      </c>
      <c r="BV586" s="387">
        <f t="shared" si="414"/>
        <v>164.07039999999998</v>
      </c>
      <c r="BW586" s="387">
        <f t="shared" si="415"/>
        <v>0</v>
      </c>
      <c r="BX586" s="387">
        <f t="shared" si="430"/>
        <v>10232.443520000001</v>
      </c>
      <c r="BY586" s="387">
        <f t="shared" si="431"/>
        <v>0</v>
      </c>
      <c r="BZ586" s="387">
        <f t="shared" si="432"/>
        <v>0</v>
      </c>
      <c r="CA586" s="387">
        <f t="shared" si="433"/>
        <v>0</v>
      </c>
      <c r="CB586" s="387">
        <f t="shared" si="434"/>
        <v>0</v>
      </c>
      <c r="CC586" s="387">
        <f t="shared" si="416"/>
        <v>0</v>
      </c>
      <c r="CD586" s="387">
        <f t="shared" si="417"/>
        <v>0</v>
      </c>
      <c r="CE586" s="387">
        <f t="shared" si="418"/>
        <v>0</v>
      </c>
      <c r="CF586" s="387">
        <f t="shared" si="419"/>
        <v>-236.45439999999999</v>
      </c>
      <c r="CG586" s="387">
        <f t="shared" si="420"/>
        <v>0</v>
      </c>
      <c r="CH586" s="387">
        <f t="shared" si="421"/>
        <v>33.779199999999982</v>
      </c>
      <c r="CI586" s="387">
        <f t="shared" si="422"/>
        <v>0</v>
      </c>
      <c r="CJ586" s="387">
        <f t="shared" si="435"/>
        <v>-202.67520000000002</v>
      </c>
      <c r="CK586" s="387" t="str">
        <f t="shared" si="436"/>
        <v/>
      </c>
      <c r="CL586" s="387" t="str">
        <f t="shared" si="437"/>
        <v/>
      </c>
      <c r="CM586" s="387" t="str">
        <f t="shared" si="438"/>
        <v/>
      </c>
      <c r="CN586" s="387" t="str">
        <f t="shared" si="439"/>
        <v>0348-31</v>
      </c>
    </row>
    <row r="587" spans="1:92" ht="15.75" thickBot="1" x14ac:dyDescent="0.3">
      <c r="A587" s="376" t="s">
        <v>161</v>
      </c>
      <c r="B587" s="376" t="s">
        <v>162</v>
      </c>
      <c r="C587" s="376" t="s">
        <v>1833</v>
      </c>
      <c r="D587" s="376" t="s">
        <v>862</v>
      </c>
      <c r="E587" s="376" t="s">
        <v>224</v>
      </c>
      <c r="F587" s="382" t="s">
        <v>225</v>
      </c>
      <c r="G587" s="376" t="s">
        <v>781</v>
      </c>
      <c r="H587" s="378"/>
      <c r="I587" s="378"/>
      <c r="J587" s="376" t="s">
        <v>215</v>
      </c>
      <c r="K587" s="376" t="s">
        <v>863</v>
      </c>
      <c r="L587" s="376" t="s">
        <v>252</v>
      </c>
      <c r="M587" s="376" t="s">
        <v>171</v>
      </c>
      <c r="N587" s="376" t="s">
        <v>172</v>
      </c>
      <c r="O587" s="379">
        <v>1</v>
      </c>
      <c r="P587" s="385">
        <v>0</v>
      </c>
      <c r="Q587" s="385">
        <v>0</v>
      </c>
      <c r="R587" s="380">
        <v>80</v>
      </c>
      <c r="S587" s="385">
        <v>0</v>
      </c>
      <c r="T587" s="380">
        <v>741.6</v>
      </c>
      <c r="U587" s="380">
        <v>0</v>
      </c>
      <c r="V587" s="380">
        <v>406.58</v>
      </c>
      <c r="W587" s="380">
        <v>0</v>
      </c>
      <c r="X587" s="380">
        <v>0</v>
      </c>
      <c r="Y587" s="380">
        <v>0</v>
      </c>
      <c r="Z587" s="380">
        <v>0</v>
      </c>
      <c r="AA587" s="376" t="s">
        <v>1834</v>
      </c>
      <c r="AB587" s="376" t="s">
        <v>1835</v>
      </c>
      <c r="AC587" s="376" t="s">
        <v>623</v>
      </c>
      <c r="AD587" s="376" t="s">
        <v>252</v>
      </c>
      <c r="AE587" s="376" t="s">
        <v>863</v>
      </c>
      <c r="AF587" s="376" t="s">
        <v>393</v>
      </c>
      <c r="AG587" s="376" t="s">
        <v>178</v>
      </c>
      <c r="AH587" s="381">
        <v>18.54</v>
      </c>
      <c r="AI587" s="381">
        <v>1623.6</v>
      </c>
      <c r="AJ587" s="376" t="s">
        <v>179</v>
      </c>
      <c r="AK587" s="376" t="s">
        <v>180</v>
      </c>
      <c r="AL587" s="376" t="s">
        <v>181</v>
      </c>
      <c r="AM587" s="376" t="s">
        <v>182</v>
      </c>
      <c r="AN587" s="376" t="s">
        <v>68</v>
      </c>
      <c r="AO587" s="379">
        <v>80</v>
      </c>
      <c r="AP587" s="385">
        <v>1</v>
      </c>
      <c r="AQ587" s="385">
        <v>0</v>
      </c>
      <c r="AR587" s="383" t="s">
        <v>183</v>
      </c>
      <c r="AS587" s="387">
        <f t="shared" si="423"/>
        <v>0</v>
      </c>
      <c r="AT587">
        <f t="shared" si="424"/>
        <v>0</v>
      </c>
      <c r="AU587" s="387" t="str">
        <f>IF(AT587=0,"",IF(AND(AT587=1,M587="F",SUMIF(C2:C1334,C587,AS2:AS1334)&lt;=1),SUMIF(C2:C1334,C587,AS2:AS1334),IF(AND(AT587=1,M587="F",SUMIF(C2:C1334,C587,AS2:AS1334)&gt;1),1,"")))</f>
        <v/>
      </c>
      <c r="AV587" s="387" t="str">
        <f>IF(AT587=0,"",IF(AND(AT587=3,M587="F",SUMIF(C2:C1334,C587,AS2:AS1334)&lt;=1),SUMIF(C2:C1334,C587,AS2:AS1334),IF(AND(AT587=3,M587="F",SUMIF(C2:C1334,C587,AS2:AS1334)&gt;1),1,"")))</f>
        <v/>
      </c>
      <c r="AW587" s="387">
        <f>SUMIF(C2:C1334,C587,O2:O1334)</f>
        <v>2</v>
      </c>
      <c r="AX587" s="387">
        <f>IF(AND(M587="F",AS587&lt;&gt;0),SUMIF(C2:C1334,C587,W2:W1334),0)</f>
        <v>0</v>
      </c>
      <c r="AY587" s="387" t="str">
        <f t="shared" si="425"/>
        <v/>
      </c>
      <c r="AZ587" s="387" t="str">
        <f t="shared" si="426"/>
        <v/>
      </c>
      <c r="BA587" s="387">
        <f t="shared" si="427"/>
        <v>0</v>
      </c>
      <c r="BB587" s="387">
        <f t="shared" si="396"/>
        <v>0</v>
      </c>
      <c r="BC587" s="387">
        <f t="shared" si="397"/>
        <v>0</v>
      </c>
      <c r="BD587" s="387">
        <f t="shared" si="398"/>
        <v>0</v>
      </c>
      <c r="BE587" s="387">
        <f t="shared" si="399"/>
        <v>0</v>
      </c>
      <c r="BF587" s="387">
        <f t="shared" si="400"/>
        <v>0</v>
      </c>
      <c r="BG587" s="387">
        <f t="shared" si="401"/>
        <v>0</v>
      </c>
      <c r="BH587" s="387">
        <f t="shared" si="402"/>
        <v>0</v>
      </c>
      <c r="BI587" s="387">
        <f t="shared" si="403"/>
        <v>0</v>
      </c>
      <c r="BJ587" s="387">
        <f t="shared" si="404"/>
        <v>0</v>
      </c>
      <c r="BK587" s="387">
        <f t="shared" si="405"/>
        <v>0</v>
      </c>
      <c r="BL587" s="387">
        <f t="shared" si="428"/>
        <v>0</v>
      </c>
      <c r="BM587" s="387">
        <f t="shared" si="429"/>
        <v>0</v>
      </c>
      <c r="BN587" s="387">
        <f t="shared" si="406"/>
        <v>0</v>
      </c>
      <c r="BO587" s="387">
        <f t="shared" si="407"/>
        <v>0</v>
      </c>
      <c r="BP587" s="387">
        <f t="shared" si="408"/>
        <v>0</v>
      </c>
      <c r="BQ587" s="387">
        <f t="shared" si="409"/>
        <v>0</v>
      </c>
      <c r="BR587" s="387">
        <f t="shared" si="410"/>
        <v>0</v>
      </c>
      <c r="BS587" s="387">
        <f t="shared" si="411"/>
        <v>0</v>
      </c>
      <c r="BT587" s="387">
        <f t="shared" si="412"/>
        <v>0</v>
      </c>
      <c r="BU587" s="387">
        <f t="shared" si="413"/>
        <v>0</v>
      </c>
      <c r="BV587" s="387">
        <f t="shared" si="414"/>
        <v>0</v>
      </c>
      <c r="BW587" s="387">
        <f t="shared" si="415"/>
        <v>0</v>
      </c>
      <c r="BX587" s="387">
        <f t="shared" si="430"/>
        <v>0</v>
      </c>
      <c r="BY587" s="387">
        <f t="shared" si="431"/>
        <v>0</v>
      </c>
      <c r="BZ587" s="387">
        <f t="shared" si="432"/>
        <v>0</v>
      </c>
      <c r="CA587" s="387">
        <f t="shared" si="433"/>
        <v>0</v>
      </c>
      <c r="CB587" s="387">
        <f t="shared" si="434"/>
        <v>0</v>
      </c>
      <c r="CC587" s="387">
        <f t="shared" si="416"/>
        <v>0</v>
      </c>
      <c r="CD587" s="387">
        <f t="shared" si="417"/>
        <v>0</v>
      </c>
      <c r="CE587" s="387">
        <f t="shared" si="418"/>
        <v>0</v>
      </c>
      <c r="CF587" s="387">
        <f t="shared" si="419"/>
        <v>0</v>
      </c>
      <c r="CG587" s="387">
        <f t="shared" si="420"/>
        <v>0</v>
      </c>
      <c r="CH587" s="387">
        <f t="shared" si="421"/>
        <v>0</v>
      </c>
      <c r="CI587" s="387">
        <f t="shared" si="422"/>
        <v>0</v>
      </c>
      <c r="CJ587" s="387">
        <f t="shared" si="435"/>
        <v>0</v>
      </c>
      <c r="CK587" s="387" t="str">
        <f t="shared" si="436"/>
        <v/>
      </c>
      <c r="CL587" s="387" t="str">
        <f t="shared" si="437"/>
        <v/>
      </c>
      <c r="CM587" s="387" t="str">
        <f t="shared" si="438"/>
        <v/>
      </c>
      <c r="CN587" s="387" t="str">
        <f t="shared" si="439"/>
        <v>0348-31</v>
      </c>
    </row>
    <row r="588" spans="1:92" ht="15.75" thickBot="1" x14ac:dyDescent="0.3">
      <c r="A588" s="376" t="s">
        <v>161</v>
      </c>
      <c r="B588" s="376" t="s">
        <v>162</v>
      </c>
      <c r="C588" s="376" t="s">
        <v>1836</v>
      </c>
      <c r="D588" s="376" t="s">
        <v>1088</v>
      </c>
      <c r="E588" s="376" t="s">
        <v>224</v>
      </c>
      <c r="F588" s="382" t="s">
        <v>225</v>
      </c>
      <c r="G588" s="376" t="s">
        <v>781</v>
      </c>
      <c r="H588" s="378"/>
      <c r="I588" s="378"/>
      <c r="J588" s="376" t="s">
        <v>215</v>
      </c>
      <c r="K588" s="376" t="s">
        <v>1089</v>
      </c>
      <c r="L588" s="376" t="s">
        <v>181</v>
      </c>
      <c r="M588" s="376" t="s">
        <v>171</v>
      </c>
      <c r="N588" s="376" t="s">
        <v>172</v>
      </c>
      <c r="O588" s="379">
        <v>1</v>
      </c>
      <c r="P588" s="385">
        <v>0</v>
      </c>
      <c r="Q588" s="385">
        <v>0</v>
      </c>
      <c r="R588" s="380">
        <v>80</v>
      </c>
      <c r="S588" s="385">
        <v>0</v>
      </c>
      <c r="T588" s="380">
        <v>77433.960000000006</v>
      </c>
      <c r="U588" s="380">
        <v>0</v>
      </c>
      <c r="V588" s="380">
        <v>27463.71</v>
      </c>
      <c r="W588" s="380">
        <v>0</v>
      </c>
      <c r="X588" s="380">
        <v>0</v>
      </c>
      <c r="Y588" s="380">
        <v>0</v>
      </c>
      <c r="Z588" s="380">
        <v>0</v>
      </c>
      <c r="AA588" s="376" t="s">
        <v>1837</v>
      </c>
      <c r="AB588" s="376" t="s">
        <v>1838</v>
      </c>
      <c r="AC588" s="376" t="s">
        <v>435</v>
      </c>
      <c r="AD588" s="376" t="s">
        <v>534</v>
      </c>
      <c r="AE588" s="376" t="s">
        <v>1089</v>
      </c>
      <c r="AF588" s="376" t="s">
        <v>211</v>
      </c>
      <c r="AG588" s="376" t="s">
        <v>178</v>
      </c>
      <c r="AH588" s="381">
        <v>38.58</v>
      </c>
      <c r="AI588" s="381">
        <v>35446.400000000001</v>
      </c>
      <c r="AJ588" s="376" t="s">
        <v>179</v>
      </c>
      <c r="AK588" s="376" t="s">
        <v>180</v>
      </c>
      <c r="AL588" s="376" t="s">
        <v>181</v>
      </c>
      <c r="AM588" s="376" t="s">
        <v>182</v>
      </c>
      <c r="AN588" s="376" t="s">
        <v>68</v>
      </c>
      <c r="AO588" s="379">
        <v>80</v>
      </c>
      <c r="AP588" s="385">
        <v>1</v>
      </c>
      <c r="AQ588" s="385">
        <v>0</v>
      </c>
      <c r="AR588" s="383" t="s">
        <v>183</v>
      </c>
      <c r="AS588" s="387">
        <f t="shared" si="423"/>
        <v>0</v>
      </c>
      <c r="AT588">
        <f t="shared" si="424"/>
        <v>0</v>
      </c>
      <c r="AU588" s="387" t="str">
        <f>IF(AT588=0,"",IF(AND(AT588=1,M588="F",SUMIF(C2:C1334,C588,AS2:AS1334)&lt;=1),SUMIF(C2:C1334,C588,AS2:AS1334),IF(AND(AT588=1,M588="F",SUMIF(C2:C1334,C588,AS2:AS1334)&gt;1),1,"")))</f>
        <v/>
      </c>
      <c r="AV588" s="387" t="str">
        <f>IF(AT588=0,"",IF(AND(AT588=3,M588="F",SUMIF(C2:C1334,C588,AS2:AS1334)&lt;=1),SUMIF(C2:C1334,C588,AS2:AS1334),IF(AND(AT588=3,M588="F",SUMIF(C2:C1334,C588,AS2:AS1334)&gt;1),1,"")))</f>
        <v/>
      </c>
      <c r="AW588" s="387">
        <f>SUMIF(C2:C1334,C588,O2:O1334)</f>
        <v>2</v>
      </c>
      <c r="AX588" s="387">
        <f>IF(AND(M588="F",AS588&lt;&gt;0),SUMIF(C2:C1334,C588,W2:W1334),0)</f>
        <v>0</v>
      </c>
      <c r="AY588" s="387" t="str">
        <f t="shared" si="425"/>
        <v/>
      </c>
      <c r="AZ588" s="387" t="str">
        <f t="shared" si="426"/>
        <v/>
      </c>
      <c r="BA588" s="387">
        <f t="shared" si="427"/>
        <v>0</v>
      </c>
      <c r="BB588" s="387">
        <f t="shared" si="396"/>
        <v>0</v>
      </c>
      <c r="BC588" s="387">
        <f t="shared" si="397"/>
        <v>0</v>
      </c>
      <c r="BD588" s="387">
        <f t="shared" si="398"/>
        <v>0</v>
      </c>
      <c r="BE588" s="387">
        <f t="shared" si="399"/>
        <v>0</v>
      </c>
      <c r="BF588" s="387">
        <f t="shared" si="400"/>
        <v>0</v>
      </c>
      <c r="BG588" s="387">
        <f t="shared" si="401"/>
        <v>0</v>
      </c>
      <c r="BH588" s="387">
        <f t="shared" si="402"/>
        <v>0</v>
      </c>
      <c r="BI588" s="387">
        <f t="shared" si="403"/>
        <v>0</v>
      </c>
      <c r="BJ588" s="387">
        <f t="shared" si="404"/>
        <v>0</v>
      </c>
      <c r="BK588" s="387">
        <f t="shared" si="405"/>
        <v>0</v>
      </c>
      <c r="BL588" s="387">
        <f t="shared" si="428"/>
        <v>0</v>
      </c>
      <c r="BM588" s="387">
        <f t="shared" si="429"/>
        <v>0</v>
      </c>
      <c r="BN588" s="387">
        <f t="shared" si="406"/>
        <v>0</v>
      </c>
      <c r="BO588" s="387">
        <f t="shared" si="407"/>
        <v>0</v>
      </c>
      <c r="BP588" s="387">
        <f t="shared" si="408"/>
        <v>0</v>
      </c>
      <c r="BQ588" s="387">
        <f t="shared" si="409"/>
        <v>0</v>
      </c>
      <c r="BR588" s="387">
        <f t="shared" si="410"/>
        <v>0</v>
      </c>
      <c r="BS588" s="387">
        <f t="shared" si="411"/>
        <v>0</v>
      </c>
      <c r="BT588" s="387">
        <f t="shared" si="412"/>
        <v>0</v>
      </c>
      <c r="BU588" s="387">
        <f t="shared" si="413"/>
        <v>0</v>
      </c>
      <c r="BV588" s="387">
        <f t="shared" si="414"/>
        <v>0</v>
      </c>
      <c r="BW588" s="387">
        <f t="shared" si="415"/>
        <v>0</v>
      </c>
      <c r="BX588" s="387">
        <f t="shared" si="430"/>
        <v>0</v>
      </c>
      <c r="BY588" s="387">
        <f t="shared" si="431"/>
        <v>0</v>
      </c>
      <c r="BZ588" s="387">
        <f t="shared" si="432"/>
        <v>0</v>
      </c>
      <c r="CA588" s="387">
        <f t="shared" si="433"/>
        <v>0</v>
      </c>
      <c r="CB588" s="387">
        <f t="shared" si="434"/>
        <v>0</v>
      </c>
      <c r="CC588" s="387">
        <f t="shared" si="416"/>
        <v>0</v>
      </c>
      <c r="CD588" s="387">
        <f t="shared" si="417"/>
        <v>0</v>
      </c>
      <c r="CE588" s="387">
        <f t="shared" si="418"/>
        <v>0</v>
      </c>
      <c r="CF588" s="387">
        <f t="shared" si="419"/>
        <v>0</v>
      </c>
      <c r="CG588" s="387">
        <f t="shared" si="420"/>
        <v>0</v>
      </c>
      <c r="CH588" s="387">
        <f t="shared" si="421"/>
        <v>0</v>
      </c>
      <c r="CI588" s="387">
        <f t="shared" si="422"/>
        <v>0</v>
      </c>
      <c r="CJ588" s="387">
        <f t="shared" si="435"/>
        <v>0</v>
      </c>
      <c r="CK588" s="387" t="str">
        <f t="shared" si="436"/>
        <v/>
      </c>
      <c r="CL588" s="387" t="str">
        <f t="shared" si="437"/>
        <v/>
      </c>
      <c r="CM588" s="387" t="str">
        <f t="shared" si="438"/>
        <v/>
      </c>
      <c r="CN588" s="387" t="str">
        <f t="shared" si="439"/>
        <v>0348-31</v>
      </c>
    </row>
    <row r="589" spans="1:92" ht="15.75" thickBot="1" x14ac:dyDescent="0.3">
      <c r="A589" s="376" t="s">
        <v>161</v>
      </c>
      <c r="B589" s="376" t="s">
        <v>162</v>
      </c>
      <c r="C589" s="376" t="s">
        <v>1839</v>
      </c>
      <c r="D589" s="376" t="s">
        <v>1840</v>
      </c>
      <c r="E589" s="376" t="s">
        <v>224</v>
      </c>
      <c r="F589" s="382" t="s">
        <v>225</v>
      </c>
      <c r="G589" s="376" t="s">
        <v>781</v>
      </c>
      <c r="H589" s="378"/>
      <c r="I589" s="378"/>
      <c r="J589" s="376" t="s">
        <v>215</v>
      </c>
      <c r="K589" s="376" t="s">
        <v>1841</v>
      </c>
      <c r="L589" s="376" t="s">
        <v>166</v>
      </c>
      <c r="M589" s="376" t="s">
        <v>171</v>
      </c>
      <c r="N589" s="376" t="s">
        <v>780</v>
      </c>
      <c r="O589" s="379">
        <v>0</v>
      </c>
      <c r="P589" s="385">
        <v>0</v>
      </c>
      <c r="Q589" s="385">
        <v>0</v>
      </c>
      <c r="R589" s="380">
        <v>0</v>
      </c>
      <c r="S589" s="385">
        <v>0</v>
      </c>
      <c r="T589" s="380">
        <v>19393.48</v>
      </c>
      <c r="U589" s="380">
        <v>0</v>
      </c>
      <c r="V589" s="380">
        <v>1563.83</v>
      </c>
      <c r="W589" s="380">
        <v>0</v>
      </c>
      <c r="X589" s="380">
        <v>0</v>
      </c>
      <c r="Y589" s="380">
        <v>0</v>
      </c>
      <c r="Z589" s="380">
        <v>0</v>
      </c>
      <c r="AA589" s="378"/>
      <c r="AB589" s="376" t="s">
        <v>45</v>
      </c>
      <c r="AC589" s="376" t="s">
        <v>45</v>
      </c>
      <c r="AD589" s="378"/>
      <c r="AE589" s="378"/>
      <c r="AF589" s="378"/>
      <c r="AG589" s="378"/>
      <c r="AH589" s="379">
        <v>0</v>
      </c>
      <c r="AI589" s="379">
        <v>0</v>
      </c>
      <c r="AJ589" s="378"/>
      <c r="AK589" s="378"/>
      <c r="AL589" s="376" t="s">
        <v>181</v>
      </c>
      <c r="AM589" s="378"/>
      <c r="AN589" s="378"/>
      <c r="AO589" s="379">
        <v>0</v>
      </c>
      <c r="AP589" s="385">
        <v>0</v>
      </c>
      <c r="AQ589" s="385">
        <v>0</v>
      </c>
      <c r="AR589" s="384"/>
      <c r="AS589" s="387">
        <f t="shared" si="423"/>
        <v>0</v>
      </c>
      <c r="AT589">
        <f t="shared" si="424"/>
        <v>0</v>
      </c>
      <c r="AU589" s="387" t="str">
        <f>IF(AT589=0,"",IF(AND(AT589=1,M589="F",SUMIF(C2:C1334,C589,AS2:AS1334)&lt;=1),SUMIF(C2:C1334,C589,AS2:AS1334),IF(AND(AT589=1,M589="F",SUMIF(C2:C1334,C589,AS2:AS1334)&gt;1),1,"")))</f>
        <v/>
      </c>
      <c r="AV589" s="387" t="str">
        <f>IF(AT589=0,"",IF(AND(AT589=3,M589="F",SUMIF(C2:C1334,C589,AS2:AS1334)&lt;=1),SUMIF(C2:C1334,C589,AS2:AS1334),IF(AND(AT589=3,M589="F",SUMIF(C2:C1334,C589,AS2:AS1334)&gt;1),1,"")))</f>
        <v/>
      </c>
      <c r="AW589" s="387">
        <f>SUMIF(C2:C1334,C589,O2:O1334)</f>
        <v>0</v>
      </c>
      <c r="AX589" s="387">
        <f>IF(AND(M589="F",AS589&lt;&gt;0),SUMIF(C2:C1334,C589,W2:W1334),0)</f>
        <v>0</v>
      </c>
      <c r="AY589" s="387" t="str">
        <f t="shared" si="425"/>
        <v/>
      </c>
      <c r="AZ589" s="387" t="str">
        <f t="shared" si="426"/>
        <v/>
      </c>
      <c r="BA589" s="387">
        <f t="shared" si="427"/>
        <v>0</v>
      </c>
      <c r="BB589" s="387">
        <f t="shared" si="396"/>
        <v>0</v>
      </c>
      <c r="BC589" s="387">
        <f t="shared" si="397"/>
        <v>0</v>
      </c>
      <c r="BD589" s="387">
        <f t="shared" si="398"/>
        <v>0</v>
      </c>
      <c r="BE589" s="387">
        <f t="shared" si="399"/>
        <v>0</v>
      </c>
      <c r="BF589" s="387">
        <f t="shared" si="400"/>
        <v>0</v>
      </c>
      <c r="BG589" s="387">
        <f t="shared" si="401"/>
        <v>0</v>
      </c>
      <c r="BH589" s="387">
        <f t="shared" si="402"/>
        <v>0</v>
      </c>
      <c r="BI589" s="387">
        <f t="shared" si="403"/>
        <v>0</v>
      </c>
      <c r="BJ589" s="387">
        <f t="shared" si="404"/>
        <v>0</v>
      </c>
      <c r="BK589" s="387">
        <f t="shared" si="405"/>
        <v>0</v>
      </c>
      <c r="BL589" s="387">
        <f t="shared" si="428"/>
        <v>0</v>
      </c>
      <c r="BM589" s="387">
        <f t="shared" si="429"/>
        <v>0</v>
      </c>
      <c r="BN589" s="387">
        <f t="shared" si="406"/>
        <v>0</v>
      </c>
      <c r="BO589" s="387">
        <f t="shared" si="407"/>
        <v>0</v>
      </c>
      <c r="BP589" s="387">
        <f t="shared" si="408"/>
        <v>0</v>
      </c>
      <c r="BQ589" s="387">
        <f t="shared" si="409"/>
        <v>0</v>
      </c>
      <c r="BR589" s="387">
        <f t="shared" si="410"/>
        <v>0</v>
      </c>
      <c r="BS589" s="387">
        <f t="shared" si="411"/>
        <v>0</v>
      </c>
      <c r="BT589" s="387">
        <f t="shared" si="412"/>
        <v>0</v>
      </c>
      <c r="BU589" s="387">
        <f t="shared" si="413"/>
        <v>0</v>
      </c>
      <c r="BV589" s="387">
        <f t="shared" si="414"/>
        <v>0</v>
      </c>
      <c r="BW589" s="387">
        <f t="shared" si="415"/>
        <v>0</v>
      </c>
      <c r="BX589" s="387">
        <f t="shared" si="430"/>
        <v>0</v>
      </c>
      <c r="BY589" s="387">
        <f t="shared" si="431"/>
        <v>0</v>
      </c>
      <c r="BZ589" s="387">
        <f t="shared" si="432"/>
        <v>0</v>
      </c>
      <c r="CA589" s="387">
        <f t="shared" si="433"/>
        <v>0</v>
      </c>
      <c r="CB589" s="387">
        <f t="shared" si="434"/>
        <v>0</v>
      </c>
      <c r="CC589" s="387">
        <f t="shared" si="416"/>
        <v>0</v>
      </c>
      <c r="CD589" s="387">
        <f t="shared" si="417"/>
        <v>0</v>
      </c>
      <c r="CE589" s="387">
        <f t="shared" si="418"/>
        <v>0</v>
      </c>
      <c r="CF589" s="387">
        <f t="shared" si="419"/>
        <v>0</v>
      </c>
      <c r="CG589" s="387">
        <f t="shared" si="420"/>
        <v>0</v>
      </c>
      <c r="CH589" s="387">
        <f t="shared" si="421"/>
        <v>0</v>
      </c>
      <c r="CI589" s="387">
        <f t="shared" si="422"/>
        <v>0</v>
      </c>
      <c r="CJ589" s="387">
        <f t="shared" si="435"/>
        <v>0</v>
      </c>
      <c r="CK589" s="387" t="str">
        <f t="shared" si="436"/>
        <v/>
      </c>
      <c r="CL589" s="387">
        <f t="shared" si="437"/>
        <v>19393.48</v>
      </c>
      <c r="CM589" s="387">
        <f t="shared" si="438"/>
        <v>1563.83</v>
      </c>
      <c r="CN589" s="387" t="str">
        <f t="shared" si="439"/>
        <v>0348-31</v>
      </c>
    </row>
    <row r="590" spans="1:92" ht="15.75" thickBot="1" x14ac:dyDescent="0.3">
      <c r="A590" s="376" t="s">
        <v>161</v>
      </c>
      <c r="B590" s="376" t="s">
        <v>162</v>
      </c>
      <c r="C590" s="376" t="s">
        <v>1842</v>
      </c>
      <c r="D590" s="376" t="s">
        <v>862</v>
      </c>
      <c r="E590" s="376" t="s">
        <v>224</v>
      </c>
      <c r="F590" s="382" t="s">
        <v>225</v>
      </c>
      <c r="G590" s="376" t="s">
        <v>781</v>
      </c>
      <c r="H590" s="378"/>
      <c r="I590" s="378"/>
      <c r="J590" s="376" t="s">
        <v>168</v>
      </c>
      <c r="K590" s="376" t="s">
        <v>863</v>
      </c>
      <c r="L590" s="376" t="s">
        <v>252</v>
      </c>
      <c r="M590" s="376" t="s">
        <v>171</v>
      </c>
      <c r="N590" s="376" t="s">
        <v>172</v>
      </c>
      <c r="O590" s="379">
        <v>1</v>
      </c>
      <c r="P590" s="385">
        <v>1</v>
      </c>
      <c r="Q590" s="385">
        <v>1</v>
      </c>
      <c r="R590" s="380">
        <v>80</v>
      </c>
      <c r="S590" s="385">
        <v>1</v>
      </c>
      <c r="T590" s="380">
        <v>37944.06</v>
      </c>
      <c r="U590" s="380">
        <v>0</v>
      </c>
      <c r="V590" s="380">
        <v>19807.099999999999</v>
      </c>
      <c r="W590" s="380">
        <v>43596.800000000003</v>
      </c>
      <c r="X590" s="380">
        <v>21077.77</v>
      </c>
      <c r="Y590" s="380">
        <v>43596.800000000003</v>
      </c>
      <c r="Z590" s="380">
        <v>20894.650000000001</v>
      </c>
      <c r="AA590" s="376" t="s">
        <v>1843</v>
      </c>
      <c r="AB590" s="376" t="s">
        <v>1844</v>
      </c>
      <c r="AC590" s="376" t="s">
        <v>1845</v>
      </c>
      <c r="AD590" s="376" t="s">
        <v>324</v>
      </c>
      <c r="AE590" s="376" t="s">
        <v>863</v>
      </c>
      <c r="AF590" s="376" t="s">
        <v>393</v>
      </c>
      <c r="AG590" s="376" t="s">
        <v>178</v>
      </c>
      <c r="AH590" s="381">
        <v>20.96</v>
      </c>
      <c r="AI590" s="381">
        <v>15121.4</v>
      </c>
      <c r="AJ590" s="376" t="s">
        <v>179</v>
      </c>
      <c r="AK590" s="376" t="s">
        <v>180</v>
      </c>
      <c r="AL590" s="376" t="s">
        <v>181</v>
      </c>
      <c r="AM590" s="376" t="s">
        <v>182</v>
      </c>
      <c r="AN590" s="376" t="s">
        <v>68</v>
      </c>
      <c r="AO590" s="379">
        <v>80</v>
      </c>
      <c r="AP590" s="385">
        <v>1</v>
      </c>
      <c r="AQ590" s="385">
        <v>1</v>
      </c>
      <c r="AR590" s="383" t="s">
        <v>183</v>
      </c>
      <c r="AS590" s="387">
        <f t="shared" si="423"/>
        <v>1</v>
      </c>
      <c r="AT590">
        <f t="shared" si="424"/>
        <v>1</v>
      </c>
      <c r="AU590" s="387">
        <f>IF(AT590=0,"",IF(AND(AT590=1,M590="F",SUMIF(C2:C1334,C590,AS2:AS1334)&lt;=1),SUMIF(C2:C1334,C590,AS2:AS1334),IF(AND(AT590=1,M590="F",SUMIF(C2:C1334,C590,AS2:AS1334)&gt;1),1,"")))</f>
        <v>1</v>
      </c>
      <c r="AV590" s="387" t="str">
        <f>IF(AT590=0,"",IF(AND(AT590=3,M590="F",SUMIF(C2:C1334,C590,AS2:AS1334)&lt;=1),SUMIF(C2:C1334,C590,AS2:AS1334),IF(AND(AT590=3,M590="F",SUMIF(C2:C1334,C590,AS2:AS1334)&gt;1),1,"")))</f>
        <v/>
      </c>
      <c r="AW590" s="387">
        <f>SUMIF(C2:C1334,C590,O2:O1334)</f>
        <v>2</v>
      </c>
      <c r="AX590" s="387">
        <f>IF(AND(M590="F",AS590&lt;&gt;0),SUMIF(C2:C1334,C590,W2:W1334),0)</f>
        <v>43596.800000000003</v>
      </c>
      <c r="AY590" s="387">
        <f t="shared" si="425"/>
        <v>43596.800000000003</v>
      </c>
      <c r="AZ590" s="387" t="str">
        <f t="shared" si="426"/>
        <v/>
      </c>
      <c r="BA590" s="387">
        <f t="shared" si="427"/>
        <v>0</v>
      </c>
      <c r="BB590" s="387">
        <f t="shared" si="396"/>
        <v>11650</v>
      </c>
      <c r="BC590" s="387">
        <f t="shared" si="397"/>
        <v>0</v>
      </c>
      <c r="BD590" s="387">
        <f t="shared" si="398"/>
        <v>2703.0016000000001</v>
      </c>
      <c r="BE590" s="387">
        <f t="shared" si="399"/>
        <v>632.1536000000001</v>
      </c>
      <c r="BF590" s="387">
        <f t="shared" si="400"/>
        <v>5205.4579200000007</v>
      </c>
      <c r="BG590" s="387">
        <f t="shared" si="401"/>
        <v>314.33292800000004</v>
      </c>
      <c r="BH590" s="387">
        <f t="shared" si="402"/>
        <v>213.62432000000001</v>
      </c>
      <c r="BI590" s="387">
        <f t="shared" si="403"/>
        <v>241.308288</v>
      </c>
      <c r="BJ590" s="387">
        <f t="shared" si="404"/>
        <v>117.71136000000001</v>
      </c>
      <c r="BK590" s="387">
        <f t="shared" si="405"/>
        <v>0</v>
      </c>
      <c r="BL590" s="387">
        <f t="shared" si="428"/>
        <v>9427.5900160000019</v>
      </c>
      <c r="BM590" s="387">
        <f t="shared" si="429"/>
        <v>0</v>
      </c>
      <c r="BN590" s="387">
        <f t="shared" si="406"/>
        <v>11650</v>
      </c>
      <c r="BO590" s="387">
        <f t="shared" si="407"/>
        <v>0</v>
      </c>
      <c r="BP590" s="387">
        <f t="shared" si="408"/>
        <v>2703.0016000000001</v>
      </c>
      <c r="BQ590" s="387">
        <f t="shared" si="409"/>
        <v>632.1536000000001</v>
      </c>
      <c r="BR590" s="387">
        <f t="shared" si="410"/>
        <v>5205.4579200000007</v>
      </c>
      <c r="BS590" s="387">
        <f t="shared" si="411"/>
        <v>314.33292800000004</v>
      </c>
      <c r="BT590" s="387">
        <f t="shared" si="412"/>
        <v>0</v>
      </c>
      <c r="BU590" s="387">
        <f t="shared" si="413"/>
        <v>241.308288</v>
      </c>
      <c r="BV590" s="387">
        <f t="shared" si="414"/>
        <v>148.22911999999999</v>
      </c>
      <c r="BW590" s="387">
        <f t="shared" si="415"/>
        <v>0</v>
      </c>
      <c r="BX590" s="387">
        <f t="shared" si="430"/>
        <v>9244.4834560000018</v>
      </c>
      <c r="BY590" s="387">
        <f t="shared" si="431"/>
        <v>0</v>
      </c>
      <c r="BZ590" s="387">
        <f t="shared" si="432"/>
        <v>0</v>
      </c>
      <c r="CA590" s="387">
        <f t="shared" si="433"/>
        <v>0</v>
      </c>
      <c r="CB590" s="387">
        <f t="shared" si="434"/>
        <v>0</v>
      </c>
      <c r="CC590" s="387">
        <f t="shared" si="416"/>
        <v>0</v>
      </c>
      <c r="CD590" s="387">
        <f t="shared" si="417"/>
        <v>0</v>
      </c>
      <c r="CE590" s="387">
        <f t="shared" si="418"/>
        <v>0</v>
      </c>
      <c r="CF590" s="387">
        <f t="shared" si="419"/>
        <v>-213.62432000000001</v>
      </c>
      <c r="CG590" s="387">
        <f t="shared" si="420"/>
        <v>0</v>
      </c>
      <c r="CH590" s="387">
        <f t="shared" si="421"/>
        <v>30.517759999999988</v>
      </c>
      <c r="CI590" s="387">
        <f t="shared" si="422"/>
        <v>0</v>
      </c>
      <c r="CJ590" s="387">
        <f t="shared" si="435"/>
        <v>-183.10656000000003</v>
      </c>
      <c r="CK590" s="387" t="str">
        <f t="shared" si="436"/>
        <v/>
      </c>
      <c r="CL590" s="387" t="str">
        <f t="shared" si="437"/>
        <v/>
      </c>
      <c r="CM590" s="387" t="str">
        <f t="shared" si="438"/>
        <v/>
      </c>
      <c r="CN590" s="387" t="str">
        <f t="shared" si="439"/>
        <v>0348-31</v>
      </c>
    </row>
    <row r="591" spans="1:92" ht="15.75" thickBot="1" x14ac:dyDescent="0.3">
      <c r="A591" s="376" t="s">
        <v>161</v>
      </c>
      <c r="B591" s="376" t="s">
        <v>162</v>
      </c>
      <c r="C591" s="376" t="s">
        <v>1846</v>
      </c>
      <c r="D591" s="376" t="s">
        <v>375</v>
      </c>
      <c r="E591" s="376" t="s">
        <v>224</v>
      </c>
      <c r="F591" s="382" t="s">
        <v>225</v>
      </c>
      <c r="G591" s="376" t="s">
        <v>781</v>
      </c>
      <c r="H591" s="378"/>
      <c r="I591" s="378"/>
      <c r="J591" s="376" t="s">
        <v>215</v>
      </c>
      <c r="K591" s="376" t="s">
        <v>448</v>
      </c>
      <c r="L591" s="376" t="s">
        <v>217</v>
      </c>
      <c r="M591" s="376" t="s">
        <v>171</v>
      </c>
      <c r="N591" s="376" t="s">
        <v>172</v>
      </c>
      <c r="O591" s="379">
        <v>1</v>
      </c>
      <c r="P591" s="385">
        <v>0</v>
      </c>
      <c r="Q591" s="385">
        <v>0</v>
      </c>
      <c r="R591" s="380">
        <v>80</v>
      </c>
      <c r="S591" s="385">
        <v>0</v>
      </c>
      <c r="T591" s="380">
        <v>1132.06</v>
      </c>
      <c r="U591" s="380">
        <v>0</v>
      </c>
      <c r="V591" s="380">
        <v>539.66</v>
      </c>
      <c r="W591" s="380">
        <v>0</v>
      </c>
      <c r="X591" s="380">
        <v>0</v>
      </c>
      <c r="Y591" s="380">
        <v>0</v>
      </c>
      <c r="Z591" s="380">
        <v>0</v>
      </c>
      <c r="AA591" s="376" t="s">
        <v>1847</v>
      </c>
      <c r="AB591" s="376" t="s">
        <v>1848</v>
      </c>
      <c r="AC591" s="376" t="s">
        <v>1849</v>
      </c>
      <c r="AD591" s="376" t="s">
        <v>1850</v>
      </c>
      <c r="AE591" s="376" t="s">
        <v>448</v>
      </c>
      <c r="AF591" s="376" t="s">
        <v>221</v>
      </c>
      <c r="AG591" s="376" t="s">
        <v>178</v>
      </c>
      <c r="AH591" s="381">
        <v>21.4</v>
      </c>
      <c r="AI591" s="379">
        <v>29017</v>
      </c>
      <c r="AJ591" s="376" t="s">
        <v>179</v>
      </c>
      <c r="AK591" s="376" t="s">
        <v>180</v>
      </c>
      <c r="AL591" s="376" t="s">
        <v>181</v>
      </c>
      <c r="AM591" s="376" t="s">
        <v>182</v>
      </c>
      <c r="AN591" s="376" t="s">
        <v>68</v>
      </c>
      <c r="AO591" s="379">
        <v>80</v>
      </c>
      <c r="AP591" s="385">
        <v>1</v>
      </c>
      <c r="AQ591" s="385">
        <v>0</v>
      </c>
      <c r="AR591" s="383" t="s">
        <v>183</v>
      </c>
      <c r="AS591" s="387">
        <f t="shared" si="423"/>
        <v>0</v>
      </c>
      <c r="AT591">
        <f t="shared" si="424"/>
        <v>0</v>
      </c>
      <c r="AU591" s="387" t="str">
        <f>IF(AT591=0,"",IF(AND(AT591=1,M591="F",SUMIF(C2:C1334,C591,AS2:AS1334)&lt;=1),SUMIF(C2:C1334,C591,AS2:AS1334),IF(AND(AT591=1,M591="F",SUMIF(C2:C1334,C591,AS2:AS1334)&gt;1),1,"")))</f>
        <v/>
      </c>
      <c r="AV591" s="387" t="str">
        <f>IF(AT591=0,"",IF(AND(AT591=3,M591="F",SUMIF(C2:C1334,C591,AS2:AS1334)&lt;=1),SUMIF(C2:C1334,C591,AS2:AS1334),IF(AND(AT591=3,M591="F",SUMIF(C2:C1334,C591,AS2:AS1334)&gt;1),1,"")))</f>
        <v/>
      </c>
      <c r="AW591" s="387">
        <f>SUMIF(C2:C1334,C591,O2:O1334)</f>
        <v>2</v>
      </c>
      <c r="AX591" s="387">
        <f>IF(AND(M591="F",AS591&lt;&gt;0),SUMIF(C2:C1334,C591,W2:W1334),0)</f>
        <v>0</v>
      </c>
      <c r="AY591" s="387" t="str">
        <f t="shared" si="425"/>
        <v/>
      </c>
      <c r="AZ591" s="387" t="str">
        <f t="shared" si="426"/>
        <v/>
      </c>
      <c r="BA591" s="387">
        <f t="shared" si="427"/>
        <v>0</v>
      </c>
      <c r="BB591" s="387">
        <f t="shared" si="396"/>
        <v>0</v>
      </c>
      <c r="BC591" s="387">
        <f t="shared" si="397"/>
        <v>0</v>
      </c>
      <c r="BD591" s="387">
        <f t="shared" si="398"/>
        <v>0</v>
      </c>
      <c r="BE591" s="387">
        <f t="shared" si="399"/>
        <v>0</v>
      </c>
      <c r="BF591" s="387">
        <f t="shared" si="400"/>
        <v>0</v>
      </c>
      <c r="BG591" s="387">
        <f t="shared" si="401"/>
        <v>0</v>
      </c>
      <c r="BH591" s="387">
        <f t="shared" si="402"/>
        <v>0</v>
      </c>
      <c r="BI591" s="387">
        <f t="shared" si="403"/>
        <v>0</v>
      </c>
      <c r="BJ591" s="387">
        <f t="shared" si="404"/>
        <v>0</v>
      </c>
      <c r="BK591" s="387">
        <f t="shared" si="405"/>
        <v>0</v>
      </c>
      <c r="BL591" s="387">
        <f t="shared" si="428"/>
        <v>0</v>
      </c>
      <c r="BM591" s="387">
        <f t="shared" si="429"/>
        <v>0</v>
      </c>
      <c r="BN591" s="387">
        <f t="shared" si="406"/>
        <v>0</v>
      </c>
      <c r="BO591" s="387">
        <f t="shared" si="407"/>
        <v>0</v>
      </c>
      <c r="BP591" s="387">
        <f t="shared" si="408"/>
        <v>0</v>
      </c>
      <c r="BQ591" s="387">
        <f t="shared" si="409"/>
        <v>0</v>
      </c>
      <c r="BR591" s="387">
        <f t="shared" si="410"/>
        <v>0</v>
      </c>
      <c r="BS591" s="387">
        <f t="shared" si="411"/>
        <v>0</v>
      </c>
      <c r="BT591" s="387">
        <f t="shared" si="412"/>
        <v>0</v>
      </c>
      <c r="BU591" s="387">
        <f t="shared" si="413"/>
        <v>0</v>
      </c>
      <c r="BV591" s="387">
        <f t="shared" si="414"/>
        <v>0</v>
      </c>
      <c r="BW591" s="387">
        <f t="shared" si="415"/>
        <v>0</v>
      </c>
      <c r="BX591" s="387">
        <f t="shared" si="430"/>
        <v>0</v>
      </c>
      <c r="BY591" s="387">
        <f t="shared" si="431"/>
        <v>0</v>
      </c>
      <c r="BZ591" s="387">
        <f t="shared" si="432"/>
        <v>0</v>
      </c>
      <c r="CA591" s="387">
        <f t="shared" si="433"/>
        <v>0</v>
      </c>
      <c r="CB591" s="387">
        <f t="shared" si="434"/>
        <v>0</v>
      </c>
      <c r="CC591" s="387">
        <f t="shared" si="416"/>
        <v>0</v>
      </c>
      <c r="CD591" s="387">
        <f t="shared" si="417"/>
        <v>0</v>
      </c>
      <c r="CE591" s="387">
        <f t="shared" si="418"/>
        <v>0</v>
      </c>
      <c r="CF591" s="387">
        <f t="shared" si="419"/>
        <v>0</v>
      </c>
      <c r="CG591" s="387">
        <f t="shared" si="420"/>
        <v>0</v>
      </c>
      <c r="CH591" s="387">
        <f t="shared" si="421"/>
        <v>0</v>
      </c>
      <c r="CI591" s="387">
        <f t="shared" si="422"/>
        <v>0</v>
      </c>
      <c r="CJ591" s="387">
        <f t="shared" si="435"/>
        <v>0</v>
      </c>
      <c r="CK591" s="387" t="str">
        <f t="shared" si="436"/>
        <v/>
      </c>
      <c r="CL591" s="387" t="str">
        <f t="shared" si="437"/>
        <v/>
      </c>
      <c r="CM591" s="387" t="str">
        <f t="shared" si="438"/>
        <v/>
      </c>
      <c r="CN591" s="387" t="str">
        <f t="shared" si="439"/>
        <v>0348-31</v>
      </c>
    </row>
    <row r="592" spans="1:92" ht="15.75" thickBot="1" x14ac:dyDescent="0.3">
      <c r="A592" s="376" t="s">
        <v>161</v>
      </c>
      <c r="B592" s="376" t="s">
        <v>162</v>
      </c>
      <c r="C592" s="376" t="s">
        <v>1851</v>
      </c>
      <c r="D592" s="376" t="s">
        <v>1088</v>
      </c>
      <c r="E592" s="376" t="s">
        <v>224</v>
      </c>
      <c r="F592" s="382" t="s">
        <v>225</v>
      </c>
      <c r="G592" s="376" t="s">
        <v>781</v>
      </c>
      <c r="H592" s="378"/>
      <c r="I592" s="378"/>
      <c r="J592" s="376" t="s">
        <v>215</v>
      </c>
      <c r="K592" s="376" t="s">
        <v>1089</v>
      </c>
      <c r="L592" s="376" t="s">
        <v>181</v>
      </c>
      <c r="M592" s="376" t="s">
        <v>171</v>
      </c>
      <c r="N592" s="376" t="s">
        <v>172</v>
      </c>
      <c r="O592" s="379">
        <v>1</v>
      </c>
      <c r="P592" s="385">
        <v>0</v>
      </c>
      <c r="Q592" s="385">
        <v>0</v>
      </c>
      <c r="R592" s="380">
        <v>80</v>
      </c>
      <c r="S592" s="385">
        <v>0</v>
      </c>
      <c r="T592" s="380">
        <v>96777.89</v>
      </c>
      <c r="U592" s="380">
        <v>0</v>
      </c>
      <c r="V592" s="380">
        <v>31160.15</v>
      </c>
      <c r="W592" s="380">
        <v>0</v>
      </c>
      <c r="X592" s="380">
        <v>0</v>
      </c>
      <c r="Y592" s="380">
        <v>0</v>
      </c>
      <c r="Z592" s="380">
        <v>0</v>
      </c>
      <c r="AA592" s="376" t="s">
        <v>1852</v>
      </c>
      <c r="AB592" s="376" t="s">
        <v>1853</v>
      </c>
      <c r="AC592" s="376" t="s">
        <v>1854</v>
      </c>
      <c r="AD592" s="376" t="s">
        <v>300</v>
      </c>
      <c r="AE592" s="376" t="s">
        <v>1089</v>
      </c>
      <c r="AF592" s="376" t="s">
        <v>211</v>
      </c>
      <c r="AG592" s="376" t="s">
        <v>178</v>
      </c>
      <c r="AH592" s="381">
        <v>35.82</v>
      </c>
      <c r="AI592" s="379">
        <v>6303</v>
      </c>
      <c r="AJ592" s="376" t="s">
        <v>179</v>
      </c>
      <c r="AK592" s="376" t="s">
        <v>180</v>
      </c>
      <c r="AL592" s="376" t="s">
        <v>181</v>
      </c>
      <c r="AM592" s="376" t="s">
        <v>182</v>
      </c>
      <c r="AN592" s="376" t="s">
        <v>68</v>
      </c>
      <c r="AO592" s="379">
        <v>80</v>
      </c>
      <c r="AP592" s="385">
        <v>1</v>
      </c>
      <c r="AQ592" s="385">
        <v>0</v>
      </c>
      <c r="AR592" s="383" t="s">
        <v>183</v>
      </c>
      <c r="AS592" s="387">
        <f t="shared" si="423"/>
        <v>0</v>
      </c>
      <c r="AT592">
        <f t="shared" si="424"/>
        <v>0</v>
      </c>
      <c r="AU592" s="387" t="str">
        <f>IF(AT592=0,"",IF(AND(AT592=1,M592="F",SUMIF(C2:C1334,C592,AS2:AS1334)&lt;=1),SUMIF(C2:C1334,C592,AS2:AS1334),IF(AND(AT592=1,M592="F",SUMIF(C2:C1334,C592,AS2:AS1334)&gt;1),1,"")))</f>
        <v/>
      </c>
      <c r="AV592" s="387" t="str">
        <f>IF(AT592=0,"",IF(AND(AT592=3,M592="F",SUMIF(C2:C1334,C592,AS2:AS1334)&lt;=1),SUMIF(C2:C1334,C592,AS2:AS1334),IF(AND(AT592=3,M592="F",SUMIF(C2:C1334,C592,AS2:AS1334)&gt;1),1,"")))</f>
        <v/>
      </c>
      <c r="AW592" s="387">
        <f>SUMIF(C2:C1334,C592,O2:O1334)</f>
        <v>2</v>
      </c>
      <c r="AX592" s="387">
        <f>IF(AND(M592="F",AS592&lt;&gt;0),SUMIF(C2:C1334,C592,W2:W1334),0)</f>
        <v>0</v>
      </c>
      <c r="AY592" s="387" t="str">
        <f t="shared" si="425"/>
        <v/>
      </c>
      <c r="AZ592" s="387" t="str">
        <f t="shared" si="426"/>
        <v/>
      </c>
      <c r="BA592" s="387">
        <f t="shared" si="427"/>
        <v>0</v>
      </c>
      <c r="BB592" s="387">
        <f t="shared" si="396"/>
        <v>0</v>
      </c>
      <c r="BC592" s="387">
        <f t="shared" si="397"/>
        <v>0</v>
      </c>
      <c r="BD592" s="387">
        <f t="shared" si="398"/>
        <v>0</v>
      </c>
      <c r="BE592" s="387">
        <f t="shared" si="399"/>
        <v>0</v>
      </c>
      <c r="BF592" s="387">
        <f t="shared" si="400"/>
        <v>0</v>
      </c>
      <c r="BG592" s="387">
        <f t="shared" si="401"/>
        <v>0</v>
      </c>
      <c r="BH592" s="387">
        <f t="shared" si="402"/>
        <v>0</v>
      </c>
      <c r="BI592" s="387">
        <f t="shared" si="403"/>
        <v>0</v>
      </c>
      <c r="BJ592" s="387">
        <f t="shared" si="404"/>
        <v>0</v>
      </c>
      <c r="BK592" s="387">
        <f t="shared" si="405"/>
        <v>0</v>
      </c>
      <c r="BL592" s="387">
        <f t="shared" si="428"/>
        <v>0</v>
      </c>
      <c r="BM592" s="387">
        <f t="shared" si="429"/>
        <v>0</v>
      </c>
      <c r="BN592" s="387">
        <f t="shared" si="406"/>
        <v>0</v>
      </c>
      <c r="BO592" s="387">
        <f t="shared" si="407"/>
        <v>0</v>
      </c>
      <c r="BP592" s="387">
        <f t="shared" si="408"/>
        <v>0</v>
      </c>
      <c r="BQ592" s="387">
        <f t="shared" si="409"/>
        <v>0</v>
      </c>
      <c r="BR592" s="387">
        <f t="shared" si="410"/>
        <v>0</v>
      </c>
      <c r="BS592" s="387">
        <f t="shared" si="411"/>
        <v>0</v>
      </c>
      <c r="BT592" s="387">
        <f t="shared" si="412"/>
        <v>0</v>
      </c>
      <c r="BU592" s="387">
        <f t="shared" si="413"/>
        <v>0</v>
      </c>
      <c r="BV592" s="387">
        <f t="shared" si="414"/>
        <v>0</v>
      </c>
      <c r="BW592" s="387">
        <f t="shared" si="415"/>
        <v>0</v>
      </c>
      <c r="BX592" s="387">
        <f t="shared" si="430"/>
        <v>0</v>
      </c>
      <c r="BY592" s="387">
        <f t="shared" si="431"/>
        <v>0</v>
      </c>
      <c r="BZ592" s="387">
        <f t="shared" si="432"/>
        <v>0</v>
      </c>
      <c r="CA592" s="387">
        <f t="shared" si="433"/>
        <v>0</v>
      </c>
      <c r="CB592" s="387">
        <f t="shared" si="434"/>
        <v>0</v>
      </c>
      <c r="CC592" s="387">
        <f t="shared" si="416"/>
        <v>0</v>
      </c>
      <c r="CD592" s="387">
        <f t="shared" si="417"/>
        <v>0</v>
      </c>
      <c r="CE592" s="387">
        <f t="shared" si="418"/>
        <v>0</v>
      </c>
      <c r="CF592" s="387">
        <f t="shared" si="419"/>
        <v>0</v>
      </c>
      <c r="CG592" s="387">
        <f t="shared" si="420"/>
        <v>0</v>
      </c>
      <c r="CH592" s="387">
        <f t="shared" si="421"/>
        <v>0</v>
      </c>
      <c r="CI592" s="387">
        <f t="shared" si="422"/>
        <v>0</v>
      </c>
      <c r="CJ592" s="387">
        <f t="shared" si="435"/>
        <v>0</v>
      </c>
      <c r="CK592" s="387" t="str">
        <f t="shared" si="436"/>
        <v/>
      </c>
      <c r="CL592" s="387" t="str">
        <f t="shared" si="437"/>
        <v/>
      </c>
      <c r="CM592" s="387" t="str">
        <f t="shared" si="438"/>
        <v/>
      </c>
      <c r="CN592" s="387" t="str">
        <f t="shared" si="439"/>
        <v>0348-31</v>
      </c>
    </row>
    <row r="593" spans="1:92" ht="15.75" thickBot="1" x14ac:dyDescent="0.3">
      <c r="A593" s="376" t="s">
        <v>161</v>
      </c>
      <c r="B593" s="376" t="s">
        <v>162</v>
      </c>
      <c r="C593" s="376" t="s">
        <v>1855</v>
      </c>
      <c r="D593" s="376" t="s">
        <v>862</v>
      </c>
      <c r="E593" s="376" t="s">
        <v>224</v>
      </c>
      <c r="F593" s="382" t="s">
        <v>225</v>
      </c>
      <c r="G593" s="376" t="s">
        <v>781</v>
      </c>
      <c r="H593" s="378"/>
      <c r="I593" s="378"/>
      <c r="J593" s="376" t="s">
        <v>215</v>
      </c>
      <c r="K593" s="376" t="s">
        <v>863</v>
      </c>
      <c r="L593" s="376" t="s">
        <v>252</v>
      </c>
      <c r="M593" s="376" t="s">
        <v>171</v>
      </c>
      <c r="N593" s="376" t="s">
        <v>877</v>
      </c>
      <c r="O593" s="379">
        <v>1</v>
      </c>
      <c r="P593" s="385">
        <v>1</v>
      </c>
      <c r="Q593" s="385">
        <v>1</v>
      </c>
      <c r="R593" s="380">
        <v>80</v>
      </c>
      <c r="S593" s="385">
        <v>1</v>
      </c>
      <c r="T593" s="380">
        <v>36257.800000000003</v>
      </c>
      <c r="U593" s="380">
        <v>37.74</v>
      </c>
      <c r="V593" s="380">
        <v>18921.88</v>
      </c>
      <c r="W593" s="380">
        <v>39249.599999999999</v>
      </c>
      <c r="X593" s="380">
        <v>20137.689999999999</v>
      </c>
      <c r="Y593" s="380">
        <v>39249.599999999999</v>
      </c>
      <c r="Z593" s="380">
        <v>19972.84</v>
      </c>
      <c r="AA593" s="376" t="s">
        <v>1856</v>
      </c>
      <c r="AB593" s="376" t="s">
        <v>1857</v>
      </c>
      <c r="AC593" s="376" t="s">
        <v>1858</v>
      </c>
      <c r="AD593" s="376" t="s">
        <v>441</v>
      </c>
      <c r="AE593" s="376" t="s">
        <v>863</v>
      </c>
      <c r="AF593" s="376" t="s">
        <v>393</v>
      </c>
      <c r="AG593" s="376" t="s">
        <v>178</v>
      </c>
      <c r="AH593" s="381">
        <v>18.87</v>
      </c>
      <c r="AI593" s="381">
        <v>9724.6</v>
      </c>
      <c r="AJ593" s="376" t="s">
        <v>179</v>
      </c>
      <c r="AK593" s="376" t="s">
        <v>180</v>
      </c>
      <c r="AL593" s="376" t="s">
        <v>181</v>
      </c>
      <c r="AM593" s="376" t="s">
        <v>182</v>
      </c>
      <c r="AN593" s="376" t="s">
        <v>68</v>
      </c>
      <c r="AO593" s="379">
        <v>80</v>
      </c>
      <c r="AP593" s="385">
        <v>1</v>
      </c>
      <c r="AQ593" s="385">
        <v>1</v>
      </c>
      <c r="AR593" s="383" t="s">
        <v>183</v>
      </c>
      <c r="AS593" s="387">
        <f t="shared" si="423"/>
        <v>1</v>
      </c>
      <c r="AT593">
        <f t="shared" si="424"/>
        <v>1</v>
      </c>
      <c r="AU593" s="387">
        <f>IF(AT593=0,"",IF(AND(AT593=1,M593="F",SUMIF(C2:C1334,C593,AS2:AS1334)&lt;=1),SUMIF(C2:C1334,C593,AS2:AS1334),IF(AND(AT593=1,M593="F",SUMIF(C2:C1334,C593,AS2:AS1334)&gt;1),1,"")))</f>
        <v>1</v>
      </c>
      <c r="AV593" s="387" t="str">
        <f>IF(AT593=0,"",IF(AND(AT593=3,M593="F",SUMIF(C2:C1334,C593,AS2:AS1334)&lt;=1),SUMIF(C2:C1334,C593,AS2:AS1334),IF(AND(AT593=3,M593="F",SUMIF(C2:C1334,C593,AS2:AS1334)&gt;1),1,"")))</f>
        <v/>
      </c>
      <c r="AW593" s="387">
        <f>SUMIF(C2:C1334,C593,O2:O1334)</f>
        <v>1</v>
      </c>
      <c r="AX593" s="387">
        <f>IF(AND(M593="F",AS593&lt;&gt;0),SUMIF(C2:C1334,C593,W2:W1334),0)</f>
        <v>39249.599999999999</v>
      </c>
      <c r="AY593" s="387">
        <f t="shared" si="425"/>
        <v>39249.599999999999</v>
      </c>
      <c r="AZ593" s="387" t="str">
        <f t="shared" si="426"/>
        <v/>
      </c>
      <c r="BA593" s="387">
        <f t="shared" si="427"/>
        <v>0</v>
      </c>
      <c r="BB593" s="387">
        <f t="shared" si="396"/>
        <v>11650</v>
      </c>
      <c r="BC593" s="387">
        <f t="shared" si="397"/>
        <v>0</v>
      </c>
      <c r="BD593" s="387">
        <f t="shared" si="398"/>
        <v>2433.4751999999999</v>
      </c>
      <c r="BE593" s="387">
        <f t="shared" si="399"/>
        <v>569.11919999999998</v>
      </c>
      <c r="BF593" s="387">
        <f t="shared" si="400"/>
        <v>4686.4022400000003</v>
      </c>
      <c r="BG593" s="387">
        <f t="shared" si="401"/>
        <v>282.98961600000001</v>
      </c>
      <c r="BH593" s="387">
        <f t="shared" si="402"/>
        <v>192.32303999999999</v>
      </c>
      <c r="BI593" s="387">
        <f t="shared" si="403"/>
        <v>217.24653599999999</v>
      </c>
      <c r="BJ593" s="387">
        <f t="shared" si="404"/>
        <v>105.97392000000001</v>
      </c>
      <c r="BK593" s="387">
        <f t="shared" si="405"/>
        <v>0</v>
      </c>
      <c r="BL593" s="387">
        <f t="shared" si="428"/>
        <v>8487.5297520000004</v>
      </c>
      <c r="BM593" s="387">
        <f t="shared" si="429"/>
        <v>0</v>
      </c>
      <c r="BN593" s="387">
        <f t="shared" si="406"/>
        <v>11650</v>
      </c>
      <c r="BO593" s="387">
        <f t="shared" si="407"/>
        <v>0</v>
      </c>
      <c r="BP593" s="387">
        <f t="shared" si="408"/>
        <v>2433.4751999999999</v>
      </c>
      <c r="BQ593" s="387">
        <f t="shared" si="409"/>
        <v>569.11919999999998</v>
      </c>
      <c r="BR593" s="387">
        <f t="shared" si="410"/>
        <v>4686.4022400000003</v>
      </c>
      <c r="BS593" s="387">
        <f t="shared" si="411"/>
        <v>282.98961600000001</v>
      </c>
      <c r="BT593" s="387">
        <f t="shared" si="412"/>
        <v>0</v>
      </c>
      <c r="BU593" s="387">
        <f t="shared" si="413"/>
        <v>217.24653599999999</v>
      </c>
      <c r="BV593" s="387">
        <f t="shared" si="414"/>
        <v>133.44863999999998</v>
      </c>
      <c r="BW593" s="387">
        <f t="shared" si="415"/>
        <v>0</v>
      </c>
      <c r="BX593" s="387">
        <f t="shared" si="430"/>
        <v>8322.6814319999994</v>
      </c>
      <c r="BY593" s="387">
        <f t="shared" si="431"/>
        <v>0</v>
      </c>
      <c r="BZ593" s="387">
        <f t="shared" si="432"/>
        <v>0</v>
      </c>
      <c r="CA593" s="387">
        <f t="shared" si="433"/>
        <v>0</v>
      </c>
      <c r="CB593" s="387">
        <f t="shared" si="434"/>
        <v>0</v>
      </c>
      <c r="CC593" s="387">
        <f t="shared" si="416"/>
        <v>0</v>
      </c>
      <c r="CD593" s="387">
        <f t="shared" si="417"/>
        <v>0</v>
      </c>
      <c r="CE593" s="387">
        <f t="shared" si="418"/>
        <v>0</v>
      </c>
      <c r="CF593" s="387">
        <f t="shared" si="419"/>
        <v>-192.32303999999999</v>
      </c>
      <c r="CG593" s="387">
        <f t="shared" si="420"/>
        <v>0</v>
      </c>
      <c r="CH593" s="387">
        <f t="shared" si="421"/>
        <v>27.474719999999987</v>
      </c>
      <c r="CI593" s="387">
        <f t="shared" si="422"/>
        <v>0</v>
      </c>
      <c r="CJ593" s="387">
        <f t="shared" si="435"/>
        <v>-164.84832</v>
      </c>
      <c r="CK593" s="387" t="str">
        <f t="shared" si="436"/>
        <v/>
      </c>
      <c r="CL593" s="387" t="str">
        <f t="shared" si="437"/>
        <v/>
      </c>
      <c r="CM593" s="387" t="str">
        <f t="shared" si="438"/>
        <v/>
      </c>
      <c r="CN593" s="387" t="str">
        <f t="shared" si="439"/>
        <v>0348-31</v>
      </c>
    </row>
    <row r="594" spans="1:92" ht="15.75" thickBot="1" x14ac:dyDescent="0.3">
      <c r="A594" s="376" t="s">
        <v>161</v>
      </c>
      <c r="B594" s="376" t="s">
        <v>162</v>
      </c>
      <c r="C594" s="376" t="s">
        <v>584</v>
      </c>
      <c r="D594" s="376" t="s">
        <v>238</v>
      </c>
      <c r="E594" s="376" t="s">
        <v>224</v>
      </c>
      <c r="F594" s="382" t="s">
        <v>225</v>
      </c>
      <c r="G594" s="376" t="s">
        <v>781</v>
      </c>
      <c r="H594" s="378"/>
      <c r="I594" s="378"/>
      <c r="J594" s="376" t="s">
        <v>215</v>
      </c>
      <c r="K594" s="376" t="s">
        <v>343</v>
      </c>
      <c r="L594" s="376" t="s">
        <v>296</v>
      </c>
      <c r="M594" s="376" t="s">
        <v>171</v>
      </c>
      <c r="N594" s="376" t="s">
        <v>172</v>
      </c>
      <c r="O594" s="379">
        <v>1</v>
      </c>
      <c r="P594" s="385">
        <v>0</v>
      </c>
      <c r="Q594" s="385">
        <v>0</v>
      </c>
      <c r="R594" s="380">
        <v>80</v>
      </c>
      <c r="S594" s="385">
        <v>0</v>
      </c>
      <c r="T594" s="380">
        <v>11079.06</v>
      </c>
      <c r="U594" s="380">
        <v>0</v>
      </c>
      <c r="V594" s="380">
        <v>6146.29</v>
      </c>
      <c r="W594" s="380">
        <v>0</v>
      </c>
      <c r="X594" s="380">
        <v>0</v>
      </c>
      <c r="Y594" s="380">
        <v>0</v>
      </c>
      <c r="Z594" s="380">
        <v>0</v>
      </c>
      <c r="AA594" s="376" t="s">
        <v>585</v>
      </c>
      <c r="AB594" s="376" t="s">
        <v>586</v>
      </c>
      <c r="AC594" s="376" t="s">
        <v>278</v>
      </c>
      <c r="AD594" s="376" t="s">
        <v>587</v>
      </c>
      <c r="AE594" s="376" t="s">
        <v>343</v>
      </c>
      <c r="AF594" s="376" t="s">
        <v>301</v>
      </c>
      <c r="AG594" s="376" t="s">
        <v>178</v>
      </c>
      <c r="AH594" s="381">
        <v>23.29</v>
      </c>
      <c r="AI594" s="381">
        <v>15091.8</v>
      </c>
      <c r="AJ594" s="376" t="s">
        <v>179</v>
      </c>
      <c r="AK594" s="376" t="s">
        <v>180</v>
      </c>
      <c r="AL594" s="376" t="s">
        <v>181</v>
      </c>
      <c r="AM594" s="376" t="s">
        <v>182</v>
      </c>
      <c r="AN594" s="376" t="s">
        <v>68</v>
      </c>
      <c r="AO594" s="379">
        <v>80</v>
      </c>
      <c r="AP594" s="385">
        <v>1</v>
      </c>
      <c r="AQ594" s="385">
        <v>0</v>
      </c>
      <c r="AR594" s="383" t="s">
        <v>183</v>
      </c>
      <c r="AS594" s="387">
        <f t="shared" si="423"/>
        <v>0</v>
      </c>
      <c r="AT594">
        <f t="shared" si="424"/>
        <v>0</v>
      </c>
      <c r="AU594" s="387" t="str">
        <f>IF(AT594=0,"",IF(AND(AT594=1,M594="F",SUMIF(C2:C1334,C594,AS2:AS1334)&lt;=1),SUMIF(C2:C1334,C594,AS2:AS1334),IF(AND(AT594=1,M594="F",SUMIF(C2:C1334,C594,AS2:AS1334)&gt;1),1,"")))</f>
        <v/>
      </c>
      <c r="AV594" s="387" t="str">
        <f>IF(AT594=0,"",IF(AND(AT594=3,M594="F",SUMIF(C2:C1334,C594,AS2:AS1334)&lt;=1),SUMIF(C2:C1334,C594,AS2:AS1334),IF(AND(AT594=3,M594="F",SUMIF(C2:C1334,C594,AS2:AS1334)&gt;1),1,"")))</f>
        <v/>
      </c>
      <c r="AW594" s="387">
        <f>SUMIF(C2:C1334,C594,O2:O1334)</f>
        <v>3</v>
      </c>
      <c r="AX594" s="387">
        <f>IF(AND(M594="F",AS594&lt;&gt;0),SUMIF(C2:C1334,C594,W2:W1334),0)</f>
        <v>0</v>
      </c>
      <c r="AY594" s="387" t="str">
        <f t="shared" si="425"/>
        <v/>
      </c>
      <c r="AZ594" s="387" t="str">
        <f t="shared" si="426"/>
        <v/>
      </c>
      <c r="BA594" s="387">
        <f t="shared" si="427"/>
        <v>0</v>
      </c>
      <c r="BB594" s="387">
        <f t="shared" si="396"/>
        <v>0</v>
      </c>
      <c r="BC594" s="387">
        <f t="shared" si="397"/>
        <v>0</v>
      </c>
      <c r="BD594" s="387">
        <f t="shared" si="398"/>
        <v>0</v>
      </c>
      <c r="BE594" s="387">
        <f t="shared" si="399"/>
        <v>0</v>
      </c>
      <c r="BF594" s="387">
        <f t="shared" si="400"/>
        <v>0</v>
      </c>
      <c r="BG594" s="387">
        <f t="shared" si="401"/>
        <v>0</v>
      </c>
      <c r="BH594" s="387">
        <f t="shared" si="402"/>
        <v>0</v>
      </c>
      <c r="BI594" s="387">
        <f t="shared" si="403"/>
        <v>0</v>
      </c>
      <c r="BJ594" s="387">
        <f t="shared" si="404"/>
        <v>0</v>
      </c>
      <c r="BK594" s="387">
        <f t="shared" si="405"/>
        <v>0</v>
      </c>
      <c r="BL594" s="387">
        <f t="shared" si="428"/>
        <v>0</v>
      </c>
      <c r="BM594" s="387">
        <f t="shared" si="429"/>
        <v>0</v>
      </c>
      <c r="BN594" s="387">
        <f t="shared" si="406"/>
        <v>0</v>
      </c>
      <c r="BO594" s="387">
        <f t="shared" si="407"/>
        <v>0</v>
      </c>
      <c r="BP594" s="387">
        <f t="shared" si="408"/>
        <v>0</v>
      </c>
      <c r="BQ594" s="387">
        <f t="shared" si="409"/>
        <v>0</v>
      </c>
      <c r="BR594" s="387">
        <f t="shared" si="410"/>
        <v>0</v>
      </c>
      <c r="BS594" s="387">
        <f t="shared" si="411"/>
        <v>0</v>
      </c>
      <c r="BT594" s="387">
        <f t="shared" si="412"/>
        <v>0</v>
      </c>
      <c r="BU594" s="387">
        <f t="shared" si="413"/>
        <v>0</v>
      </c>
      <c r="BV594" s="387">
        <f t="shared" si="414"/>
        <v>0</v>
      </c>
      <c r="BW594" s="387">
        <f t="shared" si="415"/>
        <v>0</v>
      </c>
      <c r="BX594" s="387">
        <f t="shared" si="430"/>
        <v>0</v>
      </c>
      <c r="BY594" s="387">
        <f t="shared" si="431"/>
        <v>0</v>
      </c>
      <c r="BZ594" s="387">
        <f t="shared" si="432"/>
        <v>0</v>
      </c>
      <c r="CA594" s="387">
        <f t="shared" si="433"/>
        <v>0</v>
      </c>
      <c r="CB594" s="387">
        <f t="shared" si="434"/>
        <v>0</v>
      </c>
      <c r="CC594" s="387">
        <f t="shared" si="416"/>
        <v>0</v>
      </c>
      <c r="CD594" s="387">
        <f t="shared" si="417"/>
        <v>0</v>
      </c>
      <c r="CE594" s="387">
        <f t="shared" si="418"/>
        <v>0</v>
      </c>
      <c r="CF594" s="387">
        <f t="shared" si="419"/>
        <v>0</v>
      </c>
      <c r="CG594" s="387">
        <f t="shared" si="420"/>
        <v>0</v>
      </c>
      <c r="CH594" s="387">
        <f t="shared" si="421"/>
        <v>0</v>
      </c>
      <c r="CI594" s="387">
        <f t="shared" si="422"/>
        <v>0</v>
      </c>
      <c r="CJ594" s="387">
        <f t="shared" si="435"/>
        <v>0</v>
      </c>
      <c r="CK594" s="387" t="str">
        <f t="shared" si="436"/>
        <v/>
      </c>
      <c r="CL594" s="387" t="str">
        <f t="shared" si="437"/>
        <v/>
      </c>
      <c r="CM594" s="387" t="str">
        <f t="shared" si="438"/>
        <v/>
      </c>
      <c r="CN594" s="387" t="str">
        <f t="shared" si="439"/>
        <v>0348-31</v>
      </c>
    </row>
    <row r="595" spans="1:92" ht="15.75" thickBot="1" x14ac:dyDescent="0.3">
      <c r="A595" s="376" t="s">
        <v>161</v>
      </c>
      <c r="B595" s="376" t="s">
        <v>162</v>
      </c>
      <c r="C595" s="376" t="s">
        <v>519</v>
      </c>
      <c r="D595" s="376" t="s">
        <v>326</v>
      </c>
      <c r="E595" s="376" t="s">
        <v>224</v>
      </c>
      <c r="F595" s="382" t="s">
        <v>225</v>
      </c>
      <c r="G595" s="376" t="s">
        <v>781</v>
      </c>
      <c r="H595" s="378"/>
      <c r="I595" s="378"/>
      <c r="J595" s="376" t="s">
        <v>215</v>
      </c>
      <c r="K595" s="376" t="s">
        <v>520</v>
      </c>
      <c r="L595" s="376" t="s">
        <v>210</v>
      </c>
      <c r="M595" s="376" t="s">
        <v>171</v>
      </c>
      <c r="N595" s="376" t="s">
        <v>172</v>
      </c>
      <c r="O595" s="379">
        <v>1</v>
      </c>
      <c r="P595" s="385">
        <v>0</v>
      </c>
      <c r="Q595" s="385">
        <v>0</v>
      </c>
      <c r="R595" s="380">
        <v>80</v>
      </c>
      <c r="S595" s="385">
        <v>0</v>
      </c>
      <c r="T595" s="380">
        <v>67910.399999999994</v>
      </c>
      <c r="U595" s="380">
        <v>0</v>
      </c>
      <c r="V595" s="380">
        <v>25857.91</v>
      </c>
      <c r="W595" s="380">
        <v>0</v>
      </c>
      <c r="X595" s="380">
        <v>0</v>
      </c>
      <c r="Y595" s="380">
        <v>0</v>
      </c>
      <c r="Z595" s="380">
        <v>0</v>
      </c>
      <c r="AA595" s="376" t="s">
        <v>521</v>
      </c>
      <c r="AB595" s="376" t="s">
        <v>522</v>
      </c>
      <c r="AC595" s="376" t="s">
        <v>310</v>
      </c>
      <c r="AD595" s="376" t="s">
        <v>419</v>
      </c>
      <c r="AE595" s="376" t="s">
        <v>520</v>
      </c>
      <c r="AF595" s="376" t="s">
        <v>245</v>
      </c>
      <c r="AG595" s="376" t="s">
        <v>178</v>
      </c>
      <c r="AH595" s="381">
        <v>33.869999999999997</v>
      </c>
      <c r="AI595" s="381">
        <v>7430.5</v>
      </c>
      <c r="AJ595" s="376" t="s">
        <v>179</v>
      </c>
      <c r="AK595" s="376" t="s">
        <v>180</v>
      </c>
      <c r="AL595" s="376" t="s">
        <v>181</v>
      </c>
      <c r="AM595" s="376" t="s">
        <v>182</v>
      </c>
      <c r="AN595" s="376" t="s">
        <v>68</v>
      </c>
      <c r="AO595" s="379">
        <v>80</v>
      </c>
      <c r="AP595" s="385">
        <v>1</v>
      </c>
      <c r="AQ595" s="385">
        <v>0</v>
      </c>
      <c r="AR595" s="383" t="s">
        <v>183</v>
      </c>
      <c r="AS595" s="387">
        <f t="shared" si="423"/>
        <v>0</v>
      </c>
      <c r="AT595">
        <f t="shared" si="424"/>
        <v>0</v>
      </c>
      <c r="AU595" s="387" t="str">
        <f>IF(AT595=0,"",IF(AND(AT595=1,M595="F",SUMIF(C2:C1334,C595,AS2:AS1334)&lt;=1),SUMIF(C2:C1334,C595,AS2:AS1334),IF(AND(AT595=1,M595="F",SUMIF(C2:C1334,C595,AS2:AS1334)&gt;1),1,"")))</f>
        <v/>
      </c>
      <c r="AV595" s="387" t="str">
        <f>IF(AT595=0,"",IF(AND(AT595=3,M595="F",SUMIF(C2:C1334,C595,AS2:AS1334)&lt;=1),SUMIF(C2:C1334,C595,AS2:AS1334),IF(AND(AT595=3,M595="F",SUMIF(C2:C1334,C595,AS2:AS1334)&gt;1),1,"")))</f>
        <v/>
      </c>
      <c r="AW595" s="387">
        <f>SUMIF(C2:C1334,C595,O2:O1334)</f>
        <v>2</v>
      </c>
      <c r="AX595" s="387">
        <f>IF(AND(M595="F",AS595&lt;&gt;0),SUMIF(C2:C1334,C595,W2:W1334),0)</f>
        <v>0</v>
      </c>
      <c r="AY595" s="387" t="str">
        <f t="shared" si="425"/>
        <v/>
      </c>
      <c r="AZ595" s="387" t="str">
        <f t="shared" si="426"/>
        <v/>
      </c>
      <c r="BA595" s="387">
        <f t="shared" si="427"/>
        <v>0</v>
      </c>
      <c r="BB595" s="387">
        <f t="shared" si="396"/>
        <v>0</v>
      </c>
      <c r="BC595" s="387">
        <f t="shared" si="397"/>
        <v>0</v>
      </c>
      <c r="BD595" s="387">
        <f t="shared" si="398"/>
        <v>0</v>
      </c>
      <c r="BE595" s="387">
        <f t="shared" si="399"/>
        <v>0</v>
      </c>
      <c r="BF595" s="387">
        <f t="shared" si="400"/>
        <v>0</v>
      </c>
      <c r="BG595" s="387">
        <f t="shared" si="401"/>
        <v>0</v>
      </c>
      <c r="BH595" s="387">
        <f t="shared" si="402"/>
        <v>0</v>
      </c>
      <c r="BI595" s="387">
        <f t="shared" si="403"/>
        <v>0</v>
      </c>
      <c r="BJ595" s="387">
        <f t="shared" si="404"/>
        <v>0</v>
      </c>
      <c r="BK595" s="387">
        <f t="shared" si="405"/>
        <v>0</v>
      </c>
      <c r="BL595" s="387">
        <f t="shared" si="428"/>
        <v>0</v>
      </c>
      <c r="BM595" s="387">
        <f t="shared" si="429"/>
        <v>0</v>
      </c>
      <c r="BN595" s="387">
        <f t="shared" si="406"/>
        <v>0</v>
      </c>
      <c r="BO595" s="387">
        <f t="shared" si="407"/>
        <v>0</v>
      </c>
      <c r="BP595" s="387">
        <f t="shared" si="408"/>
        <v>0</v>
      </c>
      <c r="BQ595" s="387">
        <f t="shared" si="409"/>
        <v>0</v>
      </c>
      <c r="BR595" s="387">
        <f t="shared" si="410"/>
        <v>0</v>
      </c>
      <c r="BS595" s="387">
        <f t="shared" si="411"/>
        <v>0</v>
      </c>
      <c r="BT595" s="387">
        <f t="shared" si="412"/>
        <v>0</v>
      </c>
      <c r="BU595" s="387">
        <f t="shared" si="413"/>
        <v>0</v>
      </c>
      <c r="BV595" s="387">
        <f t="shared" si="414"/>
        <v>0</v>
      </c>
      <c r="BW595" s="387">
        <f t="shared" si="415"/>
        <v>0</v>
      </c>
      <c r="BX595" s="387">
        <f t="shared" si="430"/>
        <v>0</v>
      </c>
      <c r="BY595" s="387">
        <f t="shared" si="431"/>
        <v>0</v>
      </c>
      <c r="BZ595" s="387">
        <f t="shared" si="432"/>
        <v>0</v>
      </c>
      <c r="CA595" s="387">
        <f t="shared" si="433"/>
        <v>0</v>
      </c>
      <c r="CB595" s="387">
        <f t="shared" si="434"/>
        <v>0</v>
      </c>
      <c r="CC595" s="387">
        <f t="shared" si="416"/>
        <v>0</v>
      </c>
      <c r="CD595" s="387">
        <f t="shared" si="417"/>
        <v>0</v>
      </c>
      <c r="CE595" s="387">
        <f t="shared" si="418"/>
        <v>0</v>
      </c>
      <c r="CF595" s="387">
        <f t="shared" si="419"/>
        <v>0</v>
      </c>
      <c r="CG595" s="387">
        <f t="shared" si="420"/>
        <v>0</v>
      </c>
      <c r="CH595" s="387">
        <f t="shared" si="421"/>
        <v>0</v>
      </c>
      <c r="CI595" s="387">
        <f t="shared" si="422"/>
        <v>0</v>
      </c>
      <c r="CJ595" s="387">
        <f t="shared" si="435"/>
        <v>0</v>
      </c>
      <c r="CK595" s="387" t="str">
        <f t="shared" si="436"/>
        <v/>
      </c>
      <c r="CL595" s="387" t="str">
        <f t="shared" si="437"/>
        <v/>
      </c>
      <c r="CM595" s="387" t="str">
        <f t="shared" si="438"/>
        <v/>
      </c>
      <c r="CN595" s="387" t="str">
        <f t="shared" si="439"/>
        <v>0348-31</v>
      </c>
    </row>
    <row r="596" spans="1:92" ht="15.75" thickBot="1" x14ac:dyDescent="0.3">
      <c r="A596" s="376" t="s">
        <v>161</v>
      </c>
      <c r="B596" s="376" t="s">
        <v>162</v>
      </c>
      <c r="C596" s="376" t="s">
        <v>1859</v>
      </c>
      <c r="D596" s="376" t="s">
        <v>1860</v>
      </c>
      <c r="E596" s="376" t="s">
        <v>224</v>
      </c>
      <c r="F596" s="382" t="s">
        <v>225</v>
      </c>
      <c r="G596" s="376" t="s">
        <v>781</v>
      </c>
      <c r="H596" s="378"/>
      <c r="I596" s="378"/>
      <c r="J596" s="376" t="s">
        <v>215</v>
      </c>
      <c r="K596" s="376" t="s">
        <v>1861</v>
      </c>
      <c r="L596" s="376" t="s">
        <v>166</v>
      </c>
      <c r="M596" s="376" t="s">
        <v>171</v>
      </c>
      <c r="N596" s="376" t="s">
        <v>257</v>
      </c>
      <c r="O596" s="379">
        <v>1</v>
      </c>
      <c r="P596" s="385">
        <v>0</v>
      </c>
      <c r="Q596" s="385">
        <v>0</v>
      </c>
      <c r="R596" s="380">
        <v>80</v>
      </c>
      <c r="S596" s="385">
        <v>0</v>
      </c>
      <c r="T596" s="380">
        <v>14677.69</v>
      </c>
      <c r="U596" s="380">
        <v>0</v>
      </c>
      <c r="V596" s="380">
        <v>4256.75</v>
      </c>
      <c r="W596" s="380">
        <v>0</v>
      </c>
      <c r="X596" s="380">
        <v>0</v>
      </c>
      <c r="Y596" s="380">
        <v>0</v>
      </c>
      <c r="Z596" s="380">
        <v>0</v>
      </c>
      <c r="AA596" s="376" t="s">
        <v>1862</v>
      </c>
      <c r="AB596" s="376" t="s">
        <v>1863</v>
      </c>
      <c r="AC596" s="376" t="s">
        <v>501</v>
      </c>
      <c r="AD596" s="376" t="s">
        <v>198</v>
      </c>
      <c r="AE596" s="376" t="s">
        <v>1861</v>
      </c>
      <c r="AF596" s="376" t="s">
        <v>261</v>
      </c>
      <c r="AG596" s="376" t="s">
        <v>178</v>
      </c>
      <c r="AH596" s="381">
        <v>63.47</v>
      </c>
      <c r="AI596" s="381">
        <v>42719.6</v>
      </c>
      <c r="AJ596" s="376" t="s">
        <v>179</v>
      </c>
      <c r="AK596" s="376" t="s">
        <v>180</v>
      </c>
      <c r="AL596" s="376" t="s">
        <v>181</v>
      </c>
      <c r="AM596" s="376" t="s">
        <v>182</v>
      </c>
      <c r="AN596" s="376" t="s">
        <v>68</v>
      </c>
      <c r="AO596" s="379">
        <v>80</v>
      </c>
      <c r="AP596" s="385">
        <v>1</v>
      </c>
      <c r="AQ596" s="385">
        <v>0</v>
      </c>
      <c r="AR596" s="383" t="s">
        <v>183</v>
      </c>
      <c r="AS596" s="387">
        <f t="shared" si="423"/>
        <v>0</v>
      </c>
      <c r="AT596">
        <f t="shared" si="424"/>
        <v>0</v>
      </c>
      <c r="AU596" s="387" t="str">
        <f>IF(AT596=0,"",IF(AND(AT596=1,M596="F",SUMIF(C2:C1334,C596,AS2:AS1334)&lt;=1),SUMIF(C2:C1334,C596,AS2:AS1334),IF(AND(AT596=1,M596="F",SUMIF(C2:C1334,C596,AS2:AS1334)&gt;1),1,"")))</f>
        <v/>
      </c>
      <c r="AV596" s="387" t="str">
        <f>IF(AT596=0,"",IF(AND(AT596=3,M596="F",SUMIF(C2:C1334,C596,AS2:AS1334)&lt;=1),SUMIF(C2:C1334,C596,AS2:AS1334),IF(AND(AT596=3,M596="F",SUMIF(C2:C1334,C596,AS2:AS1334)&gt;1),1,"")))</f>
        <v/>
      </c>
      <c r="AW596" s="387">
        <f>SUMIF(C2:C1334,C596,O2:O1334)</f>
        <v>3</v>
      </c>
      <c r="AX596" s="387">
        <f>IF(AND(M596="F",AS596&lt;&gt;0),SUMIF(C2:C1334,C596,W2:W1334),0)</f>
        <v>0</v>
      </c>
      <c r="AY596" s="387" t="str">
        <f t="shared" si="425"/>
        <v/>
      </c>
      <c r="AZ596" s="387" t="str">
        <f t="shared" si="426"/>
        <v/>
      </c>
      <c r="BA596" s="387">
        <f t="shared" si="427"/>
        <v>0</v>
      </c>
      <c r="BB596" s="387">
        <f t="shared" si="396"/>
        <v>0</v>
      </c>
      <c r="BC596" s="387">
        <f t="shared" si="397"/>
        <v>0</v>
      </c>
      <c r="BD596" s="387">
        <f t="shared" si="398"/>
        <v>0</v>
      </c>
      <c r="BE596" s="387">
        <f t="shared" si="399"/>
        <v>0</v>
      </c>
      <c r="BF596" s="387">
        <f t="shared" si="400"/>
        <v>0</v>
      </c>
      <c r="BG596" s="387">
        <f t="shared" si="401"/>
        <v>0</v>
      </c>
      <c r="BH596" s="387">
        <f t="shared" si="402"/>
        <v>0</v>
      </c>
      <c r="BI596" s="387">
        <f t="shared" si="403"/>
        <v>0</v>
      </c>
      <c r="BJ596" s="387">
        <f t="shared" si="404"/>
        <v>0</v>
      </c>
      <c r="BK596" s="387">
        <f t="shared" si="405"/>
        <v>0</v>
      </c>
      <c r="BL596" s="387">
        <f t="shared" si="428"/>
        <v>0</v>
      </c>
      <c r="BM596" s="387">
        <f t="shared" si="429"/>
        <v>0</v>
      </c>
      <c r="BN596" s="387">
        <f t="shared" si="406"/>
        <v>0</v>
      </c>
      <c r="BO596" s="387">
        <f t="shared" si="407"/>
        <v>0</v>
      </c>
      <c r="BP596" s="387">
        <f t="shared" si="408"/>
        <v>0</v>
      </c>
      <c r="BQ596" s="387">
        <f t="shared" si="409"/>
        <v>0</v>
      </c>
      <c r="BR596" s="387">
        <f t="shared" si="410"/>
        <v>0</v>
      </c>
      <c r="BS596" s="387">
        <f t="shared" si="411"/>
        <v>0</v>
      </c>
      <c r="BT596" s="387">
        <f t="shared" si="412"/>
        <v>0</v>
      </c>
      <c r="BU596" s="387">
        <f t="shared" si="413"/>
        <v>0</v>
      </c>
      <c r="BV596" s="387">
        <f t="shared" si="414"/>
        <v>0</v>
      </c>
      <c r="BW596" s="387">
        <f t="shared" si="415"/>
        <v>0</v>
      </c>
      <c r="BX596" s="387">
        <f t="shared" si="430"/>
        <v>0</v>
      </c>
      <c r="BY596" s="387">
        <f t="shared" si="431"/>
        <v>0</v>
      </c>
      <c r="BZ596" s="387">
        <f t="shared" si="432"/>
        <v>0</v>
      </c>
      <c r="CA596" s="387">
        <f t="shared" si="433"/>
        <v>0</v>
      </c>
      <c r="CB596" s="387">
        <f t="shared" si="434"/>
        <v>0</v>
      </c>
      <c r="CC596" s="387">
        <f t="shared" si="416"/>
        <v>0</v>
      </c>
      <c r="CD596" s="387">
        <f t="shared" si="417"/>
        <v>0</v>
      </c>
      <c r="CE596" s="387">
        <f t="shared" si="418"/>
        <v>0</v>
      </c>
      <c r="CF596" s="387">
        <f t="shared" si="419"/>
        <v>0</v>
      </c>
      <c r="CG596" s="387">
        <f t="shared" si="420"/>
        <v>0</v>
      </c>
      <c r="CH596" s="387">
        <f t="shared" si="421"/>
        <v>0</v>
      </c>
      <c r="CI596" s="387">
        <f t="shared" si="422"/>
        <v>0</v>
      </c>
      <c r="CJ596" s="387">
        <f t="shared" si="435"/>
        <v>0</v>
      </c>
      <c r="CK596" s="387" t="str">
        <f t="shared" si="436"/>
        <v/>
      </c>
      <c r="CL596" s="387" t="str">
        <f t="shared" si="437"/>
        <v/>
      </c>
      <c r="CM596" s="387" t="str">
        <f t="shared" si="438"/>
        <v/>
      </c>
      <c r="CN596" s="387" t="str">
        <f t="shared" si="439"/>
        <v>0348-31</v>
      </c>
    </row>
    <row r="597" spans="1:92" ht="15.75" thickBot="1" x14ac:dyDescent="0.3">
      <c r="A597" s="376" t="s">
        <v>161</v>
      </c>
      <c r="B597" s="376" t="s">
        <v>162</v>
      </c>
      <c r="C597" s="376" t="s">
        <v>1864</v>
      </c>
      <c r="D597" s="376" t="s">
        <v>862</v>
      </c>
      <c r="E597" s="376" t="s">
        <v>224</v>
      </c>
      <c r="F597" s="382" t="s">
        <v>225</v>
      </c>
      <c r="G597" s="376" t="s">
        <v>781</v>
      </c>
      <c r="H597" s="378"/>
      <c r="I597" s="378"/>
      <c r="J597" s="376" t="s">
        <v>215</v>
      </c>
      <c r="K597" s="376" t="s">
        <v>863</v>
      </c>
      <c r="L597" s="376" t="s">
        <v>252</v>
      </c>
      <c r="M597" s="376" t="s">
        <v>171</v>
      </c>
      <c r="N597" s="376" t="s">
        <v>172</v>
      </c>
      <c r="O597" s="379">
        <v>1</v>
      </c>
      <c r="P597" s="385">
        <v>1</v>
      </c>
      <c r="Q597" s="385">
        <v>1</v>
      </c>
      <c r="R597" s="380">
        <v>80</v>
      </c>
      <c r="S597" s="385">
        <v>1</v>
      </c>
      <c r="T597" s="380">
        <v>37067.360000000001</v>
      </c>
      <c r="U597" s="380">
        <v>0</v>
      </c>
      <c r="V597" s="380">
        <v>19191.79</v>
      </c>
      <c r="W597" s="380">
        <v>42411.199999999997</v>
      </c>
      <c r="X597" s="380">
        <v>20821.39</v>
      </c>
      <c r="Y597" s="380">
        <v>42411.199999999997</v>
      </c>
      <c r="Z597" s="380">
        <v>20643.259999999998</v>
      </c>
      <c r="AA597" s="376" t="s">
        <v>1865</v>
      </c>
      <c r="AB597" s="376" t="s">
        <v>1638</v>
      </c>
      <c r="AC597" s="376" t="s">
        <v>1866</v>
      </c>
      <c r="AD597" s="376" t="s">
        <v>1194</v>
      </c>
      <c r="AE597" s="376" t="s">
        <v>863</v>
      </c>
      <c r="AF597" s="376" t="s">
        <v>393</v>
      </c>
      <c r="AG597" s="376" t="s">
        <v>178</v>
      </c>
      <c r="AH597" s="381">
        <v>20.39</v>
      </c>
      <c r="AI597" s="381">
        <v>10798.5</v>
      </c>
      <c r="AJ597" s="376" t="s">
        <v>179</v>
      </c>
      <c r="AK597" s="376" t="s">
        <v>180</v>
      </c>
      <c r="AL597" s="376" t="s">
        <v>181</v>
      </c>
      <c r="AM597" s="376" t="s">
        <v>182</v>
      </c>
      <c r="AN597" s="376" t="s">
        <v>68</v>
      </c>
      <c r="AO597" s="379">
        <v>80</v>
      </c>
      <c r="AP597" s="385">
        <v>1</v>
      </c>
      <c r="AQ597" s="385">
        <v>1</v>
      </c>
      <c r="AR597" s="383" t="s">
        <v>183</v>
      </c>
      <c r="AS597" s="387">
        <f t="shared" si="423"/>
        <v>1</v>
      </c>
      <c r="AT597">
        <f t="shared" si="424"/>
        <v>1</v>
      </c>
      <c r="AU597" s="387">
        <f>IF(AT597=0,"",IF(AND(AT597=1,M597="F",SUMIF(C2:C1334,C597,AS2:AS1334)&lt;=1),SUMIF(C2:C1334,C597,AS2:AS1334),IF(AND(AT597=1,M597="F",SUMIF(C2:C1334,C597,AS2:AS1334)&gt;1),1,"")))</f>
        <v>1</v>
      </c>
      <c r="AV597" s="387" t="str">
        <f>IF(AT597=0,"",IF(AND(AT597=3,M597="F",SUMIF(C2:C1334,C597,AS2:AS1334)&lt;=1),SUMIF(C2:C1334,C597,AS2:AS1334),IF(AND(AT597=3,M597="F",SUMIF(C2:C1334,C597,AS2:AS1334)&gt;1),1,"")))</f>
        <v/>
      </c>
      <c r="AW597" s="387">
        <f>SUMIF(C2:C1334,C597,O2:O1334)</f>
        <v>1</v>
      </c>
      <c r="AX597" s="387">
        <f>IF(AND(M597="F",AS597&lt;&gt;0),SUMIF(C2:C1334,C597,W2:W1334),0)</f>
        <v>42411.199999999997</v>
      </c>
      <c r="AY597" s="387">
        <f t="shared" si="425"/>
        <v>42411.199999999997</v>
      </c>
      <c r="AZ597" s="387" t="str">
        <f t="shared" si="426"/>
        <v/>
      </c>
      <c r="BA597" s="387">
        <f t="shared" si="427"/>
        <v>0</v>
      </c>
      <c r="BB597" s="387">
        <f t="shared" si="396"/>
        <v>11650</v>
      </c>
      <c r="BC597" s="387">
        <f t="shared" si="397"/>
        <v>0</v>
      </c>
      <c r="BD597" s="387">
        <f t="shared" si="398"/>
        <v>2629.4943999999996</v>
      </c>
      <c r="BE597" s="387">
        <f t="shared" si="399"/>
        <v>614.9624</v>
      </c>
      <c r="BF597" s="387">
        <f t="shared" si="400"/>
        <v>5063.8972800000001</v>
      </c>
      <c r="BG597" s="387">
        <f t="shared" si="401"/>
        <v>305.78475199999997</v>
      </c>
      <c r="BH597" s="387">
        <f t="shared" si="402"/>
        <v>207.81487999999999</v>
      </c>
      <c r="BI597" s="387">
        <f t="shared" si="403"/>
        <v>234.74599199999997</v>
      </c>
      <c r="BJ597" s="387">
        <f t="shared" si="404"/>
        <v>114.51024</v>
      </c>
      <c r="BK597" s="387">
        <f t="shared" si="405"/>
        <v>0</v>
      </c>
      <c r="BL597" s="387">
        <f t="shared" si="428"/>
        <v>9171.2099439999984</v>
      </c>
      <c r="BM597" s="387">
        <f t="shared" si="429"/>
        <v>0</v>
      </c>
      <c r="BN597" s="387">
        <f t="shared" si="406"/>
        <v>11650</v>
      </c>
      <c r="BO597" s="387">
        <f t="shared" si="407"/>
        <v>0</v>
      </c>
      <c r="BP597" s="387">
        <f t="shared" si="408"/>
        <v>2629.4943999999996</v>
      </c>
      <c r="BQ597" s="387">
        <f t="shared" si="409"/>
        <v>614.9624</v>
      </c>
      <c r="BR597" s="387">
        <f t="shared" si="410"/>
        <v>5063.8972800000001</v>
      </c>
      <c r="BS597" s="387">
        <f t="shared" si="411"/>
        <v>305.78475199999997</v>
      </c>
      <c r="BT597" s="387">
        <f t="shared" si="412"/>
        <v>0</v>
      </c>
      <c r="BU597" s="387">
        <f t="shared" si="413"/>
        <v>234.74599199999997</v>
      </c>
      <c r="BV597" s="387">
        <f t="shared" si="414"/>
        <v>144.19807999999998</v>
      </c>
      <c r="BW597" s="387">
        <f t="shared" si="415"/>
        <v>0</v>
      </c>
      <c r="BX597" s="387">
        <f t="shared" si="430"/>
        <v>8993.082903999999</v>
      </c>
      <c r="BY597" s="387">
        <f t="shared" si="431"/>
        <v>0</v>
      </c>
      <c r="BZ597" s="387">
        <f t="shared" si="432"/>
        <v>0</v>
      </c>
      <c r="CA597" s="387">
        <f t="shared" si="433"/>
        <v>0</v>
      </c>
      <c r="CB597" s="387">
        <f t="shared" si="434"/>
        <v>0</v>
      </c>
      <c r="CC597" s="387">
        <f t="shared" si="416"/>
        <v>0</v>
      </c>
      <c r="CD597" s="387">
        <f t="shared" si="417"/>
        <v>0</v>
      </c>
      <c r="CE597" s="387">
        <f t="shared" si="418"/>
        <v>0</v>
      </c>
      <c r="CF597" s="387">
        <f t="shared" si="419"/>
        <v>-207.81487999999999</v>
      </c>
      <c r="CG597" s="387">
        <f t="shared" si="420"/>
        <v>0</v>
      </c>
      <c r="CH597" s="387">
        <f t="shared" si="421"/>
        <v>29.687839999999984</v>
      </c>
      <c r="CI597" s="387">
        <f t="shared" si="422"/>
        <v>0</v>
      </c>
      <c r="CJ597" s="387">
        <f t="shared" si="435"/>
        <v>-178.12703999999999</v>
      </c>
      <c r="CK597" s="387" t="str">
        <f t="shared" si="436"/>
        <v/>
      </c>
      <c r="CL597" s="387" t="str">
        <f t="shared" si="437"/>
        <v/>
      </c>
      <c r="CM597" s="387" t="str">
        <f t="shared" si="438"/>
        <v/>
      </c>
      <c r="CN597" s="387" t="str">
        <f t="shared" si="439"/>
        <v>0348-31</v>
      </c>
    </row>
    <row r="598" spans="1:92" ht="15.75" thickBot="1" x14ac:dyDescent="0.3">
      <c r="A598" s="376" t="s">
        <v>161</v>
      </c>
      <c r="B598" s="376" t="s">
        <v>162</v>
      </c>
      <c r="C598" s="376" t="s">
        <v>641</v>
      </c>
      <c r="D598" s="376" t="s">
        <v>326</v>
      </c>
      <c r="E598" s="376" t="s">
        <v>224</v>
      </c>
      <c r="F598" s="382" t="s">
        <v>225</v>
      </c>
      <c r="G598" s="376" t="s">
        <v>781</v>
      </c>
      <c r="H598" s="378"/>
      <c r="I598" s="378"/>
      <c r="J598" s="376" t="s">
        <v>215</v>
      </c>
      <c r="K598" s="376" t="s">
        <v>520</v>
      </c>
      <c r="L598" s="376" t="s">
        <v>210</v>
      </c>
      <c r="M598" s="376" t="s">
        <v>171</v>
      </c>
      <c r="N598" s="376" t="s">
        <v>172</v>
      </c>
      <c r="O598" s="379">
        <v>1</v>
      </c>
      <c r="P598" s="385">
        <v>0</v>
      </c>
      <c r="Q598" s="385">
        <v>0</v>
      </c>
      <c r="R598" s="380">
        <v>80</v>
      </c>
      <c r="S598" s="385">
        <v>0</v>
      </c>
      <c r="T598" s="380">
        <v>14675.6</v>
      </c>
      <c r="U598" s="380">
        <v>0</v>
      </c>
      <c r="V598" s="380">
        <v>5537.18</v>
      </c>
      <c r="W598" s="380">
        <v>0</v>
      </c>
      <c r="X598" s="380">
        <v>0</v>
      </c>
      <c r="Y598" s="380">
        <v>0</v>
      </c>
      <c r="Z598" s="380">
        <v>0</v>
      </c>
      <c r="AA598" s="376" t="s">
        <v>642</v>
      </c>
      <c r="AB598" s="376" t="s">
        <v>643</v>
      </c>
      <c r="AC598" s="376" t="s">
        <v>644</v>
      </c>
      <c r="AD598" s="376" t="s">
        <v>324</v>
      </c>
      <c r="AE598" s="376" t="s">
        <v>520</v>
      </c>
      <c r="AF598" s="376" t="s">
        <v>245</v>
      </c>
      <c r="AG598" s="376" t="s">
        <v>178</v>
      </c>
      <c r="AH598" s="381">
        <v>33.5</v>
      </c>
      <c r="AI598" s="379">
        <v>436</v>
      </c>
      <c r="AJ598" s="376" t="s">
        <v>179</v>
      </c>
      <c r="AK598" s="376" t="s">
        <v>180</v>
      </c>
      <c r="AL598" s="376" t="s">
        <v>181</v>
      </c>
      <c r="AM598" s="376" t="s">
        <v>182</v>
      </c>
      <c r="AN598" s="376" t="s">
        <v>68</v>
      </c>
      <c r="AO598" s="379">
        <v>80</v>
      </c>
      <c r="AP598" s="385">
        <v>1</v>
      </c>
      <c r="AQ598" s="385">
        <v>0</v>
      </c>
      <c r="AR598" s="383" t="s">
        <v>183</v>
      </c>
      <c r="AS598" s="387">
        <f t="shared" si="423"/>
        <v>0</v>
      </c>
      <c r="AT598">
        <f t="shared" si="424"/>
        <v>0</v>
      </c>
      <c r="AU598" s="387" t="str">
        <f>IF(AT598=0,"",IF(AND(AT598=1,M598="F",SUMIF(C2:C1334,C598,AS2:AS1334)&lt;=1),SUMIF(C2:C1334,C598,AS2:AS1334),IF(AND(AT598=1,M598="F",SUMIF(C2:C1334,C598,AS2:AS1334)&gt;1),1,"")))</f>
        <v/>
      </c>
      <c r="AV598" s="387" t="str">
        <f>IF(AT598=0,"",IF(AND(AT598=3,M598="F",SUMIF(C2:C1334,C598,AS2:AS1334)&lt;=1),SUMIF(C2:C1334,C598,AS2:AS1334),IF(AND(AT598=3,M598="F",SUMIF(C2:C1334,C598,AS2:AS1334)&gt;1),1,"")))</f>
        <v/>
      </c>
      <c r="AW598" s="387">
        <f>SUMIF(C2:C1334,C598,O2:O1334)</f>
        <v>2</v>
      </c>
      <c r="AX598" s="387">
        <f>IF(AND(M598="F",AS598&lt;&gt;0),SUMIF(C2:C1334,C598,W2:W1334),0)</f>
        <v>0</v>
      </c>
      <c r="AY598" s="387" t="str">
        <f t="shared" si="425"/>
        <v/>
      </c>
      <c r="AZ598" s="387" t="str">
        <f t="shared" si="426"/>
        <v/>
      </c>
      <c r="BA598" s="387">
        <f t="shared" si="427"/>
        <v>0</v>
      </c>
      <c r="BB598" s="387">
        <f t="shared" si="396"/>
        <v>0</v>
      </c>
      <c r="BC598" s="387">
        <f t="shared" si="397"/>
        <v>0</v>
      </c>
      <c r="BD598" s="387">
        <f t="shared" si="398"/>
        <v>0</v>
      </c>
      <c r="BE598" s="387">
        <f t="shared" si="399"/>
        <v>0</v>
      </c>
      <c r="BF598" s="387">
        <f t="shared" si="400"/>
        <v>0</v>
      </c>
      <c r="BG598" s="387">
        <f t="shared" si="401"/>
        <v>0</v>
      </c>
      <c r="BH598" s="387">
        <f t="shared" si="402"/>
        <v>0</v>
      </c>
      <c r="BI598" s="387">
        <f t="shared" si="403"/>
        <v>0</v>
      </c>
      <c r="BJ598" s="387">
        <f t="shared" si="404"/>
        <v>0</v>
      </c>
      <c r="BK598" s="387">
        <f t="shared" si="405"/>
        <v>0</v>
      </c>
      <c r="BL598" s="387">
        <f t="shared" si="428"/>
        <v>0</v>
      </c>
      <c r="BM598" s="387">
        <f t="shared" si="429"/>
        <v>0</v>
      </c>
      <c r="BN598" s="387">
        <f t="shared" si="406"/>
        <v>0</v>
      </c>
      <c r="BO598" s="387">
        <f t="shared" si="407"/>
        <v>0</v>
      </c>
      <c r="BP598" s="387">
        <f t="shared" si="408"/>
        <v>0</v>
      </c>
      <c r="BQ598" s="387">
        <f t="shared" si="409"/>
        <v>0</v>
      </c>
      <c r="BR598" s="387">
        <f t="shared" si="410"/>
        <v>0</v>
      </c>
      <c r="BS598" s="387">
        <f t="shared" si="411"/>
        <v>0</v>
      </c>
      <c r="BT598" s="387">
        <f t="shared" si="412"/>
        <v>0</v>
      </c>
      <c r="BU598" s="387">
        <f t="shared" si="413"/>
        <v>0</v>
      </c>
      <c r="BV598" s="387">
        <f t="shared" si="414"/>
        <v>0</v>
      </c>
      <c r="BW598" s="387">
        <f t="shared" si="415"/>
        <v>0</v>
      </c>
      <c r="BX598" s="387">
        <f t="shared" si="430"/>
        <v>0</v>
      </c>
      <c r="BY598" s="387">
        <f t="shared" si="431"/>
        <v>0</v>
      </c>
      <c r="BZ598" s="387">
        <f t="shared" si="432"/>
        <v>0</v>
      </c>
      <c r="CA598" s="387">
        <f t="shared" si="433"/>
        <v>0</v>
      </c>
      <c r="CB598" s="387">
        <f t="shared" si="434"/>
        <v>0</v>
      </c>
      <c r="CC598" s="387">
        <f t="shared" si="416"/>
        <v>0</v>
      </c>
      <c r="CD598" s="387">
        <f t="shared" si="417"/>
        <v>0</v>
      </c>
      <c r="CE598" s="387">
        <f t="shared" si="418"/>
        <v>0</v>
      </c>
      <c r="CF598" s="387">
        <f t="shared" si="419"/>
        <v>0</v>
      </c>
      <c r="CG598" s="387">
        <f t="shared" si="420"/>
        <v>0</v>
      </c>
      <c r="CH598" s="387">
        <f t="shared" si="421"/>
        <v>0</v>
      </c>
      <c r="CI598" s="387">
        <f t="shared" si="422"/>
        <v>0</v>
      </c>
      <c r="CJ598" s="387">
        <f t="shared" si="435"/>
        <v>0</v>
      </c>
      <c r="CK598" s="387" t="str">
        <f t="shared" si="436"/>
        <v/>
      </c>
      <c r="CL598" s="387" t="str">
        <f t="shared" si="437"/>
        <v/>
      </c>
      <c r="CM598" s="387" t="str">
        <f t="shared" si="438"/>
        <v/>
      </c>
      <c r="CN598" s="387" t="str">
        <f t="shared" si="439"/>
        <v>0348-31</v>
      </c>
    </row>
    <row r="599" spans="1:92" ht="15.75" thickBot="1" x14ac:dyDescent="0.3">
      <c r="A599" s="376" t="s">
        <v>161</v>
      </c>
      <c r="B599" s="376" t="s">
        <v>162</v>
      </c>
      <c r="C599" s="376" t="s">
        <v>1867</v>
      </c>
      <c r="D599" s="376" t="s">
        <v>270</v>
      </c>
      <c r="E599" s="376" t="s">
        <v>224</v>
      </c>
      <c r="F599" s="382" t="s">
        <v>225</v>
      </c>
      <c r="G599" s="376" t="s">
        <v>781</v>
      </c>
      <c r="H599" s="378"/>
      <c r="I599" s="378"/>
      <c r="J599" s="376" t="s">
        <v>215</v>
      </c>
      <c r="K599" s="376" t="s">
        <v>271</v>
      </c>
      <c r="L599" s="376" t="s">
        <v>217</v>
      </c>
      <c r="M599" s="376" t="s">
        <v>272</v>
      </c>
      <c r="N599" s="376" t="s">
        <v>172</v>
      </c>
      <c r="O599" s="379">
        <v>0</v>
      </c>
      <c r="P599" s="385">
        <v>0</v>
      </c>
      <c r="Q599" s="385">
        <v>0</v>
      </c>
      <c r="R599" s="380">
        <v>80</v>
      </c>
      <c r="S599" s="385">
        <v>0</v>
      </c>
      <c r="T599" s="380">
        <v>727.16</v>
      </c>
      <c r="U599" s="380">
        <v>0</v>
      </c>
      <c r="V599" s="380">
        <v>58.71</v>
      </c>
      <c r="W599" s="380">
        <v>0</v>
      </c>
      <c r="X599" s="380">
        <v>0</v>
      </c>
      <c r="Y599" s="380">
        <v>0</v>
      </c>
      <c r="Z599" s="380">
        <v>0</v>
      </c>
      <c r="AA599" s="378"/>
      <c r="AB599" s="376" t="s">
        <v>45</v>
      </c>
      <c r="AC599" s="376" t="s">
        <v>45</v>
      </c>
      <c r="AD599" s="378"/>
      <c r="AE599" s="378"/>
      <c r="AF599" s="378"/>
      <c r="AG599" s="378"/>
      <c r="AH599" s="379">
        <v>0</v>
      </c>
      <c r="AI599" s="379">
        <v>0</v>
      </c>
      <c r="AJ599" s="378"/>
      <c r="AK599" s="378"/>
      <c r="AL599" s="376" t="s">
        <v>181</v>
      </c>
      <c r="AM599" s="378"/>
      <c r="AN599" s="378"/>
      <c r="AO599" s="379">
        <v>0</v>
      </c>
      <c r="AP599" s="385">
        <v>0</v>
      </c>
      <c r="AQ599" s="385">
        <v>0</v>
      </c>
      <c r="AR599" s="384"/>
      <c r="AS599" s="387">
        <f t="shared" si="423"/>
        <v>0</v>
      </c>
      <c r="AT599">
        <f t="shared" si="424"/>
        <v>0</v>
      </c>
      <c r="AU599" s="387" t="str">
        <f>IF(AT599=0,"",IF(AND(AT599=1,M599="F",SUMIF(C2:C1334,C599,AS2:AS1334)&lt;=1),SUMIF(C2:C1334,C599,AS2:AS1334),IF(AND(AT599=1,M599="F",SUMIF(C2:C1334,C599,AS2:AS1334)&gt;1),1,"")))</f>
        <v/>
      </c>
      <c r="AV599" s="387" t="str">
        <f>IF(AT599=0,"",IF(AND(AT599=3,M599="F",SUMIF(C2:C1334,C599,AS2:AS1334)&lt;=1),SUMIF(C2:C1334,C599,AS2:AS1334),IF(AND(AT599=3,M599="F",SUMIF(C2:C1334,C599,AS2:AS1334)&gt;1),1,"")))</f>
        <v/>
      </c>
      <c r="AW599" s="387">
        <f>SUMIF(C2:C1334,C599,O2:O1334)</f>
        <v>0</v>
      </c>
      <c r="AX599" s="387">
        <f>IF(AND(M599="F",AS599&lt;&gt;0),SUMIF(C2:C1334,C599,W2:W1334),0)</f>
        <v>0</v>
      </c>
      <c r="AY599" s="387" t="str">
        <f t="shared" si="425"/>
        <v/>
      </c>
      <c r="AZ599" s="387" t="str">
        <f t="shared" si="426"/>
        <v/>
      </c>
      <c r="BA599" s="387">
        <f t="shared" si="427"/>
        <v>0</v>
      </c>
      <c r="BB599" s="387">
        <f t="shared" si="396"/>
        <v>0</v>
      </c>
      <c r="BC599" s="387">
        <f t="shared" si="397"/>
        <v>0</v>
      </c>
      <c r="BD599" s="387">
        <f t="shared" si="398"/>
        <v>0</v>
      </c>
      <c r="BE599" s="387">
        <f t="shared" si="399"/>
        <v>0</v>
      </c>
      <c r="BF599" s="387">
        <f t="shared" si="400"/>
        <v>0</v>
      </c>
      <c r="BG599" s="387">
        <f t="shared" si="401"/>
        <v>0</v>
      </c>
      <c r="BH599" s="387">
        <f t="shared" si="402"/>
        <v>0</v>
      </c>
      <c r="BI599" s="387">
        <f t="shared" si="403"/>
        <v>0</v>
      </c>
      <c r="BJ599" s="387">
        <f t="shared" si="404"/>
        <v>0</v>
      </c>
      <c r="BK599" s="387">
        <f t="shared" si="405"/>
        <v>0</v>
      </c>
      <c r="BL599" s="387">
        <f t="shared" si="428"/>
        <v>0</v>
      </c>
      <c r="BM599" s="387">
        <f t="shared" si="429"/>
        <v>0</v>
      </c>
      <c r="BN599" s="387">
        <f t="shared" si="406"/>
        <v>0</v>
      </c>
      <c r="BO599" s="387">
        <f t="shared" si="407"/>
        <v>0</v>
      </c>
      <c r="BP599" s="387">
        <f t="shared" si="408"/>
        <v>0</v>
      </c>
      <c r="BQ599" s="387">
        <f t="shared" si="409"/>
        <v>0</v>
      </c>
      <c r="BR599" s="387">
        <f t="shared" si="410"/>
        <v>0</v>
      </c>
      <c r="BS599" s="387">
        <f t="shared" si="411"/>
        <v>0</v>
      </c>
      <c r="BT599" s="387">
        <f t="shared" si="412"/>
        <v>0</v>
      </c>
      <c r="BU599" s="387">
        <f t="shared" si="413"/>
        <v>0</v>
      </c>
      <c r="BV599" s="387">
        <f t="shared" si="414"/>
        <v>0</v>
      </c>
      <c r="BW599" s="387">
        <f t="shared" si="415"/>
        <v>0</v>
      </c>
      <c r="BX599" s="387">
        <f t="shared" si="430"/>
        <v>0</v>
      </c>
      <c r="BY599" s="387">
        <f t="shared" si="431"/>
        <v>0</v>
      </c>
      <c r="BZ599" s="387">
        <f t="shared" si="432"/>
        <v>0</v>
      </c>
      <c r="CA599" s="387">
        <f t="shared" si="433"/>
        <v>0</v>
      </c>
      <c r="CB599" s="387">
        <f t="shared" si="434"/>
        <v>0</v>
      </c>
      <c r="CC599" s="387">
        <f t="shared" si="416"/>
        <v>0</v>
      </c>
      <c r="CD599" s="387">
        <f t="shared" si="417"/>
        <v>0</v>
      </c>
      <c r="CE599" s="387">
        <f t="shared" si="418"/>
        <v>0</v>
      </c>
      <c r="CF599" s="387">
        <f t="shared" si="419"/>
        <v>0</v>
      </c>
      <c r="CG599" s="387">
        <f t="shared" si="420"/>
        <v>0</v>
      </c>
      <c r="CH599" s="387">
        <f t="shared" si="421"/>
        <v>0</v>
      </c>
      <c r="CI599" s="387">
        <f t="shared" si="422"/>
        <v>0</v>
      </c>
      <c r="CJ599" s="387">
        <f t="shared" si="435"/>
        <v>0</v>
      </c>
      <c r="CK599" s="387" t="str">
        <f t="shared" si="436"/>
        <v/>
      </c>
      <c r="CL599" s="387" t="str">
        <f t="shared" si="437"/>
        <v/>
      </c>
      <c r="CM599" s="387" t="str">
        <f t="shared" si="438"/>
        <v/>
      </c>
      <c r="CN599" s="387" t="str">
        <f t="shared" si="439"/>
        <v>0348-31</v>
      </c>
    </row>
    <row r="600" spans="1:92" ht="15.75" thickBot="1" x14ac:dyDescent="0.3">
      <c r="A600" s="376" t="s">
        <v>161</v>
      </c>
      <c r="B600" s="376" t="s">
        <v>162</v>
      </c>
      <c r="C600" s="376" t="s">
        <v>1868</v>
      </c>
      <c r="D600" s="376" t="s">
        <v>862</v>
      </c>
      <c r="E600" s="376" t="s">
        <v>224</v>
      </c>
      <c r="F600" s="382" t="s">
        <v>225</v>
      </c>
      <c r="G600" s="376" t="s">
        <v>781</v>
      </c>
      <c r="H600" s="378"/>
      <c r="I600" s="378"/>
      <c r="J600" s="376" t="s">
        <v>239</v>
      </c>
      <c r="K600" s="376" t="s">
        <v>863</v>
      </c>
      <c r="L600" s="376" t="s">
        <v>252</v>
      </c>
      <c r="M600" s="376" t="s">
        <v>171</v>
      </c>
      <c r="N600" s="376" t="s">
        <v>172</v>
      </c>
      <c r="O600" s="379">
        <v>1</v>
      </c>
      <c r="P600" s="385">
        <v>0.85</v>
      </c>
      <c r="Q600" s="385">
        <v>0.85</v>
      </c>
      <c r="R600" s="380">
        <v>80</v>
      </c>
      <c r="S600" s="385">
        <v>0.85</v>
      </c>
      <c r="T600" s="380">
        <v>35402.85</v>
      </c>
      <c r="U600" s="380">
        <v>0</v>
      </c>
      <c r="V600" s="380">
        <v>18495.439999999999</v>
      </c>
      <c r="W600" s="380">
        <v>33397.519999999997</v>
      </c>
      <c r="X600" s="380">
        <v>17124.669999999998</v>
      </c>
      <c r="Y600" s="380">
        <v>33397.519999999997</v>
      </c>
      <c r="Z600" s="380">
        <v>16984.41</v>
      </c>
      <c r="AA600" s="376" t="s">
        <v>1869</v>
      </c>
      <c r="AB600" s="376" t="s">
        <v>1870</v>
      </c>
      <c r="AC600" s="376" t="s">
        <v>1007</v>
      </c>
      <c r="AD600" s="376" t="s">
        <v>566</v>
      </c>
      <c r="AE600" s="376" t="s">
        <v>863</v>
      </c>
      <c r="AF600" s="376" t="s">
        <v>393</v>
      </c>
      <c r="AG600" s="376" t="s">
        <v>178</v>
      </c>
      <c r="AH600" s="381">
        <v>18.89</v>
      </c>
      <c r="AI600" s="381">
        <v>15543.8</v>
      </c>
      <c r="AJ600" s="376" t="s">
        <v>179</v>
      </c>
      <c r="AK600" s="376" t="s">
        <v>180</v>
      </c>
      <c r="AL600" s="376" t="s">
        <v>181</v>
      </c>
      <c r="AM600" s="376" t="s">
        <v>182</v>
      </c>
      <c r="AN600" s="376" t="s">
        <v>68</v>
      </c>
      <c r="AO600" s="379">
        <v>80</v>
      </c>
      <c r="AP600" s="385">
        <v>1</v>
      </c>
      <c r="AQ600" s="385">
        <v>0.85</v>
      </c>
      <c r="AR600" s="383" t="s">
        <v>183</v>
      </c>
      <c r="AS600" s="387">
        <f t="shared" si="423"/>
        <v>0.85</v>
      </c>
      <c r="AT600">
        <f t="shared" si="424"/>
        <v>1</v>
      </c>
      <c r="AU600" s="387">
        <f>IF(AT600=0,"",IF(AND(AT600=1,M600="F",SUMIF(C2:C1334,C600,AS2:AS1334)&lt;=1),SUMIF(C2:C1334,C600,AS2:AS1334),IF(AND(AT600=1,M600="F",SUMIF(C2:C1334,C600,AS2:AS1334)&gt;1),1,"")))</f>
        <v>1</v>
      </c>
      <c r="AV600" s="387" t="str">
        <f>IF(AT600=0,"",IF(AND(AT600=3,M600="F",SUMIF(C2:C1334,C600,AS2:AS1334)&lt;=1),SUMIF(C2:C1334,C600,AS2:AS1334),IF(AND(AT600=3,M600="F",SUMIF(C2:C1334,C600,AS2:AS1334)&gt;1),1,"")))</f>
        <v/>
      </c>
      <c r="AW600" s="387">
        <f>SUMIF(C2:C1334,C600,O2:O1334)</f>
        <v>3</v>
      </c>
      <c r="AX600" s="387">
        <f>IF(AND(M600="F",AS600&lt;&gt;0),SUMIF(C2:C1334,C600,W2:W1334),0)</f>
        <v>39291.199999999997</v>
      </c>
      <c r="AY600" s="387">
        <f t="shared" si="425"/>
        <v>33397.519999999997</v>
      </c>
      <c r="AZ600" s="387" t="str">
        <f t="shared" si="426"/>
        <v/>
      </c>
      <c r="BA600" s="387">
        <f t="shared" si="427"/>
        <v>0</v>
      </c>
      <c r="BB600" s="387">
        <f t="shared" si="396"/>
        <v>9902.5</v>
      </c>
      <c r="BC600" s="387">
        <f t="shared" si="397"/>
        <v>0</v>
      </c>
      <c r="BD600" s="387">
        <f t="shared" si="398"/>
        <v>2070.6462399999996</v>
      </c>
      <c r="BE600" s="387">
        <f t="shared" si="399"/>
        <v>484.26403999999997</v>
      </c>
      <c r="BF600" s="387">
        <f t="shared" si="400"/>
        <v>3987.663888</v>
      </c>
      <c r="BG600" s="387">
        <f t="shared" si="401"/>
        <v>240.79611919999999</v>
      </c>
      <c r="BH600" s="387">
        <f t="shared" si="402"/>
        <v>163.64784799999998</v>
      </c>
      <c r="BI600" s="387">
        <f t="shared" si="403"/>
        <v>184.85527319999997</v>
      </c>
      <c r="BJ600" s="387">
        <f t="shared" si="404"/>
        <v>90.173304000000002</v>
      </c>
      <c r="BK600" s="387">
        <f t="shared" si="405"/>
        <v>0</v>
      </c>
      <c r="BL600" s="387">
        <f t="shared" si="428"/>
        <v>7222.0467123999988</v>
      </c>
      <c r="BM600" s="387">
        <f t="shared" si="429"/>
        <v>0</v>
      </c>
      <c r="BN600" s="387">
        <f t="shared" si="406"/>
        <v>9902.5</v>
      </c>
      <c r="BO600" s="387">
        <f t="shared" si="407"/>
        <v>0</v>
      </c>
      <c r="BP600" s="387">
        <f t="shared" si="408"/>
        <v>2070.6462399999996</v>
      </c>
      <c r="BQ600" s="387">
        <f t="shared" si="409"/>
        <v>484.26403999999997</v>
      </c>
      <c r="BR600" s="387">
        <f t="shared" si="410"/>
        <v>3987.663888</v>
      </c>
      <c r="BS600" s="387">
        <f t="shared" si="411"/>
        <v>240.79611919999999</v>
      </c>
      <c r="BT600" s="387">
        <f t="shared" si="412"/>
        <v>0</v>
      </c>
      <c r="BU600" s="387">
        <f t="shared" si="413"/>
        <v>184.85527319999997</v>
      </c>
      <c r="BV600" s="387">
        <f t="shared" si="414"/>
        <v>113.55156799999999</v>
      </c>
      <c r="BW600" s="387">
        <f t="shared" si="415"/>
        <v>0</v>
      </c>
      <c r="BX600" s="387">
        <f t="shared" si="430"/>
        <v>7081.7771283999991</v>
      </c>
      <c r="BY600" s="387">
        <f t="shared" si="431"/>
        <v>0</v>
      </c>
      <c r="BZ600" s="387">
        <f t="shared" si="432"/>
        <v>0</v>
      </c>
      <c r="CA600" s="387">
        <f t="shared" si="433"/>
        <v>0</v>
      </c>
      <c r="CB600" s="387">
        <f t="shared" si="434"/>
        <v>0</v>
      </c>
      <c r="CC600" s="387">
        <f t="shared" si="416"/>
        <v>0</v>
      </c>
      <c r="CD600" s="387">
        <f t="shared" si="417"/>
        <v>0</v>
      </c>
      <c r="CE600" s="387">
        <f t="shared" si="418"/>
        <v>0</v>
      </c>
      <c r="CF600" s="387">
        <f t="shared" si="419"/>
        <v>-163.64784799999998</v>
      </c>
      <c r="CG600" s="387">
        <f t="shared" si="420"/>
        <v>0</v>
      </c>
      <c r="CH600" s="387">
        <f t="shared" si="421"/>
        <v>23.378263999999987</v>
      </c>
      <c r="CI600" s="387">
        <f t="shared" si="422"/>
        <v>0</v>
      </c>
      <c r="CJ600" s="387">
        <f t="shared" si="435"/>
        <v>-140.26958400000001</v>
      </c>
      <c r="CK600" s="387" t="str">
        <f t="shared" si="436"/>
        <v/>
      </c>
      <c r="CL600" s="387" t="str">
        <f t="shared" si="437"/>
        <v/>
      </c>
      <c r="CM600" s="387" t="str">
        <f t="shared" si="438"/>
        <v/>
      </c>
      <c r="CN600" s="387" t="str">
        <f t="shared" si="439"/>
        <v>0348-31</v>
      </c>
    </row>
    <row r="601" spans="1:92" ht="15.75" thickBot="1" x14ac:dyDescent="0.3">
      <c r="A601" s="376" t="s">
        <v>161</v>
      </c>
      <c r="B601" s="376" t="s">
        <v>162</v>
      </c>
      <c r="C601" s="376" t="s">
        <v>1871</v>
      </c>
      <c r="D601" s="376" t="s">
        <v>862</v>
      </c>
      <c r="E601" s="376" t="s">
        <v>224</v>
      </c>
      <c r="F601" s="382" t="s">
        <v>225</v>
      </c>
      <c r="G601" s="376" t="s">
        <v>781</v>
      </c>
      <c r="H601" s="378"/>
      <c r="I601" s="378"/>
      <c r="J601" s="376" t="s">
        <v>215</v>
      </c>
      <c r="K601" s="376" t="s">
        <v>863</v>
      </c>
      <c r="L601" s="376" t="s">
        <v>252</v>
      </c>
      <c r="M601" s="376" t="s">
        <v>171</v>
      </c>
      <c r="N601" s="376" t="s">
        <v>172</v>
      </c>
      <c r="O601" s="379">
        <v>1</v>
      </c>
      <c r="P601" s="385">
        <v>0</v>
      </c>
      <c r="Q601" s="385">
        <v>0</v>
      </c>
      <c r="R601" s="380">
        <v>80</v>
      </c>
      <c r="S601" s="385">
        <v>0</v>
      </c>
      <c r="T601" s="380">
        <v>603.78</v>
      </c>
      <c r="U601" s="380">
        <v>0</v>
      </c>
      <c r="V601" s="380">
        <v>357.18</v>
      </c>
      <c r="W601" s="380">
        <v>0</v>
      </c>
      <c r="X601" s="380">
        <v>0</v>
      </c>
      <c r="Y601" s="380">
        <v>0</v>
      </c>
      <c r="Z601" s="380">
        <v>0</v>
      </c>
      <c r="AA601" s="376" t="s">
        <v>1872</v>
      </c>
      <c r="AB601" s="376" t="s">
        <v>1873</v>
      </c>
      <c r="AC601" s="376" t="s">
        <v>1626</v>
      </c>
      <c r="AD601" s="376" t="s">
        <v>776</v>
      </c>
      <c r="AE601" s="376" t="s">
        <v>863</v>
      </c>
      <c r="AF601" s="376" t="s">
        <v>393</v>
      </c>
      <c r="AG601" s="376" t="s">
        <v>178</v>
      </c>
      <c r="AH601" s="381">
        <v>18.54</v>
      </c>
      <c r="AI601" s="381">
        <v>1483.7</v>
      </c>
      <c r="AJ601" s="376" t="s">
        <v>179</v>
      </c>
      <c r="AK601" s="376" t="s">
        <v>180</v>
      </c>
      <c r="AL601" s="376" t="s">
        <v>181</v>
      </c>
      <c r="AM601" s="376" t="s">
        <v>182</v>
      </c>
      <c r="AN601" s="376" t="s">
        <v>68</v>
      </c>
      <c r="AO601" s="379">
        <v>80</v>
      </c>
      <c r="AP601" s="385">
        <v>1</v>
      </c>
      <c r="AQ601" s="385">
        <v>0</v>
      </c>
      <c r="AR601" s="383" t="s">
        <v>183</v>
      </c>
      <c r="AS601" s="387">
        <f t="shared" si="423"/>
        <v>0</v>
      </c>
      <c r="AT601">
        <f t="shared" si="424"/>
        <v>0</v>
      </c>
      <c r="AU601" s="387" t="str">
        <f>IF(AT601=0,"",IF(AND(AT601=1,M601="F",SUMIF(C2:C1334,C601,AS2:AS1334)&lt;=1),SUMIF(C2:C1334,C601,AS2:AS1334),IF(AND(AT601=1,M601="F",SUMIF(C2:C1334,C601,AS2:AS1334)&gt;1),1,"")))</f>
        <v/>
      </c>
      <c r="AV601" s="387" t="str">
        <f>IF(AT601=0,"",IF(AND(AT601=3,M601="F",SUMIF(C2:C1334,C601,AS2:AS1334)&lt;=1),SUMIF(C2:C1334,C601,AS2:AS1334),IF(AND(AT601=3,M601="F",SUMIF(C2:C1334,C601,AS2:AS1334)&gt;1),1,"")))</f>
        <v/>
      </c>
      <c r="AW601" s="387">
        <f>SUMIF(C2:C1334,C601,O2:O1334)</f>
        <v>2</v>
      </c>
      <c r="AX601" s="387">
        <f>IF(AND(M601="F",AS601&lt;&gt;0),SUMIF(C2:C1334,C601,W2:W1334),0)</f>
        <v>0</v>
      </c>
      <c r="AY601" s="387" t="str">
        <f t="shared" si="425"/>
        <v/>
      </c>
      <c r="AZ601" s="387" t="str">
        <f t="shared" si="426"/>
        <v/>
      </c>
      <c r="BA601" s="387">
        <f t="shared" si="427"/>
        <v>0</v>
      </c>
      <c r="BB601" s="387">
        <f t="shared" si="396"/>
        <v>0</v>
      </c>
      <c r="BC601" s="387">
        <f t="shared" si="397"/>
        <v>0</v>
      </c>
      <c r="BD601" s="387">
        <f t="shared" si="398"/>
        <v>0</v>
      </c>
      <c r="BE601" s="387">
        <f t="shared" si="399"/>
        <v>0</v>
      </c>
      <c r="BF601" s="387">
        <f t="shared" si="400"/>
        <v>0</v>
      </c>
      <c r="BG601" s="387">
        <f t="shared" si="401"/>
        <v>0</v>
      </c>
      <c r="BH601" s="387">
        <f t="shared" si="402"/>
        <v>0</v>
      </c>
      <c r="BI601" s="387">
        <f t="shared" si="403"/>
        <v>0</v>
      </c>
      <c r="BJ601" s="387">
        <f t="shared" si="404"/>
        <v>0</v>
      </c>
      <c r="BK601" s="387">
        <f t="shared" si="405"/>
        <v>0</v>
      </c>
      <c r="BL601" s="387">
        <f t="shared" si="428"/>
        <v>0</v>
      </c>
      <c r="BM601" s="387">
        <f t="shared" si="429"/>
        <v>0</v>
      </c>
      <c r="BN601" s="387">
        <f t="shared" si="406"/>
        <v>0</v>
      </c>
      <c r="BO601" s="387">
        <f t="shared" si="407"/>
        <v>0</v>
      </c>
      <c r="BP601" s="387">
        <f t="shared" si="408"/>
        <v>0</v>
      </c>
      <c r="BQ601" s="387">
        <f t="shared" si="409"/>
        <v>0</v>
      </c>
      <c r="BR601" s="387">
        <f t="shared" si="410"/>
        <v>0</v>
      </c>
      <c r="BS601" s="387">
        <f t="shared" si="411"/>
        <v>0</v>
      </c>
      <c r="BT601" s="387">
        <f t="shared" si="412"/>
        <v>0</v>
      </c>
      <c r="BU601" s="387">
        <f t="shared" si="413"/>
        <v>0</v>
      </c>
      <c r="BV601" s="387">
        <f t="shared" si="414"/>
        <v>0</v>
      </c>
      <c r="BW601" s="387">
        <f t="shared" si="415"/>
        <v>0</v>
      </c>
      <c r="BX601" s="387">
        <f t="shared" si="430"/>
        <v>0</v>
      </c>
      <c r="BY601" s="387">
        <f t="shared" si="431"/>
        <v>0</v>
      </c>
      <c r="BZ601" s="387">
        <f t="shared" si="432"/>
        <v>0</v>
      </c>
      <c r="CA601" s="387">
        <f t="shared" si="433"/>
        <v>0</v>
      </c>
      <c r="CB601" s="387">
        <f t="shared" si="434"/>
        <v>0</v>
      </c>
      <c r="CC601" s="387">
        <f t="shared" si="416"/>
        <v>0</v>
      </c>
      <c r="CD601" s="387">
        <f t="shared" si="417"/>
        <v>0</v>
      </c>
      <c r="CE601" s="387">
        <f t="shared" si="418"/>
        <v>0</v>
      </c>
      <c r="CF601" s="387">
        <f t="shared" si="419"/>
        <v>0</v>
      </c>
      <c r="CG601" s="387">
        <f t="shared" si="420"/>
        <v>0</v>
      </c>
      <c r="CH601" s="387">
        <f t="shared" si="421"/>
        <v>0</v>
      </c>
      <c r="CI601" s="387">
        <f t="shared" si="422"/>
        <v>0</v>
      </c>
      <c r="CJ601" s="387">
        <f t="shared" si="435"/>
        <v>0</v>
      </c>
      <c r="CK601" s="387" t="str">
        <f t="shared" si="436"/>
        <v/>
      </c>
      <c r="CL601" s="387" t="str">
        <f t="shared" si="437"/>
        <v/>
      </c>
      <c r="CM601" s="387" t="str">
        <f t="shared" si="438"/>
        <v/>
      </c>
      <c r="CN601" s="387" t="str">
        <f t="shared" si="439"/>
        <v>0348-31</v>
      </c>
    </row>
    <row r="602" spans="1:92" ht="15.75" thickBot="1" x14ac:dyDescent="0.3">
      <c r="A602" s="376" t="s">
        <v>161</v>
      </c>
      <c r="B602" s="376" t="s">
        <v>162</v>
      </c>
      <c r="C602" s="376" t="s">
        <v>1874</v>
      </c>
      <c r="D602" s="376" t="s">
        <v>868</v>
      </c>
      <c r="E602" s="376" t="s">
        <v>224</v>
      </c>
      <c r="F602" s="382" t="s">
        <v>225</v>
      </c>
      <c r="G602" s="376" t="s">
        <v>781</v>
      </c>
      <c r="H602" s="378"/>
      <c r="I602" s="378"/>
      <c r="J602" s="376" t="s">
        <v>215</v>
      </c>
      <c r="K602" s="376" t="s">
        <v>869</v>
      </c>
      <c r="L602" s="376" t="s">
        <v>296</v>
      </c>
      <c r="M602" s="376" t="s">
        <v>171</v>
      </c>
      <c r="N602" s="376" t="s">
        <v>172</v>
      </c>
      <c r="O602" s="379">
        <v>1</v>
      </c>
      <c r="P602" s="385">
        <v>0</v>
      </c>
      <c r="Q602" s="385">
        <v>0</v>
      </c>
      <c r="R602" s="380">
        <v>80</v>
      </c>
      <c r="S602" s="385">
        <v>0</v>
      </c>
      <c r="T602" s="380">
        <v>50156.87</v>
      </c>
      <c r="U602" s="380">
        <v>0</v>
      </c>
      <c r="V602" s="380">
        <v>21990.240000000002</v>
      </c>
      <c r="W602" s="380">
        <v>0</v>
      </c>
      <c r="X602" s="380">
        <v>0</v>
      </c>
      <c r="Y602" s="380">
        <v>0</v>
      </c>
      <c r="Z602" s="380">
        <v>0</v>
      </c>
      <c r="AA602" s="376" t="s">
        <v>1875</v>
      </c>
      <c r="AB602" s="376" t="s">
        <v>1876</v>
      </c>
      <c r="AC602" s="376" t="s">
        <v>533</v>
      </c>
      <c r="AD602" s="376" t="s">
        <v>458</v>
      </c>
      <c r="AE602" s="376" t="s">
        <v>869</v>
      </c>
      <c r="AF602" s="376" t="s">
        <v>301</v>
      </c>
      <c r="AG602" s="376" t="s">
        <v>178</v>
      </c>
      <c r="AH602" s="381">
        <v>24.91</v>
      </c>
      <c r="AI602" s="381">
        <v>7865.8</v>
      </c>
      <c r="AJ602" s="376" t="s">
        <v>179</v>
      </c>
      <c r="AK602" s="376" t="s">
        <v>180</v>
      </c>
      <c r="AL602" s="376" t="s">
        <v>181</v>
      </c>
      <c r="AM602" s="376" t="s">
        <v>182</v>
      </c>
      <c r="AN602" s="376" t="s">
        <v>68</v>
      </c>
      <c r="AO602" s="379">
        <v>80</v>
      </c>
      <c r="AP602" s="385">
        <v>1</v>
      </c>
      <c r="AQ602" s="385">
        <v>0</v>
      </c>
      <c r="AR602" s="383" t="s">
        <v>183</v>
      </c>
      <c r="AS602" s="387">
        <f t="shared" si="423"/>
        <v>0</v>
      </c>
      <c r="AT602">
        <f t="shared" si="424"/>
        <v>0</v>
      </c>
      <c r="AU602" s="387" t="str">
        <f>IF(AT602=0,"",IF(AND(AT602=1,M602="F",SUMIF(C2:C1334,C602,AS2:AS1334)&lt;=1),SUMIF(C2:C1334,C602,AS2:AS1334),IF(AND(AT602=1,M602="F",SUMIF(C2:C1334,C602,AS2:AS1334)&gt;1),1,"")))</f>
        <v/>
      </c>
      <c r="AV602" s="387" t="str">
        <f>IF(AT602=0,"",IF(AND(AT602=3,M602="F",SUMIF(C2:C1334,C602,AS2:AS1334)&lt;=1),SUMIF(C2:C1334,C602,AS2:AS1334),IF(AND(AT602=3,M602="F",SUMIF(C2:C1334,C602,AS2:AS1334)&gt;1),1,"")))</f>
        <v/>
      </c>
      <c r="AW602" s="387">
        <f>SUMIF(C2:C1334,C602,O2:O1334)</f>
        <v>2</v>
      </c>
      <c r="AX602" s="387">
        <f>IF(AND(M602="F",AS602&lt;&gt;0),SUMIF(C2:C1334,C602,W2:W1334),0)</f>
        <v>0</v>
      </c>
      <c r="AY602" s="387" t="str">
        <f t="shared" si="425"/>
        <v/>
      </c>
      <c r="AZ602" s="387" t="str">
        <f t="shared" si="426"/>
        <v/>
      </c>
      <c r="BA602" s="387">
        <f t="shared" si="427"/>
        <v>0</v>
      </c>
      <c r="BB602" s="387">
        <f t="shared" si="396"/>
        <v>0</v>
      </c>
      <c r="BC602" s="387">
        <f t="shared" si="397"/>
        <v>0</v>
      </c>
      <c r="BD602" s="387">
        <f t="shared" si="398"/>
        <v>0</v>
      </c>
      <c r="BE602" s="387">
        <f t="shared" si="399"/>
        <v>0</v>
      </c>
      <c r="BF602" s="387">
        <f t="shared" si="400"/>
        <v>0</v>
      </c>
      <c r="BG602" s="387">
        <f t="shared" si="401"/>
        <v>0</v>
      </c>
      <c r="BH602" s="387">
        <f t="shared" si="402"/>
        <v>0</v>
      </c>
      <c r="BI602" s="387">
        <f t="shared" si="403"/>
        <v>0</v>
      </c>
      <c r="BJ602" s="387">
        <f t="shared" si="404"/>
        <v>0</v>
      </c>
      <c r="BK602" s="387">
        <f t="shared" si="405"/>
        <v>0</v>
      </c>
      <c r="BL602" s="387">
        <f t="shared" si="428"/>
        <v>0</v>
      </c>
      <c r="BM602" s="387">
        <f t="shared" si="429"/>
        <v>0</v>
      </c>
      <c r="BN602" s="387">
        <f t="shared" si="406"/>
        <v>0</v>
      </c>
      <c r="BO602" s="387">
        <f t="shared" si="407"/>
        <v>0</v>
      </c>
      <c r="BP602" s="387">
        <f t="shared" si="408"/>
        <v>0</v>
      </c>
      <c r="BQ602" s="387">
        <f t="shared" si="409"/>
        <v>0</v>
      </c>
      <c r="BR602" s="387">
        <f t="shared" si="410"/>
        <v>0</v>
      </c>
      <c r="BS602" s="387">
        <f t="shared" si="411"/>
        <v>0</v>
      </c>
      <c r="BT602" s="387">
        <f t="shared" si="412"/>
        <v>0</v>
      </c>
      <c r="BU602" s="387">
        <f t="shared" si="413"/>
        <v>0</v>
      </c>
      <c r="BV602" s="387">
        <f t="shared" si="414"/>
        <v>0</v>
      </c>
      <c r="BW602" s="387">
        <f t="shared" si="415"/>
        <v>0</v>
      </c>
      <c r="BX602" s="387">
        <f t="shared" si="430"/>
        <v>0</v>
      </c>
      <c r="BY602" s="387">
        <f t="shared" si="431"/>
        <v>0</v>
      </c>
      <c r="BZ602" s="387">
        <f t="shared" si="432"/>
        <v>0</v>
      </c>
      <c r="CA602" s="387">
        <f t="shared" si="433"/>
        <v>0</v>
      </c>
      <c r="CB602" s="387">
        <f t="shared" si="434"/>
        <v>0</v>
      </c>
      <c r="CC602" s="387">
        <f t="shared" si="416"/>
        <v>0</v>
      </c>
      <c r="CD602" s="387">
        <f t="shared" si="417"/>
        <v>0</v>
      </c>
      <c r="CE602" s="387">
        <f t="shared" si="418"/>
        <v>0</v>
      </c>
      <c r="CF602" s="387">
        <f t="shared" si="419"/>
        <v>0</v>
      </c>
      <c r="CG602" s="387">
        <f t="shared" si="420"/>
        <v>0</v>
      </c>
      <c r="CH602" s="387">
        <f t="shared" si="421"/>
        <v>0</v>
      </c>
      <c r="CI602" s="387">
        <f t="shared" si="422"/>
        <v>0</v>
      </c>
      <c r="CJ602" s="387">
        <f t="shared" si="435"/>
        <v>0</v>
      </c>
      <c r="CK602" s="387" t="str">
        <f t="shared" si="436"/>
        <v/>
      </c>
      <c r="CL602" s="387" t="str">
        <f t="shared" si="437"/>
        <v/>
      </c>
      <c r="CM602" s="387" t="str">
        <f t="shared" si="438"/>
        <v/>
      </c>
      <c r="CN602" s="387" t="str">
        <f t="shared" si="439"/>
        <v>0348-31</v>
      </c>
    </row>
    <row r="603" spans="1:92" ht="15.75" thickBot="1" x14ac:dyDescent="0.3">
      <c r="A603" s="376" t="s">
        <v>161</v>
      </c>
      <c r="B603" s="376" t="s">
        <v>162</v>
      </c>
      <c r="C603" s="376" t="s">
        <v>1877</v>
      </c>
      <c r="D603" s="376" t="s">
        <v>862</v>
      </c>
      <c r="E603" s="376" t="s">
        <v>224</v>
      </c>
      <c r="F603" s="382" t="s">
        <v>225</v>
      </c>
      <c r="G603" s="376" t="s">
        <v>781</v>
      </c>
      <c r="H603" s="378"/>
      <c r="I603" s="378"/>
      <c r="J603" s="376" t="s">
        <v>215</v>
      </c>
      <c r="K603" s="376" t="s">
        <v>863</v>
      </c>
      <c r="L603" s="376" t="s">
        <v>252</v>
      </c>
      <c r="M603" s="376" t="s">
        <v>272</v>
      </c>
      <c r="N603" s="376" t="s">
        <v>172</v>
      </c>
      <c r="O603" s="379">
        <v>0</v>
      </c>
      <c r="P603" s="385">
        <v>0</v>
      </c>
      <c r="Q603" s="385">
        <v>0</v>
      </c>
      <c r="R603" s="380">
        <v>80</v>
      </c>
      <c r="S603" s="385">
        <v>0</v>
      </c>
      <c r="T603" s="380">
        <v>29.5</v>
      </c>
      <c r="U603" s="380">
        <v>0</v>
      </c>
      <c r="V603" s="380">
        <v>150.65</v>
      </c>
      <c r="W603" s="380">
        <v>0</v>
      </c>
      <c r="X603" s="380">
        <v>0</v>
      </c>
      <c r="Y603" s="380">
        <v>0</v>
      </c>
      <c r="Z603" s="380">
        <v>0</v>
      </c>
      <c r="AA603" s="378"/>
      <c r="AB603" s="376" t="s">
        <v>45</v>
      </c>
      <c r="AC603" s="376" t="s">
        <v>45</v>
      </c>
      <c r="AD603" s="378"/>
      <c r="AE603" s="378"/>
      <c r="AF603" s="378"/>
      <c r="AG603" s="378"/>
      <c r="AH603" s="379">
        <v>0</v>
      </c>
      <c r="AI603" s="379">
        <v>0</v>
      </c>
      <c r="AJ603" s="378"/>
      <c r="AK603" s="378"/>
      <c r="AL603" s="376" t="s">
        <v>181</v>
      </c>
      <c r="AM603" s="378"/>
      <c r="AN603" s="378"/>
      <c r="AO603" s="379">
        <v>0</v>
      </c>
      <c r="AP603" s="385">
        <v>0</v>
      </c>
      <c r="AQ603" s="385">
        <v>0</v>
      </c>
      <c r="AR603" s="384"/>
      <c r="AS603" s="387">
        <f t="shared" si="423"/>
        <v>0</v>
      </c>
      <c r="AT603">
        <f t="shared" si="424"/>
        <v>0</v>
      </c>
      <c r="AU603" s="387" t="str">
        <f>IF(AT603=0,"",IF(AND(AT603=1,M603="F",SUMIF(C2:C1334,C603,AS2:AS1334)&lt;=1),SUMIF(C2:C1334,C603,AS2:AS1334),IF(AND(AT603=1,M603="F",SUMIF(C2:C1334,C603,AS2:AS1334)&gt;1),1,"")))</f>
        <v/>
      </c>
      <c r="AV603" s="387" t="str">
        <f>IF(AT603=0,"",IF(AND(AT603=3,M603="F",SUMIF(C2:C1334,C603,AS2:AS1334)&lt;=1),SUMIF(C2:C1334,C603,AS2:AS1334),IF(AND(AT603=3,M603="F",SUMIF(C2:C1334,C603,AS2:AS1334)&gt;1),1,"")))</f>
        <v/>
      </c>
      <c r="AW603" s="387">
        <f>SUMIF(C2:C1334,C603,O2:O1334)</f>
        <v>0</v>
      </c>
      <c r="AX603" s="387">
        <f>IF(AND(M603="F",AS603&lt;&gt;0),SUMIF(C2:C1334,C603,W2:W1334),0)</f>
        <v>0</v>
      </c>
      <c r="AY603" s="387" t="str">
        <f t="shared" si="425"/>
        <v/>
      </c>
      <c r="AZ603" s="387" t="str">
        <f t="shared" si="426"/>
        <v/>
      </c>
      <c r="BA603" s="387">
        <f t="shared" si="427"/>
        <v>0</v>
      </c>
      <c r="BB603" s="387">
        <f t="shared" si="396"/>
        <v>0</v>
      </c>
      <c r="BC603" s="387">
        <f t="shared" si="397"/>
        <v>0</v>
      </c>
      <c r="BD603" s="387">
        <f t="shared" si="398"/>
        <v>0</v>
      </c>
      <c r="BE603" s="387">
        <f t="shared" si="399"/>
        <v>0</v>
      </c>
      <c r="BF603" s="387">
        <f t="shared" si="400"/>
        <v>0</v>
      </c>
      <c r="BG603" s="387">
        <f t="shared" si="401"/>
        <v>0</v>
      </c>
      <c r="BH603" s="387">
        <f t="shared" si="402"/>
        <v>0</v>
      </c>
      <c r="BI603" s="387">
        <f t="shared" si="403"/>
        <v>0</v>
      </c>
      <c r="BJ603" s="387">
        <f t="shared" si="404"/>
        <v>0</v>
      </c>
      <c r="BK603" s="387">
        <f t="shared" si="405"/>
        <v>0</v>
      </c>
      <c r="BL603" s="387">
        <f t="shared" si="428"/>
        <v>0</v>
      </c>
      <c r="BM603" s="387">
        <f t="shared" si="429"/>
        <v>0</v>
      </c>
      <c r="BN603" s="387">
        <f t="shared" si="406"/>
        <v>0</v>
      </c>
      <c r="BO603" s="387">
        <f t="shared" si="407"/>
        <v>0</v>
      </c>
      <c r="BP603" s="387">
        <f t="shared" si="408"/>
        <v>0</v>
      </c>
      <c r="BQ603" s="387">
        <f t="shared" si="409"/>
        <v>0</v>
      </c>
      <c r="BR603" s="387">
        <f t="shared" si="410"/>
        <v>0</v>
      </c>
      <c r="BS603" s="387">
        <f t="shared" si="411"/>
        <v>0</v>
      </c>
      <c r="BT603" s="387">
        <f t="shared" si="412"/>
        <v>0</v>
      </c>
      <c r="BU603" s="387">
        <f t="shared" si="413"/>
        <v>0</v>
      </c>
      <c r="BV603" s="387">
        <f t="shared" si="414"/>
        <v>0</v>
      </c>
      <c r="BW603" s="387">
        <f t="shared" si="415"/>
        <v>0</v>
      </c>
      <c r="BX603" s="387">
        <f t="shared" si="430"/>
        <v>0</v>
      </c>
      <c r="BY603" s="387">
        <f t="shared" si="431"/>
        <v>0</v>
      </c>
      <c r="BZ603" s="387">
        <f t="shared" si="432"/>
        <v>0</v>
      </c>
      <c r="CA603" s="387">
        <f t="shared" si="433"/>
        <v>0</v>
      </c>
      <c r="CB603" s="387">
        <f t="shared" si="434"/>
        <v>0</v>
      </c>
      <c r="CC603" s="387">
        <f t="shared" si="416"/>
        <v>0</v>
      </c>
      <c r="CD603" s="387">
        <f t="shared" si="417"/>
        <v>0</v>
      </c>
      <c r="CE603" s="387">
        <f t="shared" si="418"/>
        <v>0</v>
      </c>
      <c r="CF603" s="387">
        <f t="shared" si="419"/>
        <v>0</v>
      </c>
      <c r="CG603" s="387">
        <f t="shared" si="420"/>
        <v>0</v>
      </c>
      <c r="CH603" s="387">
        <f t="shared" si="421"/>
        <v>0</v>
      </c>
      <c r="CI603" s="387">
        <f t="shared" si="422"/>
        <v>0</v>
      </c>
      <c r="CJ603" s="387">
        <f t="shared" si="435"/>
        <v>0</v>
      </c>
      <c r="CK603" s="387" t="str">
        <f t="shared" si="436"/>
        <v/>
      </c>
      <c r="CL603" s="387" t="str">
        <f t="shared" si="437"/>
        <v/>
      </c>
      <c r="CM603" s="387" t="str">
        <f t="shared" si="438"/>
        <v/>
      </c>
      <c r="CN603" s="387" t="str">
        <f t="shared" si="439"/>
        <v>0348-31</v>
      </c>
    </row>
    <row r="604" spans="1:92" ht="15.75" thickBot="1" x14ac:dyDescent="0.3">
      <c r="A604" s="376" t="s">
        <v>161</v>
      </c>
      <c r="B604" s="376" t="s">
        <v>162</v>
      </c>
      <c r="C604" s="376" t="s">
        <v>1878</v>
      </c>
      <c r="D604" s="376" t="s">
        <v>862</v>
      </c>
      <c r="E604" s="376" t="s">
        <v>224</v>
      </c>
      <c r="F604" s="382" t="s">
        <v>225</v>
      </c>
      <c r="G604" s="376" t="s">
        <v>781</v>
      </c>
      <c r="H604" s="378"/>
      <c r="I604" s="378"/>
      <c r="J604" s="376" t="s">
        <v>239</v>
      </c>
      <c r="K604" s="376" t="s">
        <v>863</v>
      </c>
      <c r="L604" s="376" t="s">
        <v>252</v>
      </c>
      <c r="M604" s="376" t="s">
        <v>171</v>
      </c>
      <c r="N604" s="376" t="s">
        <v>172</v>
      </c>
      <c r="O604" s="379">
        <v>1</v>
      </c>
      <c r="P604" s="385">
        <v>0.75</v>
      </c>
      <c r="Q604" s="385">
        <v>0.75</v>
      </c>
      <c r="R604" s="380">
        <v>80</v>
      </c>
      <c r="S604" s="385">
        <v>0.75</v>
      </c>
      <c r="T604" s="380">
        <v>33620.11</v>
      </c>
      <c r="U604" s="380">
        <v>0</v>
      </c>
      <c r="V604" s="380">
        <v>15987.33</v>
      </c>
      <c r="W604" s="380">
        <v>38750.400000000001</v>
      </c>
      <c r="X604" s="380">
        <v>17117.25</v>
      </c>
      <c r="Y604" s="380">
        <v>38750.400000000001</v>
      </c>
      <c r="Z604" s="380">
        <v>16954.5</v>
      </c>
      <c r="AA604" s="376" t="s">
        <v>1879</v>
      </c>
      <c r="AB604" s="376" t="s">
        <v>1880</v>
      </c>
      <c r="AC604" s="376" t="s">
        <v>1881</v>
      </c>
      <c r="AD604" s="376" t="s">
        <v>566</v>
      </c>
      <c r="AE604" s="376" t="s">
        <v>863</v>
      </c>
      <c r="AF604" s="376" t="s">
        <v>393</v>
      </c>
      <c r="AG604" s="376" t="s">
        <v>178</v>
      </c>
      <c r="AH604" s="381">
        <v>24.84</v>
      </c>
      <c r="AI604" s="381">
        <v>45212.2</v>
      </c>
      <c r="AJ604" s="376" t="s">
        <v>179</v>
      </c>
      <c r="AK604" s="376" t="s">
        <v>180</v>
      </c>
      <c r="AL604" s="376" t="s">
        <v>181</v>
      </c>
      <c r="AM604" s="376" t="s">
        <v>182</v>
      </c>
      <c r="AN604" s="376" t="s">
        <v>68</v>
      </c>
      <c r="AO604" s="379">
        <v>80</v>
      </c>
      <c r="AP604" s="385">
        <v>1</v>
      </c>
      <c r="AQ604" s="385">
        <v>0.75</v>
      </c>
      <c r="AR604" s="383" t="s">
        <v>183</v>
      </c>
      <c r="AS604" s="387">
        <f t="shared" si="423"/>
        <v>0.75</v>
      </c>
      <c r="AT604">
        <f t="shared" si="424"/>
        <v>1</v>
      </c>
      <c r="AU604" s="387">
        <f>IF(AT604=0,"",IF(AND(AT604=1,M604="F",SUMIF(C2:C1334,C604,AS2:AS1334)&lt;=1),SUMIF(C2:C1334,C604,AS2:AS1334),IF(AND(AT604=1,M604="F",SUMIF(C2:C1334,C604,AS2:AS1334)&gt;1),1,"")))</f>
        <v>1</v>
      </c>
      <c r="AV604" s="387" t="str">
        <f>IF(AT604=0,"",IF(AND(AT604=3,M604="F",SUMIF(C2:C1334,C604,AS2:AS1334)&lt;=1),SUMIF(C2:C1334,C604,AS2:AS1334),IF(AND(AT604=3,M604="F",SUMIF(C2:C1334,C604,AS2:AS1334)&gt;1),1,"")))</f>
        <v/>
      </c>
      <c r="AW604" s="387">
        <f>SUMIF(C2:C1334,C604,O2:O1334)</f>
        <v>3</v>
      </c>
      <c r="AX604" s="387">
        <f>IF(AND(M604="F",AS604&lt;&gt;0),SUMIF(C2:C1334,C604,W2:W1334),0)</f>
        <v>51667.199999999997</v>
      </c>
      <c r="AY604" s="387">
        <f t="shared" si="425"/>
        <v>38750.400000000001</v>
      </c>
      <c r="AZ604" s="387" t="str">
        <f t="shared" si="426"/>
        <v/>
      </c>
      <c r="BA604" s="387">
        <f t="shared" si="427"/>
        <v>0</v>
      </c>
      <c r="BB604" s="387">
        <f t="shared" si="396"/>
        <v>8737.5</v>
      </c>
      <c r="BC604" s="387">
        <f t="shared" si="397"/>
        <v>0</v>
      </c>
      <c r="BD604" s="387">
        <f t="shared" si="398"/>
        <v>2402.5248000000001</v>
      </c>
      <c r="BE604" s="387">
        <f t="shared" si="399"/>
        <v>561.88080000000002</v>
      </c>
      <c r="BF604" s="387">
        <f t="shared" si="400"/>
        <v>4626.7977600000004</v>
      </c>
      <c r="BG604" s="387">
        <f t="shared" si="401"/>
        <v>279.39038400000004</v>
      </c>
      <c r="BH604" s="387">
        <f t="shared" si="402"/>
        <v>189.87696</v>
      </c>
      <c r="BI604" s="387">
        <f t="shared" si="403"/>
        <v>214.483464</v>
      </c>
      <c r="BJ604" s="387">
        <f t="shared" si="404"/>
        <v>104.62608000000002</v>
      </c>
      <c r="BK604" s="387">
        <f t="shared" si="405"/>
        <v>0</v>
      </c>
      <c r="BL604" s="387">
        <f t="shared" si="428"/>
        <v>8379.5802480000002</v>
      </c>
      <c r="BM604" s="387">
        <f t="shared" si="429"/>
        <v>0</v>
      </c>
      <c r="BN604" s="387">
        <f t="shared" si="406"/>
        <v>8737.5</v>
      </c>
      <c r="BO604" s="387">
        <f t="shared" si="407"/>
        <v>0</v>
      </c>
      <c r="BP604" s="387">
        <f t="shared" si="408"/>
        <v>2402.5248000000001</v>
      </c>
      <c r="BQ604" s="387">
        <f t="shared" si="409"/>
        <v>561.88080000000002</v>
      </c>
      <c r="BR604" s="387">
        <f t="shared" si="410"/>
        <v>4626.7977600000004</v>
      </c>
      <c r="BS604" s="387">
        <f t="shared" si="411"/>
        <v>279.39038400000004</v>
      </c>
      <c r="BT604" s="387">
        <f t="shared" si="412"/>
        <v>0</v>
      </c>
      <c r="BU604" s="387">
        <f t="shared" si="413"/>
        <v>214.483464</v>
      </c>
      <c r="BV604" s="387">
        <f t="shared" si="414"/>
        <v>131.75136000000001</v>
      </c>
      <c r="BW604" s="387">
        <f t="shared" si="415"/>
        <v>0</v>
      </c>
      <c r="BX604" s="387">
        <f t="shared" si="430"/>
        <v>8216.8285680000008</v>
      </c>
      <c r="BY604" s="387">
        <f t="shared" si="431"/>
        <v>0</v>
      </c>
      <c r="BZ604" s="387">
        <f t="shared" si="432"/>
        <v>0</v>
      </c>
      <c r="CA604" s="387">
        <f t="shared" si="433"/>
        <v>0</v>
      </c>
      <c r="CB604" s="387">
        <f t="shared" si="434"/>
        <v>0</v>
      </c>
      <c r="CC604" s="387">
        <f t="shared" si="416"/>
        <v>0</v>
      </c>
      <c r="CD604" s="387">
        <f t="shared" si="417"/>
        <v>0</v>
      </c>
      <c r="CE604" s="387">
        <f t="shared" si="418"/>
        <v>0</v>
      </c>
      <c r="CF604" s="387">
        <f t="shared" si="419"/>
        <v>-189.87696</v>
      </c>
      <c r="CG604" s="387">
        <f t="shared" si="420"/>
        <v>0</v>
      </c>
      <c r="CH604" s="387">
        <f t="shared" si="421"/>
        <v>27.125279999999989</v>
      </c>
      <c r="CI604" s="387">
        <f t="shared" si="422"/>
        <v>0</v>
      </c>
      <c r="CJ604" s="387">
        <f t="shared" si="435"/>
        <v>-162.75168000000002</v>
      </c>
      <c r="CK604" s="387" t="str">
        <f t="shared" si="436"/>
        <v/>
      </c>
      <c r="CL604" s="387" t="str">
        <f t="shared" si="437"/>
        <v/>
      </c>
      <c r="CM604" s="387" t="str">
        <f t="shared" si="438"/>
        <v/>
      </c>
      <c r="CN604" s="387" t="str">
        <f t="shared" si="439"/>
        <v>0348-31</v>
      </c>
    </row>
    <row r="605" spans="1:92" ht="15.75" thickBot="1" x14ac:dyDescent="0.3">
      <c r="A605" s="376" t="s">
        <v>161</v>
      </c>
      <c r="B605" s="376" t="s">
        <v>162</v>
      </c>
      <c r="C605" s="376" t="s">
        <v>442</v>
      </c>
      <c r="D605" s="376" t="s">
        <v>443</v>
      </c>
      <c r="E605" s="376" t="s">
        <v>224</v>
      </c>
      <c r="F605" s="382" t="s">
        <v>225</v>
      </c>
      <c r="G605" s="376" t="s">
        <v>781</v>
      </c>
      <c r="H605" s="378"/>
      <c r="I605" s="378"/>
      <c r="J605" s="376" t="s">
        <v>239</v>
      </c>
      <c r="K605" s="376" t="s">
        <v>444</v>
      </c>
      <c r="L605" s="376" t="s">
        <v>351</v>
      </c>
      <c r="M605" s="376" t="s">
        <v>171</v>
      </c>
      <c r="N605" s="376" t="s">
        <v>172</v>
      </c>
      <c r="O605" s="379">
        <v>2</v>
      </c>
      <c r="P605" s="385">
        <v>0</v>
      </c>
      <c r="Q605" s="385">
        <v>0</v>
      </c>
      <c r="R605" s="380">
        <v>80</v>
      </c>
      <c r="S605" s="385">
        <v>0</v>
      </c>
      <c r="T605" s="380">
        <v>112145.68</v>
      </c>
      <c r="U605" s="380">
        <v>0</v>
      </c>
      <c r="V605" s="380">
        <v>35220.449999999997</v>
      </c>
      <c r="W605" s="380">
        <v>0</v>
      </c>
      <c r="X605" s="380">
        <v>0</v>
      </c>
      <c r="Y605" s="380">
        <v>0</v>
      </c>
      <c r="Z605" s="380">
        <v>0</v>
      </c>
      <c r="AA605" s="376" t="s">
        <v>445</v>
      </c>
      <c r="AB605" s="376" t="s">
        <v>446</v>
      </c>
      <c r="AC605" s="376" t="s">
        <v>251</v>
      </c>
      <c r="AD605" s="376" t="s">
        <v>300</v>
      </c>
      <c r="AE605" s="376" t="s">
        <v>444</v>
      </c>
      <c r="AF605" s="376" t="s">
        <v>355</v>
      </c>
      <c r="AG605" s="376" t="s">
        <v>178</v>
      </c>
      <c r="AH605" s="381">
        <v>43.15</v>
      </c>
      <c r="AI605" s="381">
        <v>16321.2</v>
      </c>
      <c r="AJ605" s="376" t="s">
        <v>179</v>
      </c>
      <c r="AK605" s="376" t="s">
        <v>180</v>
      </c>
      <c r="AL605" s="376" t="s">
        <v>181</v>
      </c>
      <c r="AM605" s="376" t="s">
        <v>182</v>
      </c>
      <c r="AN605" s="376" t="s">
        <v>68</v>
      </c>
      <c r="AO605" s="379">
        <v>80</v>
      </c>
      <c r="AP605" s="385">
        <v>1</v>
      </c>
      <c r="AQ605" s="385">
        <v>0</v>
      </c>
      <c r="AR605" s="383">
        <v>6</v>
      </c>
      <c r="AS605" s="387">
        <f t="shared" si="423"/>
        <v>0</v>
      </c>
      <c r="AT605">
        <f t="shared" si="424"/>
        <v>0</v>
      </c>
      <c r="AU605" s="387" t="str">
        <f>IF(AT605=0,"",IF(AND(AT605=1,M605="F",SUMIF(C2:C1334,C605,AS2:AS1334)&lt;=1),SUMIF(C2:C1334,C605,AS2:AS1334),IF(AND(AT605=1,M605="F",SUMIF(C2:C1334,C605,AS2:AS1334)&gt;1),1,"")))</f>
        <v/>
      </c>
      <c r="AV605" s="387" t="str">
        <f>IF(AT605=0,"",IF(AND(AT605=3,M605="F",SUMIF(C2:C1334,C605,AS2:AS1334)&lt;=1),SUMIF(C2:C1334,C605,AS2:AS1334),IF(AND(AT605=3,M605="F",SUMIF(C2:C1334,C605,AS2:AS1334)&gt;1),1,"")))</f>
        <v/>
      </c>
      <c r="AW605" s="387">
        <f>SUMIF(C2:C1334,C605,O2:O1334)</f>
        <v>16</v>
      </c>
      <c r="AX605" s="387">
        <f>IF(AND(M605="F",AS605&lt;&gt;0),SUMIF(C2:C1334,C605,W2:W1334),0)</f>
        <v>0</v>
      </c>
      <c r="AY605" s="387" t="str">
        <f t="shared" si="425"/>
        <v/>
      </c>
      <c r="AZ605" s="387" t="str">
        <f t="shared" si="426"/>
        <v/>
      </c>
      <c r="BA605" s="387">
        <f t="shared" si="427"/>
        <v>0</v>
      </c>
      <c r="BB605" s="387">
        <f t="shared" si="396"/>
        <v>0</v>
      </c>
      <c r="BC605" s="387">
        <f t="shared" si="397"/>
        <v>0</v>
      </c>
      <c r="BD605" s="387">
        <f t="shared" si="398"/>
        <v>0</v>
      </c>
      <c r="BE605" s="387">
        <f t="shared" si="399"/>
        <v>0</v>
      </c>
      <c r="BF605" s="387">
        <f t="shared" si="400"/>
        <v>0</v>
      </c>
      <c r="BG605" s="387">
        <f t="shared" si="401"/>
        <v>0</v>
      </c>
      <c r="BH605" s="387">
        <f t="shared" si="402"/>
        <v>0</v>
      </c>
      <c r="BI605" s="387">
        <f t="shared" si="403"/>
        <v>0</v>
      </c>
      <c r="BJ605" s="387">
        <f t="shared" si="404"/>
        <v>0</v>
      </c>
      <c r="BK605" s="387">
        <f t="shared" si="405"/>
        <v>0</v>
      </c>
      <c r="BL605" s="387">
        <f t="shared" si="428"/>
        <v>0</v>
      </c>
      <c r="BM605" s="387">
        <f t="shared" si="429"/>
        <v>0</v>
      </c>
      <c r="BN605" s="387">
        <f t="shared" si="406"/>
        <v>0</v>
      </c>
      <c r="BO605" s="387">
        <f t="shared" si="407"/>
        <v>0</v>
      </c>
      <c r="BP605" s="387">
        <f t="shared" si="408"/>
        <v>0</v>
      </c>
      <c r="BQ605" s="387">
        <f t="shared" si="409"/>
        <v>0</v>
      </c>
      <c r="BR605" s="387">
        <f t="shared" si="410"/>
        <v>0</v>
      </c>
      <c r="BS605" s="387">
        <f t="shared" si="411"/>
        <v>0</v>
      </c>
      <c r="BT605" s="387">
        <f t="shared" si="412"/>
        <v>0</v>
      </c>
      <c r="BU605" s="387">
        <f t="shared" si="413"/>
        <v>0</v>
      </c>
      <c r="BV605" s="387">
        <f t="shared" si="414"/>
        <v>0</v>
      </c>
      <c r="BW605" s="387">
        <f t="shared" si="415"/>
        <v>0</v>
      </c>
      <c r="BX605" s="387">
        <f t="shared" si="430"/>
        <v>0</v>
      </c>
      <c r="BY605" s="387">
        <f t="shared" si="431"/>
        <v>0</v>
      </c>
      <c r="BZ605" s="387">
        <f t="shared" si="432"/>
        <v>0</v>
      </c>
      <c r="CA605" s="387">
        <f t="shared" si="433"/>
        <v>0</v>
      </c>
      <c r="CB605" s="387">
        <f t="shared" si="434"/>
        <v>0</v>
      </c>
      <c r="CC605" s="387">
        <f t="shared" si="416"/>
        <v>0</v>
      </c>
      <c r="CD605" s="387">
        <f t="shared" si="417"/>
        <v>0</v>
      </c>
      <c r="CE605" s="387">
        <f t="shared" si="418"/>
        <v>0</v>
      </c>
      <c r="CF605" s="387">
        <f t="shared" si="419"/>
        <v>0</v>
      </c>
      <c r="CG605" s="387">
        <f t="shared" si="420"/>
        <v>0</v>
      </c>
      <c r="CH605" s="387">
        <f t="shared" si="421"/>
        <v>0</v>
      </c>
      <c r="CI605" s="387">
        <f t="shared" si="422"/>
        <v>0</v>
      </c>
      <c r="CJ605" s="387">
        <f t="shared" si="435"/>
        <v>0</v>
      </c>
      <c r="CK605" s="387" t="str">
        <f t="shared" si="436"/>
        <v/>
      </c>
      <c r="CL605" s="387" t="str">
        <f t="shared" si="437"/>
        <v/>
      </c>
      <c r="CM605" s="387" t="str">
        <f t="shared" si="438"/>
        <v/>
      </c>
      <c r="CN605" s="387" t="str">
        <f t="shared" si="439"/>
        <v>0348-31</v>
      </c>
    </row>
    <row r="606" spans="1:92" ht="15.75" thickBot="1" x14ac:dyDescent="0.3">
      <c r="A606" s="376" t="s">
        <v>161</v>
      </c>
      <c r="B606" s="376" t="s">
        <v>162</v>
      </c>
      <c r="C606" s="376" t="s">
        <v>1882</v>
      </c>
      <c r="D606" s="376" t="s">
        <v>568</v>
      </c>
      <c r="E606" s="376" t="s">
        <v>224</v>
      </c>
      <c r="F606" s="382" t="s">
        <v>225</v>
      </c>
      <c r="G606" s="376" t="s">
        <v>781</v>
      </c>
      <c r="H606" s="378"/>
      <c r="I606" s="378"/>
      <c r="J606" s="376" t="s">
        <v>215</v>
      </c>
      <c r="K606" s="376" t="s">
        <v>569</v>
      </c>
      <c r="L606" s="376" t="s">
        <v>210</v>
      </c>
      <c r="M606" s="376" t="s">
        <v>171</v>
      </c>
      <c r="N606" s="376" t="s">
        <v>172</v>
      </c>
      <c r="O606" s="379">
        <v>1</v>
      </c>
      <c r="P606" s="385">
        <v>0</v>
      </c>
      <c r="Q606" s="385">
        <v>0</v>
      </c>
      <c r="R606" s="380">
        <v>80</v>
      </c>
      <c r="S606" s="385">
        <v>0</v>
      </c>
      <c r="T606" s="380">
        <v>92791.05</v>
      </c>
      <c r="U606" s="380">
        <v>0</v>
      </c>
      <c r="V606" s="380">
        <v>30953.52</v>
      </c>
      <c r="W606" s="380">
        <v>0</v>
      </c>
      <c r="X606" s="380">
        <v>0</v>
      </c>
      <c r="Y606" s="380">
        <v>0</v>
      </c>
      <c r="Z606" s="380">
        <v>0</v>
      </c>
      <c r="AA606" s="376" t="s">
        <v>1883</v>
      </c>
      <c r="AB606" s="376" t="s">
        <v>1884</v>
      </c>
      <c r="AC606" s="376" t="s">
        <v>458</v>
      </c>
      <c r="AD606" s="376" t="s">
        <v>296</v>
      </c>
      <c r="AE606" s="376" t="s">
        <v>569</v>
      </c>
      <c r="AF606" s="376" t="s">
        <v>245</v>
      </c>
      <c r="AG606" s="376" t="s">
        <v>178</v>
      </c>
      <c r="AH606" s="381">
        <v>45.16</v>
      </c>
      <c r="AI606" s="381">
        <v>22691.8</v>
      </c>
      <c r="AJ606" s="376" t="s">
        <v>179</v>
      </c>
      <c r="AK606" s="376" t="s">
        <v>180</v>
      </c>
      <c r="AL606" s="376" t="s">
        <v>181</v>
      </c>
      <c r="AM606" s="376" t="s">
        <v>182</v>
      </c>
      <c r="AN606" s="376" t="s">
        <v>68</v>
      </c>
      <c r="AO606" s="379">
        <v>80</v>
      </c>
      <c r="AP606" s="385">
        <v>1</v>
      </c>
      <c r="AQ606" s="385">
        <v>0</v>
      </c>
      <c r="AR606" s="383" t="s">
        <v>183</v>
      </c>
      <c r="AS606" s="387">
        <f t="shared" si="423"/>
        <v>0</v>
      </c>
      <c r="AT606">
        <f t="shared" si="424"/>
        <v>0</v>
      </c>
      <c r="AU606" s="387" t="str">
        <f>IF(AT606=0,"",IF(AND(AT606=1,M606="F",SUMIF(C2:C1334,C606,AS2:AS1334)&lt;=1),SUMIF(C2:C1334,C606,AS2:AS1334),IF(AND(AT606=1,M606="F",SUMIF(C2:C1334,C606,AS2:AS1334)&gt;1),1,"")))</f>
        <v/>
      </c>
      <c r="AV606" s="387" t="str">
        <f>IF(AT606=0,"",IF(AND(AT606=3,M606="F",SUMIF(C2:C1334,C606,AS2:AS1334)&lt;=1),SUMIF(C2:C1334,C606,AS2:AS1334),IF(AND(AT606=3,M606="F",SUMIF(C2:C1334,C606,AS2:AS1334)&gt;1),1,"")))</f>
        <v/>
      </c>
      <c r="AW606" s="387">
        <f>SUMIF(C2:C1334,C606,O2:O1334)</f>
        <v>2</v>
      </c>
      <c r="AX606" s="387">
        <f>IF(AND(M606="F",AS606&lt;&gt;0),SUMIF(C2:C1334,C606,W2:W1334),0)</f>
        <v>0</v>
      </c>
      <c r="AY606" s="387" t="str">
        <f t="shared" si="425"/>
        <v/>
      </c>
      <c r="AZ606" s="387" t="str">
        <f t="shared" si="426"/>
        <v/>
      </c>
      <c r="BA606" s="387">
        <f t="shared" si="427"/>
        <v>0</v>
      </c>
      <c r="BB606" s="387">
        <f t="shared" si="396"/>
        <v>0</v>
      </c>
      <c r="BC606" s="387">
        <f t="shared" si="397"/>
        <v>0</v>
      </c>
      <c r="BD606" s="387">
        <f t="shared" si="398"/>
        <v>0</v>
      </c>
      <c r="BE606" s="387">
        <f t="shared" si="399"/>
        <v>0</v>
      </c>
      <c r="BF606" s="387">
        <f t="shared" si="400"/>
        <v>0</v>
      </c>
      <c r="BG606" s="387">
        <f t="shared" si="401"/>
        <v>0</v>
      </c>
      <c r="BH606" s="387">
        <f t="shared" si="402"/>
        <v>0</v>
      </c>
      <c r="BI606" s="387">
        <f t="shared" si="403"/>
        <v>0</v>
      </c>
      <c r="BJ606" s="387">
        <f t="shared" si="404"/>
        <v>0</v>
      </c>
      <c r="BK606" s="387">
        <f t="shared" si="405"/>
        <v>0</v>
      </c>
      <c r="BL606" s="387">
        <f t="shared" si="428"/>
        <v>0</v>
      </c>
      <c r="BM606" s="387">
        <f t="shared" si="429"/>
        <v>0</v>
      </c>
      <c r="BN606" s="387">
        <f t="shared" si="406"/>
        <v>0</v>
      </c>
      <c r="BO606" s="387">
        <f t="shared" si="407"/>
        <v>0</v>
      </c>
      <c r="BP606" s="387">
        <f t="shared" si="408"/>
        <v>0</v>
      </c>
      <c r="BQ606" s="387">
        <f t="shared" si="409"/>
        <v>0</v>
      </c>
      <c r="BR606" s="387">
        <f t="shared" si="410"/>
        <v>0</v>
      </c>
      <c r="BS606" s="387">
        <f t="shared" si="411"/>
        <v>0</v>
      </c>
      <c r="BT606" s="387">
        <f t="shared" si="412"/>
        <v>0</v>
      </c>
      <c r="BU606" s="387">
        <f t="shared" si="413"/>
        <v>0</v>
      </c>
      <c r="BV606" s="387">
        <f t="shared" si="414"/>
        <v>0</v>
      </c>
      <c r="BW606" s="387">
        <f t="shared" si="415"/>
        <v>0</v>
      </c>
      <c r="BX606" s="387">
        <f t="shared" si="430"/>
        <v>0</v>
      </c>
      <c r="BY606" s="387">
        <f t="shared" si="431"/>
        <v>0</v>
      </c>
      <c r="BZ606" s="387">
        <f t="shared" si="432"/>
        <v>0</v>
      </c>
      <c r="CA606" s="387">
        <f t="shared" si="433"/>
        <v>0</v>
      </c>
      <c r="CB606" s="387">
        <f t="shared" si="434"/>
        <v>0</v>
      </c>
      <c r="CC606" s="387">
        <f t="shared" si="416"/>
        <v>0</v>
      </c>
      <c r="CD606" s="387">
        <f t="shared" si="417"/>
        <v>0</v>
      </c>
      <c r="CE606" s="387">
        <f t="shared" si="418"/>
        <v>0</v>
      </c>
      <c r="CF606" s="387">
        <f t="shared" si="419"/>
        <v>0</v>
      </c>
      <c r="CG606" s="387">
        <f t="shared" si="420"/>
        <v>0</v>
      </c>
      <c r="CH606" s="387">
        <f t="shared" si="421"/>
        <v>0</v>
      </c>
      <c r="CI606" s="387">
        <f t="shared" si="422"/>
        <v>0</v>
      </c>
      <c r="CJ606" s="387">
        <f t="shared" si="435"/>
        <v>0</v>
      </c>
      <c r="CK606" s="387" t="str">
        <f t="shared" si="436"/>
        <v/>
      </c>
      <c r="CL606" s="387" t="str">
        <f t="shared" si="437"/>
        <v/>
      </c>
      <c r="CM606" s="387" t="str">
        <f t="shared" si="438"/>
        <v/>
      </c>
      <c r="CN606" s="387" t="str">
        <f t="shared" si="439"/>
        <v>0348-31</v>
      </c>
    </row>
    <row r="607" spans="1:92" ht="15.75" thickBot="1" x14ac:dyDescent="0.3">
      <c r="A607" s="376" t="s">
        <v>161</v>
      </c>
      <c r="B607" s="376" t="s">
        <v>162</v>
      </c>
      <c r="C607" s="376" t="s">
        <v>1885</v>
      </c>
      <c r="D607" s="376" t="s">
        <v>1886</v>
      </c>
      <c r="E607" s="376" t="s">
        <v>224</v>
      </c>
      <c r="F607" s="382" t="s">
        <v>225</v>
      </c>
      <c r="G607" s="376" t="s">
        <v>781</v>
      </c>
      <c r="H607" s="378"/>
      <c r="I607" s="378"/>
      <c r="J607" s="376" t="s">
        <v>215</v>
      </c>
      <c r="K607" s="376" t="s">
        <v>1887</v>
      </c>
      <c r="L607" s="376" t="s">
        <v>180</v>
      </c>
      <c r="M607" s="376" t="s">
        <v>171</v>
      </c>
      <c r="N607" s="376" t="s">
        <v>877</v>
      </c>
      <c r="O607" s="379">
        <v>1</v>
      </c>
      <c r="P607" s="385">
        <v>1</v>
      </c>
      <c r="Q607" s="385">
        <v>1</v>
      </c>
      <c r="R607" s="380">
        <v>80</v>
      </c>
      <c r="S607" s="385">
        <v>1</v>
      </c>
      <c r="T607" s="380">
        <v>28635.48</v>
      </c>
      <c r="U607" s="380">
        <v>35.19</v>
      </c>
      <c r="V607" s="380">
        <v>17002.240000000002</v>
      </c>
      <c r="W607" s="380">
        <v>31824</v>
      </c>
      <c r="X607" s="380">
        <v>18531.900000000001</v>
      </c>
      <c r="Y607" s="380">
        <v>31824</v>
      </c>
      <c r="Z607" s="380">
        <v>18398.25</v>
      </c>
      <c r="AA607" s="376" t="s">
        <v>1888</v>
      </c>
      <c r="AB607" s="376" t="s">
        <v>1889</v>
      </c>
      <c r="AC607" s="376" t="s">
        <v>176</v>
      </c>
      <c r="AD607" s="376" t="s">
        <v>170</v>
      </c>
      <c r="AE607" s="376" t="s">
        <v>1887</v>
      </c>
      <c r="AF607" s="376" t="s">
        <v>1890</v>
      </c>
      <c r="AG607" s="376" t="s">
        <v>178</v>
      </c>
      <c r="AH607" s="381">
        <v>15.3</v>
      </c>
      <c r="AI607" s="381">
        <v>13367.1</v>
      </c>
      <c r="AJ607" s="376" t="s">
        <v>179</v>
      </c>
      <c r="AK607" s="376" t="s">
        <v>180</v>
      </c>
      <c r="AL607" s="376" t="s">
        <v>181</v>
      </c>
      <c r="AM607" s="376" t="s">
        <v>182</v>
      </c>
      <c r="AN607" s="376" t="s">
        <v>68</v>
      </c>
      <c r="AO607" s="379">
        <v>80</v>
      </c>
      <c r="AP607" s="385">
        <v>1</v>
      </c>
      <c r="AQ607" s="385">
        <v>1</v>
      </c>
      <c r="AR607" s="383" t="s">
        <v>183</v>
      </c>
      <c r="AS607" s="387">
        <f t="shared" si="423"/>
        <v>1</v>
      </c>
      <c r="AT607">
        <f t="shared" si="424"/>
        <v>1</v>
      </c>
      <c r="AU607" s="387">
        <f>IF(AT607=0,"",IF(AND(AT607=1,M607="F",SUMIF(C2:C1334,C607,AS2:AS1334)&lt;=1),SUMIF(C2:C1334,C607,AS2:AS1334),IF(AND(AT607=1,M607="F",SUMIF(C2:C1334,C607,AS2:AS1334)&gt;1),1,"")))</f>
        <v>1</v>
      </c>
      <c r="AV607" s="387" t="str">
        <f>IF(AT607=0,"",IF(AND(AT607=3,M607="F",SUMIF(C2:C1334,C607,AS2:AS1334)&lt;=1),SUMIF(C2:C1334,C607,AS2:AS1334),IF(AND(AT607=3,M607="F",SUMIF(C2:C1334,C607,AS2:AS1334)&gt;1),1,"")))</f>
        <v/>
      </c>
      <c r="AW607" s="387">
        <f>SUMIF(C2:C1334,C607,O2:O1334)</f>
        <v>1</v>
      </c>
      <c r="AX607" s="387">
        <f>IF(AND(M607="F",AS607&lt;&gt;0),SUMIF(C2:C1334,C607,W2:W1334),0)</f>
        <v>31824</v>
      </c>
      <c r="AY607" s="387">
        <f t="shared" si="425"/>
        <v>31824</v>
      </c>
      <c r="AZ607" s="387" t="str">
        <f t="shared" si="426"/>
        <v/>
      </c>
      <c r="BA607" s="387">
        <f t="shared" si="427"/>
        <v>0</v>
      </c>
      <c r="BB607" s="387">
        <f t="shared" si="396"/>
        <v>11650</v>
      </c>
      <c r="BC607" s="387">
        <f t="shared" si="397"/>
        <v>0</v>
      </c>
      <c r="BD607" s="387">
        <f t="shared" si="398"/>
        <v>1973.088</v>
      </c>
      <c r="BE607" s="387">
        <f t="shared" si="399"/>
        <v>461.44800000000004</v>
      </c>
      <c r="BF607" s="387">
        <f t="shared" si="400"/>
        <v>3799.7856000000002</v>
      </c>
      <c r="BG607" s="387">
        <f t="shared" si="401"/>
        <v>229.45104000000001</v>
      </c>
      <c r="BH607" s="387">
        <f t="shared" si="402"/>
        <v>155.9376</v>
      </c>
      <c r="BI607" s="387">
        <f t="shared" si="403"/>
        <v>176.14583999999999</v>
      </c>
      <c r="BJ607" s="387">
        <f t="shared" si="404"/>
        <v>85.924800000000005</v>
      </c>
      <c r="BK607" s="387">
        <f t="shared" si="405"/>
        <v>0</v>
      </c>
      <c r="BL607" s="387">
        <f t="shared" si="428"/>
        <v>6881.7808800000003</v>
      </c>
      <c r="BM607" s="387">
        <f t="shared" si="429"/>
        <v>0</v>
      </c>
      <c r="BN607" s="387">
        <f t="shared" si="406"/>
        <v>11650</v>
      </c>
      <c r="BO607" s="387">
        <f t="shared" si="407"/>
        <v>0</v>
      </c>
      <c r="BP607" s="387">
        <f t="shared" si="408"/>
        <v>1973.088</v>
      </c>
      <c r="BQ607" s="387">
        <f t="shared" si="409"/>
        <v>461.44800000000004</v>
      </c>
      <c r="BR607" s="387">
        <f t="shared" si="410"/>
        <v>3799.7856000000002</v>
      </c>
      <c r="BS607" s="387">
        <f t="shared" si="411"/>
        <v>229.45104000000001</v>
      </c>
      <c r="BT607" s="387">
        <f t="shared" si="412"/>
        <v>0</v>
      </c>
      <c r="BU607" s="387">
        <f t="shared" si="413"/>
        <v>176.14583999999999</v>
      </c>
      <c r="BV607" s="387">
        <f t="shared" si="414"/>
        <v>108.2016</v>
      </c>
      <c r="BW607" s="387">
        <f t="shared" si="415"/>
        <v>0</v>
      </c>
      <c r="BX607" s="387">
        <f t="shared" si="430"/>
        <v>6748.1200800000006</v>
      </c>
      <c r="BY607" s="387">
        <f t="shared" si="431"/>
        <v>0</v>
      </c>
      <c r="BZ607" s="387">
        <f t="shared" si="432"/>
        <v>0</v>
      </c>
      <c r="CA607" s="387">
        <f t="shared" si="433"/>
        <v>0</v>
      </c>
      <c r="CB607" s="387">
        <f t="shared" si="434"/>
        <v>0</v>
      </c>
      <c r="CC607" s="387">
        <f t="shared" si="416"/>
        <v>0</v>
      </c>
      <c r="CD607" s="387">
        <f t="shared" si="417"/>
        <v>0</v>
      </c>
      <c r="CE607" s="387">
        <f t="shared" si="418"/>
        <v>0</v>
      </c>
      <c r="CF607" s="387">
        <f t="shared" si="419"/>
        <v>-155.9376</v>
      </c>
      <c r="CG607" s="387">
        <f t="shared" si="420"/>
        <v>0</v>
      </c>
      <c r="CH607" s="387">
        <f t="shared" si="421"/>
        <v>22.276799999999991</v>
      </c>
      <c r="CI607" s="387">
        <f t="shared" si="422"/>
        <v>0</v>
      </c>
      <c r="CJ607" s="387">
        <f t="shared" si="435"/>
        <v>-133.66080000000002</v>
      </c>
      <c r="CK607" s="387" t="str">
        <f t="shared" si="436"/>
        <v/>
      </c>
      <c r="CL607" s="387" t="str">
        <f t="shared" si="437"/>
        <v/>
      </c>
      <c r="CM607" s="387" t="str">
        <f t="shared" si="438"/>
        <v/>
      </c>
      <c r="CN607" s="387" t="str">
        <f t="shared" si="439"/>
        <v>0348-31</v>
      </c>
    </row>
    <row r="608" spans="1:92" ht="15.75" thickBot="1" x14ac:dyDescent="0.3">
      <c r="A608" s="376" t="s">
        <v>161</v>
      </c>
      <c r="B608" s="376" t="s">
        <v>162</v>
      </c>
      <c r="C608" s="376" t="s">
        <v>1891</v>
      </c>
      <c r="D608" s="376" t="s">
        <v>862</v>
      </c>
      <c r="E608" s="376" t="s">
        <v>224</v>
      </c>
      <c r="F608" s="382" t="s">
        <v>225</v>
      </c>
      <c r="G608" s="376" t="s">
        <v>781</v>
      </c>
      <c r="H608" s="378"/>
      <c r="I608" s="378"/>
      <c r="J608" s="376" t="s">
        <v>239</v>
      </c>
      <c r="K608" s="376" t="s">
        <v>863</v>
      </c>
      <c r="L608" s="376" t="s">
        <v>252</v>
      </c>
      <c r="M608" s="376" t="s">
        <v>171</v>
      </c>
      <c r="N608" s="376" t="s">
        <v>172</v>
      </c>
      <c r="O608" s="379">
        <v>1</v>
      </c>
      <c r="P608" s="385">
        <v>0.65</v>
      </c>
      <c r="Q608" s="385">
        <v>0.65</v>
      </c>
      <c r="R608" s="380">
        <v>80</v>
      </c>
      <c r="S608" s="385">
        <v>0.65</v>
      </c>
      <c r="T608" s="380">
        <v>31229.16</v>
      </c>
      <c r="U608" s="380">
        <v>0</v>
      </c>
      <c r="V608" s="380">
        <v>14704.56</v>
      </c>
      <c r="W608" s="380">
        <v>32137.040000000001</v>
      </c>
      <c r="X608" s="380">
        <v>14522.11</v>
      </c>
      <c r="Y608" s="380">
        <v>32137.040000000001</v>
      </c>
      <c r="Z608" s="380">
        <v>14387.13</v>
      </c>
      <c r="AA608" s="376" t="s">
        <v>1892</v>
      </c>
      <c r="AB608" s="376" t="s">
        <v>1893</v>
      </c>
      <c r="AC608" s="376" t="s">
        <v>1894</v>
      </c>
      <c r="AD608" s="376" t="s">
        <v>1895</v>
      </c>
      <c r="AE608" s="376" t="s">
        <v>863</v>
      </c>
      <c r="AF608" s="376" t="s">
        <v>393</v>
      </c>
      <c r="AG608" s="376" t="s">
        <v>178</v>
      </c>
      <c r="AH608" s="381">
        <v>23.77</v>
      </c>
      <c r="AI608" s="381">
        <v>35283.199999999997</v>
      </c>
      <c r="AJ608" s="376" t="s">
        <v>179</v>
      </c>
      <c r="AK608" s="376" t="s">
        <v>180</v>
      </c>
      <c r="AL608" s="376" t="s">
        <v>181</v>
      </c>
      <c r="AM608" s="376" t="s">
        <v>182</v>
      </c>
      <c r="AN608" s="376" t="s">
        <v>68</v>
      </c>
      <c r="AO608" s="379">
        <v>80</v>
      </c>
      <c r="AP608" s="385">
        <v>1</v>
      </c>
      <c r="AQ608" s="385">
        <v>0.65</v>
      </c>
      <c r="AR608" s="383" t="s">
        <v>183</v>
      </c>
      <c r="AS608" s="387">
        <f t="shared" si="423"/>
        <v>0.65</v>
      </c>
      <c r="AT608">
        <f t="shared" si="424"/>
        <v>1</v>
      </c>
      <c r="AU608" s="387">
        <f>IF(AT608=0,"",IF(AND(AT608=1,M608="F",SUMIF(C2:C1334,C608,AS2:AS1334)&lt;=1),SUMIF(C2:C1334,C608,AS2:AS1334),IF(AND(AT608=1,M608="F",SUMIF(C2:C1334,C608,AS2:AS1334)&gt;1),1,"")))</f>
        <v>1</v>
      </c>
      <c r="AV608" s="387" t="str">
        <f>IF(AT608=0,"",IF(AND(AT608=3,M608="F",SUMIF(C2:C1334,C608,AS2:AS1334)&lt;=1),SUMIF(C2:C1334,C608,AS2:AS1334),IF(AND(AT608=3,M608="F",SUMIF(C2:C1334,C608,AS2:AS1334)&gt;1),1,"")))</f>
        <v/>
      </c>
      <c r="AW608" s="387">
        <f>SUMIF(C2:C1334,C608,O2:O1334)</f>
        <v>3</v>
      </c>
      <c r="AX608" s="387">
        <f>IF(AND(M608="F",AS608&lt;&gt;0),SUMIF(C2:C1334,C608,W2:W1334),0)</f>
        <v>49441.600000000006</v>
      </c>
      <c r="AY608" s="387">
        <f t="shared" si="425"/>
        <v>32137.040000000001</v>
      </c>
      <c r="AZ608" s="387" t="str">
        <f t="shared" si="426"/>
        <v/>
      </c>
      <c r="BA608" s="387">
        <f t="shared" si="427"/>
        <v>0</v>
      </c>
      <c r="BB608" s="387">
        <f t="shared" si="396"/>
        <v>7572.5</v>
      </c>
      <c r="BC608" s="387">
        <f t="shared" si="397"/>
        <v>0</v>
      </c>
      <c r="BD608" s="387">
        <f t="shared" si="398"/>
        <v>1992.49648</v>
      </c>
      <c r="BE608" s="387">
        <f t="shared" si="399"/>
        <v>465.98708000000005</v>
      </c>
      <c r="BF608" s="387">
        <f t="shared" si="400"/>
        <v>3837.1625760000002</v>
      </c>
      <c r="BG608" s="387">
        <f t="shared" si="401"/>
        <v>231.70805840000003</v>
      </c>
      <c r="BH608" s="387">
        <f t="shared" si="402"/>
        <v>157.471496</v>
      </c>
      <c r="BI608" s="387">
        <f t="shared" si="403"/>
        <v>177.8785164</v>
      </c>
      <c r="BJ608" s="387">
        <f t="shared" si="404"/>
        <v>86.770008000000004</v>
      </c>
      <c r="BK608" s="387">
        <f t="shared" si="405"/>
        <v>0</v>
      </c>
      <c r="BL608" s="387">
        <f t="shared" si="428"/>
        <v>6949.4742148000014</v>
      </c>
      <c r="BM608" s="387">
        <f t="shared" si="429"/>
        <v>0</v>
      </c>
      <c r="BN608" s="387">
        <f t="shared" si="406"/>
        <v>7572.5</v>
      </c>
      <c r="BO608" s="387">
        <f t="shared" si="407"/>
        <v>0</v>
      </c>
      <c r="BP608" s="387">
        <f t="shared" si="408"/>
        <v>1992.49648</v>
      </c>
      <c r="BQ608" s="387">
        <f t="shared" si="409"/>
        <v>465.98708000000005</v>
      </c>
      <c r="BR608" s="387">
        <f t="shared" si="410"/>
        <v>3837.1625760000002</v>
      </c>
      <c r="BS608" s="387">
        <f t="shared" si="411"/>
        <v>231.70805840000003</v>
      </c>
      <c r="BT608" s="387">
        <f t="shared" si="412"/>
        <v>0</v>
      </c>
      <c r="BU608" s="387">
        <f t="shared" si="413"/>
        <v>177.8785164</v>
      </c>
      <c r="BV608" s="387">
        <f t="shared" si="414"/>
        <v>109.265936</v>
      </c>
      <c r="BW608" s="387">
        <f t="shared" si="415"/>
        <v>0</v>
      </c>
      <c r="BX608" s="387">
        <f t="shared" si="430"/>
        <v>6814.4986468000006</v>
      </c>
      <c r="BY608" s="387">
        <f t="shared" si="431"/>
        <v>0</v>
      </c>
      <c r="BZ608" s="387">
        <f t="shared" si="432"/>
        <v>0</v>
      </c>
      <c r="CA608" s="387">
        <f t="shared" si="433"/>
        <v>0</v>
      </c>
      <c r="CB608" s="387">
        <f t="shared" si="434"/>
        <v>0</v>
      </c>
      <c r="CC608" s="387">
        <f t="shared" si="416"/>
        <v>0</v>
      </c>
      <c r="CD608" s="387">
        <f t="shared" si="417"/>
        <v>0</v>
      </c>
      <c r="CE608" s="387">
        <f t="shared" si="418"/>
        <v>0</v>
      </c>
      <c r="CF608" s="387">
        <f t="shared" si="419"/>
        <v>-157.471496</v>
      </c>
      <c r="CG608" s="387">
        <f t="shared" si="420"/>
        <v>0</v>
      </c>
      <c r="CH608" s="387">
        <f t="shared" si="421"/>
        <v>22.495927999999989</v>
      </c>
      <c r="CI608" s="387">
        <f t="shared" si="422"/>
        <v>0</v>
      </c>
      <c r="CJ608" s="387">
        <f t="shared" si="435"/>
        <v>-134.97556800000001</v>
      </c>
      <c r="CK608" s="387" t="str">
        <f t="shared" si="436"/>
        <v/>
      </c>
      <c r="CL608" s="387" t="str">
        <f t="shared" si="437"/>
        <v/>
      </c>
      <c r="CM608" s="387" t="str">
        <f t="shared" si="438"/>
        <v/>
      </c>
      <c r="CN608" s="387" t="str">
        <f t="shared" si="439"/>
        <v>0348-31</v>
      </c>
    </row>
    <row r="609" spans="1:92" ht="15.75" thickBot="1" x14ac:dyDescent="0.3">
      <c r="A609" s="376" t="s">
        <v>161</v>
      </c>
      <c r="B609" s="376" t="s">
        <v>162</v>
      </c>
      <c r="C609" s="376" t="s">
        <v>535</v>
      </c>
      <c r="D609" s="376" t="s">
        <v>326</v>
      </c>
      <c r="E609" s="376" t="s">
        <v>224</v>
      </c>
      <c r="F609" s="382" t="s">
        <v>225</v>
      </c>
      <c r="G609" s="376" t="s">
        <v>781</v>
      </c>
      <c r="H609" s="378"/>
      <c r="I609" s="378"/>
      <c r="J609" s="376" t="s">
        <v>215</v>
      </c>
      <c r="K609" s="376" t="s">
        <v>520</v>
      </c>
      <c r="L609" s="376" t="s">
        <v>210</v>
      </c>
      <c r="M609" s="376" t="s">
        <v>171</v>
      </c>
      <c r="N609" s="376" t="s">
        <v>172</v>
      </c>
      <c r="O609" s="379">
        <v>1</v>
      </c>
      <c r="P609" s="385">
        <v>0</v>
      </c>
      <c r="Q609" s="385">
        <v>0</v>
      </c>
      <c r="R609" s="380">
        <v>80</v>
      </c>
      <c r="S609" s="385">
        <v>0</v>
      </c>
      <c r="T609" s="380">
        <v>76343.83</v>
      </c>
      <c r="U609" s="380">
        <v>0</v>
      </c>
      <c r="V609" s="380">
        <v>27668.1</v>
      </c>
      <c r="W609" s="380">
        <v>0</v>
      </c>
      <c r="X609" s="380">
        <v>0</v>
      </c>
      <c r="Y609" s="380">
        <v>0</v>
      </c>
      <c r="Z609" s="380">
        <v>0</v>
      </c>
      <c r="AA609" s="376" t="s">
        <v>536</v>
      </c>
      <c r="AB609" s="376" t="s">
        <v>537</v>
      </c>
      <c r="AC609" s="376" t="s">
        <v>538</v>
      </c>
      <c r="AD609" s="376" t="s">
        <v>210</v>
      </c>
      <c r="AE609" s="376" t="s">
        <v>520</v>
      </c>
      <c r="AF609" s="376" t="s">
        <v>245</v>
      </c>
      <c r="AG609" s="376" t="s">
        <v>178</v>
      </c>
      <c r="AH609" s="381">
        <v>37.659999999999997</v>
      </c>
      <c r="AI609" s="381">
        <v>44985.599999999999</v>
      </c>
      <c r="AJ609" s="376" t="s">
        <v>179</v>
      </c>
      <c r="AK609" s="376" t="s">
        <v>180</v>
      </c>
      <c r="AL609" s="376" t="s">
        <v>181</v>
      </c>
      <c r="AM609" s="376" t="s">
        <v>182</v>
      </c>
      <c r="AN609" s="376" t="s">
        <v>68</v>
      </c>
      <c r="AO609" s="379">
        <v>80</v>
      </c>
      <c r="AP609" s="385">
        <v>1</v>
      </c>
      <c r="AQ609" s="385">
        <v>0</v>
      </c>
      <c r="AR609" s="383" t="s">
        <v>183</v>
      </c>
      <c r="AS609" s="387">
        <f t="shared" si="423"/>
        <v>0</v>
      </c>
      <c r="AT609">
        <f t="shared" si="424"/>
        <v>0</v>
      </c>
      <c r="AU609" s="387" t="str">
        <f>IF(AT609=0,"",IF(AND(AT609=1,M609="F",SUMIF(C2:C1334,C609,AS2:AS1334)&lt;=1),SUMIF(C2:C1334,C609,AS2:AS1334),IF(AND(AT609=1,M609="F",SUMIF(C2:C1334,C609,AS2:AS1334)&gt;1),1,"")))</f>
        <v/>
      </c>
      <c r="AV609" s="387" t="str">
        <f>IF(AT609=0,"",IF(AND(AT609=3,M609="F",SUMIF(C2:C1334,C609,AS2:AS1334)&lt;=1),SUMIF(C2:C1334,C609,AS2:AS1334),IF(AND(AT609=3,M609="F",SUMIF(C2:C1334,C609,AS2:AS1334)&gt;1),1,"")))</f>
        <v/>
      </c>
      <c r="AW609" s="387">
        <f>SUMIF(C2:C1334,C609,O2:O1334)</f>
        <v>2</v>
      </c>
      <c r="AX609" s="387">
        <f>IF(AND(M609="F",AS609&lt;&gt;0),SUMIF(C2:C1334,C609,W2:W1334),0)</f>
        <v>0</v>
      </c>
      <c r="AY609" s="387" t="str">
        <f t="shared" si="425"/>
        <v/>
      </c>
      <c r="AZ609" s="387" t="str">
        <f t="shared" si="426"/>
        <v/>
      </c>
      <c r="BA609" s="387">
        <f t="shared" si="427"/>
        <v>0</v>
      </c>
      <c r="BB609" s="387">
        <f t="shared" si="396"/>
        <v>0</v>
      </c>
      <c r="BC609" s="387">
        <f t="shared" si="397"/>
        <v>0</v>
      </c>
      <c r="BD609" s="387">
        <f t="shared" si="398"/>
        <v>0</v>
      </c>
      <c r="BE609" s="387">
        <f t="shared" si="399"/>
        <v>0</v>
      </c>
      <c r="BF609" s="387">
        <f t="shared" si="400"/>
        <v>0</v>
      </c>
      <c r="BG609" s="387">
        <f t="shared" si="401"/>
        <v>0</v>
      </c>
      <c r="BH609" s="387">
        <f t="shared" si="402"/>
        <v>0</v>
      </c>
      <c r="BI609" s="387">
        <f t="shared" si="403"/>
        <v>0</v>
      </c>
      <c r="BJ609" s="387">
        <f t="shared" si="404"/>
        <v>0</v>
      </c>
      <c r="BK609" s="387">
        <f t="shared" si="405"/>
        <v>0</v>
      </c>
      <c r="BL609" s="387">
        <f t="shared" si="428"/>
        <v>0</v>
      </c>
      <c r="BM609" s="387">
        <f t="shared" si="429"/>
        <v>0</v>
      </c>
      <c r="BN609" s="387">
        <f t="shared" si="406"/>
        <v>0</v>
      </c>
      <c r="BO609" s="387">
        <f t="shared" si="407"/>
        <v>0</v>
      </c>
      <c r="BP609" s="387">
        <f t="shared" si="408"/>
        <v>0</v>
      </c>
      <c r="BQ609" s="387">
        <f t="shared" si="409"/>
        <v>0</v>
      </c>
      <c r="BR609" s="387">
        <f t="shared" si="410"/>
        <v>0</v>
      </c>
      <c r="BS609" s="387">
        <f t="shared" si="411"/>
        <v>0</v>
      </c>
      <c r="BT609" s="387">
        <f t="shared" si="412"/>
        <v>0</v>
      </c>
      <c r="BU609" s="387">
        <f t="shared" si="413"/>
        <v>0</v>
      </c>
      <c r="BV609" s="387">
        <f t="shared" si="414"/>
        <v>0</v>
      </c>
      <c r="BW609" s="387">
        <f t="shared" si="415"/>
        <v>0</v>
      </c>
      <c r="BX609" s="387">
        <f t="shared" si="430"/>
        <v>0</v>
      </c>
      <c r="BY609" s="387">
        <f t="shared" si="431"/>
        <v>0</v>
      </c>
      <c r="BZ609" s="387">
        <f t="shared" si="432"/>
        <v>0</v>
      </c>
      <c r="CA609" s="387">
        <f t="shared" si="433"/>
        <v>0</v>
      </c>
      <c r="CB609" s="387">
        <f t="shared" si="434"/>
        <v>0</v>
      </c>
      <c r="CC609" s="387">
        <f t="shared" si="416"/>
        <v>0</v>
      </c>
      <c r="CD609" s="387">
        <f t="shared" si="417"/>
        <v>0</v>
      </c>
      <c r="CE609" s="387">
        <f t="shared" si="418"/>
        <v>0</v>
      </c>
      <c r="CF609" s="387">
        <f t="shared" si="419"/>
        <v>0</v>
      </c>
      <c r="CG609" s="387">
        <f t="shared" si="420"/>
        <v>0</v>
      </c>
      <c r="CH609" s="387">
        <f t="shared" si="421"/>
        <v>0</v>
      </c>
      <c r="CI609" s="387">
        <f t="shared" si="422"/>
        <v>0</v>
      </c>
      <c r="CJ609" s="387">
        <f t="shared" si="435"/>
        <v>0</v>
      </c>
      <c r="CK609" s="387" t="str">
        <f t="shared" si="436"/>
        <v/>
      </c>
      <c r="CL609" s="387" t="str">
        <f t="shared" si="437"/>
        <v/>
      </c>
      <c r="CM609" s="387" t="str">
        <f t="shared" si="438"/>
        <v/>
      </c>
      <c r="CN609" s="387" t="str">
        <f t="shared" si="439"/>
        <v>0348-31</v>
      </c>
    </row>
    <row r="610" spans="1:92" ht="15.75" thickBot="1" x14ac:dyDescent="0.3">
      <c r="A610" s="376" t="s">
        <v>161</v>
      </c>
      <c r="B610" s="376" t="s">
        <v>162</v>
      </c>
      <c r="C610" s="376" t="s">
        <v>1896</v>
      </c>
      <c r="D610" s="376" t="s">
        <v>868</v>
      </c>
      <c r="E610" s="376" t="s">
        <v>224</v>
      </c>
      <c r="F610" s="382" t="s">
        <v>225</v>
      </c>
      <c r="G610" s="376" t="s">
        <v>781</v>
      </c>
      <c r="H610" s="378"/>
      <c r="I610" s="378"/>
      <c r="J610" s="376" t="s">
        <v>215</v>
      </c>
      <c r="K610" s="376" t="s">
        <v>894</v>
      </c>
      <c r="L610" s="376" t="s">
        <v>170</v>
      </c>
      <c r="M610" s="376" t="s">
        <v>272</v>
      </c>
      <c r="N610" s="376" t="s">
        <v>172</v>
      </c>
      <c r="O610" s="379">
        <v>0</v>
      </c>
      <c r="P610" s="385">
        <v>0</v>
      </c>
      <c r="Q610" s="385">
        <v>0</v>
      </c>
      <c r="R610" s="380">
        <v>80</v>
      </c>
      <c r="S610" s="385">
        <v>0</v>
      </c>
      <c r="T610" s="380">
        <v>32520</v>
      </c>
      <c r="U610" s="380">
        <v>0</v>
      </c>
      <c r="V610" s="380">
        <v>13543.86</v>
      </c>
      <c r="W610" s="380">
        <v>0</v>
      </c>
      <c r="X610" s="380">
        <v>0</v>
      </c>
      <c r="Y610" s="380">
        <v>0</v>
      </c>
      <c r="Z610" s="380">
        <v>0</v>
      </c>
      <c r="AA610" s="378"/>
      <c r="AB610" s="376" t="s">
        <v>45</v>
      </c>
      <c r="AC610" s="376" t="s">
        <v>45</v>
      </c>
      <c r="AD610" s="378"/>
      <c r="AE610" s="378"/>
      <c r="AF610" s="378"/>
      <c r="AG610" s="378"/>
      <c r="AH610" s="379">
        <v>0</v>
      </c>
      <c r="AI610" s="379">
        <v>0</v>
      </c>
      <c r="AJ610" s="378"/>
      <c r="AK610" s="378"/>
      <c r="AL610" s="376" t="s">
        <v>181</v>
      </c>
      <c r="AM610" s="378"/>
      <c r="AN610" s="378"/>
      <c r="AO610" s="379">
        <v>0</v>
      </c>
      <c r="AP610" s="385">
        <v>0</v>
      </c>
      <c r="AQ610" s="385">
        <v>0</v>
      </c>
      <c r="AR610" s="384"/>
      <c r="AS610" s="387">
        <f t="shared" si="423"/>
        <v>0</v>
      </c>
      <c r="AT610">
        <f t="shared" si="424"/>
        <v>0</v>
      </c>
      <c r="AU610" s="387" t="str">
        <f>IF(AT610=0,"",IF(AND(AT610=1,M610="F",SUMIF(C2:C1334,C610,AS2:AS1334)&lt;=1),SUMIF(C2:C1334,C610,AS2:AS1334),IF(AND(AT610=1,M610="F",SUMIF(C2:C1334,C610,AS2:AS1334)&gt;1),1,"")))</f>
        <v/>
      </c>
      <c r="AV610" s="387" t="str">
        <f>IF(AT610=0,"",IF(AND(AT610=3,M610="F",SUMIF(C2:C1334,C610,AS2:AS1334)&lt;=1),SUMIF(C2:C1334,C610,AS2:AS1334),IF(AND(AT610=3,M610="F",SUMIF(C2:C1334,C610,AS2:AS1334)&gt;1),1,"")))</f>
        <v/>
      </c>
      <c r="AW610" s="387">
        <f>SUMIF(C2:C1334,C610,O2:O1334)</f>
        <v>0</v>
      </c>
      <c r="AX610" s="387">
        <f>IF(AND(M610="F",AS610&lt;&gt;0),SUMIF(C2:C1334,C610,W2:W1334),0)</f>
        <v>0</v>
      </c>
      <c r="AY610" s="387" t="str">
        <f t="shared" si="425"/>
        <v/>
      </c>
      <c r="AZ610" s="387" t="str">
        <f t="shared" si="426"/>
        <v/>
      </c>
      <c r="BA610" s="387">
        <f t="shared" si="427"/>
        <v>0</v>
      </c>
      <c r="BB610" s="387">
        <f t="shared" si="396"/>
        <v>0</v>
      </c>
      <c r="BC610" s="387">
        <f t="shared" si="397"/>
        <v>0</v>
      </c>
      <c r="BD610" s="387">
        <f t="shared" si="398"/>
        <v>0</v>
      </c>
      <c r="BE610" s="387">
        <f t="shared" si="399"/>
        <v>0</v>
      </c>
      <c r="BF610" s="387">
        <f t="shared" si="400"/>
        <v>0</v>
      </c>
      <c r="BG610" s="387">
        <f t="shared" si="401"/>
        <v>0</v>
      </c>
      <c r="BH610" s="387">
        <f t="shared" si="402"/>
        <v>0</v>
      </c>
      <c r="BI610" s="387">
        <f t="shared" si="403"/>
        <v>0</v>
      </c>
      <c r="BJ610" s="387">
        <f t="shared" si="404"/>
        <v>0</v>
      </c>
      <c r="BK610" s="387">
        <f t="shared" si="405"/>
        <v>0</v>
      </c>
      <c r="BL610" s="387">
        <f t="shared" si="428"/>
        <v>0</v>
      </c>
      <c r="BM610" s="387">
        <f t="shared" si="429"/>
        <v>0</v>
      </c>
      <c r="BN610" s="387">
        <f t="shared" si="406"/>
        <v>0</v>
      </c>
      <c r="BO610" s="387">
        <f t="shared" si="407"/>
        <v>0</v>
      </c>
      <c r="BP610" s="387">
        <f t="shared" si="408"/>
        <v>0</v>
      </c>
      <c r="BQ610" s="387">
        <f t="shared" si="409"/>
        <v>0</v>
      </c>
      <c r="BR610" s="387">
        <f t="shared" si="410"/>
        <v>0</v>
      </c>
      <c r="BS610" s="387">
        <f t="shared" si="411"/>
        <v>0</v>
      </c>
      <c r="BT610" s="387">
        <f t="shared" si="412"/>
        <v>0</v>
      </c>
      <c r="BU610" s="387">
        <f t="shared" si="413"/>
        <v>0</v>
      </c>
      <c r="BV610" s="387">
        <f t="shared" si="414"/>
        <v>0</v>
      </c>
      <c r="BW610" s="387">
        <f t="shared" si="415"/>
        <v>0</v>
      </c>
      <c r="BX610" s="387">
        <f t="shared" si="430"/>
        <v>0</v>
      </c>
      <c r="BY610" s="387">
        <f t="shared" si="431"/>
        <v>0</v>
      </c>
      <c r="BZ610" s="387">
        <f t="shared" si="432"/>
        <v>0</v>
      </c>
      <c r="CA610" s="387">
        <f t="shared" si="433"/>
        <v>0</v>
      </c>
      <c r="CB610" s="387">
        <f t="shared" si="434"/>
        <v>0</v>
      </c>
      <c r="CC610" s="387">
        <f t="shared" si="416"/>
        <v>0</v>
      </c>
      <c r="CD610" s="387">
        <f t="shared" si="417"/>
        <v>0</v>
      </c>
      <c r="CE610" s="387">
        <f t="shared" si="418"/>
        <v>0</v>
      </c>
      <c r="CF610" s="387">
        <f t="shared" si="419"/>
        <v>0</v>
      </c>
      <c r="CG610" s="387">
        <f t="shared" si="420"/>
        <v>0</v>
      </c>
      <c r="CH610" s="387">
        <f t="shared" si="421"/>
        <v>0</v>
      </c>
      <c r="CI610" s="387">
        <f t="shared" si="422"/>
        <v>0</v>
      </c>
      <c r="CJ610" s="387">
        <f t="shared" si="435"/>
        <v>0</v>
      </c>
      <c r="CK610" s="387" t="str">
        <f t="shared" si="436"/>
        <v/>
      </c>
      <c r="CL610" s="387" t="str">
        <f t="shared" si="437"/>
        <v/>
      </c>
      <c r="CM610" s="387" t="str">
        <f t="shared" si="438"/>
        <v/>
      </c>
      <c r="CN610" s="387" t="str">
        <f t="shared" si="439"/>
        <v>0348-31</v>
      </c>
    </row>
    <row r="611" spans="1:92" ht="15.75" thickBot="1" x14ac:dyDescent="0.3">
      <c r="A611" s="376" t="s">
        <v>161</v>
      </c>
      <c r="B611" s="376" t="s">
        <v>162</v>
      </c>
      <c r="C611" s="376" t="s">
        <v>254</v>
      </c>
      <c r="D611" s="376" t="s">
        <v>255</v>
      </c>
      <c r="E611" s="376" t="s">
        <v>224</v>
      </c>
      <c r="F611" s="382" t="s">
        <v>225</v>
      </c>
      <c r="G611" s="376" t="s">
        <v>781</v>
      </c>
      <c r="H611" s="378"/>
      <c r="I611" s="378"/>
      <c r="J611" s="376" t="s">
        <v>168</v>
      </c>
      <c r="K611" s="376" t="s">
        <v>256</v>
      </c>
      <c r="L611" s="376" t="s">
        <v>166</v>
      </c>
      <c r="M611" s="376" t="s">
        <v>171</v>
      </c>
      <c r="N611" s="376" t="s">
        <v>257</v>
      </c>
      <c r="O611" s="379">
        <v>1</v>
      </c>
      <c r="P611" s="385">
        <v>0</v>
      </c>
      <c r="Q611" s="385">
        <v>0</v>
      </c>
      <c r="R611" s="380">
        <v>80</v>
      </c>
      <c r="S611" s="385">
        <v>0</v>
      </c>
      <c r="T611" s="380">
        <v>24143.17</v>
      </c>
      <c r="U611" s="380">
        <v>0</v>
      </c>
      <c r="V611" s="380">
        <v>7426.65</v>
      </c>
      <c r="W611" s="380">
        <v>0</v>
      </c>
      <c r="X611" s="380">
        <v>0</v>
      </c>
      <c r="Y611" s="380">
        <v>0</v>
      </c>
      <c r="Z611" s="380">
        <v>0</v>
      </c>
      <c r="AA611" s="376" t="s">
        <v>258</v>
      </c>
      <c r="AB611" s="376" t="s">
        <v>259</v>
      </c>
      <c r="AC611" s="376" t="s">
        <v>260</v>
      </c>
      <c r="AD611" s="376" t="s">
        <v>198</v>
      </c>
      <c r="AE611" s="376" t="s">
        <v>256</v>
      </c>
      <c r="AF611" s="376" t="s">
        <v>261</v>
      </c>
      <c r="AG611" s="376" t="s">
        <v>178</v>
      </c>
      <c r="AH611" s="381">
        <v>59.64</v>
      </c>
      <c r="AI611" s="381">
        <v>60724.4</v>
      </c>
      <c r="AJ611" s="376" t="s">
        <v>179</v>
      </c>
      <c r="AK611" s="376" t="s">
        <v>180</v>
      </c>
      <c r="AL611" s="376" t="s">
        <v>181</v>
      </c>
      <c r="AM611" s="376" t="s">
        <v>182</v>
      </c>
      <c r="AN611" s="376" t="s">
        <v>68</v>
      </c>
      <c r="AO611" s="379">
        <v>80</v>
      </c>
      <c r="AP611" s="385">
        <v>1</v>
      </c>
      <c r="AQ611" s="385">
        <v>0</v>
      </c>
      <c r="AR611" s="383" t="s">
        <v>183</v>
      </c>
      <c r="AS611" s="387">
        <f t="shared" si="423"/>
        <v>0</v>
      </c>
      <c r="AT611">
        <f t="shared" si="424"/>
        <v>0</v>
      </c>
      <c r="AU611" s="387" t="str">
        <f>IF(AT611=0,"",IF(AND(AT611=1,M611="F",SUMIF(C2:C1334,C611,AS2:AS1334)&lt;=1),SUMIF(C2:C1334,C611,AS2:AS1334),IF(AND(AT611=1,M611="F",SUMIF(C2:C1334,C611,AS2:AS1334)&gt;1),1,"")))</f>
        <v/>
      </c>
      <c r="AV611" s="387" t="str">
        <f>IF(AT611=0,"",IF(AND(AT611=3,M611="F",SUMIF(C2:C1334,C611,AS2:AS1334)&lt;=1),SUMIF(C2:C1334,C611,AS2:AS1334),IF(AND(AT611=3,M611="F",SUMIF(C2:C1334,C611,AS2:AS1334)&gt;1),1,"")))</f>
        <v/>
      </c>
      <c r="AW611" s="387">
        <f>SUMIF(C2:C1334,C611,O2:O1334)</f>
        <v>3</v>
      </c>
      <c r="AX611" s="387">
        <f>IF(AND(M611="F",AS611&lt;&gt;0),SUMIF(C2:C1334,C611,W2:W1334),0)</f>
        <v>0</v>
      </c>
      <c r="AY611" s="387" t="str">
        <f t="shared" si="425"/>
        <v/>
      </c>
      <c r="AZ611" s="387" t="str">
        <f t="shared" si="426"/>
        <v/>
      </c>
      <c r="BA611" s="387">
        <f t="shared" si="427"/>
        <v>0</v>
      </c>
      <c r="BB611" s="387">
        <f t="shared" si="396"/>
        <v>0</v>
      </c>
      <c r="BC611" s="387">
        <f t="shared" si="397"/>
        <v>0</v>
      </c>
      <c r="BD611" s="387">
        <f t="shared" si="398"/>
        <v>0</v>
      </c>
      <c r="BE611" s="387">
        <f t="shared" si="399"/>
        <v>0</v>
      </c>
      <c r="BF611" s="387">
        <f t="shared" si="400"/>
        <v>0</v>
      </c>
      <c r="BG611" s="387">
        <f t="shared" si="401"/>
        <v>0</v>
      </c>
      <c r="BH611" s="387">
        <f t="shared" si="402"/>
        <v>0</v>
      </c>
      <c r="BI611" s="387">
        <f t="shared" si="403"/>
        <v>0</v>
      </c>
      <c r="BJ611" s="387">
        <f t="shared" si="404"/>
        <v>0</v>
      </c>
      <c r="BK611" s="387">
        <f t="shared" si="405"/>
        <v>0</v>
      </c>
      <c r="BL611" s="387">
        <f t="shared" si="428"/>
        <v>0</v>
      </c>
      <c r="BM611" s="387">
        <f t="shared" si="429"/>
        <v>0</v>
      </c>
      <c r="BN611" s="387">
        <f t="shared" si="406"/>
        <v>0</v>
      </c>
      <c r="BO611" s="387">
        <f t="shared" si="407"/>
        <v>0</v>
      </c>
      <c r="BP611" s="387">
        <f t="shared" si="408"/>
        <v>0</v>
      </c>
      <c r="BQ611" s="387">
        <f t="shared" si="409"/>
        <v>0</v>
      </c>
      <c r="BR611" s="387">
        <f t="shared" si="410"/>
        <v>0</v>
      </c>
      <c r="BS611" s="387">
        <f t="shared" si="411"/>
        <v>0</v>
      </c>
      <c r="BT611" s="387">
        <f t="shared" si="412"/>
        <v>0</v>
      </c>
      <c r="BU611" s="387">
        <f t="shared" si="413"/>
        <v>0</v>
      </c>
      <c r="BV611" s="387">
        <f t="shared" si="414"/>
        <v>0</v>
      </c>
      <c r="BW611" s="387">
        <f t="shared" si="415"/>
        <v>0</v>
      </c>
      <c r="BX611" s="387">
        <f t="shared" si="430"/>
        <v>0</v>
      </c>
      <c r="BY611" s="387">
        <f t="shared" si="431"/>
        <v>0</v>
      </c>
      <c r="BZ611" s="387">
        <f t="shared" si="432"/>
        <v>0</v>
      </c>
      <c r="CA611" s="387">
        <f t="shared" si="433"/>
        <v>0</v>
      </c>
      <c r="CB611" s="387">
        <f t="shared" si="434"/>
        <v>0</v>
      </c>
      <c r="CC611" s="387">
        <f t="shared" si="416"/>
        <v>0</v>
      </c>
      <c r="CD611" s="387">
        <f t="shared" si="417"/>
        <v>0</v>
      </c>
      <c r="CE611" s="387">
        <f t="shared" si="418"/>
        <v>0</v>
      </c>
      <c r="CF611" s="387">
        <f t="shared" si="419"/>
        <v>0</v>
      </c>
      <c r="CG611" s="387">
        <f t="shared" si="420"/>
        <v>0</v>
      </c>
      <c r="CH611" s="387">
        <f t="shared" si="421"/>
        <v>0</v>
      </c>
      <c r="CI611" s="387">
        <f t="shared" si="422"/>
        <v>0</v>
      </c>
      <c r="CJ611" s="387">
        <f t="shared" si="435"/>
        <v>0</v>
      </c>
      <c r="CK611" s="387" t="str">
        <f t="shared" si="436"/>
        <v/>
      </c>
      <c r="CL611" s="387" t="str">
        <f t="shared" si="437"/>
        <v/>
      </c>
      <c r="CM611" s="387" t="str">
        <f t="shared" si="438"/>
        <v/>
      </c>
      <c r="CN611" s="387" t="str">
        <f t="shared" si="439"/>
        <v>0348-31</v>
      </c>
    </row>
    <row r="612" spans="1:92" ht="15.75" thickBot="1" x14ac:dyDescent="0.3">
      <c r="A612" s="376" t="s">
        <v>161</v>
      </c>
      <c r="B612" s="376" t="s">
        <v>162</v>
      </c>
      <c r="C612" s="376" t="s">
        <v>797</v>
      </c>
      <c r="D612" s="376" t="s">
        <v>786</v>
      </c>
      <c r="E612" s="376" t="s">
        <v>224</v>
      </c>
      <c r="F612" s="382" t="s">
        <v>225</v>
      </c>
      <c r="G612" s="376" t="s">
        <v>781</v>
      </c>
      <c r="H612" s="378"/>
      <c r="I612" s="378"/>
      <c r="J612" s="376" t="s">
        <v>215</v>
      </c>
      <c r="K612" s="376" t="s">
        <v>787</v>
      </c>
      <c r="L612" s="376" t="s">
        <v>181</v>
      </c>
      <c r="M612" s="376" t="s">
        <v>171</v>
      </c>
      <c r="N612" s="376" t="s">
        <v>172</v>
      </c>
      <c r="O612" s="379">
        <v>1</v>
      </c>
      <c r="P612" s="385">
        <v>1</v>
      </c>
      <c r="Q612" s="385">
        <v>1</v>
      </c>
      <c r="R612" s="380">
        <v>80</v>
      </c>
      <c r="S612" s="385">
        <v>1</v>
      </c>
      <c r="T612" s="380">
        <v>78000.100000000006</v>
      </c>
      <c r="U612" s="380">
        <v>0</v>
      </c>
      <c r="V612" s="380">
        <v>27093.279999999999</v>
      </c>
      <c r="W612" s="380">
        <v>84905.600000000006</v>
      </c>
      <c r="X612" s="380">
        <v>30010.79</v>
      </c>
      <c r="Y612" s="380">
        <v>84905.600000000006</v>
      </c>
      <c r="Z612" s="380">
        <v>29654.19</v>
      </c>
      <c r="AA612" s="376" t="s">
        <v>798</v>
      </c>
      <c r="AB612" s="376" t="s">
        <v>799</v>
      </c>
      <c r="AC612" s="376" t="s">
        <v>800</v>
      </c>
      <c r="AD612" s="376" t="s">
        <v>170</v>
      </c>
      <c r="AE612" s="376" t="s">
        <v>787</v>
      </c>
      <c r="AF612" s="376" t="s">
        <v>211</v>
      </c>
      <c r="AG612" s="376" t="s">
        <v>178</v>
      </c>
      <c r="AH612" s="381">
        <v>40.82</v>
      </c>
      <c r="AI612" s="381">
        <v>40878.6</v>
      </c>
      <c r="AJ612" s="376" t="s">
        <v>179</v>
      </c>
      <c r="AK612" s="376" t="s">
        <v>180</v>
      </c>
      <c r="AL612" s="376" t="s">
        <v>181</v>
      </c>
      <c r="AM612" s="376" t="s">
        <v>182</v>
      </c>
      <c r="AN612" s="376" t="s">
        <v>68</v>
      </c>
      <c r="AO612" s="379">
        <v>80</v>
      </c>
      <c r="AP612" s="385">
        <v>1</v>
      </c>
      <c r="AQ612" s="385">
        <v>1</v>
      </c>
      <c r="AR612" s="383" t="s">
        <v>183</v>
      </c>
      <c r="AS612" s="387">
        <f t="shared" si="423"/>
        <v>1</v>
      </c>
      <c r="AT612">
        <f t="shared" si="424"/>
        <v>1</v>
      </c>
      <c r="AU612" s="387">
        <f>IF(AT612=0,"",IF(AND(AT612=1,M612="F",SUMIF(C2:C1334,C612,AS2:AS1334)&lt;=1),SUMIF(C2:C1334,C612,AS2:AS1334),IF(AND(AT612=1,M612="F",SUMIF(C2:C1334,C612,AS2:AS1334)&gt;1),1,"")))</f>
        <v>1</v>
      </c>
      <c r="AV612" s="387" t="str">
        <f>IF(AT612=0,"",IF(AND(AT612=3,M612="F",SUMIF(C2:C1334,C612,AS2:AS1334)&lt;=1),SUMIF(C2:C1334,C612,AS2:AS1334),IF(AND(AT612=3,M612="F",SUMIF(C2:C1334,C612,AS2:AS1334)&gt;1),1,"")))</f>
        <v/>
      </c>
      <c r="AW612" s="387">
        <f>SUMIF(C2:C1334,C612,O2:O1334)</f>
        <v>2</v>
      </c>
      <c r="AX612" s="387">
        <f>IF(AND(M612="F",AS612&lt;&gt;0),SUMIF(C2:C1334,C612,W2:W1334),0)</f>
        <v>84905.600000000006</v>
      </c>
      <c r="AY612" s="387">
        <f t="shared" si="425"/>
        <v>84905.600000000006</v>
      </c>
      <c r="AZ612" s="387" t="str">
        <f t="shared" si="426"/>
        <v/>
      </c>
      <c r="BA612" s="387">
        <f t="shared" si="427"/>
        <v>0</v>
      </c>
      <c r="BB612" s="387">
        <f t="shared" si="396"/>
        <v>11650</v>
      </c>
      <c r="BC612" s="387">
        <f t="shared" si="397"/>
        <v>0</v>
      </c>
      <c r="BD612" s="387">
        <f t="shared" si="398"/>
        <v>5264.1472000000003</v>
      </c>
      <c r="BE612" s="387">
        <f t="shared" si="399"/>
        <v>1231.1312</v>
      </c>
      <c r="BF612" s="387">
        <f t="shared" si="400"/>
        <v>10137.728640000001</v>
      </c>
      <c r="BG612" s="387">
        <f t="shared" si="401"/>
        <v>612.16937600000006</v>
      </c>
      <c r="BH612" s="387">
        <f t="shared" si="402"/>
        <v>416.03744</v>
      </c>
      <c r="BI612" s="387">
        <f t="shared" si="403"/>
        <v>469.95249600000005</v>
      </c>
      <c r="BJ612" s="387">
        <f t="shared" si="404"/>
        <v>229.24512000000001</v>
      </c>
      <c r="BK612" s="387">
        <f t="shared" si="405"/>
        <v>0</v>
      </c>
      <c r="BL612" s="387">
        <f t="shared" si="428"/>
        <v>18360.411472000003</v>
      </c>
      <c r="BM612" s="387">
        <f t="shared" si="429"/>
        <v>0</v>
      </c>
      <c r="BN612" s="387">
        <f t="shared" si="406"/>
        <v>11650</v>
      </c>
      <c r="BO612" s="387">
        <f t="shared" si="407"/>
        <v>0</v>
      </c>
      <c r="BP612" s="387">
        <f t="shared" si="408"/>
        <v>5264.1472000000003</v>
      </c>
      <c r="BQ612" s="387">
        <f t="shared" si="409"/>
        <v>1231.1312</v>
      </c>
      <c r="BR612" s="387">
        <f t="shared" si="410"/>
        <v>10137.728640000001</v>
      </c>
      <c r="BS612" s="387">
        <f t="shared" si="411"/>
        <v>612.16937600000006</v>
      </c>
      <c r="BT612" s="387">
        <f t="shared" si="412"/>
        <v>0</v>
      </c>
      <c r="BU612" s="387">
        <f t="shared" si="413"/>
        <v>469.95249600000005</v>
      </c>
      <c r="BV612" s="387">
        <f t="shared" si="414"/>
        <v>288.67903999999999</v>
      </c>
      <c r="BW612" s="387">
        <f t="shared" si="415"/>
        <v>0</v>
      </c>
      <c r="BX612" s="387">
        <f t="shared" si="430"/>
        <v>18003.807952000003</v>
      </c>
      <c r="BY612" s="387">
        <f t="shared" si="431"/>
        <v>0</v>
      </c>
      <c r="BZ612" s="387">
        <f t="shared" si="432"/>
        <v>0</v>
      </c>
      <c r="CA612" s="387">
        <f t="shared" si="433"/>
        <v>0</v>
      </c>
      <c r="CB612" s="387">
        <f t="shared" si="434"/>
        <v>0</v>
      </c>
      <c r="CC612" s="387">
        <f t="shared" si="416"/>
        <v>0</v>
      </c>
      <c r="CD612" s="387">
        <f t="shared" si="417"/>
        <v>0</v>
      </c>
      <c r="CE612" s="387">
        <f t="shared" si="418"/>
        <v>0</v>
      </c>
      <c r="CF612" s="387">
        <f t="shared" si="419"/>
        <v>-416.03744</v>
      </c>
      <c r="CG612" s="387">
        <f t="shared" si="420"/>
        <v>0</v>
      </c>
      <c r="CH612" s="387">
        <f t="shared" si="421"/>
        <v>59.433919999999979</v>
      </c>
      <c r="CI612" s="387">
        <f t="shared" si="422"/>
        <v>0</v>
      </c>
      <c r="CJ612" s="387">
        <f t="shared" si="435"/>
        <v>-356.60352</v>
      </c>
      <c r="CK612" s="387" t="str">
        <f t="shared" si="436"/>
        <v/>
      </c>
      <c r="CL612" s="387" t="str">
        <f t="shared" si="437"/>
        <v/>
      </c>
      <c r="CM612" s="387" t="str">
        <f t="shared" si="438"/>
        <v/>
      </c>
      <c r="CN612" s="387" t="str">
        <f t="shared" si="439"/>
        <v>0348-31</v>
      </c>
    </row>
    <row r="613" spans="1:92" ht="15.75" thickBot="1" x14ac:dyDescent="0.3">
      <c r="A613" s="376" t="s">
        <v>161</v>
      </c>
      <c r="B613" s="376" t="s">
        <v>162</v>
      </c>
      <c r="C613" s="376" t="s">
        <v>1897</v>
      </c>
      <c r="D613" s="376" t="s">
        <v>655</v>
      </c>
      <c r="E613" s="376" t="s">
        <v>224</v>
      </c>
      <c r="F613" s="382" t="s">
        <v>225</v>
      </c>
      <c r="G613" s="376" t="s">
        <v>781</v>
      </c>
      <c r="H613" s="378"/>
      <c r="I613" s="378"/>
      <c r="J613" s="376" t="s">
        <v>215</v>
      </c>
      <c r="K613" s="376" t="s">
        <v>656</v>
      </c>
      <c r="L613" s="376" t="s">
        <v>210</v>
      </c>
      <c r="M613" s="376" t="s">
        <v>171</v>
      </c>
      <c r="N613" s="376" t="s">
        <v>172</v>
      </c>
      <c r="O613" s="379">
        <v>1</v>
      </c>
      <c r="P613" s="385">
        <v>0</v>
      </c>
      <c r="Q613" s="385">
        <v>0</v>
      </c>
      <c r="R613" s="380">
        <v>80</v>
      </c>
      <c r="S613" s="385">
        <v>0</v>
      </c>
      <c r="T613" s="380">
        <v>260.08999999999997</v>
      </c>
      <c r="U613" s="380">
        <v>0</v>
      </c>
      <c r="V613" s="380">
        <v>94.69</v>
      </c>
      <c r="W613" s="380">
        <v>0</v>
      </c>
      <c r="X613" s="380">
        <v>0</v>
      </c>
      <c r="Y613" s="380">
        <v>0</v>
      </c>
      <c r="Z613" s="380">
        <v>0</v>
      </c>
      <c r="AA613" s="376" t="s">
        <v>1898</v>
      </c>
      <c r="AB613" s="376" t="s">
        <v>1899</v>
      </c>
      <c r="AC613" s="376" t="s">
        <v>618</v>
      </c>
      <c r="AD613" s="376" t="s">
        <v>1900</v>
      </c>
      <c r="AE613" s="376" t="s">
        <v>656</v>
      </c>
      <c r="AF613" s="376" t="s">
        <v>245</v>
      </c>
      <c r="AG613" s="376" t="s">
        <v>178</v>
      </c>
      <c r="AH613" s="381">
        <v>34.51</v>
      </c>
      <c r="AI613" s="381">
        <v>17208.5</v>
      </c>
      <c r="AJ613" s="376" t="s">
        <v>179</v>
      </c>
      <c r="AK613" s="376" t="s">
        <v>180</v>
      </c>
      <c r="AL613" s="376" t="s">
        <v>181</v>
      </c>
      <c r="AM613" s="376" t="s">
        <v>182</v>
      </c>
      <c r="AN613" s="376" t="s">
        <v>68</v>
      </c>
      <c r="AO613" s="379">
        <v>80</v>
      </c>
      <c r="AP613" s="385">
        <v>1</v>
      </c>
      <c r="AQ613" s="385">
        <v>0</v>
      </c>
      <c r="AR613" s="383" t="s">
        <v>183</v>
      </c>
      <c r="AS613" s="387">
        <f t="shared" si="423"/>
        <v>0</v>
      </c>
      <c r="AT613">
        <f t="shared" si="424"/>
        <v>0</v>
      </c>
      <c r="AU613" s="387" t="str">
        <f>IF(AT613=0,"",IF(AND(AT613=1,M613="F",SUMIF(C2:C1334,C613,AS2:AS1334)&lt;=1),SUMIF(C2:C1334,C613,AS2:AS1334),IF(AND(AT613=1,M613="F",SUMIF(C2:C1334,C613,AS2:AS1334)&gt;1),1,"")))</f>
        <v/>
      </c>
      <c r="AV613" s="387" t="str">
        <f>IF(AT613=0,"",IF(AND(AT613=3,M613="F",SUMIF(C2:C1334,C613,AS2:AS1334)&lt;=1),SUMIF(C2:C1334,C613,AS2:AS1334),IF(AND(AT613=3,M613="F",SUMIF(C2:C1334,C613,AS2:AS1334)&gt;1),1,"")))</f>
        <v/>
      </c>
      <c r="AW613" s="387">
        <f>SUMIF(C2:C1334,C613,O2:O1334)</f>
        <v>3</v>
      </c>
      <c r="AX613" s="387">
        <f>IF(AND(M613="F",AS613&lt;&gt;0),SUMIF(C2:C1334,C613,W2:W1334),0)</f>
        <v>0</v>
      </c>
      <c r="AY613" s="387" t="str">
        <f t="shared" si="425"/>
        <v/>
      </c>
      <c r="AZ613" s="387" t="str">
        <f t="shared" si="426"/>
        <v/>
      </c>
      <c r="BA613" s="387">
        <f t="shared" si="427"/>
        <v>0</v>
      </c>
      <c r="BB613" s="387">
        <f t="shared" si="396"/>
        <v>0</v>
      </c>
      <c r="BC613" s="387">
        <f t="shared" si="397"/>
        <v>0</v>
      </c>
      <c r="BD613" s="387">
        <f t="shared" si="398"/>
        <v>0</v>
      </c>
      <c r="BE613" s="387">
        <f t="shared" si="399"/>
        <v>0</v>
      </c>
      <c r="BF613" s="387">
        <f t="shared" si="400"/>
        <v>0</v>
      </c>
      <c r="BG613" s="387">
        <f t="shared" si="401"/>
        <v>0</v>
      </c>
      <c r="BH613" s="387">
        <f t="shared" si="402"/>
        <v>0</v>
      </c>
      <c r="BI613" s="387">
        <f t="shared" si="403"/>
        <v>0</v>
      </c>
      <c r="BJ613" s="387">
        <f t="shared" si="404"/>
        <v>0</v>
      </c>
      <c r="BK613" s="387">
        <f t="shared" si="405"/>
        <v>0</v>
      </c>
      <c r="BL613" s="387">
        <f t="shared" si="428"/>
        <v>0</v>
      </c>
      <c r="BM613" s="387">
        <f t="shared" si="429"/>
        <v>0</v>
      </c>
      <c r="BN613" s="387">
        <f t="shared" si="406"/>
        <v>0</v>
      </c>
      <c r="BO613" s="387">
        <f t="shared" si="407"/>
        <v>0</v>
      </c>
      <c r="BP613" s="387">
        <f t="shared" si="408"/>
        <v>0</v>
      </c>
      <c r="BQ613" s="387">
        <f t="shared" si="409"/>
        <v>0</v>
      </c>
      <c r="BR613" s="387">
        <f t="shared" si="410"/>
        <v>0</v>
      </c>
      <c r="BS613" s="387">
        <f t="shared" si="411"/>
        <v>0</v>
      </c>
      <c r="BT613" s="387">
        <f t="shared" si="412"/>
        <v>0</v>
      </c>
      <c r="BU613" s="387">
        <f t="shared" si="413"/>
        <v>0</v>
      </c>
      <c r="BV613" s="387">
        <f t="shared" si="414"/>
        <v>0</v>
      </c>
      <c r="BW613" s="387">
        <f t="shared" si="415"/>
        <v>0</v>
      </c>
      <c r="BX613" s="387">
        <f t="shared" si="430"/>
        <v>0</v>
      </c>
      <c r="BY613" s="387">
        <f t="shared" si="431"/>
        <v>0</v>
      </c>
      <c r="BZ613" s="387">
        <f t="shared" si="432"/>
        <v>0</v>
      </c>
      <c r="CA613" s="387">
        <f t="shared" si="433"/>
        <v>0</v>
      </c>
      <c r="CB613" s="387">
        <f t="shared" si="434"/>
        <v>0</v>
      </c>
      <c r="CC613" s="387">
        <f t="shared" si="416"/>
        <v>0</v>
      </c>
      <c r="CD613" s="387">
        <f t="shared" si="417"/>
        <v>0</v>
      </c>
      <c r="CE613" s="387">
        <f t="shared" si="418"/>
        <v>0</v>
      </c>
      <c r="CF613" s="387">
        <f t="shared" si="419"/>
        <v>0</v>
      </c>
      <c r="CG613" s="387">
        <f t="shared" si="420"/>
        <v>0</v>
      </c>
      <c r="CH613" s="387">
        <f t="shared" si="421"/>
        <v>0</v>
      </c>
      <c r="CI613" s="387">
        <f t="shared" si="422"/>
        <v>0</v>
      </c>
      <c r="CJ613" s="387">
        <f t="shared" si="435"/>
        <v>0</v>
      </c>
      <c r="CK613" s="387" t="str">
        <f t="shared" si="436"/>
        <v/>
      </c>
      <c r="CL613" s="387" t="str">
        <f t="shared" si="437"/>
        <v/>
      </c>
      <c r="CM613" s="387" t="str">
        <f t="shared" si="438"/>
        <v/>
      </c>
      <c r="CN613" s="387" t="str">
        <f t="shared" si="439"/>
        <v>0348-31</v>
      </c>
    </row>
    <row r="614" spans="1:92" ht="15.75" thickBot="1" x14ac:dyDescent="0.3">
      <c r="A614" s="376" t="s">
        <v>161</v>
      </c>
      <c r="B614" s="376" t="s">
        <v>162</v>
      </c>
      <c r="C614" s="376" t="s">
        <v>1901</v>
      </c>
      <c r="D614" s="376" t="s">
        <v>274</v>
      </c>
      <c r="E614" s="376" t="s">
        <v>224</v>
      </c>
      <c r="F614" s="382" t="s">
        <v>225</v>
      </c>
      <c r="G614" s="376" t="s">
        <v>781</v>
      </c>
      <c r="H614" s="378"/>
      <c r="I614" s="378"/>
      <c r="J614" s="376" t="s">
        <v>215</v>
      </c>
      <c r="K614" s="376" t="s">
        <v>275</v>
      </c>
      <c r="L614" s="376" t="s">
        <v>178</v>
      </c>
      <c r="M614" s="376" t="s">
        <v>566</v>
      </c>
      <c r="N614" s="376" t="s">
        <v>172</v>
      </c>
      <c r="O614" s="379">
        <v>0</v>
      </c>
      <c r="P614" s="385">
        <v>0</v>
      </c>
      <c r="Q614" s="385">
        <v>0</v>
      </c>
      <c r="R614" s="380">
        <v>80</v>
      </c>
      <c r="S614" s="385">
        <v>0</v>
      </c>
      <c r="T614" s="380">
        <v>7755.5</v>
      </c>
      <c r="U614" s="380">
        <v>0</v>
      </c>
      <c r="V614" s="380">
        <v>4742.0200000000004</v>
      </c>
      <c r="W614" s="380">
        <v>0</v>
      </c>
      <c r="X614" s="380">
        <v>0</v>
      </c>
      <c r="Y614" s="380">
        <v>0</v>
      </c>
      <c r="Z614" s="380">
        <v>0</v>
      </c>
      <c r="AA614" s="378"/>
      <c r="AB614" s="376" t="s">
        <v>45</v>
      </c>
      <c r="AC614" s="376" t="s">
        <v>45</v>
      </c>
      <c r="AD614" s="378"/>
      <c r="AE614" s="378"/>
      <c r="AF614" s="378"/>
      <c r="AG614" s="378"/>
      <c r="AH614" s="379">
        <v>0</v>
      </c>
      <c r="AI614" s="379">
        <v>0</v>
      </c>
      <c r="AJ614" s="378"/>
      <c r="AK614" s="378"/>
      <c r="AL614" s="376" t="s">
        <v>181</v>
      </c>
      <c r="AM614" s="378"/>
      <c r="AN614" s="378"/>
      <c r="AO614" s="379">
        <v>0</v>
      </c>
      <c r="AP614" s="385">
        <v>0</v>
      </c>
      <c r="AQ614" s="385">
        <v>0</v>
      </c>
      <c r="AR614" s="384"/>
      <c r="AS614" s="387">
        <f t="shared" si="423"/>
        <v>0</v>
      </c>
      <c r="AT614">
        <f t="shared" si="424"/>
        <v>0</v>
      </c>
      <c r="AU614" s="387" t="str">
        <f>IF(AT614=0,"",IF(AND(AT614=1,M614="F",SUMIF(C2:C1334,C614,AS2:AS1334)&lt;=1),SUMIF(C2:C1334,C614,AS2:AS1334),IF(AND(AT614=1,M614="F",SUMIF(C2:C1334,C614,AS2:AS1334)&gt;1),1,"")))</f>
        <v/>
      </c>
      <c r="AV614" s="387" t="str">
        <f>IF(AT614=0,"",IF(AND(AT614=3,M614="F",SUMIF(C2:C1334,C614,AS2:AS1334)&lt;=1),SUMIF(C2:C1334,C614,AS2:AS1334),IF(AND(AT614=3,M614="F",SUMIF(C2:C1334,C614,AS2:AS1334)&gt;1),1,"")))</f>
        <v/>
      </c>
      <c r="AW614" s="387">
        <f>SUMIF(C2:C1334,C614,O2:O1334)</f>
        <v>0</v>
      </c>
      <c r="AX614" s="387">
        <f>IF(AND(M614="F",AS614&lt;&gt;0),SUMIF(C2:C1334,C614,W2:W1334),0)</f>
        <v>0</v>
      </c>
      <c r="AY614" s="387" t="str">
        <f t="shared" si="425"/>
        <v/>
      </c>
      <c r="AZ614" s="387" t="str">
        <f t="shared" si="426"/>
        <v/>
      </c>
      <c r="BA614" s="387">
        <f t="shared" si="427"/>
        <v>0</v>
      </c>
      <c r="BB614" s="387">
        <f t="shared" si="396"/>
        <v>0</v>
      </c>
      <c r="BC614" s="387">
        <f t="shared" si="397"/>
        <v>0</v>
      </c>
      <c r="BD614" s="387">
        <f t="shared" si="398"/>
        <v>0</v>
      </c>
      <c r="BE614" s="387">
        <f t="shared" si="399"/>
        <v>0</v>
      </c>
      <c r="BF614" s="387">
        <f t="shared" si="400"/>
        <v>0</v>
      </c>
      <c r="BG614" s="387">
        <f t="shared" si="401"/>
        <v>0</v>
      </c>
      <c r="BH614" s="387">
        <f t="shared" si="402"/>
        <v>0</v>
      </c>
      <c r="BI614" s="387">
        <f t="shared" si="403"/>
        <v>0</v>
      </c>
      <c r="BJ614" s="387">
        <f t="shared" si="404"/>
        <v>0</v>
      </c>
      <c r="BK614" s="387">
        <f t="shared" si="405"/>
        <v>0</v>
      </c>
      <c r="BL614" s="387">
        <f t="shared" si="428"/>
        <v>0</v>
      </c>
      <c r="BM614" s="387">
        <f t="shared" si="429"/>
        <v>0</v>
      </c>
      <c r="BN614" s="387">
        <f t="shared" si="406"/>
        <v>0</v>
      </c>
      <c r="BO614" s="387">
        <f t="shared" si="407"/>
        <v>0</v>
      </c>
      <c r="BP614" s="387">
        <f t="shared" si="408"/>
        <v>0</v>
      </c>
      <c r="BQ614" s="387">
        <f t="shared" si="409"/>
        <v>0</v>
      </c>
      <c r="BR614" s="387">
        <f t="shared" si="410"/>
        <v>0</v>
      </c>
      <c r="BS614" s="387">
        <f t="shared" si="411"/>
        <v>0</v>
      </c>
      <c r="BT614" s="387">
        <f t="shared" si="412"/>
        <v>0</v>
      </c>
      <c r="BU614" s="387">
        <f t="shared" si="413"/>
        <v>0</v>
      </c>
      <c r="BV614" s="387">
        <f t="shared" si="414"/>
        <v>0</v>
      </c>
      <c r="BW614" s="387">
        <f t="shared" si="415"/>
        <v>0</v>
      </c>
      <c r="BX614" s="387">
        <f t="shared" si="430"/>
        <v>0</v>
      </c>
      <c r="BY614" s="387">
        <f t="shared" si="431"/>
        <v>0</v>
      </c>
      <c r="BZ614" s="387">
        <f t="shared" si="432"/>
        <v>0</v>
      </c>
      <c r="CA614" s="387">
        <f t="shared" si="433"/>
        <v>0</v>
      </c>
      <c r="CB614" s="387">
        <f t="shared" si="434"/>
        <v>0</v>
      </c>
      <c r="CC614" s="387">
        <f t="shared" si="416"/>
        <v>0</v>
      </c>
      <c r="CD614" s="387">
        <f t="shared" si="417"/>
        <v>0</v>
      </c>
      <c r="CE614" s="387">
        <f t="shared" si="418"/>
        <v>0</v>
      </c>
      <c r="CF614" s="387">
        <f t="shared" si="419"/>
        <v>0</v>
      </c>
      <c r="CG614" s="387">
        <f t="shared" si="420"/>
        <v>0</v>
      </c>
      <c r="CH614" s="387">
        <f t="shared" si="421"/>
        <v>0</v>
      </c>
      <c r="CI614" s="387">
        <f t="shared" si="422"/>
        <v>0</v>
      </c>
      <c r="CJ614" s="387">
        <f t="shared" si="435"/>
        <v>0</v>
      </c>
      <c r="CK614" s="387" t="str">
        <f t="shared" si="436"/>
        <v/>
      </c>
      <c r="CL614" s="387" t="str">
        <f t="shared" si="437"/>
        <v/>
      </c>
      <c r="CM614" s="387" t="str">
        <f t="shared" si="438"/>
        <v/>
      </c>
      <c r="CN614" s="387" t="str">
        <f t="shared" si="439"/>
        <v>0348-31</v>
      </c>
    </row>
    <row r="615" spans="1:92" ht="15.75" thickBot="1" x14ac:dyDescent="0.3">
      <c r="A615" s="376" t="s">
        <v>161</v>
      </c>
      <c r="B615" s="376" t="s">
        <v>162</v>
      </c>
      <c r="C615" s="376" t="s">
        <v>1902</v>
      </c>
      <c r="D615" s="376" t="s">
        <v>862</v>
      </c>
      <c r="E615" s="376" t="s">
        <v>224</v>
      </c>
      <c r="F615" s="382" t="s">
        <v>225</v>
      </c>
      <c r="G615" s="376" t="s">
        <v>781</v>
      </c>
      <c r="H615" s="378"/>
      <c r="I615" s="378"/>
      <c r="J615" s="376" t="s">
        <v>239</v>
      </c>
      <c r="K615" s="376" t="s">
        <v>863</v>
      </c>
      <c r="L615" s="376" t="s">
        <v>252</v>
      </c>
      <c r="M615" s="376" t="s">
        <v>171</v>
      </c>
      <c r="N615" s="376" t="s">
        <v>172</v>
      </c>
      <c r="O615" s="379">
        <v>1</v>
      </c>
      <c r="P615" s="385">
        <v>0.55000000000000004</v>
      </c>
      <c r="Q615" s="385">
        <v>0.55000000000000004</v>
      </c>
      <c r="R615" s="380">
        <v>80</v>
      </c>
      <c r="S615" s="385">
        <v>0.55000000000000004</v>
      </c>
      <c r="T615" s="380">
        <v>21928.85</v>
      </c>
      <c r="U615" s="380">
        <v>0</v>
      </c>
      <c r="V615" s="380">
        <v>11058.07</v>
      </c>
      <c r="W615" s="380">
        <v>24916.32</v>
      </c>
      <c r="X615" s="380">
        <v>11795.63</v>
      </c>
      <c r="Y615" s="380">
        <v>24916.32</v>
      </c>
      <c r="Z615" s="380">
        <v>11690.98</v>
      </c>
      <c r="AA615" s="376" t="s">
        <v>1903</v>
      </c>
      <c r="AB615" s="376" t="s">
        <v>1904</v>
      </c>
      <c r="AC615" s="376" t="s">
        <v>1905</v>
      </c>
      <c r="AD615" s="376" t="s">
        <v>324</v>
      </c>
      <c r="AE615" s="376" t="s">
        <v>863</v>
      </c>
      <c r="AF615" s="376" t="s">
        <v>393</v>
      </c>
      <c r="AG615" s="376" t="s">
        <v>178</v>
      </c>
      <c r="AH615" s="381">
        <v>21.78</v>
      </c>
      <c r="AI615" s="381">
        <v>21966.799999999999</v>
      </c>
      <c r="AJ615" s="376" t="s">
        <v>179</v>
      </c>
      <c r="AK615" s="376" t="s">
        <v>180</v>
      </c>
      <c r="AL615" s="376" t="s">
        <v>181</v>
      </c>
      <c r="AM615" s="376" t="s">
        <v>182</v>
      </c>
      <c r="AN615" s="376" t="s">
        <v>68</v>
      </c>
      <c r="AO615" s="379">
        <v>80</v>
      </c>
      <c r="AP615" s="385">
        <v>1</v>
      </c>
      <c r="AQ615" s="385">
        <v>0.55000000000000004</v>
      </c>
      <c r="AR615" s="383" t="s">
        <v>183</v>
      </c>
      <c r="AS615" s="387">
        <f t="shared" si="423"/>
        <v>0.55000000000000004</v>
      </c>
      <c r="AT615">
        <f t="shared" si="424"/>
        <v>1</v>
      </c>
      <c r="AU615" s="387">
        <f>IF(AT615=0,"",IF(AND(AT615=1,M615="F",SUMIF(C2:C1334,C615,AS2:AS1334)&lt;=1),SUMIF(C2:C1334,C615,AS2:AS1334),IF(AND(AT615=1,M615="F",SUMIF(C2:C1334,C615,AS2:AS1334)&gt;1),1,"")))</f>
        <v>1</v>
      </c>
      <c r="AV615" s="387" t="str">
        <f>IF(AT615=0,"",IF(AND(AT615=3,M615="F",SUMIF(C2:C1334,C615,AS2:AS1334)&lt;=1),SUMIF(C2:C1334,C615,AS2:AS1334),IF(AND(AT615=3,M615="F",SUMIF(C2:C1334,C615,AS2:AS1334)&gt;1),1,"")))</f>
        <v/>
      </c>
      <c r="AW615" s="387">
        <f>SUMIF(C2:C1334,C615,O2:O1334)</f>
        <v>3</v>
      </c>
      <c r="AX615" s="387">
        <f>IF(AND(M615="F",AS615&lt;&gt;0),SUMIF(C2:C1334,C615,W2:W1334),0)</f>
        <v>45302.400000000001</v>
      </c>
      <c r="AY615" s="387">
        <f t="shared" si="425"/>
        <v>24916.32</v>
      </c>
      <c r="AZ615" s="387" t="str">
        <f t="shared" si="426"/>
        <v/>
      </c>
      <c r="BA615" s="387">
        <f t="shared" si="427"/>
        <v>0</v>
      </c>
      <c r="BB615" s="387">
        <f t="shared" si="396"/>
        <v>6407.5000000000009</v>
      </c>
      <c r="BC615" s="387">
        <f t="shared" si="397"/>
        <v>0</v>
      </c>
      <c r="BD615" s="387">
        <f t="shared" si="398"/>
        <v>1544.8118400000001</v>
      </c>
      <c r="BE615" s="387">
        <f t="shared" si="399"/>
        <v>361.28664000000003</v>
      </c>
      <c r="BF615" s="387">
        <f t="shared" si="400"/>
        <v>2975.0086080000001</v>
      </c>
      <c r="BG615" s="387">
        <f t="shared" si="401"/>
        <v>179.6466672</v>
      </c>
      <c r="BH615" s="387">
        <f t="shared" si="402"/>
        <v>122.089968</v>
      </c>
      <c r="BI615" s="387">
        <f t="shared" si="403"/>
        <v>137.91183119999999</v>
      </c>
      <c r="BJ615" s="387">
        <f t="shared" si="404"/>
        <v>67.27406400000001</v>
      </c>
      <c r="BK615" s="387">
        <f t="shared" si="405"/>
        <v>0</v>
      </c>
      <c r="BL615" s="387">
        <f t="shared" si="428"/>
        <v>5388.0296184000008</v>
      </c>
      <c r="BM615" s="387">
        <f t="shared" si="429"/>
        <v>0</v>
      </c>
      <c r="BN615" s="387">
        <f t="shared" si="406"/>
        <v>6407.5000000000009</v>
      </c>
      <c r="BO615" s="387">
        <f t="shared" si="407"/>
        <v>0</v>
      </c>
      <c r="BP615" s="387">
        <f t="shared" si="408"/>
        <v>1544.8118400000001</v>
      </c>
      <c r="BQ615" s="387">
        <f t="shared" si="409"/>
        <v>361.28664000000003</v>
      </c>
      <c r="BR615" s="387">
        <f t="shared" si="410"/>
        <v>2975.0086080000001</v>
      </c>
      <c r="BS615" s="387">
        <f t="shared" si="411"/>
        <v>179.6466672</v>
      </c>
      <c r="BT615" s="387">
        <f t="shared" si="412"/>
        <v>0</v>
      </c>
      <c r="BU615" s="387">
        <f t="shared" si="413"/>
        <v>137.91183119999999</v>
      </c>
      <c r="BV615" s="387">
        <f t="shared" si="414"/>
        <v>84.715487999999993</v>
      </c>
      <c r="BW615" s="387">
        <f t="shared" si="415"/>
        <v>0</v>
      </c>
      <c r="BX615" s="387">
        <f t="shared" si="430"/>
        <v>5283.3810744000002</v>
      </c>
      <c r="BY615" s="387">
        <f t="shared" si="431"/>
        <v>0</v>
      </c>
      <c r="BZ615" s="387">
        <f t="shared" si="432"/>
        <v>0</v>
      </c>
      <c r="CA615" s="387">
        <f t="shared" si="433"/>
        <v>0</v>
      </c>
      <c r="CB615" s="387">
        <f t="shared" si="434"/>
        <v>0</v>
      </c>
      <c r="CC615" s="387">
        <f t="shared" si="416"/>
        <v>0</v>
      </c>
      <c r="CD615" s="387">
        <f t="shared" si="417"/>
        <v>0</v>
      </c>
      <c r="CE615" s="387">
        <f t="shared" si="418"/>
        <v>0</v>
      </c>
      <c r="CF615" s="387">
        <f t="shared" si="419"/>
        <v>-122.089968</v>
      </c>
      <c r="CG615" s="387">
        <f t="shared" si="420"/>
        <v>0</v>
      </c>
      <c r="CH615" s="387">
        <f t="shared" si="421"/>
        <v>17.441423999999991</v>
      </c>
      <c r="CI615" s="387">
        <f t="shared" si="422"/>
        <v>0</v>
      </c>
      <c r="CJ615" s="387">
        <f t="shared" si="435"/>
        <v>-104.64854400000002</v>
      </c>
      <c r="CK615" s="387" t="str">
        <f t="shared" si="436"/>
        <v/>
      </c>
      <c r="CL615" s="387" t="str">
        <f t="shared" si="437"/>
        <v/>
      </c>
      <c r="CM615" s="387" t="str">
        <f t="shared" si="438"/>
        <v/>
      </c>
      <c r="CN615" s="387" t="str">
        <f t="shared" si="439"/>
        <v>0348-31</v>
      </c>
    </row>
    <row r="616" spans="1:92" ht="15.75" thickBot="1" x14ac:dyDescent="0.3">
      <c r="A616" s="376" t="s">
        <v>161</v>
      </c>
      <c r="B616" s="376" t="s">
        <v>162</v>
      </c>
      <c r="C616" s="376" t="s">
        <v>1906</v>
      </c>
      <c r="D616" s="376" t="s">
        <v>862</v>
      </c>
      <c r="E616" s="376" t="s">
        <v>224</v>
      </c>
      <c r="F616" s="382" t="s">
        <v>225</v>
      </c>
      <c r="G616" s="376" t="s">
        <v>781</v>
      </c>
      <c r="H616" s="378"/>
      <c r="I616" s="378"/>
      <c r="J616" s="376" t="s">
        <v>215</v>
      </c>
      <c r="K616" s="376" t="s">
        <v>863</v>
      </c>
      <c r="L616" s="376" t="s">
        <v>252</v>
      </c>
      <c r="M616" s="376" t="s">
        <v>171</v>
      </c>
      <c r="N616" s="376" t="s">
        <v>172</v>
      </c>
      <c r="O616" s="379">
        <v>1</v>
      </c>
      <c r="P616" s="385">
        <v>0</v>
      </c>
      <c r="Q616" s="385">
        <v>0</v>
      </c>
      <c r="R616" s="380">
        <v>80</v>
      </c>
      <c r="S616" s="385">
        <v>0</v>
      </c>
      <c r="T616" s="380">
        <v>1468</v>
      </c>
      <c r="U616" s="380">
        <v>0</v>
      </c>
      <c r="V616" s="380">
        <v>793.21</v>
      </c>
      <c r="W616" s="380">
        <v>0</v>
      </c>
      <c r="X616" s="380">
        <v>0</v>
      </c>
      <c r="Y616" s="380">
        <v>0</v>
      </c>
      <c r="Z616" s="380">
        <v>0</v>
      </c>
      <c r="AA616" s="376" t="s">
        <v>1907</v>
      </c>
      <c r="AB616" s="376" t="s">
        <v>1908</v>
      </c>
      <c r="AC616" s="376" t="s">
        <v>1909</v>
      </c>
      <c r="AD616" s="376" t="s">
        <v>1910</v>
      </c>
      <c r="AE616" s="376" t="s">
        <v>863</v>
      </c>
      <c r="AF616" s="376" t="s">
        <v>393</v>
      </c>
      <c r="AG616" s="376" t="s">
        <v>178</v>
      </c>
      <c r="AH616" s="381">
        <v>19.579999999999998</v>
      </c>
      <c r="AI616" s="381">
        <v>1484.8</v>
      </c>
      <c r="AJ616" s="376" t="s">
        <v>179</v>
      </c>
      <c r="AK616" s="376" t="s">
        <v>180</v>
      </c>
      <c r="AL616" s="376" t="s">
        <v>181</v>
      </c>
      <c r="AM616" s="376" t="s">
        <v>182</v>
      </c>
      <c r="AN616" s="376" t="s">
        <v>68</v>
      </c>
      <c r="AO616" s="379">
        <v>80</v>
      </c>
      <c r="AP616" s="385">
        <v>1</v>
      </c>
      <c r="AQ616" s="385">
        <v>0</v>
      </c>
      <c r="AR616" s="383" t="s">
        <v>183</v>
      </c>
      <c r="AS616" s="387">
        <f t="shared" si="423"/>
        <v>0</v>
      </c>
      <c r="AT616">
        <f t="shared" si="424"/>
        <v>0</v>
      </c>
      <c r="AU616" s="387" t="str">
        <f>IF(AT616=0,"",IF(AND(AT616=1,M616="F",SUMIF(C2:C1334,C616,AS2:AS1334)&lt;=1),SUMIF(C2:C1334,C616,AS2:AS1334),IF(AND(AT616=1,M616="F",SUMIF(C2:C1334,C616,AS2:AS1334)&gt;1),1,"")))</f>
        <v/>
      </c>
      <c r="AV616" s="387" t="str">
        <f>IF(AT616=0,"",IF(AND(AT616=3,M616="F",SUMIF(C2:C1334,C616,AS2:AS1334)&lt;=1),SUMIF(C2:C1334,C616,AS2:AS1334),IF(AND(AT616=3,M616="F",SUMIF(C2:C1334,C616,AS2:AS1334)&gt;1),1,"")))</f>
        <v/>
      </c>
      <c r="AW616" s="387">
        <f>SUMIF(C2:C1334,C616,O2:O1334)</f>
        <v>2</v>
      </c>
      <c r="AX616" s="387">
        <f>IF(AND(M616="F",AS616&lt;&gt;0),SUMIF(C2:C1334,C616,W2:W1334),0)</f>
        <v>0</v>
      </c>
      <c r="AY616" s="387" t="str">
        <f t="shared" si="425"/>
        <v/>
      </c>
      <c r="AZ616" s="387" t="str">
        <f t="shared" si="426"/>
        <v/>
      </c>
      <c r="BA616" s="387">
        <f t="shared" si="427"/>
        <v>0</v>
      </c>
      <c r="BB616" s="387">
        <f t="shared" si="396"/>
        <v>0</v>
      </c>
      <c r="BC616" s="387">
        <f t="shared" si="397"/>
        <v>0</v>
      </c>
      <c r="BD616" s="387">
        <f t="shared" si="398"/>
        <v>0</v>
      </c>
      <c r="BE616" s="387">
        <f t="shared" si="399"/>
        <v>0</v>
      </c>
      <c r="BF616" s="387">
        <f t="shared" si="400"/>
        <v>0</v>
      </c>
      <c r="BG616" s="387">
        <f t="shared" si="401"/>
        <v>0</v>
      </c>
      <c r="BH616" s="387">
        <f t="shared" si="402"/>
        <v>0</v>
      </c>
      <c r="BI616" s="387">
        <f t="shared" si="403"/>
        <v>0</v>
      </c>
      <c r="BJ616" s="387">
        <f t="shared" si="404"/>
        <v>0</v>
      </c>
      <c r="BK616" s="387">
        <f t="shared" si="405"/>
        <v>0</v>
      </c>
      <c r="BL616" s="387">
        <f t="shared" si="428"/>
        <v>0</v>
      </c>
      <c r="BM616" s="387">
        <f t="shared" si="429"/>
        <v>0</v>
      </c>
      <c r="BN616" s="387">
        <f t="shared" si="406"/>
        <v>0</v>
      </c>
      <c r="BO616" s="387">
        <f t="shared" si="407"/>
        <v>0</v>
      </c>
      <c r="BP616" s="387">
        <f t="shared" si="408"/>
        <v>0</v>
      </c>
      <c r="BQ616" s="387">
        <f t="shared" si="409"/>
        <v>0</v>
      </c>
      <c r="BR616" s="387">
        <f t="shared" si="410"/>
        <v>0</v>
      </c>
      <c r="BS616" s="387">
        <f t="shared" si="411"/>
        <v>0</v>
      </c>
      <c r="BT616" s="387">
        <f t="shared" si="412"/>
        <v>0</v>
      </c>
      <c r="BU616" s="387">
        <f t="shared" si="413"/>
        <v>0</v>
      </c>
      <c r="BV616" s="387">
        <f t="shared" si="414"/>
        <v>0</v>
      </c>
      <c r="BW616" s="387">
        <f t="shared" si="415"/>
        <v>0</v>
      </c>
      <c r="BX616" s="387">
        <f t="shared" si="430"/>
        <v>0</v>
      </c>
      <c r="BY616" s="387">
        <f t="shared" si="431"/>
        <v>0</v>
      </c>
      <c r="BZ616" s="387">
        <f t="shared" si="432"/>
        <v>0</v>
      </c>
      <c r="CA616" s="387">
        <f t="shared" si="433"/>
        <v>0</v>
      </c>
      <c r="CB616" s="387">
        <f t="shared" si="434"/>
        <v>0</v>
      </c>
      <c r="CC616" s="387">
        <f t="shared" si="416"/>
        <v>0</v>
      </c>
      <c r="CD616" s="387">
        <f t="shared" si="417"/>
        <v>0</v>
      </c>
      <c r="CE616" s="387">
        <f t="shared" si="418"/>
        <v>0</v>
      </c>
      <c r="CF616" s="387">
        <f t="shared" si="419"/>
        <v>0</v>
      </c>
      <c r="CG616" s="387">
        <f t="shared" si="420"/>
        <v>0</v>
      </c>
      <c r="CH616" s="387">
        <f t="shared" si="421"/>
        <v>0</v>
      </c>
      <c r="CI616" s="387">
        <f t="shared" si="422"/>
        <v>0</v>
      </c>
      <c r="CJ616" s="387">
        <f t="shared" si="435"/>
        <v>0</v>
      </c>
      <c r="CK616" s="387" t="str">
        <f t="shared" si="436"/>
        <v/>
      </c>
      <c r="CL616" s="387" t="str">
        <f t="shared" si="437"/>
        <v/>
      </c>
      <c r="CM616" s="387" t="str">
        <f t="shared" si="438"/>
        <v/>
      </c>
      <c r="CN616" s="387" t="str">
        <f t="shared" si="439"/>
        <v>0348-31</v>
      </c>
    </row>
    <row r="617" spans="1:92" ht="15.75" thickBot="1" x14ac:dyDescent="0.3">
      <c r="A617" s="376" t="s">
        <v>161</v>
      </c>
      <c r="B617" s="376" t="s">
        <v>162</v>
      </c>
      <c r="C617" s="376" t="s">
        <v>1911</v>
      </c>
      <c r="D617" s="376" t="s">
        <v>868</v>
      </c>
      <c r="E617" s="376" t="s">
        <v>224</v>
      </c>
      <c r="F617" s="382" t="s">
        <v>225</v>
      </c>
      <c r="G617" s="376" t="s">
        <v>781</v>
      </c>
      <c r="H617" s="378"/>
      <c r="I617" s="378"/>
      <c r="J617" s="376" t="s">
        <v>215</v>
      </c>
      <c r="K617" s="376" t="s">
        <v>869</v>
      </c>
      <c r="L617" s="376" t="s">
        <v>296</v>
      </c>
      <c r="M617" s="376" t="s">
        <v>171</v>
      </c>
      <c r="N617" s="376" t="s">
        <v>172</v>
      </c>
      <c r="O617" s="379">
        <v>1</v>
      </c>
      <c r="P617" s="385">
        <v>0</v>
      </c>
      <c r="Q617" s="385">
        <v>0</v>
      </c>
      <c r="R617" s="380">
        <v>80</v>
      </c>
      <c r="S617" s="385">
        <v>0</v>
      </c>
      <c r="T617" s="380">
        <v>49573.93</v>
      </c>
      <c r="U617" s="380">
        <v>0</v>
      </c>
      <c r="V617" s="380">
        <v>21792.33</v>
      </c>
      <c r="W617" s="380">
        <v>0</v>
      </c>
      <c r="X617" s="380">
        <v>0</v>
      </c>
      <c r="Y617" s="380">
        <v>0</v>
      </c>
      <c r="Z617" s="380">
        <v>0</v>
      </c>
      <c r="AA617" s="376" t="s">
        <v>1912</v>
      </c>
      <c r="AB617" s="376" t="s">
        <v>1913</v>
      </c>
      <c r="AC617" s="376" t="s">
        <v>1914</v>
      </c>
      <c r="AD617" s="376" t="s">
        <v>990</v>
      </c>
      <c r="AE617" s="376" t="s">
        <v>869</v>
      </c>
      <c r="AF617" s="376" t="s">
        <v>301</v>
      </c>
      <c r="AG617" s="376" t="s">
        <v>178</v>
      </c>
      <c r="AH617" s="381">
        <v>24.53</v>
      </c>
      <c r="AI617" s="381">
        <v>11469.1</v>
      </c>
      <c r="AJ617" s="376" t="s">
        <v>179</v>
      </c>
      <c r="AK617" s="376" t="s">
        <v>180</v>
      </c>
      <c r="AL617" s="376" t="s">
        <v>181</v>
      </c>
      <c r="AM617" s="376" t="s">
        <v>182</v>
      </c>
      <c r="AN617" s="376" t="s">
        <v>68</v>
      </c>
      <c r="AO617" s="379">
        <v>80</v>
      </c>
      <c r="AP617" s="385">
        <v>1</v>
      </c>
      <c r="AQ617" s="385">
        <v>0</v>
      </c>
      <c r="AR617" s="383" t="s">
        <v>183</v>
      </c>
      <c r="AS617" s="387">
        <f t="shared" si="423"/>
        <v>0</v>
      </c>
      <c r="AT617">
        <f t="shared" si="424"/>
        <v>0</v>
      </c>
      <c r="AU617" s="387" t="str">
        <f>IF(AT617=0,"",IF(AND(AT617=1,M617="F",SUMIF(C2:C1334,C617,AS2:AS1334)&lt;=1),SUMIF(C2:C1334,C617,AS2:AS1334),IF(AND(AT617=1,M617="F",SUMIF(C2:C1334,C617,AS2:AS1334)&gt;1),1,"")))</f>
        <v/>
      </c>
      <c r="AV617" s="387" t="str">
        <f>IF(AT617=0,"",IF(AND(AT617=3,M617="F",SUMIF(C2:C1334,C617,AS2:AS1334)&lt;=1),SUMIF(C2:C1334,C617,AS2:AS1334),IF(AND(AT617=3,M617="F",SUMIF(C2:C1334,C617,AS2:AS1334)&gt;1),1,"")))</f>
        <v/>
      </c>
      <c r="AW617" s="387">
        <f>SUMIF(C2:C1334,C617,O2:O1334)</f>
        <v>2</v>
      </c>
      <c r="AX617" s="387">
        <f>IF(AND(M617="F",AS617&lt;&gt;0),SUMIF(C2:C1334,C617,W2:W1334),0)</f>
        <v>0</v>
      </c>
      <c r="AY617" s="387" t="str">
        <f t="shared" si="425"/>
        <v/>
      </c>
      <c r="AZ617" s="387" t="str">
        <f t="shared" si="426"/>
        <v/>
      </c>
      <c r="BA617" s="387">
        <f t="shared" si="427"/>
        <v>0</v>
      </c>
      <c r="BB617" s="387">
        <f t="shared" si="396"/>
        <v>0</v>
      </c>
      <c r="BC617" s="387">
        <f t="shared" si="397"/>
        <v>0</v>
      </c>
      <c r="BD617" s="387">
        <f t="shared" si="398"/>
        <v>0</v>
      </c>
      <c r="BE617" s="387">
        <f t="shared" si="399"/>
        <v>0</v>
      </c>
      <c r="BF617" s="387">
        <f t="shared" si="400"/>
        <v>0</v>
      </c>
      <c r="BG617" s="387">
        <f t="shared" si="401"/>
        <v>0</v>
      </c>
      <c r="BH617" s="387">
        <f t="shared" si="402"/>
        <v>0</v>
      </c>
      <c r="BI617" s="387">
        <f t="shared" si="403"/>
        <v>0</v>
      </c>
      <c r="BJ617" s="387">
        <f t="shared" si="404"/>
        <v>0</v>
      </c>
      <c r="BK617" s="387">
        <f t="shared" si="405"/>
        <v>0</v>
      </c>
      <c r="BL617" s="387">
        <f t="shared" si="428"/>
        <v>0</v>
      </c>
      <c r="BM617" s="387">
        <f t="shared" si="429"/>
        <v>0</v>
      </c>
      <c r="BN617" s="387">
        <f t="shared" si="406"/>
        <v>0</v>
      </c>
      <c r="BO617" s="387">
        <f t="shared" si="407"/>
        <v>0</v>
      </c>
      <c r="BP617" s="387">
        <f t="shared" si="408"/>
        <v>0</v>
      </c>
      <c r="BQ617" s="387">
        <f t="shared" si="409"/>
        <v>0</v>
      </c>
      <c r="BR617" s="387">
        <f t="shared" si="410"/>
        <v>0</v>
      </c>
      <c r="BS617" s="387">
        <f t="shared" si="411"/>
        <v>0</v>
      </c>
      <c r="BT617" s="387">
        <f t="shared" si="412"/>
        <v>0</v>
      </c>
      <c r="BU617" s="387">
        <f t="shared" si="413"/>
        <v>0</v>
      </c>
      <c r="BV617" s="387">
        <f t="shared" si="414"/>
        <v>0</v>
      </c>
      <c r="BW617" s="387">
        <f t="shared" si="415"/>
        <v>0</v>
      </c>
      <c r="BX617" s="387">
        <f t="shared" si="430"/>
        <v>0</v>
      </c>
      <c r="BY617" s="387">
        <f t="shared" si="431"/>
        <v>0</v>
      </c>
      <c r="BZ617" s="387">
        <f t="shared" si="432"/>
        <v>0</v>
      </c>
      <c r="CA617" s="387">
        <f t="shared" si="433"/>
        <v>0</v>
      </c>
      <c r="CB617" s="387">
        <f t="shared" si="434"/>
        <v>0</v>
      </c>
      <c r="CC617" s="387">
        <f t="shared" si="416"/>
        <v>0</v>
      </c>
      <c r="CD617" s="387">
        <f t="shared" si="417"/>
        <v>0</v>
      </c>
      <c r="CE617" s="387">
        <f t="shared" si="418"/>
        <v>0</v>
      </c>
      <c r="CF617" s="387">
        <f t="shared" si="419"/>
        <v>0</v>
      </c>
      <c r="CG617" s="387">
        <f t="shared" si="420"/>
        <v>0</v>
      </c>
      <c r="CH617" s="387">
        <f t="shared" si="421"/>
        <v>0</v>
      </c>
      <c r="CI617" s="387">
        <f t="shared" si="422"/>
        <v>0</v>
      </c>
      <c r="CJ617" s="387">
        <f t="shared" si="435"/>
        <v>0</v>
      </c>
      <c r="CK617" s="387" t="str">
        <f t="shared" si="436"/>
        <v/>
      </c>
      <c r="CL617" s="387" t="str">
        <f t="shared" si="437"/>
        <v/>
      </c>
      <c r="CM617" s="387" t="str">
        <f t="shared" si="438"/>
        <v/>
      </c>
      <c r="CN617" s="387" t="str">
        <f t="shared" si="439"/>
        <v>0348-31</v>
      </c>
    </row>
    <row r="618" spans="1:92" ht="15.75" thickBot="1" x14ac:dyDescent="0.3">
      <c r="A618" s="376" t="s">
        <v>161</v>
      </c>
      <c r="B618" s="376" t="s">
        <v>162</v>
      </c>
      <c r="C618" s="376" t="s">
        <v>1915</v>
      </c>
      <c r="D618" s="376" t="s">
        <v>862</v>
      </c>
      <c r="E618" s="376" t="s">
        <v>224</v>
      </c>
      <c r="F618" s="382" t="s">
        <v>225</v>
      </c>
      <c r="G618" s="376" t="s">
        <v>781</v>
      </c>
      <c r="H618" s="378"/>
      <c r="I618" s="378"/>
      <c r="J618" s="376" t="s">
        <v>168</v>
      </c>
      <c r="K618" s="376" t="s">
        <v>863</v>
      </c>
      <c r="L618" s="376" t="s">
        <v>252</v>
      </c>
      <c r="M618" s="376" t="s">
        <v>171</v>
      </c>
      <c r="N618" s="376" t="s">
        <v>172</v>
      </c>
      <c r="O618" s="379">
        <v>1</v>
      </c>
      <c r="P618" s="385">
        <v>0.85</v>
      </c>
      <c r="Q618" s="385">
        <v>0.85</v>
      </c>
      <c r="R618" s="380">
        <v>80</v>
      </c>
      <c r="S618" s="385">
        <v>0.85</v>
      </c>
      <c r="T618" s="380">
        <v>36836.57</v>
      </c>
      <c r="U618" s="380">
        <v>0</v>
      </c>
      <c r="V618" s="380">
        <v>17207.400000000001</v>
      </c>
      <c r="W618" s="380">
        <v>43139.199999999997</v>
      </c>
      <c r="X618" s="380">
        <v>19231.32</v>
      </c>
      <c r="Y618" s="380">
        <v>43139.199999999997</v>
      </c>
      <c r="Z618" s="380">
        <v>19050.13</v>
      </c>
      <c r="AA618" s="376" t="s">
        <v>1916</v>
      </c>
      <c r="AB618" s="376" t="s">
        <v>1591</v>
      </c>
      <c r="AC618" s="376" t="s">
        <v>260</v>
      </c>
      <c r="AD618" s="376" t="s">
        <v>1917</v>
      </c>
      <c r="AE618" s="376" t="s">
        <v>863</v>
      </c>
      <c r="AF618" s="376" t="s">
        <v>393</v>
      </c>
      <c r="AG618" s="376" t="s">
        <v>178</v>
      </c>
      <c r="AH618" s="381">
        <v>24.4</v>
      </c>
      <c r="AI618" s="381">
        <v>42023.199999999997</v>
      </c>
      <c r="AJ618" s="376" t="s">
        <v>179</v>
      </c>
      <c r="AK618" s="376" t="s">
        <v>180</v>
      </c>
      <c r="AL618" s="376" t="s">
        <v>181</v>
      </c>
      <c r="AM618" s="376" t="s">
        <v>182</v>
      </c>
      <c r="AN618" s="376" t="s">
        <v>68</v>
      </c>
      <c r="AO618" s="379">
        <v>80</v>
      </c>
      <c r="AP618" s="385">
        <v>1</v>
      </c>
      <c r="AQ618" s="385">
        <v>0.85</v>
      </c>
      <c r="AR618" s="383" t="s">
        <v>183</v>
      </c>
      <c r="AS618" s="387">
        <f t="shared" si="423"/>
        <v>0.85</v>
      </c>
      <c r="AT618">
        <f t="shared" si="424"/>
        <v>1</v>
      </c>
      <c r="AU618" s="387">
        <f>IF(AT618=0,"",IF(AND(AT618=1,M618="F",SUMIF(C2:C1334,C618,AS2:AS1334)&lt;=1),SUMIF(C2:C1334,C618,AS2:AS1334),IF(AND(AT618=1,M618="F",SUMIF(C2:C1334,C618,AS2:AS1334)&gt;1),1,"")))</f>
        <v>1</v>
      </c>
      <c r="AV618" s="387" t="str">
        <f>IF(AT618=0,"",IF(AND(AT618=3,M618="F",SUMIF(C2:C1334,C618,AS2:AS1334)&lt;=1),SUMIF(C2:C1334,C618,AS2:AS1334),IF(AND(AT618=3,M618="F",SUMIF(C2:C1334,C618,AS2:AS1334)&gt;1),1,"")))</f>
        <v/>
      </c>
      <c r="AW618" s="387">
        <f>SUMIF(C2:C1334,C618,O2:O1334)</f>
        <v>3</v>
      </c>
      <c r="AX618" s="387">
        <f>IF(AND(M618="F",AS618&lt;&gt;0),SUMIF(C2:C1334,C618,W2:W1334),0)</f>
        <v>50752</v>
      </c>
      <c r="AY618" s="387">
        <f t="shared" si="425"/>
        <v>43139.199999999997</v>
      </c>
      <c r="AZ618" s="387" t="str">
        <f t="shared" si="426"/>
        <v/>
      </c>
      <c r="BA618" s="387">
        <f t="shared" si="427"/>
        <v>0</v>
      </c>
      <c r="BB618" s="387">
        <f t="shared" si="396"/>
        <v>9902.5</v>
      </c>
      <c r="BC618" s="387">
        <f t="shared" si="397"/>
        <v>0</v>
      </c>
      <c r="BD618" s="387">
        <f t="shared" si="398"/>
        <v>2674.6304</v>
      </c>
      <c r="BE618" s="387">
        <f t="shared" si="399"/>
        <v>625.51840000000004</v>
      </c>
      <c r="BF618" s="387">
        <f t="shared" si="400"/>
        <v>5150.8204800000003</v>
      </c>
      <c r="BG618" s="387">
        <f t="shared" si="401"/>
        <v>311.03363200000001</v>
      </c>
      <c r="BH618" s="387">
        <f t="shared" si="402"/>
        <v>211.38207999999997</v>
      </c>
      <c r="BI618" s="387">
        <f t="shared" si="403"/>
        <v>238.77547199999998</v>
      </c>
      <c r="BJ618" s="387">
        <f t="shared" si="404"/>
        <v>116.47584000000001</v>
      </c>
      <c r="BK618" s="387">
        <f t="shared" si="405"/>
        <v>0</v>
      </c>
      <c r="BL618" s="387">
        <f t="shared" si="428"/>
        <v>9328.6363039999997</v>
      </c>
      <c r="BM618" s="387">
        <f t="shared" si="429"/>
        <v>0</v>
      </c>
      <c r="BN618" s="387">
        <f t="shared" si="406"/>
        <v>9902.5</v>
      </c>
      <c r="BO618" s="387">
        <f t="shared" si="407"/>
        <v>0</v>
      </c>
      <c r="BP618" s="387">
        <f t="shared" si="408"/>
        <v>2674.6304</v>
      </c>
      <c r="BQ618" s="387">
        <f t="shared" si="409"/>
        <v>625.51840000000004</v>
      </c>
      <c r="BR618" s="387">
        <f t="shared" si="410"/>
        <v>5150.8204800000003</v>
      </c>
      <c r="BS618" s="387">
        <f t="shared" si="411"/>
        <v>311.03363200000001</v>
      </c>
      <c r="BT618" s="387">
        <f t="shared" si="412"/>
        <v>0</v>
      </c>
      <c r="BU618" s="387">
        <f t="shared" si="413"/>
        <v>238.77547199999998</v>
      </c>
      <c r="BV618" s="387">
        <f t="shared" si="414"/>
        <v>146.67327999999998</v>
      </c>
      <c r="BW618" s="387">
        <f t="shared" si="415"/>
        <v>0</v>
      </c>
      <c r="BX618" s="387">
        <f t="shared" si="430"/>
        <v>9147.4516640000002</v>
      </c>
      <c r="BY618" s="387">
        <f t="shared" si="431"/>
        <v>0</v>
      </c>
      <c r="BZ618" s="387">
        <f t="shared" si="432"/>
        <v>0</v>
      </c>
      <c r="CA618" s="387">
        <f t="shared" si="433"/>
        <v>0</v>
      </c>
      <c r="CB618" s="387">
        <f t="shared" si="434"/>
        <v>0</v>
      </c>
      <c r="CC618" s="387">
        <f t="shared" si="416"/>
        <v>0</v>
      </c>
      <c r="CD618" s="387">
        <f t="shared" si="417"/>
        <v>0</v>
      </c>
      <c r="CE618" s="387">
        <f t="shared" si="418"/>
        <v>0</v>
      </c>
      <c r="CF618" s="387">
        <f t="shared" si="419"/>
        <v>-211.38207999999997</v>
      </c>
      <c r="CG618" s="387">
        <f t="shared" si="420"/>
        <v>0</v>
      </c>
      <c r="CH618" s="387">
        <f t="shared" si="421"/>
        <v>30.197439999999983</v>
      </c>
      <c r="CI618" s="387">
        <f t="shared" si="422"/>
        <v>0</v>
      </c>
      <c r="CJ618" s="387">
        <f t="shared" si="435"/>
        <v>-181.18464</v>
      </c>
      <c r="CK618" s="387" t="str">
        <f t="shared" si="436"/>
        <v/>
      </c>
      <c r="CL618" s="387" t="str">
        <f t="shared" si="437"/>
        <v/>
      </c>
      <c r="CM618" s="387" t="str">
        <f t="shared" si="438"/>
        <v/>
      </c>
      <c r="CN618" s="387" t="str">
        <f t="shared" si="439"/>
        <v>0348-31</v>
      </c>
    </row>
    <row r="619" spans="1:92" ht="15.75" thickBot="1" x14ac:dyDescent="0.3">
      <c r="A619" s="376" t="s">
        <v>161</v>
      </c>
      <c r="B619" s="376" t="s">
        <v>162</v>
      </c>
      <c r="C619" s="376" t="s">
        <v>442</v>
      </c>
      <c r="D619" s="376" t="s">
        <v>443</v>
      </c>
      <c r="E619" s="376" t="s">
        <v>224</v>
      </c>
      <c r="F619" s="382" t="s">
        <v>225</v>
      </c>
      <c r="G619" s="376" t="s">
        <v>781</v>
      </c>
      <c r="H619" s="378"/>
      <c r="I619" s="378"/>
      <c r="J619" s="376" t="s">
        <v>239</v>
      </c>
      <c r="K619" s="376" t="s">
        <v>444</v>
      </c>
      <c r="L619" s="376" t="s">
        <v>351</v>
      </c>
      <c r="M619" s="376" t="s">
        <v>171</v>
      </c>
      <c r="N619" s="376" t="s">
        <v>172</v>
      </c>
      <c r="O619" s="379">
        <v>2</v>
      </c>
      <c r="P619" s="385">
        <v>0</v>
      </c>
      <c r="Q619" s="385">
        <v>0</v>
      </c>
      <c r="R619" s="380">
        <v>80</v>
      </c>
      <c r="S619" s="385">
        <v>0</v>
      </c>
      <c r="T619" s="380">
        <v>112145.68</v>
      </c>
      <c r="U619" s="380">
        <v>0</v>
      </c>
      <c r="V619" s="380">
        <v>35220.449999999997</v>
      </c>
      <c r="W619" s="380">
        <v>0</v>
      </c>
      <c r="X619" s="380">
        <v>0</v>
      </c>
      <c r="Y619" s="380">
        <v>0</v>
      </c>
      <c r="Z619" s="380">
        <v>0</v>
      </c>
      <c r="AA619" s="376" t="s">
        <v>456</v>
      </c>
      <c r="AB619" s="376" t="s">
        <v>457</v>
      </c>
      <c r="AC619" s="376" t="s">
        <v>458</v>
      </c>
      <c r="AD619" s="376" t="s">
        <v>180</v>
      </c>
      <c r="AE619" s="376" t="s">
        <v>444</v>
      </c>
      <c r="AF619" s="376" t="s">
        <v>355</v>
      </c>
      <c r="AG619" s="376" t="s">
        <v>178</v>
      </c>
      <c r="AH619" s="381">
        <v>54.93</v>
      </c>
      <c r="AI619" s="381">
        <v>51351.3</v>
      </c>
      <c r="AJ619" s="376" t="s">
        <v>179</v>
      </c>
      <c r="AK619" s="376" t="s">
        <v>180</v>
      </c>
      <c r="AL619" s="376" t="s">
        <v>181</v>
      </c>
      <c r="AM619" s="376" t="s">
        <v>182</v>
      </c>
      <c r="AN619" s="376" t="s">
        <v>68</v>
      </c>
      <c r="AO619" s="379">
        <v>80</v>
      </c>
      <c r="AP619" s="385">
        <v>1</v>
      </c>
      <c r="AQ619" s="385">
        <v>0</v>
      </c>
      <c r="AR619" s="383" t="s">
        <v>183</v>
      </c>
      <c r="AS619" s="387">
        <f t="shared" si="423"/>
        <v>0</v>
      </c>
      <c r="AT619">
        <f t="shared" si="424"/>
        <v>0</v>
      </c>
      <c r="AU619" s="387" t="str">
        <f>IF(AT619=0,"",IF(AND(AT619=1,M619="F",SUMIF(C2:C1334,C619,AS2:AS1334)&lt;=1),SUMIF(C2:C1334,C619,AS2:AS1334),IF(AND(AT619=1,M619="F",SUMIF(C2:C1334,C619,AS2:AS1334)&gt;1),1,"")))</f>
        <v/>
      </c>
      <c r="AV619" s="387" t="str">
        <f>IF(AT619=0,"",IF(AND(AT619=3,M619="F",SUMIF(C2:C1334,C619,AS2:AS1334)&lt;=1),SUMIF(C2:C1334,C619,AS2:AS1334),IF(AND(AT619=3,M619="F",SUMIF(C2:C1334,C619,AS2:AS1334)&gt;1),1,"")))</f>
        <v/>
      </c>
      <c r="AW619" s="387">
        <f>SUMIF(C2:C1334,C619,O2:O1334)</f>
        <v>16</v>
      </c>
      <c r="AX619" s="387">
        <f>IF(AND(M619="F",AS619&lt;&gt;0),SUMIF(C2:C1334,C619,W2:W1334),0)</f>
        <v>0</v>
      </c>
      <c r="AY619" s="387" t="str">
        <f t="shared" si="425"/>
        <v/>
      </c>
      <c r="AZ619" s="387" t="str">
        <f t="shared" si="426"/>
        <v/>
      </c>
      <c r="BA619" s="387">
        <f t="shared" si="427"/>
        <v>0</v>
      </c>
      <c r="BB619" s="387">
        <f t="shared" si="396"/>
        <v>0</v>
      </c>
      <c r="BC619" s="387">
        <f t="shared" si="397"/>
        <v>0</v>
      </c>
      <c r="BD619" s="387">
        <f t="shared" si="398"/>
        <v>0</v>
      </c>
      <c r="BE619" s="387">
        <f t="shared" si="399"/>
        <v>0</v>
      </c>
      <c r="BF619" s="387">
        <f t="shared" si="400"/>
        <v>0</v>
      </c>
      <c r="BG619" s="387">
        <f t="shared" si="401"/>
        <v>0</v>
      </c>
      <c r="BH619" s="387">
        <f t="shared" si="402"/>
        <v>0</v>
      </c>
      <c r="BI619" s="387">
        <f t="shared" si="403"/>
        <v>0</v>
      </c>
      <c r="BJ619" s="387">
        <f t="shared" si="404"/>
        <v>0</v>
      </c>
      <c r="BK619" s="387">
        <f t="shared" si="405"/>
        <v>0</v>
      </c>
      <c r="BL619" s="387">
        <f t="shared" si="428"/>
        <v>0</v>
      </c>
      <c r="BM619" s="387">
        <f t="shared" si="429"/>
        <v>0</v>
      </c>
      <c r="BN619" s="387">
        <f t="shared" si="406"/>
        <v>0</v>
      </c>
      <c r="BO619" s="387">
        <f t="shared" si="407"/>
        <v>0</v>
      </c>
      <c r="BP619" s="387">
        <f t="shared" si="408"/>
        <v>0</v>
      </c>
      <c r="BQ619" s="387">
        <f t="shared" si="409"/>
        <v>0</v>
      </c>
      <c r="BR619" s="387">
        <f t="shared" si="410"/>
        <v>0</v>
      </c>
      <c r="BS619" s="387">
        <f t="shared" si="411"/>
        <v>0</v>
      </c>
      <c r="BT619" s="387">
        <f t="shared" si="412"/>
        <v>0</v>
      </c>
      <c r="BU619" s="387">
        <f t="shared" si="413"/>
        <v>0</v>
      </c>
      <c r="BV619" s="387">
        <f t="shared" si="414"/>
        <v>0</v>
      </c>
      <c r="BW619" s="387">
        <f t="shared" si="415"/>
        <v>0</v>
      </c>
      <c r="BX619" s="387">
        <f t="shared" si="430"/>
        <v>0</v>
      </c>
      <c r="BY619" s="387">
        <f t="shared" si="431"/>
        <v>0</v>
      </c>
      <c r="BZ619" s="387">
        <f t="shared" si="432"/>
        <v>0</v>
      </c>
      <c r="CA619" s="387">
        <f t="shared" si="433"/>
        <v>0</v>
      </c>
      <c r="CB619" s="387">
        <f t="shared" si="434"/>
        <v>0</v>
      </c>
      <c r="CC619" s="387">
        <f t="shared" si="416"/>
        <v>0</v>
      </c>
      <c r="CD619" s="387">
        <f t="shared" si="417"/>
        <v>0</v>
      </c>
      <c r="CE619" s="387">
        <f t="shared" si="418"/>
        <v>0</v>
      </c>
      <c r="CF619" s="387">
        <f t="shared" si="419"/>
        <v>0</v>
      </c>
      <c r="CG619" s="387">
        <f t="shared" si="420"/>
        <v>0</v>
      </c>
      <c r="CH619" s="387">
        <f t="shared" si="421"/>
        <v>0</v>
      </c>
      <c r="CI619" s="387">
        <f t="shared" si="422"/>
        <v>0</v>
      </c>
      <c r="CJ619" s="387">
        <f t="shared" si="435"/>
        <v>0</v>
      </c>
      <c r="CK619" s="387" t="str">
        <f t="shared" si="436"/>
        <v/>
      </c>
      <c r="CL619" s="387" t="str">
        <f t="shared" si="437"/>
        <v/>
      </c>
      <c r="CM619" s="387" t="str">
        <f t="shared" si="438"/>
        <v/>
      </c>
      <c r="CN619" s="387" t="str">
        <f t="shared" si="439"/>
        <v>0348-31</v>
      </c>
    </row>
    <row r="620" spans="1:92" ht="15.75" thickBot="1" x14ac:dyDescent="0.3">
      <c r="A620" s="376" t="s">
        <v>161</v>
      </c>
      <c r="B620" s="376" t="s">
        <v>162</v>
      </c>
      <c r="C620" s="376" t="s">
        <v>1918</v>
      </c>
      <c r="D620" s="376" t="s">
        <v>868</v>
      </c>
      <c r="E620" s="376" t="s">
        <v>224</v>
      </c>
      <c r="F620" s="382" t="s">
        <v>225</v>
      </c>
      <c r="G620" s="376" t="s">
        <v>781</v>
      </c>
      <c r="H620" s="378"/>
      <c r="I620" s="378"/>
      <c r="J620" s="376" t="s">
        <v>215</v>
      </c>
      <c r="K620" s="376" t="s">
        <v>869</v>
      </c>
      <c r="L620" s="376" t="s">
        <v>296</v>
      </c>
      <c r="M620" s="376" t="s">
        <v>171</v>
      </c>
      <c r="N620" s="376" t="s">
        <v>172</v>
      </c>
      <c r="O620" s="379">
        <v>1</v>
      </c>
      <c r="P620" s="385">
        <v>0</v>
      </c>
      <c r="Q620" s="385">
        <v>0</v>
      </c>
      <c r="R620" s="380">
        <v>80</v>
      </c>
      <c r="S620" s="385">
        <v>0</v>
      </c>
      <c r="T620" s="380">
        <v>4944</v>
      </c>
      <c r="U620" s="380">
        <v>0</v>
      </c>
      <c r="V620" s="380">
        <v>2514.3200000000002</v>
      </c>
      <c r="W620" s="380">
        <v>0</v>
      </c>
      <c r="X620" s="380">
        <v>0</v>
      </c>
      <c r="Y620" s="380">
        <v>0</v>
      </c>
      <c r="Z620" s="380">
        <v>0</v>
      </c>
      <c r="AA620" s="376" t="s">
        <v>1919</v>
      </c>
      <c r="AB620" s="376" t="s">
        <v>1920</v>
      </c>
      <c r="AC620" s="376" t="s">
        <v>1028</v>
      </c>
      <c r="AD620" s="376" t="s">
        <v>260</v>
      </c>
      <c r="AE620" s="376" t="s">
        <v>873</v>
      </c>
      <c r="AF620" s="376" t="s">
        <v>393</v>
      </c>
      <c r="AG620" s="376" t="s">
        <v>178</v>
      </c>
      <c r="AH620" s="381">
        <v>20.6</v>
      </c>
      <c r="AI620" s="379">
        <v>1440</v>
      </c>
      <c r="AJ620" s="376" t="s">
        <v>179</v>
      </c>
      <c r="AK620" s="376" t="s">
        <v>180</v>
      </c>
      <c r="AL620" s="376" t="s">
        <v>181</v>
      </c>
      <c r="AM620" s="376" t="s">
        <v>182</v>
      </c>
      <c r="AN620" s="376" t="s">
        <v>68</v>
      </c>
      <c r="AO620" s="379">
        <v>80</v>
      </c>
      <c r="AP620" s="385">
        <v>1</v>
      </c>
      <c r="AQ620" s="385">
        <v>0</v>
      </c>
      <c r="AR620" s="383">
        <v>3</v>
      </c>
      <c r="AS620" s="387">
        <f t="shared" si="423"/>
        <v>0</v>
      </c>
      <c r="AT620">
        <f t="shared" si="424"/>
        <v>0</v>
      </c>
      <c r="AU620" s="387" t="str">
        <f>IF(AT620=0,"",IF(AND(AT620=1,M620="F",SUMIF(C2:C1334,C620,AS2:AS1334)&lt;=1),SUMIF(C2:C1334,C620,AS2:AS1334),IF(AND(AT620=1,M620="F",SUMIF(C2:C1334,C620,AS2:AS1334)&gt;1),1,"")))</f>
        <v/>
      </c>
      <c r="AV620" s="387" t="str">
        <f>IF(AT620=0,"",IF(AND(AT620=3,M620="F",SUMIF(C2:C1334,C620,AS2:AS1334)&lt;=1),SUMIF(C2:C1334,C620,AS2:AS1334),IF(AND(AT620=3,M620="F",SUMIF(C2:C1334,C620,AS2:AS1334)&gt;1),1,"")))</f>
        <v/>
      </c>
      <c r="AW620" s="387">
        <f>SUMIF(C2:C1334,C620,O2:O1334)</f>
        <v>2</v>
      </c>
      <c r="AX620" s="387">
        <f>IF(AND(M620="F",AS620&lt;&gt;0),SUMIF(C2:C1334,C620,W2:W1334),0)</f>
        <v>0</v>
      </c>
      <c r="AY620" s="387" t="str">
        <f t="shared" si="425"/>
        <v/>
      </c>
      <c r="AZ620" s="387" t="str">
        <f t="shared" si="426"/>
        <v/>
      </c>
      <c r="BA620" s="387">
        <f t="shared" si="427"/>
        <v>0</v>
      </c>
      <c r="BB620" s="387">
        <f t="shared" si="396"/>
        <v>0</v>
      </c>
      <c r="BC620" s="387">
        <f t="shared" si="397"/>
        <v>0</v>
      </c>
      <c r="BD620" s="387">
        <f t="shared" si="398"/>
        <v>0</v>
      </c>
      <c r="BE620" s="387">
        <f t="shared" si="399"/>
        <v>0</v>
      </c>
      <c r="BF620" s="387">
        <f t="shared" si="400"/>
        <v>0</v>
      </c>
      <c r="BG620" s="387">
        <f t="shared" si="401"/>
        <v>0</v>
      </c>
      <c r="BH620" s="387">
        <f t="shared" si="402"/>
        <v>0</v>
      </c>
      <c r="BI620" s="387">
        <f t="shared" si="403"/>
        <v>0</v>
      </c>
      <c r="BJ620" s="387">
        <f t="shared" si="404"/>
        <v>0</v>
      </c>
      <c r="BK620" s="387">
        <f t="shared" si="405"/>
        <v>0</v>
      </c>
      <c r="BL620" s="387">
        <f t="shared" si="428"/>
        <v>0</v>
      </c>
      <c r="BM620" s="387">
        <f t="shared" si="429"/>
        <v>0</v>
      </c>
      <c r="BN620" s="387">
        <f t="shared" si="406"/>
        <v>0</v>
      </c>
      <c r="BO620" s="387">
        <f t="shared" si="407"/>
        <v>0</v>
      </c>
      <c r="BP620" s="387">
        <f t="shared" si="408"/>
        <v>0</v>
      </c>
      <c r="BQ620" s="387">
        <f t="shared" si="409"/>
        <v>0</v>
      </c>
      <c r="BR620" s="387">
        <f t="shared" si="410"/>
        <v>0</v>
      </c>
      <c r="BS620" s="387">
        <f t="shared" si="411"/>
        <v>0</v>
      </c>
      <c r="BT620" s="387">
        <f t="shared" si="412"/>
        <v>0</v>
      </c>
      <c r="BU620" s="387">
        <f t="shared" si="413"/>
        <v>0</v>
      </c>
      <c r="BV620" s="387">
        <f t="shared" si="414"/>
        <v>0</v>
      </c>
      <c r="BW620" s="387">
        <f t="shared" si="415"/>
        <v>0</v>
      </c>
      <c r="BX620" s="387">
        <f t="shared" si="430"/>
        <v>0</v>
      </c>
      <c r="BY620" s="387">
        <f t="shared" si="431"/>
        <v>0</v>
      </c>
      <c r="BZ620" s="387">
        <f t="shared" si="432"/>
        <v>0</v>
      </c>
      <c r="CA620" s="387">
        <f t="shared" si="433"/>
        <v>0</v>
      </c>
      <c r="CB620" s="387">
        <f t="shared" si="434"/>
        <v>0</v>
      </c>
      <c r="CC620" s="387">
        <f t="shared" si="416"/>
        <v>0</v>
      </c>
      <c r="CD620" s="387">
        <f t="shared" si="417"/>
        <v>0</v>
      </c>
      <c r="CE620" s="387">
        <f t="shared" si="418"/>
        <v>0</v>
      </c>
      <c r="CF620" s="387">
        <f t="shared" si="419"/>
        <v>0</v>
      </c>
      <c r="CG620" s="387">
        <f t="shared" si="420"/>
        <v>0</v>
      </c>
      <c r="CH620" s="387">
        <f t="shared" si="421"/>
        <v>0</v>
      </c>
      <c r="CI620" s="387">
        <f t="shared" si="422"/>
        <v>0</v>
      </c>
      <c r="CJ620" s="387">
        <f t="shared" si="435"/>
        <v>0</v>
      </c>
      <c r="CK620" s="387" t="str">
        <f t="shared" si="436"/>
        <v/>
      </c>
      <c r="CL620" s="387" t="str">
        <f t="shared" si="437"/>
        <v/>
      </c>
      <c r="CM620" s="387" t="str">
        <f t="shared" si="438"/>
        <v/>
      </c>
      <c r="CN620" s="387" t="str">
        <f t="shared" si="439"/>
        <v>0348-31</v>
      </c>
    </row>
    <row r="621" spans="1:92" ht="15.75" thickBot="1" x14ac:dyDescent="0.3">
      <c r="A621" s="376" t="s">
        <v>161</v>
      </c>
      <c r="B621" s="376" t="s">
        <v>162</v>
      </c>
      <c r="C621" s="376" t="s">
        <v>782</v>
      </c>
      <c r="D621" s="376" t="s">
        <v>783</v>
      </c>
      <c r="E621" s="376" t="s">
        <v>224</v>
      </c>
      <c r="F621" s="382" t="s">
        <v>225</v>
      </c>
      <c r="G621" s="376" t="s">
        <v>781</v>
      </c>
      <c r="H621" s="378"/>
      <c r="I621" s="378"/>
      <c r="J621" s="376" t="s">
        <v>239</v>
      </c>
      <c r="K621" s="376" t="s">
        <v>784</v>
      </c>
      <c r="L621" s="376" t="s">
        <v>351</v>
      </c>
      <c r="M621" s="376" t="s">
        <v>272</v>
      </c>
      <c r="N621" s="376" t="s">
        <v>172</v>
      </c>
      <c r="O621" s="379">
        <v>0</v>
      </c>
      <c r="P621" s="385">
        <v>0.5</v>
      </c>
      <c r="Q621" s="385">
        <v>0.5</v>
      </c>
      <c r="R621" s="380">
        <v>80</v>
      </c>
      <c r="S621" s="385">
        <v>0.5</v>
      </c>
      <c r="T621" s="380">
        <v>9024.2999999999993</v>
      </c>
      <c r="U621" s="380">
        <v>0</v>
      </c>
      <c r="V621" s="380">
        <v>3054.48</v>
      </c>
      <c r="W621" s="380">
        <v>39582.400000000001</v>
      </c>
      <c r="X621" s="380">
        <v>17337.09</v>
      </c>
      <c r="Y621" s="380">
        <v>39582.400000000001</v>
      </c>
      <c r="Z621" s="380">
        <v>17139.169999999998</v>
      </c>
      <c r="AA621" s="378"/>
      <c r="AB621" s="376" t="s">
        <v>45</v>
      </c>
      <c r="AC621" s="376" t="s">
        <v>45</v>
      </c>
      <c r="AD621" s="378"/>
      <c r="AE621" s="378"/>
      <c r="AF621" s="378"/>
      <c r="AG621" s="378"/>
      <c r="AH621" s="379">
        <v>0</v>
      </c>
      <c r="AI621" s="379">
        <v>0</v>
      </c>
      <c r="AJ621" s="378"/>
      <c r="AK621" s="378"/>
      <c r="AL621" s="376" t="s">
        <v>181</v>
      </c>
      <c r="AM621" s="378"/>
      <c r="AN621" s="378"/>
      <c r="AO621" s="379">
        <v>0</v>
      </c>
      <c r="AP621" s="385">
        <v>0</v>
      </c>
      <c r="AQ621" s="385">
        <v>0</v>
      </c>
      <c r="AR621" s="384"/>
      <c r="AS621" s="387">
        <f t="shared" si="423"/>
        <v>0</v>
      </c>
      <c r="AT621">
        <f t="shared" si="424"/>
        <v>0</v>
      </c>
      <c r="AU621" s="387" t="str">
        <f>IF(AT621=0,"",IF(AND(AT621=1,M621="F",SUMIF(C2:C1334,C621,AS2:AS1334)&lt;=1),SUMIF(C2:C1334,C621,AS2:AS1334),IF(AND(AT621=1,M621="F",SUMIF(C2:C1334,C621,AS2:AS1334)&gt;1),1,"")))</f>
        <v/>
      </c>
      <c r="AV621" s="387" t="str">
        <f>IF(AT621=0,"",IF(AND(AT621=3,M621="F",SUMIF(C2:C1334,C621,AS2:AS1334)&lt;=1),SUMIF(C2:C1334,C621,AS2:AS1334),IF(AND(AT621=3,M621="F",SUMIF(C2:C1334,C621,AS2:AS1334)&gt;1),1,"")))</f>
        <v/>
      </c>
      <c r="AW621" s="387">
        <f>SUMIF(C2:C1334,C621,O2:O1334)</f>
        <v>0</v>
      </c>
      <c r="AX621" s="387">
        <f>IF(AND(M621="F",AS621&lt;&gt;0),SUMIF(C2:C1334,C621,W2:W1334),0)</f>
        <v>0</v>
      </c>
      <c r="AY621" s="387" t="str">
        <f t="shared" si="425"/>
        <v/>
      </c>
      <c r="AZ621" s="387" t="str">
        <f t="shared" si="426"/>
        <v/>
      </c>
      <c r="BA621" s="387">
        <f t="shared" si="427"/>
        <v>0</v>
      </c>
      <c r="BB621" s="387">
        <f t="shared" si="396"/>
        <v>0</v>
      </c>
      <c r="BC621" s="387">
        <f t="shared" si="397"/>
        <v>0</v>
      </c>
      <c r="BD621" s="387">
        <f t="shared" si="398"/>
        <v>0</v>
      </c>
      <c r="BE621" s="387">
        <f t="shared" si="399"/>
        <v>0</v>
      </c>
      <c r="BF621" s="387">
        <f t="shared" si="400"/>
        <v>0</v>
      </c>
      <c r="BG621" s="387">
        <f t="shared" si="401"/>
        <v>0</v>
      </c>
      <c r="BH621" s="387">
        <f t="shared" si="402"/>
        <v>0</v>
      </c>
      <c r="BI621" s="387">
        <f t="shared" si="403"/>
        <v>0</v>
      </c>
      <c r="BJ621" s="387">
        <f t="shared" si="404"/>
        <v>0</v>
      </c>
      <c r="BK621" s="387">
        <f t="shared" si="405"/>
        <v>0</v>
      </c>
      <c r="BL621" s="387">
        <f t="shared" si="428"/>
        <v>0</v>
      </c>
      <c r="BM621" s="387">
        <f t="shared" si="429"/>
        <v>0</v>
      </c>
      <c r="BN621" s="387">
        <f t="shared" si="406"/>
        <v>0</v>
      </c>
      <c r="BO621" s="387">
        <f t="shared" si="407"/>
        <v>0</v>
      </c>
      <c r="BP621" s="387">
        <f t="shared" si="408"/>
        <v>0</v>
      </c>
      <c r="BQ621" s="387">
        <f t="shared" si="409"/>
        <v>0</v>
      </c>
      <c r="BR621" s="387">
        <f t="shared" si="410"/>
        <v>0</v>
      </c>
      <c r="BS621" s="387">
        <f t="shared" si="411"/>
        <v>0</v>
      </c>
      <c r="BT621" s="387">
        <f t="shared" si="412"/>
        <v>0</v>
      </c>
      <c r="BU621" s="387">
        <f t="shared" si="413"/>
        <v>0</v>
      </c>
      <c r="BV621" s="387">
        <f t="shared" si="414"/>
        <v>0</v>
      </c>
      <c r="BW621" s="387">
        <f t="shared" si="415"/>
        <v>0</v>
      </c>
      <c r="BX621" s="387">
        <f t="shared" si="430"/>
        <v>0</v>
      </c>
      <c r="BY621" s="387">
        <f t="shared" si="431"/>
        <v>0</v>
      </c>
      <c r="BZ621" s="387">
        <f t="shared" si="432"/>
        <v>0</v>
      </c>
      <c r="CA621" s="387">
        <f t="shared" si="433"/>
        <v>0</v>
      </c>
      <c r="CB621" s="387">
        <f t="shared" si="434"/>
        <v>0</v>
      </c>
      <c r="CC621" s="387">
        <f t="shared" si="416"/>
        <v>0</v>
      </c>
      <c r="CD621" s="387">
        <f t="shared" si="417"/>
        <v>0</v>
      </c>
      <c r="CE621" s="387">
        <f t="shared" si="418"/>
        <v>0</v>
      </c>
      <c r="CF621" s="387">
        <f t="shared" si="419"/>
        <v>0</v>
      </c>
      <c r="CG621" s="387">
        <f t="shared" si="420"/>
        <v>0</v>
      </c>
      <c r="CH621" s="387">
        <f t="shared" si="421"/>
        <v>0</v>
      </c>
      <c r="CI621" s="387">
        <f t="shared" si="422"/>
        <v>0</v>
      </c>
      <c r="CJ621" s="387">
        <f t="shared" si="435"/>
        <v>0</v>
      </c>
      <c r="CK621" s="387" t="str">
        <f t="shared" si="436"/>
        <v/>
      </c>
      <c r="CL621" s="387" t="str">
        <f t="shared" si="437"/>
        <v/>
      </c>
      <c r="CM621" s="387" t="str">
        <f t="shared" si="438"/>
        <v/>
      </c>
      <c r="CN621" s="387" t="str">
        <f t="shared" si="439"/>
        <v>0348-31</v>
      </c>
    </row>
    <row r="622" spans="1:92" ht="15.75" thickBot="1" x14ac:dyDescent="0.3">
      <c r="A622" s="376" t="s">
        <v>161</v>
      </c>
      <c r="B622" s="376" t="s">
        <v>162</v>
      </c>
      <c r="C622" s="376" t="s">
        <v>1921</v>
      </c>
      <c r="D622" s="376" t="s">
        <v>1922</v>
      </c>
      <c r="E622" s="376" t="s">
        <v>224</v>
      </c>
      <c r="F622" s="382" t="s">
        <v>225</v>
      </c>
      <c r="G622" s="376" t="s">
        <v>781</v>
      </c>
      <c r="H622" s="378"/>
      <c r="I622" s="378"/>
      <c r="J622" s="376" t="s">
        <v>215</v>
      </c>
      <c r="K622" s="376" t="s">
        <v>1923</v>
      </c>
      <c r="L622" s="376" t="s">
        <v>252</v>
      </c>
      <c r="M622" s="376" t="s">
        <v>171</v>
      </c>
      <c r="N622" s="376" t="s">
        <v>877</v>
      </c>
      <c r="O622" s="379">
        <v>1</v>
      </c>
      <c r="P622" s="385">
        <v>1</v>
      </c>
      <c r="Q622" s="385">
        <v>1</v>
      </c>
      <c r="R622" s="380">
        <v>80</v>
      </c>
      <c r="S622" s="385">
        <v>1</v>
      </c>
      <c r="T622" s="380">
        <v>51911.81</v>
      </c>
      <c r="U622" s="380">
        <v>303</v>
      </c>
      <c r="V622" s="380">
        <v>22460.67</v>
      </c>
      <c r="W622" s="380">
        <v>54225.599999999999</v>
      </c>
      <c r="X622" s="380">
        <v>23376.240000000002</v>
      </c>
      <c r="Y622" s="380">
        <v>54225.599999999999</v>
      </c>
      <c r="Z622" s="380">
        <v>23148.5</v>
      </c>
      <c r="AA622" s="376" t="s">
        <v>1924</v>
      </c>
      <c r="AB622" s="376" t="s">
        <v>1925</v>
      </c>
      <c r="AC622" s="376" t="s">
        <v>428</v>
      </c>
      <c r="AD622" s="376" t="s">
        <v>427</v>
      </c>
      <c r="AE622" s="376" t="s">
        <v>1923</v>
      </c>
      <c r="AF622" s="376" t="s">
        <v>393</v>
      </c>
      <c r="AG622" s="376" t="s">
        <v>178</v>
      </c>
      <c r="AH622" s="381">
        <v>26.07</v>
      </c>
      <c r="AI622" s="381">
        <v>3822.3</v>
      </c>
      <c r="AJ622" s="376" t="s">
        <v>179</v>
      </c>
      <c r="AK622" s="376" t="s">
        <v>180</v>
      </c>
      <c r="AL622" s="376" t="s">
        <v>181</v>
      </c>
      <c r="AM622" s="376" t="s">
        <v>182</v>
      </c>
      <c r="AN622" s="376" t="s">
        <v>68</v>
      </c>
      <c r="AO622" s="379">
        <v>80</v>
      </c>
      <c r="AP622" s="385">
        <v>1</v>
      </c>
      <c r="AQ622" s="385">
        <v>1</v>
      </c>
      <c r="AR622" s="383" t="s">
        <v>183</v>
      </c>
      <c r="AS622" s="387">
        <f t="shared" si="423"/>
        <v>1</v>
      </c>
      <c r="AT622">
        <f t="shared" si="424"/>
        <v>1</v>
      </c>
      <c r="AU622" s="387">
        <f>IF(AT622=0,"",IF(AND(AT622=1,M622="F",SUMIF(C2:C1334,C622,AS2:AS1334)&lt;=1),SUMIF(C2:C1334,C622,AS2:AS1334),IF(AND(AT622=1,M622="F",SUMIF(C2:C1334,C622,AS2:AS1334)&gt;1),1,"")))</f>
        <v>1</v>
      </c>
      <c r="AV622" s="387" t="str">
        <f>IF(AT622=0,"",IF(AND(AT622=3,M622="F",SUMIF(C2:C1334,C622,AS2:AS1334)&lt;=1),SUMIF(C2:C1334,C622,AS2:AS1334),IF(AND(AT622=3,M622="F",SUMIF(C2:C1334,C622,AS2:AS1334)&gt;1),1,"")))</f>
        <v/>
      </c>
      <c r="AW622" s="387">
        <f>SUMIF(C2:C1334,C622,O2:O1334)</f>
        <v>1</v>
      </c>
      <c r="AX622" s="387">
        <f>IF(AND(M622="F",AS622&lt;&gt;0),SUMIF(C2:C1334,C622,W2:W1334),0)</f>
        <v>54225.599999999999</v>
      </c>
      <c r="AY622" s="387">
        <f t="shared" si="425"/>
        <v>54225.599999999999</v>
      </c>
      <c r="AZ622" s="387" t="str">
        <f t="shared" si="426"/>
        <v/>
      </c>
      <c r="BA622" s="387">
        <f t="shared" si="427"/>
        <v>0</v>
      </c>
      <c r="BB622" s="387">
        <f t="shared" si="396"/>
        <v>11650</v>
      </c>
      <c r="BC622" s="387">
        <f t="shared" si="397"/>
        <v>0</v>
      </c>
      <c r="BD622" s="387">
        <f t="shared" si="398"/>
        <v>3361.9872</v>
      </c>
      <c r="BE622" s="387">
        <f t="shared" si="399"/>
        <v>786.27120000000002</v>
      </c>
      <c r="BF622" s="387">
        <f t="shared" si="400"/>
        <v>6474.5366400000003</v>
      </c>
      <c r="BG622" s="387">
        <f t="shared" si="401"/>
        <v>390.96657600000003</v>
      </c>
      <c r="BH622" s="387">
        <f t="shared" si="402"/>
        <v>265.70544000000001</v>
      </c>
      <c r="BI622" s="387">
        <f t="shared" si="403"/>
        <v>300.13869599999998</v>
      </c>
      <c r="BJ622" s="387">
        <f t="shared" si="404"/>
        <v>146.40912</v>
      </c>
      <c r="BK622" s="387">
        <f t="shared" si="405"/>
        <v>0</v>
      </c>
      <c r="BL622" s="387">
        <f t="shared" si="428"/>
        <v>11726.014872000002</v>
      </c>
      <c r="BM622" s="387">
        <f t="shared" si="429"/>
        <v>0</v>
      </c>
      <c r="BN622" s="387">
        <f t="shared" si="406"/>
        <v>11650</v>
      </c>
      <c r="BO622" s="387">
        <f t="shared" si="407"/>
        <v>0</v>
      </c>
      <c r="BP622" s="387">
        <f t="shared" si="408"/>
        <v>3361.9872</v>
      </c>
      <c r="BQ622" s="387">
        <f t="shared" si="409"/>
        <v>786.27120000000002</v>
      </c>
      <c r="BR622" s="387">
        <f t="shared" si="410"/>
        <v>6474.5366400000003</v>
      </c>
      <c r="BS622" s="387">
        <f t="shared" si="411"/>
        <v>390.96657600000003</v>
      </c>
      <c r="BT622" s="387">
        <f t="shared" si="412"/>
        <v>0</v>
      </c>
      <c r="BU622" s="387">
        <f t="shared" si="413"/>
        <v>300.13869599999998</v>
      </c>
      <c r="BV622" s="387">
        <f t="shared" si="414"/>
        <v>184.36703999999997</v>
      </c>
      <c r="BW622" s="387">
        <f t="shared" si="415"/>
        <v>0</v>
      </c>
      <c r="BX622" s="387">
        <f t="shared" si="430"/>
        <v>11498.267352000001</v>
      </c>
      <c r="BY622" s="387">
        <f t="shared" si="431"/>
        <v>0</v>
      </c>
      <c r="BZ622" s="387">
        <f t="shared" si="432"/>
        <v>0</v>
      </c>
      <c r="CA622" s="387">
        <f t="shared" si="433"/>
        <v>0</v>
      </c>
      <c r="CB622" s="387">
        <f t="shared" si="434"/>
        <v>0</v>
      </c>
      <c r="CC622" s="387">
        <f t="shared" si="416"/>
        <v>0</v>
      </c>
      <c r="CD622" s="387">
        <f t="shared" si="417"/>
        <v>0</v>
      </c>
      <c r="CE622" s="387">
        <f t="shared" si="418"/>
        <v>0</v>
      </c>
      <c r="CF622" s="387">
        <f t="shared" si="419"/>
        <v>-265.70544000000001</v>
      </c>
      <c r="CG622" s="387">
        <f t="shared" si="420"/>
        <v>0</v>
      </c>
      <c r="CH622" s="387">
        <f t="shared" si="421"/>
        <v>37.95791999999998</v>
      </c>
      <c r="CI622" s="387">
        <f t="shared" si="422"/>
        <v>0</v>
      </c>
      <c r="CJ622" s="387">
        <f t="shared" si="435"/>
        <v>-227.74752000000004</v>
      </c>
      <c r="CK622" s="387" t="str">
        <f t="shared" si="436"/>
        <v/>
      </c>
      <c r="CL622" s="387" t="str">
        <f t="shared" si="437"/>
        <v/>
      </c>
      <c r="CM622" s="387" t="str">
        <f t="shared" si="438"/>
        <v/>
      </c>
      <c r="CN622" s="387" t="str">
        <f t="shared" si="439"/>
        <v>0348-31</v>
      </c>
    </row>
    <row r="623" spans="1:92" ht="15.75" thickBot="1" x14ac:dyDescent="0.3">
      <c r="A623" s="376" t="s">
        <v>161</v>
      </c>
      <c r="B623" s="376" t="s">
        <v>162</v>
      </c>
      <c r="C623" s="376" t="s">
        <v>1926</v>
      </c>
      <c r="D623" s="376" t="s">
        <v>862</v>
      </c>
      <c r="E623" s="376" t="s">
        <v>224</v>
      </c>
      <c r="F623" s="382" t="s">
        <v>225</v>
      </c>
      <c r="G623" s="376" t="s">
        <v>781</v>
      </c>
      <c r="H623" s="378"/>
      <c r="I623" s="378"/>
      <c r="J623" s="376" t="s">
        <v>239</v>
      </c>
      <c r="K623" s="376" t="s">
        <v>863</v>
      </c>
      <c r="L623" s="376" t="s">
        <v>252</v>
      </c>
      <c r="M623" s="376" t="s">
        <v>171</v>
      </c>
      <c r="N623" s="376" t="s">
        <v>172</v>
      </c>
      <c r="O623" s="379">
        <v>1</v>
      </c>
      <c r="P623" s="385">
        <v>0.75</v>
      </c>
      <c r="Q623" s="385">
        <v>0.75</v>
      </c>
      <c r="R623" s="380">
        <v>80</v>
      </c>
      <c r="S623" s="385">
        <v>0.75</v>
      </c>
      <c r="T623" s="380">
        <v>28357.25</v>
      </c>
      <c r="U623" s="380">
        <v>0</v>
      </c>
      <c r="V623" s="380">
        <v>14857.75</v>
      </c>
      <c r="W623" s="380">
        <v>29499.599999999999</v>
      </c>
      <c r="X623" s="380">
        <v>15116.76</v>
      </c>
      <c r="Y623" s="380">
        <v>29499.599999999999</v>
      </c>
      <c r="Z623" s="380">
        <v>14992.86</v>
      </c>
      <c r="AA623" s="376" t="s">
        <v>1927</v>
      </c>
      <c r="AB623" s="376" t="s">
        <v>1928</v>
      </c>
      <c r="AC623" s="376" t="s">
        <v>1929</v>
      </c>
      <c r="AD623" s="376" t="s">
        <v>324</v>
      </c>
      <c r="AE623" s="376" t="s">
        <v>863</v>
      </c>
      <c r="AF623" s="376" t="s">
        <v>393</v>
      </c>
      <c r="AG623" s="376" t="s">
        <v>178</v>
      </c>
      <c r="AH623" s="381">
        <v>18.91</v>
      </c>
      <c r="AI623" s="379">
        <v>3392</v>
      </c>
      <c r="AJ623" s="376" t="s">
        <v>179</v>
      </c>
      <c r="AK623" s="376" t="s">
        <v>180</v>
      </c>
      <c r="AL623" s="376" t="s">
        <v>181</v>
      </c>
      <c r="AM623" s="376" t="s">
        <v>182</v>
      </c>
      <c r="AN623" s="376" t="s">
        <v>68</v>
      </c>
      <c r="AO623" s="379">
        <v>80</v>
      </c>
      <c r="AP623" s="385">
        <v>1</v>
      </c>
      <c r="AQ623" s="385">
        <v>0.75</v>
      </c>
      <c r="AR623" s="383" t="s">
        <v>183</v>
      </c>
      <c r="AS623" s="387">
        <f t="shared" si="423"/>
        <v>0.75</v>
      </c>
      <c r="AT623">
        <f t="shared" si="424"/>
        <v>1</v>
      </c>
      <c r="AU623" s="387">
        <f>IF(AT623=0,"",IF(AND(AT623=1,M623="F",SUMIF(C2:C1334,C623,AS2:AS1334)&lt;=1),SUMIF(C2:C1334,C623,AS2:AS1334),IF(AND(AT623=1,M623="F",SUMIF(C2:C1334,C623,AS2:AS1334)&gt;1),1,"")))</f>
        <v>1</v>
      </c>
      <c r="AV623" s="387" t="str">
        <f>IF(AT623=0,"",IF(AND(AT623=3,M623="F",SUMIF(C2:C1334,C623,AS2:AS1334)&lt;=1),SUMIF(C2:C1334,C623,AS2:AS1334),IF(AND(AT623=3,M623="F",SUMIF(C2:C1334,C623,AS2:AS1334)&gt;1),1,"")))</f>
        <v/>
      </c>
      <c r="AW623" s="387">
        <f>SUMIF(C2:C1334,C623,O2:O1334)</f>
        <v>3</v>
      </c>
      <c r="AX623" s="387">
        <f>IF(AND(M623="F",AS623&lt;&gt;0),SUMIF(C2:C1334,C623,W2:W1334),0)</f>
        <v>39332.800000000003</v>
      </c>
      <c r="AY623" s="387">
        <f t="shared" si="425"/>
        <v>29499.599999999999</v>
      </c>
      <c r="AZ623" s="387" t="str">
        <f t="shared" si="426"/>
        <v/>
      </c>
      <c r="BA623" s="387">
        <f t="shared" si="427"/>
        <v>0</v>
      </c>
      <c r="BB623" s="387">
        <f t="shared" si="396"/>
        <v>8737.5</v>
      </c>
      <c r="BC623" s="387">
        <f t="shared" si="397"/>
        <v>0</v>
      </c>
      <c r="BD623" s="387">
        <f t="shared" si="398"/>
        <v>1828.9751999999999</v>
      </c>
      <c r="BE623" s="387">
        <f t="shared" si="399"/>
        <v>427.74419999999998</v>
      </c>
      <c r="BF623" s="387">
        <f t="shared" si="400"/>
        <v>3522.2522399999998</v>
      </c>
      <c r="BG623" s="387">
        <f t="shared" si="401"/>
        <v>212.692116</v>
      </c>
      <c r="BH623" s="387">
        <f t="shared" si="402"/>
        <v>144.54803999999999</v>
      </c>
      <c r="BI623" s="387">
        <f t="shared" si="403"/>
        <v>163.28028599999999</v>
      </c>
      <c r="BJ623" s="387">
        <f t="shared" si="404"/>
        <v>79.648920000000004</v>
      </c>
      <c r="BK623" s="387">
        <f t="shared" si="405"/>
        <v>0</v>
      </c>
      <c r="BL623" s="387">
        <f t="shared" si="428"/>
        <v>6379.1410019999994</v>
      </c>
      <c r="BM623" s="387">
        <f t="shared" si="429"/>
        <v>0</v>
      </c>
      <c r="BN623" s="387">
        <f t="shared" si="406"/>
        <v>8737.5</v>
      </c>
      <c r="BO623" s="387">
        <f t="shared" si="407"/>
        <v>0</v>
      </c>
      <c r="BP623" s="387">
        <f t="shared" si="408"/>
        <v>1828.9751999999999</v>
      </c>
      <c r="BQ623" s="387">
        <f t="shared" si="409"/>
        <v>427.74419999999998</v>
      </c>
      <c r="BR623" s="387">
        <f t="shared" si="410"/>
        <v>3522.2522399999998</v>
      </c>
      <c r="BS623" s="387">
        <f t="shared" si="411"/>
        <v>212.692116</v>
      </c>
      <c r="BT623" s="387">
        <f t="shared" si="412"/>
        <v>0</v>
      </c>
      <c r="BU623" s="387">
        <f t="shared" si="413"/>
        <v>163.28028599999999</v>
      </c>
      <c r="BV623" s="387">
        <f t="shared" si="414"/>
        <v>100.29863999999999</v>
      </c>
      <c r="BW623" s="387">
        <f t="shared" si="415"/>
        <v>0</v>
      </c>
      <c r="BX623" s="387">
        <f t="shared" si="430"/>
        <v>6255.2426820000001</v>
      </c>
      <c r="BY623" s="387">
        <f t="shared" si="431"/>
        <v>0</v>
      </c>
      <c r="BZ623" s="387">
        <f t="shared" si="432"/>
        <v>0</v>
      </c>
      <c r="CA623" s="387">
        <f t="shared" si="433"/>
        <v>0</v>
      </c>
      <c r="CB623" s="387">
        <f t="shared" si="434"/>
        <v>0</v>
      </c>
      <c r="CC623" s="387">
        <f t="shared" si="416"/>
        <v>0</v>
      </c>
      <c r="CD623" s="387">
        <f t="shared" si="417"/>
        <v>0</v>
      </c>
      <c r="CE623" s="387">
        <f t="shared" si="418"/>
        <v>0</v>
      </c>
      <c r="CF623" s="387">
        <f t="shared" si="419"/>
        <v>-144.54803999999999</v>
      </c>
      <c r="CG623" s="387">
        <f t="shared" si="420"/>
        <v>0</v>
      </c>
      <c r="CH623" s="387">
        <f t="shared" si="421"/>
        <v>20.649719999999988</v>
      </c>
      <c r="CI623" s="387">
        <f t="shared" si="422"/>
        <v>0</v>
      </c>
      <c r="CJ623" s="387">
        <f t="shared" si="435"/>
        <v>-123.89832</v>
      </c>
      <c r="CK623" s="387" t="str">
        <f t="shared" si="436"/>
        <v/>
      </c>
      <c r="CL623" s="387" t="str">
        <f t="shared" si="437"/>
        <v/>
      </c>
      <c r="CM623" s="387" t="str">
        <f t="shared" si="438"/>
        <v/>
      </c>
      <c r="CN623" s="387" t="str">
        <f t="shared" si="439"/>
        <v>0348-31</v>
      </c>
    </row>
    <row r="624" spans="1:92" ht="15.75" thickBot="1" x14ac:dyDescent="0.3">
      <c r="A624" s="376" t="s">
        <v>161</v>
      </c>
      <c r="B624" s="376" t="s">
        <v>162</v>
      </c>
      <c r="C624" s="376" t="s">
        <v>544</v>
      </c>
      <c r="D624" s="376" t="s">
        <v>263</v>
      </c>
      <c r="E624" s="376" t="s">
        <v>224</v>
      </c>
      <c r="F624" s="382" t="s">
        <v>225</v>
      </c>
      <c r="G624" s="376" t="s">
        <v>781</v>
      </c>
      <c r="H624" s="378"/>
      <c r="I624" s="378"/>
      <c r="J624" s="376" t="s">
        <v>215</v>
      </c>
      <c r="K624" s="376" t="s">
        <v>264</v>
      </c>
      <c r="L624" s="376" t="s">
        <v>210</v>
      </c>
      <c r="M624" s="376" t="s">
        <v>171</v>
      </c>
      <c r="N624" s="376" t="s">
        <v>172</v>
      </c>
      <c r="O624" s="379">
        <v>1</v>
      </c>
      <c r="P624" s="385">
        <v>0</v>
      </c>
      <c r="Q624" s="385">
        <v>0</v>
      </c>
      <c r="R624" s="380">
        <v>80</v>
      </c>
      <c r="S624" s="385">
        <v>0</v>
      </c>
      <c r="T624" s="380">
        <v>61006.74</v>
      </c>
      <c r="U624" s="380">
        <v>0</v>
      </c>
      <c r="V624" s="380">
        <v>23781.13</v>
      </c>
      <c r="W624" s="380">
        <v>0</v>
      </c>
      <c r="X624" s="380">
        <v>0</v>
      </c>
      <c r="Y624" s="380">
        <v>0</v>
      </c>
      <c r="Z624" s="380">
        <v>0</v>
      </c>
      <c r="AA624" s="376" t="s">
        <v>545</v>
      </c>
      <c r="AB624" s="376" t="s">
        <v>546</v>
      </c>
      <c r="AC624" s="376" t="s">
        <v>458</v>
      </c>
      <c r="AD624" s="376" t="s">
        <v>406</v>
      </c>
      <c r="AE624" s="376" t="s">
        <v>264</v>
      </c>
      <c r="AF624" s="376" t="s">
        <v>245</v>
      </c>
      <c r="AG624" s="376" t="s">
        <v>178</v>
      </c>
      <c r="AH624" s="381">
        <v>31.31</v>
      </c>
      <c r="AI624" s="381">
        <v>46544.3</v>
      </c>
      <c r="AJ624" s="376" t="s">
        <v>179</v>
      </c>
      <c r="AK624" s="376" t="s">
        <v>180</v>
      </c>
      <c r="AL624" s="376" t="s">
        <v>181</v>
      </c>
      <c r="AM624" s="376" t="s">
        <v>182</v>
      </c>
      <c r="AN624" s="376" t="s">
        <v>68</v>
      </c>
      <c r="AO624" s="379">
        <v>80</v>
      </c>
      <c r="AP624" s="385">
        <v>1</v>
      </c>
      <c r="AQ624" s="385">
        <v>0</v>
      </c>
      <c r="AR624" s="383" t="s">
        <v>183</v>
      </c>
      <c r="AS624" s="387">
        <f t="shared" si="423"/>
        <v>0</v>
      </c>
      <c r="AT624">
        <f t="shared" si="424"/>
        <v>0</v>
      </c>
      <c r="AU624" s="387" t="str">
        <f>IF(AT624=0,"",IF(AND(AT624=1,M624="F",SUMIF(C2:C1334,C624,AS2:AS1334)&lt;=1),SUMIF(C2:C1334,C624,AS2:AS1334),IF(AND(AT624=1,M624="F",SUMIF(C2:C1334,C624,AS2:AS1334)&gt;1),1,"")))</f>
        <v/>
      </c>
      <c r="AV624" s="387" t="str">
        <f>IF(AT624=0,"",IF(AND(AT624=3,M624="F",SUMIF(C2:C1334,C624,AS2:AS1334)&lt;=1),SUMIF(C2:C1334,C624,AS2:AS1334),IF(AND(AT624=3,M624="F",SUMIF(C2:C1334,C624,AS2:AS1334)&gt;1),1,"")))</f>
        <v/>
      </c>
      <c r="AW624" s="387">
        <f>SUMIF(C2:C1334,C624,O2:O1334)</f>
        <v>4</v>
      </c>
      <c r="AX624" s="387">
        <f>IF(AND(M624="F",AS624&lt;&gt;0),SUMIF(C2:C1334,C624,W2:W1334),0)</f>
        <v>0</v>
      </c>
      <c r="AY624" s="387" t="str">
        <f t="shared" si="425"/>
        <v/>
      </c>
      <c r="AZ624" s="387" t="str">
        <f t="shared" si="426"/>
        <v/>
      </c>
      <c r="BA624" s="387">
        <f t="shared" si="427"/>
        <v>0</v>
      </c>
      <c r="BB624" s="387">
        <f t="shared" si="396"/>
        <v>0</v>
      </c>
      <c r="BC624" s="387">
        <f t="shared" si="397"/>
        <v>0</v>
      </c>
      <c r="BD624" s="387">
        <f t="shared" si="398"/>
        <v>0</v>
      </c>
      <c r="BE624" s="387">
        <f t="shared" si="399"/>
        <v>0</v>
      </c>
      <c r="BF624" s="387">
        <f t="shared" si="400"/>
        <v>0</v>
      </c>
      <c r="BG624" s="387">
        <f t="shared" si="401"/>
        <v>0</v>
      </c>
      <c r="BH624" s="387">
        <f t="shared" si="402"/>
        <v>0</v>
      </c>
      <c r="BI624" s="387">
        <f t="shared" si="403"/>
        <v>0</v>
      </c>
      <c r="BJ624" s="387">
        <f t="shared" si="404"/>
        <v>0</v>
      </c>
      <c r="BK624" s="387">
        <f t="shared" si="405"/>
        <v>0</v>
      </c>
      <c r="BL624" s="387">
        <f t="shared" si="428"/>
        <v>0</v>
      </c>
      <c r="BM624" s="387">
        <f t="shared" si="429"/>
        <v>0</v>
      </c>
      <c r="BN624" s="387">
        <f t="shared" si="406"/>
        <v>0</v>
      </c>
      <c r="BO624" s="387">
        <f t="shared" si="407"/>
        <v>0</v>
      </c>
      <c r="BP624" s="387">
        <f t="shared" si="408"/>
        <v>0</v>
      </c>
      <c r="BQ624" s="387">
        <f t="shared" si="409"/>
        <v>0</v>
      </c>
      <c r="BR624" s="387">
        <f t="shared" si="410"/>
        <v>0</v>
      </c>
      <c r="BS624" s="387">
        <f t="shared" si="411"/>
        <v>0</v>
      </c>
      <c r="BT624" s="387">
        <f t="shared" si="412"/>
        <v>0</v>
      </c>
      <c r="BU624" s="387">
        <f t="shared" si="413"/>
        <v>0</v>
      </c>
      <c r="BV624" s="387">
        <f t="shared" si="414"/>
        <v>0</v>
      </c>
      <c r="BW624" s="387">
        <f t="shared" si="415"/>
        <v>0</v>
      </c>
      <c r="BX624" s="387">
        <f t="shared" si="430"/>
        <v>0</v>
      </c>
      <c r="BY624" s="387">
        <f t="shared" si="431"/>
        <v>0</v>
      </c>
      <c r="BZ624" s="387">
        <f t="shared" si="432"/>
        <v>0</v>
      </c>
      <c r="CA624" s="387">
        <f t="shared" si="433"/>
        <v>0</v>
      </c>
      <c r="CB624" s="387">
        <f t="shared" si="434"/>
        <v>0</v>
      </c>
      <c r="CC624" s="387">
        <f t="shared" si="416"/>
        <v>0</v>
      </c>
      <c r="CD624" s="387">
        <f t="shared" si="417"/>
        <v>0</v>
      </c>
      <c r="CE624" s="387">
        <f t="shared" si="418"/>
        <v>0</v>
      </c>
      <c r="CF624" s="387">
        <f t="shared" si="419"/>
        <v>0</v>
      </c>
      <c r="CG624" s="387">
        <f t="shared" si="420"/>
        <v>0</v>
      </c>
      <c r="CH624" s="387">
        <f t="shared" si="421"/>
        <v>0</v>
      </c>
      <c r="CI624" s="387">
        <f t="shared" si="422"/>
        <v>0</v>
      </c>
      <c r="CJ624" s="387">
        <f t="shared" si="435"/>
        <v>0</v>
      </c>
      <c r="CK624" s="387" t="str">
        <f t="shared" si="436"/>
        <v/>
      </c>
      <c r="CL624" s="387" t="str">
        <f t="shared" si="437"/>
        <v/>
      </c>
      <c r="CM624" s="387" t="str">
        <f t="shared" si="438"/>
        <v/>
      </c>
      <c r="CN624" s="387" t="str">
        <f t="shared" si="439"/>
        <v>0348-31</v>
      </c>
    </row>
    <row r="625" spans="1:92" ht="15.75" thickBot="1" x14ac:dyDescent="0.3">
      <c r="A625" s="376" t="s">
        <v>161</v>
      </c>
      <c r="B625" s="376" t="s">
        <v>162</v>
      </c>
      <c r="C625" s="376" t="s">
        <v>1930</v>
      </c>
      <c r="D625" s="376" t="s">
        <v>1931</v>
      </c>
      <c r="E625" s="376" t="s">
        <v>224</v>
      </c>
      <c r="F625" s="382" t="s">
        <v>225</v>
      </c>
      <c r="G625" s="376" t="s">
        <v>781</v>
      </c>
      <c r="H625" s="378"/>
      <c r="I625" s="378"/>
      <c r="J625" s="376" t="s">
        <v>215</v>
      </c>
      <c r="K625" s="376" t="s">
        <v>1932</v>
      </c>
      <c r="L625" s="376" t="s">
        <v>166</v>
      </c>
      <c r="M625" s="376" t="s">
        <v>171</v>
      </c>
      <c r="N625" s="376" t="s">
        <v>257</v>
      </c>
      <c r="O625" s="379">
        <v>1</v>
      </c>
      <c r="P625" s="385">
        <v>0</v>
      </c>
      <c r="Q625" s="385">
        <v>0</v>
      </c>
      <c r="R625" s="380">
        <v>80</v>
      </c>
      <c r="S625" s="385">
        <v>0</v>
      </c>
      <c r="T625" s="380">
        <v>115548.88</v>
      </c>
      <c r="U625" s="380">
        <v>0</v>
      </c>
      <c r="V625" s="380">
        <v>35063.32</v>
      </c>
      <c r="W625" s="380">
        <v>0</v>
      </c>
      <c r="X625" s="380">
        <v>0</v>
      </c>
      <c r="Y625" s="380">
        <v>0</v>
      </c>
      <c r="Z625" s="380">
        <v>0</v>
      </c>
      <c r="AA625" s="376" t="s">
        <v>1933</v>
      </c>
      <c r="AB625" s="376" t="s">
        <v>1725</v>
      </c>
      <c r="AC625" s="376" t="s">
        <v>622</v>
      </c>
      <c r="AD625" s="376" t="s">
        <v>180</v>
      </c>
      <c r="AE625" s="376" t="s">
        <v>1932</v>
      </c>
      <c r="AF625" s="376" t="s">
        <v>261</v>
      </c>
      <c r="AG625" s="376" t="s">
        <v>178</v>
      </c>
      <c r="AH625" s="381">
        <v>57.87</v>
      </c>
      <c r="AI625" s="381">
        <v>62612.9</v>
      </c>
      <c r="AJ625" s="376" t="s">
        <v>179</v>
      </c>
      <c r="AK625" s="376" t="s">
        <v>180</v>
      </c>
      <c r="AL625" s="376" t="s">
        <v>181</v>
      </c>
      <c r="AM625" s="376" t="s">
        <v>182</v>
      </c>
      <c r="AN625" s="376" t="s">
        <v>68</v>
      </c>
      <c r="AO625" s="379">
        <v>80</v>
      </c>
      <c r="AP625" s="385">
        <v>1</v>
      </c>
      <c r="AQ625" s="385">
        <v>0</v>
      </c>
      <c r="AR625" s="383" t="s">
        <v>183</v>
      </c>
      <c r="AS625" s="387">
        <f t="shared" si="423"/>
        <v>0</v>
      </c>
      <c r="AT625">
        <f t="shared" si="424"/>
        <v>0</v>
      </c>
      <c r="AU625" s="387" t="str">
        <f>IF(AT625=0,"",IF(AND(AT625=1,M625="F",SUMIF(C2:C1334,C625,AS2:AS1334)&lt;=1),SUMIF(C2:C1334,C625,AS2:AS1334),IF(AND(AT625=1,M625="F",SUMIF(C2:C1334,C625,AS2:AS1334)&gt;1),1,"")))</f>
        <v/>
      </c>
      <c r="AV625" s="387" t="str">
        <f>IF(AT625=0,"",IF(AND(AT625=3,M625="F",SUMIF(C2:C1334,C625,AS2:AS1334)&lt;=1),SUMIF(C2:C1334,C625,AS2:AS1334),IF(AND(AT625=3,M625="F",SUMIF(C2:C1334,C625,AS2:AS1334)&gt;1),1,"")))</f>
        <v/>
      </c>
      <c r="AW625" s="387">
        <f>SUMIF(C2:C1334,C625,O2:O1334)</f>
        <v>2</v>
      </c>
      <c r="AX625" s="387">
        <f>IF(AND(M625="F",AS625&lt;&gt;0),SUMIF(C2:C1334,C625,W2:W1334),0)</f>
        <v>0</v>
      </c>
      <c r="AY625" s="387" t="str">
        <f t="shared" si="425"/>
        <v/>
      </c>
      <c r="AZ625" s="387" t="str">
        <f t="shared" si="426"/>
        <v/>
      </c>
      <c r="BA625" s="387">
        <f t="shared" si="427"/>
        <v>0</v>
      </c>
      <c r="BB625" s="387">
        <f t="shared" si="396"/>
        <v>0</v>
      </c>
      <c r="BC625" s="387">
        <f t="shared" si="397"/>
        <v>0</v>
      </c>
      <c r="BD625" s="387">
        <f t="shared" si="398"/>
        <v>0</v>
      </c>
      <c r="BE625" s="387">
        <f t="shared" si="399"/>
        <v>0</v>
      </c>
      <c r="BF625" s="387">
        <f t="shared" si="400"/>
        <v>0</v>
      </c>
      <c r="BG625" s="387">
        <f t="shared" si="401"/>
        <v>0</v>
      </c>
      <c r="BH625" s="387">
        <f t="shared" si="402"/>
        <v>0</v>
      </c>
      <c r="BI625" s="387">
        <f t="shared" si="403"/>
        <v>0</v>
      </c>
      <c r="BJ625" s="387">
        <f t="shared" si="404"/>
        <v>0</v>
      </c>
      <c r="BK625" s="387">
        <f t="shared" si="405"/>
        <v>0</v>
      </c>
      <c r="BL625" s="387">
        <f t="shared" si="428"/>
        <v>0</v>
      </c>
      <c r="BM625" s="387">
        <f t="shared" si="429"/>
        <v>0</v>
      </c>
      <c r="BN625" s="387">
        <f t="shared" si="406"/>
        <v>0</v>
      </c>
      <c r="BO625" s="387">
        <f t="shared" si="407"/>
        <v>0</v>
      </c>
      <c r="BP625" s="387">
        <f t="shared" si="408"/>
        <v>0</v>
      </c>
      <c r="BQ625" s="387">
        <f t="shared" si="409"/>
        <v>0</v>
      </c>
      <c r="BR625" s="387">
        <f t="shared" si="410"/>
        <v>0</v>
      </c>
      <c r="BS625" s="387">
        <f t="shared" si="411"/>
        <v>0</v>
      </c>
      <c r="BT625" s="387">
        <f t="shared" si="412"/>
        <v>0</v>
      </c>
      <c r="BU625" s="387">
        <f t="shared" si="413"/>
        <v>0</v>
      </c>
      <c r="BV625" s="387">
        <f t="shared" si="414"/>
        <v>0</v>
      </c>
      <c r="BW625" s="387">
        <f t="shared" si="415"/>
        <v>0</v>
      </c>
      <c r="BX625" s="387">
        <f t="shared" si="430"/>
        <v>0</v>
      </c>
      <c r="BY625" s="387">
        <f t="shared" si="431"/>
        <v>0</v>
      </c>
      <c r="BZ625" s="387">
        <f t="shared" si="432"/>
        <v>0</v>
      </c>
      <c r="CA625" s="387">
        <f t="shared" si="433"/>
        <v>0</v>
      </c>
      <c r="CB625" s="387">
        <f t="shared" si="434"/>
        <v>0</v>
      </c>
      <c r="CC625" s="387">
        <f t="shared" si="416"/>
        <v>0</v>
      </c>
      <c r="CD625" s="387">
        <f t="shared" si="417"/>
        <v>0</v>
      </c>
      <c r="CE625" s="387">
        <f t="shared" si="418"/>
        <v>0</v>
      </c>
      <c r="CF625" s="387">
        <f t="shared" si="419"/>
        <v>0</v>
      </c>
      <c r="CG625" s="387">
        <f t="shared" si="420"/>
        <v>0</v>
      </c>
      <c r="CH625" s="387">
        <f t="shared" si="421"/>
        <v>0</v>
      </c>
      <c r="CI625" s="387">
        <f t="shared" si="422"/>
        <v>0</v>
      </c>
      <c r="CJ625" s="387">
        <f t="shared" si="435"/>
        <v>0</v>
      </c>
      <c r="CK625" s="387" t="str">
        <f t="shared" si="436"/>
        <v/>
      </c>
      <c r="CL625" s="387" t="str">
        <f t="shared" si="437"/>
        <v/>
      </c>
      <c r="CM625" s="387" t="str">
        <f t="shared" si="438"/>
        <v/>
      </c>
      <c r="CN625" s="387" t="str">
        <f t="shared" si="439"/>
        <v>0348-31</v>
      </c>
    </row>
    <row r="626" spans="1:92" ht="15.75" thickBot="1" x14ac:dyDescent="0.3">
      <c r="A626" s="376" t="s">
        <v>161</v>
      </c>
      <c r="B626" s="376" t="s">
        <v>162</v>
      </c>
      <c r="C626" s="376" t="s">
        <v>1934</v>
      </c>
      <c r="D626" s="376" t="s">
        <v>862</v>
      </c>
      <c r="E626" s="376" t="s">
        <v>224</v>
      </c>
      <c r="F626" s="382" t="s">
        <v>225</v>
      </c>
      <c r="G626" s="376" t="s">
        <v>781</v>
      </c>
      <c r="H626" s="378"/>
      <c r="I626" s="378"/>
      <c r="J626" s="376" t="s">
        <v>239</v>
      </c>
      <c r="K626" s="376" t="s">
        <v>863</v>
      </c>
      <c r="L626" s="376" t="s">
        <v>252</v>
      </c>
      <c r="M626" s="376" t="s">
        <v>171</v>
      </c>
      <c r="N626" s="376" t="s">
        <v>172</v>
      </c>
      <c r="O626" s="379">
        <v>1</v>
      </c>
      <c r="P626" s="385">
        <v>1</v>
      </c>
      <c r="Q626" s="385">
        <v>1</v>
      </c>
      <c r="R626" s="380">
        <v>80</v>
      </c>
      <c r="S626" s="385">
        <v>1</v>
      </c>
      <c r="T626" s="380">
        <v>37842.99</v>
      </c>
      <c r="U626" s="380">
        <v>0</v>
      </c>
      <c r="V626" s="380">
        <v>19377.2</v>
      </c>
      <c r="W626" s="380">
        <v>44241.599999999999</v>
      </c>
      <c r="X626" s="380">
        <v>21217.200000000001</v>
      </c>
      <c r="Y626" s="380">
        <v>44241.599999999999</v>
      </c>
      <c r="Z626" s="380">
        <v>21031.4</v>
      </c>
      <c r="AA626" s="376" t="s">
        <v>1935</v>
      </c>
      <c r="AB626" s="376" t="s">
        <v>1936</v>
      </c>
      <c r="AC626" s="376" t="s">
        <v>1937</v>
      </c>
      <c r="AD626" s="376" t="s">
        <v>278</v>
      </c>
      <c r="AE626" s="376" t="s">
        <v>863</v>
      </c>
      <c r="AF626" s="376" t="s">
        <v>393</v>
      </c>
      <c r="AG626" s="376" t="s">
        <v>178</v>
      </c>
      <c r="AH626" s="381">
        <v>21.27</v>
      </c>
      <c r="AI626" s="381">
        <v>17831.900000000001</v>
      </c>
      <c r="AJ626" s="376" t="s">
        <v>179</v>
      </c>
      <c r="AK626" s="376" t="s">
        <v>180</v>
      </c>
      <c r="AL626" s="376" t="s">
        <v>181</v>
      </c>
      <c r="AM626" s="376" t="s">
        <v>182</v>
      </c>
      <c r="AN626" s="376" t="s">
        <v>68</v>
      </c>
      <c r="AO626" s="379">
        <v>80</v>
      </c>
      <c r="AP626" s="385">
        <v>1</v>
      </c>
      <c r="AQ626" s="385">
        <v>1</v>
      </c>
      <c r="AR626" s="383" t="s">
        <v>183</v>
      </c>
      <c r="AS626" s="387">
        <f t="shared" si="423"/>
        <v>1</v>
      </c>
      <c r="AT626">
        <f t="shared" si="424"/>
        <v>1</v>
      </c>
      <c r="AU626" s="387">
        <f>IF(AT626=0,"",IF(AND(AT626=1,M626="F",SUMIF(C2:C1334,C626,AS2:AS1334)&lt;=1),SUMIF(C2:C1334,C626,AS2:AS1334),IF(AND(AT626=1,M626="F",SUMIF(C2:C1334,C626,AS2:AS1334)&gt;1),1,"")))</f>
        <v>1</v>
      </c>
      <c r="AV626" s="387" t="str">
        <f>IF(AT626=0,"",IF(AND(AT626=3,M626="F",SUMIF(C2:C1334,C626,AS2:AS1334)&lt;=1),SUMIF(C2:C1334,C626,AS2:AS1334),IF(AND(AT626=3,M626="F",SUMIF(C2:C1334,C626,AS2:AS1334)&gt;1),1,"")))</f>
        <v/>
      </c>
      <c r="AW626" s="387">
        <f>SUMIF(C2:C1334,C626,O2:O1334)</f>
        <v>2</v>
      </c>
      <c r="AX626" s="387">
        <f>IF(AND(M626="F",AS626&lt;&gt;0),SUMIF(C2:C1334,C626,W2:W1334),0)</f>
        <v>44241.599999999999</v>
      </c>
      <c r="AY626" s="387">
        <f t="shared" si="425"/>
        <v>44241.599999999999</v>
      </c>
      <c r="AZ626" s="387" t="str">
        <f t="shared" si="426"/>
        <v/>
      </c>
      <c r="BA626" s="387">
        <f t="shared" si="427"/>
        <v>0</v>
      </c>
      <c r="BB626" s="387">
        <f t="shared" si="396"/>
        <v>11650</v>
      </c>
      <c r="BC626" s="387">
        <f t="shared" si="397"/>
        <v>0</v>
      </c>
      <c r="BD626" s="387">
        <f t="shared" si="398"/>
        <v>2742.9791999999998</v>
      </c>
      <c r="BE626" s="387">
        <f t="shared" si="399"/>
        <v>641.50319999999999</v>
      </c>
      <c r="BF626" s="387">
        <f t="shared" si="400"/>
        <v>5282.44704</v>
      </c>
      <c r="BG626" s="387">
        <f t="shared" si="401"/>
        <v>318.98193600000002</v>
      </c>
      <c r="BH626" s="387">
        <f t="shared" si="402"/>
        <v>216.78384</v>
      </c>
      <c r="BI626" s="387">
        <f t="shared" si="403"/>
        <v>244.87725599999999</v>
      </c>
      <c r="BJ626" s="387">
        <f t="shared" si="404"/>
        <v>119.45232</v>
      </c>
      <c r="BK626" s="387">
        <f t="shared" si="405"/>
        <v>0</v>
      </c>
      <c r="BL626" s="387">
        <f t="shared" si="428"/>
        <v>9567.0247920000002</v>
      </c>
      <c r="BM626" s="387">
        <f t="shared" si="429"/>
        <v>0</v>
      </c>
      <c r="BN626" s="387">
        <f t="shared" si="406"/>
        <v>11650</v>
      </c>
      <c r="BO626" s="387">
        <f t="shared" si="407"/>
        <v>0</v>
      </c>
      <c r="BP626" s="387">
        <f t="shared" si="408"/>
        <v>2742.9791999999998</v>
      </c>
      <c r="BQ626" s="387">
        <f t="shared" si="409"/>
        <v>641.50319999999999</v>
      </c>
      <c r="BR626" s="387">
        <f t="shared" si="410"/>
        <v>5282.44704</v>
      </c>
      <c r="BS626" s="387">
        <f t="shared" si="411"/>
        <v>318.98193600000002</v>
      </c>
      <c r="BT626" s="387">
        <f t="shared" si="412"/>
        <v>0</v>
      </c>
      <c r="BU626" s="387">
        <f t="shared" si="413"/>
        <v>244.87725599999999</v>
      </c>
      <c r="BV626" s="387">
        <f t="shared" si="414"/>
        <v>150.42143999999999</v>
      </c>
      <c r="BW626" s="387">
        <f t="shared" si="415"/>
        <v>0</v>
      </c>
      <c r="BX626" s="387">
        <f t="shared" si="430"/>
        <v>9381.2100719999999</v>
      </c>
      <c r="BY626" s="387">
        <f t="shared" si="431"/>
        <v>0</v>
      </c>
      <c r="BZ626" s="387">
        <f t="shared" si="432"/>
        <v>0</v>
      </c>
      <c r="CA626" s="387">
        <f t="shared" si="433"/>
        <v>0</v>
      </c>
      <c r="CB626" s="387">
        <f t="shared" si="434"/>
        <v>0</v>
      </c>
      <c r="CC626" s="387">
        <f t="shared" si="416"/>
        <v>0</v>
      </c>
      <c r="CD626" s="387">
        <f t="shared" si="417"/>
        <v>0</v>
      </c>
      <c r="CE626" s="387">
        <f t="shared" si="418"/>
        <v>0</v>
      </c>
      <c r="CF626" s="387">
        <f t="shared" si="419"/>
        <v>-216.78384</v>
      </c>
      <c r="CG626" s="387">
        <f t="shared" si="420"/>
        <v>0</v>
      </c>
      <c r="CH626" s="387">
        <f t="shared" si="421"/>
        <v>30.969119999999986</v>
      </c>
      <c r="CI626" s="387">
        <f t="shared" si="422"/>
        <v>0</v>
      </c>
      <c r="CJ626" s="387">
        <f t="shared" si="435"/>
        <v>-185.81472000000002</v>
      </c>
      <c r="CK626" s="387" t="str">
        <f t="shared" si="436"/>
        <v/>
      </c>
      <c r="CL626" s="387" t="str">
        <f t="shared" si="437"/>
        <v/>
      </c>
      <c r="CM626" s="387" t="str">
        <f t="shared" si="438"/>
        <v/>
      </c>
      <c r="CN626" s="387" t="str">
        <f t="shared" si="439"/>
        <v>0348-31</v>
      </c>
    </row>
    <row r="627" spans="1:92" ht="15.75" thickBot="1" x14ac:dyDescent="0.3">
      <c r="A627" s="376" t="s">
        <v>161</v>
      </c>
      <c r="B627" s="376" t="s">
        <v>162</v>
      </c>
      <c r="C627" s="376" t="s">
        <v>649</v>
      </c>
      <c r="D627" s="376" t="s">
        <v>625</v>
      </c>
      <c r="E627" s="376" t="s">
        <v>224</v>
      </c>
      <c r="F627" s="382" t="s">
        <v>225</v>
      </c>
      <c r="G627" s="376" t="s">
        <v>781</v>
      </c>
      <c r="H627" s="378"/>
      <c r="I627" s="378"/>
      <c r="J627" s="376" t="s">
        <v>215</v>
      </c>
      <c r="K627" s="376" t="s">
        <v>626</v>
      </c>
      <c r="L627" s="376" t="s">
        <v>217</v>
      </c>
      <c r="M627" s="376" t="s">
        <v>171</v>
      </c>
      <c r="N627" s="376" t="s">
        <v>172</v>
      </c>
      <c r="O627" s="379">
        <v>1</v>
      </c>
      <c r="P627" s="385">
        <v>0</v>
      </c>
      <c r="Q627" s="385">
        <v>0</v>
      </c>
      <c r="R627" s="380">
        <v>80</v>
      </c>
      <c r="S627" s="385">
        <v>0</v>
      </c>
      <c r="T627" s="380">
        <v>42332.05</v>
      </c>
      <c r="U627" s="380">
        <v>0</v>
      </c>
      <c r="V627" s="380">
        <v>20563.34</v>
      </c>
      <c r="W627" s="380">
        <v>0</v>
      </c>
      <c r="X627" s="380">
        <v>0</v>
      </c>
      <c r="Y627" s="380">
        <v>0</v>
      </c>
      <c r="Z627" s="380">
        <v>0</v>
      </c>
      <c r="AA627" s="376" t="s">
        <v>650</v>
      </c>
      <c r="AB627" s="376" t="s">
        <v>651</v>
      </c>
      <c r="AC627" s="376" t="s">
        <v>652</v>
      </c>
      <c r="AD627" s="376" t="s">
        <v>653</v>
      </c>
      <c r="AE627" s="376" t="s">
        <v>626</v>
      </c>
      <c r="AF627" s="376" t="s">
        <v>221</v>
      </c>
      <c r="AG627" s="376" t="s">
        <v>178</v>
      </c>
      <c r="AH627" s="381">
        <v>20.98</v>
      </c>
      <c r="AI627" s="381">
        <v>34506.199999999997</v>
      </c>
      <c r="AJ627" s="376" t="s">
        <v>179</v>
      </c>
      <c r="AK627" s="376" t="s">
        <v>180</v>
      </c>
      <c r="AL627" s="376" t="s">
        <v>181</v>
      </c>
      <c r="AM627" s="376" t="s">
        <v>182</v>
      </c>
      <c r="AN627" s="376" t="s">
        <v>68</v>
      </c>
      <c r="AO627" s="379">
        <v>80</v>
      </c>
      <c r="AP627" s="385">
        <v>1</v>
      </c>
      <c r="AQ627" s="385">
        <v>0</v>
      </c>
      <c r="AR627" s="383" t="s">
        <v>183</v>
      </c>
      <c r="AS627" s="387">
        <f t="shared" si="423"/>
        <v>0</v>
      </c>
      <c r="AT627">
        <f t="shared" si="424"/>
        <v>0</v>
      </c>
      <c r="AU627" s="387" t="str">
        <f>IF(AT627=0,"",IF(AND(AT627=1,M627="F",SUMIF(C2:C1334,C627,AS2:AS1334)&lt;=1),SUMIF(C2:C1334,C627,AS2:AS1334),IF(AND(AT627=1,M627="F",SUMIF(C2:C1334,C627,AS2:AS1334)&gt;1),1,"")))</f>
        <v/>
      </c>
      <c r="AV627" s="387" t="str">
        <f>IF(AT627=0,"",IF(AND(AT627=3,M627="F",SUMIF(C2:C1334,C627,AS2:AS1334)&lt;=1),SUMIF(C2:C1334,C627,AS2:AS1334),IF(AND(AT627=3,M627="F",SUMIF(C2:C1334,C627,AS2:AS1334)&gt;1),1,"")))</f>
        <v/>
      </c>
      <c r="AW627" s="387">
        <f>SUMIF(C2:C1334,C627,O2:O1334)</f>
        <v>2</v>
      </c>
      <c r="AX627" s="387">
        <f>IF(AND(M627="F",AS627&lt;&gt;0),SUMIF(C2:C1334,C627,W2:W1334),0)</f>
        <v>0</v>
      </c>
      <c r="AY627" s="387" t="str">
        <f t="shared" si="425"/>
        <v/>
      </c>
      <c r="AZ627" s="387" t="str">
        <f t="shared" si="426"/>
        <v/>
      </c>
      <c r="BA627" s="387">
        <f t="shared" si="427"/>
        <v>0</v>
      </c>
      <c r="BB627" s="387">
        <f t="shared" si="396"/>
        <v>0</v>
      </c>
      <c r="BC627" s="387">
        <f t="shared" si="397"/>
        <v>0</v>
      </c>
      <c r="BD627" s="387">
        <f t="shared" si="398"/>
        <v>0</v>
      </c>
      <c r="BE627" s="387">
        <f t="shared" si="399"/>
        <v>0</v>
      </c>
      <c r="BF627" s="387">
        <f t="shared" si="400"/>
        <v>0</v>
      </c>
      <c r="BG627" s="387">
        <f t="shared" si="401"/>
        <v>0</v>
      </c>
      <c r="BH627" s="387">
        <f t="shared" si="402"/>
        <v>0</v>
      </c>
      <c r="BI627" s="387">
        <f t="shared" si="403"/>
        <v>0</v>
      </c>
      <c r="BJ627" s="387">
        <f t="shared" si="404"/>
        <v>0</v>
      </c>
      <c r="BK627" s="387">
        <f t="shared" si="405"/>
        <v>0</v>
      </c>
      <c r="BL627" s="387">
        <f t="shared" si="428"/>
        <v>0</v>
      </c>
      <c r="BM627" s="387">
        <f t="shared" si="429"/>
        <v>0</v>
      </c>
      <c r="BN627" s="387">
        <f t="shared" si="406"/>
        <v>0</v>
      </c>
      <c r="BO627" s="387">
        <f t="shared" si="407"/>
        <v>0</v>
      </c>
      <c r="BP627" s="387">
        <f t="shared" si="408"/>
        <v>0</v>
      </c>
      <c r="BQ627" s="387">
        <f t="shared" si="409"/>
        <v>0</v>
      </c>
      <c r="BR627" s="387">
        <f t="shared" si="410"/>
        <v>0</v>
      </c>
      <c r="BS627" s="387">
        <f t="shared" si="411"/>
        <v>0</v>
      </c>
      <c r="BT627" s="387">
        <f t="shared" si="412"/>
        <v>0</v>
      </c>
      <c r="BU627" s="387">
        <f t="shared" si="413"/>
        <v>0</v>
      </c>
      <c r="BV627" s="387">
        <f t="shared" si="414"/>
        <v>0</v>
      </c>
      <c r="BW627" s="387">
        <f t="shared" si="415"/>
        <v>0</v>
      </c>
      <c r="BX627" s="387">
        <f t="shared" si="430"/>
        <v>0</v>
      </c>
      <c r="BY627" s="387">
        <f t="shared" si="431"/>
        <v>0</v>
      </c>
      <c r="BZ627" s="387">
        <f t="shared" si="432"/>
        <v>0</v>
      </c>
      <c r="CA627" s="387">
        <f t="shared" si="433"/>
        <v>0</v>
      </c>
      <c r="CB627" s="387">
        <f t="shared" si="434"/>
        <v>0</v>
      </c>
      <c r="CC627" s="387">
        <f t="shared" si="416"/>
        <v>0</v>
      </c>
      <c r="CD627" s="387">
        <f t="shared" si="417"/>
        <v>0</v>
      </c>
      <c r="CE627" s="387">
        <f t="shared" si="418"/>
        <v>0</v>
      </c>
      <c r="CF627" s="387">
        <f t="shared" si="419"/>
        <v>0</v>
      </c>
      <c r="CG627" s="387">
        <f t="shared" si="420"/>
        <v>0</v>
      </c>
      <c r="CH627" s="387">
        <f t="shared" si="421"/>
        <v>0</v>
      </c>
      <c r="CI627" s="387">
        <f t="shared" si="422"/>
        <v>0</v>
      </c>
      <c r="CJ627" s="387">
        <f t="shared" si="435"/>
        <v>0</v>
      </c>
      <c r="CK627" s="387" t="str">
        <f t="shared" si="436"/>
        <v/>
      </c>
      <c r="CL627" s="387" t="str">
        <f t="shared" si="437"/>
        <v/>
      </c>
      <c r="CM627" s="387" t="str">
        <f t="shared" si="438"/>
        <v/>
      </c>
      <c r="CN627" s="387" t="str">
        <f t="shared" si="439"/>
        <v>0348-31</v>
      </c>
    </row>
    <row r="628" spans="1:92" ht="15.75" thickBot="1" x14ac:dyDescent="0.3">
      <c r="A628" s="376" t="s">
        <v>161</v>
      </c>
      <c r="B628" s="376" t="s">
        <v>162</v>
      </c>
      <c r="C628" s="376" t="s">
        <v>841</v>
      </c>
      <c r="D628" s="376" t="s">
        <v>792</v>
      </c>
      <c r="E628" s="376" t="s">
        <v>224</v>
      </c>
      <c r="F628" s="382" t="s">
        <v>225</v>
      </c>
      <c r="G628" s="376" t="s">
        <v>781</v>
      </c>
      <c r="H628" s="378"/>
      <c r="I628" s="378"/>
      <c r="J628" s="376" t="s">
        <v>239</v>
      </c>
      <c r="K628" s="376" t="s">
        <v>793</v>
      </c>
      <c r="L628" s="376" t="s">
        <v>170</v>
      </c>
      <c r="M628" s="376" t="s">
        <v>171</v>
      </c>
      <c r="N628" s="376" t="s">
        <v>172</v>
      </c>
      <c r="O628" s="379">
        <v>1</v>
      </c>
      <c r="P628" s="385">
        <v>1</v>
      </c>
      <c r="Q628" s="385">
        <v>1</v>
      </c>
      <c r="R628" s="380">
        <v>80</v>
      </c>
      <c r="S628" s="385">
        <v>1</v>
      </c>
      <c r="T628" s="380">
        <v>31294.13</v>
      </c>
      <c r="U628" s="380">
        <v>0</v>
      </c>
      <c r="V628" s="380">
        <v>14749.98</v>
      </c>
      <c r="W628" s="380">
        <v>49025.599999999999</v>
      </c>
      <c r="X628" s="380">
        <v>22251.74</v>
      </c>
      <c r="Y628" s="380">
        <v>49025.599999999999</v>
      </c>
      <c r="Z628" s="380">
        <v>22045.84</v>
      </c>
      <c r="AA628" s="376" t="s">
        <v>842</v>
      </c>
      <c r="AB628" s="376" t="s">
        <v>843</v>
      </c>
      <c r="AC628" s="376" t="s">
        <v>236</v>
      </c>
      <c r="AD628" s="376" t="s">
        <v>324</v>
      </c>
      <c r="AE628" s="376" t="s">
        <v>793</v>
      </c>
      <c r="AF628" s="376" t="s">
        <v>177</v>
      </c>
      <c r="AG628" s="376" t="s">
        <v>178</v>
      </c>
      <c r="AH628" s="381">
        <v>23.57</v>
      </c>
      <c r="AI628" s="381">
        <v>17414.5</v>
      </c>
      <c r="AJ628" s="376" t="s">
        <v>179</v>
      </c>
      <c r="AK628" s="376" t="s">
        <v>180</v>
      </c>
      <c r="AL628" s="376" t="s">
        <v>181</v>
      </c>
      <c r="AM628" s="376" t="s">
        <v>182</v>
      </c>
      <c r="AN628" s="376" t="s">
        <v>68</v>
      </c>
      <c r="AO628" s="379">
        <v>80</v>
      </c>
      <c r="AP628" s="385">
        <v>1</v>
      </c>
      <c r="AQ628" s="385">
        <v>1</v>
      </c>
      <c r="AR628" s="383" t="s">
        <v>183</v>
      </c>
      <c r="AS628" s="387">
        <f t="shared" si="423"/>
        <v>1</v>
      </c>
      <c r="AT628">
        <f t="shared" si="424"/>
        <v>1</v>
      </c>
      <c r="AU628" s="387">
        <f>IF(AT628=0,"",IF(AND(AT628=1,M628="F",SUMIF(C2:C1334,C628,AS2:AS1334)&lt;=1),SUMIF(C2:C1334,C628,AS2:AS1334),IF(AND(AT628=1,M628="F",SUMIF(C2:C1334,C628,AS2:AS1334)&gt;1),1,"")))</f>
        <v>1</v>
      </c>
      <c r="AV628" s="387" t="str">
        <f>IF(AT628=0,"",IF(AND(AT628=3,M628="F",SUMIF(C2:C1334,C628,AS2:AS1334)&lt;=1),SUMIF(C2:C1334,C628,AS2:AS1334),IF(AND(AT628=3,M628="F",SUMIF(C2:C1334,C628,AS2:AS1334)&gt;1),1,"")))</f>
        <v/>
      </c>
      <c r="AW628" s="387">
        <f>SUMIF(C2:C1334,C628,O2:O1334)</f>
        <v>4</v>
      </c>
      <c r="AX628" s="387">
        <f>IF(AND(M628="F",AS628&lt;&gt;0),SUMIF(C2:C1334,C628,W2:W1334),0)</f>
        <v>49025.599999999999</v>
      </c>
      <c r="AY628" s="387">
        <f t="shared" si="425"/>
        <v>49025.599999999999</v>
      </c>
      <c r="AZ628" s="387" t="str">
        <f t="shared" si="426"/>
        <v/>
      </c>
      <c r="BA628" s="387">
        <f t="shared" si="427"/>
        <v>0</v>
      </c>
      <c r="BB628" s="387">
        <f t="shared" si="396"/>
        <v>11650</v>
      </c>
      <c r="BC628" s="387">
        <f t="shared" si="397"/>
        <v>0</v>
      </c>
      <c r="BD628" s="387">
        <f t="shared" si="398"/>
        <v>3039.5871999999999</v>
      </c>
      <c r="BE628" s="387">
        <f t="shared" si="399"/>
        <v>710.87120000000004</v>
      </c>
      <c r="BF628" s="387">
        <f t="shared" si="400"/>
        <v>5853.6566400000002</v>
      </c>
      <c r="BG628" s="387">
        <f t="shared" si="401"/>
        <v>353.47457600000001</v>
      </c>
      <c r="BH628" s="387">
        <f t="shared" si="402"/>
        <v>240.22543999999999</v>
      </c>
      <c r="BI628" s="387">
        <f t="shared" si="403"/>
        <v>271.356696</v>
      </c>
      <c r="BJ628" s="387">
        <f t="shared" si="404"/>
        <v>132.36912000000001</v>
      </c>
      <c r="BK628" s="387">
        <f t="shared" si="405"/>
        <v>0</v>
      </c>
      <c r="BL628" s="387">
        <f t="shared" si="428"/>
        <v>10601.540872000001</v>
      </c>
      <c r="BM628" s="387">
        <f t="shared" si="429"/>
        <v>0</v>
      </c>
      <c r="BN628" s="387">
        <f t="shared" si="406"/>
        <v>11650</v>
      </c>
      <c r="BO628" s="387">
        <f t="shared" si="407"/>
        <v>0</v>
      </c>
      <c r="BP628" s="387">
        <f t="shared" si="408"/>
        <v>3039.5871999999999</v>
      </c>
      <c r="BQ628" s="387">
        <f t="shared" si="409"/>
        <v>710.87120000000004</v>
      </c>
      <c r="BR628" s="387">
        <f t="shared" si="410"/>
        <v>5853.6566400000002</v>
      </c>
      <c r="BS628" s="387">
        <f t="shared" si="411"/>
        <v>353.47457600000001</v>
      </c>
      <c r="BT628" s="387">
        <f t="shared" si="412"/>
        <v>0</v>
      </c>
      <c r="BU628" s="387">
        <f t="shared" si="413"/>
        <v>271.356696</v>
      </c>
      <c r="BV628" s="387">
        <f t="shared" si="414"/>
        <v>166.68704</v>
      </c>
      <c r="BW628" s="387">
        <f t="shared" si="415"/>
        <v>0</v>
      </c>
      <c r="BX628" s="387">
        <f t="shared" si="430"/>
        <v>10395.633352000003</v>
      </c>
      <c r="BY628" s="387">
        <f t="shared" si="431"/>
        <v>0</v>
      </c>
      <c r="BZ628" s="387">
        <f t="shared" si="432"/>
        <v>0</v>
      </c>
      <c r="CA628" s="387">
        <f t="shared" si="433"/>
        <v>0</v>
      </c>
      <c r="CB628" s="387">
        <f t="shared" si="434"/>
        <v>0</v>
      </c>
      <c r="CC628" s="387">
        <f t="shared" si="416"/>
        <v>0</v>
      </c>
      <c r="CD628" s="387">
        <f t="shared" si="417"/>
        <v>0</v>
      </c>
      <c r="CE628" s="387">
        <f t="shared" si="418"/>
        <v>0</v>
      </c>
      <c r="CF628" s="387">
        <f t="shared" si="419"/>
        <v>-240.22543999999999</v>
      </c>
      <c r="CG628" s="387">
        <f t="shared" si="420"/>
        <v>0</v>
      </c>
      <c r="CH628" s="387">
        <f t="shared" si="421"/>
        <v>34.31791999999998</v>
      </c>
      <c r="CI628" s="387">
        <f t="shared" si="422"/>
        <v>0</v>
      </c>
      <c r="CJ628" s="387">
        <f t="shared" si="435"/>
        <v>-205.90752000000001</v>
      </c>
      <c r="CK628" s="387" t="str">
        <f t="shared" si="436"/>
        <v/>
      </c>
      <c r="CL628" s="387" t="str">
        <f t="shared" si="437"/>
        <v/>
      </c>
      <c r="CM628" s="387" t="str">
        <f t="shared" si="438"/>
        <v/>
      </c>
      <c r="CN628" s="387" t="str">
        <f t="shared" si="439"/>
        <v>0348-31</v>
      </c>
    </row>
    <row r="629" spans="1:92" ht="15.75" thickBot="1" x14ac:dyDescent="0.3">
      <c r="A629" s="376" t="s">
        <v>161</v>
      </c>
      <c r="B629" s="376" t="s">
        <v>162</v>
      </c>
      <c r="C629" s="376" t="s">
        <v>1938</v>
      </c>
      <c r="D629" s="376" t="s">
        <v>862</v>
      </c>
      <c r="E629" s="376" t="s">
        <v>224</v>
      </c>
      <c r="F629" s="382" t="s">
        <v>225</v>
      </c>
      <c r="G629" s="376" t="s">
        <v>781</v>
      </c>
      <c r="H629" s="378"/>
      <c r="I629" s="378"/>
      <c r="J629" s="376" t="s">
        <v>215</v>
      </c>
      <c r="K629" s="376" t="s">
        <v>863</v>
      </c>
      <c r="L629" s="376" t="s">
        <v>252</v>
      </c>
      <c r="M629" s="376" t="s">
        <v>171</v>
      </c>
      <c r="N629" s="376" t="s">
        <v>172</v>
      </c>
      <c r="O629" s="379">
        <v>1</v>
      </c>
      <c r="P629" s="385">
        <v>0</v>
      </c>
      <c r="Q629" s="385">
        <v>0</v>
      </c>
      <c r="R629" s="380">
        <v>80</v>
      </c>
      <c r="S629" s="385">
        <v>0</v>
      </c>
      <c r="T629" s="380">
        <v>694</v>
      </c>
      <c r="U629" s="380">
        <v>0</v>
      </c>
      <c r="V629" s="380">
        <v>373.19</v>
      </c>
      <c r="W629" s="380">
        <v>0</v>
      </c>
      <c r="X629" s="380">
        <v>0</v>
      </c>
      <c r="Y629" s="380">
        <v>0</v>
      </c>
      <c r="Z629" s="380">
        <v>0</v>
      </c>
      <c r="AA629" s="376" t="s">
        <v>1939</v>
      </c>
      <c r="AB629" s="376" t="s">
        <v>1940</v>
      </c>
      <c r="AC629" s="376" t="s">
        <v>730</v>
      </c>
      <c r="AD629" s="376" t="s">
        <v>1270</v>
      </c>
      <c r="AE629" s="376" t="s">
        <v>863</v>
      </c>
      <c r="AF629" s="376" t="s">
        <v>393</v>
      </c>
      <c r="AG629" s="376" t="s">
        <v>178</v>
      </c>
      <c r="AH629" s="381">
        <v>18.559999999999999</v>
      </c>
      <c r="AI629" s="379">
        <v>1623</v>
      </c>
      <c r="AJ629" s="376" t="s">
        <v>179</v>
      </c>
      <c r="AK629" s="376" t="s">
        <v>180</v>
      </c>
      <c r="AL629" s="376" t="s">
        <v>181</v>
      </c>
      <c r="AM629" s="376" t="s">
        <v>182</v>
      </c>
      <c r="AN629" s="376" t="s">
        <v>68</v>
      </c>
      <c r="AO629" s="379">
        <v>80</v>
      </c>
      <c r="AP629" s="385">
        <v>1</v>
      </c>
      <c r="AQ629" s="385">
        <v>0</v>
      </c>
      <c r="AR629" s="383" t="s">
        <v>183</v>
      </c>
      <c r="AS629" s="387">
        <f t="shared" si="423"/>
        <v>0</v>
      </c>
      <c r="AT629">
        <f t="shared" si="424"/>
        <v>0</v>
      </c>
      <c r="AU629" s="387" t="str">
        <f>IF(AT629=0,"",IF(AND(AT629=1,M629="F",SUMIF(C2:C1334,C629,AS2:AS1334)&lt;=1),SUMIF(C2:C1334,C629,AS2:AS1334),IF(AND(AT629=1,M629="F",SUMIF(C2:C1334,C629,AS2:AS1334)&gt;1),1,"")))</f>
        <v/>
      </c>
      <c r="AV629" s="387" t="str">
        <f>IF(AT629=0,"",IF(AND(AT629=3,M629="F",SUMIF(C2:C1334,C629,AS2:AS1334)&lt;=1),SUMIF(C2:C1334,C629,AS2:AS1334),IF(AND(AT629=3,M629="F",SUMIF(C2:C1334,C629,AS2:AS1334)&gt;1),1,"")))</f>
        <v/>
      </c>
      <c r="AW629" s="387">
        <f>SUMIF(C2:C1334,C629,O2:O1334)</f>
        <v>2</v>
      </c>
      <c r="AX629" s="387">
        <f>IF(AND(M629="F",AS629&lt;&gt;0),SUMIF(C2:C1334,C629,W2:W1334),0)</f>
        <v>0</v>
      </c>
      <c r="AY629" s="387" t="str">
        <f t="shared" si="425"/>
        <v/>
      </c>
      <c r="AZ629" s="387" t="str">
        <f t="shared" si="426"/>
        <v/>
      </c>
      <c r="BA629" s="387">
        <f t="shared" si="427"/>
        <v>0</v>
      </c>
      <c r="BB629" s="387">
        <f t="shared" si="396"/>
        <v>0</v>
      </c>
      <c r="BC629" s="387">
        <f t="shared" si="397"/>
        <v>0</v>
      </c>
      <c r="BD629" s="387">
        <f t="shared" si="398"/>
        <v>0</v>
      </c>
      <c r="BE629" s="387">
        <f t="shared" si="399"/>
        <v>0</v>
      </c>
      <c r="BF629" s="387">
        <f t="shared" si="400"/>
        <v>0</v>
      </c>
      <c r="BG629" s="387">
        <f t="shared" si="401"/>
        <v>0</v>
      </c>
      <c r="BH629" s="387">
        <f t="shared" si="402"/>
        <v>0</v>
      </c>
      <c r="BI629" s="387">
        <f t="shared" si="403"/>
        <v>0</v>
      </c>
      <c r="BJ629" s="387">
        <f t="shared" si="404"/>
        <v>0</v>
      </c>
      <c r="BK629" s="387">
        <f t="shared" si="405"/>
        <v>0</v>
      </c>
      <c r="BL629" s="387">
        <f t="shared" si="428"/>
        <v>0</v>
      </c>
      <c r="BM629" s="387">
        <f t="shared" si="429"/>
        <v>0</v>
      </c>
      <c r="BN629" s="387">
        <f t="shared" si="406"/>
        <v>0</v>
      </c>
      <c r="BO629" s="387">
        <f t="shared" si="407"/>
        <v>0</v>
      </c>
      <c r="BP629" s="387">
        <f t="shared" si="408"/>
        <v>0</v>
      </c>
      <c r="BQ629" s="387">
        <f t="shared" si="409"/>
        <v>0</v>
      </c>
      <c r="BR629" s="387">
        <f t="shared" si="410"/>
        <v>0</v>
      </c>
      <c r="BS629" s="387">
        <f t="shared" si="411"/>
        <v>0</v>
      </c>
      <c r="BT629" s="387">
        <f t="shared" si="412"/>
        <v>0</v>
      </c>
      <c r="BU629" s="387">
        <f t="shared" si="413"/>
        <v>0</v>
      </c>
      <c r="BV629" s="387">
        <f t="shared" si="414"/>
        <v>0</v>
      </c>
      <c r="BW629" s="387">
        <f t="shared" si="415"/>
        <v>0</v>
      </c>
      <c r="BX629" s="387">
        <f t="shared" si="430"/>
        <v>0</v>
      </c>
      <c r="BY629" s="387">
        <f t="shared" si="431"/>
        <v>0</v>
      </c>
      <c r="BZ629" s="387">
        <f t="shared" si="432"/>
        <v>0</v>
      </c>
      <c r="CA629" s="387">
        <f t="shared" si="433"/>
        <v>0</v>
      </c>
      <c r="CB629" s="387">
        <f t="shared" si="434"/>
        <v>0</v>
      </c>
      <c r="CC629" s="387">
        <f t="shared" si="416"/>
        <v>0</v>
      </c>
      <c r="CD629" s="387">
        <f t="shared" si="417"/>
        <v>0</v>
      </c>
      <c r="CE629" s="387">
        <f t="shared" si="418"/>
        <v>0</v>
      </c>
      <c r="CF629" s="387">
        <f t="shared" si="419"/>
        <v>0</v>
      </c>
      <c r="CG629" s="387">
        <f t="shared" si="420"/>
        <v>0</v>
      </c>
      <c r="CH629" s="387">
        <f t="shared" si="421"/>
        <v>0</v>
      </c>
      <c r="CI629" s="387">
        <f t="shared" si="422"/>
        <v>0</v>
      </c>
      <c r="CJ629" s="387">
        <f t="shared" si="435"/>
        <v>0</v>
      </c>
      <c r="CK629" s="387" t="str">
        <f t="shared" si="436"/>
        <v/>
      </c>
      <c r="CL629" s="387" t="str">
        <f t="shared" si="437"/>
        <v/>
      </c>
      <c r="CM629" s="387" t="str">
        <f t="shared" si="438"/>
        <v/>
      </c>
      <c r="CN629" s="387" t="str">
        <f t="shared" si="439"/>
        <v>0348-31</v>
      </c>
    </row>
    <row r="630" spans="1:92" ht="15.75" thickBot="1" x14ac:dyDescent="0.3">
      <c r="A630" s="376" t="s">
        <v>161</v>
      </c>
      <c r="B630" s="376" t="s">
        <v>162</v>
      </c>
      <c r="C630" s="376" t="s">
        <v>1941</v>
      </c>
      <c r="D630" s="376" t="s">
        <v>868</v>
      </c>
      <c r="E630" s="376" t="s">
        <v>224</v>
      </c>
      <c r="F630" s="382" t="s">
        <v>225</v>
      </c>
      <c r="G630" s="376" t="s">
        <v>781</v>
      </c>
      <c r="H630" s="378"/>
      <c r="I630" s="378"/>
      <c r="J630" s="376" t="s">
        <v>215</v>
      </c>
      <c r="K630" s="376" t="s">
        <v>869</v>
      </c>
      <c r="L630" s="376" t="s">
        <v>296</v>
      </c>
      <c r="M630" s="376" t="s">
        <v>171</v>
      </c>
      <c r="N630" s="376" t="s">
        <v>172</v>
      </c>
      <c r="O630" s="379">
        <v>1</v>
      </c>
      <c r="P630" s="385">
        <v>0</v>
      </c>
      <c r="Q630" s="385">
        <v>0</v>
      </c>
      <c r="R630" s="380">
        <v>80</v>
      </c>
      <c r="S630" s="385">
        <v>0</v>
      </c>
      <c r="T630" s="380">
        <v>56210.879999999997</v>
      </c>
      <c r="U630" s="380">
        <v>0</v>
      </c>
      <c r="V630" s="380">
        <v>23469.41</v>
      </c>
      <c r="W630" s="380">
        <v>0</v>
      </c>
      <c r="X630" s="380">
        <v>0</v>
      </c>
      <c r="Y630" s="380">
        <v>0</v>
      </c>
      <c r="Z630" s="380">
        <v>0</v>
      </c>
      <c r="AA630" s="376" t="s">
        <v>1942</v>
      </c>
      <c r="AB630" s="376" t="s">
        <v>1943</v>
      </c>
      <c r="AC630" s="376" t="s">
        <v>940</v>
      </c>
      <c r="AD630" s="376" t="s">
        <v>210</v>
      </c>
      <c r="AE630" s="376" t="s">
        <v>869</v>
      </c>
      <c r="AF630" s="376" t="s">
        <v>301</v>
      </c>
      <c r="AG630" s="376" t="s">
        <v>178</v>
      </c>
      <c r="AH630" s="381">
        <v>28.02</v>
      </c>
      <c r="AI630" s="381">
        <v>26465.9</v>
      </c>
      <c r="AJ630" s="376" t="s">
        <v>179</v>
      </c>
      <c r="AK630" s="376" t="s">
        <v>180</v>
      </c>
      <c r="AL630" s="376" t="s">
        <v>181</v>
      </c>
      <c r="AM630" s="376" t="s">
        <v>182</v>
      </c>
      <c r="AN630" s="376" t="s">
        <v>68</v>
      </c>
      <c r="AO630" s="379">
        <v>80</v>
      </c>
      <c r="AP630" s="385">
        <v>1</v>
      </c>
      <c r="AQ630" s="385">
        <v>0</v>
      </c>
      <c r="AR630" s="383" t="s">
        <v>183</v>
      </c>
      <c r="AS630" s="387">
        <f t="shared" si="423"/>
        <v>0</v>
      </c>
      <c r="AT630">
        <f t="shared" si="424"/>
        <v>0</v>
      </c>
      <c r="AU630" s="387" t="str">
        <f>IF(AT630=0,"",IF(AND(AT630=1,M630="F",SUMIF(C2:C1334,C630,AS2:AS1334)&lt;=1),SUMIF(C2:C1334,C630,AS2:AS1334),IF(AND(AT630=1,M630="F",SUMIF(C2:C1334,C630,AS2:AS1334)&gt;1),1,"")))</f>
        <v/>
      </c>
      <c r="AV630" s="387" t="str">
        <f>IF(AT630=0,"",IF(AND(AT630=3,M630="F",SUMIF(C2:C1334,C630,AS2:AS1334)&lt;=1),SUMIF(C2:C1334,C630,AS2:AS1334),IF(AND(AT630=3,M630="F",SUMIF(C2:C1334,C630,AS2:AS1334)&gt;1),1,"")))</f>
        <v/>
      </c>
      <c r="AW630" s="387">
        <f>SUMIF(C2:C1334,C630,O2:O1334)</f>
        <v>2</v>
      </c>
      <c r="AX630" s="387">
        <f>IF(AND(M630="F",AS630&lt;&gt;0),SUMIF(C2:C1334,C630,W2:W1334),0)</f>
        <v>0</v>
      </c>
      <c r="AY630" s="387" t="str">
        <f t="shared" si="425"/>
        <v/>
      </c>
      <c r="AZ630" s="387" t="str">
        <f t="shared" si="426"/>
        <v/>
      </c>
      <c r="BA630" s="387">
        <f t="shared" si="427"/>
        <v>0</v>
      </c>
      <c r="BB630" s="387">
        <f t="shared" si="396"/>
        <v>0</v>
      </c>
      <c r="BC630" s="387">
        <f t="shared" si="397"/>
        <v>0</v>
      </c>
      <c r="BD630" s="387">
        <f t="shared" si="398"/>
        <v>0</v>
      </c>
      <c r="BE630" s="387">
        <f t="shared" si="399"/>
        <v>0</v>
      </c>
      <c r="BF630" s="387">
        <f t="shared" si="400"/>
        <v>0</v>
      </c>
      <c r="BG630" s="387">
        <f t="shared" si="401"/>
        <v>0</v>
      </c>
      <c r="BH630" s="387">
        <f t="shared" si="402"/>
        <v>0</v>
      </c>
      <c r="BI630" s="387">
        <f t="shared" si="403"/>
        <v>0</v>
      </c>
      <c r="BJ630" s="387">
        <f t="shared" si="404"/>
        <v>0</v>
      </c>
      <c r="BK630" s="387">
        <f t="shared" si="405"/>
        <v>0</v>
      </c>
      <c r="BL630" s="387">
        <f t="shared" si="428"/>
        <v>0</v>
      </c>
      <c r="BM630" s="387">
        <f t="shared" si="429"/>
        <v>0</v>
      </c>
      <c r="BN630" s="387">
        <f t="shared" si="406"/>
        <v>0</v>
      </c>
      <c r="BO630" s="387">
        <f t="shared" si="407"/>
        <v>0</v>
      </c>
      <c r="BP630" s="387">
        <f t="shared" si="408"/>
        <v>0</v>
      </c>
      <c r="BQ630" s="387">
        <f t="shared" si="409"/>
        <v>0</v>
      </c>
      <c r="BR630" s="387">
        <f t="shared" si="410"/>
        <v>0</v>
      </c>
      <c r="BS630" s="387">
        <f t="shared" si="411"/>
        <v>0</v>
      </c>
      <c r="BT630" s="387">
        <f t="shared" si="412"/>
        <v>0</v>
      </c>
      <c r="BU630" s="387">
        <f t="shared" si="413"/>
        <v>0</v>
      </c>
      <c r="BV630" s="387">
        <f t="shared" si="414"/>
        <v>0</v>
      </c>
      <c r="BW630" s="387">
        <f t="shared" si="415"/>
        <v>0</v>
      </c>
      <c r="BX630" s="387">
        <f t="shared" si="430"/>
        <v>0</v>
      </c>
      <c r="BY630" s="387">
        <f t="shared" si="431"/>
        <v>0</v>
      </c>
      <c r="BZ630" s="387">
        <f t="shared" si="432"/>
        <v>0</v>
      </c>
      <c r="CA630" s="387">
        <f t="shared" si="433"/>
        <v>0</v>
      </c>
      <c r="CB630" s="387">
        <f t="shared" si="434"/>
        <v>0</v>
      </c>
      <c r="CC630" s="387">
        <f t="shared" si="416"/>
        <v>0</v>
      </c>
      <c r="CD630" s="387">
        <f t="shared" si="417"/>
        <v>0</v>
      </c>
      <c r="CE630" s="387">
        <f t="shared" si="418"/>
        <v>0</v>
      </c>
      <c r="CF630" s="387">
        <f t="shared" si="419"/>
        <v>0</v>
      </c>
      <c r="CG630" s="387">
        <f t="shared" si="420"/>
        <v>0</v>
      </c>
      <c r="CH630" s="387">
        <f t="shared" si="421"/>
        <v>0</v>
      </c>
      <c r="CI630" s="387">
        <f t="shared" si="422"/>
        <v>0</v>
      </c>
      <c r="CJ630" s="387">
        <f t="shared" si="435"/>
        <v>0</v>
      </c>
      <c r="CK630" s="387" t="str">
        <f t="shared" si="436"/>
        <v/>
      </c>
      <c r="CL630" s="387" t="str">
        <f t="shared" si="437"/>
        <v/>
      </c>
      <c r="CM630" s="387" t="str">
        <f t="shared" si="438"/>
        <v/>
      </c>
      <c r="CN630" s="387" t="str">
        <f t="shared" si="439"/>
        <v>0348-31</v>
      </c>
    </row>
    <row r="631" spans="1:92" ht="15.75" thickBot="1" x14ac:dyDescent="0.3">
      <c r="A631" s="376" t="s">
        <v>161</v>
      </c>
      <c r="B631" s="376" t="s">
        <v>162</v>
      </c>
      <c r="C631" s="376" t="s">
        <v>1944</v>
      </c>
      <c r="D631" s="376" t="s">
        <v>862</v>
      </c>
      <c r="E631" s="376" t="s">
        <v>224</v>
      </c>
      <c r="F631" s="382" t="s">
        <v>225</v>
      </c>
      <c r="G631" s="376" t="s">
        <v>781</v>
      </c>
      <c r="H631" s="378"/>
      <c r="I631" s="378"/>
      <c r="J631" s="376" t="s">
        <v>215</v>
      </c>
      <c r="K631" s="376" t="s">
        <v>863</v>
      </c>
      <c r="L631" s="376" t="s">
        <v>252</v>
      </c>
      <c r="M631" s="376" t="s">
        <v>272</v>
      </c>
      <c r="N631" s="376" t="s">
        <v>172</v>
      </c>
      <c r="O631" s="379">
        <v>0</v>
      </c>
      <c r="P631" s="385">
        <v>0</v>
      </c>
      <c r="Q631" s="385">
        <v>0</v>
      </c>
      <c r="R631" s="380">
        <v>80</v>
      </c>
      <c r="S631" s="385">
        <v>0</v>
      </c>
      <c r="T631" s="380">
        <v>2867.72</v>
      </c>
      <c r="U631" s="380">
        <v>0</v>
      </c>
      <c r="V631" s="380">
        <v>2541.7600000000002</v>
      </c>
      <c r="W631" s="380">
        <v>0</v>
      </c>
      <c r="X631" s="380">
        <v>0</v>
      </c>
      <c r="Y631" s="380">
        <v>0</v>
      </c>
      <c r="Z631" s="380">
        <v>0</v>
      </c>
      <c r="AA631" s="378"/>
      <c r="AB631" s="376" t="s">
        <v>45</v>
      </c>
      <c r="AC631" s="376" t="s">
        <v>45</v>
      </c>
      <c r="AD631" s="378"/>
      <c r="AE631" s="378"/>
      <c r="AF631" s="378"/>
      <c r="AG631" s="378"/>
      <c r="AH631" s="379">
        <v>0</v>
      </c>
      <c r="AI631" s="379">
        <v>0</v>
      </c>
      <c r="AJ631" s="378"/>
      <c r="AK631" s="378"/>
      <c r="AL631" s="376" t="s">
        <v>181</v>
      </c>
      <c r="AM631" s="378"/>
      <c r="AN631" s="378"/>
      <c r="AO631" s="379">
        <v>0</v>
      </c>
      <c r="AP631" s="385">
        <v>0</v>
      </c>
      <c r="AQ631" s="385">
        <v>0</v>
      </c>
      <c r="AR631" s="384"/>
      <c r="AS631" s="387">
        <f t="shared" si="423"/>
        <v>0</v>
      </c>
      <c r="AT631">
        <f t="shared" si="424"/>
        <v>0</v>
      </c>
      <c r="AU631" s="387" t="str">
        <f>IF(AT631=0,"",IF(AND(AT631=1,M631="F",SUMIF(C2:C1334,C631,AS2:AS1334)&lt;=1),SUMIF(C2:C1334,C631,AS2:AS1334),IF(AND(AT631=1,M631="F",SUMIF(C2:C1334,C631,AS2:AS1334)&gt;1),1,"")))</f>
        <v/>
      </c>
      <c r="AV631" s="387" t="str">
        <f>IF(AT631=0,"",IF(AND(AT631=3,M631="F",SUMIF(C2:C1334,C631,AS2:AS1334)&lt;=1),SUMIF(C2:C1334,C631,AS2:AS1334),IF(AND(AT631=3,M631="F",SUMIF(C2:C1334,C631,AS2:AS1334)&gt;1),1,"")))</f>
        <v/>
      </c>
      <c r="AW631" s="387">
        <f>SUMIF(C2:C1334,C631,O2:O1334)</f>
        <v>0</v>
      </c>
      <c r="AX631" s="387">
        <f>IF(AND(M631="F",AS631&lt;&gt;0),SUMIF(C2:C1334,C631,W2:W1334),0)</f>
        <v>0</v>
      </c>
      <c r="AY631" s="387" t="str">
        <f t="shared" si="425"/>
        <v/>
      </c>
      <c r="AZ631" s="387" t="str">
        <f t="shared" si="426"/>
        <v/>
      </c>
      <c r="BA631" s="387">
        <f t="shared" si="427"/>
        <v>0</v>
      </c>
      <c r="BB631" s="387">
        <f t="shared" si="396"/>
        <v>0</v>
      </c>
      <c r="BC631" s="387">
        <f t="shared" si="397"/>
        <v>0</v>
      </c>
      <c r="BD631" s="387">
        <f t="shared" si="398"/>
        <v>0</v>
      </c>
      <c r="BE631" s="387">
        <f t="shared" si="399"/>
        <v>0</v>
      </c>
      <c r="BF631" s="387">
        <f t="shared" si="400"/>
        <v>0</v>
      </c>
      <c r="BG631" s="387">
        <f t="shared" si="401"/>
        <v>0</v>
      </c>
      <c r="BH631" s="387">
        <f t="shared" si="402"/>
        <v>0</v>
      </c>
      <c r="BI631" s="387">
        <f t="shared" si="403"/>
        <v>0</v>
      </c>
      <c r="BJ631" s="387">
        <f t="shared" si="404"/>
        <v>0</v>
      </c>
      <c r="BK631" s="387">
        <f t="shared" si="405"/>
        <v>0</v>
      </c>
      <c r="BL631" s="387">
        <f t="shared" si="428"/>
        <v>0</v>
      </c>
      <c r="BM631" s="387">
        <f t="shared" si="429"/>
        <v>0</v>
      </c>
      <c r="BN631" s="387">
        <f t="shared" si="406"/>
        <v>0</v>
      </c>
      <c r="BO631" s="387">
        <f t="shared" si="407"/>
        <v>0</v>
      </c>
      <c r="BP631" s="387">
        <f t="shared" si="408"/>
        <v>0</v>
      </c>
      <c r="BQ631" s="387">
        <f t="shared" si="409"/>
        <v>0</v>
      </c>
      <c r="BR631" s="387">
        <f t="shared" si="410"/>
        <v>0</v>
      </c>
      <c r="BS631" s="387">
        <f t="shared" si="411"/>
        <v>0</v>
      </c>
      <c r="BT631" s="387">
        <f t="shared" si="412"/>
        <v>0</v>
      </c>
      <c r="BU631" s="387">
        <f t="shared" si="413"/>
        <v>0</v>
      </c>
      <c r="BV631" s="387">
        <f t="shared" si="414"/>
        <v>0</v>
      </c>
      <c r="BW631" s="387">
        <f t="shared" si="415"/>
        <v>0</v>
      </c>
      <c r="BX631" s="387">
        <f t="shared" si="430"/>
        <v>0</v>
      </c>
      <c r="BY631" s="387">
        <f t="shared" si="431"/>
        <v>0</v>
      </c>
      <c r="BZ631" s="387">
        <f t="shared" si="432"/>
        <v>0</v>
      </c>
      <c r="CA631" s="387">
        <f t="shared" si="433"/>
        <v>0</v>
      </c>
      <c r="CB631" s="387">
        <f t="shared" si="434"/>
        <v>0</v>
      </c>
      <c r="CC631" s="387">
        <f t="shared" si="416"/>
        <v>0</v>
      </c>
      <c r="CD631" s="387">
        <f t="shared" si="417"/>
        <v>0</v>
      </c>
      <c r="CE631" s="387">
        <f t="shared" si="418"/>
        <v>0</v>
      </c>
      <c r="CF631" s="387">
        <f t="shared" si="419"/>
        <v>0</v>
      </c>
      <c r="CG631" s="387">
        <f t="shared" si="420"/>
        <v>0</v>
      </c>
      <c r="CH631" s="387">
        <f t="shared" si="421"/>
        <v>0</v>
      </c>
      <c r="CI631" s="387">
        <f t="shared" si="422"/>
        <v>0</v>
      </c>
      <c r="CJ631" s="387">
        <f t="shared" si="435"/>
        <v>0</v>
      </c>
      <c r="CK631" s="387" t="str">
        <f t="shared" si="436"/>
        <v/>
      </c>
      <c r="CL631" s="387" t="str">
        <f t="shared" si="437"/>
        <v/>
      </c>
      <c r="CM631" s="387" t="str">
        <f t="shared" si="438"/>
        <v/>
      </c>
      <c r="CN631" s="387" t="str">
        <f t="shared" si="439"/>
        <v>0348-31</v>
      </c>
    </row>
    <row r="632" spans="1:92" ht="15.75" thickBot="1" x14ac:dyDescent="0.3">
      <c r="A632" s="376" t="s">
        <v>161</v>
      </c>
      <c r="B632" s="376" t="s">
        <v>162</v>
      </c>
      <c r="C632" s="376" t="s">
        <v>801</v>
      </c>
      <c r="D632" s="376" t="s">
        <v>786</v>
      </c>
      <c r="E632" s="376" t="s">
        <v>669</v>
      </c>
      <c r="F632" s="382" t="s">
        <v>225</v>
      </c>
      <c r="G632" s="376" t="s">
        <v>781</v>
      </c>
      <c r="H632" s="378"/>
      <c r="I632" s="378"/>
      <c r="J632" s="376" t="s">
        <v>168</v>
      </c>
      <c r="K632" s="376" t="s">
        <v>787</v>
      </c>
      <c r="L632" s="376" t="s">
        <v>181</v>
      </c>
      <c r="M632" s="376" t="s">
        <v>171</v>
      </c>
      <c r="N632" s="376" t="s">
        <v>172</v>
      </c>
      <c r="O632" s="379">
        <v>1</v>
      </c>
      <c r="P632" s="385">
        <v>0</v>
      </c>
      <c r="Q632" s="385">
        <v>0</v>
      </c>
      <c r="R632" s="380">
        <v>80</v>
      </c>
      <c r="S632" s="385">
        <v>0</v>
      </c>
      <c r="T632" s="380">
        <v>1425.03</v>
      </c>
      <c r="U632" s="380">
        <v>0</v>
      </c>
      <c r="V632" s="380">
        <v>523.91999999999996</v>
      </c>
      <c r="W632" s="380">
        <v>0</v>
      </c>
      <c r="X632" s="380">
        <v>0</v>
      </c>
      <c r="Y632" s="380">
        <v>0</v>
      </c>
      <c r="Z632" s="380">
        <v>0</v>
      </c>
      <c r="AA632" s="376" t="s">
        <v>802</v>
      </c>
      <c r="AB632" s="376" t="s">
        <v>709</v>
      </c>
      <c r="AC632" s="376" t="s">
        <v>418</v>
      </c>
      <c r="AD632" s="376" t="s">
        <v>252</v>
      </c>
      <c r="AE632" s="376" t="s">
        <v>787</v>
      </c>
      <c r="AF632" s="376" t="s">
        <v>211</v>
      </c>
      <c r="AG632" s="376" t="s">
        <v>178</v>
      </c>
      <c r="AH632" s="381">
        <v>38.119999999999997</v>
      </c>
      <c r="AI632" s="381">
        <v>33771.5</v>
      </c>
      <c r="AJ632" s="376" t="s">
        <v>179</v>
      </c>
      <c r="AK632" s="376" t="s">
        <v>180</v>
      </c>
      <c r="AL632" s="376" t="s">
        <v>181</v>
      </c>
      <c r="AM632" s="376" t="s">
        <v>182</v>
      </c>
      <c r="AN632" s="376" t="s">
        <v>68</v>
      </c>
      <c r="AO632" s="379">
        <v>80</v>
      </c>
      <c r="AP632" s="385">
        <v>1</v>
      </c>
      <c r="AQ632" s="385">
        <v>0</v>
      </c>
      <c r="AR632" s="383" t="s">
        <v>183</v>
      </c>
      <c r="AS632" s="387">
        <f t="shared" si="423"/>
        <v>0</v>
      </c>
      <c r="AT632">
        <f t="shared" si="424"/>
        <v>0</v>
      </c>
      <c r="AU632" s="387" t="str">
        <f>IF(AT632=0,"",IF(AND(AT632=1,M632="F",SUMIF(C2:C1334,C632,AS2:AS1334)&lt;=1),SUMIF(C2:C1334,C632,AS2:AS1334),IF(AND(AT632=1,M632="F",SUMIF(C2:C1334,C632,AS2:AS1334)&gt;1),1,"")))</f>
        <v/>
      </c>
      <c r="AV632" s="387" t="str">
        <f>IF(AT632=0,"",IF(AND(AT632=3,M632="F",SUMIF(C2:C1334,C632,AS2:AS1334)&lt;=1),SUMIF(C2:C1334,C632,AS2:AS1334),IF(AND(AT632=3,M632="F",SUMIF(C2:C1334,C632,AS2:AS1334)&gt;1),1,"")))</f>
        <v/>
      </c>
      <c r="AW632" s="387">
        <f>SUMIF(C2:C1334,C632,O2:O1334)</f>
        <v>4</v>
      </c>
      <c r="AX632" s="387">
        <f>IF(AND(M632="F",AS632&lt;&gt;0),SUMIF(C2:C1334,C632,W2:W1334),0)</f>
        <v>0</v>
      </c>
      <c r="AY632" s="387" t="str">
        <f t="shared" si="425"/>
        <v/>
      </c>
      <c r="AZ632" s="387" t="str">
        <f t="shared" si="426"/>
        <v/>
      </c>
      <c r="BA632" s="387">
        <f t="shared" si="427"/>
        <v>0</v>
      </c>
      <c r="BB632" s="387">
        <f t="shared" si="396"/>
        <v>0</v>
      </c>
      <c r="BC632" s="387">
        <f t="shared" si="397"/>
        <v>0</v>
      </c>
      <c r="BD632" s="387">
        <f t="shared" si="398"/>
        <v>0</v>
      </c>
      <c r="BE632" s="387">
        <f t="shared" si="399"/>
        <v>0</v>
      </c>
      <c r="BF632" s="387">
        <f t="shared" si="400"/>
        <v>0</v>
      </c>
      <c r="BG632" s="387">
        <f t="shared" si="401"/>
        <v>0</v>
      </c>
      <c r="BH632" s="387">
        <f t="shared" si="402"/>
        <v>0</v>
      </c>
      <c r="BI632" s="387">
        <f t="shared" si="403"/>
        <v>0</v>
      </c>
      <c r="BJ632" s="387">
        <f t="shared" si="404"/>
        <v>0</v>
      </c>
      <c r="BK632" s="387">
        <f t="shared" si="405"/>
        <v>0</v>
      </c>
      <c r="BL632" s="387">
        <f t="shared" si="428"/>
        <v>0</v>
      </c>
      <c r="BM632" s="387">
        <f t="shared" si="429"/>
        <v>0</v>
      </c>
      <c r="BN632" s="387">
        <f t="shared" si="406"/>
        <v>0</v>
      </c>
      <c r="BO632" s="387">
        <f t="shared" si="407"/>
        <v>0</v>
      </c>
      <c r="BP632" s="387">
        <f t="shared" si="408"/>
        <v>0</v>
      </c>
      <c r="BQ632" s="387">
        <f t="shared" si="409"/>
        <v>0</v>
      </c>
      <c r="BR632" s="387">
        <f t="shared" si="410"/>
        <v>0</v>
      </c>
      <c r="BS632" s="387">
        <f t="shared" si="411"/>
        <v>0</v>
      </c>
      <c r="BT632" s="387">
        <f t="shared" si="412"/>
        <v>0</v>
      </c>
      <c r="BU632" s="387">
        <f t="shared" si="413"/>
        <v>0</v>
      </c>
      <c r="BV632" s="387">
        <f t="shared" si="414"/>
        <v>0</v>
      </c>
      <c r="BW632" s="387">
        <f t="shared" si="415"/>
        <v>0</v>
      </c>
      <c r="BX632" s="387">
        <f t="shared" si="430"/>
        <v>0</v>
      </c>
      <c r="BY632" s="387">
        <f t="shared" si="431"/>
        <v>0</v>
      </c>
      <c r="BZ632" s="387">
        <f t="shared" si="432"/>
        <v>0</v>
      </c>
      <c r="CA632" s="387">
        <f t="shared" si="433"/>
        <v>0</v>
      </c>
      <c r="CB632" s="387">
        <f t="shared" si="434"/>
        <v>0</v>
      </c>
      <c r="CC632" s="387">
        <f t="shared" si="416"/>
        <v>0</v>
      </c>
      <c r="CD632" s="387">
        <f t="shared" si="417"/>
        <v>0</v>
      </c>
      <c r="CE632" s="387">
        <f t="shared" si="418"/>
        <v>0</v>
      </c>
      <c r="CF632" s="387">
        <f t="shared" si="419"/>
        <v>0</v>
      </c>
      <c r="CG632" s="387">
        <f t="shared" si="420"/>
        <v>0</v>
      </c>
      <c r="CH632" s="387">
        <f t="shared" si="421"/>
        <v>0</v>
      </c>
      <c r="CI632" s="387">
        <f t="shared" si="422"/>
        <v>0</v>
      </c>
      <c r="CJ632" s="387">
        <f t="shared" si="435"/>
        <v>0</v>
      </c>
      <c r="CK632" s="387" t="str">
        <f t="shared" si="436"/>
        <v/>
      </c>
      <c r="CL632" s="387" t="str">
        <f t="shared" si="437"/>
        <v/>
      </c>
      <c r="CM632" s="387" t="str">
        <f t="shared" si="438"/>
        <v/>
      </c>
      <c r="CN632" s="387" t="str">
        <f t="shared" si="439"/>
        <v>0349-31</v>
      </c>
    </row>
    <row r="633" spans="1:92" ht="15.75" thickBot="1" x14ac:dyDescent="0.3">
      <c r="A633" s="376" t="s">
        <v>161</v>
      </c>
      <c r="B633" s="376" t="s">
        <v>162</v>
      </c>
      <c r="C633" s="376" t="s">
        <v>837</v>
      </c>
      <c r="D633" s="376" t="s">
        <v>786</v>
      </c>
      <c r="E633" s="376" t="s">
        <v>669</v>
      </c>
      <c r="F633" s="382" t="s">
        <v>225</v>
      </c>
      <c r="G633" s="376" t="s">
        <v>781</v>
      </c>
      <c r="H633" s="378"/>
      <c r="I633" s="378"/>
      <c r="J633" s="376" t="s">
        <v>239</v>
      </c>
      <c r="K633" s="376" t="s">
        <v>787</v>
      </c>
      <c r="L633" s="376" t="s">
        <v>181</v>
      </c>
      <c r="M633" s="376" t="s">
        <v>171</v>
      </c>
      <c r="N633" s="376" t="s">
        <v>172</v>
      </c>
      <c r="O633" s="379">
        <v>1</v>
      </c>
      <c r="P633" s="385">
        <v>0</v>
      </c>
      <c r="Q633" s="385">
        <v>0</v>
      </c>
      <c r="R633" s="380">
        <v>80</v>
      </c>
      <c r="S633" s="385">
        <v>0</v>
      </c>
      <c r="T633" s="380">
        <v>175.23</v>
      </c>
      <c r="U633" s="380">
        <v>0</v>
      </c>
      <c r="V633" s="380">
        <v>66.47</v>
      </c>
      <c r="W633" s="380">
        <v>0</v>
      </c>
      <c r="X633" s="380">
        <v>0</v>
      </c>
      <c r="Y633" s="380">
        <v>0</v>
      </c>
      <c r="Z633" s="380">
        <v>0</v>
      </c>
      <c r="AA633" s="376" t="s">
        <v>838</v>
      </c>
      <c r="AB633" s="376" t="s">
        <v>839</v>
      </c>
      <c r="AC633" s="376" t="s">
        <v>840</v>
      </c>
      <c r="AD633" s="376" t="s">
        <v>198</v>
      </c>
      <c r="AE633" s="376" t="s">
        <v>787</v>
      </c>
      <c r="AF633" s="376" t="s">
        <v>211</v>
      </c>
      <c r="AG633" s="376" t="s">
        <v>178</v>
      </c>
      <c r="AH633" s="381">
        <v>29.42</v>
      </c>
      <c r="AI633" s="379">
        <v>45062</v>
      </c>
      <c r="AJ633" s="376" t="s">
        <v>179</v>
      </c>
      <c r="AK633" s="376" t="s">
        <v>180</v>
      </c>
      <c r="AL633" s="376" t="s">
        <v>181</v>
      </c>
      <c r="AM633" s="376" t="s">
        <v>182</v>
      </c>
      <c r="AN633" s="376" t="s">
        <v>68</v>
      </c>
      <c r="AO633" s="379">
        <v>80</v>
      </c>
      <c r="AP633" s="385">
        <v>1</v>
      </c>
      <c r="AQ633" s="385">
        <v>0</v>
      </c>
      <c r="AR633" s="383" t="s">
        <v>183</v>
      </c>
      <c r="AS633" s="387">
        <f t="shared" si="423"/>
        <v>0</v>
      </c>
      <c r="AT633">
        <f t="shared" si="424"/>
        <v>0</v>
      </c>
      <c r="AU633" s="387" t="str">
        <f>IF(AT633=0,"",IF(AND(AT633=1,M633="F",SUMIF(C2:C1334,C633,AS2:AS1334)&lt;=1),SUMIF(C2:C1334,C633,AS2:AS1334),IF(AND(AT633=1,M633="F",SUMIF(C2:C1334,C633,AS2:AS1334)&gt;1),1,"")))</f>
        <v/>
      </c>
      <c r="AV633" s="387" t="str">
        <f>IF(AT633=0,"",IF(AND(AT633=3,M633="F",SUMIF(C2:C1334,C633,AS2:AS1334)&lt;=1),SUMIF(C2:C1334,C633,AS2:AS1334),IF(AND(AT633=3,M633="F",SUMIF(C2:C1334,C633,AS2:AS1334)&gt;1),1,"")))</f>
        <v/>
      </c>
      <c r="AW633" s="387">
        <f>SUMIF(C2:C1334,C633,O2:O1334)</f>
        <v>4</v>
      </c>
      <c r="AX633" s="387">
        <f>IF(AND(M633="F",AS633&lt;&gt;0),SUMIF(C2:C1334,C633,W2:W1334),0)</f>
        <v>0</v>
      </c>
      <c r="AY633" s="387" t="str">
        <f t="shared" si="425"/>
        <v/>
      </c>
      <c r="AZ633" s="387" t="str">
        <f t="shared" si="426"/>
        <v/>
      </c>
      <c r="BA633" s="387">
        <f t="shared" si="427"/>
        <v>0</v>
      </c>
      <c r="BB633" s="387">
        <f t="shared" si="396"/>
        <v>0</v>
      </c>
      <c r="BC633" s="387">
        <f t="shared" si="397"/>
        <v>0</v>
      </c>
      <c r="BD633" s="387">
        <f t="shared" si="398"/>
        <v>0</v>
      </c>
      <c r="BE633" s="387">
        <f t="shared" si="399"/>
        <v>0</v>
      </c>
      <c r="BF633" s="387">
        <f t="shared" si="400"/>
        <v>0</v>
      </c>
      <c r="BG633" s="387">
        <f t="shared" si="401"/>
        <v>0</v>
      </c>
      <c r="BH633" s="387">
        <f t="shared" si="402"/>
        <v>0</v>
      </c>
      <c r="BI633" s="387">
        <f t="shared" si="403"/>
        <v>0</v>
      </c>
      <c r="BJ633" s="387">
        <f t="shared" si="404"/>
        <v>0</v>
      </c>
      <c r="BK633" s="387">
        <f t="shared" si="405"/>
        <v>0</v>
      </c>
      <c r="BL633" s="387">
        <f t="shared" si="428"/>
        <v>0</v>
      </c>
      <c r="BM633" s="387">
        <f t="shared" si="429"/>
        <v>0</v>
      </c>
      <c r="BN633" s="387">
        <f t="shared" si="406"/>
        <v>0</v>
      </c>
      <c r="BO633" s="387">
        <f t="shared" si="407"/>
        <v>0</v>
      </c>
      <c r="BP633" s="387">
        <f t="shared" si="408"/>
        <v>0</v>
      </c>
      <c r="BQ633" s="387">
        <f t="shared" si="409"/>
        <v>0</v>
      </c>
      <c r="BR633" s="387">
        <f t="shared" si="410"/>
        <v>0</v>
      </c>
      <c r="BS633" s="387">
        <f t="shared" si="411"/>
        <v>0</v>
      </c>
      <c r="BT633" s="387">
        <f t="shared" si="412"/>
        <v>0</v>
      </c>
      <c r="BU633" s="387">
        <f t="shared" si="413"/>
        <v>0</v>
      </c>
      <c r="BV633" s="387">
        <f t="shared" si="414"/>
        <v>0</v>
      </c>
      <c r="BW633" s="387">
        <f t="shared" si="415"/>
        <v>0</v>
      </c>
      <c r="BX633" s="387">
        <f t="shared" si="430"/>
        <v>0</v>
      </c>
      <c r="BY633" s="387">
        <f t="shared" si="431"/>
        <v>0</v>
      </c>
      <c r="BZ633" s="387">
        <f t="shared" si="432"/>
        <v>0</v>
      </c>
      <c r="CA633" s="387">
        <f t="shared" si="433"/>
        <v>0</v>
      </c>
      <c r="CB633" s="387">
        <f t="shared" si="434"/>
        <v>0</v>
      </c>
      <c r="CC633" s="387">
        <f t="shared" si="416"/>
        <v>0</v>
      </c>
      <c r="CD633" s="387">
        <f t="shared" si="417"/>
        <v>0</v>
      </c>
      <c r="CE633" s="387">
        <f t="shared" si="418"/>
        <v>0</v>
      </c>
      <c r="CF633" s="387">
        <f t="shared" si="419"/>
        <v>0</v>
      </c>
      <c r="CG633" s="387">
        <f t="shared" si="420"/>
        <v>0</v>
      </c>
      <c r="CH633" s="387">
        <f t="shared" si="421"/>
        <v>0</v>
      </c>
      <c r="CI633" s="387">
        <f t="shared" si="422"/>
        <v>0</v>
      </c>
      <c r="CJ633" s="387">
        <f t="shared" si="435"/>
        <v>0</v>
      </c>
      <c r="CK633" s="387" t="str">
        <f t="shared" si="436"/>
        <v/>
      </c>
      <c r="CL633" s="387" t="str">
        <f t="shared" si="437"/>
        <v/>
      </c>
      <c r="CM633" s="387" t="str">
        <f t="shared" si="438"/>
        <v/>
      </c>
      <c r="CN633" s="387" t="str">
        <f t="shared" si="439"/>
        <v>0349-31</v>
      </c>
    </row>
    <row r="634" spans="1:92" ht="15.75" thickBot="1" x14ac:dyDescent="0.3">
      <c r="A634" s="376" t="s">
        <v>161</v>
      </c>
      <c r="B634" s="376" t="s">
        <v>162</v>
      </c>
      <c r="C634" s="376" t="s">
        <v>817</v>
      </c>
      <c r="D634" s="376" t="s">
        <v>786</v>
      </c>
      <c r="E634" s="376" t="s">
        <v>669</v>
      </c>
      <c r="F634" s="382" t="s">
        <v>225</v>
      </c>
      <c r="G634" s="376" t="s">
        <v>781</v>
      </c>
      <c r="H634" s="378"/>
      <c r="I634" s="378"/>
      <c r="J634" s="376" t="s">
        <v>239</v>
      </c>
      <c r="K634" s="376" t="s">
        <v>787</v>
      </c>
      <c r="L634" s="376" t="s">
        <v>181</v>
      </c>
      <c r="M634" s="376" t="s">
        <v>171</v>
      </c>
      <c r="N634" s="376" t="s">
        <v>172</v>
      </c>
      <c r="O634" s="379">
        <v>1</v>
      </c>
      <c r="P634" s="385">
        <v>0</v>
      </c>
      <c r="Q634" s="385">
        <v>0</v>
      </c>
      <c r="R634" s="380">
        <v>80</v>
      </c>
      <c r="S634" s="385">
        <v>0</v>
      </c>
      <c r="T634" s="380">
        <v>112.73</v>
      </c>
      <c r="U634" s="380">
        <v>0</v>
      </c>
      <c r="V634" s="380">
        <v>47.95</v>
      </c>
      <c r="W634" s="380">
        <v>0</v>
      </c>
      <c r="X634" s="380">
        <v>0</v>
      </c>
      <c r="Y634" s="380">
        <v>0</v>
      </c>
      <c r="Z634" s="380">
        <v>0</v>
      </c>
      <c r="AA634" s="376" t="s">
        <v>818</v>
      </c>
      <c r="AB634" s="376" t="s">
        <v>819</v>
      </c>
      <c r="AC634" s="376" t="s">
        <v>820</v>
      </c>
      <c r="AD634" s="376" t="s">
        <v>776</v>
      </c>
      <c r="AE634" s="376" t="s">
        <v>787</v>
      </c>
      <c r="AF634" s="376" t="s">
        <v>211</v>
      </c>
      <c r="AG634" s="376" t="s">
        <v>178</v>
      </c>
      <c r="AH634" s="381">
        <v>30.21</v>
      </c>
      <c r="AI634" s="381">
        <v>29251.5</v>
      </c>
      <c r="AJ634" s="376" t="s">
        <v>179</v>
      </c>
      <c r="AK634" s="376" t="s">
        <v>180</v>
      </c>
      <c r="AL634" s="376" t="s">
        <v>181</v>
      </c>
      <c r="AM634" s="376" t="s">
        <v>182</v>
      </c>
      <c r="AN634" s="376" t="s">
        <v>68</v>
      </c>
      <c r="AO634" s="379">
        <v>80</v>
      </c>
      <c r="AP634" s="385">
        <v>1</v>
      </c>
      <c r="AQ634" s="385">
        <v>0</v>
      </c>
      <c r="AR634" s="383" t="s">
        <v>183</v>
      </c>
      <c r="AS634" s="387">
        <f t="shared" si="423"/>
        <v>0</v>
      </c>
      <c r="AT634">
        <f t="shared" si="424"/>
        <v>0</v>
      </c>
      <c r="AU634" s="387" t="str">
        <f>IF(AT634=0,"",IF(AND(AT634=1,M634="F",SUMIF(C2:C1334,C634,AS2:AS1334)&lt;=1),SUMIF(C2:C1334,C634,AS2:AS1334),IF(AND(AT634=1,M634="F",SUMIF(C2:C1334,C634,AS2:AS1334)&gt;1),1,"")))</f>
        <v/>
      </c>
      <c r="AV634" s="387" t="str">
        <f>IF(AT634=0,"",IF(AND(AT634=3,M634="F",SUMIF(C2:C1334,C634,AS2:AS1334)&lt;=1),SUMIF(C2:C1334,C634,AS2:AS1334),IF(AND(AT634=3,M634="F",SUMIF(C2:C1334,C634,AS2:AS1334)&gt;1),1,"")))</f>
        <v/>
      </c>
      <c r="AW634" s="387">
        <f>SUMIF(C2:C1334,C634,O2:O1334)</f>
        <v>4</v>
      </c>
      <c r="AX634" s="387">
        <f>IF(AND(M634="F",AS634&lt;&gt;0),SUMIF(C2:C1334,C634,W2:W1334),0)</f>
        <v>0</v>
      </c>
      <c r="AY634" s="387" t="str">
        <f t="shared" si="425"/>
        <v/>
      </c>
      <c r="AZ634" s="387" t="str">
        <f t="shared" si="426"/>
        <v/>
      </c>
      <c r="BA634" s="387">
        <f t="shared" si="427"/>
        <v>0</v>
      </c>
      <c r="BB634" s="387">
        <f t="shared" si="396"/>
        <v>0</v>
      </c>
      <c r="BC634" s="387">
        <f t="shared" si="397"/>
        <v>0</v>
      </c>
      <c r="BD634" s="387">
        <f t="shared" si="398"/>
        <v>0</v>
      </c>
      <c r="BE634" s="387">
        <f t="shared" si="399"/>
        <v>0</v>
      </c>
      <c r="BF634" s="387">
        <f t="shared" si="400"/>
        <v>0</v>
      </c>
      <c r="BG634" s="387">
        <f t="shared" si="401"/>
        <v>0</v>
      </c>
      <c r="BH634" s="387">
        <f t="shared" si="402"/>
        <v>0</v>
      </c>
      <c r="BI634" s="387">
        <f t="shared" si="403"/>
        <v>0</v>
      </c>
      <c r="BJ634" s="387">
        <f t="shared" si="404"/>
        <v>0</v>
      </c>
      <c r="BK634" s="387">
        <f t="shared" si="405"/>
        <v>0</v>
      </c>
      <c r="BL634" s="387">
        <f t="shared" si="428"/>
        <v>0</v>
      </c>
      <c r="BM634" s="387">
        <f t="shared" si="429"/>
        <v>0</v>
      </c>
      <c r="BN634" s="387">
        <f t="shared" si="406"/>
        <v>0</v>
      </c>
      <c r="BO634" s="387">
        <f t="shared" si="407"/>
        <v>0</v>
      </c>
      <c r="BP634" s="387">
        <f t="shared" si="408"/>
        <v>0</v>
      </c>
      <c r="BQ634" s="387">
        <f t="shared" si="409"/>
        <v>0</v>
      </c>
      <c r="BR634" s="387">
        <f t="shared" si="410"/>
        <v>0</v>
      </c>
      <c r="BS634" s="387">
        <f t="shared" si="411"/>
        <v>0</v>
      </c>
      <c r="BT634" s="387">
        <f t="shared" si="412"/>
        <v>0</v>
      </c>
      <c r="BU634" s="387">
        <f t="shared" si="413"/>
        <v>0</v>
      </c>
      <c r="BV634" s="387">
        <f t="shared" si="414"/>
        <v>0</v>
      </c>
      <c r="BW634" s="387">
        <f t="shared" si="415"/>
        <v>0</v>
      </c>
      <c r="BX634" s="387">
        <f t="shared" si="430"/>
        <v>0</v>
      </c>
      <c r="BY634" s="387">
        <f t="shared" si="431"/>
        <v>0</v>
      </c>
      <c r="BZ634" s="387">
        <f t="shared" si="432"/>
        <v>0</v>
      </c>
      <c r="CA634" s="387">
        <f t="shared" si="433"/>
        <v>0</v>
      </c>
      <c r="CB634" s="387">
        <f t="shared" si="434"/>
        <v>0</v>
      </c>
      <c r="CC634" s="387">
        <f t="shared" si="416"/>
        <v>0</v>
      </c>
      <c r="CD634" s="387">
        <f t="shared" si="417"/>
        <v>0</v>
      </c>
      <c r="CE634" s="387">
        <f t="shared" si="418"/>
        <v>0</v>
      </c>
      <c r="CF634" s="387">
        <f t="shared" si="419"/>
        <v>0</v>
      </c>
      <c r="CG634" s="387">
        <f t="shared" si="420"/>
        <v>0</v>
      </c>
      <c r="CH634" s="387">
        <f t="shared" si="421"/>
        <v>0</v>
      </c>
      <c r="CI634" s="387">
        <f t="shared" si="422"/>
        <v>0</v>
      </c>
      <c r="CJ634" s="387">
        <f t="shared" si="435"/>
        <v>0</v>
      </c>
      <c r="CK634" s="387" t="str">
        <f t="shared" si="436"/>
        <v/>
      </c>
      <c r="CL634" s="387" t="str">
        <f t="shared" si="437"/>
        <v/>
      </c>
      <c r="CM634" s="387" t="str">
        <f t="shared" si="438"/>
        <v/>
      </c>
      <c r="CN634" s="387" t="str">
        <f t="shared" si="439"/>
        <v>0349-31</v>
      </c>
    </row>
    <row r="635" spans="1:92" ht="15.75" thickBot="1" x14ac:dyDescent="0.3">
      <c r="A635" s="376" t="s">
        <v>161</v>
      </c>
      <c r="B635" s="376" t="s">
        <v>162</v>
      </c>
      <c r="C635" s="376" t="s">
        <v>333</v>
      </c>
      <c r="D635" s="376" t="s">
        <v>334</v>
      </c>
      <c r="E635" s="376" t="s">
        <v>669</v>
      </c>
      <c r="F635" s="382" t="s">
        <v>225</v>
      </c>
      <c r="G635" s="376" t="s">
        <v>781</v>
      </c>
      <c r="H635" s="378"/>
      <c r="I635" s="378"/>
      <c r="J635" s="376" t="s">
        <v>215</v>
      </c>
      <c r="K635" s="376" t="s">
        <v>335</v>
      </c>
      <c r="L635" s="376" t="s">
        <v>170</v>
      </c>
      <c r="M635" s="376" t="s">
        <v>272</v>
      </c>
      <c r="N635" s="376" t="s">
        <v>257</v>
      </c>
      <c r="O635" s="379">
        <v>0</v>
      </c>
      <c r="P635" s="385">
        <v>0</v>
      </c>
      <c r="Q635" s="385">
        <v>0</v>
      </c>
      <c r="R635" s="380">
        <v>80</v>
      </c>
      <c r="S635" s="385">
        <v>0</v>
      </c>
      <c r="T635" s="380">
        <v>117.65</v>
      </c>
      <c r="U635" s="380">
        <v>0</v>
      </c>
      <c r="V635" s="380">
        <v>44.92</v>
      </c>
      <c r="W635" s="380">
        <v>0</v>
      </c>
      <c r="X635" s="380">
        <v>0</v>
      </c>
      <c r="Y635" s="380">
        <v>0</v>
      </c>
      <c r="Z635" s="380">
        <v>0</v>
      </c>
      <c r="AA635" s="378"/>
      <c r="AB635" s="376" t="s">
        <v>45</v>
      </c>
      <c r="AC635" s="376" t="s">
        <v>45</v>
      </c>
      <c r="AD635" s="378"/>
      <c r="AE635" s="378"/>
      <c r="AF635" s="378"/>
      <c r="AG635" s="378"/>
      <c r="AH635" s="379">
        <v>0</v>
      </c>
      <c r="AI635" s="379">
        <v>0</v>
      </c>
      <c r="AJ635" s="378"/>
      <c r="AK635" s="378"/>
      <c r="AL635" s="376" t="s">
        <v>181</v>
      </c>
      <c r="AM635" s="378"/>
      <c r="AN635" s="378"/>
      <c r="AO635" s="379">
        <v>0</v>
      </c>
      <c r="AP635" s="385">
        <v>0</v>
      </c>
      <c r="AQ635" s="385">
        <v>0</v>
      </c>
      <c r="AR635" s="384"/>
      <c r="AS635" s="387">
        <f t="shared" si="423"/>
        <v>0</v>
      </c>
      <c r="AT635">
        <f t="shared" si="424"/>
        <v>0</v>
      </c>
      <c r="AU635" s="387" t="str">
        <f>IF(AT635=0,"",IF(AND(AT635=1,M635="F",SUMIF(C2:C1334,C635,AS2:AS1334)&lt;=1),SUMIF(C2:C1334,C635,AS2:AS1334),IF(AND(AT635=1,M635="F",SUMIF(C2:C1334,C635,AS2:AS1334)&gt;1),1,"")))</f>
        <v/>
      </c>
      <c r="AV635" s="387" t="str">
        <f>IF(AT635=0,"",IF(AND(AT635=3,M635="F",SUMIF(C2:C1334,C635,AS2:AS1334)&lt;=1),SUMIF(C2:C1334,C635,AS2:AS1334),IF(AND(AT635=3,M635="F",SUMIF(C2:C1334,C635,AS2:AS1334)&gt;1),1,"")))</f>
        <v/>
      </c>
      <c r="AW635" s="387">
        <f>SUMIF(C2:C1334,C635,O2:O1334)</f>
        <v>0</v>
      </c>
      <c r="AX635" s="387">
        <f>IF(AND(M635="F",AS635&lt;&gt;0),SUMIF(C2:C1334,C635,W2:W1334),0)</f>
        <v>0</v>
      </c>
      <c r="AY635" s="387" t="str">
        <f t="shared" si="425"/>
        <v/>
      </c>
      <c r="AZ635" s="387" t="str">
        <f t="shared" si="426"/>
        <v/>
      </c>
      <c r="BA635" s="387">
        <f t="shared" si="427"/>
        <v>0</v>
      </c>
      <c r="BB635" s="387">
        <f t="shared" si="396"/>
        <v>0</v>
      </c>
      <c r="BC635" s="387">
        <f t="shared" si="397"/>
        <v>0</v>
      </c>
      <c r="BD635" s="387">
        <f t="shared" si="398"/>
        <v>0</v>
      </c>
      <c r="BE635" s="387">
        <f t="shared" si="399"/>
        <v>0</v>
      </c>
      <c r="BF635" s="387">
        <f t="shared" si="400"/>
        <v>0</v>
      </c>
      <c r="BG635" s="387">
        <f t="shared" si="401"/>
        <v>0</v>
      </c>
      <c r="BH635" s="387">
        <f t="shared" si="402"/>
        <v>0</v>
      </c>
      <c r="BI635" s="387">
        <f t="shared" si="403"/>
        <v>0</v>
      </c>
      <c r="BJ635" s="387">
        <f t="shared" si="404"/>
        <v>0</v>
      </c>
      <c r="BK635" s="387">
        <f t="shared" si="405"/>
        <v>0</v>
      </c>
      <c r="BL635" s="387">
        <f t="shared" si="428"/>
        <v>0</v>
      </c>
      <c r="BM635" s="387">
        <f t="shared" si="429"/>
        <v>0</v>
      </c>
      <c r="BN635" s="387">
        <f t="shared" si="406"/>
        <v>0</v>
      </c>
      <c r="BO635" s="387">
        <f t="shared" si="407"/>
        <v>0</v>
      </c>
      <c r="BP635" s="387">
        <f t="shared" si="408"/>
        <v>0</v>
      </c>
      <c r="BQ635" s="387">
        <f t="shared" si="409"/>
        <v>0</v>
      </c>
      <c r="BR635" s="387">
        <f t="shared" si="410"/>
        <v>0</v>
      </c>
      <c r="BS635" s="387">
        <f t="shared" si="411"/>
        <v>0</v>
      </c>
      <c r="BT635" s="387">
        <f t="shared" si="412"/>
        <v>0</v>
      </c>
      <c r="BU635" s="387">
        <f t="shared" si="413"/>
        <v>0</v>
      </c>
      <c r="BV635" s="387">
        <f t="shared" si="414"/>
        <v>0</v>
      </c>
      <c r="BW635" s="387">
        <f t="shared" si="415"/>
        <v>0</v>
      </c>
      <c r="BX635" s="387">
        <f t="shared" si="430"/>
        <v>0</v>
      </c>
      <c r="BY635" s="387">
        <f t="shared" si="431"/>
        <v>0</v>
      </c>
      <c r="BZ635" s="387">
        <f t="shared" si="432"/>
        <v>0</v>
      </c>
      <c r="CA635" s="387">
        <f t="shared" si="433"/>
        <v>0</v>
      </c>
      <c r="CB635" s="387">
        <f t="shared" si="434"/>
        <v>0</v>
      </c>
      <c r="CC635" s="387">
        <f t="shared" si="416"/>
        <v>0</v>
      </c>
      <c r="CD635" s="387">
        <f t="shared" si="417"/>
        <v>0</v>
      </c>
      <c r="CE635" s="387">
        <f t="shared" si="418"/>
        <v>0</v>
      </c>
      <c r="CF635" s="387">
        <f t="shared" si="419"/>
        <v>0</v>
      </c>
      <c r="CG635" s="387">
        <f t="shared" si="420"/>
        <v>0</v>
      </c>
      <c r="CH635" s="387">
        <f t="shared" si="421"/>
        <v>0</v>
      </c>
      <c r="CI635" s="387">
        <f t="shared" si="422"/>
        <v>0</v>
      </c>
      <c r="CJ635" s="387">
        <f t="shared" si="435"/>
        <v>0</v>
      </c>
      <c r="CK635" s="387" t="str">
        <f t="shared" si="436"/>
        <v/>
      </c>
      <c r="CL635" s="387" t="str">
        <f t="shared" si="437"/>
        <v/>
      </c>
      <c r="CM635" s="387" t="str">
        <f t="shared" si="438"/>
        <v/>
      </c>
      <c r="CN635" s="387" t="str">
        <f t="shared" si="439"/>
        <v>0349-31</v>
      </c>
    </row>
    <row r="636" spans="1:92" ht="15.75" thickBot="1" x14ac:dyDescent="0.3">
      <c r="A636" s="376" t="s">
        <v>161</v>
      </c>
      <c r="B636" s="376" t="s">
        <v>162</v>
      </c>
      <c r="C636" s="376" t="s">
        <v>803</v>
      </c>
      <c r="D636" s="376" t="s">
        <v>804</v>
      </c>
      <c r="E636" s="376" t="s">
        <v>669</v>
      </c>
      <c r="F636" s="382" t="s">
        <v>225</v>
      </c>
      <c r="G636" s="376" t="s">
        <v>781</v>
      </c>
      <c r="H636" s="378"/>
      <c r="I636" s="378"/>
      <c r="J636" s="376" t="s">
        <v>239</v>
      </c>
      <c r="K636" s="376" t="s">
        <v>805</v>
      </c>
      <c r="L636" s="376" t="s">
        <v>351</v>
      </c>
      <c r="M636" s="376" t="s">
        <v>171</v>
      </c>
      <c r="N636" s="376" t="s">
        <v>172</v>
      </c>
      <c r="O636" s="379">
        <v>1</v>
      </c>
      <c r="P636" s="385">
        <v>0</v>
      </c>
      <c r="Q636" s="385">
        <v>0</v>
      </c>
      <c r="R636" s="380">
        <v>80</v>
      </c>
      <c r="S636" s="385">
        <v>0</v>
      </c>
      <c r="T636" s="380">
        <v>498.64</v>
      </c>
      <c r="U636" s="380">
        <v>0</v>
      </c>
      <c r="V636" s="380">
        <v>162.1</v>
      </c>
      <c r="W636" s="380">
        <v>0</v>
      </c>
      <c r="X636" s="380">
        <v>0</v>
      </c>
      <c r="Y636" s="380">
        <v>0</v>
      </c>
      <c r="Z636" s="380">
        <v>0</v>
      </c>
      <c r="AA636" s="376" t="s">
        <v>806</v>
      </c>
      <c r="AB636" s="376" t="s">
        <v>807</v>
      </c>
      <c r="AC636" s="376" t="s">
        <v>808</v>
      </c>
      <c r="AD636" s="376" t="s">
        <v>170</v>
      </c>
      <c r="AE636" s="376" t="s">
        <v>805</v>
      </c>
      <c r="AF636" s="376" t="s">
        <v>355</v>
      </c>
      <c r="AG636" s="376" t="s">
        <v>178</v>
      </c>
      <c r="AH636" s="381">
        <v>45.93</v>
      </c>
      <c r="AI636" s="379">
        <v>49965</v>
      </c>
      <c r="AJ636" s="376" t="s">
        <v>179</v>
      </c>
      <c r="AK636" s="376" t="s">
        <v>180</v>
      </c>
      <c r="AL636" s="376" t="s">
        <v>181</v>
      </c>
      <c r="AM636" s="376" t="s">
        <v>182</v>
      </c>
      <c r="AN636" s="376" t="s">
        <v>68</v>
      </c>
      <c r="AO636" s="379">
        <v>80</v>
      </c>
      <c r="AP636" s="385">
        <v>1</v>
      </c>
      <c r="AQ636" s="385">
        <v>0</v>
      </c>
      <c r="AR636" s="383" t="s">
        <v>183</v>
      </c>
      <c r="AS636" s="387">
        <f t="shared" si="423"/>
        <v>0</v>
      </c>
      <c r="AT636">
        <f t="shared" si="424"/>
        <v>0</v>
      </c>
      <c r="AU636" s="387" t="str">
        <f>IF(AT636=0,"",IF(AND(AT636=1,M636="F",SUMIF(C2:C1334,C636,AS2:AS1334)&lt;=1),SUMIF(C2:C1334,C636,AS2:AS1334),IF(AND(AT636=1,M636="F",SUMIF(C2:C1334,C636,AS2:AS1334)&gt;1),1,"")))</f>
        <v/>
      </c>
      <c r="AV636" s="387" t="str">
        <f>IF(AT636=0,"",IF(AND(AT636=3,M636="F",SUMIF(C2:C1334,C636,AS2:AS1334)&lt;=1),SUMIF(C2:C1334,C636,AS2:AS1334),IF(AND(AT636=3,M636="F",SUMIF(C2:C1334,C636,AS2:AS1334)&gt;1),1,"")))</f>
        <v/>
      </c>
      <c r="AW636" s="387">
        <f>SUMIF(C2:C1334,C636,O2:O1334)</f>
        <v>4</v>
      </c>
      <c r="AX636" s="387">
        <f>IF(AND(M636="F",AS636&lt;&gt;0),SUMIF(C2:C1334,C636,W2:W1334),0)</f>
        <v>0</v>
      </c>
      <c r="AY636" s="387" t="str">
        <f t="shared" si="425"/>
        <v/>
      </c>
      <c r="AZ636" s="387" t="str">
        <f t="shared" si="426"/>
        <v/>
      </c>
      <c r="BA636" s="387">
        <f t="shared" si="427"/>
        <v>0</v>
      </c>
      <c r="BB636" s="387">
        <f t="shared" si="396"/>
        <v>0</v>
      </c>
      <c r="BC636" s="387">
        <f t="shared" si="397"/>
        <v>0</v>
      </c>
      <c r="BD636" s="387">
        <f t="shared" si="398"/>
        <v>0</v>
      </c>
      <c r="BE636" s="387">
        <f t="shared" si="399"/>
        <v>0</v>
      </c>
      <c r="BF636" s="387">
        <f t="shared" si="400"/>
        <v>0</v>
      </c>
      <c r="BG636" s="387">
        <f t="shared" si="401"/>
        <v>0</v>
      </c>
      <c r="BH636" s="387">
        <f t="shared" si="402"/>
        <v>0</v>
      </c>
      <c r="BI636" s="387">
        <f t="shared" si="403"/>
        <v>0</v>
      </c>
      <c r="BJ636" s="387">
        <f t="shared" si="404"/>
        <v>0</v>
      </c>
      <c r="BK636" s="387">
        <f t="shared" si="405"/>
        <v>0</v>
      </c>
      <c r="BL636" s="387">
        <f t="shared" si="428"/>
        <v>0</v>
      </c>
      <c r="BM636" s="387">
        <f t="shared" si="429"/>
        <v>0</v>
      </c>
      <c r="BN636" s="387">
        <f t="shared" si="406"/>
        <v>0</v>
      </c>
      <c r="BO636" s="387">
        <f t="shared" si="407"/>
        <v>0</v>
      </c>
      <c r="BP636" s="387">
        <f t="shared" si="408"/>
        <v>0</v>
      </c>
      <c r="BQ636" s="387">
        <f t="shared" si="409"/>
        <v>0</v>
      </c>
      <c r="BR636" s="387">
        <f t="shared" si="410"/>
        <v>0</v>
      </c>
      <c r="BS636" s="387">
        <f t="shared" si="411"/>
        <v>0</v>
      </c>
      <c r="BT636" s="387">
        <f t="shared" si="412"/>
        <v>0</v>
      </c>
      <c r="BU636" s="387">
        <f t="shared" si="413"/>
        <v>0</v>
      </c>
      <c r="BV636" s="387">
        <f t="shared" si="414"/>
        <v>0</v>
      </c>
      <c r="BW636" s="387">
        <f t="shared" si="415"/>
        <v>0</v>
      </c>
      <c r="BX636" s="387">
        <f t="shared" si="430"/>
        <v>0</v>
      </c>
      <c r="BY636" s="387">
        <f t="shared" si="431"/>
        <v>0</v>
      </c>
      <c r="BZ636" s="387">
        <f t="shared" si="432"/>
        <v>0</v>
      </c>
      <c r="CA636" s="387">
        <f t="shared" si="433"/>
        <v>0</v>
      </c>
      <c r="CB636" s="387">
        <f t="shared" si="434"/>
        <v>0</v>
      </c>
      <c r="CC636" s="387">
        <f t="shared" si="416"/>
        <v>0</v>
      </c>
      <c r="CD636" s="387">
        <f t="shared" si="417"/>
        <v>0</v>
      </c>
      <c r="CE636" s="387">
        <f t="shared" si="418"/>
        <v>0</v>
      </c>
      <c r="CF636" s="387">
        <f t="shared" si="419"/>
        <v>0</v>
      </c>
      <c r="CG636" s="387">
        <f t="shared" si="420"/>
        <v>0</v>
      </c>
      <c r="CH636" s="387">
        <f t="shared" si="421"/>
        <v>0</v>
      </c>
      <c r="CI636" s="387">
        <f t="shared" si="422"/>
        <v>0</v>
      </c>
      <c r="CJ636" s="387">
        <f t="shared" si="435"/>
        <v>0</v>
      </c>
      <c r="CK636" s="387" t="str">
        <f t="shared" si="436"/>
        <v/>
      </c>
      <c r="CL636" s="387" t="str">
        <f t="shared" si="437"/>
        <v/>
      </c>
      <c r="CM636" s="387" t="str">
        <f t="shared" si="438"/>
        <v/>
      </c>
      <c r="CN636" s="387" t="str">
        <f t="shared" si="439"/>
        <v>0349-31</v>
      </c>
    </row>
    <row r="637" spans="1:92" ht="15.75" thickBot="1" x14ac:dyDescent="0.3">
      <c r="A637" s="376" t="s">
        <v>161</v>
      </c>
      <c r="B637" s="376" t="s">
        <v>162</v>
      </c>
      <c r="C637" s="376" t="s">
        <v>284</v>
      </c>
      <c r="D637" s="376" t="s">
        <v>238</v>
      </c>
      <c r="E637" s="376" t="s">
        <v>669</v>
      </c>
      <c r="F637" s="382" t="s">
        <v>225</v>
      </c>
      <c r="G637" s="376" t="s">
        <v>781</v>
      </c>
      <c r="H637" s="378"/>
      <c r="I637" s="378"/>
      <c r="J637" s="376" t="s">
        <v>215</v>
      </c>
      <c r="K637" s="376" t="s">
        <v>285</v>
      </c>
      <c r="L637" s="376" t="s">
        <v>170</v>
      </c>
      <c r="M637" s="376" t="s">
        <v>272</v>
      </c>
      <c r="N637" s="376" t="s">
        <v>172</v>
      </c>
      <c r="O637" s="379">
        <v>0</v>
      </c>
      <c r="P637" s="385">
        <v>0</v>
      </c>
      <c r="Q637" s="385">
        <v>0</v>
      </c>
      <c r="R637" s="380">
        <v>80</v>
      </c>
      <c r="S637" s="385">
        <v>0</v>
      </c>
      <c r="T637" s="380">
        <v>48.28</v>
      </c>
      <c r="U637" s="380">
        <v>0</v>
      </c>
      <c r="V637" s="380">
        <v>19.48</v>
      </c>
      <c r="W637" s="380">
        <v>0</v>
      </c>
      <c r="X637" s="380">
        <v>0</v>
      </c>
      <c r="Y637" s="380">
        <v>0</v>
      </c>
      <c r="Z637" s="380">
        <v>0</v>
      </c>
      <c r="AA637" s="378"/>
      <c r="AB637" s="376" t="s">
        <v>45</v>
      </c>
      <c r="AC637" s="376" t="s">
        <v>45</v>
      </c>
      <c r="AD637" s="378"/>
      <c r="AE637" s="378"/>
      <c r="AF637" s="378"/>
      <c r="AG637" s="378"/>
      <c r="AH637" s="379">
        <v>0</v>
      </c>
      <c r="AI637" s="379">
        <v>0</v>
      </c>
      <c r="AJ637" s="378"/>
      <c r="AK637" s="378"/>
      <c r="AL637" s="376" t="s">
        <v>181</v>
      </c>
      <c r="AM637" s="378"/>
      <c r="AN637" s="378"/>
      <c r="AO637" s="379">
        <v>0</v>
      </c>
      <c r="AP637" s="385">
        <v>0</v>
      </c>
      <c r="AQ637" s="385">
        <v>0</v>
      </c>
      <c r="AR637" s="384"/>
      <c r="AS637" s="387">
        <f t="shared" si="423"/>
        <v>0</v>
      </c>
      <c r="AT637">
        <f t="shared" si="424"/>
        <v>0</v>
      </c>
      <c r="AU637" s="387" t="str">
        <f>IF(AT637=0,"",IF(AND(AT637=1,M637="F",SUMIF(C2:C1334,C637,AS2:AS1334)&lt;=1),SUMIF(C2:C1334,C637,AS2:AS1334),IF(AND(AT637=1,M637="F",SUMIF(C2:C1334,C637,AS2:AS1334)&gt;1),1,"")))</f>
        <v/>
      </c>
      <c r="AV637" s="387" t="str">
        <f>IF(AT637=0,"",IF(AND(AT637=3,M637="F",SUMIF(C2:C1334,C637,AS2:AS1334)&lt;=1),SUMIF(C2:C1334,C637,AS2:AS1334),IF(AND(AT637=3,M637="F",SUMIF(C2:C1334,C637,AS2:AS1334)&gt;1),1,"")))</f>
        <v/>
      </c>
      <c r="AW637" s="387">
        <f>SUMIF(C2:C1334,C637,O2:O1334)</f>
        <v>0</v>
      </c>
      <c r="AX637" s="387">
        <f>IF(AND(M637="F",AS637&lt;&gt;0),SUMIF(C2:C1334,C637,W2:W1334),0)</f>
        <v>0</v>
      </c>
      <c r="AY637" s="387" t="str">
        <f t="shared" si="425"/>
        <v/>
      </c>
      <c r="AZ637" s="387" t="str">
        <f t="shared" si="426"/>
        <v/>
      </c>
      <c r="BA637" s="387">
        <f t="shared" si="427"/>
        <v>0</v>
      </c>
      <c r="BB637" s="387">
        <f t="shared" si="396"/>
        <v>0</v>
      </c>
      <c r="BC637" s="387">
        <f t="shared" si="397"/>
        <v>0</v>
      </c>
      <c r="BD637" s="387">
        <f t="shared" si="398"/>
        <v>0</v>
      </c>
      <c r="BE637" s="387">
        <f t="shared" si="399"/>
        <v>0</v>
      </c>
      <c r="BF637" s="387">
        <f t="shared" si="400"/>
        <v>0</v>
      </c>
      <c r="BG637" s="387">
        <f t="shared" si="401"/>
        <v>0</v>
      </c>
      <c r="BH637" s="387">
        <f t="shared" si="402"/>
        <v>0</v>
      </c>
      <c r="BI637" s="387">
        <f t="shared" si="403"/>
        <v>0</v>
      </c>
      <c r="BJ637" s="387">
        <f t="shared" si="404"/>
        <v>0</v>
      </c>
      <c r="BK637" s="387">
        <f t="shared" si="405"/>
        <v>0</v>
      </c>
      <c r="BL637" s="387">
        <f t="shared" si="428"/>
        <v>0</v>
      </c>
      <c r="BM637" s="387">
        <f t="shared" si="429"/>
        <v>0</v>
      </c>
      <c r="BN637" s="387">
        <f t="shared" si="406"/>
        <v>0</v>
      </c>
      <c r="BO637" s="387">
        <f t="shared" si="407"/>
        <v>0</v>
      </c>
      <c r="BP637" s="387">
        <f t="shared" si="408"/>
        <v>0</v>
      </c>
      <c r="BQ637" s="387">
        <f t="shared" si="409"/>
        <v>0</v>
      </c>
      <c r="BR637" s="387">
        <f t="shared" si="410"/>
        <v>0</v>
      </c>
      <c r="BS637" s="387">
        <f t="shared" si="411"/>
        <v>0</v>
      </c>
      <c r="BT637" s="387">
        <f t="shared" si="412"/>
        <v>0</v>
      </c>
      <c r="BU637" s="387">
        <f t="shared" si="413"/>
        <v>0</v>
      </c>
      <c r="BV637" s="387">
        <f t="shared" si="414"/>
        <v>0</v>
      </c>
      <c r="BW637" s="387">
        <f t="shared" si="415"/>
        <v>0</v>
      </c>
      <c r="BX637" s="387">
        <f t="shared" si="430"/>
        <v>0</v>
      </c>
      <c r="BY637" s="387">
        <f t="shared" si="431"/>
        <v>0</v>
      </c>
      <c r="BZ637" s="387">
        <f t="shared" si="432"/>
        <v>0</v>
      </c>
      <c r="CA637" s="387">
        <f t="shared" si="433"/>
        <v>0</v>
      </c>
      <c r="CB637" s="387">
        <f t="shared" si="434"/>
        <v>0</v>
      </c>
      <c r="CC637" s="387">
        <f t="shared" si="416"/>
        <v>0</v>
      </c>
      <c r="CD637" s="387">
        <f t="shared" si="417"/>
        <v>0</v>
      </c>
      <c r="CE637" s="387">
        <f t="shared" si="418"/>
        <v>0</v>
      </c>
      <c r="CF637" s="387">
        <f t="shared" si="419"/>
        <v>0</v>
      </c>
      <c r="CG637" s="387">
        <f t="shared" si="420"/>
        <v>0</v>
      </c>
      <c r="CH637" s="387">
        <f t="shared" si="421"/>
        <v>0</v>
      </c>
      <c r="CI637" s="387">
        <f t="shared" si="422"/>
        <v>0</v>
      </c>
      <c r="CJ637" s="387">
        <f t="shared" si="435"/>
        <v>0</v>
      </c>
      <c r="CK637" s="387" t="str">
        <f t="shared" si="436"/>
        <v/>
      </c>
      <c r="CL637" s="387" t="str">
        <f t="shared" si="437"/>
        <v/>
      </c>
      <c r="CM637" s="387" t="str">
        <f t="shared" si="438"/>
        <v/>
      </c>
      <c r="CN637" s="387" t="str">
        <f t="shared" si="439"/>
        <v>0349-31</v>
      </c>
    </row>
    <row r="638" spans="1:92" ht="15.75" thickBot="1" x14ac:dyDescent="0.3">
      <c r="A638" s="376" t="s">
        <v>161</v>
      </c>
      <c r="B638" s="376" t="s">
        <v>162</v>
      </c>
      <c r="C638" s="376" t="s">
        <v>1369</v>
      </c>
      <c r="D638" s="376" t="s">
        <v>862</v>
      </c>
      <c r="E638" s="376" t="s">
        <v>669</v>
      </c>
      <c r="F638" s="382" t="s">
        <v>225</v>
      </c>
      <c r="G638" s="376" t="s">
        <v>781</v>
      </c>
      <c r="H638" s="378"/>
      <c r="I638" s="378"/>
      <c r="J638" s="376" t="s">
        <v>168</v>
      </c>
      <c r="K638" s="376" t="s">
        <v>863</v>
      </c>
      <c r="L638" s="376" t="s">
        <v>252</v>
      </c>
      <c r="M638" s="376" t="s">
        <v>171</v>
      </c>
      <c r="N638" s="376" t="s">
        <v>172</v>
      </c>
      <c r="O638" s="379">
        <v>1</v>
      </c>
      <c r="P638" s="385">
        <v>0</v>
      </c>
      <c r="Q638" s="385">
        <v>0</v>
      </c>
      <c r="R638" s="380">
        <v>80</v>
      </c>
      <c r="S638" s="385">
        <v>0</v>
      </c>
      <c r="T638" s="380">
        <v>53.46</v>
      </c>
      <c r="U638" s="380">
        <v>0</v>
      </c>
      <c r="V638" s="380">
        <v>29.18</v>
      </c>
      <c r="W638" s="380">
        <v>0</v>
      </c>
      <c r="X638" s="380">
        <v>0</v>
      </c>
      <c r="Y638" s="380">
        <v>0</v>
      </c>
      <c r="Z638" s="380">
        <v>0</v>
      </c>
      <c r="AA638" s="376" t="s">
        <v>1370</v>
      </c>
      <c r="AB638" s="376" t="s">
        <v>1371</v>
      </c>
      <c r="AC638" s="376" t="s">
        <v>1372</v>
      </c>
      <c r="AD638" s="376" t="s">
        <v>292</v>
      </c>
      <c r="AE638" s="376" t="s">
        <v>863</v>
      </c>
      <c r="AF638" s="376" t="s">
        <v>393</v>
      </c>
      <c r="AG638" s="376" t="s">
        <v>178</v>
      </c>
      <c r="AH638" s="381">
        <v>21.56</v>
      </c>
      <c r="AI638" s="381">
        <v>20290.7</v>
      </c>
      <c r="AJ638" s="376" t="s">
        <v>179</v>
      </c>
      <c r="AK638" s="376" t="s">
        <v>180</v>
      </c>
      <c r="AL638" s="376" t="s">
        <v>181</v>
      </c>
      <c r="AM638" s="376" t="s">
        <v>182</v>
      </c>
      <c r="AN638" s="376" t="s">
        <v>68</v>
      </c>
      <c r="AO638" s="379">
        <v>80</v>
      </c>
      <c r="AP638" s="385">
        <v>1</v>
      </c>
      <c r="AQ638" s="385">
        <v>0</v>
      </c>
      <c r="AR638" s="383" t="s">
        <v>183</v>
      </c>
      <c r="AS638" s="387">
        <f t="shared" si="423"/>
        <v>0</v>
      </c>
      <c r="AT638">
        <f t="shared" si="424"/>
        <v>0</v>
      </c>
      <c r="AU638" s="387" t="str">
        <f>IF(AT638=0,"",IF(AND(AT638=1,M638="F",SUMIF(C2:C1334,C638,AS2:AS1334)&lt;=1),SUMIF(C2:C1334,C638,AS2:AS1334),IF(AND(AT638=1,M638="F",SUMIF(C2:C1334,C638,AS2:AS1334)&gt;1),1,"")))</f>
        <v/>
      </c>
      <c r="AV638" s="387" t="str">
        <f>IF(AT638=0,"",IF(AND(AT638=3,M638="F",SUMIF(C2:C1334,C638,AS2:AS1334)&lt;=1),SUMIF(C2:C1334,C638,AS2:AS1334),IF(AND(AT638=3,M638="F",SUMIF(C2:C1334,C638,AS2:AS1334)&gt;1),1,"")))</f>
        <v/>
      </c>
      <c r="AW638" s="387">
        <f>SUMIF(C2:C1334,C638,O2:O1334)</f>
        <v>3</v>
      </c>
      <c r="AX638" s="387">
        <f>IF(AND(M638="F",AS638&lt;&gt;0),SUMIF(C2:C1334,C638,W2:W1334),0)</f>
        <v>0</v>
      </c>
      <c r="AY638" s="387" t="str">
        <f t="shared" si="425"/>
        <v/>
      </c>
      <c r="AZ638" s="387" t="str">
        <f t="shared" si="426"/>
        <v/>
      </c>
      <c r="BA638" s="387">
        <f t="shared" si="427"/>
        <v>0</v>
      </c>
      <c r="BB638" s="387">
        <f t="shared" si="396"/>
        <v>0</v>
      </c>
      <c r="BC638" s="387">
        <f t="shared" si="397"/>
        <v>0</v>
      </c>
      <c r="BD638" s="387">
        <f t="shared" si="398"/>
        <v>0</v>
      </c>
      <c r="BE638" s="387">
        <f t="shared" si="399"/>
        <v>0</v>
      </c>
      <c r="BF638" s="387">
        <f t="shared" si="400"/>
        <v>0</v>
      </c>
      <c r="BG638" s="387">
        <f t="shared" si="401"/>
        <v>0</v>
      </c>
      <c r="BH638" s="387">
        <f t="shared" si="402"/>
        <v>0</v>
      </c>
      <c r="BI638" s="387">
        <f t="shared" si="403"/>
        <v>0</v>
      </c>
      <c r="BJ638" s="387">
        <f t="shared" si="404"/>
        <v>0</v>
      </c>
      <c r="BK638" s="387">
        <f t="shared" si="405"/>
        <v>0</v>
      </c>
      <c r="BL638" s="387">
        <f t="shared" si="428"/>
        <v>0</v>
      </c>
      <c r="BM638" s="387">
        <f t="shared" si="429"/>
        <v>0</v>
      </c>
      <c r="BN638" s="387">
        <f t="shared" si="406"/>
        <v>0</v>
      </c>
      <c r="BO638" s="387">
        <f t="shared" si="407"/>
        <v>0</v>
      </c>
      <c r="BP638" s="387">
        <f t="shared" si="408"/>
        <v>0</v>
      </c>
      <c r="BQ638" s="387">
        <f t="shared" si="409"/>
        <v>0</v>
      </c>
      <c r="BR638" s="387">
        <f t="shared" si="410"/>
        <v>0</v>
      </c>
      <c r="BS638" s="387">
        <f t="shared" si="411"/>
        <v>0</v>
      </c>
      <c r="BT638" s="387">
        <f t="shared" si="412"/>
        <v>0</v>
      </c>
      <c r="BU638" s="387">
        <f t="shared" si="413"/>
        <v>0</v>
      </c>
      <c r="BV638" s="387">
        <f t="shared" si="414"/>
        <v>0</v>
      </c>
      <c r="BW638" s="387">
        <f t="shared" si="415"/>
        <v>0</v>
      </c>
      <c r="BX638" s="387">
        <f t="shared" si="430"/>
        <v>0</v>
      </c>
      <c r="BY638" s="387">
        <f t="shared" si="431"/>
        <v>0</v>
      </c>
      <c r="BZ638" s="387">
        <f t="shared" si="432"/>
        <v>0</v>
      </c>
      <c r="CA638" s="387">
        <f t="shared" si="433"/>
        <v>0</v>
      </c>
      <c r="CB638" s="387">
        <f t="shared" si="434"/>
        <v>0</v>
      </c>
      <c r="CC638" s="387">
        <f t="shared" si="416"/>
        <v>0</v>
      </c>
      <c r="CD638" s="387">
        <f t="shared" si="417"/>
        <v>0</v>
      </c>
      <c r="CE638" s="387">
        <f t="shared" si="418"/>
        <v>0</v>
      </c>
      <c r="CF638" s="387">
        <f t="shared" si="419"/>
        <v>0</v>
      </c>
      <c r="CG638" s="387">
        <f t="shared" si="420"/>
        <v>0</v>
      </c>
      <c r="CH638" s="387">
        <f t="shared" si="421"/>
        <v>0</v>
      </c>
      <c r="CI638" s="387">
        <f t="shared" si="422"/>
        <v>0</v>
      </c>
      <c r="CJ638" s="387">
        <f t="shared" si="435"/>
        <v>0</v>
      </c>
      <c r="CK638" s="387" t="str">
        <f t="shared" si="436"/>
        <v/>
      </c>
      <c r="CL638" s="387" t="str">
        <f t="shared" si="437"/>
        <v/>
      </c>
      <c r="CM638" s="387" t="str">
        <f t="shared" si="438"/>
        <v/>
      </c>
      <c r="CN638" s="387" t="str">
        <f t="shared" si="439"/>
        <v>0349-31</v>
      </c>
    </row>
    <row r="639" spans="1:92" ht="15.75" thickBot="1" x14ac:dyDescent="0.3">
      <c r="A639" s="376" t="s">
        <v>161</v>
      </c>
      <c r="B639" s="376" t="s">
        <v>162</v>
      </c>
      <c r="C639" s="376" t="s">
        <v>934</v>
      </c>
      <c r="D639" s="376" t="s">
        <v>862</v>
      </c>
      <c r="E639" s="376" t="s">
        <v>669</v>
      </c>
      <c r="F639" s="382" t="s">
        <v>225</v>
      </c>
      <c r="G639" s="376" t="s">
        <v>781</v>
      </c>
      <c r="H639" s="378"/>
      <c r="I639" s="378"/>
      <c r="J639" s="376" t="s">
        <v>168</v>
      </c>
      <c r="K639" s="376" t="s">
        <v>863</v>
      </c>
      <c r="L639" s="376" t="s">
        <v>252</v>
      </c>
      <c r="M639" s="376" t="s">
        <v>171</v>
      </c>
      <c r="N639" s="376" t="s">
        <v>172</v>
      </c>
      <c r="O639" s="379">
        <v>1</v>
      </c>
      <c r="P639" s="385">
        <v>0</v>
      </c>
      <c r="Q639" s="385">
        <v>0</v>
      </c>
      <c r="R639" s="380">
        <v>80</v>
      </c>
      <c r="S639" s="385">
        <v>0</v>
      </c>
      <c r="T639" s="380">
        <v>87.26</v>
      </c>
      <c r="U639" s="380">
        <v>0</v>
      </c>
      <c r="V639" s="380">
        <v>33.840000000000003</v>
      </c>
      <c r="W639" s="380">
        <v>0</v>
      </c>
      <c r="X639" s="380">
        <v>0</v>
      </c>
      <c r="Y639" s="380">
        <v>0</v>
      </c>
      <c r="Z639" s="380">
        <v>0</v>
      </c>
      <c r="AA639" s="376" t="s">
        <v>935</v>
      </c>
      <c r="AB639" s="376" t="s">
        <v>936</v>
      </c>
      <c r="AC639" s="376" t="s">
        <v>747</v>
      </c>
      <c r="AD639" s="376" t="s">
        <v>324</v>
      </c>
      <c r="AE639" s="376" t="s">
        <v>863</v>
      </c>
      <c r="AF639" s="376" t="s">
        <v>393</v>
      </c>
      <c r="AG639" s="376" t="s">
        <v>178</v>
      </c>
      <c r="AH639" s="381">
        <v>23.6</v>
      </c>
      <c r="AI639" s="381">
        <v>33730.199999999997</v>
      </c>
      <c r="AJ639" s="376" t="s">
        <v>179</v>
      </c>
      <c r="AK639" s="376" t="s">
        <v>180</v>
      </c>
      <c r="AL639" s="376" t="s">
        <v>181</v>
      </c>
      <c r="AM639" s="376" t="s">
        <v>182</v>
      </c>
      <c r="AN639" s="376" t="s">
        <v>68</v>
      </c>
      <c r="AO639" s="379">
        <v>80</v>
      </c>
      <c r="AP639" s="385">
        <v>1</v>
      </c>
      <c r="AQ639" s="385">
        <v>0</v>
      </c>
      <c r="AR639" s="383" t="s">
        <v>183</v>
      </c>
      <c r="AS639" s="387">
        <f t="shared" si="423"/>
        <v>0</v>
      </c>
      <c r="AT639">
        <f t="shared" si="424"/>
        <v>0</v>
      </c>
      <c r="AU639" s="387" t="str">
        <f>IF(AT639=0,"",IF(AND(AT639=1,M639="F",SUMIF(C2:C1334,C639,AS2:AS1334)&lt;=1),SUMIF(C2:C1334,C639,AS2:AS1334),IF(AND(AT639=1,M639="F",SUMIF(C2:C1334,C639,AS2:AS1334)&gt;1),1,"")))</f>
        <v/>
      </c>
      <c r="AV639" s="387" t="str">
        <f>IF(AT639=0,"",IF(AND(AT639=3,M639="F",SUMIF(C2:C1334,C639,AS2:AS1334)&lt;=1),SUMIF(C2:C1334,C639,AS2:AS1334),IF(AND(AT639=3,M639="F",SUMIF(C2:C1334,C639,AS2:AS1334)&gt;1),1,"")))</f>
        <v/>
      </c>
      <c r="AW639" s="387">
        <f>SUMIF(C2:C1334,C639,O2:O1334)</f>
        <v>3</v>
      </c>
      <c r="AX639" s="387">
        <f>IF(AND(M639="F",AS639&lt;&gt;0),SUMIF(C2:C1334,C639,W2:W1334),0)</f>
        <v>0</v>
      </c>
      <c r="AY639" s="387" t="str">
        <f t="shared" si="425"/>
        <v/>
      </c>
      <c r="AZ639" s="387" t="str">
        <f t="shared" si="426"/>
        <v/>
      </c>
      <c r="BA639" s="387">
        <f t="shared" si="427"/>
        <v>0</v>
      </c>
      <c r="BB639" s="387">
        <f t="shared" si="396"/>
        <v>0</v>
      </c>
      <c r="BC639" s="387">
        <f t="shared" si="397"/>
        <v>0</v>
      </c>
      <c r="BD639" s="387">
        <f t="shared" si="398"/>
        <v>0</v>
      </c>
      <c r="BE639" s="387">
        <f t="shared" si="399"/>
        <v>0</v>
      </c>
      <c r="BF639" s="387">
        <f t="shared" si="400"/>
        <v>0</v>
      </c>
      <c r="BG639" s="387">
        <f t="shared" si="401"/>
        <v>0</v>
      </c>
      <c r="BH639" s="387">
        <f t="shared" si="402"/>
        <v>0</v>
      </c>
      <c r="BI639" s="387">
        <f t="shared" si="403"/>
        <v>0</v>
      </c>
      <c r="BJ639" s="387">
        <f t="shared" si="404"/>
        <v>0</v>
      </c>
      <c r="BK639" s="387">
        <f t="shared" si="405"/>
        <v>0</v>
      </c>
      <c r="BL639" s="387">
        <f t="shared" si="428"/>
        <v>0</v>
      </c>
      <c r="BM639" s="387">
        <f t="shared" si="429"/>
        <v>0</v>
      </c>
      <c r="BN639" s="387">
        <f t="shared" si="406"/>
        <v>0</v>
      </c>
      <c r="BO639" s="387">
        <f t="shared" si="407"/>
        <v>0</v>
      </c>
      <c r="BP639" s="387">
        <f t="shared" si="408"/>
        <v>0</v>
      </c>
      <c r="BQ639" s="387">
        <f t="shared" si="409"/>
        <v>0</v>
      </c>
      <c r="BR639" s="387">
        <f t="shared" si="410"/>
        <v>0</v>
      </c>
      <c r="BS639" s="387">
        <f t="shared" si="411"/>
        <v>0</v>
      </c>
      <c r="BT639" s="387">
        <f t="shared" si="412"/>
        <v>0</v>
      </c>
      <c r="BU639" s="387">
        <f t="shared" si="413"/>
        <v>0</v>
      </c>
      <c r="BV639" s="387">
        <f t="shared" si="414"/>
        <v>0</v>
      </c>
      <c r="BW639" s="387">
        <f t="shared" si="415"/>
        <v>0</v>
      </c>
      <c r="BX639" s="387">
        <f t="shared" si="430"/>
        <v>0</v>
      </c>
      <c r="BY639" s="387">
        <f t="shared" si="431"/>
        <v>0</v>
      </c>
      <c r="BZ639" s="387">
        <f t="shared" si="432"/>
        <v>0</v>
      </c>
      <c r="CA639" s="387">
        <f t="shared" si="433"/>
        <v>0</v>
      </c>
      <c r="CB639" s="387">
        <f t="shared" si="434"/>
        <v>0</v>
      </c>
      <c r="CC639" s="387">
        <f t="shared" si="416"/>
        <v>0</v>
      </c>
      <c r="CD639" s="387">
        <f t="shared" si="417"/>
        <v>0</v>
      </c>
      <c r="CE639" s="387">
        <f t="shared" si="418"/>
        <v>0</v>
      </c>
      <c r="CF639" s="387">
        <f t="shared" si="419"/>
        <v>0</v>
      </c>
      <c r="CG639" s="387">
        <f t="shared" si="420"/>
        <v>0</v>
      </c>
      <c r="CH639" s="387">
        <f t="shared" si="421"/>
        <v>0</v>
      </c>
      <c r="CI639" s="387">
        <f t="shared" si="422"/>
        <v>0</v>
      </c>
      <c r="CJ639" s="387">
        <f t="shared" si="435"/>
        <v>0</v>
      </c>
      <c r="CK639" s="387" t="str">
        <f t="shared" si="436"/>
        <v/>
      </c>
      <c r="CL639" s="387" t="str">
        <f t="shared" si="437"/>
        <v/>
      </c>
      <c r="CM639" s="387" t="str">
        <f t="shared" si="438"/>
        <v/>
      </c>
      <c r="CN639" s="387" t="str">
        <f t="shared" si="439"/>
        <v>0349-31</v>
      </c>
    </row>
    <row r="640" spans="1:92" ht="15.75" thickBot="1" x14ac:dyDescent="0.3">
      <c r="A640" s="376" t="s">
        <v>161</v>
      </c>
      <c r="B640" s="376" t="s">
        <v>162</v>
      </c>
      <c r="C640" s="376" t="s">
        <v>1010</v>
      </c>
      <c r="D640" s="376" t="s">
        <v>862</v>
      </c>
      <c r="E640" s="376" t="s">
        <v>669</v>
      </c>
      <c r="F640" s="382" t="s">
        <v>225</v>
      </c>
      <c r="G640" s="376" t="s">
        <v>781</v>
      </c>
      <c r="H640" s="378"/>
      <c r="I640" s="378"/>
      <c r="J640" s="376" t="s">
        <v>168</v>
      </c>
      <c r="K640" s="376" t="s">
        <v>863</v>
      </c>
      <c r="L640" s="376" t="s">
        <v>252</v>
      </c>
      <c r="M640" s="376" t="s">
        <v>171</v>
      </c>
      <c r="N640" s="376" t="s">
        <v>172</v>
      </c>
      <c r="O640" s="379">
        <v>1</v>
      </c>
      <c r="P640" s="385">
        <v>0</v>
      </c>
      <c r="Q640" s="385">
        <v>0</v>
      </c>
      <c r="R640" s="380">
        <v>80</v>
      </c>
      <c r="S640" s="385">
        <v>0</v>
      </c>
      <c r="T640" s="380">
        <v>95.36</v>
      </c>
      <c r="U640" s="380">
        <v>0</v>
      </c>
      <c r="V640" s="380">
        <v>32.380000000000003</v>
      </c>
      <c r="W640" s="380">
        <v>0</v>
      </c>
      <c r="X640" s="380">
        <v>0</v>
      </c>
      <c r="Y640" s="380">
        <v>0</v>
      </c>
      <c r="Z640" s="380">
        <v>0</v>
      </c>
      <c r="AA640" s="376" t="s">
        <v>1011</v>
      </c>
      <c r="AB640" s="376" t="s">
        <v>1012</v>
      </c>
      <c r="AC640" s="376" t="s">
        <v>1013</v>
      </c>
      <c r="AD640" s="376" t="s">
        <v>324</v>
      </c>
      <c r="AE640" s="376" t="s">
        <v>863</v>
      </c>
      <c r="AF640" s="376" t="s">
        <v>393</v>
      </c>
      <c r="AG640" s="376" t="s">
        <v>178</v>
      </c>
      <c r="AH640" s="381">
        <v>21.05</v>
      </c>
      <c r="AI640" s="381">
        <v>16174.1</v>
      </c>
      <c r="AJ640" s="376" t="s">
        <v>179</v>
      </c>
      <c r="AK640" s="376" t="s">
        <v>180</v>
      </c>
      <c r="AL640" s="376" t="s">
        <v>181</v>
      </c>
      <c r="AM640" s="376" t="s">
        <v>182</v>
      </c>
      <c r="AN640" s="376" t="s">
        <v>68</v>
      </c>
      <c r="AO640" s="379">
        <v>80</v>
      </c>
      <c r="AP640" s="385">
        <v>1</v>
      </c>
      <c r="AQ640" s="385">
        <v>0</v>
      </c>
      <c r="AR640" s="383" t="s">
        <v>183</v>
      </c>
      <c r="AS640" s="387">
        <f t="shared" si="423"/>
        <v>0</v>
      </c>
      <c r="AT640">
        <f t="shared" si="424"/>
        <v>0</v>
      </c>
      <c r="AU640" s="387" t="str">
        <f>IF(AT640=0,"",IF(AND(AT640=1,M640="F",SUMIF(C2:C1334,C640,AS2:AS1334)&lt;=1),SUMIF(C2:C1334,C640,AS2:AS1334),IF(AND(AT640=1,M640="F",SUMIF(C2:C1334,C640,AS2:AS1334)&gt;1),1,"")))</f>
        <v/>
      </c>
      <c r="AV640" s="387" t="str">
        <f>IF(AT640=0,"",IF(AND(AT640=3,M640="F",SUMIF(C2:C1334,C640,AS2:AS1334)&lt;=1),SUMIF(C2:C1334,C640,AS2:AS1334),IF(AND(AT640=3,M640="F",SUMIF(C2:C1334,C640,AS2:AS1334)&gt;1),1,"")))</f>
        <v/>
      </c>
      <c r="AW640" s="387">
        <f>SUMIF(C2:C1334,C640,O2:O1334)</f>
        <v>3</v>
      </c>
      <c r="AX640" s="387">
        <f>IF(AND(M640="F",AS640&lt;&gt;0),SUMIF(C2:C1334,C640,W2:W1334),0)</f>
        <v>0</v>
      </c>
      <c r="AY640" s="387" t="str">
        <f t="shared" si="425"/>
        <v/>
      </c>
      <c r="AZ640" s="387" t="str">
        <f t="shared" si="426"/>
        <v/>
      </c>
      <c r="BA640" s="387">
        <f t="shared" si="427"/>
        <v>0</v>
      </c>
      <c r="BB640" s="387">
        <f t="shared" si="396"/>
        <v>0</v>
      </c>
      <c r="BC640" s="387">
        <f t="shared" si="397"/>
        <v>0</v>
      </c>
      <c r="BD640" s="387">
        <f t="shared" si="398"/>
        <v>0</v>
      </c>
      <c r="BE640" s="387">
        <f t="shared" si="399"/>
        <v>0</v>
      </c>
      <c r="BF640" s="387">
        <f t="shared" si="400"/>
        <v>0</v>
      </c>
      <c r="BG640" s="387">
        <f t="shared" si="401"/>
        <v>0</v>
      </c>
      <c r="BH640" s="387">
        <f t="shared" si="402"/>
        <v>0</v>
      </c>
      <c r="BI640" s="387">
        <f t="shared" si="403"/>
        <v>0</v>
      </c>
      <c r="BJ640" s="387">
        <f t="shared" si="404"/>
        <v>0</v>
      </c>
      <c r="BK640" s="387">
        <f t="shared" si="405"/>
        <v>0</v>
      </c>
      <c r="BL640" s="387">
        <f t="shared" si="428"/>
        <v>0</v>
      </c>
      <c r="BM640" s="387">
        <f t="shared" si="429"/>
        <v>0</v>
      </c>
      <c r="BN640" s="387">
        <f t="shared" si="406"/>
        <v>0</v>
      </c>
      <c r="BO640" s="387">
        <f t="shared" si="407"/>
        <v>0</v>
      </c>
      <c r="BP640" s="387">
        <f t="shared" si="408"/>
        <v>0</v>
      </c>
      <c r="BQ640" s="387">
        <f t="shared" si="409"/>
        <v>0</v>
      </c>
      <c r="BR640" s="387">
        <f t="shared" si="410"/>
        <v>0</v>
      </c>
      <c r="BS640" s="387">
        <f t="shared" si="411"/>
        <v>0</v>
      </c>
      <c r="BT640" s="387">
        <f t="shared" si="412"/>
        <v>0</v>
      </c>
      <c r="BU640" s="387">
        <f t="shared" si="413"/>
        <v>0</v>
      </c>
      <c r="BV640" s="387">
        <f t="shared" si="414"/>
        <v>0</v>
      </c>
      <c r="BW640" s="387">
        <f t="shared" si="415"/>
        <v>0</v>
      </c>
      <c r="BX640" s="387">
        <f t="shared" si="430"/>
        <v>0</v>
      </c>
      <c r="BY640" s="387">
        <f t="shared" si="431"/>
        <v>0</v>
      </c>
      <c r="BZ640" s="387">
        <f t="shared" si="432"/>
        <v>0</v>
      </c>
      <c r="CA640" s="387">
        <f t="shared" si="433"/>
        <v>0</v>
      </c>
      <c r="CB640" s="387">
        <f t="shared" si="434"/>
        <v>0</v>
      </c>
      <c r="CC640" s="387">
        <f t="shared" si="416"/>
        <v>0</v>
      </c>
      <c r="CD640" s="387">
        <f t="shared" si="417"/>
        <v>0</v>
      </c>
      <c r="CE640" s="387">
        <f t="shared" si="418"/>
        <v>0</v>
      </c>
      <c r="CF640" s="387">
        <f t="shared" si="419"/>
        <v>0</v>
      </c>
      <c r="CG640" s="387">
        <f t="shared" si="420"/>
        <v>0</v>
      </c>
      <c r="CH640" s="387">
        <f t="shared" si="421"/>
        <v>0</v>
      </c>
      <c r="CI640" s="387">
        <f t="shared" si="422"/>
        <v>0</v>
      </c>
      <c r="CJ640" s="387">
        <f t="shared" si="435"/>
        <v>0</v>
      </c>
      <c r="CK640" s="387" t="str">
        <f t="shared" si="436"/>
        <v/>
      </c>
      <c r="CL640" s="387" t="str">
        <f t="shared" si="437"/>
        <v/>
      </c>
      <c r="CM640" s="387" t="str">
        <f t="shared" si="438"/>
        <v/>
      </c>
      <c r="CN640" s="387" t="str">
        <f t="shared" si="439"/>
        <v>0349-31</v>
      </c>
    </row>
    <row r="641" spans="1:92" ht="15.75" thickBot="1" x14ac:dyDescent="0.3">
      <c r="A641" s="376" t="s">
        <v>161</v>
      </c>
      <c r="B641" s="376" t="s">
        <v>162</v>
      </c>
      <c r="C641" s="376" t="s">
        <v>1420</v>
      </c>
      <c r="D641" s="376" t="s">
        <v>862</v>
      </c>
      <c r="E641" s="376" t="s">
        <v>669</v>
      </c>
      <c r="F641" s="382" t="s">
        <v>225</v>
      </c>
      <c r="G641" s="376" t="s">
        <v>781</v>
      </c>
      <c r="H641" s="378"/>
      <c r="I641" s="378"/>
      <c r="J641" s="376" t="s">
        <v>239</v>
      </c>
      <c r="K641" s="376" t="s">
        <v>863</v>
      </c>
      <c r="L641" s="376" t="s">
        <v>252</v>
      </c>
      <c r="M641" s="376" t="s">
        <v>171</v>
      </c>
      <c r="N641" s="376" t="s">
        <v>172</v>
      </c>
      <c r="O641" s="379">
        <v>1</v>
      </c>
      <c r="P641" s="385">
        <v>0</v>
      </c>
      <c r="Q641" s="385">
        <v>0</v>
      </c>
      <c r="R641" s="380">
        <v>80</v>
      </c>
      <c r="S641" s="385">
        <v>0</v>
      </c>
      <c r="T641" s="380">
        <v>166.58</v>
      </c>
      <c r="U641" s="380">
        <v>0</v>
      </c>
      <c r="V641" s="380">
        <v>118.24</v>
      </c>
      <c r="W641" s="380">
        <v>0</v>
      </c>
      <c r="X641" s="380">
        <v>0</v>
      </c>
      <c r="Y641" s="380">
        <v>0</v>
      </c>
      <c r="Z641" s="380">
        <v>0</v>
      </c>
      <c r="AA641" s="376" t="s">
        <v>1421</v>
      </c>
      <c r="AB641" s="376" t="s">
        <v>1422</v>
      </c>
      <c r="AC641" s="376" t="s">
        <v>1423</v>
      </c>
      <c r="AD641" s="376" t="s">
        <v>1424</v>
      </c>
      <c r="AE641" s="376" t="s">
        <v>863</v>
      </c>
      <c r="AF641" s="376" t="s">
        <v>393</v>
      </c>
      <c r="AG641" s="376" t="s">
        <v>178</v>
      </c>
      <c r="AH641" s="381">
        <v>18.54</v>
      </c>
      <c r="AI641" s="379">
        <v>1520</v>
      </c>
      <c r="AJ641" s="376" t="s">
        <v>179</v>
      </c>
      <c r="AK641" s="376" t="s">
        <v>180</v>
      </c>
      <c r="AL641" s="376" t="s">
        <v>181</v>
      </c>
      <c r="AM641" s="376" t="s">
        <v>182</v>
      </c>
      <c r="AN641" s="376" t="s">
        <v>68</v>
      </c>
      <c r="AO641" s="379">
        <v>80</v>
      </c>
      <c r="AP641" s="385">
        <v>1</v>
      </c>
      <c r="AQ641" s="385">
        <v>0</v>
      </c>
      <c r="AR641" s="383" t="s">
        <v>183</v>
      </c>
      <c r="AS641" s="387">
        <f t="shared" si="423"/>
        <v>0</v>
      </c>
      <c r="AT641">
        <f t="shared" si="424"/>
        <v>0</v>
      </c>
      <c r="AU641" s="387" t="str">
        <f>IF(AT641=0,"",IF(AND(AT641=1,M641="F",SUMIF(C2:C1334,C641,AS2:AS1334)&lt;=1),SUMIF(C2:C1334,C641,AS2:AS1334),IF(AND(AT641=1,M641="F",SUMIF(C2:C1334,C641,AS2:AS1334)&gt;1),1,"")))</f>
        <v/>
      </c>
      <c r="AV641" s="387" t="str">
        <f>IF(AT641=0,"",IF(AND(AT641=3,M641="F",SUMIF(C2:C1334,C641,AS2:AS1334)&lt;=1),SUMIF(C2:C1334,C641,AS2:AS1334),IF(AND(AT641=3,M641="F",SUMIF(C2:C1334,C641,AS2:AS1334)&gt;1),1,"")))</f>
        <v/>
      </c>
      <c r="AW641" s="387">
        <f>SUMIF(C2:C1334,C641,O2:O1334)</f>
        <v>3</v>
      </c>
      <c r="AX641" s="387">
        <f>IF(AND(M641="F",AS641&lt;&gt;0),SUMIF(C2:C1334,C641,W2:W1334),0)</f>
        <v>0</v>
      </c>
      <c r="AY641" s="387" t="str">
        <f t="shared" si="425"/>
        <v/>
      </c>
      <c r="AZ641" s="387" t="str">
        <f t="shared" si="426"/>
        <v/>
      </c>
      <c r="BA641" s="387">
        <f t="shared" si="427"/>
        <v>0</v>
      </c>
      <c r="BB641" s="387">
        <f t="shared" si="396"/>
        <v>0</v>
      </c>
      <c r="BC641" s="387">
        <f t="shared" si="397"/>
        <v>0</v>
      </c>
      <c r="BD641" s="387">
        <f t="shared" si="398"/>
        <v>0</v>
      </c>
      <c r="BE641" s="387">
        <f t="shared" si="399"/>
        <v>0</v>
      </c>
      <c r="BF641" s="387">
        <f t="shared" si="400"/>
        <v>0</v>
      </c>
      <c r="BG641" s="387">
        <f t="shared" si="401"/>
        <v>0</v>
      </c>
      <c r="BH641" s="387">
        <f t="shared" si="402"/>
        <v>0</v>
      </c>
      <c r="BI641" s="387">
        <f t="shared" si="403"/>
        <v>0</v>
      </c>
      <c r="BJ641" s="387">
        <f t="shared" si="404"/>
        <v>0</v>
      </c>
      <c r="BK641" s="387">
        <f t="shared" si="405"/>
        <v>0</v>
      </c>
      <c r="BL641" s="387">
        <f t="shared" si="428"/>
        <v>0</v>
      </c>
      <c r="BM641" s="387">
        <f t="shared" si="429"/>
        <v>0</v>
      </c>
      <c r="BN641" s="387">
        <f t="shared" si="406"/>
        <v>0</v>
      </c>
      <c r="BO641" s="387">
        <f t="shared" si="407"/>
        <v>0</v>
      </c>
      <c r="BP641" s="387">
        <f t="shared" si="408"/>
        <v>0</v>
      </c>
      <c r="BQ641" s="387">
        <f t="shared" si="409"/>
        <v>0</v>
      </c>
      <c r="BR641" s="387">
        <f t="shared" si="410"/>
        <v>0</v>
      </c>
      <c r="BS641" s="387">
        <f t="shared" si="411"/>
        <v>0</v>
      </c>
      <c r="BT641" s="387">
        <f t="shared" si="412"/>
        <v>0</v>
      </c>
      <c r="BU641" s="387">
        <f t="shared" si="413"/>
        <v>0</v>
      </c>
      <c r="BV641" s="387">
        <f t="shared" si="414"/>
        <v>0</v>
      </c>
      <c r="BW641" s="387">
        <f t="shared" si="415"/>
        <v>0</v>
      </c>
      <c r="BX641" s="387">
        <f t="shared" si="430"/>
        <v>0</v>
      </c>
      <c r="BY641" s="387">
        <f t="shared" si="431"/>
        <v>0</v>
      </c>
      <c r="BZ641" s="387">
        <f t="shared" si="432"/>
        <v>0</v>
      </c>
      <c r="CA641" s="387">
        <f t="shared" si="433"/>
        <v>0</v>
      </c>
      <c r="CB641" s="387">
        <f t="shared" si="434"/>
        <v>0</v>
      </c>
      <c r="CC641" s="387">
        <f t="shared" si="416"/>
        <v>0</v>
      </c>
      <c r="CD641" s="387">
        <f t="shared" si="417"/>
        <v>0</v>
      </c>
      <c r="CE641" s="387">
        <f t="shared" si="418"/>
        <v>0</v>
      </c>
      <c r="CF641" s="387">
        <f t="shared" si="419"/>
        <v>0</v>
      </c>
      <c r="CG641" s="387">
        <f t="shared" si="420"/>
        <v>0</v>
      </c>
      <c r="CH641" s="387">
        <f t="shared" si="421"/>
        <v>0</v>
      </c>
      <c r="CI641" s="387">
        <f t="shared" si="422"/>
        <v>0</v>
      </c>
      <c r="CJ641" s="387">
        <f t="shared" si="435"/>
        <v>0</v>
      </c>
      <c r="CK641" s="387" t="str">
        <f t="shared" si="436"/>
        <v/>
      </c>
      <c r="CL641" s="387" t="str">
        <f t="shared" si="437"/>
        <v/>
      </c>
      <c r="CM641" s="387" t="str">
        <f t="shared" si="438"/>
        <v/>
      </c>
      <c r="CN641" s="387" t="str">
        <f t="shared" si="439"/>
        <v>0349-31</v>
      </c>
    </row>
    <row r="642" spans="1:92" ht="15.75" thickBot="1" x14ac:dyDescent="0.3">
      <c r="A642" s="376" t="s">
        <v>161</v>
      </c>
      <c r="B642" s="376" t="s">
        <v>162</v>
      </c>
      <c r="C642" s="376" t="s">
        <v>523</v>
      </c>
      <c r="D642" s="376" t="s">
        <v>524</v>
      </c>
      <c r="E642" s="376" t="s">
        <v>669</v>
      </c>
      <c r="F642" s="382" t="s">
        <v>225</v>
      </c>
      <c r="G642" s="376" t="s">
        <v>781</v>
      </c>
      <c r="H642" s="378"/>
      <c r="I642" s="378"/>
      <c r="J642" s="376" t="s">
        <v>215</v>
      </c>
      <c r="K642" s="376" t="s">
        <v>525</v>
      </c>
      <c r="L642" s="376" t="s">
        <v>170</v>
      </c>
      <c r="M642" s="376" t="s">
        <v>171</v>
      </c>
      <c r="N642" s="376" t="s">
        <v>172</v>
      </c>
      <c r="O642" s="379">
        <v>1</v>
      </c>
      <c r="P642" s="385">
        <v>0</v>
      </c>
      <c r="Q642" s="385">
        <v>0</v>
      </c>
      <c r="R642" s="380">
        <v>80</v>
      </c>
      <c r="S642" s="385">
        <v>0</v>
      </c>
      <c r="T642" s="380">
        <v>18428.849999999999</v>
      </c>
      <c r="U642" s="380">
        <v>0</v>
      </c>
      <c r="V642" s="380">
        <v>8188.91</v>
      </c>
      <c r="W642" s="380">
        <v>0</v>
      </c>
      <c r="X642" s="380">
        <v>0</v>
      </c>
      <c r="Y642" s="380">
        <v>0</v>
      </c>
      <c r="Z642" s="380">
        <v>0</v>
      </c>
      <c r="AA642" s="376" t="s">
        <v>526</v>
      </c>
      <c r="AB642" s="376" t="s">
        <v>527</v>
      </c>
      <c r="AC642" s="376" t="s">
        <v>528</v>
      </c>
      <c r="AD642" s="376" t="s">
        <v>324</v>
      </c>
      <c r="AE642" s="376" t="s">
        <v>525</v>
      </c>
      <c r="AF642" s="376" t="s">
        <v>177</v>
      </c>
      <c r="AG642" s="376" t="s">
        <v>178</v>
      </c>
      <c r="AH642" s="379">
        <v>23</v>
      </c>
      <c r="AI642" s="379">
        <v>80</v>
      </c>
      <c r="AJ642" s="376" t="s">
        <v>179</v>
      </c>
      <c r="AK642" s="376" t="s">
        <v>180</v>
      </c>
      <c r="AL642" s="376" t="s">
        <v>181</v>
      </c>
      <c r="AM642" s="376" t="s">
        <v>182</v>
      </c>
      <c r="AN642" s="376" t="s">
        <v>68</v>
      </c>
      <c r="AO642" s="379">
        <v>80</v>
      </c>
      <c r="AP642" s="385">
        <v>1</v>
      </c>
      <c r="AQ642" s="385">
        <v>0</v>
      </c>
      <c r="AR642" s="383" t="s">
        <v>183</v>
      </c>
      <c r="AS642" s="387">
        <f t="shared" si="423"/>
        <v>0</v>
      </c>
      <c r="AT642">
        <f t="shared" si="424"/>
        <v>0</v>
      </c>
      <c r="AU642" s="387" t="str">
        <f>IF(AT642=0,"",IF(AND(AT642=1,M642="F",SUMIF(C2:C1334,C642,AS2:AS1334)&lt;=1),SUMIF(C2:C1334,C642,AS2:AS1334),IF(AND(AT642=1,M642="F",SUMIF(C2:C1334,C642,AS2:AS1334)&gt;1),1,"")))</f>
        <v/>
      </c>
      <c r="AV642" s="387" t="str">
        <f>IF(AT642=0,"",IF(AND(AT642=3,M642="F",SUMIF(C2:C1334,C642,AS2:AS1334)&lt;=1),SUMIF(C2:C1334,C642,AS2:AS1334),IF(AND(AT642=3,M642="F",SUMIF(C2:C1334,C642,AS2:AS1334)&gt;1),1,"")))</f>
        <v/>
      </c>
      <c r="AW642" s="387">
        <f>SUMIF(C2:C1334,C642,O2:O1334)</f>
        <v>4</v>
      </c>
      <c r="AX642" s="387">
        <f>IF(AND(M642="F",AS642&lt;&gt;0),SUMIF(C2:C1334,C642,W2:W1334),0)</f>
        <v>0</v>
      </c>
      <c r="AY642" s="387" t="str">
        <f t="shared" si="425"/>
        <v/>
      </c>
      <c r="AZ642" s="387" t="str">
        <f t="shared" si="426"/>
        <v/>
      </c>
      <c r="BA642" s="387">
        <f t="shared" si="427"/>
        <v>0</v>
      </c>
      <c r="BB642" s="387">
        <f t="shared" ref="BB642:BB705" si="440">IF(AND(AT642=1,AK642="E",AU642&gt;=0.75,AW642=1),Health,IF(AND(AT642=1,AK642="E",AU642&gt;=0.75),Health*P642,IF(AND(AT642=1,AK642="E",AU642&gt;=0.5,AW642=1),PTHealth,IF(AND(AT642=1,AK642="E",AU642&gt;=0.5),PTHealth*P642,0))))</f>
        <v>0</v>
      </c>
      <c r="BC642" s="387">
        <f t="shared" ref="BC642:BC705" si="441">IF(AND(AT642=3,AK642="E",AV642&gt;=0.75,AW642=1),Health,IF(AND(AT642=3,AK642="E",AV642&gt;=0.75),Health*P642,IF(AND(AT642=3,AK642="E",AV642&gt;=0.5,AW642=1),PTHealth,IF(AND(AT642=3,AK642="E",AV642&gt;=0.5),PTHealth*P642,0))))</f>
        <v>0</v>
      </c>
      <c r="BD642" s="387">
        <f t="shared" ref="BD642:BD705" si="442">IF(AND(AT642&lt;&gt;0,AX642&gt;=MAXSSDI),SSDI*MAXSSDI*P642,IF(AT642&lt;&gt;0,SSDI*W642,0))</f>
        <v>0</v>
      </c>
      <c r="BE642" s="387">
        <f t="shared" ref="BE642:BE705" si="443">IF(AT642&lt;&gt;0,SSHI*W642,0)</f>
        <v>0</v>
      </c>
      <c r="BF642" s="387">
        <f t="shared" ref="BF642:BF705" si="444">IF(AND(AT642&lt;&gt;0,AN642&lt;&gt;"NE"),VLOOKUP(AN642,Retirement_Rates,3,FALSE)*W642,0)</f>
        <v>0</v>
      </c>
      <c r="BG642" s="387">
        <f t="shared" ref="BG642:BG705" si="445">IF(AND(AT642&lt;&gt;0,AJ642&lt;&gt;"PF"),Life*W642,0)</f>
        <v>0</v>
      </c>
      <c r="BH642" s="387">
        <f t="shared" ref="BH642:BH705" si="446">IF(AND(AT642&lt;&gt;0,AM642="Y"),UI*W642,0)</f>
        <v>0</v>
      </c>
      <c r="BI642" s="387">
        <f t="shared" ref="BI642:BI705" si="447">IF(AND(AT642&lt;&gt;0,N642&lt;&gt;"NR"),DHR*W642,0)</f>
        <v>0</v>
      </c>
      <c r="BJ642" s="387">
        <f t="shared" ref="BJ642:BJ705" si="448">IF(AT642&lt;&gt;0,WC*W642,0)</f>
        <v>0</v>
      </c>
      <c r="BK642" s="387">
        <f t="shared" ref="BK642:BK705" si="449">IF(OR(AND(AT642&lt;&gt;0,AJ642&lt;&gt;"PF",AN642&lt;&gt;"NE",AG642&lt;&gt;"A"),AND(AL642="E",OR(AT642=1,AT642=3))),Sick*W642,0)</f>
        <v>0</v>
      </c>
      <c r="BL642" s="387">
        <f t="shared" si="428"/>
        <v>0</v>
      </c>
      <c r="BM642" s="387">
        <f t="shared" si="429"/>
        <v>0</v>
      </c>
      <c r="BN642" s="387">
        <f t="shared" ref="BN642:BN705" si="450">IF(AND(AT642=1,AK642="E",AU642&gt;=0.75,AW642=1),HealthBY,IF(AND(AT642=1,AK642="E",AU642&gt;=0.75),HealthBY*P642,IF(AND(AT642=1,AK642="E",AU642&gt;=0.5,AW642=1),PTHealthBY,IF(AND(AT642=1,AK642="E",AU642&gt;=0.5),PTHealthBY*P642,0))))</f>
        <v>0</v>
      </c>
      <c r="BO642" s="387">
        <f t="shared" ref="BO642:BO705" si="451">IF(AND(AT642=3,AK642="E",AV642&gt;=0.75,AW642=1),HealthBY,IF(AND(AT642=3,AK642="E",AV642&gt;=0.75),HealthBY*P642,IF(AND(AT642=3,AK642="E",AV642&gt;=0.5,AW642=1),PTHealthBY,IF(AND(AT642=3,AK642="E",AV642&gt;=0.5),PTHealthBY*P642,0))))</f>
        <v>0</v>
      </c>
      <c r="BP642" s="387">
        <f t="shared" ref="BP642:BP705" si="452">IF(AND(AT642&lt;&gt;0,(AX642+BA642)&gt;=MAXSSDIBY),SSDIBY*MAXSSDIBY*P642,IF(AT642&lt;&gt;0,SSDIBY*W642,0))</f>
        <v>0</v>
      </c>
      <c r="BQ642" s="387">
        <f t="shared" ref="BQ642:BQ705" si="453">IF(AT642&lt;&gt;0,SSHIBY*W642,0)</f>
        <v>0</v>
      </c>
      <c r="BR642" s="387">
        <f t="shared" ref="BR642:BR705" si="454">IF(AND(AT642&lt;&gt;0,AN642&lt;&gt;"NE"),VLOOKUP(AN642,Retirement_Rates,4,FALSE)*W642,0)</f>
        <v>0</v>
      </c>
      <c r="BS642" s="387">
        <f t="shared" ref="BS642:BS705" si="455">IF(AND(AT642&lt;&gt;0,AJ642&lt;&gt;"PF"),LifeBY*W642,0)</f>
        <v>0</v>
      </c>
      <c r="BT642" s="387">
        <f t="shared" ref="BT642:BT705" si="456">IF(AND(AT642&lt;&gt;0,AM642="Y"),UIBY*W642,0)</f>
        <v>0</v>
      </c>
      <c r="BU642" s="387">
        <f t="shared" ref="BU642:BU705" si="457">IF(AND(AT642&lt;&gt;0,N642&lt;&gt;"NR"),DHRBY*W642,0)</f>
        <v>0</v>
      </c>
      <c r="BV642" s="387">
        <f t="shared" ref="BV642:BV705" si="458">IF(AT642&lt;&gt;0,WCBY*W642,0)</f>
        <v>0</v>
      </c>
      <c r="BW642" s="387">
        <f t="shared" ref="BW642:BW705" si="459">IF(OR(AND(AT642&lt;&gt;0,AJ642&lt;&gt;"PF",AN642&lt;&gt;"NE",AG642&lt;&gt;"A"),AND(AL642="E",OR(AT642=1,AT642=3))),SickBY*W642,0)</f>
        <v>0</v>
      </c>
      <c r="BX642" s="387">
        <f t="shared" si="430"/>
        <v>0</v>
      </c>
      <c r="BY642" s="387">
        <f t="shared" si="431"/>
        <v>0</v>
      </c>
      <c r="BZ642" s="387">
        <f t="shared" si="432"/>
        <v>0</v>
      </c>
      <c r="CA642" s="387">
        <f t="shared" si="433"/>
        <v>0</v>
      </c>
      <c r="CB642" s="387">
        <f t="shared" si="434"/>
        <v>0</v>
      </c>
      <c r="CC642" s="387">
        <f t="shared" ref="CC642:CC705" si="460">IF(AT642&lt;&gt;0,SSHICHG*Y642,0)</f>
        <v>0</v>
      </c>
      <c r="CD642" s="387">
        <f t="shared" ref="CD642:CD705" si="461">IF(AND(AT642&lt;&gt;0,AN642&lt;&gt;"NE"),VLOOKUP(AN642,Retirement_Rates,5,FALSE)*Y642,0)</f>
        <v>0</v>
      </c>
      <c r="CE642" s="387">
        <f t="shared" ref="CE642:CE705" si="462">IF(AND(AT642&lt;&gt;0,AJ642&lt;&gt;"PF"),LifeCHG*Y642,0)</f>
        <v>0</v>
      </c>
      <c r="CF642" s="387">
        <f t="shared" ref="CF642:CF705" si="463">IF(AND(AT642&lt;&gt;0,AM642="Y"),UICHG*Y642,0)</f>
        <v>0</v>
      </c>
      <c r="CG642" s="387">
        <f t="shared" ref="CG642:CG705" si="464">IF(AND(AT642&lt;&gt;0,N642&lt;&gt;"NR"),DHRCHG*Y642,0)</f>
        <v>0</v>
      </c>
      <c r="CH642" s="387">
        <f t="shared" ref="CH642:CH705" si="465">IF(AT642&lt;&gt;0,WCCHG*Y642,0)</f>
        <v>0</v>
      </c>
      <c r="CI642" s="387">
        <f t="shared" ref="CI642:CI705" si="466">IF(OR(AND(AT642&lt;&gt;0,AJ642&lt;&gt;"PF",AN642&lt;&gt;"NE",AG642&lt;&gt;"A"),AND(AL642="E",OR(AT642=1,AT642=3))),SickCHG*Y642,0)</f>
        <v>0</v>
      </c>
      <c r="CJ642" s="387">
        <f t="shared" si="435"/>
        <v>0</v>
      </c>
      <c r="CK642" s="387" t="str">
        <f t="shared" si="436"/>
        <v/>
      </c>
      <c r="CL642" s="387" t="str">
        <f t="shared" si="437"/>
        <v/>
      </c>
      <c r="CM642" s="387" t="str">
        <f t="shared" si="438"/>
        <v/>
      </c>
      <c r="CN642" s="387" t="str">
        <f t="shared" si="439"/>
        <v>0349-31</v>
      </c>
    </row>
    <row r="643" spans="1:92" ht="15.75" thickBot="1" x14ac:dyDescent="0.3">
      <c r="A643" s="376" t="s">
        <v>161</v>
      </c>
      <c r="B643" s="376" t="s">
        <v>162</v>
      </c>
      <c r="C643" s="376" t="s">
        <v>1033</v>
      </c>
      <c r="D643" s="376" t="s">
        <v>862</v>
      </c>
      <c r="E643" s="376" t="s">
        <v>669</v>
      </c>
      <c r="F643" s="382" t="s">
        <v>225</v>
      </c>
      <c r="G643" s="376" t="s">
        <v>781</v>
      </c>
      <c r="H643" s="378"/>
      <c r="I643" s="378"/>
      <c r="J643" s="376" t="s">
        <v>168</v>
      </c>
      <c r="K643" s="376" t="s">
        <v>863</v>
      </c>
      <c r="L643" s="376" t="s">
        <v>252</v>
      </c>
      <c r="M643" s="376" t="s">
        <v>171</v>
      </c>
      <c r="N643" s="376" t="s">
        <v>172</v>
      </c>
      <c r="O643" s="379">
        <v>1</v>
      </c>
      <c r="P643" s="385">
        <v>0</v>
      </c>
      <c r="Q643" s="385">
        <v>0</v>
      </c>
      <c r="R643" s="380">
        <v>80</v>
      </c>
      <c r="S643" s="385">
        <v>0</v>
      </c>
      <c r="T643" s="380">
        <v>102.37</v>
      </c>
      <c r="U643" s="380">
        <v>0</v>
      </c>
      <c r="V643" s="380">
        <v>36.340000000000003</v>
      </c>
      <c r="W643" s="380">
        <v>0</v>
      </c>
      <c r="X643" s="380">
        <v>0</v>
      </c>
      <c r="Y643" s="380">
        <v>0</v>
      </c>
      <c r="Z643" s="380">
        <v>0</v>
      </c>
      <c r="AA643" s="376" t="s">
        <v>1034</v>
      </c>
      <c r="AB643" s="376" t="s">
        <v>1035</v>
      </c>
      <c r="AC643" s="376" t="s">
        <v>1036</v>
      </c>
      <c r="AD643" s="376" t="s">
        <v>1037</v>
      </c>
      <c r="AE643" s="376" t="s">
        <v>863</v>
      </c>
      <c r="AF643" s="376" t="s">
        <v>393</v>
      </c>
      <c r="AG643" s="376" t="s">
        <v>178</v>
      </c>
      <c r="AH643" s="381">
        <v>18.98</v>
      </c>
      <c r="AI643" s="381">
        <v>3887.1</v>
      </c>
      <c r="AJ643" s="376" t="s">
        <v>179</v>
      </c>
      <c r="AK643" s="376" t="s">
        <v>180</v>
      </c>
      <c r="AL643" s="376" t="s">
        <v>181</v>
      </c>
      <c r="AM643" s="376" t="s">
        <v>182</v>
      </c>
      <c r="AN643" s="376" t="s">
        <v>68</v>
      </c>
      <c r="AO643" s="379">
        <v>80</v>
      </c>
      <c r="AP643" s="385">
        <v>1</v>
      </c>
      <c r="AQ643" s="385">
        <v>0</v>
      </c>
      <c r="AR643" s="383" t="s">
        <v>183</v>
      </c>
      <c r="AS643" s="387">
        <f t="shared" ref="AS643:AS706" si="467">IF(((AO643/80)*AP643*P643)&gt;1,AQ643,((AO643/80)*AP643*P643))</f>
        <v>0</v>
      </c>
      <c r="AT643">
        <f t="shared" ref="AT643:AT706" si="468">IF(AND(M643="F",N643&lt;&gt;"NG",AS643&lt;&gt;0,AND(AR643&lt;&gt;6,AR643&lt;&gt;36,AR643&lt;&gt;56),AG643&lt;&gt;"A",OR(AG643="H",AJ643="FS")),1,IF(AND(M643="F",N643&lt;&gt;"NG",AS643&lt;&gt;0,AG643="A"),3,0))</f>
        <v>0</v>
      </c>
      <c r="AU643" s="387" t="str">
        <f>IF(AT643=0,"",IF(AND(AT643=1,M643="F",SUMIF(C2:C1334,C643,AS2:AS1334)&lt;=1),SUMIF(C2:C1334,C643,AS2:AS1334),IF(AND(AT643=1,M643="F",SUMIF(C2:C1334,C643,AS2:AS1334)&gt;1),1,"")))</f>
        <v/>
      </c>
      <c r="AV643" s="387" t="str">
        <f>IF(AT643=0,"",IF(AND(AT643=3,M643="F",SUMIF(C2:C1334,C643,AS2:AS1334)&lt;=1),SUMIF(C2:C1334,C643,AS2:AS1334),IF(AND(AT643=3,M643="F",SUMIF(C2:C1334,C643,AS2:AS1334)&gt;1),1,"")))</f>
        <v/>
      </c>
      <c r="AW643" s="387">
        <f>SUMIF(C2:C1334,C643,O2:O1334)</f>
        <v>3</v>
      </c>
      <c r="AX643" s="387">
        <f>IF(AND(M643="F",AS643&lt;&gt;0),SUMIF(C2:C1334,C643,W2:W1334),0)</f>
        <v>0</v>
      </c>
      <c r="AY643" s="387" t="str">
        <f t="shared" ref="AY643:AY706" si="469">IF(AT643=1,W643,"")</f>
        <v/>
      </c>
      <c r="AZ643" s="387" t="str">
        <f t="shared" ref="AZ643:AZ706" si="470">IF(AT643=3,W643,"")</f>
        <v/>
      </c>
      <c r="BA643" s="387">
        <f t="shared" ref="BA643:BA706" si="471">IF(AT643=1,Y643-W643,0)</f>
        <v>0</v>
      </c>
      <c r="BB643" s="387">
        <f t="shared" si="440"/>
        <v>0</v>
      </c>
      <c r="BC643" s="387">
        <f t="shared" si="441"/>
        <v>0</v>
      </c>
      <c r="BD643" s="387">
        <f t="shared" si="442"/>
        <v>0</v>
      </c>
      <c r="BE643" s="387">
        <f t="shared" si="443"/>
        <v>0</v>
      </c>
      <c r="BF643" s="387">
        <f t="shared" si="444"/>
        <v>0</v>
      </c>
      <c r="BG643" s="387">
        <f t="shared" si="445"/>
        <v>0</v>
      </c>
      <c r="BH643" s="387">
        <f t="shared" si="446"/>
        <v>0</v>
      </c>
      <c r="BI643" s="387">
        <f t="shared" si="447"/>
        <v>0</v>
      </c>
      <c r="BJ643" s="387">
        <f t="shared" si="448"/>
        <v>0</v>
      </c>
      <c r="BK643" s="387">
        <f t="shared" si="449"/>
        <v>0</v>
      </c>
      <c r="BL643" s="387">
        <f t="shared" ref="BL643:BL706" si="472">IF(AT643=1,SUM(BD643:BK643),0)</f>
        <v>0</v>
      </c>
      <c r="BM643" s="387">
        <f t="shared" ref="BM643:BM706" si="473">IF(AT643=3,SUM(BD643:BK643),0)</f>
        <v>0</v>
      </c>
      <c r="BN643" s="387">
        <f t="shared" si="450"/>
        <v>0</v>
      </c>
      <c r="BO643" s="387">
        <f t="shared" si="451"/>
        <v>0</v>
      </c>
      <c r="BP643" s="387">
        <f t="shared" si="452"/>
        <v>0</v>
      </c>
      <c r="BQ643" s="387">
        <f t="shared" si="453"/>
        <v>0</v>
      </c>
      <c r="BR643" s="387">
        <f t="shared" si="454"/>
        <v>0</v>
      </c>
      <c r="BS643" s="387">
        <f t="shared" si="455"/>
        <v>0</v>
      </c>
      <c r="BT643" s="387">
        <f t="shared" si="456"/>
        <v>0</v>
      </c>
      <c r="BU643" s="387">
        <f t="shared" si="457"/>
        <v>0</v>
      </c>
      <c r="BV643" s="387">
        <f t="shared" si="458"/>
        <v>0</v>
      </c>
      <c r="BW643" s="387">
        <f t="shared" si="459"/>
        <v>0</v>
      </c>
      <c r="BX643" s="387">
        <f t="shared" ref="BX643:BX706" si="474">IF(AT643=1,SUM(BP643:BW643),0)</f>
        <v>0</v>
      </c>
      <c r="BY643" s="387">
        <f t="shared" ref="BY643:BY706" si="475">IF(AT643=3,SUM(BP643:BW643),0)</f>
        <v>0</v>
      </c>
      <c r="BZ643" s="387">
        <f t="shared" ref="BZ643:BZ706" si="476">IF(AT643=1,BN643-BB643,0)</f>
        <v>0</v>
      </c>
      <c r="CA643" s="387">
        <f t="shared" ref="CA643:CA706" si="477">IF(AT643=3,BO643-BC643,0)</f>
        <v>0</v>
      </c>
      <c r="CB643" s="387">
        <f t="shared" ref="CB643:CB706" si="478">BP643-BD643</f>
        <v>0</v>
      </c>
      <c r="CC643" s="387">
        <f t="shared" si="460"/>
        <v>0</v>
      </c>
      <c r="CD643" s="387">
        <f t="shared" si="461"/>
        <v>0</v>
      </c>
      <c r="CE643" s="387">
        <f t="shared" si="462"/>
        <v>0</v>
      </c>
      <c r="CF643" s="387">
        <f t="shared" si="463"/>
        <v>0</v>
      </c>
      <c r="CG643" s="387">
        <f t="shared" si="464"/>
        <v>0</v>
      </c>
      <c r="CH643" s="387">
        <f t="shared" si="465"/>
        <v>0</v>
      </c>
      <c r="CI643" s="387">
        <f t="shared" si="466"/>
        <v>0</v>
      </c>
      <c r="CJ643" s="387">
        <f t="shared" ref="CJ643:CJ706" si="479">IF(AT643=1,SUM(CB643:CI643),0)</f>
        <v>0</v>
      </c>
      <c r="CK643" s="387" t="str">
        <f t="shared" ref="CK643:CK706" si="480">IF(AT643=3,SUM(CB643:CI643),"")</f>
        <v/>
      </c>
      <c r="CL643" s="387" t="str">
        <f t="shared" ref="CL643:CL706" si="481">IF(OR(N643="NG",AG643="D"),(T643+U643),"")</f>
        <v/>
      </c>
      <c r="CM643" s="387" t="str">
        <f t="shared" ref="CM643:CM706" si="482">IF(OR(N643="NG",AG643="D"),V643,"")</f>
        <v/>
      </c>
      <c r="CN643" s="387" t="str">
        <f t="shared" ref="CN643:CN706" si="483">E643 &amp; "-" &amp; F643</f>
        <v>0349-31</v>
      </c>
    </row>
    <row r="644" spans="1:92" ht="15.75" thickBot="1" x14ac:dyDescent="0.3">
      <c r="A644" s="376" t="s">
        <v>161</v>
      </c>
      <c r="B644" s="376" t="s">
        <v>162</v>
      </c>
      <c r="C644" s="376" t="s">
        <v>1491</v>
      </c>
      <c r="D644" s="376" t="s">
        <v>862</v>
      </c>
      <c r="E644" s="376" t="s">
        <v>669</v>
      </c>
      <c r="F644" s="382" t="s">
        <v>225</v>
      </c>
      <c r="G644" s="376" t="s">
        <v>781</v>
      </c>
      <c r="H644" s="378"/>
      <c r="I644" s="378"/>
      <c r="J644" s="376" t="s">
        <v>168</v>
      </c>
      <c r="K644" s="376" t="s">
        <v>863</v>
      </c>
      <c r="L644" s="376" t="s">
        <v>252</v>
      </c>
      <c r="M644" s="376" t="s">
        <v>171</v>
      </c>
      <c r="N644" s="376" t="s">
        <v>172</v>
      </c>
      <c r="O644" s="379">
        <v>1</v>
      </c>
      <c r="P644" s="385">
        <v>0</v>
      </c>
      <c r="Q644" s="385">
        <v>0</v>
      </c>
      <c r="R644" s="380">
        <v>80</v>
      </c>
      <c r="S644" s="385">
        <v>0</v>
      </c>
      <c r="T644" s="380">
        <v>19.09</v>
      </c>
      <c r="U644" s="380">
        <v>0</v>
      </c>
      <c r="V644" s="380">
        <v>4.18</v>
      </c>
      <c r="W644" s="380">
        <v>0</v>
      </c>
      <c r="X644" s="380">
        <v>0</v>
      </c>
      <c r="Y644" s="380">
        <v>0</v>
      </c>
      <c r="Z644" s="380">
        <v>0</v>
      </c>
      <c r="AA644" s="376" t="s">
        <v>1492</v>
      </c>
      <c r="AB644" s="376" t="s">
        <v>1493</v>
      </c>
      <c r="AC644" s="376" t="s">
        <v>1494</v>
      </c>
      <c r="AD644" s="376" t="s">
        <v>170</v>
      </c>
      <c r="AE644" s="376" t="s">
        <v>863</v>
      </c>
      <c r="AF644" s="376" t="s">
        <v>393</v>
      </c>
      <c r="AG644" s="376" t="s">
        <v>178</v>
      </c>
      <c r="AH644" s="381">
        <v>18.78</v>
      </c>
      <c r="AI644" s="381">
        <v>3356.8</v>
      </c>
      <c r="AJ644" s="376" t="s">
        <v>179</v>
      </c>
      <c r="AK644" s="376" t="s">
        <v>180</v>
      </c>
      <c r="AL644" s="376" t="s">
        <v>181</v>
      </c>
      <c r="AM644" s="376" t="s">
        <v>182</v>
      </c>
      <c r="AN644" s="376" t="s">
        <v>68</v>
      </c>
      <c r="AO644" s="379">
        <v>80</v>
      </c>
      <c r="AP644" s="385">
        <v>1</v>
      </c>
      <c r="AQ644" s="385">
        <v>0</v>
      </c>
      <c r="AR644" s="383" t="s">
        <v>183</v>
      </c>
      <c r="AS644" s="387">
        <f t="shared" si="467"/>
        <v>0</v>
      </c>
      <c r="AT644">
        <f t="shared" si="468"/>
        <v>0</v>
      </c>
      <c r="AU644" s="387" t="str">
        <f>IF(AT644=0,"",IF(AND(AT644=1,M644="F",SUMIF(C2:C1334,C644,AS2:AS1334)&lt;=1),SUMIF(C2:C1334,C644,AS2:AS1334),IF(AND(AT644=1,M644="F",SUMIF(C2:C1334,C644,AS2:AS1334)&gt;1),1,"")))</f>
        <v/>
      </c>
      <c r="AV644" s="387" t="str">
        <f>IF(AT644=0,"",IF(AND(AT644=3,M644="F",SUMIF(C2:C1334,C644,AS2:AS1334)&lt;=1),SUMIF(C2:C1334,C644,AS2:AS1334),IF(AND(AT644=3,M644="F",SUMIF(C2:C1334,C644,AS2:AS1334)&gt;1),1,"")))</f>
        <v/>
      </c>
      <c r="AW644" s="387">
        <f>SUMIF(C2:C1334,C644,O2:O1334)</f>
        <v>3</v>
      </c>
      <c r="AX644" s="387">
        <f>IF(AND(M644="F",AS644&lt;&gt;0),SUMIF(C2:C1334,C644,W2:W1334),0)</f>
        <v>0</v>
      </c>
      <c r="AY644" s="387" t="str">
        <f t="shared" si="469"/>
        <v/>
      </c>
      <c r="AZ644" s="387" t="str">
        <f t="shared" si="470"/>
        <v/>
      </c>
      <c r="BA644" s="387">
        <f t="shared" si="471"/>
        <v>0</v>
      </c>
      <c r="BB644" s="387">
        <f t="shared" si="440"/>
        <v>0</v>
      </c>
      <c r="BC644" s="387">
        <f t="shared" si="441"/>
        <v>0</v>
      </c>
      <c r="BD644" s="387">
        <f t="shared" si="442"/>
        <v>0</v>
      </c>
      <c r="BE644" s="387">
        <f t="shared" si="443"/>
        <v>0</v>
      </c>
      <c r="BF644" s="387">
        <f t="shared" si="444"/>
        <v>0</v>
      </c>
      <c r="BG644" s="387">
        <f t="shared" si="445"/>
        <v>0</v>
      </c>
      <c r="BH644" s="387">
        <f t="shared" si="446"/>
        <v>0</v>
      </c>
      <c r="BI644" s="387">
        <f t="shared" si="447"/>
        <v>0</v>
      </c>
      <c r="BJ644" s="387">
        <f t="shared" si="448"/>
        <v>0</v>
      </c>
      <c r="BK644" s="387">
        <f t="shared" si="449"/>
        <v>0</v>
      </c>
      <c r="BL644" s="387">
        <f t="shared" si="472"/>
        <v>0</v>
      </c>
      <c r="BM644" s="387">
        <f t="shared" si="473"/>
        <v>0</v>
      </c>
      <c r="BN644" s="387">
        <f t="shared" si="450"/>
        <v>0</v>
      </c>
      <c r="BO644" s="387">
        <f t="shared" si="451"/>
        <v>0</v>
      </c>
      <c r="BP644" s="387">
        <f t="shared" si="452"/>
        <v>0</v>
      </c>
      <c r="BQ644" s="387">
        <f t="shared" si="453"/>
        <v>0</v>
      </c>
      <c r="BR644" s="387">
        <f t="shared" si="454"/>
        <v>0</v>
      </c>
      <c r="BS644" s="387">
        <f t="shared" si="455"/>
        <v>0</v>
      </c>
      <c r="BT644" s="387">
        <f t="shared" si="456"/>
        <v>0</v>
      </c>
      <c r="BU644" s="387">
        <f t="shared" si="457"/>
        <v>0</v>
      </c>
      <c r="BV644" s="387">
        <f t="shared" si="458"/>
        <v>0</v>
      </c>
      <c r="BW644" s="387">
        <f t="shared" si="459"/>
        <v>0</v>
      </c>
      <c r="BX644" s="387">
        <f t="shared" si="474"/>
        <v>0</v>
      </c>
      <c r="BY644" s="387">
        <f t="shared" si="475"/>
        <v>0</v>
      </c>
      <c r="BZ644" s="387">
        <f t="shared" si="476"/>
        <v>0</v>
      </c>
      <c r="CA644" s="387">
        <f t="shared" si="477"/>
        <v>0</v>
      </c>
      <c r="CB644" s="387">
        <f t="shared" si="478"/>
        <v>0</v>
      </c>
      <c r="CC644" s="387">
        <f t="shared" si="460"/>
        <v>0</v>
      </c>
      <c r="CD644" s="387">
        <f t="shared" si="461"/>
        <v>0</v>
      </c>
      <c r="CE644" s="387">
        <f t="shared" si="462"/>
        <v>0</v>
      </c>
      <c r="CF644" s="387">
        <f t="shared" si="463"/>
        <v>0</v>
      </c>
      <c r="CG644" s="387">
        <f t="shared" si="464"/>
        <v>0</v>
      </c>
      <c r="CH644" s="387">
        <f t="shared" si="465"/>
        <v>0</v>
      </c>
      <c r="CI644" s="387">
        <f t="shared" si="466"/>
        <v>0</v>
      </c>
      <c r="CJ644" s="387">
        <f t="shared" si="479"/>
        <v>0</v>
      </c>
      <c r="CK644" s="387" t="str">
        <f t="shared" si="480"/>
        <v/>
      </c>
      <c r="CL644" s="387" t="str">
        <f t="shared" si="481"/>
        <v/>
      </c>
      <c r="CM644" s="387" t="str">
        <f t="shared" si="482"/>
        <v/>
      </c>
      <c r="CN644" s="387" t="str">
        <f t="shared" si="483"/>
        <v>0349-31</v>
      </c>
    </row>
    <row r="645" spans="1:92" ht="15.75" thickBot="1" x14ac:dyDescent="0.3">
      <c r="A645" s="376" t="s">
        <v>161</v>
      </c>
      <c r="B645" s="376" t="s">
        <v>162</v>
      </c>
      <c r="C645" s="376" t="s">
        <v>1008</v>
      </c>
      <c r="D645" s="376" t="s">
        <v>862</v>
      </c>
      <c r="E645" s="376" t="s">
        <v>669</v>
      </c>
      <c r="F645" s="382" t="s">
        <v>225</v>
      </c>
      <c r="G645" s="376" t="s">
        <v>781</v>
      </c>
      <c r="H645" s="378"/>
      <c r="I645" s="378"/>
      <c r="J645" s="376" t="s">
        <v>215</v>
      </c>
      <c r="K645" s="376" t="s">
        <v>863</v>
      </c>
      <c r="L645" s="376" t="s">
        <v>252</v>
      </c>
      <c r="M645" s="376" t="s">
        <v>272</v>
      </c>
      <c r="N645" s="376" t="s">
        <v>172</v>
      </c>
      <c r="O645" s="379">
        <v>0</v>
      </c>
      <c r="P645" s="385">
        <v>0</v>
      </c>
      <c r="Q645" s="385">
        <v>0</v>
      </c>
      <c r="R645" s="380">
        <v>80</v>
      </c>
      <c r="S645" s="385">
        <v>0</v>
      </c>
      <c r="T645" s="380">
        <v>76.069999999999993</v>
      </c>
      <c r="U645" s="380">
        <v>0</v>
      </c>
      <c r="V645" s="380">
        <v>34.93</v>
      </c>
      <c r="W645" s="380">
        <v>0</v>
      </c>
      <c r="X645" s="380">
        <v>0</v>
      </c>
      <c r="Y645" s="380">
        <v>0</v>
      </c>
      <c r="Z645" s="380">
        <v>0</v>
      </c>
      <c r="AA645" s="378"/>
      <c r="AB645" s="376" t="s">
        <v>45</v>
      </c>
      <c r="AC645" s="376" t="s">
        <v>45</v>
      </c>
      <c r="AD645" s="378"/>
      <c r="AE645" s="378"/>
      <c r="AF645" s="378"/>
      <c r="AG645" s="378"/>
      <c r="AH645" s="379">
        <v>0</v>
      </c>
      <c r="AI645" s="379">
        <v>0</v>
      </c>
      <c r="AJ645" s="378"/>
      <c r="AK645" s="378"/>
      <c r="AL645" s="376" t="s">
        <v>181</v>
      </c>
      <c r="AM645" s="378"/>
      <c r="AN645" s="378"/>
      <c r="AO645" s="379">
        <v>0</v>
      </c>
      <c r="AP645" s="385">
        <v>0</v>
      </c>
      <c r="AQ645" s="385">
        <v>0</v>
      </c>
      <c r="AR645" s="384"/>
      <c r="AS645" s="387">
        <f t="shared" si="467"/>
        <v>0</v>
      </c>
      <c r="AT645">
        <f t="shared" si="468"/>
        <v>0</v>
      </c>
      <c r="AU645" s="387" t="str">
        <f>IF(AT645=0,"",IF(AND(AT645=1,M645="F",SUMIF(C2:C1334,C645,AS2:AS1334)&lt;=1),SUMIF(C2:C1334,C645,AS2:AS1334),IF(AND(AT645=1,M645="F",SUMIF(C2:C1334,C645,AS2:AS1334)&gt;1),1,"")))</f>
        <v/>
      </c>
      <c r="AV645" s="387" t="str">
        <f>IF(AT645=0,"",IF(AND(AT645=3,M645="F",SUMIF(C2:C1334,C645,AS2:AS1334)&lt;=1),SUMIF(C2:C1334,C645,AS2:AS1334),IF(AND(AT645=3,M645="F",SUMIF(C2:C1334,C645,AS2:AS1334)&gt;1),1,"")))</f>
        <v/>
      </c>
      <c r="AW645" s="387">
        <f>SUMIF(C2:C1334,C645,O2:O1334)</f>
        <v>0</v>
      </c>
      <c r="AX645" s="387">
        <f>IF(AND(M645="F",AS645&lt;&gt;0),SUMIF(C2:C1334,C645,W2:W1334),0)</f>
        <v>0</v>
      </c>
      <c r="AY645" s="387" t="str">
        <f t="shared" si="469"/>
        <v/>
      </c>
      <c r="AZ645" s="387" t="str">
        <f t="shared" si="470"/>
        <v/>
      </c>
      <c r="BA645" s="387">
        <f t="shared" si="471"/>
        <v>0</v>
      </c>
      <c r="BB645" s="387">
        <f t="shared" si="440"/>
        <v>0</v>
      </c>
      <c r="BC645" s="387">
        <f t="shared" si="441"/>
        <v>0</v>
      </c>
      <c r="BD645" s="387">
        <f t="shared" si="442"/>
        <v>0</v>
      </c>
      <c r="BE645" s="387">
        <f t="shared" si="443"/>
        <v>0</v>
      </c>
      <c r="BF645" s="387">
        <f t="shared" si="444"/>
        <v>0</v>
      </c>
      <c r="BG645" s="387">
        <f t="shared" si="445"/>
        <v>0</v>
      </c>
      <c r="BH645" s="387">
        <f t="shared" si="446"/>
        <v>0</v>
      </c>
      <c r="BI645" s="387">
        <f t="shared" si="447"/>
        <v>0</v>
      </c>
      <c r="BJ645" s="387">
        <f t="shared" si="448"/>
        <v>0</v>
      </c>
      <c r="BK645" s="387">
        <f t="shared" si="449"/>
        <v>0</v>
      </c>
      <c r="BL645" s="387">
        <f t="shared" si="472"/>
        <v>0</v>
      </c>
      <c r="BM645" s="387">
        <f t="shared" si="473"/>
        <v>0</v>
      </c>
      <c r="BN645" s="387">
        <f t="shared" si="450"/>
        <v>0</v>
      </c>
      <c r="BO645" s="387">
        <f t="shared" si="451"/>
        <v>0</v>
      </c>
      <c r="BP645" s="387">
        <f t="shared" si="452"/>
        <v>0</v>
      </c>
      <c r="BQ645" s="387">
        <f t="shared" si="453"/>
        <v>0</v>
      </c>
      <c r="BR645" s="387">
        <f t="shared" si="454"/>
        <v>0</v>
      </c>
      <c r="BS645" s="387">
        <f t="shared" si="455"/>
        <v>0</v>
      </c>
      <c r="BT645" s="387">
        <f t="shared" si="456"/>
        <v>0</v>
      </c>
      <c r="BU645" s="387">
        <f t="shared" si="457"/>
        <v>0</v>
      </c>
      <c r="BV645" s="387">
        <f t="shared" si="458"/>
        <v>0</v>
      </c>
      <c r="BW645" s="387">
        <f t="shared" si="459"/>
        <v>0</v>
      </c>
      <c r="BX645" s="387">
        <f t="shared" si="474"/>
        <v>0</v>
      </c>
      <c r="BY645" s="387">
        <f t="shared" si="475"/>
        <v>0</v>
      </c>
      <c r="BZ645" s="387">
        <f t="shared" si="476"/>
        <v>0</v>
      </c>
      <c r="CA645" s="387">
        <f t="shared" si="477"/>
        <v>0</v>
      </c>
      <c r="CB645" s="387">
        <f t="shared" si="478"/>
        <v>0</v>
      </c>
      <c r="CC645" s="387">
        <f t="shared" si="460"/>
        <v>0</v>
      </c>
      <c r="CD645" s="387">
        <f t="shared" si="461"/>
        <v>0</v>
      </c>
      <c r="CE645" s="387">
        <f t="shared" si="462"/>
        <v>0</v>
      </c>
      <c r="CF645" s="387">
        <f t="shared" si="463"/>
        <v>0</v>
      </c>
      <c r="CG645" s="387">
        <f t="shared" si="464"/>
        <v>0</v>
      </c>
      <c r="CH645" s="387">
        <f t="shared" si="465"/>
        <v>0</v>
      </c>
      <c r="CI645" s="387">
        <f t="shared" si="466"/>
        <v>0</v>
      </c>
      <c r="CJ645" s="387">
        <f t="shared" si="479"/>
        <v>0</v>
      </c>
      <c r="CK645" s="387" t="str">
        <f t="shared" si="480"/>
        <v/>
      </c>
      <c r="CL645" s="387" t="str">
        <f t="shared" si="481"/>
        <v/>
      </c>
      <c r="CM645" s="387" t="str">
        <f t="shared" si="482"/>
        <v/>
      </c>
      <c r="CN645" s="387" t="str">
        <f t="shared" si="483"/>
        <v>0349-31</v>
      </c>
    </row>
    <row r="646" spans="1:92" ht="15.75" thickBot="1" x14ac:dyDescent="0.3">
      <c r="A646" s="376" t="s">
        <v>161</v>
      </c>
      <c r="B646" s="376" t="s">
        <v>162</v>
      </c>
      <c r="C646" s="376" t="s">
        <v>547</v>
      </c>
      <c r="D646" s="376" t="s">
        <v>238</v>
      </c>
      <c r="E646" s="376" t="s">
        <v>669</v>
      </c>
      <c r="F646" s="382" t="s">
        <v>225</v>
      </c>
      <c r="G646" s="376" t="s">
        <v>781</v>
      </c>
      <c r="H646" s="378"/>
      <c r="I646" s="378"/>
      <c r="J646" s="376" t="s">
        <v>215</v>
      </c>
      <c r="K646" s="376" t="s">
        <v>343</v>
      </c>
      <c r="L646" s="376" t="s">
        <v>296</v>
      </c>
      <c r="M646" s="376" t="s">
        <v>171</v>
      </c>
      <c r="N646" s="376" t="s">
        <v>172</v>
      </c>
      <c r="O646" s="379">
        <v>1</v>
      </c>
      <c r="P646" s="385">
        <v>0</v>
      </c>
      <c r="Q646" s="385">
        <v>0</v>
      </c>
      <c r="R646" s="380">
        <v>80</v>
      </c>
      <c r="S646" s="385">
        <v>0</v>
      </c>
      <c r="T646" s="380">
        <v>566.79</v>
      </c>
      <c r="U646" s="380">
        <v>0</v>
      </c>
      <c r="V646" s="380">
        <v>168.07</v>
      </c>
      <c r="W646" s="380">
        <v>0</v>
      </c>
      <c r="X646" s="380">
        <v>0</v>
      </c>
      <c r="Y646" s="380">
        <v>0</v>
      </c>
      <c r="Z646" s="380">
        <v>0</v>
      </c>
      <c r="AA646" s="376" t="s">
        <v>548</v>
      </c>
      <c r="AB646" s="376" t="s">
        <v>549</v>
      </c>
      <c r="AC646" s="376" t="s">
        <v>550</v>
      </c>
      <c r="AD646" s="376" t="s">
        <v>268</v>
      </c>
      <c r="AE646" s="376" t="s">
        <v>343</v>
      </c>
      <c r="AF646" s="376" t="s">
        <v>301</v>
      </c>
      <c r="AG646" s="376" t="s">
        <v>178</v>
      </c>
      <c r="AH646" s="381">
        <v>20.02</v>
      </c>
      <c r="AI646" s="379">
        <v>129</v>
      </c>
      <c r="AJ646" s="376" t="s">
        <v>179</v>
      </c>
      <c r="AK646" s="376" t="s">
        <v>180</v>
      </c>
      <c r="AL646" s="376" t="s">
        <v>181</v>
      </c>
      <c r="AM646" s="376" t="s">
        <v>182</v>
      </c>
      <c r="AN646" s="376" t="s">
        <v>68</v>
      </c>
      <c r="AO646" s="379">
        <v>80</v>
      </c>
      <c r="AP646" s="385">
        <v>1</v>
      </c>
      <c r="AQ646" s="385">
        <v>0</v>
      </c>
      <c r="AR646" s="383" t="s">
        <v>183</v>
      </c>
      <c r="AS646" s="387">
        <f t="shared" si="467"/>
        <v>0</v>
      </c>
      <c r="AT646">
        <f t="shared" si="468"/>
        <v>0</v>
      </c>
      <c r="AU646" s="387" t="str">
        <f>IF(AT646=0,"",IF(AND(AT646=1,M646="F",SUMIF(C2:C1334,C646,AS2:AS1334)&lt;=1),SUMIF(C2:C1334,C646,AS2:AS1334),IF(AND(AT646=1,M646="F",SUMIF(C2:C1334,C646,AS2:AS1334)&gt;1),1,"")))</f>
        <v/>
      </c>
      <c r="AV646" s="387" t="str">
        <f>IF(AT646=0,"",IF(AND(AT646=3,M646="F",SUMIF(C2:C1334,C646,AS2:AS1334)&lt;=1),SUMIF(C2:C1334,C646,AS2:AS1334),IF(AND(AT646=3,M646="F",SUMIF(C2:C1334,C646,AS2:AS1334)&gt;1),1,"")))</f>
        <v/>
      </c>
      <c r="AW646" s="387">
        <f>SUMIF(C2:C1334,C646,O2:O1334)</f>
        <v>4</v>
      </c>
      <c r="AX646" s="387">
        <f>IF(AND(M646="F",AS646&lt;&gt;0),SUMIF(C2:C1334,C646,W2:W1334),0)</f>
        <v>0</v>
      </c>
      <c r="AY646" s="387" t="str">
        <f t="shared" si="469"/>
        <v/>
      </c>
      <c r="AZ646" s="387" t="str">
        <f t="shared" si="470"/>
        <v/>
      </c>
      <c r="BA646" s="387">
        <f t="shared" si="471"/>
        <v>0</v>
      </c>
      <c r="BB646" s="387">
        <f t="shared" si="440"/>
        <v>0</v>
      </c>
      <c r="BC646" s="387">
        <f t="shared" si="441"/>
        <v>0</v>
      </c>
      <c r="BD646" s="387">
        <f t="shared" si="442"/>
        <v>0</v>
      </c>
      <c r="BE646" s="387">
        <f t="shared" si="443"/>
        <v>0</v>
      </c>
      <c r="BF646" s="387">
        <f t="shared" si="444"/>
        <v>0</v>
      </c>
      <c r="BG646" s="387">
        <f t="shared" si="445"/>
        <v>0</v>
      </c>
      <c r="BH646" s="387">
        <f t="shared" si="446"/>
        <v>0</v>
      </c>
      <c r="BI646" s="387">
        <f t="shared" si="447"/>
        <v>0</v>
      </c>
      <c r="BJ646" s="387">
        <f t="shared" si="448"/>
        <v>0</v>
      </c>
      <c r="BK646" s="387">
        <f t="shared" si="449"/>
        <v>0</v>
      </c>
      <c r="BL646" s="387">
        <f t="shared" si="472"/>
        <v>0</v>
      </c>
      <c r="BM646" s="387">
        <f t="shared" si="473"/>
        <v>0</v>
      </c>
      <c r="BN646" s="387">
        <f t="shared" si="450"/>
        <v>0</v>
      </c>
      <c r="BO646" s="387">
        <f t="shared" si="451"/>
        <v>0</v>
      </c>
      <c r="BP646" s="387">
        <f t="shared" si="452"/>
        <v>0</v>
      </c>
      <c r="BQ646" s="387">
        <f t="shared" si="453"/>
        <v>0</v>
      </c>
      <c r="BR646" s="387">
        <f t="shared" si="454"/>
        <v>0</v>
      </c>
      <c r="BS646" s="387">
        <f t="shared" si="455"/>
        <v>0</v>
      </c>
      <c r="BT646" s="387">
        <f t="shared" si="456"/>
        <v>0</v>
      </c>
      <c r="BU646" s="387">
        <f t="shared" si="457"/>
        <v>0</v>
      </c>
      <c r="BV646" s="387">
        <f t="shared" si="458"/>
        <v>0</v>
      </c>
      <c r="BW646" s="387">
        <f t="shared" si="459"/>
        <v>0</v>
      </c>
      <c r="BX646" s="387">
        <f t="shared" si="474"/>
        <v>0</v>
      </c>
      <c r="BY646" s="387">
        <f t="shared" si="475"/>
        <v>0</v>
      </c>
      <c r="BZ646" s="387">
        <f t="shared" si="476"/>
        <v>0</v>
      </c>
      <c r="CA646" s="387">
        <f t="shared" si="477"/>
        <v>0</v>
      </c>
      <c r="CB646" s="387">
        <f t="shared" si="478"/>
        <v>0</v>
      </c>
      <c r="CC646" s="387">
        <f t="shared" si="460"/>
        <v>0</v>
      </c>
      <c r="CD646" s="387">
        <f t="shared" si="461"/>
        <v>0</v>
      </c>
      <c r="CE646" s="387">
        <f t="shared" si="462"/>
        <v>0</v>
      </c>
      <c r="CF646" s="387">
        <f t="shared" si="463"/>
        <v>0</v>
      </c>
      <c r="CG646" s="387">
        <f t="shared" si="464"/>
        <v>0</v>
      </c>
      <c r="CH646" s="387">
        <f t="shared" si="465"/>
        <v>0</v>
      </c>
      <c r="CI646" s="387">
        <f t="shared" si="466"/>
        <v>0</v>
      </c>
      <c r="CJ646" s="387">
        <f t="shared" si="479"/>
        <v>0</v>
      </c>
      <c r="CK646" s="387" t="str">
        <f t="shared" si="480"/>
        <v/>
      </c>
      <c r="CL646" s="387" t="str">
        <f t="shared" si="481"/>
        <v/>
      </c>
      <c r="CM646" s="387" t="str">
        <f t="shared" si="482"/>
        <v/>
      </c>
      <c r="CN646" s="387" t="str">
        <f t="shared" si="483"/>
        <v>0349-31</v>
      </c>
    </row>
    <row r="647" spans="1:92" ht="15.75" thickBot="1" x14ac:dyDescent="0.3">
      <c r="A647" s="376" t="s">
        <v>161</v>
      </c>
      <c r="B647" s="376" t="s">
        <v>162</v>
      </c>
      <c r="C647" s="376" t="s">
        <v>1063</v>
      </c>
      <c r="D647" s="376" t="s">
        <v>862</v>
      </c>
      <c r="E647" s="376" t="s">
        <v>669</v>
      </c>
      <c r="F647" s="382" t="s">
        <v>225</v>
      </c>
      <c r="G647" s="376" t="s">
        <v>781</v>
      </c>
      <c r="H647" s="378"/>
      <c r="I647" s="378"/>
      <c r="J647" s="376" t="s">
        <v>215</v>
      </c>
      <c r="K647" s="376" t="s">
        <v>863</v>
      </c>
      <c r="L647" s="376" t="s">
        <v>252</v>
      </c>
      <c r="M647" s="376" t="s">
        <v>171</v>
      </c>
      <c r="N647" s="376" t="s">
        <v>172</v>
      </c>
      <c r="O647" s="379">
        <v>1</v>
      </c>
      <c r="P647" s="385">
        <v>0</v>
      </c>
      <c r="Q647" s="385">
        <v>0</v>
      </c>
      <c r="R647" s="380">
        <v>80</v>
      </c>
      <c r="S647" s="385">
        <v>0</v>
      </c>
      <c r="T647" s="380">
        <v>161.80000000000001</v>
      </c>
      <c r="U647" s="380">
        <v>0</v>
      </c>
      <c r="V647" s="380">
        <v>67.739999999999995</v>
      </c>
      <c r="W647" s="380">
        <v>0</v>
      </c>
      <c r="X647" s="380">
        <v>0</v>
      </c>
      <c r="Y647" s="380">
        <v>0</v>
      </c>
      <c r="Z647" s="380">
        <v>0</v>
      </c>
      <c r="AA647" s="376" t="s">
        <v>1064</v>
      </c>
      <c r="AB647" s="376" t="s">
        <v>1065</v>
      </c>
      <c r="AC647" s="376" t="s">
        <v>1066</v>
      </c>
      <c r="AD647" s="376" t="s">
        <v>1067</v>
      </c>
      <c r="AE647" s="376" t="s">
        <v>863</v>
      </c>
      <c r="AF647" s="376" t="s">
        <v>393</v>
      </c>
      <c r="AG647" s="376" t="s">
        <v>178</v>
      </c>
      <c r="AH647" s="381">
        <v>21.33</v>
      </c>
      <c r="AI647" s="379">
        <v>18240</v>
      </c>
      <c r="AJ647" s="376" t="s">
        <v>179</v>
      </c>
      <c r="AK647" s="376" t="s">
        <v>180</v>
      </c>
      <c r="AL647" s="376" t="s">
        <v>181</v>
      </c>
      <c r="AM647" s="376" t="s">
        <v>182</v>
      </c>
      <c r="AN647" s="376" t="s">
        <v>68</v>
      </c>
      <c r="AO647" s="379">
        <v>80</v>
      </c>
      <c r="AP647" s="385">
        <v>1</v>
      </c>
      <c r="AQ647" s="385">
        <v>0</v>
      </c>
      <c r="AR647" s="383" t="s">
        <v>183</v>
      </c>
      <c r="AS647" s="387">
        <f t="shared" si="467"/>
        <v>0</v>
      </c>
      <c r="AT647">
        <f t="shared" si="468"/>
        <v>0</v>
      </c>
      <c r="AU647" s="387" t="str">
        <f>IF(AT647=0,"",IF(AND(AT647=1,M647="F",SUMIF(C2:C1334,C647,AS2:AS1334)&lt;=1),SUMIF(C2:C1334,C647,AS2:AS1334),IF(AND(AT647=1,M647="F",SUMIF(C2:C1334,C647,AS2:AS1334)&gt;1),1,"")))</f>
        <v/>
      </c>
      <c r="AV647" s="387" t="str">
        <f>IF(AT647=0,"",IF(AND(AT647=3,M647="F",SUMIF(C2:C1334,C647,AS2:AS1334)&lt;=1),SUMIF(C2:C1334,C647,AS2:AS1334),IF(AND(AT647=3,M647="F",SUMIF(C2:C1334,C647,AS2:AS1334)&gt;1),1,"")))</f>
        <v/>
      </c>
      <c r="AW647" s="387">
        <f>SUMIF(C2:C1334,C647,O2:O1334)</f>
        <v>3</v>
      </c>
      <c r="AX647" s="387">
        <f>IF(AND(M647="F",AS647&lt;&gt;0),SUMIF(C2:C1334,C647,W2:W1334),0)</f>
        <v>0</v>
      </c>
      <c r="AY647" s="387" t="str">
        <f t="shared" si="469"/>
        <v/>
      </c>
      <c r="AZ647" s="387" t="str">
        <f t="shared" si="470"/>
        <v/>
      </c>
      <c r="BA647" s="387">
        <f t="shared" si="471"/>
        <v>0</v>
      </c>
      <c r="BB647" s="387">
        <f t="shared" si="440"/>
        <v>0</v>
      </c>
      <c r="BC647" s="387">
        <f t="shared" si="441"/>
        <v>0</v>
      </c>
      <c r="BD647" s="387">
        <f t="shared" si="442"/>
        <v>0</v>
      </c>
      <c r="BE647" s="387">
        <f t="shared" si="443"/>
        <v>0</v>
      </c>
      <c r="BF647" s="387">
        <f t="shared" si="444"/>
        <v>0</v>
      </c>
      <c r="BG647" s="387">
        <f t="shared" si="445"/>
        <v>0</v>
      </c>
      <c r="BH647" s="387">
        <f t="shared" si="446"/>
        <v>0</v>
      </c>
      <c r="BI647" s="387">
        <f t="shared" si="447"/>
        <v>0</v>
      </c>
      <c r="BJ647" s="387">
        <f t="shared" si="448"/>
        <v>0</v>
      </c>
      <c r="BK647" s="387">
        <f t="shared" si="449"/>
        <v>0</v>
      </c>
      <c r="BL647" s="387">
        <f t="shared" si="472"/>
        <v>0</v>
      </c>
      <c r="BM647" s="387">
        <f t="shared" si="473"/>
        <v>0</v>
      </c>
      <c r="BN647" s="387">
        <f t="shared" si="450"/>
        <v>0</v>
      </c>
      <c r="BO647" s="387">
        <f t="shared" si="451"/>
        <v>0</v>
      </c>
      <c r="BP647" s="387">
        <f t="shared" si="452"/>
        <v>0</v>
      </c>
      <c r="BQ647" s="387">
        <f t="shared" si="453"/>
        <v>0</v>
      </c>
      <c r="BR647" s="387">
        <f t="shared" si="454"/>
        <v>0</v>
      </c>
      <c r="BS647" s="387">
        <f t="shared" si="455"/>
        <v>0</v>
      </c>
      <c r="BT647" s="387">
        <f t="shared" si="456"/>
        <v>0</v>
      </c>
      <c r="BU647" s="387">
        <f t="shared" si="457"/>
        <v>0</v>
      </c>
      <c r="BV647" s="387">
        <f t="shared" si="458"/>
        <v>0</v>
      </c>
      <c r="BW647" s="387">
        <f t="shared" si="459"/>
        <v>0</v>
      </c>
      <c r="BX647" s="387">
        <f t="shared" si="474"/>
        <v>0</v>
      </c>
      <c r="BY647" s="387">
        <f t="shared" si="475"/>
        <v>0</v>
      </c>
      <c r="BZ647" s="387">
        <f t="shared" si="476"/>
        <v>0</v>
      </c>
      <c r="CA647" s="387">
        <f t="shared" si="477"/>
        <v>0</v>
      </c>
      <c r="CB647" s="387">
        <f t="shared" si="478"/>
        <v>0</v>
      </c>
      <c r="CC647" s="387">
        <f t="shared" si="460"/>
        <v>0</v>
      </c>
      <c r="CD647" s="387">
        <f t="shared" si="461"/>
        <v>0</v>
      </c>
      <c r="CE647" s="387">
        <f t="shared" si="462"/>
        <v>0</v>
      </c>
      <c r="CF647" s="387">
        <f t="shared" si="463"/>
        <v>0</v>
      </c>
      <c r="CG647" s="387">
        <f t="shared" si="464"/>
        <v>0</v>
      </c>
      <c r="CH647" s="387">
        <f t="shared" si="465"/>
        <v>0</v>
      </c>
      <c r="CI647" s="387">
        <f t="shared" si="466"/>
        <v>0</v>
      </c>
      <c r="CJ647" s="387">
        <f t="shared" si="479"/>
        <v>0</v>
      </c>
      <c r="CK647" s="387" t="str">
        <f t="shared" si="480"/>
        <v/>
      </c>
      <c r="CL647" s="387" t="str">
        <f t="shared" si="481"/>
        <v/>
      </c>
      <c r="CM647" s="387" t="str">
        <f t="shared" si="482"/>
        <v/>
      </c>
      <c r="CN647" s="387" t="str">
        <f t="shared" si="483"/>
        <v>0349-31</v>
      </c>
    </row>
    <row r="648" spans="1:92" ht="15.75" thickBot="1" x14ac:dyDescent="0.3">
      <c r="A648" s="376" t="s">
        <v>161</v>
      </c>
      <c r="B648" s="376" t="s">
        <v>162</v>
      </c>
      <c r="C648" s="376" t="s">
        <v>1524</v>
      </c>
      <c r="D648" s="376" t="s">
        <v>862</v>
      </c>
      <c r="E648" s="376" t="s">
        <v>669</v>
      </c>
      <c r="F648" s="382" t="s">
        <v>225</v>
      </c>
      <c r="G648" s="376" t="s">
        <v>781</v>
      </c>
      <c r="H648" s="378"/>
      <c r="I648" s="378"/>
      <c r="J648" s="376" t="s">
        <v>168</v>
      </c>
      <c r="K648" s="376" t="s">
        <v>863</v>
      </c>
      <c r="L648" s="376" t="s">
        <v>252</v>
      </c>
      <c r="M648" s="376" t="s">
        <v>171</v>
      </c>
      <c r="N648" s="376" t="s">
        <v>172</v>
      </c>
      <c r="O648" s="379">
        <v>1</v>
      </c>
      <c r="P648" s="385">
        <v>0</v>
      </c>
      <c r="Q648" s="385">
        <v>0</v>
      </c>
      <c r="R648" s="380">
        <v>80</v>
      </c>
      <c r="S648" s="385">
        <v>0</v>
      </c>
      <c r="T648" s="380">
        <v>49.43</v>
      </c>
      <c r="U648" s="380">
        <v>0</v>
      </c>
      <c r="V648" s="380">
        <v>16.82</v>
      </c>
      <c r="W648" s="380">
        <v>0</v>
      </c>
      <c r="X648" s="380">
        <v>0</v>
      </c>
      <c r="Y648" s="380">
        <v>0</v>
      </c>
      <c r="Z648" s="380">
        <v>0</v>
      </c>
      <c r="AA648" s="376" t="s">
        <v>1525</v>
      </c>
      <c r="AB648" s="376" t="s">
        <v>1526</v>
      </c>
      <c r="AC648" s="376" t="s">
        <v>622</v>
      </c>
      <c r="AD648" s="376" t="s">
        <v>686</v>
      </c>
      <c r="AE648" s="376" t="s">
        <v>863</v>
      </c>
      <c r="AF648" s="376" t="s">
        <v>393</v>
      </c>
      <c r="AG648" s="376" t="s">
        <v>178</v>
      </c>
      <c r="AH648" s="381">
        <v>23.89</v>
      </c>
      <c r="AI648" s="379">
        <v>43814</v>
      </c>
      <c r="AJ648" s="376" t="s">
        <v>179</v>
      </c>
      <c r="AK648" s="376" t="s">
        <v>180</v>
      </c>
      <c r="AL648" s="376" t="s">
        <v>181</v>
      </c>
      <c r="AM648" s="376" t="s">
        <v>182</v>
      </c>
      <c r="AN648" s="376" t="s">
        <v>68</v>
      </c>
      <c r="AO648" s="379">
        <v>80</v>
      </c>
      <c r="AP648" s="385">
        <v>1</v>
      </c>
      <c r="AQ648" s="385">
        <v>0</v>
      </c>
      <c r="AR648" s="383" t="s">
        <v>183</v>
      </c>
      <c r="AS648" s="387">
        <f t="shared" si="467"/>
        <v>0</v>
      </c>
      <c r="AT648">
        <f t="shared" si="468"/>
        <v>0</v>
      </c>
      <c r="AU648" s="387" t="str">
        <f>IF(AT648=0,"",IF(AND(AT648=1,M648="F",SUMIF(C2:C1334,C648,AS2:AS1334)&lt;=1),SUMIF(C2:C1334,C648,AS2:AS1334),IF(AND(AT648=1,M648="F",SUMIF(C2:C1334,C648,AS2:AS1334)&gt;1),1,"")))</f>
        <v/>
      </c>
      <c r="AV648" s="387" t="str">
        <f>IF(AT648=0,"",IF(AND(AT648=3,M648="F",SUMIF(C2:C1334,C648,AS2:AS1334)&lt;=1),SUMIF(C2:C1334,C648,AS2:AS1334),IF(AND(AT648=3,M648="F",SUMIF(C2:C1334,C648,AS2:AS1334)&gt;1),1,"")))</f>
        <v/>
      </c>
      <c r="AW648" s="387">
        <f>SUMIF(C2:C1334,C648,O2:O1334)</f>
        <v>3</v>
      </c>
      <c r="AX648" s="387">
        <f>IF(AND(M648="F",AS648&lt;&gt;0),SUMIF(C2:C1334,C648,W2:W1334),0)</f>
        <v>0</v>
      </c>
      <c r="AY648" s="387" t="str">
        <f t="shared" si="469"/>
        <v/>
      </c>
      <c r="AZ648" s="387" t="str">
        <f t="shared" si="470"/>
        <v/>
      </c>
      <c r="BA648" s="387">
        <f t="shared" si="471"/>
        <v>0</v>
      </c>
      <c r="BB648" s="387">
        <f t="shared" si="440"/>
        <v>0</v>
      </c>
      <c r="BC648" s="387">
        <f t="shared" si="441"/>
        <v>0</v>
      </c>
      <c r="BD648" s="387">
        <f t="shared" si="442"/>
        <v>0</v>
      </c>
      <c r="BE648" s="387">
        <f t="shared" si="443"/>
        <v>0</v>
      </c>
      <c r="BF648" s="387">
        <f t="shared" si="444"/>
        <v>0</v>
      </c>
      <c r="BG648" s="387">
        <f t="shared" si="445"/>
        <v>0</v>
      </c>
      <c r="BH648" s="387">
        <f t="shared" si="446"/>
        <v>0</v>
      </c>
      <c r="BI648" s="387">
        <f t="shared" si="447"/>
        <v>0</v>
      </c>
      <c r="BJ648" s="387">
        <f t="shared" si="448"/>
        <v>0</v>
      </c>
      <c r="BK648" s="387">
        <f t="shared" si="449"/>
        <v>0</v>
      </c>
      <c r="BL648" s="387">
        <f t="shared" si="472"/>
        <v>0</v>
      </c>
      <c r="BM648" s="387">
        <f t="shared" si="473"/>
        <v>0</v>
      </c>
      <c r="BN648" s="387">
        <f t="shared" si="450"/>
        <v>0</v>
      </c>
      <c r="BO648" s="387">
        <f t="shared" si="451"/>
        <v>0</v>
      </c>
      <c r="BP648" s="387">
        <f t="shared" si="452"/>
        <v>0</v>
      </c>
      <c r="BQ648" s="387">
        <f t="shared" si="453"/>
        <v>0</v>
      </c>
      <c r="BR648" s="387">
        <f t="shared" si="454"/>
        <v>0</v>
      </c>
      <c r="BS648" s="387">
        <f t="shared" si="455"/>
        <v>0</v>
      </c>
      <c r="BT648" s="387">
        <f t="shared" si="456"/>
        <v>0</v>
      </c>
      <c r="BU648" s="387">
        <f t="shared" si="457"/>
        <v>0</v>
      </c>
      <c r="BV648" s="387">
        <f t="shared" si="458"/>
        <v>0</v>
      </c>
      <c r="BW648" s="387">
        <f t="shared" si="459"/>
        <v>0</v>
      </c>
      <c r="BX648" s="387">
        <f t="shared" si="474"/>
        <v>0</v>
      </c>
      <c r="BY648" s="387">
        <f t="shared" si="475"/>
        <v>0</v>
      </c>
      <c r="BZ648" s="387">
        <f t="shared" si="476"/>
        <v>0</v>
      </c>
      <c r="CA648" s="387">
        <f t="shared" si="477"/>
        <v>0</v>
      </c>
      <c r="CB648" s="387">
        <f t="shared" si="478"/>
        <v>0</v>
      </c>
      <c r="CC648" s="387">
        <f t="shared" si="460"/>
        <v>0</v>
      </c>
      <c r="CD648" s="387">
        <f t="shared" si="461"/>
        <v>0</v>
      </c>
      <c r="CE648" s="387">
        <f t="shared" si="462"/>
        <v>0</v>
      </c>
      <c r="CF648" s="387">
        <f t="shared" si="463"/>
        <v>0</v>
      </c>
      <c r="CG648" s="387">
        <f t="shared" si="464"/>
        <v>0</v>
      </c>
      <c r="CH648" s="387">
        <f t="shared" si="465"/>
        <v>0</v>
      </c>
      <c r="CI648" s="387">
        <f t="shared" si="466"/>
        <v>0</v>
      </c>
      <c r="CJ648" s="387">
        <f t="shared" si="479"/>
        <v>0</v>
      </c>
      <c r="CK648" s="387" t="str">
        <f t="shared" si="480"/>
        <v/>
      </c>
      <c r="CL648" s="387" t="str">
        <f t="shared" si="481"/>
        <v/>
      </c>
      <c r="CM648" s="387" t="str">
        <f t="shared" si="482"/>
        <v/>
      </c>
      <c r="CN648" s="387" t="str">
        <f t="shared" si="483"/>
        <v>0349-31</v>
      </c>
    </row>
    <row r="649" spans="1:92" ht="15.75" thickBot="1" x14ac:dyDescent="0.3">
      <c r="A649" s="376" t="s">
        <v>161</v>
      </c>
      <c r="B649" s="376" t="s">
        <v>162</v>
      </c>
      <c r="C649" s="376" t="s">
        <v>1076</v>
      </c>
      <c r="D649" s="376" t="s">
        <v>862</v>
      </c>
      <c r="E649" s="376" t="s">
        <v>669</v>
      </c>
      <c r="F649" s="382" t="s">
        <v>225</v>
      </c>
      <c r="G649" s="376" t="s">
        <v>781</v>
      </c>
      <c r="H649" s="378"/>
      <c r="I649" s="378"/>
      <c r="J649" s="376" t="s">
        <v>239</v>
      </c>
      <c r="K649" s="376" t="s">
        <v>863</v>
      </c>
      <c r="L649" s="376" t="s">
        <v>252</v>
      </c>
      <c r="M649" s="376" t="s">
        <v>171</v>
      </c>
      <c r="N649" s="376" t="s">
        <v>172</v>
      </c>
      <c r="O649" s="379">
        <v>1</v>
      </c>
      <c r="P649" s="385">
        <v>0</v>
      </c>
      <c r="Q649" s="385">
        <v>0</v>
      </c>
      <c r="R649" s="380">
        <v>80</v>
      </c>
      <c r="S649" s="385">
        <v>0</v>
      </c>
      <c r="T649" s="380">
        <v>61.29</v>
      </c>
      <c r="U649" s="380">
        <v>0</v>
      </c>
      <c r="V649" s="380">
        <v>19.05</v>
      </c>
      <c r="W649" s="380">
        <v>0</v>
      </c>
      <c r="X649" s="380">
        <v>0</v>
      </c>
      <c r="Y649" s="380">
        <v>0</v>
      </c>
      <c r="Z649" s="380">
        <v>0</v>
      </c>
      <c r="AA649" s="376" t="s">
        <v>1077</v>
      </c>
      <c r="AB649" s="376" t="s">
        <v>1078</v>
      </c>
      <c r="AC649" s="376" t="s">
        <v>963</v>
      </c>
      <c r="AD649" s="376" t="s">
        <v>296</v>
      </c>
      <c r="AE649" s="376" t="s">
        <v>863</v>
      </c>
      <c r="AF649" s="376" t="s">
        <v>393</v>
      </c>
      <c r="AG649" s="376" t="s">
        <v>178</v>
      </c>
      <c r="AH649" s="381">
        <v>23.2</v>
      </c>
      <c r="AI649" s="381">
        <v>31339.8</v>
      </c>
      <c r="AJ649" s="376" t="s">
        <v>179</v>
      </c>
      <c r="AK649" s="376" t="s">
        <v>180</v>
      </c>
      <c r="AL649" s="376" t="s">
        <v>181</v>
      </c>
      <c r="AM649" s="376" t="s">
        <v>182</v>
      </c>
      <c r="AN649" s="376" t="s">
        <v>68</v>
      </c>
      <c r="AO649" s="379">
        <v>80</v>
      </c>
      <c r="AP649" s="385">
        <v>1</v>
      </c>
      <c r="AQ649" s="385">
        <v>0</v>
      </c>
      <c r="AR649" s="383" t="s">
        <v>183</v>
      </c>
      <c r="AS649" s="387">
        <f t="shared" si="467"/>
        <v>0</v>
      </c>
      <c r="AT649">
        <f t="shared" si="468"/>
        <v>0</v>
      </c>
      <c r="AU649" s="387" t="str">
        <f>IF(AT649=0,"",IF(AND(AT649=1,M649="F",SUMIF(C2:C1334,C649,AS2:AS1334)&lt;=1),SUMIF(C2:C1334,C649,AS2:AS1334),IF(AND(AT649=1,M649="F",SUMIF(C2:C1334,C649,AS2:AS1334)&gt;1),1,"")))</f>
        <v/>
      </c>
      <c r="AV649" s="387" t="str">
        <f>IF(AT649=0,"",IF(AND(AT649=3,M649="F",SUMIF(C2:C1334,C649,AS2:AS1334)&lt;=1),SUMIF(C2:C1334,C649,AS2:AS1334),IF(AND(AT649=3,M649="F",SUMIF(C2:C1334,C649,AS2:AS1334)&gt;1),1,"")))</f>
        <v/>
      </c>
      <c r="AW649" s="387">
        <f>SUMIF(C2:C1334,C649,O2:O1334)</f>
        <v>3</v>
      </c>
      <c r="AX649" s="387">
        <f>IF(AND(M649="F",AS649&lt;&gt;0),SUMIF(C2:C1334,C649,W2:W1334),0)</f>
        <v>0</v>
      </c>
      <c r="AY649" s="387" t="str">
        <f t="shared" si="469"/>
        <v/>
      </c>
      <c r="AZ649" s="387" t="str">
        <f t="shared" si="470"/>
        <v/>
      </c>
      <c r="BA649" s="387">
        <f t="shared" si="471"/>
        <v>0</v>
      </c>
      <c r="BB649" s="387">
        <f t="shared" si="440"/>
        <v>0</v>
      </c>
      <c r="BC649" s="387">
        <f t="shared" si="441"/>
        <v>0</v>
      </c>
      <c r="BD649" s="387">
        <f t="shared" si="442"/>
        <v>0</v>
      </c>
      <c r="BE649" s="387">
        <f t="shared" si="443"/>
        <v>0</v>
      </c>
      <c r="BF649" s="387">
        <f t="shared" si="444"/>
        <v>0</v>
      </c>
      <c r="BG649" s="387">
        <f t="shared" si="445"/>
        <v>0</v>
      </c>
      <c r="BH649" s="387">
        <f t="shared" si="446"/>
        <v>0</v>
      </c>
      <c r="BI649" s="387">
        <f t="shared" si="447"/>
        <v>0</v>
      </c>
      <c r="BJ649" s="387">
        <f t="shared" si="448"/>
        <v>0</v>
      </c>
      <c r="BK649" s="387">
        <f t="shared" si="449"/>
        <v>0</v>
      </c>
      <c r="BL649" s="387">
        <f t="shared" si="472"/>
        <v>0</v>
      </c>
      <c r="BM649" s="387">
        <f t="shared" si="473"/>
        <v>0</v>
      </c>
      <c r="BN649" s="387">
        <f t="shared" si="450"/>
        <v>0</v>
      </c>
      <c r="BO649" s="387">
        <f t="shared" si="451"/>
        <v>0</v>
      </c>
      <c r="BP649" s="387">
        <f t="shared" si="452"/>
        <v>0</v>
      </c>
      <c r="BQ649" s="387">
        <f t="shared" si="453"/>
        <v>0</v>
      </c>
      <c r="BR649" s="387">
        <f t="shared" si="454"/>
        <v>0</v>
      </c>
      <c r="BS649" s="387">
        <f t="shared" si="455"/>
        <v>0</v>
      </c>
      <c r="BT649" s="387">
        <f t="shared" si="456"/>
        <v>0</v>
      </c>
      <c r="BU649" s="387">
        <f t="shared" si="457"/>
        <v>0</v>
      </c>
      <c r="BV649" s="387">
        <f t="shared" si="458"/>
        <v>0</v>
      </c>
      <c r="BW649" s="387">
        <f t="shared" si="459"/>
        <v>0</v>
      </c>
      <c r="BX649" s="387">
        <f t="shared" si="474"/>
        <v>0</v>
      </c>
      <c r="BY649" s="387">
        <f t="shared" si="475"/>
        <v>0</v>
      </c>
      <c r="BZ649" s="387">
        <f t="shared" si="476"/>
        <v>0</v>
      </c>
      <c r="CA649" s="387">
        <f t="shared" si="477"/>
        <v>0</v>
      </c>
      <c r="CB649" s="387">
        <f t="shared" si="478"/>
        <v>0</v>
      </c>
      <c r="CC649" s="387">
        <f t="shared" si="460"/>
        <v>0</v>
      </c>
      <c r="CD649" s="387">
        <f t="shared" si="461"/>
        <v>0</v>
      </c>
      <c r="CE649" s="387">
        <f t="shared" si="462"/>
        <v>0</v>
      </c>
      <c r="CF649" s="387">
        <f t="shared" si="463"/>
        <v>0</v>
      </c>
      <c r="CG649" s="387">
        <f t="shared" si="464"/>
        <v>0</v>
      </c>
      <c r="CH649" s="387">
        <f t="shared" si="465"/>
        <v>0</v>
      </c>
      <c r="CI649" s="387">
        <f t="shared" si="466"/>
        <v>0</v>
      </c>
      <c r="CJ649" s="387">
        <f t="shared" si="479"/>
        <v>0</v>
      </c>
      <c r="CK649" s="387" t="str">
        <f t="shared" si="480"/>
        <v/>
      </c>
      <c r="CL649" s="387" t="str">
        <f t="shared" si="481"/>
        <v/>
      </c>
      <c r="CM649" s="387" t="str">
        <f t="shared" si="482"/>
        <v/>
      </c>
      <c r="CN649" s="387" t="str">
        <f t="shared" si="483"/>
        <v>0349-31</v>
      </c>
    </row>
    <row r="650" spans="1:92" ht="15.75" thickBot="1" x14ac:dyDescent="0.3">
      <c r="A650" s="376" t="s">
        <v>161</v>
      </c>
      <c r="B650" s="376" t="s">
        <v>162</v>
      </c>
      <c r="C650" s="376" t="s">
        <v>1099</v>
      </c>
      <c r="D650" s="376" t="s">
        <v>862</v>
      </c>
      <c r="E650" s="376" t="s">
        <v>669</v>
      </c>
      <c r="F650" s="382" t="s">
        <v>225</v>
      </c>
      <c r="G650" s="376" t="s">
        <v>781</v>
      </c>
      <c r="H650" s="378"/>
      <c r="I650" s="378"/>
      <c r="J650" s="376" t="s">
        <v>168</v>
      </c>
      <c r="K650" s="376" t="s">
        <v>863</v>
      </c>
      <c r="L650" s="376" t="s">
        <v>252</v>
      </c>
      <c r="M650" s="376" t="s">
        <v>171</v>
      </c>
      <c r="N650" s="376" t="s">
        <v>172</v>
      </c>
      <c r="O650" s="379">
        <v>1</v>
      </c>
      <c r="P650" s="385">
        <v>0</v>
      </c>
      <c r="Q650" s="385">
        <v>0</v>
      </c>
      <c r="R650" s="380">
        <v>80</v>
      </c>
      <c r="S650" s="385">
        <v>0</v>
      </c>
      <c r="T650" s="380">
        <v>28.06</v>
      </c>
      <c r="U650" s="380">
        <v>0</v>
      </c>
      <c r="V650" s="380">
        <v>11.78</v>
      </c>
      <c r="W650" s="380">
        <v>0</v>
      </c>
      <c r="X650" s="380">
        <v>0</v>
      </c>
      <c r="Y650" s="380">
        <v>0</v>
      </c>
      <c r="Z650" s="380">
        <v>0</v>
      </c>
      <c r="AA650" s="376" t="s">
        <v>1100</v>
      </c>
      <c r="AB650" s="376" t="s">
        <v>1101</v>
      </c>
      <c r="AC650" s="376" t="s">
        <v>1102</v>
      </c>
      <c r="AD650" s="376" t="s">
        <v>406</v>
      </c>
      <c r="AE650" s="376" t="s">
        <v>863</v>
      </c>
      <c r="AF650" s="376" t="s">
        <v>393</v>
      </c>
      <c r="AG650" s="376" t="s">
        <v>178</v>
      </c>
      <c r="AH650" s="381">
        <v>29.18</v>
      </c>
      <c r="AI650" s="381">
        <v>68274.7</v>
      </c>
      <c r="AJ650" s="376" t="s">
        <v>179</v>
      </c>
      <c r="AK650" s="376" t="s">
        <v>180</v>
      </c>
      <c r="AL650" s="376" t="s">
        <v>181</v>
      </c>
      <c r="AM650" s="376" t="s">
        <v>182</v>
      </c>
      <c r="AN650" s="376" t="s">
        <v>68</v>
      </c>
      <c r="AO650" s="379">
        <v>80</v>
      </c>
      <c r="AP650" s="385">
        <v>1</v>
      </c>
      <c r="AQ650" s="385">
        <v>0</v>
      </c>
      <c r="AR650" s="383" t="s">
        <v>183</v>
      </c>
      <c r="AS650" s="387">
        <f t="shared" si="467"/>
        <v>0</v>
      </c>
      <c r="AT650">
        <f t="shared" si="468"/>
        <v>0</v>
      </c>
      <c r="AU650" s="387" t="str">
        <f>IF(AT650=0,"",IF(AND(AT650=1,M650="F",SUMIF(C2:C1334,C650,AS2:AS1334)&lt;=1),SUMIF(C2:C1334,C650,AS2:AS1334),IF(AND(AT650=1,M650="F",SUMIF(C2:C1334,C650,AS2:AS1334)&gt;1),1,"")))</f>
        <v/>
      </c>
      <c r="AV650" s="387" t="str">
        <f>IF(AT650=0,"",IF(AND(AT650=3,M650="F",SUMIF(C2:C1334,C650,AS2:AS1334)&lt;=1),SUMIF(C2:C1334,C650,AS2:AS1334),IF(AND(AT650=3,M650="F",SUMIF(C2:C1334,C650,AS2:AS1334)&gt;1),1,"")))</f>
        <v/>
      </c>
      <c r="AW650" s="387">
        <f>SUMIF(C2:C1334,C650,O2:O1334)</f>
        <v>3</v>
      </c>
      <c r="AX650" s="387">
        <f>IF(AND(M650="F",AS650&lt;&gt;0),SUMIF(C2:C1334,C650,W2:W1334),0)</f>
        <v>0</v>
      </c>
      <c r="AY650" s="387" t="str">
        <f t="shared" si="469"/>
        <v/>
      </c>
      <c r="AZ650" s="387" t="str">
        <f t="shared" si="470"/>
        <v/>
      </c>
      <c r="BA650" s="387">
        <f t="shared" si="471"/>
        <v>0</v>
      </c>
      <c r="BB650" s="387">
        <f t="shared" si="440"/>
        <v>0</v>
      </c>
      <c r="BC650" s="387">
        <f t="shared" si="441"/>
        <v>0</v>
      </c>
      <c r="BD650" s="387">
        <f t="shared" si="442"/>
        <v>0</v>
      </c>
      <c r="BE650" s="387">
        <f t="shared" si="443"/>
        <v>0</v>
      </c>
      <c r="BF650" s="387">
        <f t="shared" si="444"/>
        <v>0</v>
      </c>
      <c r="BG650" s="387">
        <f t="shared" si="445"/>
        <v>0</v>
      </c>
      <c r="BH650" s="387">
        <f t="shared" si="446"/>
        <v>0</v>
      </c>
      <c r="BI650" s="387">
        <f t="shared" si="447"/>
        <v>0</v>
      </c>
      <c r="BJ650" s="387">
        <f t="shared" si="448"/>
        <v>0</v>
      </c>
      <c r="BK650" s="387">
        <f t="shared" si="449"/>
        <v>0</v>
      </c>
      <c r="BL650" s="387">
        <f t="shared" si="472"/>
        <v>0</v>
      </c>
      <c r="BM650" s="387">
        <f t="shared" si="473"/>
        <v>0</v>
      </c>
      <c r="BN650" s="387">
        <f t="shared" si="450"/>
        <v>0</v>
      </c>
      <c r="BO650" s="387">
        <f t="shared" si="451"/>
        <v>0</v>
      </c>
      <c r="BP650" s="387">
        <f t="shared" si="452"/>
        <v>0</v>
      </c>
      <c r="BQ650" s="387">
        <f t="shared" si="453"/>
        <v>0</v>
      </c>
      <c r="BR650" s="387">
        <f t="shared" si="454"/>
        <v>0</v>
      </c>
      <c r="BS650" s="387">
        <f t="shared" si="455"/>
        <v>0</v>
      </c>
      <c r="BT650" s="387">
        <f t="shared" si="456"/>
        <v>0</v>
      </c>
      <c r="BU650" s="387">
        <f t="shared" si="457"/>
        <v>0</v>
      </c>
      <c r="BV650" s="387">
        <f t="shared" si="458"/>
        <v>0</v>
      </c>
      <c r="BW650" s="387">
        <f t="shared" si="459"/>
        <v>0</v>
      </c>
      <c r="BX650" s="387">
        <f t="shared" si="474"/>
        <v>0</v>
      </c>
      <c r="BY650" s="387">
        <f t="shared" si="475"/>
        <v>0</v>
      </c>
      <c r="BZ650" s="387">
        <f t="shared" si="476"/>
        <v>0</v>
      </c>
      <c r="CA650" s="387">
        <f t="shared" si="477"/>
        <v>0</v>
      </c>
      <c r="CB650" s="387">
        <f t="shared" si="478"/>
        <v>0</v>
      </c>
      <c r="CC650" s="387">
        <f t="shared" si="460"/>
        <v>0</v>
      </c>
      <c r="CD650" s="387">
        <f t="shared" si="461"/>
        <v>0</v>
      </c>
      <c r="CE650" s="387">
        <f t="shared" si="462"/>
        <v>0</v>
      </c>
      <c r="CF650" s="387">
        <f t="shared" si="463"/>
        <v>0</v>
      </c>
      <c r="CG650" s="387">
        <f t="shared" si="464"/>
        <v>0</v>
      </c>
      <c r="CH650" s="387">
        <f t="shared" si="465"/>
        <v>0</v>
      </c>
      <c r="CI650" s="387">
        <f t="shared" si="466"/>
        <v>0</v>
      </c>
      <c r="CJ650" s="387">
        <f t="shared" si="479"/>
        <v>0</v>
      </c>
      <c r="CK650" s="387" t="str">
        <f t="shared" si="480"/>
        <v/>
      </c>
      <c r="CL650" s="387" t="str">
        <f t="shared" si="481"/>
        <v/>
      </c>
      <c r="CM650" s="387" t="str">
        <f t="shared" si="482"/>
        <v/>
      </c>
      <c r="CN650" s="387" t="str">
        <f t="shared" si="483"/>
        <v>0349-31</v>
      </c>
    </row>
    <row r="651" spans="1:92" ht="15.75" thickBot="1" x14ac:dyDescent="0.3">
      <c r="A651" s="376" t="s">
        <v>161</v>
      </c>
      <c r="B651" s="376" t="s">
        <v>162</v>
      </c>
      <c r="C651" s="376" t="s">
        <v>1565</v>
      </c>
      <c r="D651" s="376" t="s">
        <v>862</v>
      </c>
      <c r="E651" s="376" t="s">
        <v>669</v>
      </c>
      <c r="F651" s="382" t="s">
        <v>225</v>
      </c>
      <c r="G651" s="376" t="s">
        <v>781</v>
      </c>
      <c r="H651" s="378"/>
      <c r="I651" s="378"/>
      <c r="J651" s="376" t="s">
        <v>168</v>
      </c>
      <c r="K651" s="376" t="s">
        <v>863</v>
      </c>
      <c r="L651" s="376" t="s">
        <v>252</v>
      </c>
      <c r="M651" s="376" t="s">
        <v>171</v>
      </c>
      <c r="N651" s="376" t="s">
        <v>172</v>
      </c>
      <c r="O651" s="379">
        <v>2</v>
      </c>
      <c r="P651" s="385">
        <v>0</v>
      </c>
      <c r="Q651" s="385">
        <v>0</v>
      </c>
      <c r="R651" s="380">
        <v>80</v>
      </c>
      <c r="S651" s="385">
        <v>0</v>
      </c>
      <c r="T651" s="380">
        <v>144.09</v>
      </c>
      <c r="U651" s="380">
        <v>0</v>
      </c>
      <c r="V651" s="380">
        <v>58.97</v>
      </c>
      <c r="W651" s="380">
        <v>0</v>
      </c>
      <c r="X651" s="380">
        <v>0</v>
      </c>
      <c r="Y651" s="380">
        <v>0</v>
      </c>
      <c r="Z651" s="380">
        <v>0</v>
      </c>
      <c r="AA651" s="376" t="s">
        <v>1566</v>
      </c>
      <c r="AB651" s="376" t="s">
        <v>1567</v>
      </c>
      <c r="AC651" s="376" t="s">
        <v>577</v>
      </c>
      <c r="AD651" s="376" t="s">
        <v>198</v>
      </c>
      <c r="AE651" s="376" t="s">
        <v>863</v>
      </c>
      <c r="AF651" s="376" t="s">
        <v>393</v>
      </c>
      <c r="AG651" s="376" t="s">
        <v>178</v>
      </c>
      <c r="AH651" s="381">
        <v>26.33</v>
      </c>
      <c r="AI651" s="379">
        <v>56840</v>
      </c>
      <c r="AJ651" s="376" t="s">
        <v>179</v>
      </c>
      <c r="AK651" s="376" t="s">
        <v>180</v>
      </c>
      <c r="AL651" s="376" t="s">
        <v>181</v>
      </c>
      <c r="AM651" s="376" t="s">
        <v>182</v>
      </c>
      <c r="AN651" s="376" t="s">
        <v>68</v>
      </c>
      <c r="AO651" s="379">
        <v>80</v>
      </c>
      <c r="AP651" s="385">
        <v>1</v>
      </c>
      <c r="AQ651" s="385">
        <v>0</v>
      </c>
      <c r="AR651" s="383" t="s">
        <v>183</v>
      </c>
      <c r="AS651" s="387">
        <f t="shared" si="467"/>
        <v>0</v>
      </c>
      <c r="AT651">
        <f t="shared" si="468"/>
        <v>0</v>
      </c>
      <c r="AU651" s="387" t="str">
        <f>IF(AT651=0,"",IF(AND(AT651=1,M651="F",SUMIF(C2:C1334,C651,AS2:AS1334)&lt;=1),SUMIF(C2:C1334,C651,AS2:AS1334),IF(AND(AT651=1,M651="F",SUMIF(C2:C1334,C651,AS2:AS1334)&gt;1),1,"")))</f>
        <v/>
      </c>
      <c r="AV651" s="387" t="str">
        <f>IF(AT651=0,"",IF(AND(AT651=3,M651="F",SUMIF(C2:C1334,C651,AS2:AS1334)&lt;=1),SUMIF(C2:C1334,C651,AS2:AS1334),IF(AND(AT651=3,M651="F",SUMIF(C2:C1334,C651,AS2:AS1334)&gt;1),1,"")))</f>
        <v/>
      </c>
      <c r="AW651" s="387">
        <f>SUMIF(C2:C1334,C651,O2:O1334)</f>
        <v>12</v>
      </c>
      <c r="AX651" s="387">
        <f>IF(AND(M651="F",AS651&lt;&gt;0),SUMIF(C2:C1334,C651,W2:W1334),0)</f>
        <v>0</v>
      </c>
      <c r="AY651" s="387" t="str">
        <f t="shared" si="469"/>
        <v/>
      </c>
      <c r="AZ651" s="387" t="str">
        <f t="shared" si="470"/>
        <v/>
      </c>
      <c r="BA651" s="387">
        <f t="shared" si="471"/>
        <v>0</v>
      </c>
      <c r="BB651" s="387">
        <f t="shared" si="440"/>
        <v>0</v>
      </c>
      <c r="BC651" s="387">
        <f t="shared" si="441"/>
        <v>0</v>
      </c>
      <c r="BD651" s="387">
        <f t="shared" si="442"/>
        <v>0</v>
      </c>
      <c r="BE651" s="387">
        <f t="shared" si="443"/>
        <v>0</v>
      </c>
      <c r="BF651" s="387">
        <f t="shared" si="444"/>
        <v>0</v>
      </c>
      <c r="BG651" s="387">
        <f t="shared" si="445"/>
        <v>0</v>
      </c>
      <c r="BH651" s="387">
        <f t="shared" si="446"/>
        <v>0</v>
      </c>
      <c r="BI651" s="387">
        <f t="shared" si="447"/>
        <v>0</v>
      </c>
      <c r="BJ651" s="387">
        <f t="shared" si="448"/>
        <v>0</v>
      </c>
      <c r="BK651" s="387">
        <f t="shared" si="449"/>
        <v>0</v>
      </c>
      <c r="BL651" s="387">
        <f t="shared" si="472"/>
        <v>0</v>
      </c>
      <c r="BM651" s="387">
        <f t="shared" si="473"/>
        <v>0</v>
      </c>
      <c r="BN651" s="387">
        <f t="shared" si="450"/>
        <v>0</v>
      </c>
      <c r="BO651" s="387">
        <f t="shared" si="451"/>
        <v>0</v>
      </c>
      <c r="BP651" s="387">
        <f t="shared" si="452"/>
        <v>0</v>
      </c>
      <c r="BQ651" s="387">
        <f t="shared" si="453"/>
        <v>0</v>
      </c>
      <c r="BR651" s="387">
        <f t="shared" si="454"/>
        <v>0</v>
      </c>
      <c r="BS651" s="387">
        <f t="shared" si="455"/>
        <v>0</v>
      </c>
      <c r="BT651" s="387">
        <f t="shared" si="456"/>
        <v>0</v>
      </c>
      <c r="BU651" s="387">
        <f t="shared" si="457"/>
        <v>0</v>
      </c>
      <c r="BV651" s="387">
        <f t="shared" si="458"/>
        <v>0</v>
      </c>
      <c r="BW651" s="387">
        <f t="shared" si="459"/>
        <v>0</v>
      </c>
      <c r="BX651" s="387">
        <f t="shared" si="474"/>
        <v>0</v>
      </c>
      <c r="BY651" s="387">
        <f t="shared" si="475"/>
        <v>0</v>
      </c>
      <c r="BZ651" s="387">
        <f t="shared" si="476"/>
        <v>0</v>
      </c>
      <c r="CA651" s="387">
        <f t="shared" si="477"/>
        <v>0</v>
      </c>
      <c r="CB651" s="387">
        <f t="shared" si="478"/>
        <v>0</v>
      </c>
      <c r="CC651" s="387">
        <f t="shared" si="460"/>
        <v>0</v>
      </c>
      <c r="CD651" s="387">
        <f t="shared" si="461"/>
        <v>0</v>
      </c>
      <c r="CE651" s="387">
        <f t="shared" si="462"/>
        <v>0</v>
      </c>
      <c r="CF651" s="387">
        <f t="shared" si="463"/>
        <v>0</v>
      </c>
      <c r="CG651" s="387">
        <f t="shared" si="464"/>
        <v>0</v>
      </c>
      <c r="CH651" s="387">
        <f t="shared" si="465"/>
        <v>0</v>
      </c>
      <c r="CI651" s="387">
        <f t="shared" si="466"/>
        <v>0</v>
      </c>
      <c r="CJ651" s="387">
        <f t="shared" si="479"/>
        <v>0</v>
      </c>
      <c r="CK651" s="387" t="str">
        <f t="shared" si="480"/>
        <v/>
      </c>
      <c r="CL651" s="387" t="str">
        <f t="shared" si="481"/>
        <v/>
      </c>
      <c r="CM651" s="387" t="str">
        <f t="shared" si="482"/>
        <v/>
      </c>
      <c r="CN651" s="387" t="str">
        <f t="shared" si="483"/>
        <v>0349-31</v>
      </c>
    </row>
    <row r="652" spans="1:92" ht="15.75" thickBot="1" x14ac:dyDescent="0.3">
      <c r="A652" s="376" t="s">
        <v>161</v>
      </c>
      <c r="B652" s="376" t="s">
        <v>162</v>
      </c>
      <c r="C652" s="376" t="s">
        <v>1103</v>
      </c>
      <c r="D652" s="376" t="s">
        <v>862</v>
      </c>
      <c r="E652" s="376" t="s">
        <v>669</v>
      </c>
      <c r="F652" s="382" t="s">
        <v>225</v>
      </c>
      <c r="G652" s="376" t="s">
        <v>781</v>
      </c>
      <c r="H652" s="378"/>
      <c r="I652" s="378"/>
      <c r="J652" s="376" t="s">
        <v>239</v>
      </c>
      <c r="K652" s="376" t="s">
        <v>863</v>
      </c>
      <c r="L652" s="376" t="s">
        <v>252</v>
      </c>
      <c r="M652" s="376" t="s">
        <v>171</v>
      </c>
      <c r="N652" s="376" t="s">
        <v>172</v>
      </c>
      <c r="O652" s="379">
        <v>1</v>
      </c>
      <c r="P652" s="385">
        <v>0</v>
      </c>
      <c r="Q652" s="385">
        <v>0</v>
      </c>
      <c r="R652" s="380">
        <v>80</v>
      </c>
      <c r="S652" s="385">
        <v>0</v>
      </c>
      <c r="T652" s="380">
        <v>61.15</v>
      </c>
      <c r="U652" s="380">
        <v>0</v>
      </c>
      <c r="V652" s="380">
        <v>21.17</v>
      </c>
      <c r="W652" s="380">
        <v>0</v>
      </c>
      <c r="X652" s="380">
        <v>0</v>
      </c>
      <c r="Y652" s="380">
        <v>0</v>
      </c>
      <c r="Z652" s="380">
        <v>0</v>
      </c>
      <c r="AA652" s="376" t="s">
        <v>1104</v>
      </c>
      <c r="AB652" s="376" t="s">
        <v>1105</v>
      </c>
      <c r="AC652" s="376" t="s">
        <v>1106</v>
      </c>
      <c r="AD652" s="376" t="s">
        <v>820</v>
      </c>
      <c r="AE652" s="376" t="s">
        <v>863</v>
      </c>
      <c r="AF652" s="376" t="s">
        <v>393</v>
      </c>
      <c r="AG652" s="376" t="s">
        <v>178</v>
      </c>
      <c r="AH652" s="381">
        <v>18.5</v>
      </c>
      <c r="AI652" s="379">
        <v>1200</v>
      </c>
      <c r="AJ652" s="376" t="s">
        <v>179</v>
      </c>
      <c r="AK652" s="376" t="s">
        <v>180</v>
      </c>
      <c r="AL652" s="376" t="s">
        <v>181</v>
      </c>
      <c r="AM652" s="376" t="s">
        <v>182</v>
      </c>
      <c r="AN652" s="376" t="s">
        <v>68</v>
      </c>
      <c r="AO652" s="379">
        <v>80</v>
      </c>
      <c r="AP652" s="385">
        <v>1</v>
      </c>
      <c r="AQ652" s="385">
        <v>0</v>
      </c>
      <c r="AR652" s="383" t="s">
        <v>183</v>
      </c>
      <c r="AS652" s="387">
        <f t="shared" si="467"/>
        <v>0</v>
      </c>
      <c r="AT652">
        <f t="shared" si="468"/>
        <v>0</v>
      </c>
      <c r="AU652" s="387" t="str">
        <f>IF(AT652=0,"",IF(AND(AT652=1,M652="F",SUMIF(C2:C1334,C652,AS2:AS1334)&lt;=1),SUMIF(C2:C1334,C652,AS2:AS1334),IF(AND(AT652=1,M652="F",SUMIF(C2:C1334,C652,AS2:AS1334)&gt;1),1,"")))</f>
        <v/>
      </c>
      <c r="AV652" s="387" t="str">
        <f>IF(AT652=0,"",IF(AND(AT652=3,M652="F",SUMIF(C2:C1334,C652,AS2:AS1334)&lt;=1),SUMIF(C2:C1334,C652,AS2:AS1334),IF(AND(AT652=3,M652="F",SUMIF(C2:C1334,C652,AS2:AS1334)&gt;1),1,"")))</f>
        <v/>
      </c>
      <c r="AW652" s="387">
        <f>SUMIF(C2:C1334,C652,O2:O1334)</f>
        <v>3</v>
      </c>
      <c r="AX652" s="387">
        <f>IF(AND(M652="F",AS652&lt;&gt;0),SUMIF(C2:C1334,C652,W2:W1334),0)</f>
        <v>0</v>
      </c>
      <c r="AY652" s="387" t="str">
        <f t="shared" si="469"/>
        <v/>
      </c>
      <c r="AZ652" s="387" t="str">
        <f t="shared" si="470"/>
        <v/>
      </c>
      <c r="BA652" s="387">
        <f t="shared" si="471"/>
        <v>0</v>
      </c>
      <c r="BB652" s="387">
        <f t="shared" si="440"/>
        <v>0</v>
      </c>
      <c r="BC652" s="387">
        <f t="shared" si="441"/>
        <v>0</v>
      </c>
      <c r="BD652" s="387">
        <f t="shared" si="442"/>
        <v>0</v>
      </c>
      <c r="BE652" s="387">
        <f t="shared" si="443"/>
        <v>0</v>
      </c>
      <c r="BF652" s="387">
        <f t="shared" si="444"/>
        <v>0</v>
      </c>
      <c r="BG652" s="387">
        <f t="shared" si="445"/>
        <v>0</v>
      </c>
      <c r="BH652" s="387">
        <f t="shared" si="446"/>
        <v>0</v>
      </c>
      <c r="BI652" s="387">
        <f t="shared" si="447"/>
        <v>0</v>
      </c>
      <c r="BJ652" s="387">
        <f t="shared" si="448"/>
        <v>0</v>
      </c>
      <c r="BK652" s="387">
        <f t="shared" si="449"/>
        <v>0</v>
      </c>
      <c r="BL652" s="387">
        <f t="shared" si="472"/>
        <v>0</v>
      </c>
      <c r="BM652" s="387">
        <f t="shared" si="473"/>
        <v>0</v>
      </c>
      <c r="BN652" s="387">
        <f t="shared" si="450"/>
        <v>0</v>
      </c>
      <c r="BO652" s="387">
        <f t="shared" si="451"/>
        <v>0</v>
      </c>
      <c r="BP652" s="387">
        <f t="shared" si="452"/>
        <v>0</v>
      </c>
      <c r="BQ652" s="387">
        <f t="shared" si="453"/>
        <v>0</v>
      </c>
      <c r="BR652" s="387">
        <f t="shared" si="454"/>
        <v>0</v>
      </c>
      <c r="BS652" s="387">
        <f t="shared" si="455"/>
        <v>0</v>
      </c>
      <c r="BT652" s="387">
        <f t="shared" si="456"/>
        <v>0</v>
      </c>
      <c r="BU652" s="387">
        <f t="shared" si="457"/>
        <v>0</v>
      </c>
      <c r="BV652" s="387">
        <f t="shared" si="458"/>
        <v>0</v>
      </c>
      <c r="BW652" s="387">
        <f t="shared" si="459"/>
        <v>0</v>
      </c>
      <c r="BX652" s="387">
        <f t="shared" si="474"/>
        <v>0</v>
      </c>
      <c r="BY652" s="387">
        <f t="shared" si="475"/>
        <v>0</v>
      </c>
      <c r="BZ652" s="387">
        <f t="shared" si="476"/>
        <v>0</v>
      </c>
      <c r="CA652" s="387">
        <f t="shared" si="477"/>
        <v>0</v>
      </c>
      <c r="CB652" s="387">
        <f t="shared" si="478"/>
        <v>0</v>
      </c>
      <c r="CC652" s="387">
        <f t="shared" si="460"/>
        <v>0</v>
      </c>
      <c r="CD652" s="387">
        <f t="shared" si="461"/>
        <v>0</v>
      </c>
      <c r="CE652" s="387">
        <f t="shared" si="462"/>
        <v>0</v>
      </c>
      <c r="CF652" s="387">
        <f t="shared" si="463"/>
        <v>0</v>
      </c>
      <c r="CG652" s="387">
        <f t="shared" si="464"/>
        <v>0</v>
      </c>
      <c r="CH652" s="387">
        <f t="shared" si="465"/>
        <v>0</v>
      </c>
      <c r="CI652" s="387">
        <f t="shared" si="466"/>
        <v>0</v>
      </c>
      <c r="CJ652" s="387">
        <f t="shared" si="479"/>
        <v>0</v>
      </c>
      <c r="CK652" s="387" t="str">
        <f t="shared" si="480"/>
        <v/>
      </c>
      <c r="CL652" s="387" t="str">
        <f t="shared" si="481"/>
        <v/>
      </c>
      <c r="CM652" s="387" t="str">
        <f t="shared" si="482"/>
        <v/>
      </c>
      <c r="CN652" s="387" t="str">
        <f t="shared" si="483"/>
        <v>0349-31</v>
      </c>
    </row>
    <row r="653" spans="1:92" ht="15.75" thickBot="1" x14ac:dyDescent="0.3">
      <c r="A653" s="376" t="s">
        <v>161</v>
      </c>
      <c r="B653" s="376" t="s">
        <v>162</v>
      </c>
      <c r="C653" s="376" t="s">
        <v>809</v>
      </c>
      <c r="D653" s="376" t="s">
        <v>786</v>
      </c>
      <c r="E653" s="376" t="s">
        <v>669</v>
      </c>
      <c r="F653" s="382" t="s">
        <v>225</v>
      </c>
      <c r="G653" s="376" t="s">
        <v>781</v>
      </c>
      <c r="H653" s="378"/>
      <c r="I653" s="378"/>
      <c r="J653" s="376" t="s">
        <v>239</v>
      </c>
      <c r="K653" s="376" t="s">
        <v>787</v>
      </c>
      <c r="L653" s="376" t="s">
        <v>181</v>
      </c>
      <c r="M653" s="376" t="s">
        <v>171</v>
      </c>
      <c r="N653" s="376" t="s">
        <v>172</v>
      </c>
      <c r="O653" s="379">
        <v>1</v>
      </c>
      <c r="P653" s="385">
        <v>0</v>
      </c>
      <c r="Q653" s="385">
        <v>0</v>
      </c>
      <c r="R653" s="380">
        <v>80</v>
      </c>
      <c r="S653" s="385">
        <v>0</v>
      </c>
      <c r="T653" s="380">
        <v>426.38</v>
      </c>
      <c r="U653" s="380">
        <v>0</v>
      </c>
      <c r="V653" s="380">
        <v>159.12</v>
      </c>
      <c r="W653" s="380">
        <v>0</v>
      </c>
      <c r="X653" s="380">
        <v>0</v>
      </c>
      <c r="Y653" s="380">
        <v>0</v>
      </c>
      <c r="Z653" s="380">
        <v>0</v>
      </c>
      <c r="AA653" s="376" t="s">
        <v>810</v>
      </c>
      <c r="AB653" s="376" t="s">
        <v>811</v>
      </c>
      <c r="AC653" s="376" t="s">
        <v>812</v>
      </c>
      <c r="AD653" s="376" t="s">
        <v>268</v>
      </c>
      <c r="AE653" s="376" t="s">
        <v>787</v>
      </c>
      <c r="AF653" s="376" t="s">
        <v>211</v>
      </c>
      <c r="AG653" s="376" t="s">
        <v>178</v>
      </c>
      <c r="AH653" s="381">
        <v>35.369999999999997</v>
      </c>
      <c r="AI653" s="381">
        <v>63356.7</v>
      </c>
      <c r="AJ653" s="376" t="s">
        <v>179</v>
      </c>
      <c r="AK653" s="376" t="s">
        <v>180</v>
      </c>
      <c r="AL653" s="376" t="s">
        <v>181</v>
      </c>
      <c r="AM653" s="376" t="s">
        <v>182</v>
      </c>
      <c r="AN653" s="376" t="s">
        <v>68</v>
      </c>
      <c r="AO653" s="379">
        <v>80</v>
      </c>
      <c r="AP653" s="385">
        <v>1</v>
      </c>
      <c r="AQ653" s="385">
        <v>0</v>
      </c>
      <c r="AR653" s="383" t="s">
        <v>183</v>
      </c>
      <c r="AS653" s="387">
        <f t="shared" si="467"/>
        <v>0</v>
      </c>
      <c r="AT653">
        <f t="shared" si="468"/>
        <v>0</v>
      </c>
      <c r="AU653" s="387" t="str">
        <f>IF(AT653=0,"",IF(AND(AT653=1,M653="F",SUMIF(C2:C1334,C653,AS2:AS1334)&lt;=1),SUMIF(C2:C1334,C653,AS2:AS1334),IF(AND(AT653=1,M653="F",SUMIF(C2:C1334,C653,AS2:AS1334)&gt;1),1,"")))</f>
        <v/>
      </c>
      <c r="AV653" s="387" t="str">
        <f>IF(AT653=0,"",IF(AND(AT653=3,M653="F",SUMIF(C2:C1334,C653,AS2:AS1334)&lt;=1),SUMIF(C2:C1334,C653,AS2:AS1334),IF(AND(AT653=3,M653="F",SUMIF(C2:C1334,C653,AS2:AS1334)&gt;1),1,"")))</f>
        <v/>
      </c>
      <c r="AW653" s="387">
        <f>SUMIF(C2:C1334,C653,O2:O1334)</f>
        <v>4</v>
      </c>
      <c r="AX653" s="387">
        <f>IF(AND(M653="F",AS653&lt;&gt;0),SUMIF(C2:C1334,C653,W2:W1334),0)</f>
        <v>0</v>
      </c>
      <c r="AY653" s="387" t="str">
        <f t="shared" si="469"/>
        <v/>
      </c>
      <c r="AZ653" s="387" t="str">
        <f t="shared" si="470"/>
        <v/>
      </c>
      <c r="BA653" s="387">
        <f t="shared" si="471"/>
        <v>0</v>
      </c>
      <c r="BB653" s="387">
        <f t="shared" si="440"/>
        <v>0</v>
      </c>
      <c r="BC653" s="387">
        <f t="shared" si="441"/>
        <v>0</v>
      </c>
      <c r="BD653" s="387">
        <f t="shared" si="442"/>
        <v>0</v>
      </c>
      <c r="BE653" s="387">
        <f t="shared" si="443"/>
        <v>0</v>
      </c>
      <c r="BF653" s="387">
        <f t="shared" si="444"/>
        <v>0</v>
      </c>
      <c r="BG653" s="387">
        <f t="shared" si="445"/>
        <v>0</v>
      </c>
      <c r="BH653" s="387">
        <f t="shared" si="446"/>
        <v>0</v>
      </c>
      <c r="BI653" s="387">
        <f t="shared" si="447"/>
        <v>0</v>
      </c>
      <c r="BJ653" s="387">
        <f t="shared" si="448"/>
        <v>0</v>
      </c>
      <c r="BK653" s="387">
        <f t="shared" si="449"/>
        <v>0</v>
      </c>
      <c r="BL653" s="387">
        <f t="shared" si="472"/>
        <v>0</v>
      </c>
      <c r="BM653" s="387">
        <f t="shared" si="473"/>
        <v>0</v>
      </c>
      <c r="BN653" s="387">
        <f t="shared" si="450"/>
        <v>0</v>
      </c>
      <c r="BO653" s="387">
        <f t="shared" si="451"/>
        <v>0</v>
      </c>
      <c r="BP653" s="387">
        <f t="shared" si="452"/>
        <v>0</v>
      </c>
      <c r="BQ653" s="387">
        <f t="shared" si="453"/>
        <v>0</v>
      </c>
      <c r="BR653" s="387">
        <f t="shared" si="454"/>
        <v>0</v>
      </c>
      <c r="BS653" s="387">
        <f t="shared" si="455"/>
        <v>0</v>
      </c>
      <c r="BT653" s="387">
        <f t="shared" si="456"/>
        <v>0</v>
      </c>
      <c r="BU653" s="387">
        <f t="shared" si="457"/>
        <v>0</v>
      </c>
      <c r="BV653" s="387">
        <f t="shared" si="458"/>
        <v>0</v>
      </c>
      <c r="BW653" s="387">
        <f t="shared" si="459"/>
        <v>0</v>
      </c>
      <c r="BX653" s="387">
        <f t="shared" si="474"/>
        <v>0</v>
      </c>
      <c r="BY653" s="387">
        <f t="shared" si="475"/>
        <v>0</v>
      </c>
      <c r="BZ653" s="387">
        <f t="shared" si="476"/>
        <v>0</v>
      </c>
      <c r="CA653" s="387">
        <f t="shared" si="477"/>
        <v>0</v>
      </c>
      <c r="CB653" s="387">
        <f t="shared" si="478"/>
        <v>0</v>
      </c>
      <c r="CC653" s="387">
        <f t="shared" si="460"/>
        <v>0</v>
      </c>
      <c r="CD653" s="387">
        <f t="shared" si="461"/>
        <v>0</v>
      </c>
      <c r="CE653" s="387">
        <f t="shared" si="462"/>
        <v>0</v>
      </c>
      <c r="CF653" s="387">
        <f t="shared" si="463"/>
        <v>0</v>
      </c>
      <c r="CG653" s="387">
        <f t="shared" si="464"/>
        <v>0</v>
      </c>
      <c r="CH653" s="387">
        <f t="shared" si="465"/>
        <v>0</v>
      </c>
      <c r="CI653" s="387">
        <f t="shared" si="466"/>
        <v>0</v>
      </c>
      <c r="CJ653" s="387">
        <f t="shared" si="479"/>
        <v>0</v>
      </c>
      <c r="CK653" s="387" t="str">
        <f t="shared" si="480"/>
        <v/>
      </c>
      <c r="CL653" s="387" t="str">
        <f t="shared" si="481"/>
        <v/>
      </c>
      <c r="CM653" s="387" t="str">
        <f t="shared" si="482"/>
        <v/>
      </c>
      <c r="CN653" s="387" t="str">
        <f t="shared" si="483"/>
        <v>0349-31</v>
      </c>
    </row>
    <row r="654" spans="1:92" ht="15.75" thickBot="1" x14ac:dyDescent="0.3">
      <c r="A654" s="376" t="s">
        <v>161</v>
      </c>
      <c r="B654" s="376" t="s">
        <v>162</v>
      </c>
      <c r="C654" s="376" t="s">
        <v>1565</v>
      </c>
      <c r="D654" s="376" t="s">
        <v>862</v>
      </c>
      <c r="E654" s="376" t="s">
        <v>669</v>
      </c>
      <c r="F654" s="382" t="s">
        <v>225</v>
      </c>
      <c r="G654" s="376" t="s">
        <v>781</v>
      </c>
      <c r="H654" s="378"/>
      <c r="I654" s="378"/>
      <c r="J654" s="376" t="s">
        <v>168</v>
      </c>
      <c r="K654" s="376" t="s">
        <v>863</v>
      </c>
      <c r="L654" s="376" t="s">
        <v>252</v>
      </c>
      <c r="M654" s="376" t="s">
        <v>171</v>
      </c>
      <c r="N654" s="376" t="s">
        <v>172</v>
      </c>
      <c r="O654" s="379">
        <v>2</v>
      </c>
      <c r="P654" s="385">
        <v>0</v>
      </c>
      <c r="Q654" s="385">
        <v>0</v>
      </c>
      <c r="R654" s="380">
        <v>80</v>
      </c>
      <c r="S654" s="385">
        <v>0</v>
      </c>
      <c r="T654" s="380">
        <v>144.09</v>
      </c>
      <c r="U654" s="380">
        <v>0</v>
      </c>
      <c r="V654" s="380">
        <v>58.97</v>
      </c>
      <c r="W654" s="380">
        <v>0</v>
      </c>
      <c r="X654" s="380">
        <v>0</v>
      </c>
      <c r="Y654" s="380">
        <v>0</v>
      </c>
      <c r="Z654" s="380">
        <v>0</v>
      </c>
      <c r="AA654" s="376" t="s">
        <v>1603</v>
      </c>
      <c r="AB654" s="376" t="s">
        <v>1604</v>
      </c>
      <c r="AC654" s="376" t="s">
        <v>1605</v>
      </c>
      <c r="AD654" s="376" t="s">
        <v>170</v>
      </c>
      <c r="AE654" s="376" t="s">
        <v>863</v>
      </c>
      <c r="AF654" s="376" t="s">
        <v>393</v>
      </c>
      <c r="AG654" s="376" t="s">
        <v>178</v>
      </c>
      <c r="AH654" s="381">
        <v>18.73</v>
      </c>
      <c r="AI654" s="381">
        <v>31335.4</v>
      </c>
      <c r="AJ654" s="376" t="s">
        <v>179</v>
      </c>
      <c r="AK654" s="376" t="s">
        <v>180</v>
      </c>
      <c r="AL654" s="376" t="s">
        <v>181</v>
      </c>
      <c r="AM654" s="376" t="s">
        <v>182</v>
      </c>
      <c r="AN654" s="376" t="s">
        <v>68</v>
      </c>
      <c r="AO654" s="379">
        <v>80</v>
      </c>
      <c r="AP654" s="385">
        <v>1</v>
      </c>
      <c r="AQ654" s="385">
        <v>0</v>
      </c>
      <c r="AR654" s="383">
        <v>6</v>
      </c>
      <c r="AS654" s="387">
        <f t="shared" si="467"/>
        <v>0</v>
      </c>
      <c r="AT654">
        <f t="shared" si="468"/>
        <v>0</v>
      </c>
      <c r="AU654" s="387" t="str">
        <f>IF(AT654=0,"",IF(AND(AT654=1,M654="F",SUMIF(C2:C1334,C654,AS2:AS1334)&lt;=1),SUMIF(C2:C1334,C654,AS2:AS1334),IF(AND(AT654=1,M654="F",SUMIF(C2:C1334,C654,AS2:AS1334)&gt;1),1,"")))</f>
        <v/>
      </c>
      <c r="AV654" s="387" t="str">
        <f>IF(AT654=0,"",IF(AND(AT654=3,M654="F",SUMIF(C2:C1334,C654,AS2:AS1334)&lt;=1),SUMIF(C2:C1334,C654,AS2:AS1334),IF(AND(AT654=3,M654="F",SUMIF(C2:C1334,C654,AS2:AS1334)&gt;1),1,"")))</f>
        <v/>
      </c>
      <c r="AW654" s="387">
        <f>SUMIF(C2:C1334,C654,O2:O1334)</f>
        <v>12</v>
      </c>
      <c r="AX654" s="387">
        <f>IF(AND(M654="F",AS654&lt;&gt;0),SUMIF(C2:C1334,C654,W2:W1334),0)</f>
        <v>0</v>
      </c>
      <c r="AY654" s="387" t="str">
        <f t="shared" si="469"/>
        <v/>
      </c>
      <c r="AZ654" s="387" t="str">
        <f t="shared" si="470"/>
        <v/>
      </c>
      <c r="BA654" s="387">
        <f t="shared" si="471"/>
        <v>0</v>
      </c>
      <c r="BB654" s="387">
        <f t="shared" si="440"/>
        <v>0</v>
      </c>
      <c r="BC654" s="387">
        <f t="shared" si="441"/>
        <v>0</v>
      </c>
      <c r="BD654" s="387">
        <f t="shared" si="442"/>
        <v>0</v>
      </c>
      <c r="BE654" s="387">
        <f t="shared" si="443"/>
        <v>0</v>
      </c>
      <c r="BF654" s="387">
        <f t="shared" si="444"/>
        <v>0</v>
      </c>
      <c r="BG654" s="387">
        <f t="shared" si="445"/>
        <v>0</v>
      </c>
      <c r="BH654" s="387">
        <f t="shared" si="446"/>
        <v>0</v>
      </c>
      <c r="BI654" s="387">
        <f t="shared" si="447"/>
        <v>0</v>
      </c>
      <c r="BJ654" s="387">
        <f t="shared" si="448"/>
        <v>0</v>
      </c>
      <c r="BK654" s="387">
        <f t="shared" si="449"/>
        <v>0</v>
      </c>
      <c r="BL654" s="387">
        <f t="shared" si="472"/>
        <v>0</v>
      </c>
      <c r="BM654" s="387">
        <f t="shared" si="473"/>
        <v>0</v>
      </c>
      <c r="BN654" s="387">
        <f t="shared" si="450"/>
        <v>0</v>
      </c>
      <c r="BO654" s="387">
        <f t="shared" si="451"/>
        <v>0</v>
      </c>
      <c r="BP654" s="387">
        <f t="shared" si="452"/>
        <v>0</v>
      </c>
      <c r="BQ654" s="387">
        <f t="shared" si="453"/>
        <v>0</v>
      </c>
      <c r="BR654" s="387">
        <f t="shared" si="454"/>
        <v>0</v>
      </c>
      <c r="BS654" s="387">
        <f t="shared" si="455"/>
        <v>0</v>
      </c>
      <c r="BT654" s="387">
        <f t="shared" si="456"/>
        <v>0</v>
      </c>
      <c r="BU654" s="387">
        <f t="shared" si="457"/>
        <v>0</v>
      </c>
      <c r="BV654" s="387">
        <f t="shared" si="458"/>
        <v>0</v>
      </c>
      <c r="BW654" s="387">
        <f t="shared" si="459"/>
        <v>0</v>
      </c>
      <c r="BX654" s="387">
        <f t="shared" si="474"/>
        <v>0</v>
      </c>
      <c r="BY654" s="387">
        <f t="shared" si="475"/>
        <v>0</v>
      </c>
      <c r="BZ654" s="387">
        <f t="shared" si="476"/>
        <v>0</v>
      </c>
      <c r="CA654" s="387">
        <f t="shared" si="477"/>
        <v>0</v>
      </c>
      <c r="CB654" s="387">
        <f t="shared" si="478"/>
        <v>0</v>
      </c>
      <c r="CC654" s="387">
        <f t="shared" si="460"/>
        <v>0</v>
      </c>
      <c r="CD654" s="387">
        <f t="shared" si="461"/>
        <v>0</v>
      </c>
      <c r="CE654" s="387">
        <f t="shared" si="462"/>
        <v>0</v>
      </c>
      <c r="CF654" s="387">
        <f t="shared" si="463"/>
        <v>0</v>
      </c>
      <c r="CG654" s="387">
        <f t="shared" si="464"/>
        <v>0</v>
      </c>
      <c r="CH654" s="387">
        <f t="shared" si="465"/>
        <v>0</v>
      </c>
      <c r="CI654" s="387">
        <f t="shared" si="466"/>
        <v>0</v>
      </c>
      <c r="CJ654" s="387">
        <f t="shared" si="479"/>
        <v>0</v>
      </c>
      <c r="CK654" s="387" t="str">
        <f t="shared" si="480"/>
        <v/>
      </c>
      <c r="CL654" s="387" t="str">
        <f t="shared" si="481"/>
        <v/>
      </c>
      <c r="CM654" s="387" t="str">
        <f t="shared" si="482"/>
        <v/>
      </c>
      <c r="CN654" s="387" t="str">
        <f t="shared" si="483"/>
        <v>0349-31</v>
      </c>
    </row>
    <row r="655" spans="1:92" ht="15.75" thickBot="1" x14ac:dyDescent="0.3">
      <c r="A655" s="376" t="s">
        <v>161</v>
      </c>
      <c r="B655" s="376" t="s">
        <v>162</v>
      </c>
      <c r="C655" s="376" t="s">
        <v>1128</v>
      </c>
      <c r="D655" s="376" t="s">
        <v>862</v>
      </c>
      <c r="E655" s="376" t="s">
        <v>669</v>
      </c>
      <c r="F655" s="382" t="s">
        <v>225</v>
      </c>
      <c r="G655" s="376" t="s">
        <v>781</v>
      </c>
      <c r="H655" s="378"/>
      <c r="I655" s="378"/>
      <c r="J655" s="376" t="s">
        <v>239</v>
      </c>
      <c r="K655" s="376" t="s">
        <v>863</v>
      </c>
      <c r="L655" s="376" t="s">
        <v>252</v>
      </c>
      <c r="M655" s="376" t="s">
        <v>171</v>
      </c>
      <c r="N655" s="376" t="s">
        <v>172</v>
      </c>
      <c r="O655" s="379">
        <v>1</v>
      </c>
      <c r="P655" s="385">
        <v>0</v>
      </c>
      <c r="Q655" s="385">
        <v>0</v>
      </c>
      <c r="R655" s="380">
        <v>80</v>
      </c>
      <c r="S655" s="385">
        <v>0</v>
      </c>
      <c r="T655" s="380">
        <v>20.329999999999998</v>
      </c>
      <c r="U655" s="380">
        <v>0</v>
      </c>
      <c r="V655" s="380">
        <v>10.130000000000001</v>
      </c>
      <c r="W655" s="380">
        <v>0</v>
      </c>
      <c r="X655" s="380">
        <v>0</v>
      </c>
      <c r="Y655" s="380">
        <v>0</v>
      </c>
      <c r="Z655" s="380">
        <v>0</v>
      </c>
      <c r="AA655" s="376" t="s">
        <v>1129</v>
      </c>
      <c r="AB655" s="376" t="s">
        <v>1130</v>
      </c>
      <c r="AC655" s="376" t="s">
        <v>840</v>
      </c>
      <c r="AD655" s="376" t="s">
        <v>441</v>
      </c>
      <c r="AE655" s="376" t="s">
        <v>863</v>
      </c>
      <c r="AF655" s="376" t="s">
        <v>393</v>
      </c>
      <c r="AG655" s="376" t="s">
        <v>178</v>
      </c>
      <c r="AH655" s="381">
        <v>21.61</v>
      </c>
      <c r="AI655" s="381">
        <v>25033.5</v>
      </c>
      <c r="AJ655" s="376" t="s">
        <v>179</v>
      </c>
      <c r="AK655" s="376" t="s">
        <v>180</v>
      </c>
      <c r="AL655" s="376" t="s">
        <v>181</v>
      </c>
      <c r="AM655" s="376" t="s">
        <v>182</v>
      </c>
      <c r="AN655" s="376" t="s">
        <v>68</v>
      </c>
      <c r="AO655" s="379">
        <v>80</v>
      </c>
      <c r="AP655" s="385">
        <v>1</v>
      </c>
      <c r="AQ655" s="385">
        <v>0</v>
      </c>
      <c r="AR655" s="383" t="s">
        <v>183</v>
      </c>
      <c r="AS655" s="387">
        <f t="shared" si="467"/>
        <v>0</v>
      </c>
      <c r="AT655">
        <f t="shared" si="468"/>
        <v>0</v>
      </c>
      <c r="AU655" s="387" t="str">
        <f>IF(AT655=0,"",IF(AND(AT655=1,M655="F",SUMIF(C2:C1334,C655,AS2:AS1334)&lt;=1),SUMIF(C2:C1334,C655,AS2:AS1334),IF(AND(AT655=1,M655="F",SUMIF(C2:C1334,C655,AS2:AS1334)&gt;1),1,"")))</f>
        <v/>
      </c>
      <c r="AV655" s="387" t="str">
        <f>IF(AT655=0,"",IF(AND(AT655=3,M655="F",SUMIF(C2:C1334,C655,AS2:AS1334)&lt;=1),SUMIF(C2:C1334,C655,AS2:AS1334),IF(AND(AT655=3,M655="F",SUMIF(C2:C1334,C655,AS2:AS1334)&gt;1),1,"")))</f>
        <v/>
      </c>
      <c r="AW655" s="387">
        <f>SUMIF(C2:C1334,C655,O2:O1334)</f>
        <v>3</v>
      </c>
      <c r="AX655" s="387">
        <f>IF(AND(M655="F",AS655&lt;&gt;0),SUMIF(C2:C1334,C655,W2:W1334),0)</f>
        <v>0</v>
      </c>
      <c r="AY655" s="387" t="str">
        <f t="shared" si="469"/>
        <v/>
      </c>
      <c r="AZ655" s="387" t="str">
        <f t="shared" si="470"/>
        <v/>
      </c>
      <c r="BA655" s="387">
        <f t="shared" si="471"/>
        <v>0</v>
      </c>
      <c r="BB655" s="387">
        <f t="shared" si="440"/>
        <v>0</v>
      </c>
      <c r="BC655" s="387">
        <f t="shared" si="441"/>
        <v>0</v>
      </c>
      <c r="BD655" s="387">
        <f t="shared" si="442"/>
        <v>0</v>
      </c>
      <c r="BE655" s="387">
        <f t="shared" si="443"/>
        <v>0</v>
      </c>
      <c r="BF655" s="387">
        <f t="shared" si="444"/>
        <v>0</v>
      </c>
      <c r="BG655" s="387">
        <f t="shared" si="445"/>
        <v>0</v>
      </c>
      <c r="BH655" s="387">
        <f t="shared" si="446"/>
        <v>0</v>
      </c>
      <c r="BI655" s="387">
        <f t="shared" si="447"/>
        <v>0</v>
      </c>
      <c r="BJ655" s="387">
        <f t="shared" si="448"/>
        <v>0</v>
      </c>
      <c r="BK655" s="387">
        <f t="shared" si="449"/>
        <v>0</v>
      </c>
      <c r="BL655" s="387">
        <f t="shared" si="472"/>
        <v>0</v>
      </c>
      <c r="BM655" s="387">
        <f t="shared" si="473"/>
        <v>0</v>
      </c>
      <c r="BN655" s="387">
        <f t="shared" si="450"/>
        <v>0</v>
      </c>
      <c r="BO655" s="387">
        <f t="shared" si="451"/>
        <v>0</v>
      </c>
      <c r="BP655" s="387">
        <f t="shared" si="452"/>
        <v>0</v>
      </c>
      <c r="BQ655" s="387">
        <f t="shared" si="453"/>
        <v>0</v>
      </c>
      <c r="BR655" s="387">
        <f t="shared" si="454"/>
        <v>0</v>
      </c>
      <c r="BS655" s="387">
        <f t="shared" si="455"/>
        <v>0</v>
      </c>
      <c r="BT655" s="387">
        <f t="shared" si="456"/>
        <v>0</v>
      </c>
      <c r="BU655" s="387">
        <f t="shared" si="457"/>
        <v>0</v>
      </c>
      <c r="BV655" s="387">
        <f t="shared" si="458"/>
        <v>0</v>
      </c>
      <c r="BW655" s="387">
        <f t="shared" si="459"/>
        <v>0</v>
      </c>
      <c r="BX655" s="387">
        <f t="shared" si="474"/>
        <v>0</v>
      </c>
      <c r="BY655" s="387">
        <f t="shared" si="475"/>
        <v>0</v>
      </c>
      <c r="BZ655" s="387">
        <f t="shared" si="476"/>
        <v>0</v>
      </c>
      <c r="CA655" s="387">
        <f t="shared" si="477"/>
        <v>0</v>
      </c>
      <c r="CB655" s="387">
        <f t="shared" si="478"/>
        <v>0</v>
      </c>
      <c r="CC655" s="387">
        <f t="shared" si="460"/>
        <v>0</v>
      </c>
      <c r="CD655" s="387">
        <f t="shared" si="461"/>
        <v>0</v>
      </c>
      <c r="CE655" s="387">
        <f t="shared" si="462"/>
        <v>0</v>
      </c>
      <c r="CF655" s="387">
        <f t="shared" si="463"/>
        <v>0</v>
      </c>
      <c r="CG655" s="387">
        <f t="shared" si="464"/>
        <v>0</v>
      </c>
      <c r="CH655" s="387">
        <f t="shared" si="465"/>
        <v>0</v>
      </c>
      <c r="CI655" s="387">
        <f t="shared" si="466"/>
        <v>0</v>
      </c>
      <c r="CJ655" s="387">
        <f t="shared" si="479"/>
        <v>0</v>
      </c>
      <c r="CK655" s="387" t="str">
        <f t="shared" si="480"/>
        <v/>
      </c>
      <c r="CL655" s="387" t="str">
        <f t="shared" si="481"/>
        <v/>
      </c>
      <c r="CM655" s="387" t="str">
        <f t="shared" si="482"/>
        <v/>
      </c>
      <c r="CN655" s="387" t="str">
        <f t="shared" si="483"/>
        <v>0349-31</v>
      </c>
    </row>
    <row r="656" spans="1:92" ht="15.75" thickBot="1" x14ac:dyDescent="0.3">
      <c r="A656" s="376" t="s">
        <v>161</v>
      </c>
      <c r="B656" s="376" t="s">
        <v>162</v>
      </c>
      <c r="C656" s="376" t="s">
        <v>1154</v>
      </c>
      <c r="D656" s="376" t="s">
        <v>862</v>
      </c>
      <c r="E656" s="376" t="s">
        <v>669</v>
      </c>
      <c r="F656" s="382" t="s">
        <v>225</v>
      </c>
      <c r="G656" s="376" t="s">
        <v>781</v>
      </c>
      <c r="H656" s="378"/>
      <c r="I656" s="378"/>
      <c r="J656" s="376" t="s">
        <v>239</v>
      </c>
      <c r="K656" s="376" t="s">
        <v>863</v>
      </c>
      <c r="L656" s="376" t="s">
        <v>252</v>
      </c>
      <c r="M656" s="376" t="s">
        <v>171</v>
      </c>
      <c r="N656" s="376" t="s">
        <v>172</v>
      </c>
      <c r="O656" s="379">
        <v>1</v>
      </c>
      <c r="P656" s="385">
        <v>0</v>
      </c>
      <c r="Q656" s="385">
        <v>0</v>
      </c>
      <c r="R656" s="380">
        <v>80</v>
      </c>
      <c r="S656" s="385">
        <v>0</v>
      </c>
      <c r="T656" s="380">
        <v>875.23</v>
      </c>
      <c r="U656" s="380">
        <v>0</v>
      </c>
      <c r="V656" s="380">
        <v>408.97</v>
      </c>
      <c r="W656" s="380">
        <v>0</v>
      </c>
      <c r="X656" s="380">
        <v>0</v>
      </c>
      <c r="Y656" s="380">
        <v>0</v>
      </c>
      <c r="Z656" s="380">
        <v>0</v>
      </c>
      <c r="AA656" s="376" t="s">
        <v>1155</v>
      </c>
      <c r="AB656" s="376" t="s">
        <v>1156</v>
      </c>
      <c r="AC656" s="376" t="s">
        <v>1157</v>
      </c>
      <c r="AD656" s="376" t="s">
        <v>324</v>
      </c>
      <c r="AE656" s="376" t="s">
        <v>863</v>
      </c>
      <c r="AF656" s="376" t="s">
        <v>393</v>
      </c>
      <c r="AG656" s="376" t="s">
        <v>178</v>
      </c>
      <c r="AH656" s="381">
        <v>24.85</v>
      </c>
      <c r="AI656" s="381">
        <v>47177.9</v>
      </c>
      <c r="AJ656" s="376" t="s">
        <v>179</v>
      </c>
      <c r="AK656" s="376" t="s">
        <v>180</v>
      </c>
      <c r="AL656" s="376" t="s">
        <v>181</v>
      </c>
      <c r="AM656" s="376" t="s">
        <v>182</v>
      </c>
      <c r="AN656" s="376" t="s">
        <v>68</v>
      </c>
      <c r="AO656" s="379">
        <v>80</v>
      </c>
      <c r="AP656" s="385">
        <v>1</v>
      </c>
      <c r="AQ656" s="385">
        <v>0</v>
      </c>
      <c r="AR656" s="383" t="s">
        <v>183</v>
      </c>
      <c r="AS656" s="387">
        <f t="shared" si="467"/>
        <v>0</v>
      </c>
      <c r="AT656">
        <f t="shared" si="468"/>
        <v>0</v>
      </c>
      <c r="AU656" s="387" t="str">
        <f>IF(AT656=0,"",IF(AND(AT656=1,M656="F",SUMIF(C2:C1334,C656,AS2:AS1334)&lt;=1),SUMIF(C2:C1334,C656,AS2:AS1334),IF(AND(AT656=1,M656="F",SUMIF(C2:C1334,C656,AS2:AS1334)&gt;1),1,"")))</f>
        <v/>
      </c>
      <c r="AV656" s="387" t="str">
        <f>IF(AT656=0,"",IF(AND(AT656=3,M656="F",SUMIF(C2:C1334,C656,AS2:AS1334)&lt;=1),SUMIF(C2:C1334,C656,AS2:AS1334),IF(AND(AT656=3,M656="F",SUMIF(C2:C1334,C656,AS2:AS1334)&gt;1),1,"")))</f>
        <v/>
      </c>
      <c r="AW656" s="387">
        <f>SUMIF(C2:C1334,C656,O2:O1334)</f>
        <v>3</v>
      </c>
      <c r="AX656" s="387">
        <f>IF(AND(M656="F",AS656&lt;&gt;0),SUMIF(C2:C1334,C656,W2:W1334),0)</f>
        <v>0</v>
      </c>
      <c r="AY656" s="387" t="str">
        <f t="shared" si="469"/>
        <v/>
      </c>
      <c r="AZ656" s="387" t="str">
        <f t="shared" si="470"/>
        <v/>
      </c>
      <c r="BA656" s="387">
        <f t="shared" si="471"/>
        <v>0</v>
      </c>
      <c r="BB656" s="387">
        <f t="shared" si="440"/>
        <v>0</v>
      </c>
      <c r="BC656" s="387">
        <f t="shared" si="441"/>
        <v>0</v>
      </c>
      <c r="BD656" s="387">
        <f t="shared" si="442"/>
        <v>0</v>
      </c>
      <c r="BE656" s="387">
        <f t="shared" si="443"/>
        <v>0</v>
      </c>
      <c r="BF656" s="387">
        <f t="shared" si="444"/>
        <v>0</v>
      </c>
      <c r="BG656" s="387">
        <f t="shared" si="445"/>
        <v>0</v>
      </c>
      <c r="BH656" s="387">
        <f t="shared" si="446"/>
        <v>0</v>
      </c>
      <c r="BI656" s="387">
        <f t="shared" si="447"/>
        <v>0</v>
      </c>
      <c r="BJ656" s="387">
        <f t="shared" si="448"/>
        <v>0</v>
      </c>
      <c r="BK656" s="387">
        <f t="shared" si="449"/>
        <v>0</v>
      </c>
      <c r="BL656" s="387">
        <f t="shared" si="472"/>
        <v>0</v>
      </c>
      <c r="BM656" s="387">
        <f t="shared" si="473"/>
        <v>0</v>
      </c>
      <c r="BN656" s="387">
        <f t="shared" si="450"/>
        <v>0</v>
      </c>
      <c r="BO656" s="387">
        <f t="shared" si="451"/>
        <v>0</v>
      </c>
      <c r="BP656" s="387">
        <f t="shared" si="452"/>
        <v>0</v>
      </c>
      <c r="BQ656" s="387">
        <f t="shared" si="453"/>
        <v>0</v>
      </c>
      <c r="BR656" s="387">
        <f t="shared" si="454"/>
        <v>0</v>
      </c>
      <c r="BS656" s="387">
        <f t="shared" si="455"/>
        <v>0</v>
      </c>
      <c r="BT656" s="387">
        <f t="shared" si="456"/>
        <v>0</v>
      </c>
      <c r="BU656" s="387">
        <f t="shared" si="457"/>
        <v>0</v>
      </c>
      <c r="BV656" s="387">
        <f t="shared" si="458"/>
        <v>0</v>
      </c>
      <c r="BW656" s="387">
        <f t="shared" si="459"/>
        <v>0</v>
      </c>
      <c r="BX656" s="387">
        <f t="shared" si="474"/>
        <v>0</v>
      </c>
      <c r="BY656" s="387">
        <f t="shared" si="475"/>
        <v>0</v>
      </c>
      <c r="BZ656" s="387">
        <f t="shared" si="476"/>
        <v>0</v>
      </c>
      <c r="CA656" s="387">
        <f t="shared" si="477"/>
        <v>0</v>
      </c>
      <c r="CB656" s="387">
        <f t="shared" si="478"/>
        <v>0</v>
      </c>
      <c r="CC656" s="387">
        <f t="shared" si="460"/>
        <v>0</v>
      </c>
      <c r="CD656" s="387">
        <f t="shared" si="461"/>
        <v>0</v>
      </c>
      <c r="CE656" s="387">
        <f t="shared" si="462"/>
        <v>0</v>
      </c>
      <c r="CF656" s="387">
        <f t="shared" si="463"/>
        <v>0</v>
      </c>
      <c r="CG656" s="387">
        <f t="shared" si="464"/>
        <v>0</v>
      </c>
      <c r="CH656" s="387">
        <f t="shared" si="465"/>
        <v>0</v>
      </c>
      <c r="CI656" s="387">
        <f t="shared" si="466"/>
        <v>0</v>
      </c>
      <c r="CJ656" s="387">
        <f t="shared" si="479"/>
        <v>0</v>
      </c>
      <c r="CK656" s="387" t="str">
        <f t="shared" si="480"/>
        <v/>
      </c>
      <c r="CL656" s="387" t="str">
        <f t="shared" si="481"/>
        <v/>
      </c>
      <c r="CM656" s="387" t="str">
        <f t="shared" si="482"/>
        <v/>
      </c>
      <c r="CN656" s="387" t="str">
        <f t="shared" si="483"/>
        <v>0349-31</v>
      </c>
    </row>
    <row r="657" spans="1:92" ht="15.75" thickBot="1" x14ac:dyDescent="0.3">
      <c r="A657" s="376" t="s">
        <v>161</v>
      </c>
      <c r="B657" s="376" t="s">
        <v>162</v>
      </c>
      <c r="C657" s="376" t="s">
        <v>1630</v>
      </c>
      <c r="D657" s="376" t="s">
        <v>862</v>
      </c>
      <c r="E657" s="376" t="s">
        <v>669</v>
      </c>
      <c r="F657" s="382" t="s">
        <v>225</v>
      </c>
      <c r="G657" s="376" t="s">
        <v>781</v>
      </c>
      <c r="H657" s="378"/>
      <c r="I657" s="378"/>
      <c r="J657" s="376" t="s">
        <v>239</v>
      </c>
      <c r="K657" s="376" t="s">
        <v>863</v>
      </c>
      <c r="L657" s="376" t="s">
        <v>252</v>
      </c>
      <c r="M657" s="376" t="s">
        <v>171</v>
      </c>
      <c r="N657" s="376" t="s">
        <v>172</v>
      </c>
      <c r="O657" s="379">
        <v>1</v>
      </c>
      <c r="P657" s="385">
        <v>0</v>
      </c>
      <c r="Q657" s="385">
        <v>0</v>
      </c>
      <c r="R657" s="380">
        <v>80</v>
      </c>
      <c r="S657" s="385">
        <v>0</v>
      </c>
      <c r="T657" s="380">
        <v>27.96</v>
      </c>
      <c r="U657" s="380">
        <v>0</v>
      </c>
      <c r="V657" s="380">
        <v>15.49</v>
      </c>
      <c r="W657" s="380">
        <v>0</v>
      </c>
      <c r="X657" s="380">
        <v>0</v>
      </c>
      <c r="Y657" s="380">
        <v>0</v>
      </c>
      <c r="Z657" s="380">
        <v>0</v>
      </c>
      <c r="AA657" s="376" t="s">
        <v>1631</v>
      </c>
      <c r="AB657" s="376" t="s">
        <v>1632</v>
      </c>
      <c r="AC657" s="376" t="s">
        <v>1633</v>
      </c>
      <c r="AD657" s="376" t="s">
        <v>351</v>
      </c>
      <c r="AE657" s="376" t="s">
        <v>863</v>
      </c>
      <c r="AF657" s="376" t="s">
        <v>393</v>
      </c>
      <c r="AG657" s="376" t="s">
        <v>178</v>
      </c>
      <c r="AH657" s="381">
        <v>19.86</v>
      </c>
      <c r="AI657" s="381">
        <v>6627.4</v>
      </c>
      <c r="AJ657" s="376" t="s">
        <v>179</v>
      </c>
      <c r="AK657" s="376" t="s">
        <v>180</v>
      </c>
      <c r="AL657" s="376" t="s">
        <v>181</v>
      </c>
      <c r="AM657" s="376" t="s">
        <v>182</v>
      </c>
      <c r="AN657" s="376" t="s">
        <v>68</v>
      </c>
      <c r="AO657" s="379">
        <v>80</v>
      </c>
      <c r="AP657" s="385">
        <v>1</v>
      </c>
      <c r="AQ657" s="385">
        <v>0</v>
      </c>
      <c r="AR657" s="383" t="s">
        <v>183</v>
      </c>
      <c r="AS657" s="387">
        <f t="shared" si="467"/>
        <v>0</v>
      </c>
      <c r="AT657">
        <f t="shared" si="468"/>
        <v>0</v>
      </c>
      <c r="AU657" s="387" t="str">
        <f>IF(AT657=0,"",IF(AND(AT657=1,M657="F",SUMIF(C2:C1334,C657,AS2:AS1334)&lt;=1),SUMIF(C2:C1334,C657,AS2:AS1334),IF(AND(AT657=1,M657="F",SUMIF(C2:C1334,C657,AS2:AS1334)&gt;1),1,"")))</f>
        <v/>
      </c>
      <c r="AV657" s="387" t="str">
        <f>IF(AT657=0,"",IF(AND(AT657=3,M657="F",SUMIF(C2:C1334,C657,AS2:AS1334)&lt;=1),SUMIF(C2:C1334,C657,AS2:AS1334),IF(AND(AT657=3,M657="F",SUMIF(C2:C1334,C657,AS2:AS1334)&gt;1),1,"")))</f>
        <v/>
      </c>
      <c r="AW657" s="387">
        <f>SUMIF(C2:C1334,C657,O2:O1334)</f>
        <v>3</v>
      </c>
      <c r="AX657" s="387">
        <f>IF(AND(M657="F",AS657&lt;&gt;0),SUMIF(C2:C1334,C657,W2:W1334),0)</f>
        <v>0</v>
      </c>
      <c r="AY657" s="387" t="str">
        <f t="shared" si="469"/>
        <v/>
      </c>
      <c r="AZ657" s="387" t="str">
        <f t="shared" si="470"/>
        <v/>
      </c>
      <c r="BA657" s="387">
        <f t="shared" si="471"/>
        <v>0</v>
      </c>
      <c r="BB657" s="387">
        <f t="shared" si="440"/>
        <v>0</v>
      </c>
      <c r="BC657" s="387">
        <f t="shared" si="441"/>
        <v>0</v>
      </c>
      <c r="BD657" s="387">
        <f t="shared" si="442"/>
        <v>0</v>
      </c>
      <c r="BE657" s="387">
        <f t="shared" si="443"/>
        <v>0</v>
      </c>
      <c r="BF657" s="387">
        <f t="shared" si="444"/>
        <v>0</v>
      </c>
      <c r="BG657" s="387">
        <f t="shared" si="445"/>
        <v>0</v>
      </c>
      <c r="BH657" s="387">
        <f t="shared" si="446"/>
        <v>0</v>
      </c>
      <c r="BI657" s="387">
        <f t="shared" si="447"/>
        <v>0</v>
      </c>
      <c r="BJ657" s="387">
        <f t="shared" si="448"/>
        <v>0</v>
      </c>
      <c r="BK657" s="387">
        <f t="shared" si="449"/>
        <v>0</v>
      </c>
      <c r="BL657" s="387">
        <f t="shared" si="472"/>
        <v>0</v>
      </c>
      <c r="BM657" s="387">
        <f t="shared" si="473"/>
        <v>0</v>
      </c>
      <c r="BN657" s="387">
        <f t="shared" si="450"/>
        <v>0</v>
      </c>
      <c r="BO657" s="387">
        <f t="shared" si="451"/>
        <v>0</v>
      </c>
      <c r="BP657" s="387">
        <f t="shared" si="452"/>
        <v>0</v>
      </c>
      <c r="BQ657" s="387">
        <f t="shared" si="453"/>
        <v>0</v>
      </c>
      <c r="BR657" s="387">
        <f t="shared" si="454"/>
        <v>0</v>
      </c>
      <c r="BS657" s="387">
        <f t="shared" si="455"/>
        <v>0</v>
      </c>
      <c r="BT657" s="387">
        <f t="shared" si="456"/>
        <v>0</v>
      </c>
      <c r="BU657" s="387">
        <f t="shared" si="457"/>
        <v>0</v>
      </c>
      <c r="BV657" s="387">
        <f t="shared" si="458"/>
        <v>0</v>
      </c>
      <c r="BW657" s="387">
        <f t="shared" si="459"/>
        <v>0</v>
      </c>
      <c r="BX657" s="387">
        <f t="shared" si="474"/>
        <v>0</v>
      </c>
      <c r="BY657" s="387">
        <f t="shared" si="475"/>
        <v>0</v>
      </c>
      <c r="BZ657" s="387">
        <f t="shared" si="476"/>
        <v>0</v>
      </c>
      <c r="CA657" s="387">
        <f t="shared" si="477"/>
        <v>0</v>
      </c>
      <c r="CB657" s="387">
        <f t="shared" si="478"/>
        <v>0</v>
      </c>
      <c r="CC657" s="387">
        <f t="shared" si="460"/>
        <v>0</v>
      </c>
      <c r="CD657" s="387">
        <f t="shared" si="461"/>
        <v>0</v>
      </c>
      <c r="CE657" s="387">
        <f t="shared" si="462"/>
        <v>0</v>
      </c>
      <c r="CF657" s="387">
        <f t="shared" si="463"/>
        <v>0</v>
      </c>
      <c r="CG657" s="387">
        <f t="shared" si="464"/>
        <v>0</v>
      </c>
      <c r="CH657" s="387">
        <f t="shared" si="465"/>
        <v>0</v>
      </c>
      <c r="CI657" s="387">
        <f t="shared" si="466"/>
        <v>0</v>
      </c>
      <c r="CJ657" s="387">
        <f t="shared" si="479"/>
        <v>0</v>
      </c>
      <c r="CK657" s="387" t="str">
        <f t="shared" si="480"/>
        <v/>
      </c>
      <c r="CL657" s="387" t="str">
        <f t="shared" si="481"/>
        <v/>
      </c>
      <c r="CM657" s="387" t="str">
        <f t="shared" si="482"/>
        <v/>
      </c>
      <c r="CN657" s="387" t="str">
        <f t="shared" si="483"/>
        <v>0349-31</v>
      </c>
    </row>
    <row r="658" spans="1:92" ht="15.75" thickBot="1" x14ac:dyDescent="0.3">
      <c r="A658" s="376" t="s">
        <v>161</v>
      </c>
      <c r="B658" s="376" t="s">
        <v>162</v>
      </c>
      <c r="C658" s="376" t="s">
        <v>1163</v>
      </c>
      <c r="D658" s="376" t="s">
        <v>862</v>
      </c>
      <c r="E658" s="376" t="s">
        <v>669</v>
      </c>
      <c r="F658" s="382" t="s">
        <v>225</v>
      </c>
      <c r="G658" s="376" t="s">
        <v>781</v>
      </c>
      <c r="H658" s="378"/>
      <c r="I658" s="378"/>
      <c r="J658" s="376" t="s">
        <v>215</v>
      </c>
      <c r="K658" s="376" t="s">
        <v>863</v>
      </c>
      <c r="L658" s="376" t="s">
        <v>252</v>
      </c>
      <c r="M658" s="376" t="s">
        <v>171</v>
      </c>
      <c r="N658" s="376" t="s">
        <v>172</v>
      </c>
      <c r="O658" s="379">
        <v>1</v>
      </c>
      <c r="P658" s="385">
        <v>0</v>
      </c>
      <c r="Q658" s="385">
        <v>0</v>
      </c>
      <c r="R658" s="380">
        <v>80</v>
      </c>
      <c r="S658" s="385">
        <v>0</v>
      </c>
      <c r="T658" s="380">
        <v>37.22</v>
      </c>
      <c r="U658" s="380">
        <v>0</v>
      </c>
      <c r="V658" s="380">
        <v>19.38</v>
      </c>
      <c r="W658" s="380">
        <v>0</v>
      </c>
      <c r="X658" s="380">
        <v>0</v>
      </c>
      <c r="Y658" s="380">
        <v>0</v>
      </c>
      <c r="Z658" s="380">
        <v>0</v>
      </c>
      <c r="AA658" s="376" t="s">
        <v>1164</v>
      </c>
      <c r="AB658" s="376" t="s">
        <v>1165</v>
      </c>
      <c r="AC658" s="376" t="s">
        <v>1166</v>
      </c>
      <c r="AD658" s="376" t="s">
        <v>324</v>
      </c>
      <c r="AE658" s="376" t="s">
        <v>863</v>
      </c>
      <c r="AF658" s="376" t="s">
        <v>393</v>
      </c>
      <c r="AG658" s="376" t="s">
        <v>178</v>
      </c>
      <c r="AH658" s="381">
        <v>17.7</v>
      </c>
      <c r="AI658" s="379">
        <v>9559</v>
      </c>
      <c r="AJ658" s="376" t="s">
        <v>179</v>
      </c>
      <c r="AK658" s="376" t="s">
        <v>180</v>
      </c>
      <c r="AL658" s="376" t="s">
        <v>181</v>
      </c>
      <c r="AM658" s="376" t="s">
        <v>182</v>
      </c>
      <c r="AN658" s="376" t="s">
        <v>68</v>
      </c>
      <c r="AO658" s="379">
        <v>80</v>
      </c>
      <c r="AP658" s="385">
        <v>1</v>
      </c>
      <c r="AQ658" s="385">
        <v>0</v>
      </c>
      <c r="AR658" s="383" t="s">
        <v>183</v>
      </c>
      <c r="AS658" s="387">
        <f t="shared" si="467"/>
        <v>0</v>
      </c>
      <c r="AT658">
        <f t="shared" si="468"/>
        <v>0</v>
      </c>
      <c r="AU658" s="387" t="str">
        <f>IF(AT658=0,"",IF(AND(AT658=1,M658="F",SUMIF(C2:C1334,C658,AS2:AS1334)&lt;=1),SUMIF(C2:C1334,C658,AS2:AS1334),IF(AND(AT658=1,M658="F",SUMIF(C2:C1334,C658,AS2:AS1334)&gt;1),1,"")))</f>
        <v/>
      </c>
      <c r="AV658" s="387" t="str">
        <f>IF(AT658=0,"",IF(AND(AT658=3,M658="F",SUMIF(C2:C1334,C658,AS2:AS1334)&lt;=1),SUMIF(C2:C1334,C658,AS2:AS1334),IF(AND(AT658=3,M658="F",SUMIF(C2:C1334,C658,AS2:AS1334)&gt;1),1,"")))</f>
        <v/>
      </c>
      <c r="AW658" s="387">
        <f>SUMIF(C2:C1334,C658,O2:O1334)</f>
        <v>3</v>
      </c>
      <c r="AX658" s="387">
        <f>IF(AND(M658="F",AS658&lt;&gt;0),SUMIF(C2:C1334,C658,W2:W1334),0)</f>
        <v>0</v>
      </c>
      <c r="AY658" s="387" t="str">
        <f t="shared" si="469"/>
        <v/>
      </c>
      <c r="AZ658" s="387" t="str">
        <f t="shared" si="470"/>
        <v/>
      </c>
      <c r="BA658" s="387">
        <f t="shared" si="471"/>
        <v>0</v>
      </c>
      <c r="BB658" s="387">
        <f t="shared" si="440"/>
        <v>0</v>
      </c>
      <c r="BC658" s="387">
        <f t="shared" si="441"/>
        <v>0</v>
      </c>
      <c r="BD658" s="387">
        <f t="shared" si="442"/>
        <v>0</v>
      </c>
      <c r="BE658" s="387">
        <f t="shared" si="443"/>
        <v>0</v>
      </c>
      <c r="BF658" s="387">
        <f t="shared" si="444"/>
        <v>0</v>
      </c>
      <c r="BG658" s="387">
        <f t="shared" si="445"/>
        <v>0</v>
      </c>
      <c r="BH658" s="387">
        <f t="shared" si="446"/>
        <v>0</v>
      </c>
      <c r="BI658" s="387">
        <f t="shared" si="447"/>
        <v>0</v>
      </c>
      <c r="BJ658" s="387">
        <f t="shared" si="448"/>
        <v>0</v>
      </c>
      <c r="BK658" s="387">
        <f t="shared" si="449"/>
        <v>0</v>
      </c>
      <c r="BL658" s="387">
        <f t="shared" si="472"/>
        <v>0</v>
      </c>
      <c r="BM658" s="387">
        <f t="shared" si="473"/>
        <v>0</v>
      </c>
      <c r="BN658" s="387">
        <f t="shared" si="450"/>
        <v>0</v>
      </c>
      <c r="BO658" s="387">
        <f t="shared" si="451"/>
        <v>0</v>
      </c>
      <c r="BP658" s="387">
        <f t="shared" si="452"/>
        <v>0</v>
      </c>
      <c r="BQ658" s="387">
        <f t="shared" si="453"/>
        <v>0</v>
      </c>
      <c r="BR658" s="387">
        <f t="shared" si="454"/>
        <v>0</v>
      </c>
      <c r="BS658" s="387">
        <f t="shared" si="455"/>
        <v>0</v>
      </c>
      <c r="BT658" s="387">
        <f t="shared" si="456"/>
        <v>0</v>
      </c>
      <c r="BU658" s="387">
        <f t="shared" si="457"/>
        <v>0</v>
      </c>
      <c r="BV658" s="387">
        <f t="shared" si="458"/>
        <v>0</v>
      </c>
      <c r="BW658" s="387">
        <f t="shared" si="459"/>
        <v>0</v>
      </c>
      <c r="BX658" s="387">
        <f t="shared" si="474"/>
        <v>0</v>
      </c>
      <c r="BY658" s="387">
        <f t="shared" si="475"/>
        <v>0</v>
      </c>
      <c r="BZ658" s="387">
        <f t="shared" si="476"/>
        <v>0</v>
      </c>
      <c r="CA658" s="387">
        <f t="shared" si="477"/>
        <v>0</v>
      </c>
      <c r="CB658" s="387">
        <f t="shared" si="478"/>
        <v>0</v>
      </c>
      <c r="CC658" s="387">
        <f t="shared" si="460"/>
        <v>0</v>
      </c>
      <c r="CD658" s="387">
        <f t="shared" si="461"/>
        <v>0</v>
      </c>
      <c r="CE658" s="387">
        <f t="shared" si="462"/>
        <v>0</v>
      </c>
      <c r="CF658" s="387">
        <f t="shared" si="463"/>
        <v>0</v>
      </c>
      <c r="CG658" s="387">
        <f t="shared" si="464"/>
        <v>0</v>
      </c>
      <c r="CH658" s="387">
        <f t="shared" si="465"/>
        <v>0</v>
      </c>
      <c r="CI658" s="387">
        <f t="shared" si="466"/>
        <v>0</v>
      </c>
      <c r="CJ658" s="387">
        <f t="shared" si="479"/>
        <v>0</v>
      </c>
      <c r="CK658" s="387" t="str">
        <f t="shared" si="480"/>
        <v/>
      </c>
      <c r="CL658" s="387" t="str">
        <f t="shared" si="481"/>
        <v/>
      </c>
      <c r="CM658" s="387" t="str">
        <f t="shared" si="482"/>
        <v/>
      </c>
      <c r="CN658" s="387" t="str">
        <f t="shared" si="483"/>
        <v>0349-31</v>
      </c>
    </row>
    <row r="659" spans="1:92" ht="15.75" thickBot="1" x14ac:dyDescent="0.3">
      <c r="A659" s="376" t="s">
        <v>161</v>
      </c>
      <c r="B659" s="376" t="s">
        <v>162</v>
      </c>
      <c r="C659" s="376" t="s">
        <v>1198</v>
      </c>
      <c r="D659" s="376" t="s">
        <v>862</v>
      </c>
      <c r="E659" s="376" t="s">
        <v>669</v>
      </c>
      <c r="F659" s="382" t="s">
        <v>225</v>
      </c>
      <c r="G659" s="376" t="s">
        <v>781</v>
      </c>
      <c r="H659" s="378"/>
      <c r="I659" s="378"/>
      <c r="J659" s="376" t="s">
        <v>239</v>
      </c>
      <c r="K659" s="376" t="s">
        <v>863</v>
      </c>
      <c r="L659" s="376" t="s">
        <v>252</v>
      </c>
      <c r="M659" s="376" t="s">
        <v>171</v>
      </c>
      <c r="N659" s="376" t="s">
        <v>172</v>
      </c>
      <c r="O659" s="379">
        <v>1</v>
      </c>
      <c r="P659" s="385">
        <v>0</v>
      </c>
      <c r="Q659" s="385">
        <v>0</v>
      </c>
      <c r="R659" s="380">
        <v>80</v>
      </c>
      <c r="S659" s="385">
        <v>0</v>
      </c>
      <c r="T659" s="380">
        <v>36.67</v>
      </c>
      <c r="U659" s="380">
        <v>0</v>
      </c>
      <c r="V659" s="380">
        <v>10.85</v>
      </c>
      <c r="W659" s="380">
        <v>0</v>
      </c>
      <c r="X659" s="380">
        <v>0</v>
      </c>
      <c r="Y659" s="380">
        <v>0</v>
      </c>
      <c r="Z659" s="380">
        <v>0</v>
      </c>
      <c r="AA659" s="376" t="s">
        <v>1199</v>
      </c>
      <c r="AB659" s="376" t="s">
        <v>457</v>
      </c>
      <c r="AC659" s="376" t="s">
        <v>1200</v>
      </c>
      <c r="AD659" s="376" t="s">
        <v>1201</v>
      </c>
      <c r="AE659" s="376" t="s">
        <v>863</v>
      </c>
      <c r="AF659" s="376" t="s">
        <v>393</v>
      </c>
      <c r="AG659" s="376" t="s">
        <v>178</v>
      </c>
      <c r="AH659" s="381">
        <v>21.36</v>
      </c>
      <c r="AI659" s="379">
        <v>18438</v>
      </c>
      <c r="AJ659" s="376" t="s">
        <v>179</v>
      </c>
      <c r="AK659" s="376" t="s">
        <v>180</v>
      </c>
      <c r="AL659" s="376" t="s">
        <v>181</v>
      </c>
      <c r="AM659" s="376" t="s">
        <v>182</v>
      </c>
      <c r="AN659" s="376" t="s">
        <v>68</v>
      </c>
      <c r="AO659" s="379">
        <v>80</v>
      </c>
      <c r="AP659" s="385">
        <v>1</v>
      </c>
      <c r="AQ659" s="385">
        <v>0</v>
      </c>
      <c r="AR659" s="383" t="s">
        <v>183</v>
      </c>
      <c r="AS659" s="387">
        <f t="shared" si="467"/>
        <v>0</v>
      </c>
      <c r="AT659">
        <f t="shared" si="468"/>
        <v>0</v>
      </c>
      <c r="AU659" s="387" t="str">
        <f>IF(AT659=0,"",IF(AND(AT659=1,M659="F",SUMIF(C2:C1334,C659,AS2:AS1334)&lt;=1),SUMIF(C2:C1334,C659,AS2:AS1334),IF(AND(AT659=1,M659="F",SUMIF(C2:C1334,C659,AS2:AS1334)&gt;1),1,"")))</f>
        <v/>
      </c>
      <c r="AV659" s="387" t="str">
        <f>IF(AT659=0,"",IF(AND(AT659=3,M659="F",SUMIF(C2:C1334,C659,AS2:AS1334)&lt;=1),SUMIF(C2:C1334,C659,AS2:AS1334),IF(AND(AT659=3,M659="F",SUMIF(C2:C1334,C659,AS2:AS1334)&gt;1),1,"")))</f>
        <v/>
      </c>
      <c r="AW659" s="387">
        <f>SUMIF(C2:C1334,C659,O2:O1334)</f>
        <v>3</v>
      </c>
      <c r="AX659" s="387">
        <f>IF(AND(M659="F",AS659&lt;&gt;0),SUMIF(C2:C1334,C659,W2:W1334),0)</f>
        <v>0</v>
      </c>
      <c r="AY659" s="387" t="str">
        <f t="shared" si="469"/>
        <v/>
      </c>
      <c r="AZ659" s="387" t="str">
        <f t="shared" si="470"/>
        <v/>
      </c>
      <c r="BA659" s="387">
        <f t="shared" si="471"/>
        <v>0</v>
      </c>
      <c r="BB659" s="387">
        <f t="shared" si="440"/>
        <v>0</v>
      </c>
      <c r="BC659" s="387">
        <f t="shared" si="441"/>
        <v>0</v>
      </c>
      <c r="BD659" s="387">
        <f t="shared" si="442"/>
        <v>0</v>
      </c>
      <c r="BE659" s="387">
        <f t="shared" si="443"/>
        <v>0</v>
      </c>
      <c r="BF659" s="387">
        <f t="shared" si="444"/>
        <v>0</v>
      </c>
      <c r="BG659" s="387">
        <f t="shared" si="445"/>
        <v>0</v>
      </c>
      <c r="BH659" s="387">
        <f t="shared" si="446"/>
        <v>0</v>
      </c>
      <c r="BI659" s="387">
        <f t="shared" si="447"/>
        <v>0</v>
      </c>
      <c r="BJ659" s="387">
        <f t="shared" si="448"/>
        <v>0</v>
      </c>
      <c r="BK659" s="387">
        <f t="shared" si="449"/>
        <v>0</v>
      </c>
      <c r="BL659" s="387">
        <f t="shared" si="472"/>
        <v>0</v>
      </c>
      <c r="BM659" s="387">
        <f t="shared" si="473"/>
        <v>0</v>
      </c>
      <c r="BN659" s="387">
        <f t="shared" si="450"/>
        <v>0</v>
      </c>
      <c r="BO659" s="387">
        <f t="shared" si="451"/>
        <v>0</v>
      </c>
      <c r="BP659" s="387">
        <f t="shared" si="452"/>
        <v>0</v>
      </c>
      <c r="BQ659" s="387">
        <f t="shared" si="453"/>
        <v>0</v>
      </c>
      <c r="BR659" s="387">
        <f t="shared" si="454"/>
        <v>0</v>
      </c>
      <c r="BS659" s="387">
        <f t="shared" si="455"/>
        <v>0</v>
      </c>
      <c r="BT659" s="387">
        <f t="shared" si="456"/>
        <v>0</v>
      </c>
      <c r="BU659" s="387">
        <f t="shared" si="457"/>
        <v>0</v>
      </c>
      <c r="BV659" s="387">
        <f t="shared" si="458"/>
        <v>0</v>
      </c>
      <c r="BW659" s="387">
        <f t="shared" si="459"/>
        <v>0</v>
      </c>
      <c r="BX659" s="387">
        <f t="shared" si="474"/>
        <v>0</v>
      </c>
      <c r="BY659" s="387">
        <f t="shared" si="475"/>
        <v>0</v>
      </c>
      <c r="BZ659" s="387">
        <f t="shared" si="476"/>
        <v>0</v>
      </c>
      <c r="CA659" s="387">
        <f t="shared" si="477"/>
        <v>0</v>
      </c>
      <c r="CB659" s="387">
        <f t="shared" si="478"/>
        <v>0</v>
      </c>
      <c r="CC659" s="387">
        <f t="shared" si="460"/>
        <v>0</v>
      </c>
      <c r="CD659" s="387">
        <f t="shared" si="461"/>
        <v>0</v>
      </c>
      <c r="CE659" s="387">
        <f t="shared" si="462"/>
        <v>0</v>
      </c>
      <c r="CF659" s="387">
        <f t="shared" si="463"/>
        <v>0</v>
      </c>
      <c r="CG659" s="387">
        <f t="shared" si="464"/>
        <v>0</v>
      </c>
      <c r="CH659" s="387">
        <f t="shared" si="465"/>
        <v>0</v>
      </c>
      <c r="CI659" s="387">
        <f t="shared" si="466"/>
        <v>0</v>
      </c>
      <c r="CJ659" s="387">
        <f t="shared" si="479"/>
        <v>0</v>
      </c>
      <c r="CK659" s="387" t="str">
        <f t="shared" si="480"/>
        <v/>
      </c>
      <c r="CL659" s="387" t="str">
        <f t="shared" si="481"/>
        <v/>
      </c>
      <c r="CM659" s="387" t="str">
        <f t="shared" si="482"/>
        <v/>
      </c>
      <c r="CN659" s="387" t="str">
        <f t="shared" si="483"/>
        <v>0349-31</v>
      </c>
    </row>
    <row r="660" spans="1:92" ht="15.75" thickBot="1" x14ac:dyDescent="0.3">
      <c r="A660" s="376" t="s">
        <v>161</v>
      </c>
      <c r="B660" s="376" t="s">
        <v>162</v>
      </c>
      <c r="C660" s="376" t="s">
        <v>1663</v>
      </c>
      <c r="D660" s="376" t="s">
        <v>792</v>
      </c>
      <c r="E660" s="376" t="s">
        <v>669</v>
      </c>
      <c r="F660" s="382" t="s">
        <v>225</v>
      </c>
      <c r="G660" s="376" t="s">
        <v>781</v>
      </c>
      <c r="H660" s="378"/>
      <c r="I660" s="378"/>
      <c r="J660" s="376" t="s">
        <v>239</v>
      </c>
      <c r="K660" s="376" t="s">
        <v>793</v>
      </c>
      <c r="L660" s="376" t="s">
        <v>170</v>
      </c>
      <c r="M660" s="376" t="s">
        <v>171</v>
      </c>
      <c r="N660" s="376" t="s">
        <v>172</v>
      </c>
      <c r="O660" s="379">
        <v>1</v>
      </c>
      <c r="P660" s="385">
        <v>0</v>
      </c>
      <c r="Q660" s="385">
        <v>0</v>
      </c>
      <c r="R660" s="380">
        <v>80</v>
      </c>
      <c r="S660" s="385">
        <v>0</v>
      </c>
      <c r="T660" s="380">
        <v>146.76</v>
      </c>
      <c r="U660" s="380">
        <v>0</v>
      </c>
      <c r="V660" s="380">
        <v>37.67</v>
      </c>
      <c r="W660" s="380">
        <v>0</v>
      </c>
      <c r="X660" s="380">
        <v>0</v>
      </c>
      <c r="Y660" s="380">
        <v>0</v>
      </c>
      <c r="Z660" s="380">
        <v>0</v>
      </c>
      <c r="AA660" s="376" t="s">
        <v>1664</v>
      </c>
      <c r="AB660" s="376" t="s">
        <v>1665</v>
      </c>
      <c r="AC660" s="376" t="s">
        <v>587</v>
      </c>
      <c r="AD660" s="376" t="s">
        <v>324</v>
      </c>
      <c r="AE660" s="376" t="s">
        <v>793</v>
      </c>
      <c r="AF660" s="376" t="s">
        <v>177</v>
      </c>
      <c r="AG660" s="376" t="s">
        <v>178</v>
      </c>
      <c r="AH660" s="381">
        <v>23.41</v>
      </c>
      <c r="AI660" s="379">
        <v>25167</v>
      </c>
      <c r="AJ660" s="376" t="s">
        <v>179</v>
      </c>
      <c r="AK660" s="376" t="s">
        <v>180</v>
      </c>
      <c r="AL660" s="376" t="s">
        <v>181</v>
      </c>
      <c r="AM660" s="376" t="s">
        <v>182</v>
      </c>
      <c r="AN660" s="376" t="s">
        <v>68</v>
      </c>
      <c r="AO660" s="379">
        <v>80</v>
      </c>
      <c r="AP660" s="385">
        <v>1</v>
      </c>
      <c r="AQ660" s="385">
        <v>0</v>
      </c>
      <c r="AR660" s="383" t="s">
        <v>183</v>
      </c>
      <c r="AS660" s="387">
        <f t="shared" si="467"/>
        <v>0</v>
      </c>
      <c r="AT660">
        <f t="shared" si="468"/>
        <v>0</v>
      </c>
      <c r="AU660" s="387" t="str">
        <f>IF(AT660=0,"",IF(AND(AT660=1,M660="F",SUMIF(C2:C1334,C660,AS2:AS1334)&lt;=1),SUMIF(C2:C1334,C660,AS2:AS1334),IF(AND(AT660=1,M660="F",SUMIF(C2:C1334,C660,AS2:AS1334)&gt;1),1,"")))</f>
        <v/>
      </c>
      <c r="AV660" s="387" t="str">
        <f>IF(AT660=0,"",IF(AND(AT660=3,M660="F",SUMIF(C2:C1334,C660,AS2:AS1334)&lt;=1),SUMIF(C2:C1334,C660,AS2:AS1334),IF(AND(AT660=3,M660="F",SUMIF(C2:C1334,C660,AS2:AS1334)&gt;1),1,"")))</f>
        <v/>
      </c>
      <c r="AW660" s="387">
        <f>SUMIF(C2:C1334,C660,O2:O1334)</f>
        <v>3</v>
      </c>
      <c r="AX660" s="387">
        <f>IF(AND(M660="F",AS660&lt;&gt;0),SUMIF(C2:C1334,C660,W2:W1334),0)</f>
        <v>0</v>
      </c>
      <c r="AY660" s="387" t="str">
        <f t="shared" si="469"/>
        <v/>
      </c>
      <c r="AZ660" s="387" t="str">
        <f t="shared" si="470"/>
        <v/>
      </c>
      <c r="BA660" s="387">
        <f t="shared" si="471"/>
        <v>0</v>
      </c>
      <c r="BB660" s="387">
        <f t="shared" si="440"/>
        <v>0</v>
      </c>
      <c r="BC660" s="387">
        <f t="shared" si="441"/>
        <v>0</v>
      </c>
      <c r="BD660" s="387">
        <f t="shared" si="442"/>
        <v>0</v>
      </c>
      <c r="BE660" s="387">
        <f t="shared" si="443"/>
        <v>0</v>
      </c>
      <c r="BF660" s="387">
        <f t="shared" si="444"/>
        <v>0</v>
      </c>
      <c r="BG660" s="387">
        <f t="shared" si="445"/>
        <v>0</v>
      </c>
      <c r="BH660" s="387">
        <f t="shared" si="446"/>
        <v>0</v>
      </c>
      <c r="BI660" s="387">
        <f t="shared" si="447"/>
        <v>0</v>
      </c>
      <c r="BJ660" s="387">
        <f t="shared" si="448"/>
        <v>0</v>
      </c>
      <c r="BK660" s="387">
        <f t="shared" si="449"/>
        <v>0</v>
      </c>
      <c r="BL660" s="387">
        <f t="shared" si="472"/>
        <v>0</v>
      </c>
      <c r="BM660" s="387">
        <f t="shared" si="473"/>
        <v>0</v>
      </c>
      <c r="BN660" s="387">
        <f t="shared" si="450"/>
        <v>0</v>
      </c>
      <c r="BO660" s="387">
        <f t="shared" si="451"/>
        <v>0</v>
      </c>
      <c r="BP660" s="387">
        <f t="shared" si="452"/>
        <v>0</v>
      </c>
      <c r="BQ660" s="387">
        <f t="shared" si="453"/>
        <v>0</v>
      </c>
      <c r="BR660" s="387">
        <f t="shared" si="454"/>
        <v>0</v>
      </c>
      <c r="BS660" s="387">
        <f t="shared" si="455"/>
        <v>0</v>
      </c>
      <c r="BT660" s="387">
        <f t="shared" si="456"/>
        <v>0</v>
      </c>
      <c r="BU660" s="387">
        <f t="shared" si="457"/>
        <v>0</v>
      </c>
      <c r="BV660" s="387">
        <f t="shared" si="458"/>
        <v>0</v>
      </c>
      <c r="BW660" s="387">
        <f t="shared" si="459"/>
        <v>0</v>
      </c>
      <c r="BX660" s="387">
        <f t="shared" si="474"/>
        <v>0</v>
      </c>
      <c r="BY660" s="387">
        <f t="shared" si="475"/>
        <v>0</v>
      </c>
      <c r="BZ660" s="387">
        <f t="shared" si="476"/>
        <v>0</v>
      </c>
      <c r="CA660" s="387">
        <f t="shared" si="477"/>
        <v>0</v>
      </c>
      <c r="CB660" s="387">
        <f t="shared" si="478"/>
        <v>0</v>
      </c>
      <c r="CC660" s="387">
        <f t="shared" si="460"/>
        <v>0</v>
      </c>
      <c r="CD660" s="387">
        <f t="shared" si="461"/>
        <v>0</v>
      </c>
      <c r="CE660" s="387">
        <f t="shared" si="462"/>
        <v>0</v>
      </c>
      <c r="CF660" s="387">
        <f t="shared" si="463"/>
        <v>0</v>
      </c>
      <c r="CG660" s="387">
        <f t="shared" si="464"/>
        <v>0</v>
      </c>
      <c r="CH660" s="387">
        <f t="shared" si="465"/>
        <v>0</v>
      </c>
      <c r="CI660" s="387">
        <f t="shared" si="466"/>
        <v>0</v>
      </c>
      <c r="CJ660" s="387">
        <f t="shared" si="479"/>
        <v>0</v>
      </c>
      <c r="CK660" s="387" t="str">
        <f t="shared" si="480"/>
        <v/>
      </c>
      <c r="CL660" s="387" t="str">
        <f t="shared" si="481"/>
        <v/>
      </c>
      <c r="CM660" s="387" t="str">
        <f t="shared" si="482"/>
        <v/>
      </c>
      <c r="CN660" s="387" t="str">
        <f t="shared" si="483"/>
        <v>0349-31</v>
      </c>
    </row>
    <row r="661" spans="1:92" ht="15.75" thickBot="1" x14ac:dyDescent="0.3">
      <c r="A661" s="376" t="s">
        <v>161</v>
      </c>
      <c r="B661" s="376" t="s">
        <v>162</v>
      </c>
      <c r="C661" s="376" t="s">
        <v>311</v>
      </c>
      <c r="D661" s="376" t="s">
        <v>312</v>
      </c>
      <c r="E661" s="376" t="s">
        <v>669</v>
      </c>
      <c r="F661" s="382" t="s">
        <v>225</v>
      </c>
      <c r="G661" s="376" t="s">
        <v>781</v>
      </c>
      <c r="H661" s="378"/>
      <c r="I661" s="378"/>
      <c r="J661" s="376" t="s">
        <v>205</v>
      </c>
      <c r="K661" s="376" t="s">
        <v>313</v>
      </c>
      <c r="L661" s="376" t="s">
        <v>166</v>
      </c>
      <c r="M661" s="376" t="s">
        <v>171</v>
      </c>
      <c r="N661" s="376" t="s">
        <v>257</v>
      </c>
      <c r="O661" s="379">
        <v>1</v>
      </c>
      <c r="P661" s="385">
        <v>0</v>
      </c>
      <c r="Q661" s="385">
        <v>0</v>
      </c>
      <c r="R661" s="380">
        <v>80</v>
      </c>
      <c r="S661" s="385">
        <v>0</v>
      </c>
      <c r="T661" s="380">
        <v>558.51</v>
      </c>
      <c r="U661" s="380">
        <v>0</v>
      </c>
      <c r="V661" s="380">
        <v>152.79</v>
      </c>
      <c r="W661" s="380">
        <v>0</v>
      </c>
      <c r="X661" s="380">
        <v>0</v>
      </c>
      <c r="Y661" s="380">
        <v>0</v>
      </c>
      <c r="Z661" s="380">
        <v>0</v>
      </c>
      <c r="AA661" s="376" t="s">
        <v>314</v>
      </c>
      <c r="AB661" s="376" t="s">
        <v>315</v>
      </c>
      <c r="AC661" s="376" t="s">
        <v>316</v>
      </c>
      <c r="AD661" s="376" t="s">
        <v>317</v>
      </c>
      <c r="AE661" s="376" t="s">
        <v>313</v>
      </c>
      <c r="AF661" s="376" t="s">
        <v>261</v>
      </c>
      <c r="AG661" s="376" t="s">
        <v>178</v>
      </c>
      <c r="AH661" s="381">
        <v>57.67</v>
      </c>
      <c r="AI661" s="381">
        <v>73354.2</v>
      </c>
      <c r="AJ661" s="376" t="s">
        <v>179</v>
      </c>
      <c r="AK661" s="376" t="s">
        <v>180</v>
      </c>
      <c r="AL661" s="376" t="s">
        <v>181</v>
      </c>
      <c r="AM661" s="376" t="s">
        <v>182</v>
      </c>
      <c r="AN661" s="376" t="s">
        <v>68</v>
      </c>
      <c r="AO661" s="379">
        <v>80</v>
      </c>
      <c r="AP661" s="385">
        <v>1</v>
      </c>
      <c r="AQ661" s="385">
        <v>0</v>
      </c>
      <c r="AR661" s="383" t="s">
        <v>183</v>
      </c>
      <c r="AS661" s="387">
        <f t="shared" si="467"/>
        <v>0</v>
      </c>
      <c r="AT661">
        <f t="shared" si="468"/>
        <v>0</v>
      </c>
      <c r="AU661" s="387" t="str">
        <f>IF(AT661=0,"",IF(AND(AT661=1,M661="F",SUMIF(C2:C1334,C661,AS2:AS1334)&lt;=1),SUMIF(C2:C1334,C661,AS2:AS1334),IF(AND(AT661=1,M661="F",SUMIF(C2:C1334,C661,AS2:AS1334)&gt;1),1,"")))</f>
        <v/>
      </c>
      <c r="AV661" s="387" t="str">
        <f>IF(AT661=0,"",IF(AND(AT661=3,M661="F",SUMIF(C2:C1334,C661,AS2:AS1334)&lt;=1),SUMIF(C2:C1334,C661,AS2:AS1334),IF(AND(AT661=3,M661="F",SUMIF(C2:C1334,C661,AS2:AS1334)&gt;1),1,"")))</f>
        <v/>
      </c>
      <c r="AW661" s="387">
        <f>SUMIF(C2:C1334,C661,O2:O1334)</f>
        <v>9</v>
      </c>
      <c r="AX661" s="387">
        <f>IF(AND(M661="F",AS661&lt;&gt;0),SUMIF(C2:C1334,C661,W2:W1334),0)</f>
        <v>0</v>
      </c>
      <c r="AY661" s="387" t="str">
        <f t="shared" si="469"/>
        <v/>
      </c>
      <c r="AZ661" s="387" t="str">
        <f t="shared" si="470"/>
        <v/>
      </c>
      <c r="BA661" s="387">
        <f t="shared" si="471"/>
        <v>0</v>
      </c>
      <c r="BB661" s="387">
        <f t="shared" si="440"/>
        <v>0</v>
      </c>
      <c r="BC661" s="387">
        <f t="shared" si="441"/>
        <v>0</v>
      </c>
      <c r="BD661" s="387">
        <f t="shared" si="442"/>
        <v>0</v>
      </c>
      <c r="BE661" s="387">
        <f t="shared" si="443"/>
        <v>0</v>
      </c>
      <c r="BF661" s="387">
        <f t="shared" si="444"/>
        <v>0</v>
      </c>
      <c r="BG661" s="387">
        <f t="shared" si="445"/>
        <v>0</v>
      </c>
      <c r="BH661" s="387">
        <f t="shared" si="446"/>
        <v>0</v>
      </c>
      <c r="BI661" s="387">
        <f t="shared" si="447"/>
        <v>0</v>
      </c>
      <c r="BJ661" s="387">
        <f t="shared" si="448"/>
        <v>0</v>
      </c>
      <c r="BK661" s="387">
        <f t="shared" si="449"/>
        <v>0</v>
      </c>
      <c r="BL661" s="387">
        <f t="shared" si="472"/>
        <v>0</v>
      </c>
      <c r="BM661" s="387">
        <f t="shared" si="473"/>
        <v>0</v>
      </c>
      <c r="BN661" s="387">
        <f t="shared" si="450"/>
        <v>0</v>
      </c>
      <c r="BO661" s="387">
        <f t="shared" si="451"/>
        <v>0</v>
      </c>
      <c r="BP661" s="387">
        <f t="shared" si="452"/>
        <v>0</v>
      </c>
      <c r="BQ661" s="387">
        <f t="shared" si="453"/>
        <v>0</v>
      </c>
      <c r="BR661" s="387">
        <f t="shared" si="454"/>
        <v>0</v>
      </c>
      <c r="BS661" s="387">
        <f t="shared" si="455"/>
        <v>0</v>
      </c>
      <c r="BT661" s="387">
        <f t="shared" si="456"/>
        <v>0</v>
      </c>
      <c r="BU661" s="387">
        <f t="shared" si="457"/>
        <v>0</v>
      </c>
      <c r="BV661" s="387">
        <f t="shared" si="458"/>
        <v>0</v>
      </c>
      <c r="BW661" s="387">
        <f t="shared" si="459"/>
        <v>0</v>
      </c>
      <c r="BX661" s="387">
        <f t="shared" si="474"/>
        <v>0</v>
      </c>
      <c r="BY661" s="387">
        <f t="shared" si="475"/>
        <v>0</v>
      </c>
      <c r="BZ661" s="387">
        <f t="shared" si="476"/>
        <v>0</v>
      </c>
      <c r="CA661" s="387">
        <f t="shared" si="477"/>
        <v>0</v>
      </c>
      <c r="CB661" s="387">
        <f t="shared" si="478"/>
        <v>0</v>
      </c>
      <c r="CC661" s="387">
        <f t="shared" si="460"/>
        <v>0</v>
      </c>
      <c r="CD661" s="387">
        <f t="shared" si="461"/>
        <v>0</v>
      </c>
      <c r="CE661" s="387">
        <f t="shared" si="462"/>
        <v>0</v>
      </c>
      <c r="CF661" s="387">
        <f t="shared" si="463"/>
        <v>0</v>
      </c>
      <c r="CG661" s="387">
        <f t="shared" si="464"/>
        <v>0</v>
      </c>
      <c r="CH661" s="387">
        <f t="shared" si="465"/>
        <v>0</v>
      </c>
      <c r="CI661" s="387">
        <f t="shared" si="466"/>
        <v>0</v>
      </c>
      <c r="CJ661" s="387">
        <f t="shared" si="479"/>
        <v>0</v>
      </c>
      <c r="CK661" s="387" t="str">
        <f t="shared" si="480"/>
        <v/>
      </c>
      <c r="CL661" s="387" t="str">
        <f t="shared" si="481"/>
        <v/>
      </c>
      <c r="CM661" s="387" t="str">
        <f t="shared" si="482"/>
        <v/>
      </c>
      <c r="CN661" s="387" t="str">
        <f t="shared" si="483"/>
        <v>0349-31</v>
      </c>
    </row>
    <row r="662" spans="1:92" ht="15.75" thickBot="1" x14ac:dyDescent="0.3">
      <c r="A662" s="376" t="s">
        <v>161</v>
      </c>
      <c r="B662" s="376" t="s">
        <v>162</v>
      </c>
      <c r="C662" s="376" t="s">
        <v>1158</v>
      </c>
      <c r="D662" s="376" t="s">
        <v>862</v>
      </c>
      <c r="E662" s="376" t="s">
        <v>669</v>
      </c>
      <c r="F662" s="382" t="s">
        <v>225</v>
      </c>
      <c r="G662" s="376" t="s">
        <v>781</v>
      </c>
      <c r="H662" s="378"/>
      <c r="I662" s="378"/>
      <c r="J662" s="376" t="s">
        <v>215</v>
      </c>
      <c r="K662" s="376" t="s">
        <v>863</v>
      </c>
      <c r="L662" s="376" t="s">
        <v>252</v>
      </c>
      <c r="M662" s="376" t="s">
        <v>272</v>
      </c>
      <c r="N662" s="376" t="s">
        <v>172</v>
      </c>
      <c r="O662" s="379">
        <v>0</v>
      </c>
      <c r="P662" s="385">
        <v>0</v>
      </c>
      <c r="Q662" s="385">
        <v>0</v>
      </c>
      <c r="R662" s="380">
        <v>80</v>
      </c>
      <c r="S662" s="385">
        <v>0</v>
      </c>
      <c r="T662" s="380">
        <v>73</v>
      </c>
      <c r="U662" s="380">
        <v>0</v>
      </c>
      <c r="V662" s="380">
        <v>28.94</v>
      </c>
      <c r="W662" s="380">
        <v>0</v>
      </c>
      <c r="X662" s="380">
        <v>0</v>
      </c>
      <c r="Y662" s="380">
        <v>0</v>
      </c>
      <c r="Z662" s="380">
        <v>0</v>
      </c>
      <c r="AA662" s="378"/>
      <c r="AB662" s="376" t="s">
        <v>45</v>
      </c>
      <c r="AC662" s="376" t="s">
        <v>45</v>
      </c>
      <c r="AD662" s="378"/>
      <c r="AE662" s="378"/>
      <c r="AF662" s="378"/>
      <c r="AG662" s="378"/>
      <c r="AH662" s="379">
        <v>0</v>
      </c>
      <c r="AI662" s="379">
        <v>0</v>
      </c>
      <c r="AJ662" s="378"/>
      <c r="AK662" s="378"/>
      <c r="AL662" s="376" t="s">
        <v>181</v>
      </c>
      <c r="AM662" s="378"/>
      <c r="AN662" s="378"/>
      <c r="AO662" s="379">
        <v>0</v>
      </c>
      <c r="AP662" s="385">
        <v>0</v>
      </c>
      <c r="AQ662" s="385">
        <v>0</v>
      </c>
      <c r="AR662" s="384"/>
      <c r="AS662" s="387">
        <f t="shared" si="467"/>
        <v>0</v>
      </c>
      <c r="AT662">
        <f t="shared" si="468"/>
        <v>0</v>
      </c>
      <c r="AU662" s="387" t="str">
        <f>IF(AT662=0,"",IF(AND(AT662=1,M662="F",SUMIF(C2:C1334,C662,AS2:AS1334)&lt;=1),SUMIF(C2:C1334,C662,AS2:AS1334),IF(AND(AT662=1,M662="F",SUMIF(C2:C1334,C662,AS2:AS1334)&gt;1),1,"")))</f>
        <v/>
      </c>
      <c r="AV662" s="387" t="str">
        <f>IF(AT662=0,"",IF(AND(AT662=3,M662="F",SUMIF(C2:C1334,C662,AS2:AS1334)&lt;=1),SUMIF(C2:C1334,C662,AS2:AS1334),IF(AND(AT662=3,M662="F",SUMIF(C2:C1334,C662,AS2:AS1334)&gt;1),1,"")))</f>
        <v/>
      </c>
      <c r="AW662" s="387">
        <f>SUMIF(C2:C1334,C662,O2:O1334)</f>
        <v>0</v>
      </c>
      <c r="AX662" s="387">
        <f>IF(AND(M662="F",AS662&lt;&gt;0),SUMIF(C2:C1334,C662,W2:W1334),0)</f>
        <v>0</v>
      </c>
      <c r="AY662" s="387" t="str">
        <f t="shared" si="469"/>
        <v/>
      </c>
      <c r="AZ662" s="387" t="str">
        <f t="shared" si="470"/>
        <v/>
      </c>
      <c r="BA662" s="387">
        <f t="shared" si="471"/>
        <v>0</v>
      </c>
      <c r="BB662" s="387">
        <f t="shared" si="440"/>
        <v>0</v>
      </c>
      <c r="BC662" s="387">
        <f t="shared" si="441"/>
        <v>0</v>
      </c>
      <c r="BD662" s="387">
        <f t="shared" si="442"/>
        <v>0</v>
      </c>
      <c r="BE662" s="387">
        <f t="shared" si="443"/>
        <v>0</v>
      </c>
      <c r="BF662" s="387">
        <f t="shared" si="444"/>
        <v>0</v>
      </c>
      <c r="BG662" s="387">
        <f t="shared" si="445"/>
        <v>0</v>
      </c>
      <c r="BH662" s="387">
        <f t="shared" si="446"/>
        <v>0</v>
      </c>
      <c r="BI662" s="387">
        <f t="shared" si="447"/>
        <v>0</v>
      </c>
      <c r="BJ662" s="387">
        <f t="shared" si="448"/>
        <v>0</v>
      </c>
      <c r="BK662" s="387">
        <f t="shared" si="449"/>
        <v>0</v>
      </c>
      <c r="BL662" s="387">
        <f t="shared" si="472"/>
        <v>0</v>
      </c>
      <c r="BM662" s="387">
        <f t="shared" si="473"/>
        <v>0</v>
      </c>
      <c r="BN662" s="387">
        <f t="shared" si="450"/>
        <v>0</v>
      </c>
      <c r="BO662" s="387">
        <f t="shared" si="451"/>
        <v>0</v>
      </c>
      <c r="BP662" s="387">
        <f t="shared" si="452"/>
        <v>0</v>
      </c>
      <c r="BQ662" s="387">
        <f t="shared" si="453"/>
        <v>0</v>
      </c>
      <c r="BR662" s="387">
        <f t="shared" si="454"/>
        <v>0</v>
      </c>
      <c r="BS662" s="387">
        <f t="shared" si="455"/>
        <v>0</v>
      </c>
      <c r="BT662" s="387">
        <f t="shared" si="456"/>
        <v>0</v>
      </c>
      <c r="BU662" s="387">
        <f t="shared" si="457"/>
        <v>0</v>
      </c>
      <c r="BV662" s="387">
        <f t="shared" si="458"/>
        <v>0</v>
      </c>
      <c r="BW662" s="387">
        <f t="shared" si="459"/>
        <v>0</v>
      </c>
      <c r="BX662" s="387">
        <f t="shared" si="474"/>
        <v>0</v>
      </c>
      <c r="BY662" s="387">
        <f t="shared" si="475"/>
        <v>0</v>
      </c>
      <c r="BZ662" s="387">
        <f t="shared" si="476"/>
        <v>0</v>
      </c>
      <c r="CA662" s="387">
        <f t="shared" si="477"/>
        <v>0</v>
      </c>
      <c r="CB662" s="387">
        <f t="shared" si="478"/>
        <v>0</v>
      </c>
      <c r="CC662" s="387">
        <f t="shared" si="460"/>
        <v>0</v>
      </c>
      <c r="CD662" s="387">
        <f t="shared" si="461"/>
        <v>0</v>
      </c>
      <c r="CE662" s="387">
        <f t="shared" si="462"/>
        <v>0</v>
      </c>
      <c r="CF662" s="387">
        <f t="shared" si="463"/>
        <v>0</v>
      </c>
      <c r="CG662" s="387">
        <f t="shared" si="464"/>
        <v>0</v>
      </c>
      <c r="CH662" s="387">
        <f t="shared" si="465"/>
        <v>0</v>
      </c>
      <c r="CI662" s="387">
        <f t="shared" si="466"/>
        <v>0</v>
      </c>
      <c r="CJ662" s="387">
        <f t="shared" si="479"/>
        <v>0</v>
      </c>
      <c r="CK662" s="387" t="str">
        <f t="shared" si="480"/>
        <v/>
      </c>
      <c r="CL662" s="387" t="str">
        <f t="shared" si="481"/>
        <v/>
      </c>
      <c r="CM662" s="387" t="str">
        <f t="shared" si="482"/>
        <v/>
      </c>
      <c r="CN662" s="387" t="str">
        <f t="shared" si="483"/>
        <v>0349-31</v>
      </c>
    </row>
    <row r="663" spans="1:92" ht="15.75" thickBot="1" x14ac:dyDescent="0.3">
      <c r="A663" s="376" t="s">
        <v>161</v>
      </c>
      <c r="B663" s="376" t="s">
        <v>162</v>
      </c>
      <c r="C663" s="376" t="s">
        <v>1208</v>
      </c>
      <c r="D663" s="376" t="s">
        <v>862</v>
      </c>
      <c r="E663" s="376" t="s">
        <v>669</v>
      </c>
      <c r="F663" s="382" t="s">
        <v>225</v>
      </c>
      <c r="G663" s="376" t="s">
        <v>781</v>
      </c>
      <c r="H663" s="378"/>
      <c r="I663" s="378"/>
      <c r="J663" s="376" t="s">
        <v>168</v>
      </c>
      <c r="K663" s="376" t="s">
        <v>863</v>
      </c>
      <c r="L663" s="376" t="s">
        <v>252</v>
      </c>
      <c r="M663" s="376" t="s">
        <v>171</v>
      </c>
      <c r="N663" s="376" t="s">
        <v>172</v>
      </c>
      <c r="O663" s="379">
        <v>1</v>
      </c>
      <c r="P663" s="385">
        <v>0</v>
      </c>
      <c r="Q663" s="385">
        <v>0</v>
      </c>
      <c r="R663" s="380">
        <v>80</v>
      </c>
      <c r="S663" s="385">
        <v>0</v>
      </c>
      <c r="T663" s="380">
        <v>167.24</v>
      </c>
      <c r="U663" s="380">
        <v>0</v>
      </c>
      <c r="V663" s="380">
        <v>74.900000000000006</v>
      </c>
      <c r="W663" s="380">
        <v>0</v>
      </c>
      <c r="X663" s="380">
        <v>0</v>
      </c>
      <c r="Y663" s="380">
        <v>0</v>
      </c>
      <c r="Z663" s="380">
        <v>0</v>
      </c>
      <c r="AA663" s="376" t="s">
        <v>1209</v>
      </c>
      <c r="AB663" s="376" t="s">
        <v>1210</v>
      </c>
      <c r="AC663" s="376" t="s">
        <v>1211</v>
      </c>
      <c r="AD663" s="376" t="s">
        <v>198</v>
      </c>
      <c r="AE663" s="376" t="s">
        <v>863</v>
      </c>
      <c r="AF663" s="376" t="s">
        <v>393</v>
      </c>
      <c r="AG663" s="376" t="s">
        <v>178</v>
      </c>
      <c r="AH663" s="381">
        <v>27.24</v>
      </c>
      <c r="AI663" s="381">
        <v>63032.7</v>
      </c>
      <c r="AJ663" s="376" t="s">
        <v>179</v>
      </c>
      <c r="AK663" s="376" t="s">
        <v>180</v>
      </c>
      <c r="AL663" s="376" t="s">
        <v>181</v>
      </c>
      <c r="AM663" s="376" t="s">
        <v>182</v>
      </c>
      <c r="AN663" s="376" t="s">
        <v>68</v>
      </c>
      <c r="AO663" s="379">
        <v>80</v>
      </c>
      <c r="AP663" s="385">
        <v>1</v>
      </c>
      <c r="AQ663" s="385">
        <v>0</v>
      </c>
      <c r="AR663" s="383" t="s">
        <v>183</v>
      </c>
      <c r="AS663" s="387">
        <f t="shared" si="467"/>
        <v>0</v>
      </c>
      <c r="AT663">
        <f t="shared" si="468"/>
        <v>0</v>
      </c>
      <c r="AU663" s="387" t="str">
        <f>IF(AT663=0,"",IF(AND(AT663=1,M663="F",SUMIF(C2:C1334,C663,AS2:AS1334)&lt;=1),SUMIF(C2:C1334,C663,AS2:AS1334),IF(AND(AT663=1,M663="F",SUMIF(C2:C1334,C663,AS2:AS1334)&gt;1),1,"")))</f>
        <v/>
      </c>
      <c r="AV663" s="387" t="str">
        <f>IF(AT663=0,"",IF(AND(AT663=3,M663="F",SUMIF(C2:C1334,C663,AS2:AS1334)&lt;=1),SUMIF(C2:C1334,C663,AS2:AS1334),IF(AND(AT663=3,M663="F",SUMIF(C2:C1334,C663,AS2:AS1334)&gt;1),1,"")))</f>
        <v/>
      </c>
      <c r="AW663" s="387">
        <f>SUMIF(C2:C1334,C663,O2:O1334)</f>
        <v>3</v>
      </c>
      <c r="AX663" s="387">
        <f>IF(AND(M663="F",AS663&lt;&gt;0),SUMIF(C2:C1334,C663,W2:W1334),0)</f>
        <v>0</v>
      </c>
      <c r="AY663" s="387" t="str">
        <f t="shared" si="469"/>
        <v/>
      </c>
      <c r="AZ663" s="387" t="str">
        <f t="shared" si="470"/>
        <v/>
      </c>
      <c r="BA663" s="387">
        <f t="shared" si="471"/>
        <v>0</v>
      </c>
      <c r="BB663" s="387">
        <f t="shared" si="440"/>
        <v>0</v>
      </c>
      <c r="BC663" s="387">
        <f t="shared" si="441"/>
        <v>0</v>
      </c>
      <c r="BD663" s="387">
        <f t="shared" si="442"/>
        <v>0</v>
      </c>
      <c r="BE663" s="387">
        <f t="shared" si="443"/>
        <v>0</v>
      </c>
      <c r="BF663" s="387">
        <f t="shared" si="444"/>
        <v>0</v>
      </c>
      <c r="BG663" s="387">
        <f t="shared" si="445"/>
        <v>0</v>
      </c>
      <c r="BH663" s="387">
        <f t="shared" si="446"/>
        <v>0</v>
      </c>
      <c r="BI663" s="387">
        <f t="shared" si="447"/>
        <v>0</v>
      </c>
      <c r="BJ663" s="387">
        <f t="shared" si="448"/>
        <v>0</v>
      </c>
      <c r="BK663" s="387">
        <f t="shared" si="449"/>
        <v>0</v>
      </c>
      <c r="BL663" s="387">
        <f t="shared" si="472"/>
        <v>0</v>
      </c>
      <c r="BM663" s="387">
        <f t="shared" si="473"/>
        <v>0</v>
      </c>
      <c r="BN663" s="387">
        <f t="shared" si="450"/>
        <v>0</v>
      </c>
      <c r="BO663" s="387">
        <f t="shared" si="451"/>
        <v>0</v>
      </c>
      <c r="BP663" s="387">
        <f t="shared" si="452"/>
        <v>0</v>
      </c>
      <c r="BQ663" s="387">
        <f t="shared" si="453"/>
        <v>0</v>
      </c>
      <c r="BR663" s="387">
        <f t="shared" si="454"/>
        <v>0</v>
      </c>
      <c r="BS663" s="387">
        <f t="shared" si="455"/>
        <v>0</v>
      </c>
      <c r="BT663" s="387">
        <f t="shared" si="456"/>
        <v>0</v>
      </c>
      <c r="BU663" s="387">
        <f t="shared" si="457"/>
        <v>0</v>
      </c>
      <c r="BV663" s="387">
        <f t="shared" si="458"/>
        <v>0</v>
      </c>
      <c r="BW663" s="387">
        <f t="shared" si="459"/>
        <v>0</v>
      </c>
      <c r="BX663" s="387">
        <f t="shared" si="474"/>
        <v>0</v>
      </c>
      <c r="BY663" s="387">
        <f t="shared" si="475"/>
        <v>0</v>
      </c>
      <c r="BZ663" s="387">
        <f t="shared" si="476"/>
        <v>0</v>
      </c>
      <c r="CA663" s="387">
        <f t="shared" si="477"/>
        <v>0</v>
      </c>
      <c r="CB663" s="387">
        <f t="shared" si="478"/>
        <v>0</v>
      </c>
      <c r="CC663" s="387">
        <f t="shared" si="460"/>
        <v>0</v>
      </c>
      <c r="CD663" s="387">
        <f t="shared" si="461"/>
        <v>0</v>
      </c>
      <c r="CE663" s="387">
        <f t="shared" si="462"/>
        <v>0</v>
      </c>
      <c r="CF663" s="387">
        <f t="shared" si="463"/>
        <v>0</v>
      </c>
      <c r="CG663" s="387">
        <f t="shared" si="464"/>
        <v>0</v>
      </c>
      <c r="CH663" s="387">
        <f t="shared" si="465"/>
        <v>0</v>
      </c>
      <c r="CI663" s="387">
        <f t="shared" si="466"/>
        <v>0</v>
      </c>
      <c r="CJ663" s="387">
        <f t="shared" si="479"/>
        <v>0</v>
      </c>
      <c r="CK663" s="387" t="str">
        <f t="shared" si="480"/>
        <v/>
      </c>
      <c r="CL663" s="387" t="str">
        <f t="shared" si="481"/>
        <v/>
      </c>
      <c r="CM663" s="387" t="str">
        <f t="shared" si="482"/>
        <v/>
      </c>
      <c r="CN663" s="387" t="str">
        <f t="shared" si="483"/>
        <v>0349-31</v>
      </c>
    </row>
    <row r="664" spans="1:92" ht="15.75" thickBot="1" x14ac:dyDescent="0.3">
      <c r="A664" s="376" t="s">
        <v>161</v>
      </c>
      <c r="B664" s="376" t="s">
        <v>162</v>
      </c>
      <c r="C664" s="376" t="s">
        <v>1697</v>
      </c>
      <c r="D664" s="376" t="s">
        <v>862</v>
      </c>
      <c r="E664" s="376" t="s">
        <v>669</v>
      </c>
      <c r="F664" s="382" t="s">
        <v>225</v>
      </c>
      <c r="G664" s="376" t="s">
        <v>781</v>
      </c>
      <c r="H664" s="378"/>
      <c r="I664" s="378"/>
      <c r="J664" s="376" t="s">
        <v>239</v>
      </c>
      <c r="K664" s="376" t="s">
        <v>863</v>
      </c>
      <c r="L664" s="376" t="s">
        <v>252</v>
      </c>
      <c r="M664" s="376" t="s">
        <v>171</v>
      </c>
      <c r="N664" s="376" t="s">
        <v>172</v>
      </c>
      <c r="O664" s="379">
        <v>1</v>
      </c>
      <c r="P664" s="385">
        <v>0</v>
      </c>
      <c r="Q664" s="385">
        <v>0</v>
      </c>
      <c r="R664" s="380">
        <v>80</v>
      </c>
      <c r="S664" s="385">
        <v>0</v>
      </c>
      <c r="T664" s="380">
        <v>3455.14</v>
      </c>
      <c r="U664" s="380">
        <v>0</v>
      </c>
      <c r="V664" s="380">
        <v>1644.53</v>
      </c>
      <c r="W664" s="380">
        <v>0</v>
      </c>
      <c r="X664" s="380">
        <v>0</v>
      </c>
      <c r="Y664" s="380">
        <v>0</v>
      </c>
      <c r="Z664" s="380">
        <v>0</v>
      </c>
      <c r="AA664" s="376" t="s">
        <v>1698</v>
      </c>
      <c r="AB664" s="376" t="s">
        <v>1699</v>
      </c>
      <c r="AC664" s="376" t="s">
        <v>1605</v>
      </c>
      <c r="AD664" s="376" t="s">
        <v>566</v>
      </c>
      <c r="AE664" s="376" t="s">
        <v>863</v>
      </c>
      <c r="AF664" s="376" t="s">
        <v>393</v>
      </c>
      <c r="AG664" s="376" t="s">
        <v>178</v>
      </c>
      <c r="AH664" s="381">
        <v>24.14</v>
      </c>
      <c r="AI664" s="379">
        <v>19382</v>
      </c>
      <c r="AJ664" s="376" t="s">
        <v>179</v>
      </c>
      <c r="AK664" s="376" t="s">
        <v>180</v>
      </c>
      <c r="AL664" s="376" t="s">
        <v>181</v>
      </c>
      <c r="AM664" s="376" t="s">
        <v>182</v>
      </c>
      <c r="AN664" s="376" t="s">
        <v>68</v>
      </c>
      <c r="AO664" s="379">
        <v>80</v>
      </c>
      <c r="AP664" s="385">
        <v>1</v>
      </c>
      <c r="AQ664" s="385">
        <v>0</v>
      </c>
      <c r="AR664" s="383" t="s">
        <v>183</v>
      </c>
      <c r="AS664" s="387">
        <f t="shared" si="467"/>
        <v>0</v>
      </c>
      <c r="AT664">
        <f t="shared" si="468"/>
        <v>0</v>
      </c>
      <c r="AU664" s="387" t="str">
        <f>IF(AT664=0,"",IF(AND(AT664=1,M664="F",SUMIF(C2:C1334,C664,AS2:AS1334)&lt;=1),SUMIF(C2:C1334,C664,AS2:AS1334),IF(AND(AT664=1,M664="F",SUMIF(C2:C1334,C664,AS2:AS1334)&gt;1),1,"")))</f>
        <v/>
      </c>
      <c r="AV664" s="387" t="str">
        <f>IF(AT664=0,"",IF(AND(AT664=3,M664="F",SUMIF(C2:C1334,C664,AS2:AS1334)&lt;=1),SUMIF(C2:C1334,C664,AS2:AS1334),IF(AND(AT664=3,M664="F",SUMIF(C2:C1334,C664,AS2:AS1334)&gt;1),1,"")))</f>
        <v/>
      </c>
      <c r="AW664" s="387">
        <f>SUMIF(C2:C1334,C664,O2:O1334)</f>
        <v>3</v>
      </c>
      <c r="AX664" s="387">
        <f>IF(AND(M664="F",AS664&lt;&gt;0),SUMIF(C2:C1334,C664,W2:W1334),0)</f>
        <v>0</v>
      </c>
      <c r="AY664" s="387" t="str">
        <f t="shared" si="469"/>
        <v/>
      </c>
      <c r="AZ664" s="387" t="str">
        <f t="shared" si="470"/>
        <v/>
      </c>
      <c r="BA664" s="387">
        <f t="shared" si="471"/>
        <v>0</v>
      </c>
      <c r="BB664" s="387">
        <f t="shared" si="440"/>
        <v>0</v>
      </c>
      <c r="BC664" s="387">
        <f t="shared" si="441"/>
        <v>0</v>
      </c>
      <c r="BD664" s="387">
        <f t="shared" si="442"/>
        <v>0</v>
      </c>
      <c r="BE664" s="387">
        <f t="shared" si="443"/>
        <v>0</v>
      </c>
      <c r="BF664" s="387">
        <f t="shared" si="444"/>
        <v>0</v>
      </c>
      <c r="BG664" s="387">
        <f t="shared" si="445"/>
        <v>0</v>
      </c>
      <c r="BH664" s="387">
        <f t="shared" si="446"/>
        <v>0</v>
      </c>
      <c r="BI664" s="387">
        <f t="shared" si="447"/>
        <v>0</v>
      </c>
      <c r="BJ664" s="387">
        <f t="shared" si="448"/>
        <v>0</v>
      </c>
      <c r="BK664" s="387">
        <f t="shared" si="449"/>
        <v>0</v>
      </c>
      <c r="BL664" s="387">
        <f t="shared" si="472"/>
        <v>0</v>
      </c>
      <c r="BM664" s="387">
        <f t="shared" si="473"/>
        <v>0</v>
      </c>
      <c r="BN664" s="387">
        <f t="shared" si="450"/>
        <v>0</v>
      </c>
      <c r="BO664" s="387">
        <f t="shared" si="451"/>
        <v>0</v>
      </c>
      <c r="BP664" s="387">
        <f t="shared" si="452"/>
        <v>0</v>
      </c>
      <c r="BQ664" s="387">
        <f t="shared" si="453"/>
        <v>0</v>
      </c>
      <c r="BR664" s="387">
        <f t="shared" si="454"/>
        <v>0</v>
      </c>
      <c r="BS664" s="387">
        <f t="shared" si="455"/>
        <v>0</v>
      </c>
      <c r="BT664" s="387">
        <f t="shared" si="456"/>
        <v>0</v>
      </c>
      <c r="BU664" s="387">
        <f t="shared" si="457"/>
        <v>0</v>
      </c>
      <c r="BV664" s="387">
        <f t="shared" si="458"/>
        <v>0</v>
      </c>
      <c r="BW664" s="387">
        <f t="shared" si="459"/>
        <v>0</v>
      </c>
      <c r="BX664" s="387">
        <f t="shared" si="474"/>
        <v>0</v>
      </c>
      <c r="BY664" s="387">
        <f t="shared" si="475"/>
        <v>0</v>
      </c>
      <c r="BZ664" s="387">
        <f t="shared" si="476"/>
        <v>0</v>
      </c>
      <c r="CA664" s="387">
        <f t="shared" si="477"/>
        <v>0</v>
      </c>
      <c r="CB664" s="387">
        <f t="shared" si="478"/>
        <v>0</v>
      </c>
      <c r="CC664" s="387">
        <f t="shared" si="460"/>
        <v>0</v>
      </c>
      <c r="CD664" s="387">
        <f t="shared" si="461"/>
        <v>0</v>
      </c>
      <c r="CE664" s="387">
        <f t="shared" si="462"/>
        <v>0</v>
      </c>
      <c r="CF664" s="387">
        <f t="shared" si="463"/>
        <v>0</v>
      </c>
      <c r="CG664" s="387">
        <f t="shared" si="464"/>
        <v>0</v>
      </c>
      <c r="CH664" s="387">
        <f t="shared" si="465"/>
        <v>0</v>
      </c>
      <c r="CI664" s="387">
        <f t="shared" si="466"/>
        <v>0</v>
      </c>
      <c r="CJ664" s="387">
        <f t="shared" si="479"/>
        <v>0</v>
      </c>
      <c r="CK664" s="387" t="str">
        <f t="shared" si="480"/>
        <v/>
      </c>
      <c r="CL664" s="387" t="str">
        <f t="shared" si="481"/>
        <v/>
      </c>
      <c r="CM664" s="387" t="str">
        <f t="shared" si="482"/>
        <v/>
      </c>
      <c r="CN664" s="387" t="str">
        <f t="shared" si="483"/>
        <v>0349-31</v>
      </c>
    </row>
    <row r="665" spans="1:92" ht="15.75" thickBot="1" x14ac:dyDescent="0.3">
      <c r="A665" s="376" t="s">
        <v>161</v>
      </c>
      <c r="B665" s="376" t="s">
        <v>162</v>
      </c>
      <c r="C665" s="376" t="s">
        <v>1346</v>
      </c>
      <c r="D665" s="376" t="s">
        <v>862</v>
      </c>
      <c r="E665" s="376" t="s">
        <v>669</v>
      </c>
      <c r="F665" s="382" t="s">
        <v>225</v>
      </c>
      <c r="G665" s="376" t="s">
        <v>781</v>
      </c>
      <c r="H665" s="378"/>
      <c r="I665" s="378"/>
      <c r="J665" s="376" t="s">
        <v>239</v>
      </c>
      <c r="K665" s="376" t="s">
        <v>863</v>
      </c>
      <c r="L665" s="376" t="s">
        <v>252</v>
      </c>
      <c r="M665" s="376" t="s">
        <v>171</v>
      </c>
      <c r="N665" s="376" t="s">
        <v>172</v>
      </c>
      <c r="O665" s="379">
        <v>1</v>
      </c>
      <c r="P665" s="385">
        <v>0</v>
      </c>
      <c r="Q665" s="385">
        <v>0</v>
      </c>
      <c r="R665" s="380">
        <v>80</v>
      </c>
      <c r="S665" s="385">
        <v>0</v>
      </c>
      <c r="T665" s="380">
        <v>22.26</v>
      </c>
      <c r="U665" s="380">
        <v>0</v>
      </c>
      <c r="V665" s="380">
        <v>11.07</v>
      </c>
      <c r="W665" s="380">
        <v>0</v>
      </c>
      <c r="X665" s="380">
        <v>0</v>
      </c>
      <c r="Y665" s="380">
        <v>0</v>
      </c>
      <c r="Z665" s="380">
        <v>0</v>
      </c>
      <c r="AA665" s="376" t="s">
        <v>1347</v>
      </c>
      <c r="AB665" s="376" t="s">
        <v>1348</v>
      </c>
      <c r="AC665" s="376" t="s">
        <v>1242</v>
      </c>
      <c r="AD665" s="376" t="s">
        <v>300</v>
      </c>
      <c r="AE665" s="376" t="s">
        <v>863</v>
      </c>
      <c r="AF665" s="376" t="s">
        <v>393</v>
      </c>
      <c r="AG665" s="376" t="s">
        <v>178</v>
      </c>
      <c r="AH665" s="381">
        <v>22.34</v>
      </c>
      <c r="AI665" s="381">
        <v>25360.3</v>
      </c>
      <c r="AJ665" s="376" t="s">
        <v>179</v>
      </c>
      <c r="AK665" s="376" t="s">
        <v>180</v>
      </c>
      <c r="AL665" s="376" t="s">
        <v>181</v>
      </c>
      <c r="AM665" s="376" t="s">
        <v>182</v>
      </c>
      <c r="AN665" s="376" t="s">
        <v>68</v>
      </c>
      <c r="AO665" s="379">
        <v>80</v>
      </c>
      <c r="AP665" s="385">
        <v>1</v>
      </c>
      <c r="AQ665" s="385">
        <v>0</v>
      </c>
      <c r="AR665" s="383" t="s">
        <v>183</v>
      </c>
      <c r="AS665" s="387">
        <f t="shared" si="467"/>
        <v>0</v>
      </c>
      <c r="AT665">
        <f t="shared" si="468"/>
        <v>0</v>
      </c>
      <c r="AU665" s="387" t="str">
        <f>IF(AT665=0,"",IF(AND(AT665=1,M665="F",SUMIF(C2:C1334,C665,AS2:AS1334)&lt;=1),SUMIF(C2:C1334,C665,AS2:AS1334),IF(AND(AT665=1,M665="F",SUMIF(C2:C1334,C665,AS2:AS1334)&gt;1),1,"")))</f>
        <v/>
      </c>
      <c r="AV665" s="387" t="str">
        <f>IF(AT665=0,"",IF(AND(AT665=3,M665="F",SUMIF(C2:C1334,C665,AS2:AS1334)&lt;=1),SUMIF(C2:C1334,C665,AS2:AS1334),IF(AND(AT665=3,M665="F",SUMIF(C2:C1334,C665,AS2:AS1334)&gt;1),1,"")))</f>
        <v/>
      </c>
      <c r="AW665" s="387">
        <f>SUMIF(C2:C1334,C665,O2:O1334)</f>
        <v>3</v>
      </c>
      <c r="AX665" s="387">
        <f>IF(AND(M665="F",AS665&lt;&gt;0),SUMIF(C2:C1334,C665,W2:W1334),0)</f>
        <v>0</v>
      </c>
      <c r="AY665" s="387" t="str">
        <f t="shared" si="469"/>
        <v/>
      </c>
      <c r="AZ665" s="387" t="str">
        <f t="shared" si="470"/>
        <v/>
      </c>
      <c r="BA665" s="387">
        <f t="shared" si="471"/>
        <v>0</v>
      </c>
      <c r="BB665" s="387">
        <f t="shared" si="440"/>
        <v>0</v>
      </c>
      <c r="BC665" s="387">
        <f t="shared" si="441"/>
        <v>0</v>
      </c>
      <c r="BD665" s="387">
        <f t="shared" si="442"/>
        <v>0</v>
      </c>
      <c r="BE665" s="387">
        <f t="shared" si="443"/>
        <v>0</v>
      </c>
      <c r="BF665" s="387">
        <f t="shared" si="444"/>
        <v>0</v>
      </c>
      <c r="BG665" s="387">
        <f t="shared" si="445"/>
        <v>0</v>
      </c>
      <c r="BH665" s="387">
        <f t="shared" si="446"/>
        <v>0</v>
      </c>
      <c r="BI665" s="387">
        <f t="shared" si="447"/>
        <v>0</v>
      </c>
      <c r="BJ665" s="387">
        <f t="shared" si="448"/>
        <v>0</v>
      </c>
      <c r="BK665" s="387">
        <f t="shared" si="449"/>
        <v>0</v>
      </c>
      <c r="BL665" s="387">
        <f t="shared" si="472"/>
        <v>0</v>
      </c>
      <c r="BM665" s="387">
        <f t="shared" si="473"/>
        <v>0</v>
      </c>
      <c r="BN665" s="387">
        <f t="shared" si="450"/>
        <v>0</v>
      </c>
      <c r="BO665" s="387">
        <f t="shared" si="451"/>
        <v>0</v>
      </c>
      <c r="BP665" s="387">
        <f t="shared" si="452"/>
        <v>0</v>
      </c>
      <c r="BQ665" s="387">
        <f t="shared" si="453"/>
        <v>0</v>
      </c>
      <c r="BR665" s="387">
        <f t="shared" si="454"/>
        <v>0</v>
      </c>
      <c r="BS665" s="387">
        <f t="shared" si="455"/>
        <v>0</v>
      </c>
      <c r="BT665" s="387">
        <f t="shared" si="456"/>
        <v>0</v>
      </c>
      <c r="BU665" s="387">
        <f t="shared" si="457"/>
        <v>0</v>
      </c>
      <c r="BV665" s="387">
        <f t="shared" si="458"/>
        <v>0</v>
      </c>
      <c r="BW665" s="387">
        <f t="shared" si="459"/>
        <v>0</v>
      </c>
      <c r="BX665" s="387">
        <f t="shared" si="474"/>
        <v>0</v>
      </c>
      <c r="BY665" s="387">
        <f t="shared" si="475"/>
        <v>0</v>
      </c>
      <c r="BZ665" s="387">
        <f t="shared" si="476"/>
        <v>0</v>
      </c>
      <c r="CA665" s="387">
        <f t="shared" si="477"/>
        <v>0</v>
      </c>
      <c r="CB665" s="387">
        <f t="shared" si="478"/>
        <v>0</v>
      </c>
      <c r="CC665" s="387">
        <f t="shared" si="460"/>
        <v>0</v>
      </c>
      <c r="CD665" s="387">
        <f t="shared" si="461"/>
        <v>0</v>
      </c>
      <c r="CE665" s="387">
        <f t="shared" si="462"/>
        <v>0</v>
      </c>
      <c r="CF665" s="387">
        <f t="shared" si="463"/>
        <v>0</v>
      </c>
      <c r="CG665" s="387">
        <f t="shared" si="464"/>
        <v>0</v>
      </c>
      <c r="CH665" s="387">
        <f t="shared" si="465"/>
        <v>0</v>
      </c>
      <c r="CI665" s="387">
        <f t="shared" si="466"/>
        <v>0</v>
      </c>
      <c r="CJ665" s="387">
        <f t="shared" si="479"/>
        <v>0</v>
      </c>
      <c r="CK665" s="387" t="str">
        <f t="shared" si="480"/>
        <v/>
      </c>
      <c r="CL665" s="387" t="str">
        <f t="shared" si="481"/>
        <v/>
      </c>
      <c r="CM665" s="387" t="str">
        <f t="shared" si="482"/>
        <v/>
      </c>
      <c r="CN665" s="387" t="str">
        <f t="shared" si="483"/>
        <v>0349-31</v>
      </c>
    </row>
    <row r="666" spans="1:92" ht="15.75" thickBot="1" x14ac:dyDescent="0.3">
      <c r="A666" s="376" t="s">
        <v>161</v>
      </c>
      <c r="B666" s="376" t="s">
        <v>162</v>
      </c>
      <c r="C666" s="376" t="s">
        <v>1254</v>
      </c>
      <c r="D666" s="376" t="s">
        <v>862</v>
      </c>
      <c r="E666" s="376" t="s">
        <v>669</v>
      </c>
      <c r="F666" s="382" t="s">
        <v>225</v>
      </c>
      <c r="G666" s="376" t="s">
        <v>781</v>
      </c>
      <c r="H666" s="378"/>
      <c r="I666" s="378"/>
      <c r="J666" s="376" t="s">
        <v>168</v>
      </c>
      <c r="K666" s="376" t="s">
        <v>863</v>
      </c>
      <c r="L666" s="376" t="s">
        <v>252</v>
      </c>
      <c r="M666" s="376" t="s">
        <v>171</v>
      </c>
      <c r="N666" s="376" t="s">
        <v>172</v>
      </c>
      <c r="O666" s="379">
        <v>1</v>
      </c>
      <c r="P666" s="385">
        <v>0</v>
      </c>
      <c r="Q666" s="385">
        <v>0</v>
      </c>
      <c r="R666" s="380">
        <v>80</v>
      </c>
      <c r="S666" s="385">
        <v>0</v>
      </c>
      <c r="T666" s="380">
        <v>259.20999999999998</v>
      </c>
      <c r="U666" s="380">
        <v>0</v>
      </c>
      <c r="V666" s="380">
        <v>130.31</v>
      </c>
      <c r="W666" s="380">
        <v>0</v>
      </c>
      <c r="X666" s="380">
        <v>0</v>
      </c>
      <c r="Y666" s="380">
        <v>0</v>
      </c>
      <c r="Z666" s="380">
        <v>0</v>
      </c>
      <c r="AA666" s="376" t="s">
        <v>1255</v>
      </c>
      <c r="AB666" s="376" t="s">
        <v>1256</v>
      </c>
      <c r="AC666" s="376" t="s">
        <v>1257</v>
      </c>
      <c r="AD666" s="376" t="s">
        <v>324</v>
      </c>
      <c r="AE666" s="376" t="s">
        <v>863</v>
      </c>
      <c r="AF666" s="376" t="s">
        <v>393</v>
      </c>
      <c r="AG666" s="376" t="s">
        <v>178</v>
      </c>
      <c r="AH666" s="381">
        <v>22.69</v>
      </c>
      <c r="AI666" s="381">
        <v>26839.5</v>
      </c>
      <c r="AJ666" s="376" t="s">
        <v>179</v>
      </c>
      <c r="AK666" s="376" t="s">
        <v>180</v>
      </c>
      <c r="AL666" s="376" t="s">
        <v>181</v>
      </c>
      <c r="AM666" s="376" t="s">
        <v>182</v>
      </c>
      <c r="AN666" s="376" t="s">
        <v>68</v>
      </c>
      <c r="AO666" s="379">
        <v>80</v>
      </c>
      <c r="AP666" s="385">
        <v>1</v>
      </c>
      <c r="AQ666" s="385">
        <v>0</v>
      </c>
      <c r="AR666" s="383" t="s">
        <v>183</v>
      </c>
      <c r="AS666" s="387">
        <f t="shared" si="467"/>
        <v>0</v>
      </c>
      <c r="AT666">
        <f t="shared" si="468"/>
        <v>0</v>
      </c>
      <c r="AU666" s="387" t="str">
        <f>IF(AT666=0,"",IF(AND(AT666=1,M666="F",SUMIF(C2:C1334,C666,AS2:AS1334)&lt;=1),SUMIF(C2:C1334,C666,AS2:AS1334),IF(AND(AT666=1,M666="F",SUMIF(C2:C1334,C666,AS2:AS1334)&gt;1),1,"")))</f>
        <v/>
      </c>
      <c r="AV666" s="387" t="str">
        <f>IF(AT666=0,"",IF(AND(AT666=3,M666="F",SUMIF(C2:C1334,C666,AS2:AS1334)&lt;=1),SUMIF(C2:C1334,C666,AS2:AS1334),IF(AND(AT666=3,M666="F",SUMIF(C2:C1334,C666,AS2:AS1334)&gt;1),1,"")))</f>
        <v/>
      </c>
      <c r="AW666" s="387">
        <f>SUMIF(C2:C1334,C666,O2:O1334)</f>
        <v>3</v>
      </c>
      <c r="AX666" s="387">
        <f>IF(AND(M666="F",AS666&lt;&gt;0),SUMIF(C2:C1334,C666,W2:W1334),0)</f>
        <v>0</v>
      </c>
      <c r="AY666" s="387" t="str">
        <f t="shared" si="469"/>
        <v/>
      </c>
      <c r="AZ666" s="387" t="str">
        <f t="shared" si="470"/>
        <v/>
      </c>
      <c r="BA666" s="387">
        <f t="shared" si="471"/>
        <v>0</v>
      </c>
      <c r="BB666" s="387">
        <f t="shared" si="440"/>
        <v>0</v>
      </c>
      <c r="BC666" s="387">
        <f t="shared" si="441"/>
        <v>0</v>
      </c>
      <c r="BD666" s="387">
        <f t="shared" si="442"/>
        <v>0</v>
      </c>
      <c r="BE666" s="387">
        <f t="shared" si="443"/>
        <v>0</v>
      </c>
      <c r="BF666" s="387">
        <f t="shared" si="444"/>
        <v>0</v>
      </c>
      <c r="BG666" s="387">
        <f t="shared" si="445"/>
        <v>0</v>
      </c>
      <c r="BH666" s="387">
        <f t="shared" si="446"/>
        <v>0</v>
      </c>
      <c r="BI666" s="387">
        <f t="shared" si="447"/>
        <v>0</v>
      </c>
      <c r="BJ666" s="387">
        <f t="shared" si="448"/>
        <v>0</v>
      </c>
      <c r="BK666" s="387">
        <f t="shared" si="449"/>
        <v>0</v>
      </c>
      <c r="BL666" s="387">
        <f t="shared" si="472"/>
        <v>0</v>
      </c>
      <c r="BM666" s="387">
        <f t="shared" si="473"/>
        <v>0</v>
      </c>
      <c r="BN666" s="387">
        <f t="shared" si="450"/>
        <v>0</v>
      </c>
      <c r="BO666" s="387">
        <f t="shared" si="451"/>
        <v>0</v>
      </c>
      <c r="BP666" s="387">
        <f t="shared" si="452"/>
        <v>0</v>
      </c>
      <c r="BQ666" s="387">
        <f t="shared" si="453"/>
        <v>0</v>
      </c>
      <c r="BR666" s="387">
        <f t="shared" si="454"/>
        <v>0</v>
      </c>
      <c r="BS666" s="387">
        <f t="shared" si="455"/>
        <v>0</v>
      </c>
      <c r="BT666" s="387">
        <f t="shared" si="456"/>
        <v>0</v>
      </c>
      <c r="BU666" s="387">
        <f t="shared" si="457"/>
        <v>0</v>
      </c>
      <c r="BV666" s="387">
        <f t="shared" si="458"/>
        <v>0</v>
      </c>
      <c r="BW666" s="387">
        <f t="shared" si="459"/>
        <v>0</v>
      </c>
      <c r="BX666" s="387">
        <f t="shared" si="474"/>
        <v>0</v>
      </c>
      <c r="BY666" s="387">
        <f t="shared" si="475"/>
        <v>0</v>
      </c>
      <c r="BZ666" s="387">
        <f t="shared" si="476"/>
        <v>0</v>
      </c>
      <c r="CA666" s="387">
        <f t="shared" si="477"/>
        <v>0</v>
      </c>
      <c r="CB666" s="387">
        <f t="shared" si="478"/>
        <v>0</v>
      </c>
      <c r="CC666" s="387">
        <f t="shared" si="460"/>
        <v>0</v>
      </c>
      <c r="CD666" s="387">
        <f t="shared" si="461"/>
        <v>0</v>
      </c>
      <c r="CE666" s="387">
        <f t="shared" si="462"/>
        <v>0</v>
      </c>
      <c r="CF666" s="387">
        <f t="shared" si="463"/>
        <v>0</v>
      </c>
      <c r="CG666" s="387">
        <f t="shared" si="464"/>
        <v>0</v>
      </c>
      <c r="CH666" s="387">
        <f t="shared" si="465"/>
        <v>0</v>
      </c>
      <c r="CI666" s="387">
        <f t="shared" si="466"/>
        <v>0</v>
      </c>
      <c r="CJ666" s="387">
        <f t="shared" si="479"/>
        <v>0</v>
      </c>
      <c r="CK666" s="387" t="str">
        <f t="shared" si="480"/>
        <v/>
      </c>
      <c r="CL666" s="387" t="str">
        <f t="shared" si="481"/>
        <v/>
      </c>
      <c r="CM666" s="387" t="str">
        <f t="shared" si="482"/>
        <v/>
      </c>
      <c r="CN666" s="387" t="str">
        <f t="shared" si="483"/>
        <v>0349-31</v>
      </c>
    </row>
    <row r="667" spans="1:92" ht="15.75" thickBot="1" x14ac:dyDescent="0.3">
      <c r="A667" s="376" t="s">
        <v>161</v>
      </c>
      <c r="B667" s="376" t="s">
        <v>162</v>
      </c>
      <c r="C667" s="376" t="s">
        <v>1239</v>
      </c>
      <c r="D667" s="376" t="s">
        <v>862</v>
      </c>
      <c r="E667" s="376" t="s">
        <v>669</v>
      </c>
      <c r="F667" s="382" t="s">
        <v>225</v>
      </c>
      <c r="G667" s="376" t="s">
        <v>781</v>
      </c>
      <c r="H667" s="378"/>
      <c r="I667" s="378"/>
      <c r="J667" s="376" t="s">
        <v>239</v>
      </c>
      <c r="K667" s="376" t="s">
        <v>863</v>
      </c>
      <c r="L667" s="376" t="s">
        <v>252</v>
      </c>
      <c r="M667" s="376" t="s">
        <v>171</v>
      </c>
      <c r="N667" s="376" t="s">
        <v>172</v>
      </c>
      <c r="O667" s="379">
        <v>1</v>
      </c>
      <c r="P667" s="385">
        <v>0</v>
      </c>
      <c r="Q667" s="385">
        <v>0</v>
      </c>
      <c r="R667" s="380">
        <v>80</v>
      </c>
      <c r="S667" s="385">
        <v>0</v>
      </c>
      <c r="T667" s="380">
        <v>86.76</v>
      </c>
      <c r="U667" s="380">
        <v>0</v>
      </c>
      <c r="V667" s="380">
        <v>48.54</v>
      </c>
      <c r="W667" s="380">
        <v>0</v>
      </c>
      <c r="X667" s="380">
        <v>0</v>
      </c>
      <c r="Y667" s="380">
        <v>0</v>
      </c>
      <c r="Z667" s="380">
        <v>0</v>
      </c>
      <c r="AA667" s="376" t="s">
        <v>1240</v>
      </c>
      <c r="AB667" s="376" t="s">
        <v>1241</v>
      </c>
      <c r="AC667" s="376" t="s">
        <v>1242</v>
      </c>
      <c r="AD667" s="376" t="s">
        <v>292</v>
      </c>
      <c r="AE667" s="376" t="s">
        <v>863</v>
      </c>
      <c r="AF667" s="376" t="s">
        <v>393</v>
      </c>
      <c r="AG667" s="376" t="s">
        <v>178</v>
      </c>
      <c r="AH667" s="381">
        <v>18.66</v>
      </c>
      <c r="AI667" s="381">
        <v>8690.2999999999993</v>
      </c>
      <c r="AJ667" s="376" t="s">
        <v>179</v>
      </c>
      <c r="AK667" s="376" t="s">
        <v>180</v>
      </c>
      <c r="AL667" s="376" t="s">
        <v>181</v>
      </c>
      <c r="AM667" s="376" t="s">
        <v>182</v>
      </c>
      <c r="AN667" s="376" t="s">
        <v>68</v>
      </c>
      <c r="AO667" s="379">
        <v>80</v>
      </c>
      <c r="AP667" s="385">
        <v>1</v>
      </c>
      <c r="AQ667" s="385">
        <v>0</v>
      </c>
      <c r="AR667" s="383" t="s">
        <v>183</v>
      </c>
      <c r="AS667" s="387">
        <f t="shared" si="467"/>
        <v>0</v>
      </c>
      <c r="AT667">
        <f t="shared" si="468"/>
        <v>0</v>
      </c>
      <c r="AU667" s="387" t="str">
        <f>IF(AT667=0,"",IF(AND(AT667=1,M667="F",SUMIF(C2:C1334,C667,AS2:AS1334)&lt;=1),SUMIF(C2:C1334,C667,AS2:AS1334),IF(AND(AT667=1,M667="F",SUMIF(C2:C1334,C667,AS2:AS1334)&gt;1),1,"")))</f>
        <v/>
      </c>
      <c r="AV667" s="387" t="str">
        <f>IF(AT667=0,"",IF(AND(AT667=3,M667="F",SUMIF(C2:C1334,C667,AS2:AS1334)&lt;=1),SUMIF(C2:C1334,C667,AS2:AS1334),IF(AND(AT667=3,M667="F",SUMIF(C2:C1334,C667,AS2:AS1334)&gt;1),1,"")))</f>
        <v/>
      </c>
      <c r="AW667" s="387">
        <f>SUMIF(C2:C1334,C667,O2:O1334)</f>
        <v>3</v>
      </c>
      <c r="AX667" s="387">
        <f>IF(AND(M667="F",AS667&lt;&gt;0),SUMIF(C2:C1334,C667,W2:W1334),0)</f>
        <v>0</v>
      </c>
      <c r="AY667" s="387" t="str">
        <f t="shared" si="469"/>
        <v/>
      </c>
      <c r="AZ667" s="387" t="str">
        <f t="shared" si="470"/>
        <v/>
      </c>
      <c r="BA667" s="387">
        <f t="shared" si="471"/>
        <v>0</v>
      </c>
      <c r="BB667" s="387">
        <f t="shared" si="440"/>
        <v>0</v>
      </c>
      <c r="BC667" s="387">
        <f t="shared" si="441"/>
        <v>0</v>
      </c>
      <c r="BD667" s="387">
        <f t="shared" si="442"/>
        <v>0</v>
      </c>
      <c r="BE667" s="387">
        <f t="shared" si="443"/>
        <v>0</v>
      </c>
      <c r="BF667" s="387">
        <f t="shared" si="444"/>
        <v>0</v>
      </c>
      <c r="BG667" s="387">
        <f t="shared" si="445"/>
        <v>0</v>
      </c>
      <c r="BH667" s="387">
        <f t="shared" si="446"/>
        <v>0</v>
      </c>
      <c r="BI667" s="387">
        <f t="shared" si="447"/>
        <v>0</v>
      </c>
      <c r="BJ667" s="387">
        <f t="shared" si="448"/>
        <v>0</v>
      </c>
      <c r="BK667" s="387">
        <f t="shared" si="449"/>
        <v>0</v>
      </c>
      <c r="BL667" s="387">
        <f t="shared" si="472"/>
        <v>0</v>
      </c>
      <c r="BM667" s="387">
        <f t="shared" si="473"/>
        <v>0</v>
      </c>
      <c r="BN667" s="387">
        <f t="shared" si="450"/>
        <v>0</v>
      </c>
      <c r="BO667" s="387">
        <f t="shared" si="451"/>
        <v>0</v>
      </c>
      <c r="BP667" s="387">
        <f t="shared" si="452"/>
        <v>0</v>
      </c>
      <c r="BQ667" s="387">
        <f t="shared" si="453"/>
        <v>0</v>
      </c>
      <c r="BR667" s="387">
        <f t="shared" si="454"/>
        <v>0</v>
      </c>
      <c r="BS667" s="387">
        <f t="shared" si="455"/>
        <v>0</v>
      </c>
      <c r="BT667" s="387">
        <f t="shared" si="456"/>
        <v>0</v>
      </c>
      <c r="BU667" s="387">
        <f t="shared" si="457"/>
        <v>0</v>
      </c>
      <c r="BV667" s="387">
        <f t="shared" si="458"/>
        <v>0</v>
      </c>
      <c r="BW667" s="387">
        <f t="shared" si="459"/>
        <v>0</v>
      </c>
      <c r="BX667" s="387">
        <f t="shared" si="474"/>
        <v>0</v>
      </c>
      <c r="BY667" s="387">
        <f t="shared" si="475"/>
        <v>0</v>
      </c>
      <c r="BZ667" s="387">
        <f t="shared" si="476"/>
        <v>0</v>
      </c>
      <c r="CA667" s="387">
        <f t="shared" si="477"/>
        <v>0</v>
      </c>
      <c r="CB667" s="387">
        <f t="shared" si="478"/>
        <v>0</v>
      </c>
      <c r="CC667" s="387">
        <f t="shared" si="460"/>
        <v>0</v>
      </c>
      <c r="CD667" s="387">
        <f t="shared" si="461"/>
        <v>0</v>
      </c>
      <c r="CE667" s="387">
        <f t="shared" si="462"/>
        <v>0</v>
      </c>
      <c r="CF667" s="387">
        <f t="shared" si="463"/>
        <v>0</v>
      </c>
      <c r="CG667" s="387">
        <f t="shared" si="464"/>
        <v>0</v>
      </c>
      <c r="CH667" s="387">
        <f t="shared" si="465"/>
        <v>0</v>
      </c>
      <c r="CI667" s="387">
        <f t="shared" si="466"/>
        <v>0</v>
      </c>
      <c r="CJ667" s="387">
        <f t="shared" si="479"/>
        <v>0</v>
      </c>
      <c r="CK667" s="387" t="str">
        <f t="shared" si="480"/>
        <v/>
      </c>
      <c r="CL667" s="387" t="str">
        <f t="shared" si="481"/>
        <v/>
      </c>
      <c r="CM667" s="387" t="str">
        <f t="shared" si="482"/>
        <v/>
      </c>
      <c r="CN667" s="387" t="str">
        <f t="shared" si="483"/>
        <v>0349-31</v>
      </c>
    </row>
    <row r="668" spans="1:92" ht="15.75" thickBot="1" x14ac:dyDescent="0.3">
      <c r="A668" s="376" t="s">
        <v>161</v>
      </c>
      <c r="B668" s="376" t="s">
        <v>162</v>
      </c>
      <c r="C668" s="376" t="s">
        <v>821</v>
      </c>
      <c r="D668" s="376" t="s">
        <v>792</v>
      </c>
      <c r="E668" s="376" t="s">
        <v>669</v>
      </c>
      <c r="F668" s="382" t="s">
        <v>225</v>
      </c>
      <c r="G668" s="376" t="s">
        <v>781</v>
      </c>
      <c r="H668" s="378"/>
      <c r="I668" s="378"/>
      <c r="J668" s="376" t="s">
        <v>215</v>
      </c>
      <c r="K668" s="376" t="s">
        <v>793</v>
      </c>
      <c r="L668" s="376" t="s">
        <v>170</v>
      </c>
      <c r="M668" s="376" t="s">
        <v>272</v>
      </c>
      <c r="N668" s="376" t="s">
        <v>172</v>
      </c>
      <c r="O668" s="379">
        <v>0</v>
      </c>
      <c r="P668" s="385">
        <v>0</v>
      </c>
      <c r="Q668" s="385">
        <v>0</v>
      </c>
      <c r="R668" s="380">
        <v>80</v>
      </c>
      <c r="S668" s="385">
        <v>0</v>
      </c>
      <c r="T668" s="380">
        <v>63.79</v>
      </c>
      <c r="U668" s="380">
        <v>0</v>
      </c>
      <c r="V668" s="380">
        <v>16.649999999999999</v>
      </c>
      <c r="W668" s="380">
        <v>0</v>
      </c>
      <c r="X668" s="380">
        <v>0</v>
      </c>
      <c r="Y668" s="380">
        <v>0</v>
      </c>
      <c r="Z668" s="380">
        <v>0</v>
      </c>
      <c r="AA668" s="378"/>
      <c r="AB668" s="376" t="s">
        <v>45</v>
      </c>
      <c r="AC668" s="376" t="s">
        <v>45</v>
      </c>
      <c r="AD668" s="378"/>
      <c r="AE668" s="378"/>
      <c r="AF668" s="378"/>
      <c r="AG668" s="378"/>
      <c r="AH668" s="379">
        <v>0</v>
      </c>
      <c r="AI668" s="379">
        <v>0</v>
      </c>
      <c r="AJ668" s="378"/>
      <c r="AK668" s="378"/>
      <c r="AL668" s="376" t="s">
        <v>181</v>
      </c>
      <c r="AM668" s="378"/>
      <c r="AN668" s="378"/>
      <c r="AO668" s="379">
        <v>0</v>
      </c>
      <c r="AP668" s="385">
        <v>0</v>
      </c>
      <c r="AQ668" s="385">
        <v>0</v>
      </c>
      <c r="AR668" s="384"/>
      <c r="AS668" s="387">
        <f t="shared" si="467"/>
        <v>0</v>
      </c>
      <c r="AT668">
        <f t="shared" si="468"/>
        <v>0</v>
      </c>
      <c r="AU668" s="387" t="str">
        <f>IF(AT668=0,"",IF(AND(AT668=1,M668="F",SUMIF(C2:C1334,C668,AS2:AS1334)&lt;=1),SUMIF(C2:C1334,C668,AS2:AS1334),IF(AND(AT668=1,M668="F",SUMIF(C2:C1334,C668,AS2:AS1334)&gt;1),1,"")))</f>
        <v/>
      </c>
      <c r="AV668" s="387" t="str">
        <f>IF(AT668=0,"",IF(AND(AT668=3,M668="F",SUMIF(C2:C1334,C668,AS2:AS1334)&lt;=1),SUMIF(C2:C1334,C668,AS2:AS1334),IF(AND(AT668=3,M668="F",SUMIF(C2:C1334,C668,AS2:AS1334)&gt;1),1,"")))</f>
        <v/>
      </c>
      <c r="AW668" s="387">
        <f>SUMIF(C2:C1334,C668,O2:O1334)</f>
        <v>0</v>
      </c>
      <c r="AX668" s="387">
        <f>IF(AND(M668="F",AS668&lt;&gt;0),SUMIF(C2:C1334,C668,W2:W1334),0)</f>
        <v>0</v>
      </c>
      <c r="AY668" s="387" t="str">
        <f t="shared" si="469"/>
        <v/>
      </c>
      <c r="AZ668" s="387" t="str">
        <f t="shared" si="470"/>
        <v/>
      </c>
      <c r="BA668" s="387">
        <f t="shared" si="471"/>
        <v>0</v>
      </c>
      <c r="BB668" s="387">
        <f t="shared" si="440"/>
        <v>0</v>
      </c>
      <c r="BC668" s="387">
        <f t="shared" si="441"/>
        <v>0</v>
      </c>
      <c r="BD668" s="387">
        <f t="shared" si="442"/>
        <v>0</v>
      </c>
      <c r="BE668" s="387">
        <f t="shared" si="443"/>
        <v>0</v>
      </c>
      <c r="BF668" s="387">
        <f t="shared" si="444"/>
        <v>0</v>
      </c>
      <c r="BG668" s="387">
        <f t="shared" si="445"/>
        <v>0</v>
      </c>
      <c r="BH668" s="387">
        <f t="shared" si="446"/>
        <v>0</v>
      </c>
      <c r="BI668" s="387">
        <f t="shared" si="447"/>
        <v>0</v>
      </c>
      <c r="BJ668" s="387">
        <f t="shared" si="448"/>
        <v>0</v>
      </c>
      <c r="BK668" s="387">
        <f t="shared" si="449"/>
        <v>0</v>
      </c>
      <c r="BL668" s="387">
        <f t="shared" si="472"/>
        <v>0</v>
      </c>
      <c r="BM668" s="387">
        <f t="shared" si="473"/>
        <v>0</v>
      </c>
      <c r="BN668" s="387">
        <f t="shared" si="450"/>
        <v>0</v>
      </c>
      <c r="BO668" s="387">
        <f t="shared" si="451"/>
        <v>0</v>
      </c>
      <c r="BP668" s="387">
        <f t="shared" si="452"/>
        <v>0</v>
      </c>
      <c r="BQ668" s="387">
        <f t="shared" si="453"/>
        <v>0</v>
      </c>
      <c r="BR668" s="387">
        <f t="shared" si="454"/>
        <v>0</v>
      </c>
      <c r="BS668" s="387">
        <f t="shared" si="455"/>
        <v>0</v>
      </c>
      <c r="BT668" s="387">
        <f t="shared" si="456"/>
        <v>0</v>
      </c>
      <c r="BU668" s="387">
        <f t="shared" si="457"/>
        <v>0</v>
      </c>
      <c r="BV668" s="387">
        <f t="shared" si="458"/>
        <v>0</v>
      </c>
      <c r="BW668" s="387">
        <f t="shared" si="459"/>
        <v>0</v>
      </c>
      <c r="BX668" s="387">
        <f t="shared" si="474"/>
        <v>0</v>
      </c>
      <c r="BY668" s="387">
        <f t="shared" si="475"/>
        <v>0</v>
      </c>
      <c r="BZ668" s="387">
        <f t="shared" si="476"/>
        <v>0</v>
      </c>
      <c r="CA668" s="387">
        <f t="shared" si="477"/>
        <v>0</v>
      </c>
      <c r="CB668" s="387">
        <f t="shared" si="478"/>
        <v>0</v>
      </c>
      <c r="CC668" s="387">
        <f t="shared" si="460"/>
        <v>0</v>
      </c>
      <c r="CD668" s="387">
        <f t="shared" si="461"/>
        <v>0</v>
      </c>
      <c r="CE668" s="387">
        <f t="shared" si="462"/>
        <v>0</v>
      </c>
      <c r="CF668" s="387">
        <f t="shared" si="463"/>
        <v>0</v>
      </c>
      <c r="CG668" s="387">
        <f t="shared" si="464"/>
        <v>0</v>
      </c>
      <c r="CH668" s="387">
        <f t="shared" si="465"/>
        <v>0</v>
      </c>
      <c r="CI668" s="387">
        <f t="shared" si="466"/>
        <v>0</v>
      </c>
      <c r="CJ668" s="387">
        <f t="shared" si="479"/>
        <v>0</v>
      </c>
      <c r="CK668" s="387" t="str">
        <f t="shared" si="480"/>
        <v/>
      </c>
      <c r="CL668" s="387" t="str">
        <f t="shared" si="481"/>
        <v/>
      </c>
      <c r="CM668" s="387" t="str">
        <f t="shared" si="482"/>
        <v/>
      </c>
      <c r="CN668" s="387" t="str">
        <f t="shared" si="483"/>
        <v>0349-31</v>
      </c>
    </row>
    <row r="669" spans="1:92" ht="15.75" thickBot="1" x14ac:dyDescent="0.3">
      <c r="A669" s="376" t="s">
        <v>161</v>
      </c>
      <c r="B669" s="376" t="s">
        <v>162</v>
      </c>
      <c r="C669" s="376" t="s">
        <v>1734</v>
      </c>
      <c r="D669" s="376" t="s">
        <v>862</v>
      </c>
      <c r="E669" s="376" t="s">
        <v>669</v>
      </c>
      <c r="F669" s="382" t="s">
        <v>225</v>
      </c>
      <c r="G669" s="376" t="s">
        <v>781</v>
      </c>
      <c r="H669" s="378"/>
      <c r="I669" s="378"/>
      <c r="J669" s="376" t="s">
        <v>168</v>
      </c>
      <c r="K669" s="376" t="s">
        <v>863</v>
      </c>
      <c r="L669" s="376" t="s">
        <v>252</v>
      </c>
      <c r="M669" s="376" t="s">
        <v>171</v>
      </c>
      <c r="N669" s="376" t="s">
        <v>172</v>
      </c>
      <c r="O669" s="379">
        <v>1</v>
      </c>
      <c r="P669" s="385">
        <v>0</v>
      </c>
      <c r="Q669" s="385">
        <v>0</v>
      </c>
      <c r="R669" s="380">
        <v>80</v>
      </c>
      <c r="S669" s="385">
        <v>0</v>
      </c>
      <c r="T669" s="380">
        <v>213.42</v>
      </c>
      <c r="U669" s="380">
        <v>0</v>
      </c>
      <c r="V669" s="380">
        <v>145.82</v>
      </c>
      <c r="W669" s="380">
        <v>0</v>
      </c>
      <c r="X669" s="380">
        <v>0</v>
      </c>
      <c r="Y669" s="380">
        <v>0</v>
      </c>
      <c r="Z669" s="380">
        <v>0</v>
      </c>
      <c r="AA669" s="376" t="s">
        <v>1735</v>
      </c>
      <c r="AB669" s="376" t="s">
        <v>1736</v>
      </c>
      <c r="AC669" s="376" t="s">
        <v>365</v>
      </c>
      <c r="AD669" s="376" t="s">
        <v>1066</v>
      </c>
      <c r="AE669" s="376" t="s">
        <v>863</v>
      </c>
      <c r="AF669" s="376" t="s">
        <v>393</v>
      </c>
      <c r="AG669" s="376" t="s">
        <v>178</v>
      </c>
      <c r="AH669" s="381">
        <v>18.54</v>
      </c>
      <c r="AI669" s="381">
        <v>28635.4</v>
      </c>
      <c r="AJ669" s="376" t="s">
        <v>179</v>
      </c>
      <c r="AK669" s="376" t="s">
        <v>180</v>
      </c>
      <c r="AL669" s="376" t="s">
        <v>181</v>
      </c>
      <c r="AM669" s="376" t="s">
        <v>182</v>
      </c>
      <c r="AN669" s="376" t="s">
        <v>68</v>
      </c>
      <c r="AO669" s="379">
        <v>80</v>
      </c>
      <c r="AP669" s="385">
        <v>1</v>
      </c>
      <c r="AQ669" s="385">
        <v>0</v>
      </c>
      <c r="AR669" s="383" t="s">
        <v>183</v>
      </c>
      <c r="AS669" s="387">
        <f t="shared" si="467"/>
        <v>0</v>
      </c>
      <c r="AT669">
        <f t="shared" si="468"/>
        <v>0</v>
      </c>
      <c r="AU669" s="387" t="str">
        <f>IF(AT669=0,"",IF(AND(AT669=1,M669="F",SUMIF(C2:C1334,C669,AS2:AS1334)&lt;=1),SUMIF(C2:C1334,C669,AS2:AS1334),IF(AND(AT669=1,M669="F",SUMIF(C2:C1334,C669,AS2:AS1334)&gt;1),1,"")))</f>
        <v/>
      </c>
      <c r="AV669" s="387" t="str">
        <f>IF(AT669=0,"",IF(AND(AT669=3,M669="F",SUMIF(C2:C1334,C669,AS2:AS1334)&lt;=1),SUMIF(C2:C1334,C669,AS2:AS1334),IF(AND(AT669=3,M669="F",SUMIF(C2:C1334,C669,AS2:AS1334)&gt;1),1,"")))</f>
        <v/>
      </c>
      <c r="AW669" s="387">
        <f>SUMIF(C2:C1334,C669,O2:O1334)</f>
        <v>3</v>
      </c>
      <c r="AX669" s="387">
        <f>IF(AND(M669="F",AS669&lt;&gt;0),SUMIF(C2:C1334,C669,W2:W1334),0)</f>
        <v>0</v>
      </c>
      <c r="AY669" s="387" t="str">
        <f t="shared" si="469"/>
        <v/>
      </c>
      <c r="AZ669" s="387" t="str">
        <f t="shared" si="470"/>
        <v/>
      </c>
      <c r="BA669" s="387">
        <f t="shared" si="471"/>
        <v>0</v>
      </c>
      <c r="BB669" s="387">
        <f t="shared" si="440"/>
        <v>0</v>
      </c>
      <c r="BC669" s="387">
        <f t="shared" si="441"/>
        <v>0</v>
      </c>
      <c r="BD669" s="387">
        <f t="shared" si="442"/>
        <v>0</v>
      </c>
      <c r="BE669" s="387">
        <f t="shared" si="443"/>
        <v>0</v>
      </c>
      <c r="BF669" s="387">
        <f t="shared" si="444"/>
        <v>0</v>
      </c>
      <c r="BG669" s="387">
        <f t="shared" si="445"/>
        <v>0</v>
      </c>
      <c r="BH669" s="387">
        <f t="shared" si="446"/>
        <v>0</v>
      </c>
      <c r="BI669" s="387">
        <f t="shared" si="447"/>
        <v>0</v>
      </c>
      <c r="BJ669" s="387">
        <f t="shared" si="448"/>
        <v>0</v>
      </c>
      <c r="BK669" s="387">
        <f t="shared" si="449"/>
        <v>0</v>
      </c>
      <c r="BL669" s="387">
        <f t="shared" si="472"/>
        <v>0</v>
      </c>
      <c r="BM669" s="387">
        <f t="shared" si="473"/>
        <v>0</v>
      </c>
      <c r="BN669" s="387">
        <f t="shared" si="450"/>
        <v>0</v>
      </c>
      <c r="BO669" s="387">
        <f t="shared" si="451"/>
        <v>0</v>
      </c>
      <c r="BP669" s="387">
        <f t="shared" si="452"/>
        <v>0</v>
      </c>
      <c r="BQ669" s="387">
        <f t="shared" si="453"/>
        <v>0</v>
      </c>
      <c r="BR669" s="387">
        <f t="shared" si="454"/>
        <v>0</v>
      </c>
      <c r="BS669" s="387">
        <f t="shared" si="455"/>
        <v>0</v>
      </c>
      <c r="BT669" s="387">
        <f t="shared" si="456"/>
        <v>0</v>
      </c>
      <c r="BU669" s="387">
        <f t="shared" si="457"/>
        <v>0</v>
      </c>
      <c r="BV669" s="387">
        <f t="shared" si="458"/>
        <v>0</v>
      </c>
      <c r="BW669" s="387">
        <f t="shared" si="459"/>
        <v>0</v>
      </c>
      <c r="BX669" s="387">
        <f t="shared" si="474"/>
        <v>0</v>
      </c>
      <c r="BY669" s="387">
        <f t="shared" si="475"/>
        <v>0</v>
      </c>
      <c r="BZ669" s="387">
        <f t="shared" si="476"/>
        <v>0</v>
      </c>
      <c r="CA669" s="387">
        <f t="shared" si="477"/>
        <v>0</v>
      </c>
      <c r="CB669" s="387">
        <f t="shared" si="478"/>
        <v>0</v>
      </c>
      <c r="CC669" s="387">
        <f t="shared" si="460"/>
        <v>0</v>
      </c>
      <c r="CD669" s="387">
        <f t="shared" si="461"/>
        <v>0</v>
      </c>
      <c r="CE669" s="387">
        <f t="shared" si="462"/>
        <v>0</v>
      </c>
      <c r="CF669" s="387">
        <f t="shared" si="463"/>
        <v>0</v>
      </c>
      <c r="CG669" s="387">
        <f t="shared" si="464"/>
        <v>0</v>
      </c>
      <c r="CH669" s="387">
        <f t="shared" si="465"/>
        <v>0</v>
      </c>
      <c r="CI669" s="387">
        <f t="shared" si="466"/>
        <v>0</v>
      </c>
      <c r="CJ669" s="387">
        <f t="shared" si="479"/>
        <v>0</v>
      </c>
      <c r="CK669" s="387" t="str">
        <f t="shared" si="480"/>
        <v/>
      </c>
      <c r="CL669" s="387" t="str">
        <f t="shared" si="481"/>
        <v/>
      </c>
      <c r="CM669" s="387" t="str">
        <f t="shared" si="482"/>
        <v/>
      </c>
      <c r="CN669" s="387" t="str">
        <f t="shared" si="483"/>
        <v>0349-31</v>
      </c>
    </row>
    <row r="670" spans="1:92" ht="15.75" thickBot="1" x14ac:dyDescent="0.3">
      <c r="A670" s="376" t="s">
        <v>161</v>
      </c>
      <c r="B670" s="376" t="s">
        <v>162</v>
      </c>
      <c r="C670" s="376" t="s">
        <v>825</v>
      </c>
      <c r="D670" s="376" t="s">
        <v>804</v>
      </c>
      <c r="E670" s="376" t="s">
        <v>669</v>
      </c>
      <c r="F670" s="382" t="s">
        <v>225</v>
      </c>
      <c r="G670" s="376" t="s">
        <v>781</v>
      </c>
      <c r="H670" s="378"/>
      <c r="I670" s="378"/>
      <c r="J670" s="376" t="s">
        <v>239</v>
      </c>
      <c r="K670" s="376" t="s">
        <v>805</v>
      </c>
      <c r="L670" s="376" t="s">
        <v>351</v>
      </c>
      <c r="M670" s="376" t="s">
        <v>171</v>
      </c>
      <c r="N670" s="376" t="s">
        <v>172</v>
      </c>
      <c r="O670" s="379">
        <v>1</v>
      </c>
      <c r="P670" s="385">
        <v>0</v>
      </c>
      <c r="Q670" s="385">
        <v>0</v>
      </c>
      <c r="R670" s="380">
        <v>80</v>
      </c>
      <c r="S670" s="385">
        <v>0</v>
      </c>
      <c r="T670" s="380">
        <v>123.11</v>
      </c>
      <c r="U670" s="380">
        <v>0</v>
      </c>
      <c r="V670" s="380">
        <v>32.1</v>
      </c>
      <c r="W670" s="380">
        <v>0</v>
      </c>
      <c r="X670" s="380">
        <v>0</v>
      </c>
      <c r="Y670" s="380">
        <v>0</v>
      </c>
      <c r="Z670" s="380">
        <v>0</v>
      </c>
      <c r="AA670" s="376" t="s">
        <v>826</v>
      </c>
      <c r="AB670" s="376" t="s">
        <v>827</v>
      </c>
      <c r="AC670" s="376" t="s">
        <v>828</v>
      </c>
      <c r="AD670" s="376" t="s">
        <v>170</v>
      </c>
      <c r="AE670" s="376" t="s">
        <v>805</v>
      </c>
      <c r="AF670" s="376" t="s">
        <v>355</v>
      </c>
      <c r="AG670" s="376" t="s">
        <v>178</v>
      </c>
      <c r="AH670" s="381">
        <v>44.57</v>
      </c>
      <c r="AI670" s="379">
        <v>47552</v>
      </c>
      <c r="AJ670" s="376" t="s">
        <v>179</v>
      </c>
      <c r="AK670" s="376" t="s">
        <v>180</v>
      </c>
      <c r="AL670" s="376" t="s">
        <v>181</v>
      </c>
      <c r="AM670" s="376" t="s">
        <v>182</v>
      </c>
      <c r="AN670" s="376" t="s">
        <v>68</v>
      </c>
      <c r="AO670" s="379">
        <v>80</v>
      </c>
      <c r="AP670" s="385">
        <v>1</v>
      </c>
      <c r="AQ670" s="385">
        <v>0</v>
      </c>
      <c r="AR670" s="383" t="s">
        <v>183</v>
      </c>
      <c r="AS670" s="387">
        <f t="shared" si="467"/>
        <v>0</v>
      </c>
      <c r="AT670">
        <f t="shared" si="468"/>
        <v>0</v>
      </c>
      <c r="AU670" s="387" t="str">
        <f>IF(AT670=0,"",IF(AND(AT670=1,M670="F",SUMIF(C2:C1334,C670,AS2:AS1334)&lt;=1),SUMIF(C2:C1334,C670,AS2:AS1334),IF(AND(AT670=1,M670="F",SUMIF(C2:C1334,C670,AS2:AS1334)&gt;1),1,"")))</f>
        <v/>
      </c>
      <c r="AV670" s="387" t="str">
        <f>IF(AT670=0,"",IF(AND(AT670=3,M670="F",SUMIF(C2:C1334,C670,AS2:AS1334)&lt;=1),SUMIF(C2:C1334,C670,AS2:AS1334),IF(AND(AT670=3,M670="F",SUMIF(C2:C1334,C670,AS2:AS1334)&gt;1),1,"")))</f>
        <v/>
      </c>
      <c r="AW670" s="387">
        <f>SUMIF(C2:C1334,C670,O2:O1334)</f>
        <v>4</v>
      </c>
      <c r="AX670" s="387">
        <f>IF(AND(M670="F",AS670&lt;&gt;0),SUMIF(C2:C1334,C670,W2:W1334),0)</f>
        <v>0</v>
      </c>
      <c r="AY670" s="387" t="str">
        <f t="shared" si="469"/>
        <v/>
      </c>
      <c r="AZ670" s="387" t="str">
        <f t="shared" si="470"/>
        <v/>
      </c>
      <c r="BA670" s="387">
        <f t="shared" si="471"/>
        <v>0</v>
      </c>
      <c r="BB670" s="387">
        <f t="shared" si="440"/>
        <v>0</v>
      </c>
      <c r="BC670" s="387">
        <f t="shared" si="441"/>
        <v>0</v>
      </c>
      <c r="BD670" s="387">
        <f t="shared" si="442"/>
        <v>0</v>
      </c>
      <c r="BE670" s="387">
        <f t="shared" si="443"/>
        <v>0</v>
      </c>
      <c r="BF670" s="387">
        <f t="shared" si="444"/>
        <v>0</v>
      </c>
      <c r="BG670" s="387">
        <f t="shared" si="445"/>
        <v>0</v>
      </c>
      <c r="BH670" s="387">
        <f t="shared" si="446"/>
        <v>0</v>
      </c>
      <c r="BI670" s="387">
        <f t="shared" si="447"/>
        <v>0</v>
      </c>
      <c r="BJ670" s="387">
        <f t="shared" si="448"/>
        <v>0</v>
      </c>
      <c r="BK670" s="387">
        <f t="shared" si="449"/>
        <v>0</v>
      </c>
      <c r="BL670" s="387">
        <f t="shared" si="472"/>
        <v>0</v>
      </c>
      <c r="BM670" s="387">
        <f t="shared" si="473"/>
        <v>0</v>
      </c>
      <c r="BN670" s="387">
        <f t="shared" si="450"/>
        <v>0</v>
      </c>
      <c r="BO670" s="387">
        <f t="shared" si="451"/>
        <v>0</v>
      </c>
      <c r="BP670" s="387">
        <f t="shared" si="452"/>
        <v>0</v>
      </c>
      <c r="BQ670" s="387">
        <f t="shared" si="453"/>
        <v>0</v>
      </c>
      <c r="BR670" s="387">
        <f t="shared" si="454"/>
        <v>0</v>
      </c>
      <c r="BS670" s="387">
        <f t="shared" si="455"/>
        <v>0</v>
      </c>
      <c r="BT670" s="387">
        <f t="shared" si="456"/>
        <v>0</v>
      </c>
      <c r="BU670" s="387">
        <f t="shared" si="457"/>
        <v>0</v>
      </c>
      <c r="BV670" s="387">
        <f t="shared" si="458"/>
        <v>0</v>
      </c>
      <c r="BW670" s="387">
        <f t="shared" si="459"/>
        <v>0</v>
      </c>
      <c r="BX670" s="387">
        <f t="shared" si="474"/>
        <v>0</v>
      </c>
      <c r="BY670" s="387">
        <f t="shared" si="475"/>
        <v>0</v>
      </c>
      <c r="BZ670" s="387">
        <f t="shared" si="476"/>
        <v>0</v>
      </c>
      <c r="CA670" s="387">
        <f t="shared" si="477"/>
        <v>0</v>
      </c>
      <c r="CB670" s="387">
        <f t="shared" si="478"/>
        <v>0</v>
      </c>
      <c r="CC670" s="387">
        <f t="shared" si="460"/>
        <v>0</v>
      </c>
      <c r="CD670" s="387">
        <f t="shared" si="461"/>
        <v>0</v>
      </c>
      <c r="CE670" s="387">
        <f t="shared" si="462"/>
        <v>0</v>
      </c>
      <c r="CF670" s="387">
        <f t="shared" si="463"/>
        <v>0</v>
      </c>
      <c r="CG670" s="387">
        <f t="shared" si="464"/>
        <v>0</v>
      </c>
      <c r="CH670" s="387">
        <f t="shared" si="465"/>
        <v>0</v>
      </c>
      <c r="CI670" s="387">
        <f t="shared" si="466"/>
        <v>0</v>
      </c>
      <c r="CJ670" s="387">
        <f t="shared" si="479"/>
        <v>0</v>
      </c>
      <c r="CK670" s="387" t="str">
        <f t="shared" si="480"/>
        <v/>
      </c>
      <c r="CL670" s="387" t="str">
        <f t="shared" si="481"/>
        <v/>
      </c>
      <c r="CM670" s="387" t="str">
        <f t="shared" si="482"/>
        <v/>
      </c>
      <c r="CN670" s="387" t="str">
        <f t="shared" si="483"/>
        <v>0349-31</v>
      </c>
    </row>
    <row r="671" spans="1:92" ht="15.75" thickBot="1" x14ac:dyDescent="0.3">
      <c r="A671" s="376" t="s">
        <v>161</v>
      </c>
      <c r="B671" s="376" t="s">
        <v>162</v>
      </c>
      <c r="C671" s="376" t="s">
        <v>1295</v>
      </c>
      <c r="D671" s="376" t="s">
        <v>862</v>
      </c>
      <c r="E671" s="376" t="s">
        <v>669</v>
      </c>
      <c r="F671" s="382" t="s">
        <v>225</v>
      </c>
      <c r="G671" s="376" t="s">
        <v>781</v>
      </c>
      <c r="H671" s="378"/>
      <c r="I671" s="378"/>
      <c r="J671" s="376" t="s">
        <v>168</v>
      </c>
      <c r="K671" s="376" t="s">
        <v>863</v>
      </c>
      <c r="L671" s="376" t="s">
        <v>252</v>
      </c>
      <c r="M671" s="376" t="s">
        <v>171</v>
      </c>
      <c r="N671" s="376" t="s">
        <v>172</v>
      </c>
      <c r="O671" s="379">
        <v>1</v>
      </c>
      <c r="P671" s="385">
        <v>0</v>
      </c>
      <c r="Q671" s="385">
        <v>0</v>
      </c>
      <c r="R671" s="380">
        <v>80</v>
      </c>
      <c r="S671" s="385">
        <v>0</v>
      </c>
      <c r="T671" s="380">
        <v>91.6</v>
      </c>
      <c r="U671" s="380">
        <v>0</v>
      </c>
      <c r="V671" s="380">
        <v>43.34</v>
      </c>
      <c r="W671" s="380">
        <v>0</v>
      </c>
      <c r="X671" s="380">
        <v>0</v>
      </c>
      <c r="Y671" s="380">
        <v>0</v>
      </c>
      <c r="Z671" s="380">
        <v>0</v>
      </c>
      <c r="AA671" s="376" t="s">
        <v>1296</v>
      </c>
      <c r="AB671" s="376" t="s">
        <v>1297</v>
      </c>
      <c r="AC671" s="376" t="s">
        <v>1298</v>
      </c>
      <c r="AD671" s="376" t="s">
        <v>324</v>
      </c>
      <c r="AE671" s="376" t="s">
        <v>863</v>
      </c>
      <c r="AF671" s="376" t="s">
        <v>393</v>
      </c>
      <c r="AG671" s="376" t="s">
        <v>178</v>
      </c>
      <c r="AH671" s="381">
        <v>23.87</v>
      </c>
      <c r="AI671" s="381">
        <v>23276.5</v>
      </c>
      <c r="AJ671" s="376" t="s">
        <v>179</v>
      </c>
      <c r="AK671" s="376" t="s">
        <v>180</v>
      </c>
      <c r="AL671" s="376" t="s">
        <v>181</v>
      </c>
      <c r="AM671" s="376" t="s">
        <v>182</v>
      </c>
      <c r="AN671" s="376" t="s">
        <v>68</v>
      </c>
      <c r="AO671" s="379">
        <v>80</v>
      </c>
      <c r="AP671" s="385">
        <v>1</v>
      </c>
      <c r="AQ671" s="385">
        <v>0</v>
      </c>
      <c r="AR671" s="383" t="s">
        <v>183</v>
      </c>
      <c r="AS671" s="387">
        <f t="shared" si="467"/>
        <v>0</v>
      </c>
      <c r="AT671">
        <f t="shared" si="468"/>
        <v>0</v>
      </c>
      <c r="AU671" s="387" t="str">
        <f>IF(AT671=0,"",IF(AND(AT671=1,M671="F",SUMIF(C2:C1334,C671,AS2:AS1334)&lt;=1),SUMIF(C2:C1334,C671,AS2:AS1334),IF(AND(AT671=1,M671="F",SUMIF(C2:C1334,C671,AS2:AS1334)&gt;1),1,"")))</f>
        <v/>
      </c>
      <c r="AV671" s="387" t="str">
        <f>IF(AT671=0,"",IF(AND(AT671=3,M671="F",SUMIF(C2:C1334,C671,AS2:AS1334)&lt;=1),SUMIF(C2:C1334,C671,AS2:AS1334),IF(AND(AT671=3,M671="F",SUMIF(C2:C1334,C671,AS2:AS1334)&gt;1),1,"")))</f>
        <v/>
      </c>
      <c r="AW671" s="387">
        <f>SUMIF(C2:C1334,C671,O2:O1334)</f>
        <v>3</v>
      </c>
      <c r="AX671" s="387">
        <f>IF(AND(M671="F",AS671&lt;&gt;0),SUMIF(C2:C1334,C671,W2:W1334),0)</f>
        <v>0</v>
      </c>
      <c r="AY671" s="387" t="str">
        <f t="shared" si="469"/>
        <v/>
      </c>
      <c r="AZ671" s="387" t="str">
        <f t="shared" si="470"/>
        <v/>
      </c>
      <c r="BA671" s="387">
        <f t="shared" si="471"/>
        <v>0</v>
      </c>
      <c r="BB671" s="387">
        <f t="shared" si="440"/>
        <v>0</v>
      </c>
      <c r="BC671" s="387">
        <f t="shared" si="441"/>
        <v>0</v>
      </c>
      <c r="BD671" s="387">
        <f t="shared" si="442"/>
        <v>0</v>
      </c>
      <c r="BE671" s="387">
        <f t="shared" si="443"/>
        <v>0</v>
      </c>
      <c r="BF671" s="387">
        <f t="shared" si="444"/>
        <v>0</v>
      </c>
      <c r="BG671" s="387">
        <f t="shared" si="445"/>
        <v>0</v>
      </c>
      <c r="BH671" s="387">
        <f t="shared" si="446"/>
        <v>0</v>
      </c>
      <c r="BI671" s="387">
        <f t="shared" si="447"/>
        <v>0</v>
      </c>
      <c r="BJ671" s="387">
        <f t="shared" si="448"/>
        <v>0</v>
      </c>
      <c r="BK671" s="387">
        <f t="shared" si="449"/>
        <v>0</v>
      </c>
      <c r="BL671" s="387">
        <f t="shared" si="472"/>
        <v>0</v>
      </c>
      <c r="BM671" s="387">
        <f t="shared" si="473"/>
        <v>0</v>
      </c>
      <c r="BN671" s="387">
        <f t="shared" si="450"/>
        <v>0</v>
      </c>
      <c r="BO671" s="387">
        <f t="shared" si="451"/>
        <v>0</v>
      </c>
      <c r="BP671" s="387">
        <f t="shared" si="452"/>
        <v>0</v>
      </c>
      <c r="BQ671" s="387">
        <f t="shared" si="453"/>
        <v>0</v>
      </c>
      <c r="BR671" s="387">
        <f t="shared" si="454"/>
        <v>0</v>
      </c>
      <c r="BS671" s="387">
        <f t="shared" si="455"/>
        <v>0</v>
      </c>
      <c r="BT671" s="387">
        <f t="shared" si="456"/>
        <v>0</v>
      </c>
      <c r="BU671" s="387">
        <f t="shared" si="457"/>
        <v>0</v>
      </c>
      <c r="BV671" s="387">
        <f t="shared" si="458"/>
        <v>0</v>
      </c>
      <c r="BW671" s="387">
        <f t="shared" si="459"/>
        <v>0</v>
      </c>
      <c r="BX671" s="387">
        <f t="shared" si="474"/>
        <v>0</v>
      </c>
      <c r="BY671" s="387">
        <f t="shared" si="475"/>
        <v>0</v>
      </c>
      <c r="BZ671" s="387">
        <f t="shared" si="476"/>
        <v>0</v>
      </c>
      <c r="CA671" s="387">
        <f t="shared" si="477"/>
        <v>0</v>
      </c>
      <c r="CB671" s="387">
        <f t="shared" si="478"/>
        <v>0</v>
      </c>
      <c r="CC671" s="387">
        <f t="shared" si="460"/>
        <v>0</v>
      </c>
      <c r="CD671" s="387">
        <f t="shared" si="461"/>
        <v>0</v>
      </c>
      <c r="CE671" s="387">
        <f t="shared" si="462"/>
        <v>0</v>
      </c>
      <c r="CF671" s="387">
        <f t="shared" si="463"/>
        <v>0</v>
      </c>
      <c r="CG671" s="387">
        <f t="shared" si="464"/>
        <v>0</v>
      </c>
      <c r="CH671" s="387">
        <f t="shared" si="465"/>
        <v>0</v>
      </c>
      <c r="CI671" s="387">
        <f t="shared" si="466"/>
        <v>0</v>
      </c>
      <c r="CJ671" s="387">
        <f t="shared" si="479"/>
        <v>0</v>
      </c>
      <c r="CK671" s="387" t="str">
        <f t="shared" si="480"/>
        <v/>
      </c>
      <c r="CL671" s="387" t="str">
        <f t="shared" si="481"/>
        <v/>
      </c>
      <c r="CM671" s="387" t="str">
        <f t="shared" si="482"/>
        <v/>
      </c>
      <c r="CN671" s="387" t="str">
        <f t="shared" si="483"/>
        <v>0349-31</v>
      </c>
    </row>
    <row r="672" spans="1:92" ht="15.75" thickBot="1" x14ac:dyDescent="0.3">
      <c r="A672" s="376" t="s">
        <v>161</v>
      </c>
      <c r="B672" s="376" t="s">
        <v>162</v>
      </c>
      <c r="C672" s="376" t="s">
        <v>1356</v>
      </c>
      <c r="D672" s="376" t="s">
        <v>862</v>
      </c>
      <c r="E672" s="376" t="s">
        <v>669</v>
      </c>
      <c r="F672" s="382" t="s">
        <v>225</v>
      </c>
      <c r="G672" s="376" t="s">
        <v>781</v>
      </c>
      <c r="H672" s="378"/>
      <c r="I672" s="378"/>
      <c r="J672" s="376" t="s">
        <v>168</v>
      </c>
      <c r="K672" s="376" t="s">
        <v>863</v>
      </c>
      <c r="L672" s="376" t="s">
        <v>252</v>
      </c>
      <c r="M672" s="376" t="s">
        <v>171</v>
      </c>
      <c r="N672" s="376" t="s">
        <v>172</v>
      </c>
      <c r="O672" s="379">
        <v>1</v>
      </c>
      <c r="P672" s="385">
        <v>0</v>
      </c>
      <c r="Q672" s="385">
        <v>0</v>
      </c>
      <c r="R672" s="380">
        <v>80</v>
      </c>
      <c r="S672" s="385">
        <v>0</v>
      </c>
      <c r="T672" s="380">
        <v>34.46</v>
      </c>
      <c r="U672" s="380">
        <v>0</v>
      </c>
      <c r="V672" s="380">
        <v>17.45</v>
      </c>
      <c r="W672" s="380">
        <v>0</v>
      </c>
      <c r="X672" s="380">
        <v>0</v>
      </c>
      <c r="Y672" s="380">
        <v>0</v>
      </c>
      <c r="Z672" s="380">
        <v>0</v>
      </c>
      <c r="AA672" s="376" t="s">
        <v>1357</v>
      </c>
      <c r="AB672" s="376" t="s">
        <v>1358</v>
      </c>
      <c r="AC672" s="376" t="s">
        <v>1359</v>
      </c>
      <c r="AD672" s="376" t="s">
        <v>351</v>
      </c>
      <c r="AE672" s="376" t="s">
        <v>863</v>
      </c>
      <c r="AF672" s="376" t="s">
        <v>393</v>
      </c>
      <c r="AG672" s="376" t="s">
        <v>178</v>
      </c>
      <c r="AH672" s="381">
        <v>22.05</v>
      </c>
      <c r="AI672" s="381">
        <v>18872.599999999999</v>
      </c>
      <c r="AJ672" s="376" t="s">
        <v>179</v>
      </c>
      <c r="AK672" s="376" t="s">
        <v>180</v>
      </c>
      <c r="AL672" s="376" t="s">
        <v>181</v>
      </c>
      <c r="AM672" s="376" t="s">
        <v>182</v>
      </c>
      <c r="AN672" s="376" t="s">
        <v>68</v>
      </c>
      <c r="AO672" s="379">
        <v>80</v>
      </c>
      <c r="AP672" s="385">
        <v>1</v>
      </c>
      <c r="AQ672" s="385">
        <v>0</v>
      </c>
      <c r="AR672" s="383" t="s">
        <v>183</v>
      </c>
      <c r="AS672" s="387">
        <f t="shared" si="467"/>
        <v>0</v>
      </c>
      <c r="AT672">
        <f t="shared" si="468"/>
        <v>0</v>
      </c>
      <c r="AU672" s="387" t="str">
        <f>IF(AT672=0,"",IF(AND(AT672=1,M672="F",SUMIF(C2:C1334,C672,AS2:AS1334)&lt;=1),SUMIF(C2:C1334,C672,AS2:AS1334),IF(AND(AT672=1,M672="F",SUMIF(C2:C1334,C672,AS2:AS1334)&gt;1),1,"")))</f>
        <v/>
      </c>
      <c r="AV672" s="387" t="str">
        <f>IF(AT672=0,"",IF(AND(AT672=3,M672="F",SUMIF(C2:C1334,C672,AS2:AS1334)&lt;=1),SUMIF(C2:C1334,C672,AS2:AS1334),IF(AND(AT672=3,M672="F",SUMIF(C2:C1334,C672,AS2:AS1334)&gt;1),1,"")))</f>
        <v/>
      </c>
      <c r="AW672" s="387">
        <f>SUMIF(C2:C1334,C672,O2:O1334)</f>
        <v>3</v>
      </c>
      <c r="AX672" s="387">
        <f>IF(AND(M672="F",AS672&lt;&gt;0),SUMIF(C2:C1334,C672,W2:W1334),0)</f>
        <v>0</v>
      </c>
      <c r="AY672" s="387" t="str">
        <f t="shared" si="469"/>
        <v/>
      </c>
      <c r="AZ672" s="387" t="str">
        <f t="shared" si="470"/>
        <v/>
      </c>
      <c r="BA672" s="387">
        <f t="shared" si="471"/>
        <v>0</v>
      </c>
      <c r="BB672" s="387">
        <f t="shared" si="440"/>
        <v>0</v>
      </c>
      <c r="BC672" s="387">
        <f t="shared" si="441"/>
        <v>0</v>
      </c>
      <c r="BD672" s="387">
        <f t="shared" si="442"/>
        <v>0</v>
      </c>
      <c r="BE672" s="387">
        <f t="shared" si="443"/>
        <v>0</v>
      </c>
      <c r="BF672" s="387">
        <f t="shared" si="444"/>
        <v>0</v>
      </c>
      <c r="BG672" s="387">
        <f t="shared" si="445"/>
        <v>0</v>
      </c>
      <c r="BH672" s="387">
        <f t="shared" si="446"/>
        <v>0</v>
      </c>
      <c r="BI672" s="387">
        <f t="shared" si="447"/>
        <v>0</v>
      </c>
      <c r="BJ672" s="387">
        <f t="shared" si="448"/>
        <v>0</v>
      </c>
      <c r="BK672" s="387">
        <f t="shared" si="449"/>
        <v>0</v>
      </c>
      <c r="BL672" s="387">
        <f t="shared" si="472"/>
        <v>0</v>
      </c>
      <c r="BM672" s="387">
        <f t="shared" si="473"/>
        <v>0</v>
      </c>
      <c r="BN672" s="387">
        <f t="shared" si="450"/>
        <v>0</v>
      </c>
      <c r="BO672" s="387">
        <f t="shared" si="451"/>
        <v>0</v>
      </c>
      <c r="BP672" s="387">
        <f t="shared" si="452"/>
        <v>0</v>
      </c>
      <c r="BQ672" s="387">
        <f t="shared" si="453"/>
        <v>0</v>
      </c>
      <c r="BR672" s="387">
        <f t="shared" si="454"/>
        <v>0</v>
      </c>
      <c r="BS672" s="387">
        <f t="shared" si="455"/>
        <v>0</v>
      </c>
      <c r="BT672" s="387">
        <f t="shared" si="456"/>
        <v>0</v>
      </c>
      <c r="BU672" s="387">
        <f t="shared" si="457"/>
        <v>0</v>
      </c>
      <c r="BV672" s="387">
        <f t="shared" si="458"/>
        <v>0</v>
      </c>
      <c r="BW672" s="387">
        <f t="shared" si="459"/>
        <v>0</v>
      </c>
      <c r="BX672" s="387">
        <f t="shared" si="474"/>
        <v>0</v>
      </c>
      <c r="BY672" s="387">
        <f t="shared" si="475"/>
        <v>0</v>
      </c>
      <c r="BZ672" s="387">
        <f t="shared" si="476"/>
        <v>0</v>
      </c>
      <c r="CA672" s="387">
        <f t="shared" si="477"/>
        <v>0</v>
      </c>
      <c r="CB672" s="387">
        <f t="shared" si="478"/>
        <v>0</v>
      </c>
      <c r="CC672" s="387">
        <f t="shared" si="460"/>
        <v>0</v>
      </c>
      <c r="CD672" s="387">
        <f t="shared" si="461"/>
        <v>0</v>
      </c>
      <c r="CE672" s="387">
        <f t="shared" si="462"/>
        <v>0</v>
      </c>
      <c r="CF672" s="387">
        <f t="shared" si="463"/>
        <v>0</v>
      </c>
      <c r="CG672" s="387">
        <f t="shared" si="464"/>
        <v>0</v>
      </c>
      <c r="CH672" s="387">
        <f t="shared" si="465"/>
        <v>0</v>
      </c>
      <c r="CI672" s="387">
        <f t="shared" si="466"/>
        <v>0</v>
      </c>
      <c r="CJ672" s="387">
        <f t="shared" si="479"/>
        <v>0</v>
      </c>
      <c r="CK672" s="387" t="str">
        <f t="shared" si="480"/>
        <v/>
      </c>
      <c r="CL672" s="387" t="str">
        <f t="shared" si="481"/>
        <v/>
      </c>
      <c r="CM672" s="387" t="str">
        <f t="shared" si="482"/>
        <v/>
      </c>
      <c r="CN672" s="387" t="str">
        <f t="shared" si="483"/>
        <v>0349-31</v>
      </c>
    </row>
    <row r="673" spans="1:92" ht="15.75" thickBot="1" x14ac:dyDescent="0.3">
      <c r="A673" s="376" t="s">
        <v>161</v>
      </c>
      <c r="B673" s="376" t="s">
        <v>162</v>
      </c>
      <c r="C673" s="376" t="s">
        <v>1762</v>
      </c>
      <c r="D673" s="376" t="s">
        <v>862</v>
      </c>
      <c r="E673" s="376" t="s">
        <v>669</v>
      </c>
      <c r="F673" s="382" t="s">
        <v>225</v>
      </c>
      <c r="G673" s="376" t="s">
        <v>781</v>
      </c>
      <c r="H673" s="378"/>
      <c r="I673" s="378"/>
      <c r="J673" s="376" t="s">
        <v>239</v>
      </c>
      <c r="K673" s="376" t="s">
        <v>863</v>
      </c>
      <c r="L673" s="376" t="s">
        <v>252</v>
      </c>
      <c r="M673" s="376" t="s">
        <v>171</v>
      </c>
      <c r="N673" s="376" t="s">
        <v>172</v>
      </c>
      <c r="O673" s="379">
        <v>1</v>
      </c>
      <c r="P673" s="385">
        <v>0</v>
      </c>
      <c r="Q673" s="385">
        <v>0</v>
      </c>
      <c r="R673" s="380">
        <v>80</v>
      </c>
      <c r="S673" s="385">
        <v>0</v>
      </c>
      <c r="T673" s="380">
        <v>110.13</v>
      </c>
      <c r="U673" s="380">
        <v>0</v>
      </c>
      <c r="V673" s="380">
        <v>47.79</v>
      </c>
      <c r="W673" s="380">
        <v>0</v>
      </c>
      <c r="X673" s="380">
        <v>0</v>
      </c>
      <c r="Y673" s="380">
        <v>0</v>
      </c>
      <c r="Z673" s="380">
        <v>0</v>
      </c>
      <c r="AA673" s="376" t="s">
        <v>1763</v>
      </c>
      <c r="AB673" s="376" t="s">
        <v>1764</v>
      </c>
      <c r="AC673" s="376" t="s">
        <v>1765</v>
      </c>
      <c r="AD673" s="376" t="s">
        <v>406</v>
      </c>
      <c r="AE673" s="376" t="s">
        <v>863</v>
      </c>
      <c r="AF673" s="376" t="s">
        <v>393</v>
      </c>
      <c r="AG673" s="376" t="s">
        <v>178</v>
      </c>
      <c r="AH673" s="381">
        <v>26.63</v>
      </c>
      <c r="AI673" s="381">
        <v>50638.9</v>
      </c>
      <c r="AJ673" s="376" t="s">
        <v>179</v>
      </c>
      <c r="AK673" s="376" t="s">
        <v>180</v>
      </c>
      <c r="AL673" s="376" t="s">
        <v>181</v>
      </c>
      <c r="AM673" s="376" t="s">
        <v>182</v>
      </c>
      <c r="AN673" s="376" t="s">
        <v>68</v>
      </c>
      <c r="AO673" s="379">
        <v>80</v>
      </c>
      <c r="AP673" s="385">
        <v>1</v>
      </c>
      <c r="AQ673" s="385">
        <v>0</v>
      </c>
      <c r="AR673" s="383" t="s">
        <v>183</v>
      </c>
      <c r="AS673" s="387">
        <f t="shared" si="467"/>
        <v>0</v>
      </c>
      <c r="AT673">
        <f t="shared" si="468"/>
        <v>0</v>
      </c>
      <c r="AU673" s="387" t="str">
        <f>IF(AT673=0,"",IF(AND(AT673=1,M673="F",SUMIF(C2:C1334,C673,AS2:AS1334)&lt;=1),SUMIF(C2:C1334,C673,AS2:AS1334),IF(AND(AT673=1,M673="F",SUMIF(C2:C1334,C673,AS2:AS1334)&gt;1),1,"")))</f>
        <v/>
      </c>
      <c r="AV673" s="387" t="str">
        <f>IF(AT673=0,"",IF(AND(AT673=3,M673="F",SUMIF(C2:C1334,C673,AS2:AS1334)&lt;=1),SUMIF(C2:C1334,C673,AS2:AS1334),IF(AND(AT673=3,M673="F",SUMIF(C2:C1334,C673,AS2:AS1334)&gt;1),1,"")))</f>
        <v/>
      </c>
      <c r="AW673" s="387">
        <f>SUMIF(C2:C1334,C673,O2:O1334)</f>
        <v>3</v>
      </c>
      <c r="AX673" s="387">
        <f>IF(AND(M673="F",AS673&lt;&gt;0),SUMIF(C2:C1334,C673,W2:W1334),0)</f>
        <v>0</v>
      </c>
      <c r="AY673" s="387" t="str">
        <f t="shared" si="469"/>
        <v/>
      </c>
      <c r="AZ673" s="387" t="str">
        <f t="shared" si="470"/>
        <v/>
      </c>
      <c r="BA673" s="387">
        <f t="shared" si="471"/>
        <v>0</v>
      </c>
      <c r="BB673" s="387">
        <f t="shared" si="440"/>
        <v>0</v>
      </c>
      <c r="BC673" s="387">
        <f t="shared" si="441"/>
        <v>0</v>
      </c>
      <c r="BD673" s="387">
        <f t="shared" si="442"/>
        <v>0</v>
      </c>
      <c r="BE673" s="387">
        <f t="shared" si="443"/>
        <v>0</v>
      </c>
      <c r="BF673" s="387">
        <f t="shared" si="444"/>
        <v>0</v>
      </c>
      <c r="BG673" s="387">
        <f t="shared" si="445"/>
        <v>0</v>
      </c>
      <c r="BH673" s="387">
        <f t="shared" si="446"/>
        <v>0</v>
      </c>
      <c r="BI673" s="387">
        <f t="shared" si="447"/>
        <v>0</v>
      </c>
      <c r="BJ673" s="387">
        <f t="shared" si="448"/>
        <v>0</v>
      </c>
      <c r="BK673" s="387">
        <f t="shared" si="449"/>
        <v>0</v>
      </c>
      <c r="BL673" s="387">
        <f t="shared" si="472"/>
        <v>0</v>
      </c>
      <c r="BM673" s="387">
        <f t="shared" si="473"/>
        <v>0</v>
      </c>
      <c r="BN673" s="387">
        <f t="shared" si="450"/>
        <v>0</v>
      </c>
      <c r="BO673" s="387">
        <f t="shared" si="451"/>
        <v>0</v>
      </c>
      <c r="BP673" s="387">
        <f t="shared" si="452"/>
        <v>0</v>
      </c>
      <c r="BQ673" s="387">
        <f t="shared" si="453"/>
        <v>0</v>
      </c>
      <c r="BR673" s="387">
        <f t="shared" si="454"/>
        <v>0</v>
      </c>
      <c r="BS673" s="387">
        <f t="shared" si="455"/>
        <v>0</v>
      </c>
      <c r="BT673" s="387">
        <f t="shared" si="456"/>
        <v>0</v>
      </c>
      <c r="BU673" s="387">
        <f t="shared" si="457"/>
        <v>0</v>
      </c>
      <c r="BV673" s="387">
        <f t="shared" si="458"/>
        <v>0</v>
      </c>
      <c r="BW673" s="387">
        <f t="shared" si="459"/>
        <v>0</v>
      </c>
      <c r="BX673" s="387">
        <f t="shared" si="474"/>
        <v>0</v>
      </c>
      <c r="BY673" s="387">
        <f t="shared" si="475"/>
        <v>0</v>
      </c>
      <c r="BZ673" s="387">
        <f t="shared" si="476"/>
        <v>0</v>
      </c>
      <c r="CA673" s="387">
        <f t="shared" si="477"/>
        <v>0</v>
      </c>
      <c r="CB673" s="387">
        <f t="shared" si="478"/>
        <v>0</v>
      </c>
      <c r="CC673" s="387">
        <f t="shared" si="460"/>
        <v>0</v>
      </c>
      <c r="CD673" s="387">
        <f t="shared" si="461"/>
        <v>0</v>
      </c>
      <c r="CE673" s="387">
        <f t="shared" si="462"/>
        <v>0</v>
      </c>
      <c r="CF673" s="387">
        <f t="shared" si="463"/>
        <v>0</v>
      </c>
      <c r="CG673" s="387">
        <f t="shared" si="464"/>
        <v>0</v>
      </c>
      <c r="CH673" s="387">
        <f t="shared" si="465"/>
        <v>0</v>
      </c>
      <c r="CI673" s="387">
        <f t="shared" si="466"/>
        <v>0</v>
      </c>
      <c r="CJ673" s="387">
        <f t="shared" si="479"/>
        <v>0</v>
      </c>
      <c r="CK673" s="387" t="str">
        <f t="shared" si="480"/>
        <v/>
      </c>
      <c r="CL673" s="387" t="str">
        <f t="shared" si="481"/>
        <v/>
      </c>
      <c r="CM673" s="387" t="str">
        <f t="shared" si="482"/>
        <v/>
      </c>
      <c r="CN673" s="387" t="str">
        <f t="shared" si="483"/>
        <v>0349-31</v>
      </c>
    </row>
    <row r="674" spans="1:92" ht="15.75" thickBot="1" x14ac:dyDescent="0.3">
      <c r="A674" s="376" t="s">
        <v>161</v>
      </c>
      <c r="B674" s="376" t="s">
        <v>162</v>
      </c>
      <c r="C674" s="376" t="s">
        <v>1433</v>
      </c>
      <c r="D674" s="376" t="s">
        <v>862</v>
      </c>
      <c r="E674" s="376" t="s">
        <v>669</v>
      </c>
      <c r="F674" s="382" t="s">
        <v>225</v>
      </c>
      <c r="G674" s="376" t="s">
        <v>781</v>
      </c>
      <c r="H674" s="378"/>
      <c r="I674" s="378"/>
      <c r="J674" s="376" t="s">
        <v>168</v>
      </c>
      <c r="K674" s="376" t="s">
        <v>863</v>
      </c>
      <c r="L674" s="376" t="s">
        <v>252</v>
      </c>
      <c r="M674" s="376" t="s">
        <v>171</v>
      </c>
      <c r="N674" s="376" t="s">
        <v>172</v>
      </c>
      <c r="O674" s="379">
        <v>1</v>
      </c>
      <c r="P674" s="385">
        <v>0</v>
      </c>
      <c r="Q674" s="385">
        <v>0</v>
      </c>
      <c r="R674" s="380">
        <v>80</v>
      </c>
      <c r="S674" s="385">
        <v>0</v>
      </c>
      <c r="T674" s="380">
        <v>80.040000000000006</v>
      </c>
      <c r="U674" s="380">
        <v>0</v>
      </c>
      <c r="V674" s="380">
        <v>23.26</v>
      </c>
      <c r="W674" s="380">
        <v>0</v>
      </c>
      <c r="X674" s="380">
        <v>0</v>
      </c>
      <c r="Y674" s="380">
        <v>0</v>
      </c>
      <c r="Z674" s="380">
        <v>0</v>
      </c>
      <c r="AA674" s="376" t="s">
        <v>1434</v>
      </c>
      <c r="AB674" s="376" t="s">
        <v>1435</v>
      </c>
      <c r="AC674" s="376" t="s">
        <v>1436</v>
      </c>
      <c r="AD674" s="376" t="s">
        <v>170</v>
      </c>
      <c r="AE674" s="376" t="s">
        <v>863</v>
      </c>
      <c r="AF674" s="376" t="s">
        <v>393</v>
      </c>
      <c r="AG674" s="376" t="s">
        <v>178</v>
      </c>
      <c r="AH674" s="381">
        <v>27.75</v>
      </c>
      <c r="AI674" s="381">
        <v>37920.5</v>
      </c>
      <c r="AJ674" s="376" t="s">
        <v>179</v>
      </c>
      <c r="AK674" s="376" t="s">
        <v>180</v>
      </c>
      <c r="AL674" s="376" t="s">
        <v>181</v>
      </c>
      <c r="AM674" s="376" t="s">
        <v>182</v>
      </c>
      <c r="AN674" s="376" t="s">
        <v>68</v>
      </c>
      <c r="AO674" s="379">
        <v>80</v>
      </c>
      <c r="AP674" s="385">
        <v>1</v>
      </c>
      <c r="AQ674" s="385">
        <v>0</v>
      </c>
      <c r="AR674" s="383" t="s">
        <v>183</v>
      </c>
      <c r="AS674" s="387">
        <f t="shared" si="467"/>
        <v>0</v>
      </c>
      <c r="AT674">
        <f t="shared" si="468"/>
        <v>0</v>
      </c>
      <c r="AU674" s="387" t="str">
        <f>IF(AT674=0,"",IF(AND(AT674=1,M674="F",SUMIF(C2:C1334,C674,AS2:AS1334)&lt;=1),SUMIF(C2:C1334,C674,AS2:AS1334),IF(AND(AT674=1,M674="F",SUMIF(C2:C1334,C674,AS2:AS1334)&gt;1),1,"")))</f>
        <v/>
      </c>
      <c r="AV674" s="387" t="str">
        <f>IF(AT674=0,"",IF(AND(AT674=3,M674="F",SUMIF(C2:C1334,C674,AS2:AS1334)&lt;=1),SUMIF(C2:C1334,C674,AS2:AS1334),IF(AND(AT674=3,M674="F",SUMIF(C2:C1334,C674,AS2:AS1334)&gt;1),1,"")))</f>
        <v/>
      </c>
      <c r="AW674" s="387">
        <f>SUMIF(C2:C1334,C674,O2:O1334)</f>
        <v>3</v>
      </c>
      <c r="AX674" s="387">
        <f>IF(AND(M674="F",AS674&lt;&gt;0),SUMIF(C2:C1334,C674,W2:W1334),0)</f>
        <v>0</v>
      </c>
      <c r="AY674" s="387" t="str">
        <f t="shared" si="469"/>
        <v/>
      </c>
      <c r="AZ674" s="387" t="str">
        <f t="shared" si="470"/>
        <v/>
      </c>
      <c r="BA674" s="387">
        <f t="shared" si="471"/>
        <v>0</v>
      </c>
      <c r="BB674" s="387">
        <f t="shared" si="440"/>
        <v>0</v>
      </c>
      <c r="BC674" s="387">
        <f t="shared" si="441"/>
        <v>0</v>
      </c>
      <c r="BD674" s="387">
        <f t="shared" si="442"/>
        <v>0</v>
      </c>
      <c r="BE674" s="387">
        <f t="shared" si="443"/>
        <v>0</v>
      </c>
      <c r="BF674" s="387">
        <f t="shared" si="444"/>
        <v>0</v>
      </c>
      <c r="BG674" s="387">
        <f t="shared" si="445"/>
        <v>0</v>
      </c>
      <c r="BH674" s="387">
        <f t="shared" si="446"/>
        <v>0</v>
      </c>
      <c r="BI674" s="387">
        <f t="shared" si="447"/>
        <v>0</v>
      </c>
      <c r="BJ674" s="387">
        <f t="shared" si="448"/>
        <v>0</v>
      </c>
      <c r="BK674" s="387">
        <f t="shared" si="449"/>
        <v>0</v>
      </c>
      <c r="BL674" s="387">
        <f t="shared" si="472"/>
        <v>0</v>
      </c>
      <c r="BM674" s="387">
        <f t="shared" si="473"/>
        <v>0</v>
      </c>
      <c r="BN674" s="387">
        <f t="shared" si="450"/>
        <v>0</v>
      </c>
      <c r="BO674" s="387">
        <f t="shared" si="451"/>
        <v>0</v>
      </c>
      <c r="BP674" s="387">
        <f t="shared" si="452"/>
        <v>0</v>
      </c>
      <c r="BQ674" s="387">
        <f t="shared" si="453"/>
        <v>0</v>
      </c>
      <c r="BR674" s="387">
        <f t="shared" si="454"/>
        <v>0</v>
      </c>
      <c r="BS674" s="387">
        <f t="shared" si="455"/>
        <v>0</v>
      </c>
      <c r="BT674" s="387">
        <f t="shared" si="456"/>
        <v>0</v>
      </c>
      <c r="BU674" s="387">
        <f t="shared" si="457"/>
        <v>0</v>
      </c>
      <c r="BV674" s="387">
        <f t="shared" si="458"/>
        <v>0</v>
      </c>
      <c r="BW674" s="387">
        <f t="shared" si="459"/>
        <v>0</v>
      </c>
      <c r="BX674" s="387">
        <f t="shared" si="474"/>
        <v>0</v>
      </c>
      <c r="BY674" s="387">
        <f t="shared" si="475"/>
        <v>0</v>
      </c>
      <c r="BZ674" s="387">
        <f t="shared" si="476"/>
        <v>0</v>
      </c>
      <c r="CA674" s="387">
        <f t="shared" si="477"/>
        <v>0</v>
      </c>
      <c r="CB674" s="387">
        <f t="shared" si="478"/>
        <v>0</v>
      </c>
      <c r="CC674" s="387">
        <f t="shared" si="460"/>
        <v>0</v>
      </c>
      <c r="CD674" s="387">
        <f t="shared" si="461"/>
        <v>0</v>
      </c>
      <c r="CE674" s="387">
        <f t="shared" si="462"/>
        <v>0</v>
      </c>
      <c r="CF674" s="387">
        <f t="shared" si="463"/>
        <v>0</v>
      </c>
      <c r="CG674" s="387">
        <f t="shared" si="464"/>
        <v>0</v>
      </c>
      <c r="CH674" s="387">
        <f t="shared" si="465"/>
        <v>0</v>
      </c>
      <c r="CI674" s="387">
        <f t="shared" si="466"/>
        <v>0</v>
      </c>
      <c r="CJ674" s="387">
        <f t="shared" si="479"/>
        <v>0</v>
      </c>
      <c r="CK674" s="387" t="str">
        <f t="shared" si="480"/>
        <v/>
      </c>
      <c r="CL674" s="387" t="str">
        <f t="shared" si="481"/>
        <v/>
      </c>
      <c r="CM674" s="387" t="str">
        <f t="shared" si="482"/>
        <v/>
      </c>
      <c r="CN674" s="387" t="str">
        <f t="shared" si="483"/>
        <v>0349-31</v>
      </c>
    </row>
    <row r="675" spans="1:92" ht="15.75" thickBot="1" x14ac:dyDescent="0.3">
      <c r="A675" s="376" t="s">
        <v>161</v>
      </c>
      <c r="B675" s="376" t="s">
        <v>162</v>
      </c>
      <c r="C675" s="376" t="s">
        <v>1294</v>
      </c>
      <c r="D675" s="376" t="s">
        <v>862</v>
      </c>
      <c r="E675" s="376" t="s">
        <v>669</v>
      </c>
      <c r="F675" s="382" t="s">
        <v>225</v>
      </c>
      <c r="G675" s="376" t="s">
        <v>781</v>
      </c>
      <c r="H675" s="378"/>
      <c r="I675" s="378"/>
      <c r="J675" s="376" t="s">
        <v>215</v>
      </c>
      <c r="K675" s="376" t="s">
        <v>863</v>
      </c>
      <c r="L675" s="376" t="s">
        <v>252</v>
      </c>
      <c r="M675" s="376" t="s">
        <v>272</v>
      </c>
      <c r="N675" s="376" t="s">
        <v>172</v>
      </c>
      <c r="O675" s="379">
        <v>0</v>
      </c>
      <c r="P675" s="385">
        <v>0</v>
      </c>
      <c r="Q675" s="385">
        <v>0</v>
      </c>
      <c r="R675" s="380">
        <v>80</v>
      </c>
      <c r="S675" s="385">
        <v>0</v>
      </c>
      <c r="T675" s="380">
        <v>36.44</v>
      </c>
      <c r="U675" s="380">
        <v>0</v>
      </c>
      <c r="V675" s="380">
        <v>20.16</v>
      </c>
      <c r="W675" s="380">
        <v>0</v>
      </c>
      <c r="X675" s="380">
        <v>0</v>
      </c>
      <c r="Y675" s="380">
        <v>0</v>
      </c>
      <c r="Z675" s="380">
        <v>0</v>
      </c>
      <c r="AA675" s="378"/>
      <c r="AB675" s="376" t="s">
        <v>45</v>
      </c>
      <c r="AC675" s="376" t="s">
        <v>45</v>
      </c>
      <c r="AD675" s="378"/>
      <c r="AE675" s="378"/>
      <c r="AF675" s="378"/>
      <c r="AG675" s="378"/>
      <c r="AH675" s="379">
        <v>0</v>
      </c>
      <c r="AI675" s="379">
        <v>0</v>
      </c>
      <c r="AJ675" s="378"/>
      <c r="AK675" s="378"/>
      <c r="AL675" s="376" t="s">
        <v>181</v>
      </c>
      <c r="AM675" s="378"/>
      <c r="AN675" s="378"/>
      <c r="AO675" s="379">
        <v>0</v>
      </c>
      <c r="AP675" s="385">
        <v>0</v>
      </c>
      <c r="AQ675" s="385">
        <v>0</v>
      </c>
      <c r="AR675" s="384"/>
      <c r="AS675" s="387">
        <f t="shared" si="467"/>
        <v>0</v>
      </c>
      <c r="AT675">
        <f t="shared" si="468"/>
        <v>0</v>
      </c>
      <c r="AU675" s="387" t="str">
        <f>IF(AT675=0,"",IF(AND(AT675=1,M675="F",SUMIF(C2:C1334,C675,AS2:AS1334)&lt;=1),SUMIF(C2:C1334,C675,AS2:AS1334),IF(AND(AT675=1,M675="F",SUMIF(C2:C1334,C675,AS2:AS1334)&gt;1),1,"")))</f>
        <v/>
      </c>
      <c r="AV675" s="387" t="str">
        <f>IF(AT675=0,"",IF(AND(AT675=3,M675="F",SUMIF(C2:C1334,C675,AS2:AS1334)&lt;=1),SUMIF(C2:C1334,C675,AS2:AS1334),IF(AND(AT675=3,M675="F",SUMIF(C2:C1334,C675,AS2:AS1334)&gt;1),1,"")))</f>
        <v/>
      </c>
      <c r="AW675" s="387">
        <f>SUMIF(C2:C1334,C675,O2:O1334)</f>
        <v>0</v>
      </c>
      <c r="AX675" s="387">
        <f>IF(AND(M675="F",AS675&lt;&gt;0),SUMIF(C2:C1334,C675,W2:W1334),0)</f>
        <v>0</v>
      </c>
      <c r="AY675" s="387" t="str">
        <f t="shared" si="469"/>
        <v/>
      </c>
      <c r="AZ675" s="387" t="str">
        <f t="shared" si="470"/>
        <v/>
      </c>
      <c r="BA675" s="387">
        <f t="shared" si="471"/>
        <v>0</v>
      </c>
      <c r="BB675" s="387">
        <f t="shared" si="440"/>
        <v>0</v>
      </c>
      <c r="BC675" s="387">
        <f t="shared" si="441"/>
        <v>0</v>
      </c>
      <c r="BD675" s="387">
        <f t="shared" si="442"/>
        <v>0</v>
      </c>
      <c r="BE675" s="387">
        <f t="shared" si="443"/>
        <v>0</v>
      </c>
      <c r="BF675" s="387">
        <f t="shared" si="444"/>
        <v>0</v>
      </c>
      <c r="BG675" s="387">
        <f t="shared" si="445"/>
        <v>0</v>
      </c>
      <c r="BH675" s="387">
        <f t="shared" si="446"/>
        <v>0</v>
      </c>
      <c r="BI675" s="387">
        <f t="shared" si="447"/>
        <v>0</v>
      </c>
      <c r="BJ675" s="387">
        <f t="shared" si="448"/>
        <v>0</v>
      </c>
      <c r="BK675" s="387">
        <f t="shared" si="449"/>
        <v>0</v>
      </c>
      <c r="BL675" s="387">
        <f t="shared" si="472"/>
        <v>0</v>
      </c>
      <c r="BM675" s="387">
        <f t="shared" si="473"/>
        <v>0</v>
      </c>
      <c r="BN675" s="387">
        <f t="shared" si="450"/>
        <v>0</v>
      </c>
      <c r="BO675" s="387">
        <f t="shared" si="451"/>
        <v>0</v>
      </c>
      <c r="BP675" s="387">
        <f t="shared" si="452"/>
        <v>0</v>
      </c>
      <c r="BQ675" s="387">
        <f t="shared" si="453"/>
        <v>0</v>
      </c>
      <c r="BR675" s="387">
        <f t="shared" si="454"/>
        <v>0</v>
      </c>
      <c r="BS675" s="387">
        <f t="shared" si="455"/>
        <v>0</v>
      </c>
      <c r="BT675" s="387">
        <f t="shared" si="456"/>
        <v>0</v>
      </c>
      <c r="BU675" s="387">
        <f t="shared" si="457"/>
        <v>0</v>
      </c>
      <c r="BV675" s="387">
        <f t="shared" si="458"/>
        <v>0</v>
      </c>
      <c r="BW675" s="387">
        <f t="shared" si="459"/>
        <v>0</v>
      </c>
      <c r="BX675" s="387">
        <f t="shared" si="474"/>
        <v>0</v>
      </c>
      <c r="BY675" s="387">
        <f t="shared" si="475"/>
        <v>0</v>
      </c>
      <c r="BZ675" s="387">
        <f t="shared" si="476"/>
        <v>0</v>
      </c>
      <c r="CA675" s="387">
        <f t="shared" si="477"/>
        <v>0</v>
      </c>
      <c r="CB675" s="387">
        <f t="shared" si="478"/>
        <v>0</v>
      </c>
      <c r="CC675" s="387">
        <f t="shared" si="460"/>
        <v>0</v>
      </c>
      <c r="CD675" s="387">
        <f t="shared" si="461"/>
        <v>0</v>
      </c>
      <c r="CE675" s="387">
        <f t="shared" si="462"/>
        <v>0</v>
      </c>
      <c r="CF675" s="387">
        <f t="shared" si="463"/>
        <v>0</v>
      </c>
      <c r="CG675" s="387">
        <f t="shared" si="464"/>
        <v>0</v>
      </c>
      <c r="CH675" s="387">
        <f t="shared" si="465"/>
        <v>0</v>
      </c>
      <c r="CI675" s="387">
        <f t="shared" si="466"/>
        <v>0</v>
      </c>
      <c r="CJ675" s="387">
        <f t="shared" si="479"/>
        <v>0</v>
      </c>
      <c r="CK675" s="387" t="str">
        <f t="shared" si="480"/>
        <v/>
      </c>
      <c r="CL675" s="387" t="str">
        <f t="shared" si="481"/>
        <v/>
      </c>
      <c r="CM675" s="387" t="str">
        <f t="shared" si="482"/>
        <v/>
      </c>
      <c r="CN675" s="387" t="str">
        <f t="shared" si="483"/>
        <v>0349-31</v>
      </c>
    </row>
    <row r="676" spans="1:92" ht="15.75" thickBot="1" x14ac:dyDescent="0.3">
      <c r="A676" s="376" t="s">
        <v>161</v>
      </c>
      <c r="B676" s="376" t="s">
        <v>162</v>
      </c>
      <c r="C676" s="376" t="s">
        <v>1365</v>
      </c>
      <c r="D676" s="376" t="s">
        <v>862</v>
      </c>
      <c r="E676" s="376" t="s">
        <v>669</v>
      </c>
      <c r="F676" s="382" t="s">
        <v>225</v>
      </c>
      <c r="G676" s="376" t="s">
        <v>781</v>
      </c>
      <c r="H676" s="378"/>
      <c r="I676" s="378"/>
      <c r="J676" s="376" t="s">
        <v>239</v>
      </c>
      <c r="K676" s="376" t="s">
        <v>863</v>
      </c>
      <c r="L676" s="376" t="s">
        <v>252</v>
      </c>
      <c r="M676" s="376" t="s">
        <v>171</v>
      </c>
      <c r="N676" s="376" t="s">
        <v>172</v>
      </c>
      <c r="O676" s="379">
        <v>1</v>
      </c>
      <c r="P676" s="385">
        <v>0</v>
      </c>
      <c r="Q676" s="385">
        <v>0</v>
      </c>
      <c r="R676" s="380">
        <v>80</v>
      </c>
      <c r="S676" s="385">
        <v>0</v>
      </c>
      <c r="T676" s="380">
        <v>65.569999999999993</v>
      </c>
      <c r="U676" s="380">
        <v>0</v>
      </c>
      <c r="V676" s="380">
        <v>22.23</v>
      </c>
      <c r="W676" s="380">
        <v>0</v>
      </c>
      <c r="X676" s="380">
        <v>0</v>
      </c>
      <c r="Y676" s="380">
        <v>0</v>
      </c>
      <c r="Z676" s="380">
        <v>0</v>
      </c>
      <c r="AA676" s="376" t="s">
        <v>1366</v>
      </c>
      <c r="AB676" s="376" t="s">
        <v>1367</v>
      </c>
      <c r="AC676" s="376" t="s">
        <v>1368</v>
      </c>
      <c r="AD676" s="376" t="s">
        <v>268</v>
      </c>
      <c r="AE676" s="376" t="s">
        <v>863</v>
      </c>
      <c r="AF676" s="376" t="s">
        <v>393</v>
      </c>
      <c r="AG676" s="376" t="s">
        <v>178</v>
      </c>
      <c r="AH676" s="381">
        <v>22.73</v>
      </c>
      <c r="AI676" s="379">
        <v>38069</v>
      </c>
      <c r="AJ676" s="376" t="s">
        <v>179</v>
      </c>
      <c r="AK676" s="376" t="s">
        <v>180</v>
      </c>
      <c r="AL676" s="376" t="s">
        <v>181</v>
      </c>
      <c r="AM676" s="376" t="s">
        <v>182</v>
      </c>
      <c r="AN676" s="376" t="s">
        <v>68</v>
      </c>
      <c r="AO676" s="379">
        <v>80</v>
      </c>
      <c r="AP676" s="385">
        <v>1</v>
      </c>
      <c r="AQ676" s="385">
        <v>0</v>
      </c>
      <c r="AR676" s="383" t="s">
        <v>183</v>
      </c>
      <c r="AS676" s="387">
        <f t="shared" si="467"/>
        <v>0</v>
      </c>
      <c r="AT676">
        <f t="shared" si="468"/>
        <v>0</v>
      </c>
      <c r="AU676" s="387" t="str">
        <f>IF(AT676=0,"",IF(AND(AT676=1,M676="F",SUMIF(C2:C1334,C676,AS2:AS1334)&lt;=1),SUMIF(C2:C1334,C676,AS2:AS1334),IF(AND(AT676=1,M676="F",SUMIF(C2:C1334,C676,AS2:AS1334)&gt;1),1,"")))</f>
        <v/>
      </c>
      <c r="AV676" s="387" t="str">
        <f>IF(AT676=0,"",IF(AND(AT676=3,M676="F",SUMIF(C2:C1334,C676,AS2:AS1334)&lt;=1),SUMIF(C2:C1334,C676,AS2:AS1334),IF(AND(AT676=3,M676="F",SUMIF(C2:C1334,C676,AS2:AS1334)&gt;1),1,"")))</f>
        <v/>
      </c>
      <c r="AW676" s="387">
        <f>SUMIF(C2:C1334,C676,O2:O1334)</f>
        <v>3</v>
      </c>
      <c r="AX676" s="387">
        <f>IF(AND(M676="F",AS676&lt;&gt;0),SUMIF(C2:C1334,C676,W2:W1334),0)</f>
        <v>0</v>
      </c>
      <c r="AY676" s="387" t="str">
        <f t="shared" si="469"/>
        <v/>
      </c>
      <c r="AZ676" s="387" t="str">
        <f t="shared" si="470"/>
        <v/>
      </c>
      <c r="BA676" s="387">
        <f t="shared" si="471"/>
        <v>0</v>
      </c>
      <c r="BB676" s="387">
        <f t="shared" si="440"/>
        <v>0</v>
      </c>
      <c r="BC676" s="387">
        <f t="shared" si="441"/>
        <v>0</v>
      </c>
      <c r="BD676" s="387">
        <f t="shared" si="442"/>
        <v>0</v>
      </c>
      <c r="BE676" s="387">
        <f t="shared" si="443"/>
        <v>0</v>
      </c>
      <c r="BF676" s="387">
        <f t="shared" si="444"/>
        <v>0</v>
      </c>
      <c r="BG676" s="387">
        <f t="shared" si="445"/>
        <v>0</v>
      </c>
      <c r="BH676" s="387">
        <f t="shared" si="446"/>
        <v>0</v>
      </c>
      <c r="BI676" s="387">
        <f t="shared" si="447"/>
        <v>0</v>
      </c>
      <c r="BJ676" s="387">
        <f t="shared" si="448"/>
        <v>0</v>
      </c>
      <c r="BK676" s="387">
        <f t="shared" si="449"/>
        <v>0</v>
      </c>
      <c r="BL676" s="387">
        <f t="shared" si="472"/>
        <v>0</v>
      </c>
      <c r="BM676" s="387">
        <f t="shared" si="473"/>
        <v>0</v>
      </c>
      <c r="BN676" s="387">
        <f t="shared" si="450"/>
        <v>0</v>
      </c>
      <c r="BO676" s="387">
        <f t="shared" si="451"/>
        <v>0</v>
      </c>
      <c r="BP676" s="387">
        <f t="shared" si="452"/>
        <v>0</v>
      </c>
      <c r="BQ676" s="387">
        <f t="shared" si="453"/>
        <v>0</v>
      </c>
      <c r="BR676" s="387">
        <f t="shared" si="454"/>
        <v>0</v>
      </c>
      <c r="BS676" s="387">
        <f t="shared" si="455"/>
        <v>0</v>
      </c>
      <c r="BT676" s="387">
        <f t="shared" si="456"/>
        <v>0</v>
      </c>
      <c r="BU676" s="387">
        <f t="shared" si="457"/>
        <v>0</v>
      </c>
      <c r="BV676" s="387">
        <f t="shared" si="458"/>
        <v>0</v>
      </c>
      <c r="BW676" s="387">
        <f t="shared" si="459"/>
        <v>0</v>
      </c>
      <c r="BX676" s="387">
        <f t="shared" si="474"/>
        <v>0</v>
      </c>
      <c r="BY676" s="387">
        <f t="shared" si="475"/>
        <v>0</v>
      </c>
      <c r="BZ676" s="387">
        <f t="shared" si="476"/>
        <v>0</v>
      </c>
      <c r="CA676" s="387">
        <f t="shared" si="477"/>
        <v>0</v>
      </c>
      <c r="CB676" s="387">
        <f t="shared" si="478"/>
        <v>0</v>
      </c>
      <c r="CC676" s="387">
        <f t="shared" si="460"/>
        <v>0</v>
      </c>
      <c r="CD676" s="387">
        <f t="shared" si="461"/>
        <v>0</v>
      </c>
      <c r="CE676" s="387">
        <f t="shared" si="462"/>
        <v>0</v>
      </c>
      <c r="CF676" s="387">
        <f t="shared" si="463"/>
        <v>0</v>
      </c>
      <c r="CG676" s="387">
        <f t="shared" si="464"/>
        <v>0</v>
      </c>
      <c r="CH676" s="387">
        <f t="shared" si="465"/>
        <v>0</v>
      </c>
      <c r="CI676" s="387">
        <f t="shared" si="466"/>
        <v>0</v>
      </c>
      <c r="CJ676" s="387">
        <f t="shared" si="479"/>
        <v>0</v>
      </c>
      <c r="CK676" s="387" t="str">
        <f t="shared" si="480"/>
        <v/>
      </c>
      <c r="CL676" s="387" t="str">
        <f t="shared" si="481"/>
        <v/>
      </c>
      <c r="CM676" s="387" t="str">
        <f t="shared" si="482"/>
        <v/>
      </c>
      <c r="CN676" s="387" t="str">
        <f t="shared" si="483"/>
        <v>0349-31</v>
      </c>
    </row>
    <row r="677" spans="1:92" ht="15.75" thickBot="1" x14ac:dyDescent="0.3">
      <c r="A677" s="376" t="s">
        <v>161</v>
      </c>
      <c r="B677" s="376" t="s">
        <v>162</v>
      </c>
      <c r="C677" s="376" t="s">
        <v>1381</v>
      </c>
      <c r="D677" s="376" t="s">
        <v>862</v>
      </c>
      <c r="E677" s="376" t="s">
        <v>669</v>
      </c>
      <c r="F677" s="382" t="s">
        <v>225</v>
      </c>
      <c r="G677" s="376" t="s">
        <v>781</v>
      </c>
      <c r="H677" s="378"/>
      <c r="I677" s="378"/>
      <c r="J677" s="376" t="s">
        <v>205</v>
      </c>
      <c r="K677" s="376" t="s">
        <v>863</v>
      </c>
      <c r="L677" s="376" t="s">
        <v>252</v>
      </c>
      <c r="M677" s="376" t="s">
        <v>171</v>
      </c>
      <c r="N677" s="376" t="s">
        <v>172</v>
      </c>
      <c r="O677" s="379">
        <v>1</v>
      </c>
      <c r="P677" s="385">
        <v>0</v>
      </c>
      <c r="Q677" s="385">
        <v>0</v>
      </c>
      <c r="R677" s="380">
        <v>80</v>
      </c>
      <c r="S677" s="385">
        <v>0</v>
      </c>
      <c r="T677" s="380">
        <v>137.03</v>
      </c>
      <c r="U677" s="380">
        <v>0</v>
      </c>
      <c r="V677" s="380">
        <v>53.47</v>
      </c>
      <c r="W677" s="380">
        <v>0</v>
      </c>
      <c r="X677" s="380">
        <v>0</v>
      </c>
      <c r="Y677" s="380">
        <v>0</v>
      </c>
      <c r="Z677" s="380">
        <v>0</v>
      </c>
      <c r="AA677" s="376" t="s">
        <v>1382</v>
      </c>
      <c r="AB677" s="376" t="s">
        <v>1383</v>
      </c>
      <c r="AC677" s="376" t="s">
        <v>1384</v>
      </c>
      <c r="AD677" s="376" t="s">
        <v>268</v>
      </c>
      <c r="AE677" s="376" t="s">
        <v>863</v>
      </c>
      <c r="AF677" s="376" t="s">
        <v>393</v>
      </c>
      <c r="AG677" s="376" t="s">
        <v>178</v>
      </c>
      <c r="AH677" s="381">
        <v>26.35</v>
      </c>
      <c r="AI677" s="381">
        <v>61864.3</v>
      </c>
      <c r="AJ677" s="376" t="s">
        <v>179</v>
      </c>
      <c r="AK677" s="376" t="s">
        <v>180</v>
      </c>
      <c r="AL677" s="376" t="s">
        <v>181</v>
      </c>
      <c r="AM677" s="376" t="s">
        <v>182</v>
      </c>
      <c r="AN677" s="376" t="s">
        <v>68</v>
      </c>
      <c r="AO677" s="379">
        <v>80</v>
      </c>
      <c r="AP677" s="385">
        <v>1</v>
      </c>
      <c r="AQ677" s="385">
        <v>0</v>
      </c>
      <c r="AR677" s="383" t="s">
        <v>183</v>
      </c>
      <c r="AS677" s="387">
        <f t="shared" si="467"/>
        <v>0</v>
      </c>
      <c r="AT677">
        <f t="shared" si="468"/>
        <v>0</v>
      </c>
      <c r="AU677" s="387" t="str">
        <f>IF(AT677=0,"",IF(AND(AT677=1,M677="F",SUMIF(C2:C1334,C677,AS2:AS1334)&lt;=1),SUMIF(C2:C1334,C677,AS2:AS1334),IF(AND(AT677=1,M677="F",SUMIF(C2:C1334,C677,AS2:AS1334)&gt;1),1,"")))</f>
        <v/>
      </c>
      <c r="AV677" s="387" t="str">
        <f>IF(AT677=0,"",IF(AND(AT677=3,M677="F",SUMIF(C2:C1334,C677,AS2:AS1334)&lt;=1),SUMIF(C2:C1334,C677,AS2:AS1334),IF(AND(AT677=3,M677="F",SUMIF(C2:C1334,C677,AS2:AS1334)&gt;1),1,"")))</f>
        <v/>
      </c>
      <c r="AW677" s="387">
        <f>SUMIF(C2:C1334,C677,O2:O1334)</f>
        <v>3</v>
      </c>
      <c r="AX677" s="387">
        <f>IF(AND(M677="F",AS677&lt;&gt;0),SUMIF(C2:C1334,C677,W2:W1334),0)</f>
        <v>0</v>
      </c>
      <c r="AY677" s="387" t="str">
        <f t="shared" si="469"/>
        <v/>
      </c>
      <c r="AZ677" s="387" t="str">
        <f t="shared" si="470"/>
        <v/>
      </c>
      <c r="BA677" s="387">
        <f t="shared" si="471"/>
        <v>0</v>
      </c>
      <c r="BB677" s="387">
        <f t="shared" si="440"/>
        <v>0</v>
      </c>
      <c r="BC677" s="387">
        <f t="shared" si="441"/>
        <v>0</v>
      </c>
      <c r="BD677" s="387">
        <f t="shared" si="442"/>
        <v>0</v>
      </c>
      <c r="BE677" s="387">
        <f t="shared" si="443"/>
        <v>0</v>
      </c>
      <c r="BF677" s="387">
        <f t="shared" si="444"/>
        <v>0</v>
      </c>
      <c r="BG677" s="387">
        <f t="shared" si="445"/>
        <v>0</v>
      </c>
      <c r="BH677" s="387">
        <f t="shared" si="446"/>
        <v>0</v>
      </c>
      <c r="BI677" s="387">
        <f t="shared" si="447"/>
        <v>0</v>
      </c>
      <c r="BJ677" s="387">
        <f t="shared" si="448"/>
        <v>0</v>
      </c>
      <c r="BK677" s="387">
        <f t="shared" si="449"/>
        <v>0</v>
      </c>
      <c r="BL677" s="387">
        <f t="shared" si="472"/>
        <v>0</v>
      </c>
      <c r="BM677" s="387">
        <f t="shared" si="473"/>
        <v>0</v>
      </c>
      <c r="BN677" s="387">
        <f t="shared" si="450"/>
        <v>0</v>
      </c>
      <c r="BO677" s="387">
        <f t="shared" si="451"/>
        <v>0</v>
      </c>
      <c r="BP677" s="387">
        <f t="shared" si="452"/>
        <v>0</v>
      </c>
      <c r="BQ677" s="387">
        <f t="shared" si="453"/>
        <v>0</v>
      </c>
      <c r="BR677" s="387">
        <f t="shared" si="454"/>
        <v>0</v>
      </c>
      <c r="BS677" s="387">
        <f t="shared" si="455"/>
        <v>0</v>
      </c>
      <c r="BT677" s="387">
        <f t="shared" si="456"/>
        <v>0</v>
      </c>
      <c r="BU677" s="387">
        <f t="shared" si="457"/>
        <v>0</v>
      </c>
      <c r="BV677" s="387">
        <f t="shared" si="458"/>
        <v>0</v>
      </c>
      <c r="BW677" s="387">
        <f t="shared" si="459"/>
        <v>0</v>
      </c>
      <c r="BX677" s="387">
        <f t="shared" si="474"/>
        <v>0</v>
      </c>
      <c r="BY677" s="387">
        <f t="shared" si="475"/>
        <v>0</v>
      </c>
      <c r="BZ677" s="387">
        <f t="shared" si="476"/>
        <v>0</v>
      </c>
      <c r="CA677" s="387">
        <f t="shared" si="477"/>
        <v>0</v>
      </c>
      <c r="CB677" s="387">
        <f t="shared" si="478"/>
        <v>0</v>
      </c>
      <c r="CC677" s="387">
        <f t="shared" si="460"/>
        <v>0</v>
      </c>
      <c r="CD677" s="387">
        <f t="shared" si="461"/>
        <v>0</v>
      </c>
      <c r="CE677" s="387">
        <f t="shared" si="462"/>
        <v>0</v>
      </c>
      <c r="CF677" s="387">
        <f t="shared" si="463"/>
        <v>0</v>
      </c>
      <c r="CG677" s="387">
        <f t="shared" si="464"/>
        <v>0</v>
      </c>
      <c r="CH677" s="387">
        <f t="shared" si="465"/>
        <v>0</v>
      </c>
      <c r="CI677" s="387">
        <f t="shared" si="466"/>
        <v>0</v>
      </c>
      <c r="CJ677" s="387">
        <f t="shared" si="479"/>
        <v>0</v>
      </c>
      <c r="CK677" s="387" t="str">
        <f t="shared" si="480"/>
        <v/>
      </c>
      <c r="CL677" s="387" t="str">
        <f t="shared" si="481"/>
        <v/>
      </c>
      <c r="CM677" s="387" t="str">
        <f t="shared" si="482"/>
        <v/>
      </c>
      <c r="CN677" s="387" t="str">
        <f t="shared" si="483"/>
        <v>0349-31</v>
      </c>
    </row>
    <row r="678" spans="1:92" ht="15.75" thickBot="1" x14ac:dyDescent="0.3">
      <c r="A678" s="376" t="s">
        <v>161</v>
      </c>
      <c r="B678" s="376" t="s">
        <v>162</v>
      </c>
      <c r="C678" s="376" t="s">
        <v>1796</v>
      </c>
      <c r="D678" s="376" t="s">
        <v>862</v>
      </c>
      <c r="E678" s="376" t="s">
        <v>669</v>
      </c>
      <c r="F678" s="382" t="s">
        <v>225</v>
      </c>
      <c r="G678" s="376" t="s">
        <v>781</v>
      </c>
      <c r="H678" s="378"/>
      <c r="I678" s="378"/>
      <c r="J678" s="376" t="s">
        <v>239</v>
      </c>
      <c r="K678" s="376" t="s">
        <v>863</v>
      </c>
      <c r="L678" s="376" t="s">
        <v>252</v>
      </c>
      <c r="M678" s="376" t="s">
        <v>171</v>
      </c>
      <c r="N678" s="376" t="s">
        <v>172</v>
      </c>
      <c r="O678" s="379">
        <v>1</v>
      </c>
      <c r="P678" s="385">
        <v>0</v>
      </c>
      <c r="Q678" s="385">
        <v>0</v>
      </c>
      <c r="R678" s="380">
        <v>80</v>
      </c>
      <c r="S678" s="385">
        <v>0</v>
      </c>
      <c r="T678" s="380">
        <v>76.349999999999994</v>
      </c>
      <c r="U678" s="380">
        <v>0</v>
      </c>
      <c r="V678" s="380">
        <v>28.5</v>
      </c>
      <c r="W678" s="380">
        <v>0</v>
      </c>
      <c r="X678" s="380">
        <v>0</v>
      </c>
      <c r="Y678" s="380">
        <v>0</v>
      </c>
      <c r="Z678" s="380">
        <v>0</v>
      </c>
      <c r="AA678" s="376" t="s">
        <v>1797</v>
      </c>
      <c r="AB678" s="376" t="s">
        <v>1798</v>
      </c>
      <c r="AC678" s="376" t="s">
        <v>1799</v>
      </c>
      <c r="AD678" s="376" t="s">
        <v>1800</v>
      </c>
      <c r="AE678" s="376" t="s">
        <v>863</v>
      </c>
      <c r="AF678" s="376" t="s">
        <v>393</v>
      </c>
      <c r="AG678" s="376" t="s">
        <v>178</v>
      </c>
      <c r="AH678" s="381">
        <v>18.95</v>
      </c>
      <c r="AI678" s="379">
        <v>3680</v>
      </c>
      <c r="AJ678" s="376" t="s">
        <v>179</v>
      </c>
      <c r="AK678" s="376" t="s">
        <v>180</v>
      </c>
      <c r="AL678" s="376" t="s">
        <v>181</v>
      </c>
      <c r="AM678" s="376" t="s">
        <v>182</v>
      </c>
      <c r="AN678" s="376" t="s">
        <v>68</v>
      </c>
      <c r="AO678" s="379">
        <v>80</v>
      </c>
      <c r="AP678" s="385">
        <v>1</v>
      </c>
      <c r="AQ678" s="385">
        <v>0</v>
      </c>
      <c r="AR678" s="383" t="s">
        <v>183</v>
      </c>
      <c r="AS678" s="387">
        <f t="shared" si="467"/>
        <v>0</v>
      </c>
      <c r="AT678">
        <f t="shared" si="468"/>
        <v>0</v>
      </c>
      <c r="AU678" s="387" t="str">
        <f>IF(AT678=0,"",IF(AND(AT678=1,M678="F",SUMIF(C2:C1334,C678,AS2:AS1334)&lt;=1),SUMIF(C2:C1334,C678,AS2:AS1334),IF(AND(AT678=1,M678="F",SUMIF(C2:C1334,C678,AS2:AS1334)&gt;1),1,"")))</f>
        <v/>
      </c>
      <c r="AV678" s="387" t="str">
        <f>IF(AT678=0,"",IF(AND(AT678=3,M678="F",SUMIF(C2:C1334,C678,AS2:AS1334)&lt;=1),SUMIF(C2:C1334,C678,AS2:AS1334),IF(AND(AT678=3,M678="F",SUMIF(C2:C1334,C678,AS2:AS1334)&gt;1),1,"")))</f>
        <v/>
      </c>
      <c r="AW678" s="387">
        <f>SUMIF(C2:C1334,C678,O2:O1334)</f>
        <v>3</v>
      </c>
      <c r="AX678" s="387">
        <f>IF(AND(M678="F",AS678&lt;&gt;0),SUMIF(C2:C1334,C678,W2:W1334),0)</f>
        <v>0</v>
      </c>
      <c r="AY678" s="387" t="str">
        <f t="shared" si="469"/>
        <v/>
      </c>
      <c r="AZ678" s="387" t="str">
        <f t="shared" si="470"/>
        <v/>
      </c>
      <c r="BA678" s="387">
        <f t="shared" si="471"/>
        <v>0</v>
      </c>
      <c r="BB678" s="387">
        <f t="shared" si="440"/>
        <v>0</v>
      </c>
      <c r="BC678" s="387">
        <f t="shared" si="441"/>
        <v>0</v>
      </c>
      <c r="BD678" s="387">
        <f t="shared" si="442"/>
        <v>0</v>
      </c>
      <c r="BE678" s="387">
        <f t="shared" si="443"/>
        <v>0</v>
      </c>
      <c r="BF678" s="387">
        <f t="shared" si="444"/>
        <v>0</v>
      </c>
      <c r="BG678" s="387">
        <f t="shared" si="445"/>
        <v>0</v>
      </c>
      <c r="BH678" s="387">
        <f t="shared" si="446"/>
        <v>0</v>
      </c>
      <c r="BI678" s="387">
        <f t="shared" si="447"/>
        <v>0</v>
      </c>
      <c r="BJ678" s="387">
        <f t="shared" si="448"/>
        <v>0</v>
      </c>
      <c r="BK678" s="387">
        <f t="shared" si="449"/>
        <v>0</v>
      </c>
      <c r="BL678" s="387">
        <f t="shared" si="472"/>
        <v>0</v>
      </c>
      <c r="BM678" s="387">
        <f t="shared" si="473"/>
        <v>0</v>
      </c>
      <c r="BN678" s="387">
        <f t="shared" si="450"/>
        <v>0</v>
      </c>
      <c r="BO678" s="387">
        <f t="shared" si="451"/>
        <v>0</v>
      </c>
      <c r="BP678" s="387">
        <f t="shared" si="452"/>
        <v>0</v>
      </c>
      <c r="BQ678" s="387">
        <f t="shared" si="453"/>
        <v>0</v>
      </c>
      <c r="BR678" s="387">
        <f t="shared" si="454"/>
        <v>0</v>
      </c>
      <c r="BS678" s="387">
        <f t="shared" si="455"/>
        <v>0</v>
      </c>
      <c r="BT678" s="387">
        <f t="shared" si="456"/>
        <v>0</v>
      </c>
      <c r="BU678" s="387">
        <f t="shared" si="457"/>
        <v>0</v>
      </c>
      <c r="BV678" s="387">
        <f t="shared" si="458"/>
        <v>0</v>
      </c>
      <c r="BW678" s="387">
        <f t="shared" si="459"/>
        <v>0</v>
      </c>
      <c r="BX678" s="387">
        <f t="shared" si="474"/>
        <v>0</v>
      </c>
      <c r="BY678" s="387">
        <f t="shared" si="475"/>
        <v>0</v>
      </c>
      <c r="BZ678" s="387">
        <f t="shared" si="476"/>
        <v>0</v>
      </c>
      <c r="CA678" s="387">
        <f t="shared" si="477"/>
        <v>0</v>
      </c>
      <c r="CB678" s="387">
        <f t="shared" si="478"/>
        <v>0</v>
      </c>
      <c r="CC678" s="387">
        <f t="shared" si="460"/>
        <v>0</v>
      </c>
      <c r="CD678" s="387">
        <f t="shared" si="461"/>
        <v>0</v>
      </c>
      <c r="CE678" s="387">
        <f t="shared" si="462"/>
        <v>0</v>
      </c>
      <c r="CF678" s="387">
        <f t="shared" si="463"/>
        <v>0</v>
      </c>
      <c r="CG678" s="387">
        <f t="shared" si="464"/>
        <v>0</v>
      </c>
      <c r="CH678" s="387">
        <f t="shared" si="465"/>
        <v>0</v>
      </c>
      <c r="CI678" s="387">
        <f t="shared" si="466"/>
        <v>0</v>
      </c>
      <c r="CJ678" s="387">
        <f t="shared" si="479"/>
        <v>0</v>
      </c>
      <c r="CK678" s="387" t="str">
        <f t="shared" si="480"/>
        <v/>
      </c>
      <c r="CL678" s="387" t="str">
        <f t="shared" si="481"/>
        <v/>
      </c>
      <c r="CM678" s="387" t="str">
        <f t="shared" si="482"/>
        <v/>
      </c>
      <c r="CN678" s="387" t="str">
        <f t="shared" si="483"/>
        <v>0349-31</v>
      </c>
    </row>
    <row r="679" spans="1:92" ht="15.75" thickBot="1" x14ac:dyDescent="0.3">
      <c r="A679" s="376" t="s">
        <v>161</v>
      </c>
      <c r="B679" s="376" t="s">
        <v>162</v>
      </c>
      <c r="C679" s="376" t="s">
        <v>1536</v>
      </c>
      <c r="D679" s="376" t="s">
        <v>862</v>
      </c>
      <c r="E679" s="376" t="s">
        <v>669</v>
      </c>
      <c r="F679" s="382" t="s">
        <v>225</v>
      </c>
      <c r="G679" s="376" t="s">
        <v>781</v>
      </c>
      <c r="H679" s="378"/>
      <c r="I679" s="378"/>
      <c r="J679" s="376" t="s">
        <v>239</v>
      </c>
      <c r="K679" s="376" t="s">
        <v>863</v>
      </c>
      <c r="L679" s="376" t="s">
        <v>252</v>
      </c>
      <c r="M679" s="376" t="s">
        <v>171</v>
      </c>
      <c r="N679" s="376" t="s">
        <v>172</v>
      </c>
      <c r="O679" s="379">
        <v>1</v>
      </c>
      <c r="P679" s="385">
        <v>0</v>
      </c>
      <c r="Q679" s="385">
        <v>0</v>
      </c>
      <c r="R679" s="380">
        <v>80</v>
      </c>
      <c r="S679" s="385">
        <v>0</v>
      </c>
      <c r="T679" s="380">
        <v>105.86</v>
      </c>
      <c r="U679" s="380">
        <v>0</v>
      </c>
      <c r="V679" s="380">
        <v>51.86</v>
      </c>
      <c r="W679" s="380">
        <v>0</v>
      </c>
      <c r="X679" s="380">
        <v>0</v>
      </c>
      <c r="Y679" s="380">
        <v>0</v>
      </c>
      <c r="Z679" s="380">
        <v>0</v>
      </c>
      <c r="AA679" s="376" t="s">
        <v>1537</v>
      </c>
      <c r="AB679" s="376" t="s">
        <v>1538</v>
      </c>
      <c r="AC679" s="376" t="s">
        <v>1539</v>
      </c>
      <c r="AD679" s="376" t="s">
        <v>653</v>
      </c>
      <c r="AE679" s="376" t="s">
        <v>863</v>
      </c>
      <c r="AF679" s="376" t="s">
        <v>393</v>
      </c>
      <c r="AG679" s="376" t="s">
        <v>178</v>
      </c>
      <c r="AH679" s="381">
        <v>18.829999999999998</v>
      </c>
      <c r="AI679" s="381">
        <v>2777.4</v>
      </c>
      <c r="AJ679" s="376" t="s">
        <v>179</v>
      </c>
      <c r="AK679" s="376" t="s">
        <v>180</v>
      </c>
      <c r="AL679" s="376" t="s">
        <v>181</v>
      </c>
      <c r="AM679" s="376" t="s">
        <v>182</v>
      </c>
      <c r="AN679" s="376" t="s">
        <v>68</v>
      </c>
      <c r="AO679" s="379">
        <v>80</v>
      </c>
      <c r="AP679" s="385">
        <v>1</v>
      </c>
      <c r="AQ679" s="385">
        <v>0</v>
      </c>
      <c r="AR679" s="383" t="s">
        <v>183</v>
      </c>
      <c r="AS679" s="387">
        <f t="shared" si="467"/>
        <v>0</v>
      </c>
      <c r="AT679">
        <f t="shared" si="468"/>
        <v>0</v>
      </c>
      <c r="AU679" s="387" t="str">
        <f>IF(AT679=0,"",IF(AND(AT679=1,M679="F",SUMIF(C2:C1334,C679,AS2:AS1334)&lt;=1),SUMIF(C2:C1334,C679,AS2:AS1334),IF(AND(AT679=1,M679="F",SUMIF(C2:C1334,C679,AS2:AS1334)&gt;1),1,"")))</f>
        <v/>
      </c>
      <c r="AV679" s="387" t="str">
        <f>IF(AT679=0,"",IF(AND(AT679=3,M679="F",SUMIF(C2:C1334,C679,AS2:AS1334)&lt;=1),SUMIF(C2:C1334,C679,AS2:AS1334),IF(AND(AT679=3,M679="F",SUMIF(C2:C1334,C679,AS2:AS1334)&gt;1),1,"")))</f>
        <v/>
      </c>
      <c r="AW679" s="387">
        <f>SUMIF(C2:C1334,C679,O2:O1334)</f>
        <v>3</v>
      </c>
      <c r="AX679" s="387">
        <f>IF(AND(M679="F",AS679&lt;&gt;0),SUMIF(C2:C1334,C679,W2:W1334),0)</f>
        <v>0</v>
      </c>
      <c r="AY679" s="387" t="str">
        <f t="shared" si="469"/>
        <v/>
      </c>
      <c r="AZ679" s="387" t="str">
        <f t="shared" si="470"/>
        <v/>
      </c>
      <c r="BA679" s="387">
        <f t="shared" si="471"/>
        <v>0</v>
      </c>
      <c r="BB679" s="387">
        <f t="shared" si="440"/>
        <v>0</v>
      </c>
      <c r="BC679" s="387">
        <f t="shared" si="441"/>
        <v>0</v>
      </c>
      <c r="BD679" s="387">
        <f t="shared" si="442"/>
        <v>0</v>
      </c>
      <c r="BE679" s="387">
        <f t="shared" si="443"/>
        <v>0</v>
      </c>
      <c r="BF679" s="387">
        <f t="shared" si="444"/>
        <v>0</v>
      </c>
      <c r="BG679" s="387">
        <f t="shared" si="445"/>
        <v>0</v>
      </c>
      <c r="BH679" s="387">
        <f t="shared" si="446"/>
        <v>0</v>
      </c>
      <c r="BI679" s="387">
        <f t="shared" si="447"/>
        <v>0</v>
      </c>
      <c r="BJ679" s="387">
        <f t="shared" si="448"/>
        <v>0</v>
      </c>
      <c r="BK679" s="387">
        <f t="shared" si="449"/>
        <v>0</v>
      </c>
      <c r="BL679" s="387">
        <f t="shared" si="472"/>
        <v>0</v>
      </c>
      <c r="BM679" s="387">
        <f t="shared" si="473"/>
        <v>0</v>
      </c>
      <c r="BN679" s="387">
        <f t="shared" si="450"/>
        <v>0</v>
      </c>
      <c r="BO679" s="387">
        <f t="shared" si="451"/>
        <v>0</v>
      </c>
      <c r="BP679" s="387">
        <f t="shared" si="452"/>
        <v>0</v>
      </c>
      <c r="BQ679" s="387">
        <f t="shared" si="453"/>
        <v>0</v>
      </c>
      <c r="BR679" s="387">
        <f t="shared" si="454"/>
        <v>0</v>
      </c>
      <c r="BS679" s="387">
        <f t="shared" si="455"/>
        <v>0</v>
      </c>
      <c r="BT679" s="387">
        <f t="shared" si="456"/>
        <v>0</v>
      </c>
      <c r="BU679" s="387">
        <f t="shared" si="457"/>
        <v>0</v>
      </c>
      <c r="BV679" s="387">
        <f t="shared" si="458"/>
        <v>0</v>
      </c>
      <c r="BW679" s="387">
        <f t="shared" si="459"/>
        <v>0</v>
      </c>
      <c r="BX679" s="387">
        <f t="shared" si="474"/>
        <v>0</v>
      </c>
      <c r="BY679" s="387">
        <f t="shared" si="475"/>
        <v>0</v>
      </c>
      <c r="BZ679" s="387">
        <f t="shared" si="476"/>
        <v>0</v>
      </c>
      <c r="CA679" s="387">
        <f t="shared" si="477"/>
        <v>0</v>
      </c>
      <c r="CB679" s="387">
        <f t="shared" si="478"/>
        <v>0</v>
      </c>
      <c r="CC679" s="387">
        <f t="shared" si="460"/>
        <v>0</v>
      </c>
      <c r="CD679" s="387">
        <f t="shared" si="461"/>
        <v>0</v>
      </c>
      <c r="CE679" s="387">
        <f t="shared" si="462"/>
        <v>0</v>
      </c>
      <c r="CF679" s="387">
        <f t="shared" si="463"/>
        <v>0</v>
      </c>
      <c r="CG679" s="387">
        <f t="shared" si="464"/>
        <v>0</v>
      </c>
      <c r="CH679" s="387">
        <f t="shared" si="465"/>
        <v>0</v>
      </c>
      <c r="CI679" s="387">
        <f t="shared" si="466"/>
        <v>0</v>
      </c>
      <c r="CJ679" s="387">
        <f t="shared" si="479"/>
        <v>0</v>
      </c>
      <c r="CK679" s="387" t="str">
        <f t="shared" si="480"/>
        <v/>
      </c>
      <c r="CL679" s="387" t="str">
        <f t="shared" si="481"/>
        <v/>
      </c>
      <c r="CM679" s="387" t="str">
        <f t="shared" si="482"/>
        <v/>
      </c>
      <c r="CN679" s="387" t="str">
        <f t="shared" si="483"/>
        <v>0349-31</v>
      </c>
    </row>
    <row r="680" spans="1:92" ht="15.75" thickBot="1" x14ac:dyDescent="0.3">
      <c r="A680" s="376" t="s">
        <v>161</v>
      </c>
      <c r="B680" s="376" t="s">
        <v>162</v>
      </c>
      <c r="C680" s="376" t="s">
        <v>1386</v>
      </c>
      <c r="D680" s="376" t="s">
        <v>862</v>
      </c>
      <c r="E680" s="376" t="s">
        <v>669</v>
      </c>
      <c r="F680" s="382" t="s">
        <v>225</v>
      </c>
      <c r="G680" s="376" t="s">
        <v>781</v>
      </c>
      <c r="H680" s="378"/>
      <c r="I680" s="378"/>
      <c r="J680" s="376" t="s">
        <v>215</v>
      </c>
      <c r="K680" s="376" t="s">
        <v>863</v>
      </c>
      <c r="L680" s="376" t="s">
        <v>252</v>
      </c>
      <c r="M680" s="376" t="s">
        <v>171</v>
      </c>
      <c r="N680" s="376" t="s">
        <v>172</v>
      </c>
      <c r="O680" s="379">
        <v>1</v>
      </c>
      <c r="P680" s="385">
        <v>0</v>
      </c>
      <c r="Q680" s="385">
        <v>0</v>
      </c>
      <c r="R680" s="380">
        <v>80</v>
      </c>
      <c r="S680" s="385">
        <v>0</v>
      </c>
      <c r="T680" s="380">
        <v>93.71</v>
      </c>
      <c r="U680" s="380">
        <v>0</v>
      </c>
      <c r="V680" s="380">
        <v>50.88</v>
      </c>
      <c r="W680" s="380">
        <v>0</v>
      </c>
      <c r="X680" s="380">
        <v>0</v>
      </c>
      <c r="Y680" s="380">
        <v>0</v>
      </c>
      <c r="Z680" s="380">
        <v>0</v>
      </c>
      <c r="AA680" s="376" t="s">
        <v>1387</v>
      </c>
      <c r="AB680" s="376" t="s">
        <v>1388</v>
      </c>
      <c r="AC680" s="376" t="s">
        <v>738</v>
      </c>
      <c r="AD680" s="376" t="s">
        <v>176</v>
      </c>
      <c r="AE680" s="376" t="s">
        <v>863</v>
      </c>
      <c r="AF680" s="376" t="s">
        <v>393</v>
      </c>
      <c r="AG680" s="376" t="s">
        <v>178</v>
      </c>
      <c r="AH680" s="381">
        <v>17.7</v>
      </c>
      <c r="AI680" s="381">
        <v>329.2</v>
      </c>
      <c r="AJ680" s="376" t="s">
        <v>179</v>
      </c>
      <c r="AK680" s="376" t="s">
        <v>180</v>
      </c>
      <c r="AL680" s="376" t="s">
        <v>181</v>
      </c>
      <c r="AM680" s="376" t="s">
        <v>182</v>
      </c>
      <c r="AN680" s="376" t="s">
        <v>68</v>
      </c>
      <c r="AO680" s="379">
        <v>80</v>
      </c>
      <c r="AP680" s="385">
        <v>1</v>
      </c>
      <c r="AQ680" s="385">
        <v>0</v>
      </c>
      <c r="AR680" s="383" t="s">
        <v>183</v>
      </c>
      <c r="AS680" s="387">
        <f t="shared" si="467"/>
        <v>0</v>
      </c>
      <c r="AT680">
        <f t="shared" si="468"/>
        <v>0</v>
      </c>
      <c r="AU680" s="387" t="str">
        <f>IF(AT680=0,"",IF(AND(AT680=1,M680="F",SUMIF(C2:C1334,C680,AS2:AS1334)&lt;=1),SUMIF(C2:C1334,C680,AS2:AS1334),IF(AND(AT680=1,M680="F",SUMIF(C2:C1334,C680,AS2:AS1334)&gt;1),1,"")))</f>
        <v/>
      </c>
      <c r="AV680" s="387" t="str">
        <f>IF(AT680=0,"",IF(AND(AT680=3,M680="F",SUMIF(C2:C1334,C680,AS2:AS1334)&lt;=1),SUMIF(C2:C1334,C680,AS2:AS1334),IF(AND(AT680=3,M680="F",SUMIF(C2:C1334,C680,AS2:AS1334)&gt;1),1,"")))</f>
        <v/>
      </c>
      <c r="AW680" s="387">
        <f>SUMIF(C2:C1334,C680,O2:O1334)</f>
        <v>3</v>
      </c>
      <c r="AX680" s="387">
        <f>IF(AND(M680="F",AS680&lt;&gt;0),SUMIF(C2:C1334,C680,W2:W1334),0)</f>
        <v>0</v>
      </c>
      <c r="AY680" s="387" t="str">
        <f t="shared" si="469"/>
        <v/>
      </c>
      <c r="AZ680" s="387" t="str">
        <f t="shared" si="470"/>
        <v/>
      </c>
      <c r="BA680" s="387">
        <f t="shared" si="471"/>
        <v>0</v>
      </c>
      <c r="BB680" s="387">
        <f t="shared" si="440"/>
        <v>0</v>
      </c>
      <c r="BC680" s="387">
        <f t="shared" si="441"/>
        <v>0</v>
      </c>
      <c r="BD680" s="387">
        <f t="shared" si="442"/>
        <v>0</v>
      </c>
      <c r="BE680" s="387">
        <f t="shared" si="443"/>
        <v>0</v>
      </c>
      <c r="BF680" s="387">
        <f t="shared" si="444"/>
        <v>0</v>
      </c>
      <c r="BG680" s="387">
        <f t="shared" si="445"/>
        <v>0</v>
      </c>
      <c r="BH680" s="387">
        <f t="shared" si="446"/>
        <v>0</v>
      </c>
      <c r="BI680" s="387">
        <f t="shared" si="447"/>
        <v>0</v>
      </c>
      <c r="BJ680" s="387">
        <f t="shared" si="448"/>
        <v>0</v>
      </c>
      <c r="BK680" s="387">
        <f t="shared" si="449"/>
        <v>0</v>
      </c>
      <c r="BL680" s="387">
        <f t="shared" si="472"/>
        <v>0</v>
      </c>
      <c r="BM680" s="387">
        <f t="shared" si="473"/>
        <v>0</v>
      </c>
      <c r="BN680" s="387">
        <f t="shared" si="450"/>
        <v>0</v>
      </c>
      <c r="BO680" s="387">
        <f t="shared" si="451"/>
        <v>0</v>
      </c>
      <c r="BP680" s="387">
        <f t="shared" si="452"/>
        <v>0</v>
      </c>
      <c r="BQ680" s="387">
        <f t="shared" si="453"/>
        <v>0</v>
      </c>
      <c r="BR680" s="387">
        <f t="shared" si="454"/>
        <v>0</v>
      </c>
      <c r="BS680" s="387">
        <f t="shared" si="455"/>
        <v>0</v>
      </c>
      <c r="BT680" s="387">
        <f t="shared" si="456"/>
        <v>0</v>
      </c>
      <c r="BU680" s="387">
        <f t="shared" si="457"/>
        <v>0</v>
      </c>
      <c r="BV680" s="387">
        <f t="shared" si="458"/>
        <v>0</v>
      </c>
      <c r="BW680" s="387">
        <f t="shared" si="459"/>
        <v>0</v>
      </c>
      <c r="BX680" s="387">
        <f t="shared" si="474"/>
        <v>0</v>
      </c>
      <c r="BY680" s="387">
        <f t="shared" si="475"/>
        <v>0</v>
      </c>
      <c r="BZ680" s="387">
        <f t="shared" si="476"/>
        <v>0</v>
      </c>
      <c r="CA680" s="387">
        <f t="shared" si="477"/>
        <v>0</v>
      </c>
      <c r="CB680" s="387">
        <f t="shared" si="478"/>
        <v>0</v>
      </c>
      <c r="CC680" s="387">
        <f t="shared" si="460"/>
        <v>0</v>
      </c>
      <c r="CD680" s="387">
        <f t="shared" si="461"/>
        <v>0</v>
      </c>
      <c r="CE680" s="387">
        <f t="shared" si="462"/>
        <v>0</v>
      </c>
      <c r="CF680" s="387">
        <f t="shared" si="463"/>
        <v>0</v>
      </c>
      <c r="CG680" s="387">
        <f t="shared" si="464"/>
        <v>0</v>
      </c>
      <c r="CH680" s="387">
        <f t="shared" si="465"/>
        <v>0</v>
      </c>
      <c r="CI680" s="387">
        <f t="shared" si="466"/>
        <v>0</v>
      </c>
      <c r="CJ680" s="387">
        <f t="shared" si="479"/>
        <v>0</v>
      </c>
      <c r="CK680" s="387" t="str">
        <f t="shared" si="480"/>
        <v/>
      </c>
      <c r="CL680" s="387" t="str">
        <f t="shared" si="481"/>
        <v/>
      </c>
      <c r="CM680" s="387" t="str">
        <f t="shared" si="482"/>
        <v/>
      </c>
      <c r="CN680" s="387" t="str">
        <f t="shared" si="483"/>
        <v>0349-31</v>
      </c>
    </row>
    <row r="681" spans="1:92" ht="15.75" thickBot="1" x14ac:dyDescent="0.3">
      <c r="A681" s="376" t="s">
        <v>161</v>
      </c>
      <c r="B681" s="376" t="s">
        <v>162</v>
      </c>
      <c r="C681" s="376" t="s">
        <v>1412</v>
      </c>
      <c r="D681" s="376" t="s">
        <v>862</v>
      </c>
      <c r="E681" s="376" t="s">
        <v>669</v>
      </c>
      <c r="F681" s="382" t="s">
        <v>225</v>
      </c>
      <c r="G681" s="376" t="s">
        <v>781</v>
      </c>
      <c r="H681" s="378"/>
      <c r="I681" s="378"/>
      <c r="J681" s="376" t="s">
        <v>168</v>
      </c>
      <c r="K681" s="376" t="s">
        <v>863</v>
      </c>
      <c r="L681" s="376" t="s">
        <v>252</v>
      </c>
      <c r="M681" s="376" t="s">
        <v>171</v>
      </c>
      <c r="N681" s="376" t="s">
        <v>172</v>
      </c>
      <c r="O681" s="379">
        <v>1</v>
      </c>
      <c r="P681" s="385">
        <v>0</v>
      </c>
      <c r="Q681" s="385">
        <v>0</v>
      </c>
      <c r="R681" s="380">
        <v>80</v>
      </c>
      <c r="S681" s="385">
        <v>0</v>
      </c>
      <c r="T681" s="380">
        <v>19.989999999999998</v>
      </c>
      <c r="U681" s="380">
        <v>0</v>
      </c>
      <c r="V681" s="380">
        <v>10.38</v>
      </c>
      <c r="W681" s="380">
        <v>0</v>
      </c>
      <c r="X681" s="380">
        <v>0</v>
      </c>
      <c r="Y681" s="380">
        <v>0</v>
      </c>
      <c r="Z681" s="380">
        <v>0</v>
      </c>
      <c r="AA681" s="376" t="s">
        <v>1413</v>
      </c>
      <c r="AB681" s="376" t="s">
        <v>1414</v>
      </c>
      <c r="AC681" s="376" t="s">
        <v>1415</v>
      </c>
      <c r="AD681" s="376" t="s">
        <v>686</v>
      </c>
      <c r="AE681" s="376" t="s">
        <v>863</v>
      </c>
      <c r="AF681" s="376" t="s">
        <v>393</v>
      </c>
      <c r="AG681" s="376" t="s">
        <v>178</v>
      </c>
      <c r="AH681" s="381">
        <v>23.43</v>
      </c>
      <c r="AI681" s="381">
        <v>32862.1</v>
      </c>
      <c r="AJ681" s="376" t="s">
        <v>179</v>
      </c>
      <c r="AK681" s="376" t="s">
        <v>180</v>
      </c>
      <c r="AL681" s="376" t="s">
        <v>181</v>
      </c>
      <c r="AM681" s="376" t="s">
        <v>182</v>
      </c>
      <c r="AN681" s="376" t="s">
        <v>68</v>
      </c>
      <c r="AO681" s="379">
        <v>80</v>
      </c>
      <c r="AP681" s="385">
        <v>1</v>
      </c>
      <c r="AQ681" s="385">
        <v>0</v>
      </c>
      <c r="AR681" s="383" t="s">
        <v>183</v>
      </c>
      <c r="AS681" s="387">
        <f t="shared" si="467"/>
        <v>0</v>
      </c>
      <c r="AT681">
        <f t="shared" si="468"/>
        <v>0</v>
      </c>
      <c r="AU681" s="387" t="str">
        <f>IF(AT681=0,"",IF(AND(AT681=1,M681="F",SUMIF(C2:C1334,C681,AS2:AS1334)&lt;=1),SUMIF(C2:C1334,C681,AS2:AS1334),IF(AND(AT681=1,M681="F",SUMIF(C2:C1334,C681,AS2:AS1334)&gt;1),1,"")))</f>
        <v/>
      </c>
      <c r="AV681" s="387" t="str">
        <f>IF(AT681=0,"",IF(AND(AT681=3,M681="F",SUMIF(C2:C1334,C681,AS2:AS1334)&lt;=1),SUMIF(C2:C1334,C681,AS2:AS1334),IF(AND(AT681=3,M681="F",SUMIF(C2:C1334,C681,AS2:AS1334)&gt;1),1,"")))</f>
        <v/>
      </c>
      <c r="AW681" s="387">
        <f>SUMIF(C2:C1334,C681,O2:O1334)</f>
        <v>3</v>
      </c>
      <c r="AX681" s="387">
        <f>IF(AND(M681="F",AS681&lt;&gt;0),SUMIF(C2:C1334,C681,W2:W1334),0)</f>
        <v>0</v>
      </c>
      <c r="AY681" s="387" t="str">
        <f t="shared" si="469"/>
        <v/>
      </c>
      <c r="AZ681" s="387" t="str">
        <f t="shared" si="470"/>
        <v/>
      </c>
      <c r="BA681" s="387">
        <f t="shared" si="471"/>
        <v>0</v>
      </c>
      <c r="BB681" s="387">
        <f t="shared" si="440"/>
        <v>0</v>
      </c>
      <c r="BC681" s="387">
        <f t="shared" si="441"/>
        <v>0</v>
      </c>
      <c r="BD681" s="387">
        <f t="shared" si="442"/>
        <v>0</v>
      </c>
      <c r="BE681" s="387">
        <f t="shared" si="443"/>
        <v>0</v>
      </c>
      <c r="BF681" s="387">
        <f t="shared" si="444"/>
        <v>0</v>
      </c>
      <c r="BG681" s="387">
        <f t="shared" si="445"/>
        <v>0</v>
      </c>
      <c r="BH681" s="387">
        <f t="shared" si="446"/>
        <v>0</v>
      </c>
      <c r="BI681" s="387">
        <f t="shared" si="447"/>
        <v>0</v>
      </c>
      <c r="BJ681" s="387">
        <f t="shared" si="448"/>
        <v>0</v>
      </c>
      <c r="BK681" s="387">
        <f t="shared" si="449"/>
        <v>0</v>
      </c>
      <c r="BL681" s="387">
        <f t="shared" si="472"/>
        <v>0</v>
      </c>
      <c r="BM681" s="387">
        <f t="shared" si="473"/>
        <v>0</v>
      </c>
      <c r="BN681" s="387">
        <f t="shared" si="450"/>
        <v>0</v>
      </c>
      <c r="BO681" s="387">
        <f t="shared" si="451"/>
        <v>0</v>
      </c>
      <c r="BP681" s="387">
        <f t="shared" si="452"/>
        <v>0</v>
      </c>
      <c r="BQ681" s="387">
        <f t="shared" si="453"/>
        <v>0</v>
      </c>
      <c r="BR681" s="387">
        <f t="shared" si="454"/>
        <v>0</v>
      </c>
      <c r="BS681" s="387">
        <f t="shared" si="455"/>
        <v>0</v>
      </c>
      <c r="BT681" s="387">
        <f t="shared" si="456"/>
        <v>0</v>
      </c>
      <c r="BU681" s="387">
        <f t="shared" si="457"/>
        <v>0</v>
      </c>
      <c r="BV681" s="387">
        <f t="shared" si="458"/>
        <v>0</v>
      </c>
      <c r="BW681" s="387">
        <f t="shared" si="459"/>
        <v>0</v>
      </c>
      <c r="BX681" s="387">
        <f t="shared" si="474"/>
        <v>0</v>
      </c>
      <c r="BY681" s="387">
        <f t="shared" si="475"/>
        <v>0</v>
      </c>
      <c r="BZ681" s="387">
        <f t="shared" si="476"/>
        <v>0</v>
      </c>
      <c r="CA681" s="387">
        <f t="shared" si="477"/>
        <v>0</v>
      </c>
      <c r="CB681" s="387">
        <f t="shared" si="478"/>
        <v>0</v>
      </c>
      <c r="CC681" s="387">
        <f t="shared" si="460"/>
        <v>0</v>
      </c>
      <c r="CD681" s="387">
        <f t="shared" si="461"/>
        <v>0</v>
      </c>
      <c r="CE681" s="387">
        <f t="shared" si="462"/>
        <v>0</v>
      </c>
      <c r="CF681" s="387">
        <f t="shared" si="463"/>
        <v>0</v>
      </c>
      <c r="CG681" s="387">
        <f t="shared" si="464"/>
        <v>0</v>
      </c>
      <c r="CH681" s="387">
        <f t="shared" si="465"/>
        <v>0</v>
      </c>
      <c r="CI681" s="387">
        <f t="shared" si="466"/>
        <v>0</v>
      </c>
      <c r="CJ681" s="387">
        <f t="shared" si="479"/>
        <v>0</v>
      </c>
      <c r="CK681" s="387" t="str">
        <f t="shared" si="480"/>
        <v/>
      </c>
      <c r="CL681" s="387" t="str">
        <f t="shared" si="481"/>
        <v/>
      </c>
      <c r="CM681" s="387" t="str">
        <f t="shared" si="482"/>
        <v/>
      </c>
      <c r="CN681" s="387" t="str">
        <f t="shared" si="483"/>
        <v>0349-31</v>
      </c>
    </row>
    <row r="682" spans="1:92" ht="15.75" thickBot="1" x14ac:dyDescent="0.3">
      <c r="A682" s="376" t="s">
        <v>161</v>
      </c>
      <c r="B682" s="376" t="s">
        <v>162</v>
      </c>
      <c r="C682" s="376" t="s">
        <v>1868</v>
      </c>
      <c r="D682" s="376" t="s">
        <v>862</v>
      </c>
      <c r="E682" s="376" t="s">
        <v>669</v>
      </c>
      <c r="F682" s="382" t="s">
        <v>225</v>
      </c>
      <c r="G682" s="376" t="s">
        <v>781</v>
      </c>
      <c r="H682" s="378"/>
      <c r="I682" s="378"/>
      <c r="J682" s="376" t="s">
        <v>239</v>
      </c>
      <c r="K682" s="376" t="s">
        <v>863</v>
      </c>
      <c r="L682" s="376" t="s">
        <v>252</v>
      </c>
      <c r="M682" s="376" t="s">
        <v>171</v>
      </c>
      <c r="N682" s="376" t="s">
        <v>172</v>
      </c>
      <c r="O682" s="379">
        <v>1</v>
      </c>
      <c r="P682" s="385">
        <v>0</v>
      </c>
      <c r="Q682" s="385">
        <v>0</v>
      </c>
      <c r="R682" s="380">
        <v>80</v>
      </c>
      <c r="S682" s="385">
        <v>0</v>
      </c>
      <c r="T682" s="380">
        <v>67.680000000000007</v>
      </c>
      <c r="U682" s="380">
        <v>0</v>
      </c>
      <c r="V682" s="380">
        <v>26.94</v>
      </c>
      <c r="W682" s="380">
        <v>0</v>
      </c>
      <c r="X682" s="380">
        <v>0</v>
      </c>
      <c r="Y682" s="380">
        <v>0</v>
      </c>
      <c r="Z682" s="380">
        <v>0</v>
      </c>
      <c r="AA682" s="376" t="s">
        <v>1869</v>
      </c>
      <c r="AB682" s="376" t="s">
        <v>1870</v>
      </c>
      <c r="AC682" s="376" t="s">
        <v>1007</v>
      </c>
      <c r="AD682" s="376" t="s">
        <v>566</v>
      </c>
      <c r="AE682" s="376" t="s">
        <v>863</v>
      </c>
      <c r="AF682" s="376" t="s">
        <v>393</v>
      </c>
      <c r="AG682" s="376" t="s">
        <v>178</v>
      </c>
      <c r="AH682" s="381">
        <v>18.89</v>
      </c>
      <c r="AI682" s="381">
        <v>15543.8</v>
      </c>
      <c r="AJ682" s="376" t="s">
        <v>179</v>
      </c>
      <c r="AK682" s="376" t="s">
        <v>180</v>
      </c>
      <c r="AL682" s="376" t="s">
        <v>181</v>
      </c>
      <c r="AM682" s="376" t="s">
        <v>182</v>
      </c>
      <c r="AN682" s="376" t="s">
        <v>68</v>
      </c>
      <c r="AO682" s="379">
        <v>80</v>
      </c>
      <c r="AP682" s="385">
        <v>1</v>
      </c>
      <c r="AQ682" s="385">
        <v>0</v>
      </c>
      <c r="AR682" s="383" t="s">
        <v>183</v>
      </c>
      <c r="AS682" s="387">
        <f t="shared" si="467"/>
        <v>0</v>
      </c>
      <c r="AT682">
        <f t="shared" si="468"/>
        <v>0</v>
      </c>
      <c r="AU682" s="387" t="str">
        <f>IF(AT682=0,"",IF(AND(AT682=1,M682="F",SUMIF(C2:C1334,C682,AS2:AS1334)&lt;=1),SUMIF(C2:C1334,C682,AS2:AS1334),IF(AND(AT682=1,M682="F",SUMIF(C2:C1334,C682,AS2:AS1334)&gt;1),1,"")))</f>
        <v/>
      </c>
      <c r="AV682" s="387" t="str">
        <f>IF(AT682=0,"",IF(AND(AT682=3,M682="F",SUMIF(C2:C1334,C682,AS2:AS1334)&lt;=1),SUMIF(C2:C1334,C682,AS2:AS1334),IF(AND(AT682=3,M682="F",SUMIF(C2:C1334,C682,AS2:AS1334)&gt;1),1,"")))</f>
        <v/>
      </c>
      <c r="AW682" s="387">
        <f>SUMIF(C2:C1334,C682,O2:O1334)</f>
        <v>3</v>
      </c>
      <c r="AX682" s="387">
        <f>IF(AND(M682="F",AS682&lt;&gt;0),SUMIF(C2:C1334,C682,W2:W1334),0)</f>
        <v>0</v>
      </c>
      <c r="AY682" s="387" t="str">
        <f t="shared" si="469"/>
        <v/>
      </c>
      <c r="AZ682" s="387" t="str">
        <f t="shared" si="470"/>
        <v/>
      </c>
      <c r="BA682" s="387">
        <f t="shared" si="471"/>
        <v>0</v>
      </c>
      <c r="BB682" s="387">
        <f t="shared" si="440"/>
        <v>0</v>
      </c>
      <c r="BC682" s="387">
        <f t="shared" si="441"/>
        <v>0</v>
      </c>
      <c r="BD682" s="387">
        <f t="shared" si="442"/>
        <v>0</v>
      </c>
      <c r="BE682" s="387">
        <f t="shared" si="443"/>
        <v>0</v>
      </c>
      <c r="BF682" s="387">
        <f t="shared" si="444"/>
        <v>0</v>
      </c>
      <c r="BG682" s="387">
        <f t="shared" si="445"/>
        <v>0</v>
      </c>
      <c r="BH682" s="387">
        <f t="shared" si="446"/>
        <v>0</v>
      </c>
      <c r="BI682" s="387">
        <f t="shared" si="447"/>
        <v>0</v>
      </c>
      <c r="BJ682" s="387">
        <f t="shared" si="448"/>
        <v>0</v>
      </c>
      <c r="BK682" s="387">
        <f t="shared" si="449"/>
        <v>0</v>
      </c>
      <c r="BL682" s="387">
        <f t="shared" si="472"/>
        <v>0</v>
      </c>
      <c r="BM682" s="387">
        <f t="shared" si="473"/>
        <v>0</v>
      </c>
      <c r="BN682" s="387">
        <f t="shared" si="450"/>
        <v>0</v>
      </c>
      <c r="BO682" s="387">
        <f t="shared" si="451"/>
        <v>0</v>
      </c>
      <c r="BP682" s="387">
        <f t="shared" si="452"/>
        <v>0</v>
      </c>
      <c r="BQ682" s="387">
        <f t="shared" si="453"/>
        <v>0</v>
      </c>
      <c r="BR682" s="387">
        <f t="shared" si="454"/>
        <v>0</v>
      </c>
      <c r="BS682" s="387">
        <f t="shared" si="455"/>
        <v>0</v>
      </c>
      <c r="BT682" s="387">
        <f t="shared" si="456"/>
        <v>0</v>
      </c>
      <c r="BU682" s="387">
        <f t="shared" si="457"/>
        <v>0</v>
      </c>
      <c r="BV682" s="387">
        <f t="shared" si="458"/>
        <v>0</v>
      </c>
      <c r="BW682" s="387">
        <f t="shared" si="459"/>
        <v>0</v>
      </c>
      <c r="BX682" s="387">
        <f t="shared" si="474"/>
        <v>0</v>
      </c>
      <c r="BY682" s="387">
        <f t="shared" si="475"/>
        <v>0</v>
      </c>
      <c r="BZ682" s="387">
        <f t="shared" si="476"/>
        <v>0</v>
      </c>
      <c r="CA682" s="387">
        <f t="shared" si="477"/>
        <v>0</v>
      </c>
      <c r="CB682" s="387">
        <f t="shared" si="478"/>
        <v>0</v>
      </c>
      <c r="CC682" s="387">
        <f t="shared" si="460"/>
        <v>0</v>
      </c>
      <c r="CD682" s="387">
        <f t="shared" si="461"/>
        <v>0</v>
      </c>
      <c r="CE682" s="387">
        <f t="shared" si="462"/>
        <v>0</v>
      </c>
      <c r="CF682" s="387">
        <f t="shared" si="463"/>
        <v>0</v>
      </c>
      <c r="CG682" s="387">
        <f t="shared" si="464"/>
        <v>0</v>
      </c>
      <c r="CH682" s="387">
        <f t="shared" si="465"/>
        <v>0</v>
      </c>
      <c r="CI682" s="387">
        <f t="shared" si="466"/>
        <v>0</v>
      </c>
      <c r="CJ682" s="387">
        <f t="shared" si="479"/>
        <v>0</v>
      </c>
      <c r="CK682" s="387" t="str">
        <f t="shared" si="480"/>
        <v/>
      </c>
      <c r="CL682" s="387" t="str">
        <f t="shared" si="481"/>
        <v/>
      </c>
      <c r="CM682" s="387" t="str">
        <f t="shared" si="482"/>
        <v/>
      </c>
      <c r="CN682" s="387" t="str">
        <f t="shared" si="483"/>
        <v>0349-31</v>
      </c>
    </row>
    <row r="683" spans="1:92" ht="15.75" thickBot="1" x14ac:dyDescent="0.3">
      <c r="A683" s="376" t="s">
        <v>161</v>
      </c>
      <c r="B683" s="376" t="s">
        <v>162</v>
      </c>
      <c r="C683" s="376" t="s">
        <v>1611</v>
      </c>
      <c r="D683" s="376" t="s">
        <v>375</v>
      </c>
      <c r="E683" s="376" t="s">
        <v>669</v>
      </c>
      <c r="F683" s="382" t="s">
        <v>225</v>
      </c>
      <c r="G683" s="376" t="s">
        <v>781</v>
      </c>
      <c r="H683" s="378"/>
      <c r="I683" s="378"/>
      <c r="J683" s="376" t="s">
        <v>239</v>
      </c>
      <c r="K683" s="376" t="s">
        <v>376</v>
      </c>
      <c r="L683" s="376" t="s">
        <v>178</v>
      </c>
      <c r="M683" s="376" t="s">
        <v>171</v>
      </c>
      <c r="N683" s="376" t="s">
        <v>172</v>
      </c>
      <c r="O683" s="379">
        <v>1</v>
      </c>
      <c r="P683" s="385">
        <v>0</v>
      </c>
      <c r="Q683" s="385">
        <v>0</v>
      </c>
      <c r="R683" s="380">
        <v>80</v>
      </c>
      <c r="S683" s="385">
        <v>0</v>
      </c>
      <c r="T683" s="380">
        <v>17108.009999999998</v>
      </c>
      <c r="U683" s="380">
        <v>0</v>
      </c>
      <c r="V683" s="380">
        <v>10234.26</v>
      </c>
      <c r="W683" s="380">
        <v>0</v>
      </c>
      <c r="X683" s="380">
        <v>0</v>
      </c>
      <c r="Y683" s="380">
        <v>0</v>
      </c>
      <c r="Z683" s="380">
        <v>0</v>
      </c>
      <c r="AA683" s="376" t="s">
        <v>1612</v>
      </c>
      <c r="AB683" s="376" t="s">
        <v>1613</v>
      </c>
      <c r="AC683" s="376" t="s">
        <v>451</v>
      </c>
      <c r="AD683" s="376" t="s">
        <v>324</v>
      </c>
      <c r="AE683" s="376" t="s">
        <v>376</v>
      </c>
      <c r="AF683" s="376" t="s">
        <v>253</v>
      </c>
      <c r="AG683" s="376" t="s">
        <v>178</v>
      </c>
      <c r="AH683" s="381">
        <v>14.82</v>
      </c>
      <c r="AI683" s="379">
        <v>10828</v>
      </c>
      <c r="AJ683" s="376" t="s">
        <v>179</v>
      </c>
      <c r="AK683" s="376" t="s">
        <v>180</v>
      </c>
      <c r="AL683" s="376" t="s">
        <v>181</v>
      </c>
      <c r="AM683" s="376" t="s">
        <v>182</v>
      </c>
      <c r="AN683" s="376" t="s">
        <v>68</v>
      </c>
      <c r="AO683" s="379">
        <v>80</v>
      </c>
      <c r="AP683" s="385">
        <v>1</v>
      </c>
      <c r="AQ683" s="385">
        <v>0</v>
      </c>
      <c r="AR683" s="383" t="s">
        <v>183</v>
      </c>
      <c r="AS683" s="387">
        <f t="shared" si="467"/>
        <v>0</v>
      </c>
      <c r="AT683">
        <f t="shared" si="468"/>
        <v>0</v>
      </c>
      <c r="AU683" s="387" t="str">
        <f>IF(AT683=0,"",IF(AND(AT683=1,M683="F",SUMIF(C2:C1334,C683,AS2:AS1334)&lt;=1),SUMIF(C2:C1334,C683,AS2:AS1334),IF(AND(AT683=1,M683="F",SUMIF(C2:C1334,C683,AS2:AS1334)&gt;1),1,"")))</f>
        <v/>
      </c>
      <c r="AV683" s="387" t="str">
        <f>IF(AT683=0,"",IF(AND(AT683=3,M683="F",SUMIF(C2:C1334,C683,AS2:AS1334)&lt;=1),SUMIF(C2:C1334,C683,AS2:AS1334),IF(AND(AT683=3,M683="F",SUMIF(C2:C1334,C683,AS2:AS1334)&gt;1),1,"")))</f>
        <v/>
      </c>
      <c r="AW683" s="387">
        <f>SUMIF(C2:C1334,C683,O2:O1334)</f>
        <v>4</v>
      </c>
      <c r="AX683" s="387">
        <f>IF(AND(M683="F",AS683&lt;&gt;0),SUMIF(C2:C1334,C683,W2:W1334),0)</f>
        <v>0</v>
      </c>
      <c r="AY683" s="387" t="str">
        <f t="shared" si="469"/>
        <v/>
      </c>
      <c r="AZ683" s="387" t="str">
        <f t="shared" si="470"/>
        <v/>
      </c>
      <c r="BA683" s="387">
        <f t="shared" si="471"/>
        <v>0</v>
      </c>
      <c r="BB683" s="387">
        <f t="shared" si="440"/>
        <v>0</v>
      </c>
      <c r="BC683" s="387">
        <f t="shared" si="441"/>
        <v>0</v>
      </c>
      <c r="BD683" s="387">
        <f t="shared" si="442"/>
        <v>0</v>
      </c>
      <c r="BE683" s="387">
        <f t="shared" si="443"/>
        <v>0</v>
      </c>
      <c r="BF683" s="387">
        <f t="shared" si="444"/>
        <v>0</v>
      </c>
      <c r="BG683" s="387">
        <f t="shared" si="445"/>
        <v>0</v>
      </c>
      <c r="BH683" s="387">
        <f t="shared" si="446"/>
        <v>0</v>
      </c>
      <c r="BI683" s="387">
        <f t="shared" si="447"/>
        <v>0</v>
      </c>
      <c r="BJ683" s="387">
        <f t="shared" si="448"/>
        <v>0</v>
      </c>
      <c r="BK683" s="387">
        <f t="shared" si="449"/>
        <v>0</v>
      </c>
      <c r="BL683" s="387">
        <f t="shared" si="472"/>
        <v>0</v>
      </c>
      <c r="BM683" s="387">
        <f t="shared" si="473"/>
        <v>0</v>
      </c>
      <c r="BN683" s="387">
        <f t="shared" si="450"/>
        <v>0</v>
      </c>
      <c r="BO683" s="387">
        <f t="shared" si="451"/>
        <v>0</v>
      </c>
      <c r="BP683" s="387">
        <f t="shared" si="452"/>
        <v>0</v>
      </c>
      <c r="BQ683" s="387">
        <f t="shared" si="453"/>
        <v>0</v>
      </c>
      <c r="BR683" s="387">
        <f t="shared" si="454"/>
        <v>0</v>
      </c>
      <c r="BS683" s="387">
        <f t="shared" si="455"/>
        <v>0</v>
      </c>
      <c r="BT683" s="387">
        <f t="shared" si="456"/>
        <v>0</v>
      </c>
      <c r="BU683" s="387">
        <f t="shared" si="457"/>
        <v>0</v>
      </c>
      <c r="BV683" s="387">
        <f t="shared" si="458"/>
        <v>0</v>
      </c>
      <c r="BW683" s="387">
        <f t="shared" si="459"/>
        <v>0</v>
      </c>
      <c r="BX683" s="387">
        <f t="shared" si="474"/>
        <v>0</v>
      </c>
      <c r="BY683" s="387">
        <f t="shared" si="475"/>
        <v>0</v>
      </c>
      <c r="BZ683" s="387">
        <f t="shared" si="476"/>
        <v>0</v>
      </c>
      <c r="CA683" s="387">
        <f t="shared" si="477"/>
        <v>0</v>
      </c>
      <c r="CB683" s="387">
        <f t="shared" si="478"/>
        <v>0</v>
      </c>
      <c r="CC683" s="387">
        <f t="shared" si="460"/>
        <v>0</v>
      </c>
      <c r="CD683" s="387">
        <f t="shared" si="461"/>
        <v>0</v>
      </c>
      <c r="CE683" s="387">
        <f t="shared" si="462"/>
        <v>0</v>
      </c>
      <c r="CF683" s="387">
        <f t="shared" si="463"/>
        <v>0</v>
      </c>
      <c r="CG683" s="387">
        <f t="shared" si="464"/>
        <v>0</v>
      </c>
      <c r="CH683" s="387">
        <f t="shared" si="465"/>
        <v>0</v>
      </c>
      <c r="CI683" s="387">
        <f t="shared" si="466"/>
        <v>0</v>
      </c>
      <c r="CJ683" s="387">
        <f t="shared" si="479"/>
        <v>0</v>
      </c>
      <c r="CK683" s="387" t="str">
        <f t="shared" si="480"/>
        <v/>
      </c>
      <c r="CL683" s="387" t="str">
        <f t="shared" si="481"/>
        <v/>
      </c>
      <c r="CM683" s="387" t="str">
        <f t="shared" si="482"/>
        <v/>
      </c>
      <c r="CN683" s="387" t="str">
        <f t="shared" si="483"/>
        <v>0349-31</v>
      </c>
    </row>
    <row r="684" spans="1:92" ht="15.75" thickBot="1" x14ac:dyDescent="0.3">
      <c r="A684" s="376" t="s">
        <v>161</v>
      </c>
      <c r="B684" s="376" t="s">
        <v>162</v>
      </c>
      <c r="C684" s="376" t="s">
        <v>1416</v>
      </c>
      <c r="D684" s="376" t="s">
        <v>862</v>
      </c>
      <c r="E684" s="376" t="s">
        <v>669</v>
      </c>
      <c r="F684" s="382" t="s">
        <v>225</v>
      </c>
      <c r="G684" s="376" t="s">
        <v>781</v>
      </c>
      <c r="H684" s="378"/>
      <c r="I684" s="378"/>
      <c r="J684" s="376" t="s">
        <v>239</v>
      </c>
      <c r="K684" s="376" t="s">
        <v>863</v>
      </c>
      <c r="L684" s="376" t="s">
        <v>252</v>
      </c>
      <c r="M684" s="376" t="s">
        <v>171</v>
      </c>
      <c r="N684" s="376" t="s">
        <v>172</v>
      </c>
      <c r="O684" s="379">
        <v>1</v>
      </c>
      <c r="P684" s="385">
        <v>0</v>
      </c>
      <c r="Q684" s="385">
        <v>0</v>
      </c>
      <c r="R684" s="380">
        <v>80</v>
      </c>
      <c r="S684" s="385">
        <v>0</v>
      </c>
      <c r="T684" s="380">
        <v>75.959999999999994</v>
      </c>
      <c r="U684" s="380">
        <v>0</v>
      </c>
      <c r="V684" s="380">
        <v>27.7</v>
      </c>
      <c r="W684" s="380">
        <v>0</v>
      </c>
      <c r="X684" s="380">
        <v>0</v>
      </c>
      <c r="Y684" s="380">
        <v>0</v>
      </c>
      <c r="Z684" s="380">
        <v>0</v>
      </c>
      <c r="AA684" s="376" t="s">
        <v>1417</v>
      </c>
      <c r="AB684" s="376" t="s">
        <v>1418</v>
      </c>
      <c r="AC684" s="376" t="s">
        <v>1419</v>
      </c>
      <c r="AD684" s="376" t="s">
        <v>210</v>
      </c>
      <c r="AE684" s="376" t="s">
        <v>863</v>
      </c>
      <c r="AF684" s="376" t="s">
        <v>393</v>
      </c>
      <c r="AG684" s="376" t="s">
        <v>178</v>
      </c>
      <c r="AH684" s="381">
        <v>24.41</v>
      </c>
      <c r="AI684" s="379">
        <v>38067</v>
      </c>
      <c r="AJ684" s="376" t="s">
        <v>179</v>
      </c>
      <c r="AK684" s="376" t="s">
        <v>180</v>
      </c>
      <c r="AL684" s="376" t="s">
        <v>181</v>
      </c>
      <c r="AM684" s="376" t="s">
        <v>182</v>
      </c>
      <c r="AN684" s="376" t="s">
        <v>68</v>
      </c>
      <c r="AO684" s="379">
        <v>80</v>
      </c>
      <c r="AP684" s="385">
        <v>1</v>
      </c>
      <c r="AQ684" s="385">
        <v>0</v>
      </c>
      <c r="AR684" s="383" t="s">
        <v>183</v>
      </c>
      <c r="AS684" s="387">
        <f t="shared" si="467"/>
        <v>0</v>
      </c>
      <c r="AT684">
        <f t="shared" si="468"/>
        <v>0</v>
      </c>
      <c r="AU684" s="387" t="str">
        <f>IF(AT684=0,"",IF(AND(AT684=1,M684="F",SUMIF(C2:C1334,C684,AS2:AS1334)&lt;=1),SUMIF(C2:C1334,C684,AS2:AS1334),IF(AND(AT684=1,M684="F",SUMIF(C2:C1334,C684,AS2:AS1334)&gt;1),1,"")))</f>
        <v/>
      </c>
      <c r="AV684" s="387" t="str">
        <f>IF(AT684=0,"",IF(AND(AT684=3,M684="F",SUMIF(C2:C1334,C684,AS2:AS1334)&lt;=1),SUMIF(C2:C1334,C684,AS2:AS1334),IF(AND(AT684=3,M684="F",SUMIF(C2:C1334,C684,AS2:AS1334)&gt;1),1,"")))</f>
        <v/>
      </c>
      <c r="AW684" s="387">
        <f>SUMIF(C2:C1334,C684,O2:O1334)</f>
        <v>3</v>
      </c>
      <c r="AX684" s="387">
        <f>IF(AND(M684="F",AS684&lt;&gt;0),SUMIF(C2:C1334,C684,W2:W1334),0)</f>
        <v>0</v>
      </c>
      <c r="AY684" s="387" t="str">
        <f t="shared" si="469"/>
        <v/>
      </c>
      <c r="AZ684" s="387" t="str">
        <f t="shared" si="470"/>
        <v/>
      </c>
      <c r="BA684" s="387">
        <f t="shared" si="471"/>
        <v>0</v>
      </c>
      <c r="BB684" s="387">
        <f t="shared" si="440"/>
        <v>0</v>
      </c>
      <c r="BC684" s="387">
        <f t="shared" si="441"/>
        <v>0</v>
      </c>
      <c r="BD684" s="387">
        <f t="shared" si="442"/>
        <v>0</v>
      </c>
      <c r="BE684" s="387">
        <f t="shared" si="443"/>
        <v>0</v>
      </c>
      <c r="BF684" s="387">
        <f t="shared" si="444"/>
        <v>0</v>
      </c>
      <c r="BG684" s="387">
        <f t="shared" si="445"/>
        <v>0</v>
      </c>
      <c r="BH684" s="387">
        <f t="shared" si="446"/>
        <v>0</v>
      </c>
      <c r="BI684" s="387">
        <f t="shared" si="447"/>
        <v>0</v>
      </c>
      <c r="BJ684" s="387">
        <f t="shared" si="448"/>
        <v>0</v>
      </c>
      <c r="BK684" s="387">
        <f t="shared" si="449"/>
        <v>0</v>
      </c>
      <c r="BL684" s="387">
        <f t="shared" si="472"/>
        <v>0</v>
      </c>
      <c r="BM684" s="387">
        <f t="shared" si="473"/>
        <v>0</v>
      </c>
      <c r="BN684" s="387">
        <f t="shared" si="450"/>
        <v>0</v>
      </c>
      <c r="BO684" s="387">
        <f t="shared" si="451"/>
        <v>0</v>
      </c>
      <c r="BP684" s="387">
        <f t="shared" si="452"/>
        <v>0</v>
      </c>
      <c r="BQ684" s="387">
        <f t="shared" si="453"/>
        <v>0</v>
      </c>
      <c r="BR684" s="387">
        <f t="shared" si="454"/>
        <v>0</v>
      </c>
      <c r="BS684" s="387">
        <f t="shared" si="455"/>
        <v>0</v>
      </c>
      <c r="BT684" s="387">
        <f t="shared" si="456"/>
        <v>0</v>
      </c>
      <c r="BU684" s="387">
        <f t="shared" si="457"/>
        <v>0</v>
      </c>
      <c r="BV684" s="387">
        <f t="shared" si="458"/>
        <v>0</v>
      </c>
      <c r="BW684" s="387">
        <f t="shared" si="459"/>
        <v>0</v>
      </c>
      <c r="BX684" s="387">
        <f t="shared" si="474"/>
        <v>0</v>
      </c>
      <c r="BY684" s="387">
        <f t="shared" si="475"/>
        <v>0</v>
      </c>
      <c r="BZ684" s="387">
        <f t="shared" si="476"/>
        <v>0</v>
      </c>
      <c r="CA684" s="387">
        <f t="shared" si="477"/>
        <v>0</v>
      </c>
      <c r="CB684" s="387">
        <f t="shared" si="478"/>
        <v>0</v>
      </c>
      <c r="CC684" s="387">
        <f t="shared" si="460"/>
        <v>0</v>
      </c>
      <c r="CD684" s="387">
        <f t="shared" si="461"/>
        <v>0</v>
      </c>
      <c r="CE684" s="387">
        <f t="shared" si="462"/>
        <v>0</v>
      </c>
      <c r="CF684" s="387">
        <f t="shared" si="463"/>
        <v>0</v>
      </c>
      <c r="CG684" s="387">
        <f t="shared" si="464"/>
        <v>0</v>
      </c>
      <c r="CH684" s="387">
        <f t="shared" si="465"/>
        <v>0</v>
      </c>
      <c r="CI684" s="387">
        <f t="shared" si="466"/>
        <v>0</v>
      </c>
      <c r="CJ684" s="387">
        <f t="shared" si="479"/>
        <v>0</v>
      </c>
      <c r="CK684" s="387" t="str">
        <f t="shared" si="480"/>
        <v/>
      </c>
      <c r="CL684" s="387" t="str">
        <f t="shared" si="481"/>
        <v/>
      </c>
      <c r="CM684" s="387" t="str">
        <f t="shared" si="482"/>
        <v/>
      </c>
      <c r="CN684" s="387" t="str">
        <f t="shared" si="483"/>
        <v>0349-31</v>
      </c>
    </row>
    <row r="685" spans="1:92" ht="15.75" thickBot="1" x14ac:dyDescent="0.3">
      <c r="A685" s="376" t="s">
        <v>161</v>
      </c>
      <c r="B685" s="376" t="s">
        <v>162</v>
      </c>
      <c r="C685" s="376" t="s">
        <v>161</v>
      </c>
      <c r="D685" s="376" t="s">
        <v>862</v>
      </c>
      <c r="E685" s="376" t="s">
        <v>669</v>
      </c>
      <c r="F685" s="382" t="s">
        <v>225</v>
      </c>
      <c r="G685" s="376" t="s">
        <v>781</v>
      </c>
      <c r="H685" s="378"/>
      <c r="I685" s="378"/>
      <c r="J685" s="376" t="s">
        <v>168</v>
      </c>
      <c r="K685" s="376" t="s">
        <v>863</v>
      </c>
      <c r="L685" s="376" t="s">
        <v>252</v>
      </c>
      <c r="M685" s="376" t="s">
        <v>171</v>
      </c>
      <c r="N685" s="376" t="s">
        <v>172</v>
      </c>
      <c r="O685" s="379">
        <v>1</v>
      </c>
      <c r="P685" s="385">
        <v>0</v>
      </c>
      <c r="Q685" s="385">
        <v>0</v>
      </c>
      <c r="R685" s="380">
        <v>80</v>
      </c>
      <c r="S685" s="385">
        <v>0</v>
      </c>
      <c r="T685" s="380">
        <v>132.6</v>
      </c>
      <c r="U685" s="380">
        <v>0</v>
      </c>
      <c r="V685" s="380">
        <v>40.35</v>
      </c>
      <c r="W685" s="380">
        <v>0</v>
      </c>
      <c r="X685" s="380">
        <v>0</v>
      </c>
      <c r="Y685" s="380">
        <v>0</v>
      </c>
      <c r="Z685" s="380">
        <v>0</v>
      </c>
      <c r="AA685" s="376" t="s">
        <v>1450</v>
      </c>
      <c r="AB685" s="376" t="s">
        <v>1451</v>
      </c>
      <c r="AC685" s="376" t="s">
        <v>1452</v>
      </c>
      <c r="AD685" s="376" t="s">
        <v>252</v>
      </c>
      <c r="AE685" s="376" t="s">
        <v>863</v>
      </c>
      <c r="AF685" s="376" t="s">
        <v>393</v>
      </c>
      <c r="AG685" s="376" t="s">
        <v>178</v>
      </c>
      <c r="AH685" s="381">
        <v>21.81</v>
      </c>
      <c r="AI685" s="381">
        <v>26769.1</v>
      </c>
      <c r="AJ685" s="376" t="s">
        <v>179</v>
      </c>
      <c r="AK685" s="376" t="s">
        <v>180</v>
      </c>
      <c r="AL685" s="376" t="s">
        <v>181</v>
      </c>
      <c r="AM685" s="376" t="s">
        <v>182</v>
      </c>
      <c r="AN685" s="376" t="s">
        <v>68</v>
      </c>
      <c r="AO685" s="379">
        <v>80</v>
      </c>
      <c r="AP685" s="385">
        <v>1</v>
      </c>
      <c r="AQ685" s="385">
        <v>0</v>
      </c>
      <c r="AR685" s="383" t="s">
        <v>183</v>
      </c>
      <c r="AS685" s="387">
        <f t="shared" si="467"/>
        <v>0</v>
      </c>
      <c r="AT685">
        <f t="shared" si="468"/>
        <v>0</v>
      </c>
      <c r="AU685" s="387" t="str">
        <f>IF(AT685=0,"",IF(AND(AT685=1,M685="F",SUMIF(C2:C1334,C685,AS2:AS1334)&lt;=1),SUMIF(C2:C1334,C685,AS2:AS1334),IF(AND(AT685=1,M685="F",SUMIF(C2:C1334,C685,AS2:AS1334)&gt;1),1,"")))</f>
        <v/>
      </c>
      <c r="AV685" s="387" t="str">
        <f>IF(AT685=0,"",IF(AND(AT685=3,M685="F",SUMIF(C2:C1334,C685,AS2:AS1334)&lt;=1),SUMIF(C2:C1334,C685,AS2:AS1334),IF(AND(AT685=3,M685="F",SUMIF(C2:C1334,C685,AS2:AS1334)&gt;1),1,"")))</f>
        <v/>
      </c>
      <c r="AW685" s="387">
        <f>SUMIF(C2:C1334,C685,O2:O1334)</f>
        <v>3</v>
      </c>
      <c r="AX685" s="387">
        <f>IF(AND(M685="F",AS685&lt;&gt;0),SUMIF(C2:C1334,C685,W2:W1334),0)</f>
        <v>0</v>
      </c>
      <c r="AY685" s="387" t="str">
        <f t="shared" si="469"/>
        <v/>
      </c>
      <c r="AZ685" s="387" t="str">
        <f t="shared" si="470"/>
        <v/>
      </c>
      <c r="BA685" s="387">
        <f t="shared" si="471"/>
        <v>0</v>
      </c>
      <c r="BB685" s="387">
        <f t="shared" si="440"/>
        <v>0</v>
      </c>
      <c r="BC685" s="387">
        <f t="shared" si="441"/>
        <v>0</v>
      </c>
      <c r="BD685" s="387">
        <f t="shared" si="442"/>
        <v>0</v>
      </c>
      <c r="BE685" s="387">
        <f t="shared" si="443"/>
        <v>0</v>
      </c>
      <c r="BF685" s="387">
        <f t="shared" si="444"/>
        <v>0</v>
      </c>
      <c r="BG685" s="387">
        <f t="shared" si="445"/>
        <v>0</v>
      </c>
      <c r="BH685" s="387">
        <f t="shared" si="446"/>
        <v>0</v>
      </c>
      <c r="BI685" s="387">
        <f t="shared" si="447"/>
        <v>0</v>
      </c>
      <c r="BJ685" s="387">
        <f t="shared" si="448"/>
        <v>0</v>
      </c>
      <c r="BK685" s="387">
        <f t="shared" si="449"/>
        <v>0</v>
      </c>
      <c r="BL685" s="387">
        <f t="shared" si="472"/>
        <v>0</v>
      </c>
      <c r="BM685" s="387">
        <f t="shared" si="473"/>
        <v>0</v>
      </c>
      <c r="BN685" s="387">
        <f t="shared" si="450"/>
        <v>0</v>
      </c>
      <c r="BO685" s="387">
        <f t="shared" si="451"/>
        <v>0</v>
      </c>
      <c r="BP685" s="387">
        <f t="shared" si="452"/>
        <v>0</v>
      </c>
      <c r="BQ685" s="387">
        <f t="shared" si="453"/>
        <v>0</v>
      </c>
      <c r="BR685" s="387">
        <f t="shared" si="454"/>
        <v>0</v>
      </c>
      <c r="BS685" s="387">
        <f t="shared" si="455"/>
        <v>0</v>
      </c>
      <c r="BT685" s="387">
        <f t="shared" si="456"/>
        <v>0</v>
      </c>
      <c r="BU685" s="387">
        <f t="shared" si="457"/>
        <v>0</v>
      </c>
      <c r="BV685" s="387">
        <f t="shared" si="458"/>
        <v>0</v>
      </c>
      <c r="BW685" s="387">
        <f t="shared" si="459"/>
        <v>0</v>
      </c>
      <c r="BX685" s="387">
        <f t="shared" si="474"/>
        <v>0</v>
      </c>
      <c r="BY685" s="387">
        <f t="shared" si="475"/>
        <v>0</v>
      </c>
      <c r="BZ685" s="387">
        <f t="shared" si="476"/>
        <v>0</v>
      </c>
      <c r="CA685" s="387">
        <f t="shared" si="477"/>
        <v>0</v>
      </c>
      <c r="CB685" s="387">
        <f t="shared" si="478"/>
        <v>0</v>
      </c>
      <c r="CC685" s="387">
        <f t="shared" si="460"/>
        <v>0</v>
      </c>
      <c r="CD685" s="387">
        <f t="shared" si="461"/>
        <v>0</v>
      </c>
      <c r="CE685" s="387">
        <f t="shared" si="462"/>
        <v>0</v>
      </c>
      <c r="CF685" s="387">
        <f t="shared" si="463"/>
        <v>0</v>
      </c>
      <c r="CG685" s="387">
        <f t="shared" si="464"/>
        <v>0</v>
      </c>
      <c r="CH685" s="387">
        <f t="shared" si="465"/>
        <v>0</v>
      </c>
      <c r="CI685" s="387">
        <f t="shared" si="466"/>
        <v>0</v>
      </c>
      <c r="CJ685" s="387">
        <f t="shared" si="479"/>
        <v>0</v>
      </c>
      <c r="CK685" s="387" t="str">
        <f t="shared" si="480"/>
        <v/>
      </c>
      <c r="CL685" s="387" t="str">
        <f t="shared" si="481"/>
        <v/>
      </c>
      <c r="CM685" s="387" t="str">
        <f t="shared" si="482"/>
        <v/>
      </c>
      <c r="CN685" s="387" t="str">
        <f t="shared" si="483"/>
        <v>0349-31</v>
      </c>
    </row>
    <row r="686" spans="1:92" ht="15.75" thickBot="1" x14ac:dyDescent="0.3">
      <c r="A686" s="376" t="s">
        <v>161</v>
      </c>
      <c r="B686" s="376" t="s">
        <v>162</v>
      </c>
      <c r="C686" s="376" t="s">
        <v>1902</v>
      </c>
      <c r="D686" s="376" t="s">
        <v>862</v>
      </c>
      <c r="E686" s="376" t="s">
        <v>669</v>
      </c>
      <c r="F686" s="382" t="s">
        <v>225</v>
      </c>
      <c r="G686" s="376" t="s">
        <v>781</v>
      </c>
      <c r="H686" s="378"/>
      <c r="I686" s="378"/>
      <c r="J686" s="376" t="s">
        <v>239</v>
      </c>
      <c r="K686" s="376" t="s">
        <v>863</v>
      </c>
      <c r="L686" s="376" t="s">
        <v>252</v>
      </c>
      <c r="M686" s="376" t="s">
        <v>171</v>
      </c>
      <c r="N686" s="376" t="s">
        <v>172</v>
      </c>
      <c r="O686" s="379">
        <v>1</v>
      </c>
      <c r="P686" s="385">
        <v>0</v>
      </c>
      <c r="Q686" s="385">
        <v>0</v>
      </c>
      <c r="R686" s="380">
        <v>80</v>
      </c>
      <c r="S686" s="385">
        <v>0</v>
      </c>
      <c r="T686" s="380">
        <v>55.41</v>
      </c>
      <c r="U686" s="380">
        <v>0</v>
      </c>
      <c r="V686" s="380">
        <v>21.44</v>
      </c>
      <c r="W686" s="380">
        <v>0</v>
      </c>
      <c r="X686" s="380">
        <v>0</v>
      </c>
      <c r="Y686" s="380">
        <v>0</v>
      </c>
      <c r="Z686" s="380">
        <v>0</v>
      </c>
      <c r="AA686" s="376" t="s">
        <v>1903</v>
      </c>
      <c r="AB686" s="376" t="s">
        <v>1904</v>
      </c>
      <c r="AC686" s="376" t="s">
        <v>1905</v>
      </c>
      <c r="AD686" s="376" t="s">
        <v>324</v>
      </c>
      <c r="AE686" s="376" t="s">
        <v>863</v>
      </c>
      <c r="AF686" s="376" t="s">
        <v>393</v>
      </c>
      <c r="AG686" s="376" t="s">
        <v>178</v>
      </c>
      <c r="AH686" s="381">
        <v>21.78</v>
      </c>
      <c r="AI686" s="381">
        <v>21966.799999999999</v>
      </c>
      <c r="AJ686" s="376" t="s">
        <v>179</v>
      </c>
      <c r="AK686" s="376" t="s">
        <v>180</v>
      </c>
      <c r="AL686" s="376" t="s">
        <v>181</v>
      </c>
      <c r="AM686" s="376" t="s">
        <v>182</v>
      </c>
      <c r="AN686" s="376" t="s">
        <v>68</v>
      </c>
      <c r="AO686" s="379">
        <v>80</v>
      </c>
      <c r="AP686" s="385">
        <v>1</v>
      </c>
      <c r="AQ686" s="385">
        <v>0</v>
      </c>
      <c r="AR686" s="383" t="s">
        <v>183</v>
      </c>
      <c r="AS686" s="387">
        <f t="shared" si="467"/>
        <v>0</v>
      </c>
      <c r="AT686">
        <f t="shared" si="468"/>
        <v>0</v>
      </c>
      <c r="AU686" s="387" t="str">
        <f>IF(AT686=0,"",IF(AND(AT686=1,M686="F",SUMIF(C2:C1334,C686,AS2:AS1334)&lt;=1),SUMIF(C2:C1334,C686,AS2:AS1334),IF(AND(AT686=1,M686="F",SUMIF(C2:C1334,C686,AS2:AS1334)&gt;1),1,"")))</f>
        <v/>
      </c>
      <c r="AV686" s="387" t="str">
        <f>IF(AT686=0,"",IF(AND(AT686=3,M686="F",SUMIF(C2:C1334,C686,AS2:AS1334)&lt;=1),SUMIF(C2:C1334,C686,AS2:AS1334),IF(AND(AT686=3,M686="F",SUMIF(C2:C1334,C686,AS2:AS1334)&gt;1),1,"")))</f>
        <v/>
      </c>
      <c r="AW686" s="387">
        <f>SUMIF(C2:C1334,C686,O2:O1334)</f>
        <v>3</v>
      </c>
      <c r="AX686" s="387">
        <f>IF(AND(M686="F",AS686&lt;&gt;0),SUMIF(C2:C1334,C686,W2:W1334),0)</f>
        <v>0</v>
      </c>
      <c r="AY686" s="387" t="str">
        <f t="shared" si="469"/>
        <v/>
      </c>
      <c r="AZ686" s="387" t="str">
        <f t="shared" si="470"/>
        <v/>
      </c>
      <c r="BA686" s="387">
        <f t="shared" si="471"/>
        <v>0</v>
      </c>
      <c r="BB686" s="387">
        <f t="shared" si="440"/>
        <v>0</v>
      </c>
      <c r="BC686" s="387">
        <f t="shared" si="441"/>
        <v>0</v>
      </c>
      <c r="BD686" s="387">
        <f t="shared" si="442"/>
        <v>0</v>
      </c>
      <c r="BE686" s="387">
        <f t="shared" si="443"/>
        <v>0</v>
      </c>
      <c r="BF686" s="387">
        <f t="shared" si="444"/>
        <v>0</v>
      </c>
      <c r="BG686" s="387">
        <f t="shared" si="445"/>
        <v>0</v>
      </c>
      <c r="BH686" s="387">
        <f t="shared" si="446"/>
        <v>0</v>
      </c>
      <c r="BI686" s="387">
        <f t="shared" si="447"/>
        <v>0</v>
      </c>
      <c r="BJ686" s="387">
        <f t="shared" si="448"/>
        <v>0</v>
      </c>
      <c r="BK686" s="387">
        <f t="shared" si="449"/>
        <v>0</v>
      </c>
      <c r="BL686" s="387">
        <f t="shared" si="472"/>
        <v>0</v>
      </c>
      <c r="BM686" s="387">
        <f t="shared" si="473"/>
        <v>0</v>
      </c>
      <c r="BN686" s="387">
        <f t="shared" si="450"/>
        <v>0</v>
      </c>
      <c r="BO686" s="387">
        <f t="shared" si="451"/>
        <v>0</v>
      </c>
      <c r="BP686" s="387">
        <f t="shared" si="452"/>
        <v>0</v>
      </c>
      <c r="BQ686" s="387">
        <f t="shared" si="453"/>
        <v>0</v>
      </c>
      <c r="BR686" s="387">
        <f t="shared" si="454"/>
        <v>0</v>
      </c>
      <c r="BS686" s="387">
        <f t="shared" si="455"/>
        <v>0</v>
      </c>
      <c r="BT686" s="387">
        <f t="shared" si="456"/>
        <v>0</v>
      </c>
      <c r="BU686" s="387">
        <f t="shared" si="457"/>
        <v>0</v>
      </c>
      <c r="BV686" s="387">
        <f t="shared" si="458"/>
        <v>0</v>
      </c>
      <c r="BW686" s="387">
        <f t="shared" si="459"/>
        <v>0</v>
      </c>
      <c r="BX686" s="387">
        <f t="shared" si="474"/>
        <v>0</v>
      </c>
      <c r="BY686" s="387">
        <f t="shared" si="475"/>
        <v>0</v>
      </c>
      <c r="BZ686" s="387">
        <f t="shared" si="476"/>
        <v>0</v>
      </c>
      <c r="CA686" s="387">
        <f t="shared" si="477"/>
        <v>0</v>
      </c>
      <c r="CB686" s="387">
        <f t="shared" si="478"/>
        <v>0</v>
      </c>
      <c r="CC686" s="387">
        <f t="shared" si="460"/>
        <v>0</v>
      </c>
      <c r="CD686" s="387">
        <f t="shared" si="461"/>
        <v>0</v>
      </c>
      <c r="CE686" s="387">
        <f t="shared" si="462"/>
        <v>0</v>
      </c>
      <c r="CF686" s="387">
        <f t="shared" si="463"/>
        <v>0</v>
      </c>
      <c r="CG686" s="387">
        <f t="shared" si="464"/>
        <v>0</v>
      </c>
      <c r="CH686" s="387">
        <f t="shared" si="465"/>
        <v>0</v>
      </c>
      <c r="CI686" s="387">
        <f t="shared" si="466"/>
        <v>0</v>
      </c>
      <c r="CJ686" s="387">
        <f t="shared" si="479"/>
        <v>0</v>
      </c>
      <c r="CK686" s="387" t="str">
        <f t="shared" si="480"/>
        <v/>
      </c>
      <c r="CL686" s="387" t="str">
        <f t="shared" si="481"/>
        <v/>
      </c>
      <c r="CM686" s="387" t="str">
        <f t="shared" si="482"/>
        <v/>
      </c>
      <c r="CN686" s="387" t="str">
        <f t="shared" si="483"/>
        <v>0349-31</v>
      </c>
    </row>
    <row r="687" spans="1:92" ht="15.75" thickBot="1" x14ac:dyDescent="0.3">
      <c r="A687" s="376" t="s">
        <v>161</v>
      </c>
      <c r="B687" s="376" t="s">
        <v>162</v>
      </c>
      <c r="C687" s="376" t="s">
        <v>447</v>
      </c>
      <c r="D687" s="376" t="s">
        <v>375</v>
      </c>
      <c r="E687" s="376" t="s">
        <v>669</v>
      </c>
      <c r="F687" s="382" t="s">
        <v>225</v>
      </c>
      <c r="G687" s="376" t="s">
        <v>781</v>
      </c>
      <c r="H687" s="378"/>
      <c r="I687" s="378"/>
      <c r="J687" s="376" t="s">
        <v>239</v>
      </c>
      <c r="K687" s="376" t="s">
        <v>448</v>
      </c>
      <c r="L687" s="376" t="s">
        <v>217</v>
      </c>
      <c r="M687" s="376" t="s">
        <v>171</v>
      </c>
      <c r="N687" s="376" t="s">
        <v>172</v>
      </c>
      <c r="O687" s="379">
        <v>1</v>
      </c>
      <c r="P687" s="385">
        <v>0</v>
      </c>
      <c r="Q687" s="385">
        <v>0</v>
      </c>
      <c r="R687" s="380">
        <v>80</v>
      </c>
      <c r="S687" s="385">
        <v>0</v>
      </c>
      <c r="T687" s="380">
        <v>60.58</v>
      </c>
      <c r="U687" s="380">
        <v>0</v>
      </c>
      <c r="V687" s="380">
        <v>29.02</v>
      </c>
      <c r="W687" s="380">
        <v>0</v>
      </c>
      <c r="X687" s="380">
        <v>0</v>
      </c>
      <c r="Y687" s="380">
        <v>0</v>
      </c>
      <c r="Z687" s="380">
        <v>0</v>
      </c>
      <c r="AA687" s="376" t="s">
        <v>449</v>
      </c>
      <c r="AB687" s="376" t="s">
        <v>450</v>
      </c>
      <c r="AC687" s="376" t="s">
        <v>451</v>
      </c>
      <c r="AD687" s="376" t="s">
        <v>198</v>
      </c>
      <c r="AE687" s="376" t="s">
        <v>448</v>
      </c>
      <c r="AF687" s="376" t="s">
        <v>221</v>
      </c>
      <c r="AG687" s="376" t="s">
        <v>178</v>
      </c>
      <c r="AH687" s="381">
        <v>22.46</v>
      </c>
      <c r="AI687" s="381">
        <v>43492.7</v>
      </c>
      <c r="AJ687" s="376" t="s">
        <v>179</v>
      </c>
      <c r="AK687" s="376" t="s">
        <v>180</v>
      </c>
      <c r="AL687" s="376" t="s">
        <v>181</v>
      </c>
      <c r="AM687" s="376" t="s">
        <v>182</v>
      </c>
      <c r="AN687" s="376" t="s">
        <v>68</v>
      </c>
      <c r="AO687" s="379">
        <v>80</v>
      </c>
      <c r="AP687" s="385">
        <v>1</v>
      </c>
      <c r="AQ687" s="385">
        <v>0</v>
      </c>
      <c r="AR687" s="383" t="s">
        <v>183</v>
      </c>
      <c r="AS687" s="387">
        <f t="shared" si="467"/>
        <v>0</v>
      </c>
      <c r="AT687">
        <f t="shared" si="468"/>
        <v>0</v>
      </c>
      <c r="AU687" s="387" t="str">
        <f>IF(AT687=0,"",IF(AND(AT687=1,M687="F",SUMIF(C2:C1334,C687,AS2:AS1334)&lt;=1),SUMIF(C2:C1334,C687,AS2:AS1334),IF(AND(AT687=1,M687="F",SUMIF(C2:C1334,C687,AS2:AS1334)&gt;1),1,"")))</f>
        <v/>
      </c>
      <c r="AV687" s="387" t="str">
        <f>IF(AT687=0,"",IF(AND(AT687=3,M687="F",SUMIF(C2:C1334,C687,AS2:AS1334)&lt;=1),SUMIF(C2:C1334,C687,AS2:AS1334),IF(AND(AT687=3,M687="F",SUMIF(C2:C1334,C687,AS2:AS1334)&gt;1),1,"")))</f>
        <v/>
      </c>
      <c r="AW687" s="387">
        <f>SUMIF(C2:C1334,C687,O2:O1334)</f>
        <v>4</v>
      </c>
      <c r="AX687" s="387">
        <f>IF(AND(M687="F",AS687&lt;&gt;0),SUMIF(C2:C1334,C687,W2:W1334),0)</f>
        <v>0</v>
      </c>
      <c r="AY687" s="387" t="str">
        <f t="shared" si="469"/>
        <v/>
      </c>
      <c r="AZ687" s="387" t="str">
        <f t="shared" si="470"/>
        <v/>
      </c>
      <c r="BA687" s="387">
        <f t="shared" si="471"/>
        <v>0</v>
      </c>
      <c r="BB687" s="387">
        <f t="shared" si="440"/>
        <v>0</v>
      </c>
      <c r="BC687" s="387">
        <f t="shared" si="441"/>
        <v>0</v>
      </c>
      <c r="BD687" s="387">
        <f t="shared" si="442"/>
        <v>0</v>
      </c>
      <c r="BE687" s="387">
        <f t="shared" si="443"/>
        <v>0</v>
      </c>
      <c r="BF687" s="387">
        <f t="shared" si="444"/>
        <v>0</v>
      </c>
      <c r="BG687" s="387">
        <f t="shared" si="445"/>
        <v>0</v>
      </c>
      <c r="BH687" s="387">
        <f t="shared" si="446"/>
        <v>0</v>
      </c>
      <c r="BI687" s="387">
        <f t="shared" si="447"/>
        <v>0</v>
      </c>
      <c r="BJ687" s="387">
        <f t="shared" si="448"/>
        <v>0</v>
      </c>
      <c r="BK687" s="387">
        <f t="shared" si="449"/>
        <v>0</v>
      </c>
      <c r="BL687" s="387">
        <f t="shared" si="472"/>
        <v>0</v>
      </c>
      <c r="BM687" s="387">
        <f t="shared" si="473"/>
        <v>0</v>
      </c>
      <c r="BN687" s="387">
        <f t="shared" si="450"/>
        <v>0</v>
      </c>
      <c r="BO687" s="387">
        <f t="shared" si="451"/>
        <v>0</v>
      </c>
      <c r="BP687" s="387">
        <f t="shared" si="452"/>
        <v>0</v>
      </c>
      <c r="BQ687" s="387">
        <f t="shared" si="453"/>
        <v>0</v>
      </c>
      <c r="BR687" s="387">
        <f t="shared" si="454"/>
        <v>0</v>
      </c>
      <c r="BS687" s="387">
        <f t="shared" si="455"/>
        <v>0</v>
      </c>
      <c r="BT687" s="387">
        <f t="shared" si="456"/>
        <v>0</v>
      </c>
      <c r="BU687" s="387">
        <f t="shared" si="457"/>
        <v>0</v>
      </c>
      <c r="BV687" s="387">
        <f t="shared" si="458"/>
        <v>0</v>
      </c>
      <c r="BW687" s="387">
        <f t="shared" si="459"/>
        <v>0</v>
      </c>
      <c r="BX687" s="387">
        <f t="shared" si="474"/>
        <v>0</v>
      </c>
      <c r="BY687" s="387">
        <f t="shared" si="475"/>
        <v>0</v>
      </c>
      <c r="BZ687" s="387">
        <f t="shared" si="476"/>
        <v>0</v>
      </c>
      <c r="CA687" s="387">
        <f t="shared" si="477"/>
        <v>0</v>
      </c>
      <c r="CB687" s="387">
        <f t="shared" si="478"/>
        <v>0</v>
      </c>
      <c r="CC687" s="387">
        <f t="shared" si="460"/>
        <v>0</v>
      </c>
      <c r="CD687" s="387">
        <f t="shared" si="461"/>
        <v>0</v>
      </c>
      <c r="CE687" s="387">
        <f t="shared" si="462"/>
        <v>0</v>
      </c>
      <c r="CF687" s="387">
        <f t="shared" si="463"/>
        <v>0</v>
      </c>
      <c r="CG687" s="387">
        <f t="shared" si="464"/>
        <v>0</v>
      </c>
      <c r="CH687" s="387">
        <f t="shared" si="465"/>
        <v>0</v>
      </c>
      <c r="CI687" s="387">
        <f t="shared" si="466"/>
        <v>0</v>
      </c>
      <c r="CJ687" s="387">
        <f t="shared" si="479"/>
        <v>0</v>
      </c>
      <c r="CK687" s="387" t="str">
        <f t="shared" si="480"/>
        <v/>
      </c>
      <c r="CL687" s="387" t="str">
        <f t="shared" si="481"/>
        <v/>
      </c>
      <c r="CM687" s="387" t="str">
        <f t="shared" si="482"/>
        <v/>
      </c>
      <c r="CN687" s="387" t="str">
        <f t="shared" si="483"/>
        <v>0349-31</v>
      </c>
    </row>
    <row r="688" spans="1:92" ht="15.75" thickBot="1" x14ac:dyDescent="0.3">
      <c r="A688" s="376" t="s">
        <v>161</v>
      </c>
      <c r="B688" s="376" t="s">
        <v>162</v>
      </c>
      <c r="C688" s="376" t="s">
        <v>1385</v>
      </c>
      <c r="D688" s="376" t="s">
        <v>792</v>
      </c>
      <c r="E688" s="376" t="s">
        <v>669</v>
      </c>
      <c r="F688" s="382" t="s">
        <v>225</v>
      </c>
      <c r="G688" s="376" t="s">
        <v>781</v>
      </c>
      <c r="H688" s="378"/>
      <c r="I688" s="378"/>
      <c r="J688" s="376" t="s">
        <v>215</v>
      </c>
      <c r="K688" s="376" t="s">
        <v>793</v>
      </c>
      <c r="L688" s="376" t="s">
        <v>170</v>
      </c>
      <c r="M688" s="376" t="s">
        <v>272</v>
      </c>
      <c r="N688" s="376" t="s">
        <v>172</v>
      </c>
      <c r="O688" s="379">
        <v>0</v>
      </c>
      <c r="P688" s="385">
        <v>0</v>
      </c>
      <c r="Q688" s="385">
        <v>0</v>
      </c>
      <c r="R688" s="380">
        <v>80</v>
      </c>
      <c r="S688" s="385">
        <v>0</v>
      </c>
      <c r="T688" s="380">
        <v>140.24</v>
      </c>
      <c r="U688" s="380">
        <v>0</v>
      </c>
      <c r="V688" s="380">
        <v>41.54</v>
      </c>
      <c r="W688" s="380">
        <v>0</v>
      </c>
      <c r="X688" s="380">
        <v>0</v>
      </c>
      <c r="Y688" s="380">
        <v>0</v>
      </c>
      <c r="Z688" s="380">
        <v>0</v>
      </c>
      <c r="AA688" s="378"/>
      <c r="AB688" s="376" t="s">
        <v>45</v>
      </c>
      <c r="AC688" s="376" t="s">
        <v>45</v>
      </c>
      <c r="AD688" s="378"/>
      <c r="AE688" s="378"/>
      <c r="AF688" s="378"/>
      <c r="AG688" s="378"/>
      <c r="AH688" s="379">
        <v>0</v>
      </c>
      <c r="AI688" s="379">
        <v>0</v>
      </c>
      <c r="AJ688" s="378"/>
      <c r="AK688" s="378"/>
      <c r="AL688" s="376" t="s">
        <v>181</v>
      </c>
      <c r="AM688" s="378"/>
      <c r="AN688" s="378"/>
      <c r="AO688" s="379">
        <v>0</v>
      </c>
      <c r="AP688" s="385">
        <v>0</v>
      </c>
      <c r="AQ688" s="385">
        <v>0</v>
      </c>
      <c r="AR688" s="384"/>
      <c r="AS688" s="387">
        <f t="shared" si="467"/>
        <v>0</v>
      </c>
      <c r="AT688">
        <f t="shared" si="468"/>
        <v>0</v>
      </c>
      <c r="AU688" s="387" t="str">
        <f>IF(AT688=0,"",IF(AND(AT688=1,M688="F",SUMIF(C2:C1334,C688,AS2:AS1334)&lt;=1),SUMIF(C2:C1334,C688,AS2:AS1334),IF(AND(AT688=1,M688="F",SUMIF(C2:C1334,C688,AS2:AS1334)&gt;1),1,"")))</f>
        <v/>
      </c>
      <c r="AV688" s="387" t="str">
        <f>IF(AT688=0,"",IF(AND(AT688=3,M688="F",SUMIF(C2:C1334,C688,AS2:AS1334)&lt;=1),SUMIF(C2:C1334,C688,AS2:AS1334),IF(AND(AT688=3,M688="F",SUMIF(C2:C1334,C688,AS2:AS1334)&gt;1),1,"")))</f>
        <v/>
      </c>
      <c r="AW688" s="387">
        <f>SUMIF(C2:C1334,C688,O2:O1334)</f>
        <v>0</v>
      </c>
      <c r="AX688" s="387">
        <f>IF(AND(M688="F",AS688&lt;&gt;0),SUMIF(C2:C1334,C688,W2:W1334),0)</f>
        <v>0</v>
      </c>
      <c r="AY688" s="387" t="str">
        <f t="shared" si="469"/>
        <v/>
      </c>
      <c r="AZ688" s="387" t="str">
        <f t="shared" si="470"/>
        <v/>
      </c>
      <c r="BA688" s="387">
        <f t="shared" si="471"/>
        <v>0</v>
      </c>
      <c r="BB688" s="387">
        <f t="shared" si="440"/>
        <v>0</v>
      </c>
      <c r="BC688" s="387">
        <f t="shared" si="441"/>
        <v>0</v>
      </c>
      <c r="BD688" s="387">
        <f t="shared" si="442"/>
        <v>0</v>
      </c>
      <c r="BE688" s="387">
        <f t="shared" si="443"/>
        <v>0</v>
      </c>
      <c r="BF688" s="387">
        <f t="shared" si="444"/>
        <v>0</v>
      </c>
      <c r="BG688" s="387">
        <f t="shared" si="445"/>
        <v>0</v>
      </c>
      <c r="BH688" s="387">
        <f t="shared" si="446"/>
        <v>0</v>
      </c>
      <c r="BI688" s="387">
        <f t="shared" si="447"/>
        <v>0</v>
      </c>
      <c r="BJ688" s="387">
        <f t="shared" si="448"/>
        <v>0</v>
      </c>
      <c r="BK688" s="387">
        <f t="shared" si="449"/>
        <v>0</v>
      </c>
      <c r="BL688" s="387">
        <f t="shared" si="472"/>
        <v>0</v>
      </c>
      <c r="BM688" s="387">
        <f t="shared" si="473"/>
        <v>0</v>
      </c>
      <c r="BN688" s="387">
        <f t="shared" si="450"/>
        <v>0</v>
      </c>
      <c r="BO688" s="387">
        <f t="shared" si="451"/>
        <v>0</v>
      </c>
      <c r="BP688" s="387">
        <f t="shared" si="452"/>
        <v>0</v>
      </c>
      <c r="BQ688" s="387">
        <f t="shared" si="453"/>
        <v>0</v>
      </c>
      <c r="BR688" s="387">
        <f t="shared" si="454"/>
        <v>0</v>
      </c>
      <c r="BS688" s="387">
        <f t="shared" si="455"/>
        <v>0</v>
      </c>
      <c r="BT688" s="387">
        <f t="shared" si="456"/>
        <v>0</v>
      </c>
      <c r="BU688" s="387">
        <f t="shared" si="457"/>
        <v>0</v>
      </c>
      <c r="BV688" s="387">
        <f t="shared" si="458"/>
        <v>0</v>
      </c>
      <c r="BW688" s="387">
        <f t="shared" si="459"/>
        <v>0</v>
      </c>
      <c r="BX688" s="387">
        <f t="shared" si="474"/>
        <v>0</v>
      </c>
      <c r="BY688" s="387">
        <f t="shared" si="475"/>
        <v>0</v>
      </c>
      <c r="BZ688" s="387">
        <f t="shared" si="476"/>
        <v>0</v>
      </c>
      <c r="CA688" s="387">
        <f t="shared" si="477"/>
        <v>0</v>
      </c>
      <c r="CB688" s="387">
        <f t="shared" si="478"/>
        <v>0</v>
      </c>
      <c r="CC688" s="387">
        <f t="shared" si="460"/>
        <v>0</v>
      </c>
      <c r="CD688" s="387">
        <f t="shared" si="461"/>
        <v>0</v>
      </c>
      <c r="CE688" s="387">
        <f t="shared" si="462"/>
        <v>0</v>
      </c>
      <c r="CF688" s="387">
        <f t="shared" si="463"/>
        <v>0</v>
      </c>
      <c r="CG688" s="387">
        <f t="shared" si="464"/>
        <v>0</v>
      </c>
      <c r="CH688" s="387">
        <f t="shared" si="465"/>
        <v>0</v>
      </c>
      <c r="CI688" s="387">
        <f t="shared" si="466"/>
        <v>0</v>
      </c>
      <c r="CJ688" s="387">
        <f t="shared" si="479"/>
        <v>0</v>
      </c>
      <c r="CK688" s="387" t="str">
        <f t="shared" si="480"/>
        <v/>
      </c>
      <c r="CL688" s="387" t="str">
        <f t="shared" si="481"/>
        <v/>
      </c>
      <c r="CM688" s="387" t="str">
        <f t="shared" si="482"/>
        <v/>
      </c>
      <c r="CN688" s="387" t="str">
        <f t="shared" si="483"/>
        <v>0349-31</v>
      </c>
    </row>
    <row r="689" spans="1:92" ht="15.75" thickBot="1" x14ac:dyDescent="0.3">
      <c r="A689" s="376" t="s">
        <v>161</v>
      </c>
      <c r="B689" s="376" t="s">
        <v>162</v>
      </c>
      <c r="C689" s="376" t="s">
        <v>1453</v>
      </c>
      <c r="D689" s="376" t="s">
        <v>862</v>
      </c>
      <c r="E689" s="376" t="s">
        <v>669</v>
      </c>
      <c r="F689" s="382" t="s">
        <v>225</v>
      </c>
      <c r="G689" s="376" t="s">
        <v>781</v>
      </c>
      <c r="H689" s="378"/>
      <c r="I689" s="378"/>
      <c r="J689" s="376" t="s">
        <v>239</v>
      </c>
      <c r="K689" s="376" t="s">
        <v>863</v>
      </c>
      <c r="L689" s="376" t="s">
        <v>252</v>
      </c>
      <c r="M689" s="376" t="s">
        <v>171</v>
      </c>
      <c r="N689" s="376" t="s">
        <v>172</v>
      </c>
      <c r="O689" s="379">
        <v>1</v>
      </c>
      <c r="P689" s="385">
        <v>0</v>
      </c>
      <c r="Q689" s="385">
        <v>0</v>
      </c>
      <c r="R689" s="380">
        <v>80</v>
      </c>
      <c r="S689" s="385">
        <v>0</v>
      </c>
      <c r="T689" s="380">
        <v>63.16</v>
      </c>
      <c r="U689" s="380">
        <v>0</v>
      </c>
      <c r="V689" s="380">
        <v>18.28</v>
      </c>
      <c r="W689" s="380">
        <v>0</v>
      </c>
      <c r="X689" s="380">
        <v>0</v>
      </c>
      <c r="Y689" s="380">
        <v>0</v>
      </c>
      <c r="Z689" s="380">
        <v>0</v>
      </c>
      <c r="AA689" s="376" t="s">
        <v>1454</v>
      </c>
      <c r="AB689" s="376" t="s">
        <v>1455</v>
      </c>
      <c r="AC689" s="376" t="s">
        <v>1456</v>
      </c>
      <c r="AD689" s="376" t="s">
        <v>583</v>
      </c>
      <c r="AE689" s="376" t="s">
        <v>863</v>
      </c>
      <c r="AF689" s="376" t="s">
        <v>393</v>
      </c>
      <c r="AG689" s="376" t="s">
        <v>178</v>
      </c>
      <c r="AH689" s="381">
        <v>23.14</v>
      </c>
      <c r="AI689" s="381">
        <v>31636.2</v>
      </c>
      <c r="AJ689" s="376" t="s">
        <v>179</v>
      </c>
      <c r="AK689" s="376" t="s">
        <v>180</v>
      </c>
      <c r="AL689" s="376" t="s">
        <v>181</v>
      </c>
      <c r="AM689" s="376" t="s">
        <v>182</v>
      </c>
      <c r="AN689" s="376" t="s">
        <v>68</v>
      </c>
      <c r="AO689" s="379">
        <v>80</v>
      </c>
      <c r="AP689" s="385">
        <v>1</v>
      </c>
      <c r="AQ689" s="385">
        <v>0</v>
      </c>
      <c r="AR689" s="383" t="s">
        <v>183</v>
      </c>
      <c r="AS689" s="387">
        <f t="shared" si="467"/>
        <v>0</v>
      </c>
      <c r="AT689">
        <f t="shared" si="468"/>
        <v>0</v>
      </c>
      <c r="AU689" s="387" t="str">
        <f>IF(AT689=0,"",IF(AND(AT689=1,M689="F",SUMIF(C2:C1334,C689,AS2:AS1334)&lt;=1),SUMIF(C2:C1334,C689,AS2:AS1334),IF(AND(AT689=1,M689="F",SUMIF(C2:C1334,C689,AS2:AS1334)&gt;1),1,"")))</f>
        <v/>
      </c>
      <c r="AV689" s="387" t="str">
        <f>IF(AT689=0,"",IF(AND(AT689=3,M689="F",SUMIF(C2:C1334,C689,AS2:AS1334)&lt;=1),SUMIF(C2:C1334,C689,AS2:AS1334),IF(AND(AT689=3,M689="F",SUMIF(C2:C1334,C689,AS2:AS1334)&gt;1),1,"")))</f>
        <v/>
      </c>
      <c r="AW689" s="387">
        <f>SUMIF(C2:C1334,C689,O2:O1334)</f>
        <v>2</v>
      </c>
      <c r="AX689" s="387">
        <f>IF(AND(M689="F",AS689&lt;&gt;0),SUMIF(C2:C1334,C689,W2:W1334),0)</f>
        <v>0</v>
      </c>
      <c r="AY689" s="387" t="str">
        <f t="shared" si="469"/>
        <v/>
      </c>
      <c r="AZ689" s="387" t="str">
        <f t="shared" si="470"/>
        <v/>
      </c>
      <c r="BA689" s="387">
        <f t="shared" si="471"/>
        <v>0</v>
      </c>
      <c r="BB689" s="387">
        <f t="shared" si="440"/>
        <v>0</v>
      </c>
      <c r="BC689" s="387">
        <f t="shared" si="441"/>
        <v>0</v>
      </c>
      <c r="BD689" s="387">
        <f t="shared" si="442"/>
        <v>0</v>
      </c>
      <c r="BE689" s="387">
        <f t="shared" si="443"/>
        <v>0</v>
      </c>
      <c r="BF689" s="387">
        <f t="shared" si="444"/>
        <v>0</v>
      </c>
      <c r="BG689" s="387">
        <f t="shared" si="445"/>
        <v>0</v>
      </c>
      <c r="BH689" s="387">
        <f t="shared" si="446"/>
        <v>0</v>
      </c>
      <c r="BI689" s="387">
        <f t="shared" si="447"/>
        <v>0</v>
      </c>
      <c r="BJ689" s="387">
        <f t="shared" si="448"/>
        <v>0</v>
      </c>
      <c r="BK689" s="387">
        <f t="shared" si="449"/>
        <v>0</v>
      </c>
      <c r="BL689" s="387">
        <f t="shared" si="472"/>
        <v>0</v>
      </c>
      <c r="BM689" s="387">
        <f t="shared" si="473"/>
        <v>0</v>
      </c>
      <c r="BN689" s="387">
        <f t="shared" si="450"/>
        <v>0</v>
      </c>
      <c r="BO689" s="387">
        <f t="shared" si="451"/>
        <v>0</v>
      </c>
      <c r="BP689" s="387">
        <f t="shared" si="452"/>
        <v>0</v>
      </c>
      <c r="BQ689" s="387">
        <f t="shared" si="453"/>
        <v>0</v>
      </c>
      <c r="BR689" s="387">
        <f t="shared" si="454"/>
        <v>0</v>
      </c>
      <c r="BS689" s="387">
        <f t="shared" si="455"/>
        <v>0</v>
      </c>
      <c r="BT689" s="387">
        <f t="shared" si="456"/>
        <v>0</v>
      </c>
      <c r="BU689" s="387">
        <f t="shared" si="457"/>
        <v>0</v>
      </c>
      <c r="BV689" s="387">
        <f t="shared" si="458"/>
        <v>0</v>
      </c>
      <c r="BW689" s="387">
        <f t="shared" si="459"/>
        <v>0</v>
      </c>
      <c r="BX689" s="387">
        <f t="shared" si="474"/>
        <v>0</v>
      </c>
      <c r="BY689" s="387">
        <f t="shared" si="475"/>
        <v>0</v>
      </c>
      <c r="BZ689" s="387">
        <f t="shared" si="476"/>
        <v>0</v>
      </c>
      <c r="CA689" s="387">
        <f t="shared" si="477"/>
        <v>0</v>
      </c>
      <c r="CB689" s="387">
        <f t="shared" si="478"/>
        <v>0</v>
      </c>
      <c r="CC689" s="387">
        <f t="shared" si="460"/>
        <v>0</v>
      </c>
      <c r="CD689" s="387">
        <f t="shared" si="461"/>
        <v>0</v>
      </c>
      <c r="CE689" s="387">
        <f t="shared" si="462"/>
        <v>0</v>
      </c>
      <c r="CF689" s="387">
        <f t="shared" si="463"/>
        <v>0</v>
      </c>
      <c r="CG689" s="387">
        <f t="shared" si="464"/>
        <v>0</v>
      </c>
      <c r="CH689" s="387">
        <f t="shared" si="465"/>
        <v>0</v>
      </c>
      <c r="CI689" s="387">
        <f t="shared" si="466"/>
        <v>0</v>
      </c>
      <c r="CJ689" s="387">
        <f t="shared" si="479"/>
        <v>0</v>
      </c>
      <c r="CK689" s="387" t="str">
        <f t="shared" si="480"/>
        <v/>
      </c>
      <c r="CL689" s="387" t="str">
        <f t="shared" si="481"/>
        <v/>
      </c>
      <c r="CM689" s="387" t="str">
        <f t="shared" si="482"/>
        <v/>
      </c>
      <c r="CN689" s="387" t="str">
        <f t="shared" si="483"/>
        <v>0349-31</v>
      </c>
    </row>
    <row r="690" spans="1:92" ht="15.75" thickBot="1" x14ac:dyDescent="0.3">
      <c r="A690" s="376" t="s">
        <v>161</v>
      </c>
      <c r="B690" s="376" t="s">
        <v>162</v>
      </c>
      <c r="C690" s="376" t="s">
        <v>1390</v>
      </c>
      <c r="D690" s="376" t="s">
        <v>862</v>
      </c>
      <c r="E690" s="376" t="s">
        <v>669</v>
      </c>
      <c r="F690" s="382" t="s">
        <v>225</v>
      </c>
      <c r="G690" s="376" t="s">
        <v>781</v>
      </c>
      <c r="H690" s="378"/>
      <c r="I690" s="378"/>
      <c r="J690" s="376" t="s">
        <v>215</v>
      </c>
      <c r="K690" s="376" t="s">
        <v>863</v>
      </c>
      <c r="L690" s="376" t="s">
        <v>252</v>
      </c>
      <c r="M690" s="376" t="s">
        <v>272</v>
      </c>
      <c r="N690" s="376" t="s">
        <v>172</v>
      </c>
      <c r="O690" s="379">
        <v>0</v>
      </c>
      <c r="P690" s="385">
        <v>0</v>
      </c>
      <c r="Q690" s="385">
        <v>0</v>
      </c>
      <c r="R690" s="380">
        <v>80</v>
      </c>
      <c r="S690" s="385">
        <v>0</v>
      </c>
      <c r="T690" s="380">
        <v>67.67</v>
      </c>
      <c r="U690" s="380">
        <v>0</v>
      </c>
      <c r="V690" s="380">
        <v>26.11</v>
      </c>
      <c r="W690" s="380">
        <v>0</v>
      </c>
      <c r="X690" s="380">
        <v>0</v>
      </c>
      <c r="Y690" s="380">
        <v>0</v>
      </c>
      <c r="Z690" s="380">
        <v>0</v>
      </c>
      <c r="AA690" s="378"/>
      <c r="AB690" s="376" t="s">
        <v>45</v>
      </c>
      <c r="AC690" s="376" t="s">
        <v>45</v>
      </c>
      <c r="AD690" s="378"/>
      <c r="AE690" s="378"/>
      <c r="AF690" s="378"/>
      <c r="AG690" s="378"/>
      <c r="AH690" s="379">
        <v>0</v>
      </c>
      <c r="AI690" s="379">
        <v>0</v>
      </c>
      <c r="AJ690" s="378"/>
      <c r="AK690" s="378"/>
      <c r="AL690" s="376" t="s">
        <v>181</v>
      </c>
      <c r="AM690" s="378"/>
      <c r="AN690" s="378"/>
      <c r="AO690" s="379">
        <v>0</v>
      </c>
      <c r="AP690" s="385">
        <v>0</v>
      </c>
      <c r="AQ690" s="385">
        <v>0</v>
      </c>
      <c r="AR690" s="384"/>
      <c r="AS690" s="387">
        <f t="shared" si="467"/>
        <v>0</v>
      </c>
      <c r="AT690">
        <f t="shared" si="468"/>
        <v>0</v>
      </c>
      <c r="AU690" s="387" t="str">
        <f>IF(AT690=0,"",IF(AND(AT690=1,M690="F",SUMIF(C2:C1334,C690,AS2:AS1334)&lt;=1),SUMIF(C2:C1334,C690,AS2:AS1334),IF(AND(AT690=1,M690="F",SUMIF(C2:C1334,C690,AS2:AS1334)&gt;1),1,"")))</f>
        <v/>
      </c>
      <c r="AV690" s="387" t="str">
        <f>IF(AT690=0,"",IF(AND(AT690=3,M690="F",SUMIF(C2:C1334,C690,AS2:AS1334)&lt;=1),SUMIF(C2:C1334,C690,AS2:AS1334),IF(AND(AT690=3,M690="F",SUMIF(C2:C1334,C690,AS2:AS1334)&gt;1),1,"")))</f>
        <v/>
      </c>
      <c r="AW690" s="387">
        <f>SUMIF(C2:C1334,C690,O2:O1334)</f>
        <v>0</v>
      </c>
      <c r="AX690" s="387">
        <f>IF(AND(M690="F",AS690&lt;&gt;0),SUMIF(C2:C1334,C690,W2:W1334),0)</f>
        <v>0</v>
      </c>
      <c r="AY690" s="387" t="str">
        <f t="shared" si="469"/>
        <v/>
      </c>
      <c r="AZ690" s="387" t="str">
        <f t="shared" si="470"/>
        <v/>
      </c>
      <c r="BA690" s="387">
        <f t="shared" si="471"/>
        <v>0</v>
      </c>
      <c r="BB690" s="387">
        <f t="shared" si="440"/>
        <v>0</v>
      </c>
      <c r="BC690" s="387">
        <f t="shared" si="441"/>
        <v>0</v>
      </c>
      <c r="BD690" s="387">
        <f t="shared" si="442"/>
        <v>0</v>
      </c>
      <c r="BE690" s="387">
        <f t="shared" si="443"/>
        <v>0</v>
      </c>
      <c r="BF690" s="387">
        <f t="shared" si="444"/>
        <v>0</v>
      </c>
      <c r="BG690" s="387">
        <f t="shared" si="445"/>
        <v>0</v>
      </c>
      <c r="BH690" s="387">
        <f t="shared" si="446"/>
        <v>0</v>
      </c>
      <c r="BI690" s="387">
        <f t="shared" si="447"/>
        <v>0</v>
      </c>
      <c r="BJ690" s="387">
        <f t="shared" si="448"/>
        <v>0</v>
      </c>
      <c r="BK690" s="387">
        <f t="shared" si="449"/>
        <v>0</v>
      </c>
      <c r="BL690" s="387">
        <f t="shared" si="472"/>
        <v>0</v>
      </c>
      <c r="BM690" s="387">
        <f t="shared" si="473"/>
        <v>0</v>
      </c>
      <c r="BN690" s="387">
        <f t="shared" si="450"/>
        <v>0</v>
      </c>
      <c r="BO690" s="387">
        <f t="shared" si="451"/>
        <v>0</v>
      </c>
      <c r="BP690" s="387">
        <f t="shared" si="452"/>
        <v>0</v>
      </c>
      <c r="BQ690" s="387">
        <f t="shared" si="453"/>
        <v>0</v>
      </c>
      <c r="BR690" s="387">
        <f t="shared" si="454"/>
        <v>0</v>
      </c>
      <c r="BS690" s="387">
        <f t="shared" si="455"/>
        <v>0</v>
      </c>
      <c r="BT690" s="387">
        <f t="shared" si="456"/>
        <v>0</v>
      </c>
      <c r="BU690" s="387">
        <f t="shared" si="457"/>
        <v>0</v>
      </c>
      <c r="BV690" s="387">
        <f t="shared" si="458"/>
        <v>0</v>
      </c>
      <c r="BW690" s="387">
        <f t="shared" si="459"/>
        <v>0</v>
      </c>
      <c r="BX690" s="387">
        <f t="shared" si="474"/>
        <v>0</v>
      </c>
      <c r="BY690" s="387">
        <f t="shared" si="475"/>
        <v>0</v>
      </c>
      <c r="BZ690" s="387">
        <f t="shared" si="476"/>
        <v>0</v>
      </c>
      <c r="CA690" s="387">
        <f t="shared" si="477"/>
        <v>0</v>
      </c>
      <c r="CB690" s="387">
        <f t="shared" si="478"/>
        <v>0</v>
      </c>
      <c r="CC690" s="387">
        <f t="shared" si="460"/>
        <v>0</v>
      </c>
      <c r="CD690" s="387">
        <f t="shared" si="461"/>
        <v>0</v>
      </c>
      <c r="CE690" s="387">
        <f t="shared" si="462"/>
        <v>0</v>
      </c>
      <c r="CF690" s="387">
        <f t="shared" si="463"/>
        <v>0</v>
      </c>
      <c r="CG690" s="387">
        <f t="shared" si="464"/>
        <v>0</v>
      </c>
      <c r="CH690" s="387">
        <f t="shared" si="465"/>
        <v>0</v>
      </c>
      <c r="CI690" s="387">
        <f t="shared" si="466"/>
        <v>0</v>
      </c>
      <c r="CJ690" s="387">
        <f t="shared" si="479"/>
        <v>0</v>
      </c>
      <c r="CK690" s="387" t="str">
        <f t="shared" si="480"/>
        <v/>
      </c>
      <c r="CL690" s="387" t="str">
        <f t="shared" si="481"/>
        <v/>
      </c>
      <c r="CM690" s="387" t="str">
        <f t="shared" si="482"/>
        <v/>
      </c>
      <c r="CN690" s="387" t="str">
        <f t="shared" si="483"/>
        <v>0349-31</v>
      </c>
    </row>
    <row r="691" spans="1:92" ht="15.75" thickBot="1" x14ac:dyDescent="0.3">
      <c r="A691" s="376" t="s">
        <v>161</v>
      </c>
      <c r="B691" s="376" t="s">
        <v>162</v>
      </c>
      <c r="C691" s="376" t="s">
        <v>1480</v>
      </c>
      <c r="D691" s="376" t="s">
        <v>862</v>
      </c>
      <c r="E691" s="376" t="s">
        <v>669</v>
      </c>
      <c r="F691" s="382" t="s">
        <v>225</v>
      </c>
      <c r="G691" s="376" t="s">
        <v>781</v>
      </c>
      <c r="H691" s="378"/>
      <c r="I691" s="378"/>
      <c r="J691" s="376" t="s">
        <v>215</v>
      </c>
      <c r="K691" s="376" t="s">
        <v>863</v>
      </c>
      <c r="L691" s="376" t="s">
        <v>252</v>
      </c>
      <c r="M691" s="376" t="s">
        <v>171</v>
      </c>
      <c r="N691" s="376" t="s">
        <v>172</v>
      </c>
      <c r="O691" s="379">
        <v>1</v>
      </c>
      <c r="P691" s="385">
        <v>0</v>
      </c>
      <c r="Q691" s="385">
        <v>0</v>
      </c>
      <c r="R691" s="380">
        <v>80</v>
      </c>
      <c r="S691" s="385">
        <v>0</v>
      </c>
      <c r="T691" s="380">
        <v>102.17</v>
      </c>
      <c r="U691" s="380">
        <v>0</v>
      </c>
      <c r="V691" s="380">
        <v>35.19</v>
      </c>
      <c r="W691" s="380">
        <v>0</v>
      </c>
      <c r="X691" s="380">
        <v>0</v>
      </c>
      <c r="Y691" s="380">
        <v>0</v>
      </c>
      <c r="Z691" s="380">
        <v>0</v>
      </c>
      <c r="AA691" s="376" t="s">
        <v>1481</v>
      </c>
      <c r="AB691" s="376" t="s">
        <v>1482</v>
      </c>
      <c r="AC691" s="376" t="s">
        <v>916</v>
      </c>
      <c r="AD691" s="376" t="s">
        <v>170</v>
      </c>
      <c r="AE691" s="376" t="s">
        <v>863</v>
      </c>
      <c r="AF691" s="376" t="s">
        <v>393</v>
      </c>
      <c r="AG691" s="376" t="s">
        <v>178</v>
      </c>
      <c r="AH691" s="381">
        <v>23.99</v>
      </c>
      <c r="AI691" s="381">
        <v>38284.9</v>
      </c>
      <c r="AJ691" s="376" t="s">
        <v>179</v>
      </c>
      <c r="AK691" s="376" t="s">
        <v>180</v>
      </c>
      <c r="AL691" s="376" t="s">
        <v>181</v>
      </c>
      <c r="AM691" s="376" t="s">
        <v>182</v>
      </c>
      <c r="AN691" s="376" t="s">
        <v>68</v>
      </c>
      <c r="AO691" s="379">
        <v>80</v>
      </c>
      <c r="AP691" s="385">
        <v>1</v>
      </c>
      <c r="AQ691" s="385">
        <v>0</v>
      </c>
      <c r="AR691" s="383" t="s">
        <v>183</v>
      </c>
      <c r="AS691" s="387">
        <f t="shared" si="467"/>
        <v>0</v>
      </c>
      <c r="AT691">
        <f t="shared" si="468"/>
        <v>0</v>
      </c>
      <c r="AU691" s="387" t="str">
        <f>IF(AT691=0,"",IF(AND(AT691=1,M691="F",SUMIF(C2:C1334,C691,AS2:AS1334)&lt;=1),SUMIF(C2:C1334,C691,AS2:AS1334),IF(AND(AT691=1,M691="F",SUMIF(C2:C1334,C691,AS2:AS1334)&gt;1),1,"")))</f>
        <v/>
      </c>
      <c r="AV691" s="387" t="str">
        <f>IF(AT691=0,"",IF(AND(AT691=3,M691="F",SUMIF(C2:C1334,C691,AS2:AS1334)&lt;=1),SUMIF(C2:C1334,C691,AS2:AS1334),IF(AND(AT691=3,M691="F",SUMIF(C2:C1334,C691,AS2:AS1334)&gt;1),1,"")))</f>
        <v/>
      </c>
      <c r="AW691" s="387">
        <f>SUMIF(C2:C1334,C691,O2:O1334)</f>
        <v>3</v>
      </c>
      <c r="AX691" s="387">
        <f>IF(AND(M691="F",AS691&lt;&gt;0),SUMIF(C2:C1334,C691,W2:W1334),0)</f>
        <v>0</v>
      </c>
      <c r="AY691" s="387" t="str">
        <f t="shared" si="469"/>
        <v/>
      </c>
      <c r="AZ691" s="387" t="str">
        <f t="shared" si="470"/>
        <v/>
      </c>
      <c r="BA691" s="387">
        <f t="shared" si="471"/>
        <v>0</v>
      </c>
      <c r="BB691" s="387">
        <f t="shared" si="440"/>
        <v>0</v>
      </c>
      <c r="BC691" s="387">
        <f t="shared" si="441"/>
        <v>0</v>
      </c>
      <c r="BD691" s="387">
        <f t="shared" si="442"/>
        <v>0</v>
      </c>
      <c r="BE691" s="387">
        <f t="shared" si="443"/>
        <v>0</v>
      </c>
      <c r="BF691" s="387">
        <f t="shared" si="444"/>
        <v>0</v>
      </c>
      <c r="BG691" s="387">
        <f t="shared" si="445"/>
        <v>0</v>
      </c>
      <c r="BH691" s="387">
        <f t="shared" si="446"/>
        <v>0</v>
      </c>
      <c r="BI691" s="387">
        <f t="shared" si="447"/>
        <v>0</v>
      </c>
      <c r="BJ691" s="387">
        <f t="shared" si="448"/>
        <v>0</v>
      </c>
      <c r="BK691" s="387">
        <f t="shared" si="449"/>
        <v>0</v>
      </c>
      <c r="BL691" s="387">
        <f t="shared" si="472"/>
        <v>0</v>
      </c>
      <c r="BM691" s="387">
        <f t="shared" si="473"/>
        <v>0</v>
      </c>
      <c r="BN691" s="387">
        <f t="shared" si="450"/>
        <v>0</v>
      </c>
      <c r="BO691" s="387">
        <f t="shared" si="451"/>
        <v>0</v>
      </c>
      <c r="BP691" s="387">
        <f t="shared" si="452"/>
        <v>0</v>
      </c>
      <c r="BQ691" s="387">
        <f t="shared" si="453"/>
        <v>0</v>
      </c>
      <c r="BR691" s="387">
        <f t="shared" si="454"/>
        <v>0</v>
      </c>
      <c r="BS691" s="387">
        <f t="shared" si="455"/>
        <v>0</v>
      </c>
      <c r="BT691" s="387">
        <f t="shared" si="456"/>
        <v>0</v>
      </c>
      <c r="BU691" s="387">
        <f t="shared" si="457"/>
        <v>0</v>
      </c>
      <c r="BV691" s="387">
        <f t="shared" si="458"/>
        <v>0</v>
      </c>
      <c r="BW691" s="387">
        <f t="shared" si="459"/>
        <v>0</v>
      </c>
      <c r="BX691" s="387">
        <f t="shared" si="474"/>
        <v>0</v>
      </c>
      <c r="BY691" s="387">
        <f t="shared" si="475"/>
        <v>0</v>
      </c>
      <c r="BZ691" s="387">
        <f t="shared" si="476"/>
        <v>0</v>
      </c>
      <c r="CA691" s="387">
        <f t="shared" si="477"/>
        <v>0</v>
      </c>
      <c r="CB691" s="387">
        <f t="shared" si="478"/>
        <v>0</v>
      </c>
      <c r="CC691" s="387">
        <f t="shared" si="460"/>
        <v>0</v>
      </c>
      <c r="CD691" s="387">
        <f t="shared" si="461"/>
        <v>0</v>
      </c>
      <c r="CE691" s="387">
        <f t="shared" si="462"/>
        <v>0</v>
      </c>
      <c r="CF691" s="387">
        <f t="shared" si="463"/>
        <v>0</v>
      </c>
      <c r="CG691" s="387">
        <f t="shared" si="464"/>
        <v>0</v>
      </c>
      <c r="CH691" s="387">
        <f t="shared" si="465"/>
        <v>0</v>
      </c>
      <c r="CI691" s="387">
        <f t="shared" si="466"/>
        <v>0</v>
      </c>
      <c r="CJ691" s="387">
        <f t="shared" si="479"/>
        <v>0</v>
      </c>
      <c r="CK691" s="387" t="str">
        <f t="shared" si="480"/>
        <v/>
      </c>
      <c r="CL691" s="387" t="str">
        <f t="shared" si="481"/>
        <v/>
      </c>
      <c r="CM691" s="387" t="str">
        <f t="shared" si="482"/>
        <v/>
      </c>
      <c r="CN691" s="387" t="str">
        <f t="shared" si="483"/>
        <v>0349-31</v>
      </c>
    </row>
    <row r="692" spans="1:92" ht="15.75" thickBot="1" x14ac:dyDescent="0.3">
      <c r="A692" s="376" t="s">
        <v>161</v>
      </c>
      <c r="B692" s="376" t="s">
        <v>162</v>
      </c>
      <c r="C692" s="376" t="s">
        <v>841</v>
      </c>
      <c r="D692" s="376" t="s">
        <v>792</v>
      </c>
      <c r="E692" s="376" t="s">
        <v>669</v>
      </c>
      <c r="F692" s="382" t="s">
        <v>225</v>
      </c>
      <c r="G692" s="376" t="s">
        <v>781</v>
      </c>
      <c r="H692" s="378"/>
      <c r="I692" s="378"/>
      <c r="J692" s="376" t="s">
        <v>239</v>
      </c>
      <c r="K692" s="376" t="s">
        <v>793</v>
      </c>
      <c r="L692" s="376" t="s">
        <v>170</v>
      </c>
      <c r="M692" s="376" t="s">
        <v>171</v>
      </c>
      <c r="N692" s="376" t="s">
        <v>172</v>
      </c>
      <c r="O692" s="379">
        <v>1</v>
      </c>
      <c r="P692" s="385">
        <v>0</v>
      </c>
      <c r="Q692" s="385">
        <v>0</v>
      </c>
      <c r="R692" s="380">
        <v>80</v>
      </c>
      <c r="S692" s="385">
        <v>0</v>
      </c>
      <c r="T692" s="380">
        <v>83.6</v>
      </c>
      <c r="U692" s="380">
        <v>0</v>
      </c>
      <c r="V692" s="380">
        <v>31.5</v>
      </c>
      <c r="W692" s="380">
        <v>0</v>
      </c>
      <c r="X692" s="380">
        <v>0</v>
      </c>
      <c r="Y692" s="380">
        <v>0</v>
      </c>
      <c r="Z692" s="380">
        <v>0</v>
      </c>
      <c r="AA692" s="376" t="s">
        <v>842</v>
      </c>
      <c r="AB692" s="376" t="s">
        <v>843</v>
      </c>
      <c r="AC692" s="376" t="s">
        <v>236</v>
      </c>
      <c r="AD692" s="376" t="s">
        <v>324</v>
      </c>
      <c r="AE692" s="376" t="s">
        <v>793</v>
      </c>
      <c r="AF692" s="376" t="s">
        <v>177</v>
      </c>
      <c r="AG692" s="376" t="s">
        <v>178</v>
      </c>
      <c r="AH692" s="381">
        <v>23.57</v>
      </c>
      <c r="AI692" s="381">
        <v>17414.5</v>
      </c>
      <c r="AJ692" s="376" t="s">
        <v>179</v>
      </c>
      <c r="AK692" s="376" t="s">
        <v>180</v>
      </c>
      <c r="AL692" s="376" t="s">
        <v>181</v>
      </c>
      <c r="AM692" s="376" t="s">
        <v>182</v>
      </c>
      <c r="AN692" s="376" t="s">
        <v>68</v>
      </c>
      <c r="AO692" s="379">
        <v>80</v>
      </c>
      <c r="AP692" s="385">
        <v>1</v>
      </c>
      <c r="AQ692" s="385">
        <v>0</v>
      </c>
      <c r="AR692" s="383" t="s">
        <v>183</v>
      </c>
      <c r="AS692" s="387">
        <f t="shared" si="467"/>
        <v>0</v>
      </c>
      <c r="AT692">
        <f t="shared" si="468"/>
        <v>0</v>
      </c>
      <c r="AU692" s="387" t="str">
        <f>IF(AT692=0,"",IF(AND(AT692=1,M692="F",SUMIF(C2:C1334,C692,AS2:AS1334)&lt;=1),SUMIF(C2:C1334,C692,AS2:AS1334),IF(AND(AT692=1,M692="F",SUMIF(C2:C1334,C692,AS2:AS1334)&gt;1),1,"")))</f>
        <v/>
      </c>
      <c r="AV692" s="387" t="str">
        <f>IF(AT692=0,"",IF(AND(AT692=3,M692="F",SUMIF(C2:C1334,C692,AS2:AS1334)&lt;=1),SUMIF(C2:C1334,C692,AS2:AS1334),IF(AND(AT692=3,M692="F",SUMIF(C2:C1334,C692,AS2:AS1334)&gt;1),1,"")))</f>
        <v/>
      </c>
      <c r="AW692" s="387">
        <f>SUMIF(C2:C1334,C692,O2:O1334)</f>
        <v>4</v>
      </c>
      <c r="AX692" s="387">
        <f>IF(AND(M692="F",AS692&lt;&gt;0),SUMIF(C2:C1334,C692,W2:W1334),0)</f>
        <v>0</v>
      </c>
      <c r="AY692" s="387" t="str">
        <f t="shared" si="469"/>
        <v/>
      </c>
      <c r="AZ692" s="387" t="str">
        <f t="shared" si="470"/>
        <v/>
      </c>
      <c r="BA692" s="387">
        <f t="shared" si="471"/>
        <v>0</v>
      </c>
      <c r="BB692" s="387">
        <f t="shared" si="440"/>
        <v>0</v>
      </c>
      <c r="BC692" s="387">
        <f t="shared" si="441"/>
        <v>0</v>
      </c>
      <c r="BD692" s="387">
        <f t="shared" si="442"/>
        <v>0</v>
      </c>
      <c r="BE692" s="387">
        <f t="shared" si="443"/>
        <v>0</v>
      </c>
      <c r="BF692" s="387">
        <f t="shared" si="444"/>
        <v>0</v>
      </c>
      <c r="BG692" s="387">
        <f t="shared" si="445"/>
        <v>0</v>
      </c>
      <c r="BH692" s="387">
        <f t="shared" si="446"/>
        <v>0</v>
      </c>
      <c r="BI692" s="387">
        <f t="shared" si="447"/>
        <v>0</v>
      </c>
      <c r="BJ692" s="387">
        <f t="shared" si="448"/>
        <v>0</v>
      </c>
      <c r="BK692" s="387">
        <f t="shared" si="449"/>
        <v>0</v>
      </c>
      <c r="BL692" s="387">
        <f t="shared" si="472"/>
        <v>0</v>
      </c>
      <c r="BM692" s="387">
        <f t="shared" si="473"/>
        <v>0</v>
      </c>
      <c r="BN692" s="387">
        <f t="shared" si="450"/>
        <v>0</v>
      </c>
      <c r="BO692" s="387">
        <f t="shared" si="451"/>
        <v>0</v>
      </c>
      <c r="BP692" s="387">
        <f t="shared" si="452"/>
        <v>0</v>
      </c>
      <c r="BQ692" s="387">
        <f t="shared" si="453"/>
        <v>0</v>
      </c>
      <c r="BR692" s="387">
        <f t="shared" si="454"/>
        <v>0</v>
      </c>
      <c r="BS692" s="387">
        <f t="shared" si="455"/>
        <v>0</v>
      </c>
      <c r="BT692" s="387">
        <f t="shared" si="456"/>
        <v>0</v>
      </c>
      <c r="BU692" s="387">
        <f t="shared" si="457"/>
        <v>0</v>
      </c>
      <c r="BV692" s="387">
        <f t="shared" si="458"/>
        <v>0</v>
      </c>
      <c r="BW692" s="387">
        <f t="shared" si="459"/>
        <v>0</v>
      </c>
      <c r="BX692" s="387">
        <f t="shared" si="474"/>
        <v>0</v>
      </c>
      <c r="BY692" s="387">
        <f t="shared" si="475"/>
        <v>0</v>
      </c>
      <c r="BZ692" s="387">
        <f t="shared" si="476"/>
        <v>0</v>
      </c>
      <c r="CA692" s="387">
        <f t="shared" si="477"/>
        <v>0</v>
      </c>
      <c r="CB692" s="387">
        <f t="shared" si="478"/>
        <v>0</v>
      </c>
      <c r="CC692" s="387">
        <f t="shared" si="460"/>
        <v>0</v>
      </c>
      <c r="CD692" s="387">
        <f t="shared" si="461"/>
        <v>0</v>
      </c>
      <c r="CE692" s="387">
        <f t="shared" si="462"/>
        <v>0</v>
      </c>
      <c r="CF692" s="387">
        <f t="shared" si="463"/>
        <v>0</v>
      </c>
      <c r="CG692" s="387">
        <f t="shared" si="464"/>
        <v>0</v>
      </c>
      <c r="CH692" s="387">
        <f t="shared" si="465"/>
        <v>0</v>
      </c>
      <c r="CI692" s="387">
        <f t="shared" si="466"/>
        <v>0</v>
      </c>
      <c r="CJ692" s="387">
        <f t="shared" si="479"/>
        <v>0</v>
      </c>
      <c r="CK692" s="387" t="str">
        <f t="shared" si="480"/>
        <v/>
      </c>
      <c r="CL692" s="387" t="str">
        <f t="shared" si="481"/>
        <v/>
      </c>
      <c r="CM692" s="387" t="str">
        <f t="shared" si="482"/>
        <v/>
      </c>
      <c r="CN692" s="387" t="str">
        <f t="shared" si="483"/>
        <v>0349-31</v>
      </c>
    </row>
    <row r="693" spans="1:92" ht="15.75" thickBot="1" x14ac:dyDescent="0.3">
      <c r="A693" s="376" t="s">
        <v>161</v>
      </c>
      <c r="B693" s="376" t="s">
        <v>162</v>
      </c>
      <c r="C693" s="376" t="s">
        <v>1709</v>
      </c>
      <c r="D693" s="376" t="s">
        <v>862</v>
      </c>
      <c r="E693" s="376" t="s">
        <v>669</v>
      </c>
      <c r="F693" s="382" t="s">
        <v>225</v>
      </c>
      <c r="G693" s="376" t="s">
        <v>781</v>
      </c>
      <c r="H693" s="378"/>
      <c r="I693" s="378"/>
      <c r="J693" s="376" t="s">
        <v>239</v>
      </c>
      <c r="K693" s="376" t="s">
        <v>863</v>
      </c>
      <c r="L693" s="376" t="s">
        <v>252</v>
      </c>
      <c r="M693" s="376" t="s">
        <v>171</v>
      </c>
      <c r="N693" s="376" t="s">
        <v>172</v>
      </c>
      <c r="O693" s="379">
        <v>1</v>
      </c>
      <c r="P693" s="385">
        <v>0</v>
      </c>
      <c r="Q693" s="385">
        <v>0</v>
      </c>
      <c r="R693" s="380">
        <v>80</v>
      </c>
      <c r="S693" s="385">
        <v>0</v>
      </c>
      <c r="T693" s="380">
        <v>105.64</v>
      </c>
      <c r="U693" s="380">
        <v>0</v>
      </c>
      <c r="V693" s="380">
        <v>31.25</v>
      </c>
      <c r="W693" s="380">
        <v>0</v>
      </c>
      <c r="X693" s="380">
        <v>0</v>
      </c>
      <c r="Y693" s="380">
        <v>0</v>
      </c>
      <c r="Z693" s="380">
        <v>0</v>
      </c>
      <c r="AA693" s="376" t="s">
        <v>1710</v>
      </c>
      <c r="AB693" s="376" t="s">
        <v>1711</v>
      </c>
      <c r="AC693" s="376" t="s">
        <v>1712</v>
      </c>
      <c r="AD693" s="376" t="s">
        <v>1713</v>
      </c>
      <c r="AE693" s="376" t="s">
        <v>863</v>
      </c>
      <c r="AF693" s="376" t="s">
        <v>393</v>
      </c>
      <c r="AG693" s="376" t="s">
        <v>178</v>
      </c>
      <c r="AH693" s="381">
        <v>25.15</v>
      </c>
      <c r="AI693" s="381">
        <v>73305.5</v>
      </c>
      <c r="AJ693" s="376" t="s">
        <v>179</v>
      </c>
      <c r="AK693" s="376" t="s">
        <v>180</v>
      </c>
      <c r="AL693" s="376" t="s">
        <v>181</v>
      </c>
      <c r="AM693" s="376" t="s">
        <v>182</v>
      </c>
      <c r="AN693" s="376" t="s">
        <v>68</v>
      </c>
      <c r="AO693" s="379">
        <v>80</v>
      </c>
      <c r="AP693" s="385">
        <v>1</v>
      </c>
      <c r="AQ693" s="385">
        <v>0</v>
      </c>
      <c r="AR693" s="383" t="s">
        <v>183</v>
      </c>
      <c r="AS693" s="387">
        <f t="shared" si="467"/>
        <v>0</v>
      </c>
      <c r="AT693">
        <f t="shared" si="468"/>
        <v>0</v>
      </c>
      <c r="AU693" s="387" t="str">
        <f>IF(AT693=0,"",IF(AND(AT693=1,M693="F",SUMIF(C2:C1334,C693,AS2:AS1334)&lt;=1),SUMIF(C2:C1334,C693,AS2:AS1334),IF(AND(AT693=1,M693="F",SUMIF(C2:C1334,C693,AS2:AS1334)&gt;1),1,"")))</f>
        <v/>
      </c>
      <c r="AV693" s="387" t="str">
        <f>IF(AT693=0,"",IF(AND(AT693=3,M693="F",SUMIF(C2:C1334,C693,AS2:AS1334)&lt;=1),SUMIF(C2:C1334,C693,AS2:AS1334),IF(AND(AT693=3,M693="F",SUMIF(C2:C1334,C693,AS2:AS1334)&gt;1),1,"")))</f>
        <v/>
      </c>
      <c r="AW693" s="387">
        <f>SUMIF(C2:C1334,C693,O2:O1334)</f>
        <v>3</v>
      </c>
      <c r="AX693" s="387">
        <f>IF(AND(M693="F",AS693&lt;&gt;0),SUMIF(C2:C1334,C693,W2:W1334),0)</f>
        <v>0</v>
      </c>
      <c r="AY693" s="387" t="str">
        <f t="shared" si="469"/>
        <v/>
      </c>
      <c r="AZ693" s="387" t="str">
        <f t="shared" si="470"/>
        <v/>
      </c>
      <c r="BA693" s="387">
        <f t="shared" si="471"/>
        <v>0</v>
      </c>
      <c r="BB693" s="387">
        <f t="shared" si="440"/>
        <v>0</v>
      </c>
      <c r="BC693" s="387">
        <f t="shared" si="441"/>
        <v>0</v>
      </c>
      <c r="BD693" s="387">
        <f t="shared" si="442"/>
        <v>0</v>
      </c>
      <c r="BE693" s="387">
        <f t="shared" si="443"/>
        <v>0</v>
      </c>
      <c r="BF693" s="387">
        <f t="shared" si="444"/>
        <v>0</v>
      </c>
      <c r="BG693" s="387">
        <f t="shared" si="445"/>
        <v>0</v>
      </c>
      <c r="BH693" s="387">
        <f t="shared" si="446"/>
        <v>0</v>
      </c>
      <c r="BI693" s="387">
        <f t="shared" si="447"/>
        <v>0</v>
      </c>
      <c r="BJ693" s="387">
        <f t="shared" si="448"/>
        <v>0</v>
      </c>
      <c r="BK693" s="387">
        <f t="shared" si="449"/>
        <v>0</v>
      </c>
      <c r="BL693" s="387">
        <f t="shared" si="472"/>
        <v>0</v>
      </c>
      <c r="BM693" s="387">
        <f t="shared" si="473"/>
        <v>0</v>
      </c>
      <c r="BN693" s="387">
        <f t="shared" si="450"/>
        <v>0</v>
      </c>
      <c r="BO693" s="387">
        <f t="shared" si="451"/>
        <v>0</v>
      </c>
      <c r="BP693" s="387">
        <f t="shared" si="452"/>
        <v>0</v>
      </c>
      <c r="BQ693" s="387">
        <f t="shared" si="453"/>
        <v>0</v>
      </c>
      <c r="BR693" s="387">
        <f t="shared" si="454"/>
        <v>0</v>
      </c>
      <c r="BS693" s="387">
        <f t="shared" si="455"/>
        <v>0</v>
      </c>
      <c r="BT693" s="387">
        <f t="shared" si="456"/>
        <v>0</v>
      </c>
      <c r="BU693" s="387">
        <f t="shared" si="457"/>
        <v>0</v>
      </c>
      <c r="BV693" s="387">
        <f t="shared" si="458"/>
        <v>0</v>
      </c>
      <c r="BW693" s="387">
        <f t="shared" si="459"/>
        <v>0</v>
      </c>
      <c r="BX693" s="387">
        <f t="shared" si="474"/>
        <v>0</v>
      </c>
      <c r="BY693" s="387">
        <f t="shared" si="475"/>
        <v>0</v>
      </c>
      <c r="BZ693" s="387">
        <f t="shared" si="476"/>
        <v>0</v>
      </c>
      <c r="CA693" s="387">
        <f t="shared" si="477"/>
        <v>0</v>
      </c>
      <c r="CB693" s="387">
        <f t="shared" si="478"/>
        <v>0</v>
      </c>
      <c r="CC693" s="387">
        <f t="shared" si="460"/>
        <v>0</v>
      </c>
      <c r="CD693" s="387">
        <f t="shared" si="461"/>
        <v>0</v>
      </c>
      <c r="CE693" s="387">
        <f t="shared" si="462"/>
        <v>0</v>
      </c>
      <c r="CF693" s="387">
        <f t="shared" si="463"/>
        <v>0</v>
      </c>
      <c r="CG693" s="387">
        <f t="shared" si="464"/>
        <v>0</v>
      </c>
      <c r="CH693" s="387">
        <f t="shared" si="465"/>
        <v>0</v>
      </c>
      <c r="CI693" s="387">
        <f t="shared" si="466"/>
        <v>0</v>
      </c>
      <c r="CJ693" s="387">
        <f t="shared" si="479"/>
        <v>0</v>
      </c>
      <c r="CK693" s="387" t="str">
        <f t="shared" si="480"/>
        <v/>
      </c>
      <c r="CL693" s="387" t="str">
        <f t="shared" si="481"/>
        <v/>
      </c>
      <c r="CM693" s="387" t="str">
        <f t="shared" si="482"/>
        <v/>
      </c>
      <c r="CN693" s="387" t="str">
        <f t="shared" si="483"/>
        <v>0349-31</v>
      </c>
    </row>
    <row r="694" spans="1:92" ht="15.75" thickBot="1" x14ac:dyDescent="0.3">
      <c r="A694" s="376" t="s">
        <v>161</v>
      </c>
      <c r="B694" s="376" t="s">
        <v>162</v>
      </c>
      <c r="C694" s="376" t="s">
        <v>1488</v>
      </c>
      <c r="D694" s="376" t="s">
        <v>862</v>
      </c>
      <c r="E694" s="376" t="s">
        <v>669</v>
      </c>
      <c r="F694" s="382" t="s">
        <v>225</v>
      </c>
      <c r="G694" s="376" t="s">
        <v>781</v>
      </c>
      <c r="H694" s="378"/>
      <c r="I694" s="378"/>
      <c r="J694" s="376" t="s">
        <v>168</v>
      </c>
      <c r="K694" s="376" t="s">
        <v>863</v>
      </c>
      <c r="L694" s="376" t="s">
        <v>252</v>
      </c>
      <c r="M694" s="376" t="s">
        <v>171</v>
      </c>
      <c r="N694" s="376" t="s">
        <v>172</v>
      </c>
      <c r="O694" s="379">
        <v>1</v>
      </c>
      <c r="P694" s="385">
        <v>0</v>
      </c>
      <c r="Q694" s="385">
        <v>0</v>
      </c>
      <c r="R694" s="380">
        <v>80</v>
      </c>
      <c r="S694" s="385">
        <v>0</v>
      </c>
      <c r="T694" s="380">
        <v>170.24</v>
      </c>
      <c r="U694" s="380">
        <v>0</v>
      </c>
      <c r="V694" s="380">
        <v>84.13</v>
      </c>
      <c r="W694" s="380">
        <v>0</v>
      </c>
      <c r="X694" s="380">
        <v>0</v>
      </c>
      <c r="Y694" s="380">
        <v>0</v>
      </c>
      <c r="Z694" s="380">
        <v>0</v>
      </c>
      <c r="AA694" s="376" t="s">
        <v>1489</v>
      </c>
      <c r="AB694" s="376" t="s">
        <v>1490</v>
      </c>
      <c r="AC694" s="376" t="s">
        <v>366</v>
      </c>
      <c r="AD694" s="376" t="s">
        <v>324</v>
      </c>
      <c r="AE694" s="376" t="s">
        <v>863</v>
      </c>
      <c r="AF694" s="376" t="s">
        <v>393</v>
      </c>
      <c r="AG694" s="376" t="s">
        <v>178</v>
      </c>
      <c r="AH694" s="381">
        <v>20.83</v>
      </c>
      <c r="AI694" s="381">
        <v>18094.3</v>
      </c>
      <c r="AJ694" s="376" t="s">
        <v>179</v>
      </c>
      <c r="AK694" s="376" t="s">
        <v>180</v>
      </c>
      <c r="AL694" s="376" t="s">
        <v>181</v>
      </c>
      <c r="AM694" s="376" t="s">
        <v>182</v>
      </c>
      <c r="AN694" s="376" t="s">
        <v>68</v>
      </c>
      <c r="AO694" s="379">
        <v>80</v>
      </c>
      <c r="AP694" s="385">
        <v>1</v>
      </c>
      <c r="AQ694" s="385">
        <v>0</v>
      </c>
      <c r="AR694" s="383" t="s">
        <v>183</v>
      </c>
      <c r="AS694" s="387">
        <f t="shared" si="467"/>
        <v>0</v>
      </c>
      <c r="AT694">
        <f t="shared" si="468"/>
        <v>0</v>
      </c>
      <c r="AU694" s="387" t="str">
        <f>IF(AT694=0,"",IF(AND(AT694=1,M694="F",SUMIF(C2:C1334,C694,AS2:AS1334)&lt;=1),SUMIF(C2:C1334,C694,AS2:AS1334),IF(AND(AT694=1,M694="F",SUMIF(C2:C1334,C694,AS2:AS1334)&gt;1),1,"")))</f>
        <v/>
      </c>
      <c r="AV694" s="387" t="str">
        <f>IF(AT694=0,"",IF(AND(AT694=3,M694="F",SUMIF(C2:C1334,C694,AS2:AS1334)&lt;=1),SUMIF(C2:C1334,C694,AS2:AS1334),IF(AND(AT694=3,M694="F",SUMIF(C2:C1334,C694,AS2:AS1334)&gt;1),1,"")))</f>
        <v/>
      </c>
      <c r="AW694" s="387">
        <f>SUMIF(C2:C1334,C694,O2:O1334)</f>
        <v>3</v>
      </c>
      <c r="AX694" s="387">
        <f>IF(AND(M694="F",AS694&lt;&gt;0),SUMIF(C2:C1334,C694,W2:W1334),0)</f>
        <v>0</v>
      </c>
      <c r="AY694" s="387" t="str">
        <f t="shared" si="469"/>
        <v/>
      </c>
      <c r="AZ694" s="387" t="str">
        <f t="shared" si="470"/>
        <v/>
      </c>
      <c r="BA694" s="387">
        <f t="shared" si="471"/>
        <v>0</v>
      </c>
      <c r="BB694" s="387">
        <f t="shared" si="440"/>
        <v>0</v>
      </c>
      <c r="BC694" s="387">
        <f t="shared" si="441"/>
        <v>0</v>
      </c>
      <c r="BD694" s="387">
        <f t="shared" si="442"/>
        <v>0</v>
      </c>
      <c r="BE694" s="387">
        <f t="shared" si="443"/>
        <v>0</v>
      </c>
      <c r="BF694" s="387">
        <f t="shared" si="444"/>
        <v>0</v>
      </c>
      <c r="BG694" s="387">
        <f t="shared" si="445"/>
        <v>0</v>
      </c>
      <c r="BH694" s="387">
        <f t="shared" si="446"/>
        <v>0</v>
      </c>
      <c r="BI694" s="387">
        <f t="shared" si="447"/>
        <v>0</v>
      </c>
      <c r="BJ694" s="387">
        <f t="shared" si="448"/>
        <v>0</v>
      </c>
      <c r="BK694" s="387">
        <f t="shared" si="449"/>
        <v>0</v>
      </c>
      <c r="BL694" s="387">
        <f t="shared" si="472"/>
        <v>0</v>
      </c>
      <c r="BM694" s="387">
        <f t="shared" si="473"/>
        <v>0</v>
      </c>
      <c r="BN694" s="387">
        <f t="shared" si="450"/>
        <v>0</v>
      </c>
      <c r="BO694" s="387">
        <f t="shared" si="451"/>
        <v>0</v>
      </c>
      <c r="BP694" s="387">
        <f t="shared" si="452"/>
        <v>0</v>
      </c>
      <c r="BQ694" s="387">
        <f t="shared" si="453"/>
        <v>0</v>
      </c>
      <c r="BR694" s="387">
        <f t="shared" si="454"/>
        <v>0</v>
      </c>
      <c r="BS694" s="387">
        <f t="shared" si="455"/>
        <v>0</v>
      </c>
      <c r="BT694" s="387">
        <f t="shared" si="456"/>
        <v>0</v>
      </c>
      <c r="BU694" s="387">
        <f t="shared" si="457"/>
        <v>0</v>
      </c>
      <c r="BV694" s="387">
        <f t="shared" si="458"/>
        <v>0</v>
      </c>
      <c r="BW694" s="387">
        <f t="shared" si="459"/>
        <v>0</v>
      </c>
      <c r="BX694" s="387">
        <f t="shared" si="474"/>
        <v>0</v>
      </c>
      <c r="BY694" s="387">
        <f t="shared" si="475"/>
        <v>0</v>
      </c>
      <c r="BZ694" s="387">
        <f t="shared" si="476"/>
        <v>0</v>
      </c>
      <c r="CA694" s="387">
        <f t="shared" si="477"/>
        <v>0</v>
      </c>
      <c r="CB694" s="387">
        <f t="shared" si="478"/>
        <v>0</v>
      </c>
      <c r="CC694" s="387">
        <f t="shared" si="460"/>
        <v>0</v>
      </c>
      <c r="CD694" s="387">
        <f t="shared" si="461"/>
        <v>0</v>
      </c>
      <c r="CE694" s="387">
        <f t="shared" si="462"/>
        <v>0</v>
      </c>
      <c r="CF694" s="387">
        <f t="shared" si="463"/>
        <v>0</v>
      </c>
      <c r="CG694" s="387">
        <f t="shared" si="464"/>
        <v>0</v>
      </c>
      <c r="CH694" s="387">
        <f t="shared" si="465"/>
        <v>0</v>
      </c>
      <c r="CI694" s="387">
        <f t="shared" si="466"/>
        <v>0</v>
      </c>
      <c r="CJ694" s="387">
        <f t="shared" si="479"/>
        <v>0</v>
      </c>
      <c r="CK694" s="387" t="str">
        <f t="shared" si="480"/>
        <v/>
      </c>
      <c r="CL694" s="387" t="str">
        <f t="shared" si="481"/>
        <v/>
      </c>
      <c r="CM694" s="387" t="str">
        <f t="shared" si="482"/>
        <v/>
      </c>
      <c r="CN694" s="387" t="str">
        <f t="shared" si="483"/>
        <v>0349-31</v>
      </c>
    </row>
    <row r="695" spans="1:92" ht="15.75" thickBot="1" x14ac:dyDescent="0.3">
      <c r="A695" s="376" t="s">
        <v>161</v>
      </c>
      <c r="B695" s="376" t="s">
        <v>162</v>
      </c>
      <c r="C695" s="376" t="s">
        <v>1514</v>
      </c>
      <c r="D695" s="376" t="s">
        <v>862</v>
      </c>
      <c r="E695" s="376" t="s">
        <v>669</v>
      </c>
      <c r="F695" s="382" t="s">
        <v>225</v>
      </c>
      <c r="G695" s="376" t="s">
        <v>781</v>
      </c>
      <c r="H695" s="378"/>
      <c r="I695" s="378"/>
      <c r="J695" s="376" t="s">
        <v>215</v>
      </c>
      <c r="K695" s="376" t="s">
        <v>863</v>
      </c>
      <c r="L695" s="376" t="s">
        <v>252</v>
      </c>
      <c r="M695" s="376" t="s">
        <v>171</v>
      </c>
      <c r="N695" s="376" t="s">
        <v>172</v>
      </c>
      <c r="O695" s="379">
        <v>1</v>
      </c>
      <c r="P695" s="385">
        <v>0</v>
      </c>
      <c r="Q695" s="385">
        <v>0</v>
      </c>
      <c r="R695" s="380">
        <v>80</v>
      </c>
      <c r="S695" s="385">
        <v>0</v>
      </c>
      <c r="T695" s="380">
        <v>64.2</v>
      </c>
      <c r="U695" s="380">
        <v>0</v>
      </c>
      <c r="V695" s="380">
        <v>45.3</v>
      </c>
      <c r="W695" s="380">
        <v>0</v>
      </c>
      <c r="X695" s="380">
        <v>0</v>
      </c>
      <c r="Y695" s="380">
        <v>0</v>
      </c>
      <c r="Z695" s="380">
        <v>0</v>
      </c>
      <c r="AA695" s="376" t="s">
        <v>1515</v>
      </c>
      <c r="AB695" s="376" t="s">
        <v>1516</v>
      </c>
      <c r="AC695" s="376" t="s">
        <v>1517</v>
      </c>
      <c r="AD695" s="376" t="s">
        <v>1518</v>
      </c>
      <c r="AE695" s="376" t="s">
        <v>863</v>
      </c>
      <c r="AF695" s="376" t="s">
        <v>393</v>
      </c>
      <c r="AG695" s="376" t="s">
        <v>178</v>
      </c>
      <c r="AH695" s="381">
        <v>18.68</v>
      </c>
      <c r="AI695" s="379">
        <v>1560</v>
      </c>
      <c r="AJ695" s="376" t="s">
        <v>179</v>
      </c>
      <c r="AK695" s="376" t="s">
        <v>180</v>
      </c>
      <c r="AL695" s="376" t="s">
        <v>181</v>
      </c>
      <c r="AM695" s="376" t="s">
        <v>182</v>
      </c>
      <c r="AN695" s="376" t="s">
        <v>68</v>
      </c>
      <c r="AO695" s="379">
        <v>80</v>
      </c>
      <c r="AP695" s="385">
        <v>1</v>
      </c>
      <c r="AQ695" s="385">
        <v>0</v>
      </c>
      <c r="AR695" s="383" t="s">
        <v>183</v>
      </c>
      <c r="AS695" s="387">
        <f t="shared" si="467"/>
        <v>0</v>
      </c>
      <c r="AT695">
        <f t="shared" si="468"/>
        <v>0</v>
      </c>
      <c r="AU695" s="387" t="str">
        <f>IF(AT695=0,"",IF(AND(AT695=1,M695="F",SUMIF(C2:C1334,C695,AS2:AS1334)&lt;=1),SUMIF(C2:C1334,C695,AS2:AS1334),IF(AND(AT695=1,M695="F",SUMIF(C2:C1334,C695,AS2:AS1334)&gt;1),1,"")))</f>
        <v/>
      </c>
      <c r="AV695" s="387" t="str">
        <f>IF(AT695=0,"",IF(AND(AT695=3,M695="F",SUMIF(C2:C1334,C695,AS2:AS1334)&lt;=1),SUMIF(C2:C1334,C695,AS2:AS1334),IF(AND(AT695=3,M695="F",SUMIF(C2:C1334,C695,AS2:AS1334)&gt;1),1,"")))</f>
        <v/>
      </c>
      <c r="AW695" s="387">
        <f>SUMIF(C2:C1334,C695,O2:O1334)</f>
        <v>3</v>
      </c>
      <c r="AX695" s="387">
        <f>IF(AND(M695="F",AS695&lt;&gt;0),SUMIF(C2:C1334,C695,W2:W1334),0)</f>
        <v>0</v>
      </c>
      <c r="AY695" s="387" t="str">
        <f t="shared" si="469"/>
        <v/>
      </c>
      <c r="AZ695" s="387" t="str">
        <f t="shared" si="470"/>
        <v/>
      </c>
      <c r="BA695" s="387">
        <f t="shared" si="471"/>
        <v>0</v>
      </c>
      <c r="BB695" s="387">
        <f t="shared" si="440"/>
        <v>0</v>
      </c>
      <c r="BC695" s="387">
        <f t="shared" si="441"/>
        <v>0</v>
      </c>
      <c r="BD695" s="387">
        <f t="shared" si="442"/>
        <v>0</v>
      </c>
      <c r="BE695" s="387">
        <f t="shared" si="443"/>
        <v>0</v>
      </c>
      <c r="BF695" s="387">
        <f t="shared" si="444"/>
        <v>0</v>
      </c>
      <c r="BG695" s="387">
        <f t="shared" si="445"/>
        <v>0</v>
      </c>
      <c r="BH695" s="387">
        <f t="shared" si="446"/>
        <v>0</v>
      </c>
      <c r="BI695" s="387">
        <f t="shared" si="447"/>
        <v>0</v>
      </c>
      <c r="BJ695" s="387">
        <f t="shared" si="448"/>
        <v>0</v>
      </c>
      <c r="BK695" s="387">
        <f t="shared" si="449"/>
        <v>0</v>
      </c>
      <c r="BL695" s="387">
        <f t="shared" si="472"/>
        <v>0</v>
      </c>
      <c r="BM695" s="387">
        <f t="shared" si="473"/>
        <v>0</v>
      </c>
      <c r="BN695" s="387">
        <f t="shared" si="450"/>
        <v>0</v>
      </c>
      <c r="BO695" s="387">
        <f t="shared" si="451"/>
        <v>0</v>
      </c>
      <c r="BP695" s="387">
        <f t="shared" si="452"/>
        <v>0</v>
      </c>
      <c r="BQ695" s="387">
        <f t="shared" si="453"/>
        <v>0</v>
      </c>
      <c r="BR695" s="387">
        <f t="shared" si="454"/>
        <v>0</v>
      </c>
      <c r="BS695" s="387">
        <f t="shared" si="455"/>
        <v>0</v>
      </c>
      <c r="BT695" s="387">
        <f t="shared" si="456"/>
        <v>0</v>
      </c>
      <c r="BU695" s="387">
        <f t="shared" si="457"/>
        <v>0</v>
      </c>
      <c r="BV695" s="387">
        <f t="shared" si="458"/>
        <v>0</v>
      </c>
      <c r="BW695" s="387">
        <f t="shared" si="459"/>
        <v>0</v>
      </c>
      <c r="BX695" s="387">
        <f t="shared" si="474"/>
        <v>0</v>
      </c>
      <c r="BY695" s="387">
        <f t="shared" si="475"/>
        <v>0</v>
      </c>
      <c r="BZ695" s="387">
        <f t="shared" si="476"/>
        <v>0</v>
      </c>
      <c r="CA695" s="387">
        <f t="shared" si="477"/>
        <v>0</v>
      </c>
      <c r="CB695" s="387">
        <f t="shared" si="478"/>
        <v>0</v>
      </c>
      <c r="CC695" s="387">
        <f t="shared" si="460"/>
        <v>0</v>
      </c>
      <c r="CD695" s="387">
        <f t="shared" si="461"/>
        <v>0</v>
      </c>
      <c r="CE695" s="387">
        <f t="shared" si="462"/>
        <v>0</v>
      </c>
      <c r="CF695" s="387">
        <f t="shared" si="463"/>
        <v>0</v>
      </c>
      <c r="CG695" s="387">
        <f t="shared" si="464"/>
        <v>0</v>
      </c>
      <c r="CH695" s="387">
        <f t="shared" si="465"/>
        <v>0</v>
      </c>
      <c r="CI695" s="387">
        <f t="shared" si="466"/>
        <v>0</v>
      </c>
      <c r="CJ695" s="387">
        <f t="shared" si="479"/>
        <v>0</v>
      </c>
      <c r="CK695" s="387" t="str">
        <f t="shared" si="480"/>
        <v/>
      </c>
      <c r="CL695" s="387" t="str">
        <f t="shared" si="481"/>
        <v/>
      </c>
      <c r="CM695" s="387" t="str">
        <f t="shared" si="482"/>
        <v/>
      </c>
      <c r="CN695" s="387" t="str">
        <f t="shared" si="483"/>
        <v>0349-31</v>
      </c>
    </row>
    <row r="696" spans="1:92" ht="15.75" thickBot="1" x14ac:dyDescent="0.3">
      <c r="A696" s="376" t="s">
        <v>161</v>
      </c>
      <c r="B696" s="376" t="s">
        <v>162</v>
      </c>
      <c r="C696" s="376" t="s">
        <v>897</v>
      </c>
      <c r="D696" s="376" t="s">
        <v>862</v>
      </c>
      <c r="E696" s="376" t="s">
        <v>669</v>
      </c>
      <c r="F696" s="382" t="s">
        <v>225</v>
      </c>
      <c r="G696" s="376" t="s">
        <v>781</v>
      </c>
      <c r="H696" s="378"/>
      <c r="I696" s="378"/>
      <c r="J696" s="376" t="s">
        <v>239</v>
      </c>
      <c r="K696" s="376" t="s">
        <v>863</v>
      </c>
      <c r="L696" s="376" t="s">
        <v>252</v>
      </c>
      <c r="M696" s="376" t="s">
        <v>171</v>
      </c>
      <c r="N696" s="376" t="s">
        <v>172</v>
      </c>
      <c r="O696" s="379">
        <v>1</v>
      </c>
      <c r="P696" s="385">
        <v>0</v>
      </c>
      <c r="Q696" s="385">
        <v>0</v>
      </c>
      <c r="R696" s="380">
        <v>80</v>
      </c>
      <c r="S696" s="385">
        <v>0</v>
      </c>
      <c r="T696" s="380">
        <v>8.68</v>
      </c>
      <c r="U696" s="380">
        <v>0</v>
      </c>
      <c r="V696" s="380">
        <v>4.74</v>
      </c>
      <c r="W696" s="380">
        <v>0</v>
      </c>
      <c r="X696" s="380">
        <v>0</v>
      </c>
      <c r="Y696" s="380">
        <v>0</v>
      </c>
      <c r="Z696" s="380">
        <v>0</v>
      </c>
      <c r="AA696" s="376" t="s">
        <v>898</v>
      </c>
      <c r="AB696" s="376" t="s">
        <v>899</v>
      </c>
      <c r="AC696" s="376" t="s">
        <v>900</v>
      </c>
      <c r="AD696" s="376" t="s">
        <v>628</v>
      </c>
      <c r="AE696" s="376" t="s">
        <v>863</v>
      </c>
      <c r="AF696" s="376" t="s">
        <v>393</v>
      </c>
      <c r="AG696" s="376" t="s">
        <v>178</v>
      </c>
      <c r="AH696" s="381">
        <v>19.98</v>
      </c>
      <c r="AI696" s="381">
        <v>7552.2</v>
      </c>
      <c r="AJ696" s="376" t="s">
        <v>179</v>
      </c>
      <c r="AK696" s="376" t="s">
        <v>180</v>
      </c>
      <c r="AL696" s="376" t="s">
        <v>181</v>
      </c>
      <c r="AM696" s="376" t="s">
        <v>182</v>
      </c>
      <c r="AN696" s="376" t="s">
        <v>68</v>
      </c>
      <c r="AO696" s="379">
        <v>80</v>
      </c>
      <c r="AP696" s="385">
        <v>1</v>
      </c>
      <c r="AQ696" s="385">
        <v>0</v>
      </c>
      <c r="AR696" s="383" t="s">
        <v>183</v>
      </c>
      <c r="AS696" s="387">
        <f t="shared" si="467"/>
        <v>0</v>
      </c>
      <c r="AT696">
        <f t="shared" si="468"/>
        <v>0</v>
      </c>
      <c r="AU696" s="387" t="str">
        <f>IF(AT696=0,"",IF(AND(AT696=1,M696="F",SUMIF(C2:C1334,C696,AS2:AS1334)&lt;=1),SUMIF(C2:C1334,C696,AS2:AS1334),IF(AND(AT696=1,M696="F",SUMIF(C2:C1334,C696,AS2:AS1334)&gt;1),1,"")))</f>
        <v/>
      </c>
      <c r="AV696" s="387" t="str">
        <f>IF(AT696=0,"",IF(AND(AT696=3,M696="F",SUMIF(C2:C1334,C696,AS2:AS1334)&lt;=1),SUMIF(C2:C1334,C696,AS2:AS1334),IF(AND(AT696=3,M696="F",SUMIF(C2:C1334,C696,AS2:AS1334)&gt;1),1,"")))</f>
        <v/>
      </c>
      <c r="AW696" s="387">
        <f>SUMIF(C2:C1334,C696,O2:O1334)</f>
        <v>3</v>
      </c>
      <c r="AX696" s="387">
        <f>IF(AND(M696="F",AS696&lt;&gt;0),SUMIF(C2:C1334,C696,W2:W1334),0)</f>
        <v>0</v>
      </c>
      <c r="AY696" s="387" t="str">
        <f t="shared" si="469"/>
        <v/>
      </c>
      <c r="AZ696" s="387" t="str">
        <f t="shared" si="470"/>
        <v/>
      </c>
      <c r="BA696" s="387">
        <f t="shared" si="471"/>
        <v>0</v>
      </c>
      <c r="BB696" s="387">
        <f t="shared" si="440"/>
        <v>0</v>
      </c>
      <c r="BC696" s="387">
        <f t="shared" si="441"/>
        <v>0</v>
      </c>
      <c r="BD696" s="387">
        <f t="shared" si="442"/>
        <v>0</v>
      </c>
      <c r="BE696" s="387">
        <f t="shared" si="443"/>
        <v>0</v>
      </c>
      <c r="BF696" s="387">
        <f t="shared" si="444"/>
        <v>0</v>
      </c>
      <c r="BG696" s="387">
        <f t="shared" si="445"/>
        <v>0</v>
      </c>
      <c r="BH696" s="387">
        <f t="shared" si="446"/>
        <v>0</v>
      </c>
      <c r="BI696" s="387">
        <f t="shared" si="447"/>
        <v>0</v>
      </c>
      <c r="BJ696" s="387">
        <f t="shared" si="448"/>
        <v>0</v>
      </c>
      <c r="BK696" s="387">
        <f t="shared" si="449"/>
        <v>0</v>
      </c>
      <c r="BL696" s="387">
        <f t="shared" si="472"/>
        <v>0</v>
      </c>
      <c r="BM696" s="387">
        <f t="shared" si="473"/>
        <v>0</v>
      </c>
      <c r="BN696" s="387">
        <f t="shared" si="450"/>
        <v>0</v>
      </c>
      <c r="BO696" s="387">
        <f t="shared" si="451"/>
        <v>0</v>
      </c>
      <c r="BP696" s="387">
        <f t="shared" si="452"/>
        <v>0</v>
      </c>
      <c r="BQ696" s="387">
        <f t="shared" si="453"/>
        <v>0</v>
      </c>
      <c r="BR696" s="387">
        <f t="shared" si="454"/>
        <v>0</v>
      </c>
      <c r="BS696" s="387">
        <f t="shared" si="455"/>
        <v>0</v>
      </c>
      <c r="BT696" s="387">
        <f t="shared" si="456"/>
        <v>0</v>
      </c>
      <c r="BU696" s="387">
        <f t="shared" si="457"/>
        <v>0</v>
      </c>
      <c r="BV696" s="387">
        <f t="shared" si="458"/>
        <v>0</v>
      </c>
      <c r="BW696" s="387">
        <f t="shared" si="459"/>
        <v>0</v>
      </c>
      <c r="BX696" s="387">
        <f t="shared" si="474"/>
        <v>0</v>
      </c>
      <c r="BY696" s="387">
        <f t="shared" si="475"/>
        <v>0</v>
      </c>
      <c r="BZ696" s="387">
        <f t="shared" si="476"/>
        <v>0</v>
      </c>
      <c r="CA696" s="387">
        <f t="shared" si="477"/>
        <v>0</v>
      </c>
      <c r="CB696" s="387">
        <f t="shared" si="478"/>
        <v>0</v>
      </c>
      <c r="CC696" s="387">
        <f t="shared" si="460"/>
        <v>0</v>
      </c>
      <c r="CD696" s="387">
        <f t="shared" si="461"/>
        <v>0</v>
      </c>
      <c r="CE696" s="387">
        <f t="shared" si="462"/>
        <v>0</v>
      </c>
      <c r="CF696" s="387">
        <f t="shared" si="463"/>
        <v>0</v>
      </c>
      <c r="CG696" s="387">
        <f t="shared" si="464"/>
        <v>0</v>
      </c>
      <c r="CH696" s="387">
        <f t="shared" si="465"/>
        <v>0</v>
      </c>
      <c r="CI696" s="387">
        <f t="shared" si="466"/>
        <v>0</v>
      </c>
      <c r="CJ696" s="387">
        <f t="shared" si="479"/>
        <v>0</v>
      </c>
      <c r="CK696" s="387" t="str">
        <f t="shared" si="480"/>
        <v/>
      </c>
      <c r="CL696" s="387" t="str">
        <f t="shared" si="481"/>
        <v/>
      </c>
      <c r="CM696" s="387" t="str">
        <f t="shared" si="482"/>
        <v/>
      </c>
      <c r="CN696" s="387" t="str">
        <f t="shared" si="483"/>
        <v>0349-31</v>
      </c>
    </row>
    <row r="697" spans="1:92" ht="15.75" thickBot="1" x14ac:dyDescent="0.3">
      <c r="A697" s="376" t="s">
        <v>161</v>
      </c>
      <c r="B697" s="376" t="s">
        <v>162</v>
      </c>
      <c r="C697" s="376" t="s">
        <v>1442</v>
      </c>
      <c r="D697" s="376" t="s">
        <v>862</v>
      </c>
      <c r="E697" s="376" t="s">
        <v>669</v>
      </c>
      <c r="F697" s="382" t="s">
        <v>225</v>
      </c>
      <c r="G697" s="376" t="s">
        <v>781</v>
      </c>
      <c r="H697" s="378"/>
      <c r="I697" s="378"/>
      <c r="J697" s="376" t="s">
        <v>215</v>
      </c>
      <c r="K697" s="376" t="s">
        <v>863</v>
      </c>
      <c r="L697" s="376" t="s">
        <v>252</v>
      </c>
      <c r="M697" s="376" t="s">
        <v>272</v>
      </c>
      <c r="N697" s="376" t="s">
        <v>172</v>
      </c>
      <c r="O697" s="379">
        <v>0</v>
      </c>
      <c r="P697" s="385">
        <v>0</v>
      </c>
      <c r="Q697" s="385">
        <v>0</v>
      </c>
      <c r="R697" s="380">
        <v>80</v>
      </c>
      <c r="S697" s="385">
        <v>0</v>
      </c>
      <c r="T697" s="380">
        <v>32.979999999999997</v>
      </c>
      <c r="U697" s="380">
        <v>0</v>
      </c>
      <c r="V697" s="380">
        <v>10.09</v>
      </c>
      <c r="W697" s="380">
        <v>0</v>
      </c>
      <c r="X697" s="380">
        <v>0</v>
      </c>
      <c r="Y697" s="380">
        <v>0</v>
      </c>
      <c r="Z697" s="380">
        <v>0</v>
      </c>
      <c r="AA697" s="378"/>
      <c r="AB697" s="376" t="s">
        <v>45</v>
      </c>
      <c r="AC697" s="376" t="s">
        <v>45</v>
      </c>
      <c r="AD697" s="378"/>
      <c r="AE697" s="378"/>
      <c r="AF697" s="378"/>
      <c r="AG697" s="378"/>
      <c r="AH697" s="379">
        <v>0</v>
      </c>
      <c r="AI697" s="379">
        <v>0</v>
      </c>
      <c r="AJ697" s="378"/>
      <c r="AK697" s="378"/>
      <c r="AL697" s="376" t="s">
        <v>181</v>
      </c>
      <c r="AM697" s="378"/>
      <c r="AN697" s="378"/>
      <c r="AO697" s="379">
        <v>0</v>
      </c>
      <c r="AP697" s="385">
        <v>0</v>
      </c>
      <c r="AQ697" s="385">
        <v>0</v>
      </c>
      <c r="AR697" s="384"/>
      <c r="AS697" s="387">
        <f t="shared" si="467"/>
        <v>0</v>
      </c>
      <c r="AT697">
        <f t="shared" si="468"/>
        <v>0</v>
      </c>
      <c r="AU697" s="387" t="str">
        <f>IF(AT697=0,"",IF(AND(AT697=1,M697="F",SUMIF(C2:C1334,C697,AS2:AS1334)&lt;=1),SUMIF(C2:C1334,C697,AS2:AS1334),IF(AND(AT697=1,M697="F",SUMIF(C2:C1334,C697,AS2:AS1334)&gt;1),1,"")))</f>
        <v/>
      </c>
      <c r="AV697" s="387" t="str">
        <f>IF(AT697=0,"",IF(AND(AT697=3,M697="F",SUMIF(C2:C1334,C697,AS2:AS1334)&lt;=1),SUMIF(C2:C1334,C697,AS2:AS1334),IF(AND(AT697=3,M697="F",SUMIF(C2:C1334,C697,AS2:AS1334)&gt;1),1,"")))</f>
        <v/>
      </c>
      <c r="AW697" s="387">
        <f>SUMIF(C2:C1334,C697,O2:O1334)</f>
        <v>0</v>
      </c>
      <c r="AX697" s="387">
        <f>IF(AND(M697="F",AS697&lt;&gt;0),SUMIF(C2:C1334,C697,W2:W1334),0)</f>
        <v>0</v>
      </c>
      <c r="AY697" s="387" t="str">
        <f t="shared" si="469"/>
        <v/>
      </c>
      <c r="AZ697" s="387" t="str">
        <f t="shared" si="470"/>
        <v/>
      </c>
      <c r="BA697" s="387">
        <f t="shared" si="471"/>
        <v>0</v>
      </c>
      <c r="BB697" s="387">
        <f t="shared" si="440"/>
        <v>0</v>
      </c>
      <c r="BC697" s="387">
        <f t="shared" si="441"/>
        <v>0</v>
      </c>
      <c r="BD697" s="387">
        <f t="shared" si="442"/>
        <v>0</v>
      </c>
      <c r="BE697" s="387">
        <f t="shared" si="443"/>
        <v>0</v>
      </c>
      <c r="BF697" s="387">
        <f t="shared" si="444"/>
        <v>0</v>
      </c>
      <c r="BG697" s="387">
        <f t="shared" si="445"/>
        <v>0</v>
      </c>
      <c r="BH697" s="387">
        <f t="shared" si="446"/>
        <v>0</v>
      </c>
      <c r="BI697" s="387">
        <f t="shared" si="447"/>
        <v>0</v>
      </c>
      <c r="BJ697" s="387">
        <f t="shared" si="448"/>
        <v>0</v>
      </c>
      <c r="BK697" s="387">
        <f t="shared" si="449"/>
        <v>0</v>
      </c>
      <c r="BL697" s="387">
        <f t="shared" si="472"/>
        <v>0</v>
      </c>
      <c r="BM697" s="387">
        <f t="shared" si="473"/>
        <v>0</v>
      </c>
      <c r="BN697" s="387">
        <f t="shared" si="450"/>
        <v>0</v>
      </c>
      <c r="BO697" s="387">
        <f t="shared" si="451"/>
        <v>0</v>
      </c>
      <c r="BP697" s="387">
        <f t="shared" si="452"/>
        <v>0</v>
      </c>
      <c r="BQ697" s="387">
        <f t="shared" si="453"/>
        <v>0</v>
      </c>
      <c r="BR697" s="387">
        <f t="shared" si="454"/>
        <v>0</v>
      </c>
      <c r="BS697" s="387">
        <f t="shared" si="455"/>
        <v>0</v>
      </c>
      <c r="BT697" s="387">
        <f t="shared" si="456"/>
        <v>0</v>
      </c>
      <c r="BU697" s="387">
        <f t="shared" si="457"/>
        <v>0</v>
      </c>
      <c r="BV697" s="387">
        <f t="shared" si="458"/>
        <v>0</v>
      </c>
      <c r="BW697" s="387">
        <f t="shared" si="459"/>
        <v>0</v>
      </c>
      <c r="BX697" s="387">
        <f t="shared" si="474"/>
        <v>0</v>
      </c>
      <c r="BY697" s="387">
        <f t="shared" si="475"/>
        <v>0</v>
      </c>
      <c r="BZ697" s="387">
        <f t="shared" si="476"/>
        <v>0</v>
      </c>
      <c r="CA697" s="387">
        <f t="shared" si="477"/>
        <v>0</v>
      </c>
      <c r="CB697" s="387">
        <f t="shared" si="478"/>
        <v>0</v>
      </c>
      <c r="CC697" s="387">
        <f t="shared" si="460"/>
        <v>0</v>
      </c>
      <c r="CD697" s="387">
        <f t="shared" si="461"/>
        <v>0</v>
      </c>
      <c r="CE697" s="387">
        <f t="shared" si="462"/>
        <v>0</v>
      </c>
      <c r="CF697" s="387">
        <f t="shared" si="463"/>
        <v>0</v>
      </c>
      <c r="CG697" s="387">
        <f t="shared" si="464"/>
        <v>0</v>
      </c>
      <c r="CH697" s="387">
        <f t="shared" si="465"/>
        <v>0</v>
      </c>
      <c r="CI697" s="387">
        <f t="shared" si="466"/>
        <v>0</v>
      </c>
      <c r="CJ697" s="387">
        <f t="shared" si="479"/>
        <v>0</v>
      </c>
      <c r="CK697" s="387" t="str">
        <f t="shared" si="480"/>
        <v/>
      </c>
      <c r="CL697" s="387" t="str">
        <f t="shared" si="481"/>
        <v/>
      </c>
      <c r="CM697" s="387" t="str">
        <f t="shared" si="482"/>
        <v/>
      </c>
      <c r="CN697" s="387" t="str">
        <f t="shared" si="483"/>
        <v>0349-31</v>
      </c>
    </row>
    <row r="698" spans="1:92" ht="15.75" thickBot="1" x14ac:dyDescent="0.3">
      <c r="A698" s="376" t="s">
        <v>161</v>
      </c>
      <c r="B698" s="376" t="s">
        <v>162</v>
      </c>
      <c r="C698" s="376" t="s">
        <v>1744</v>
      </c>
      <c r="D698" s="376" t="s">
        <v>792</v>
      </c>
      <c r="E698" s="376" t="s">
        <v>669</v>
      </c>
      <c r="F698" s="382" t="s">
        <v>225</v>
      </c>
      <c r="G698" s="376" t="s">
        <v>781</v>
      </c>
      <c r="H698" s="378"/>
      <c r="I698" s="378"/>
      <c r="J698" s="376" t="s">
        <v>239</v>
      </c>
      <c r="K698" s="376" t="s">
        <v>793</v>
      </c>
      <c r="L698" s="376" t="s">
        <v>170</v>
      </c>
      <c r="M698" s="376" t="s">
        <v>171</v>
      </c>
      <c r="N698" s="376" t="s">
        <v>172</v>
      </c>
      <c r="O698" s="379">
        <v>1</v>
      </c>
      <c r="P698" s="385">
        <v>0</v>
      </c>
      <c r="Q698" s="385">
        <v>0</v>
      </c>
      <c r="R698" s="380">
        <v>80</v>
      </c>
      <c r="S698" s="385">
        <v>0</v>
      </c>
      <c r="T698" s="380">
        <v>138.25</v>
      </c>
      <c r="U698" s="380">
        <v>0</v>
      </c>
      <c r="V698" s="380">
        <v>52.29</v>
      </c>
      <c r="W698" s="380">
        <v>0</v>
      </c>
      <c r="X698" s="380">
        <v>0</v>
      </c>
      <c r="Y698" s="380">
        <v>0</v>
      </c>
      <c r="Z698" s="380">
        <v>0</v>
      </c>
      <c r="AA698" s="376" t="s">
        <v>1745</v>
      </c>
      <c r="AB698" s="376" t="s">
        <v>1746</v>
      </c>
      <c r="AC698" s="376" t="s">
        <v>1747</v>
      </c>
      <c r="AD698" s="376" t="s">
        <v>1748</v>
      </c>
      <c r="AE698" s="376" t="s">
        <v>793</v>
      </c>
      <c r="AF698" s="376" t="s">
        <v>177</v>
      </c>
      <c r="AG698" s="376" t="s">
        <v>178</v>
      </c>
      <c r="AH698" s="381">
        <v>24.6</v>
      </c>
      <c r="AI698" s="381">
        <v>62754.6</v>
      </c>
      <c r="AJ698" s="376" t="s">
        <v>179</v>
      </c>
      <c r="AK698" s="376" t="s">
        <v>180</v>
      </c>
      <c r="AL698" s="376" t="s">
        <v>181</v>
      </c>
      <c r="AM698" s="376" t="s">
        <v>182</v>
      </c>
      <c r="AN698" s="376" t="s">
        <v>68</v>
      </c>
      <c r="AO698" s="379">
        <v>80</v>
      </c>
      <c r="AP698" s="385">
        <v>1</v>
      </c>
      <c r="AQ698" s="385">
        <v>0</v>
      </c>
      <c r="AR698" s="383" t="s">
        <v>183</v>
      </c>
      <c r="AS698" s="387">
        <f t="shared" si="467"/>
        <v>0</v>
      </c>
      <c r="AT698">
        <f t="shared" si="468"/>
        <v>0</v>
      </c>
      <c r="AU698" s="387" t="str">
        <f>IF(AT698=0,"",IF(AND(AT698=1,M698="F",SUMIF(C2:C1334,C698,AS2:AS1334)&lt;=1),SUMIF(C2:C1334,C698,AS2:AS1334),IF(AND(AT698=1,M698="F",SUMIF(C2:C1334,C698,AS2:AS1334)&gt;1),1,"")))</f>
        <v/>
      </c>
      <c r="AV698" s="387" t="str">
        <f>IF(AT698=0,"",IF(AND(AT698=3,M698="F",SUMIF(C2:C1334,C698,AS2:AS1334)&lt;=1),SUMIF(C2:C1334,C698,AS2:AS1334),IF(AND(AT698=3,M698="F",SUMIF(C2:C1334,C698,AS2:AS1334)&gt;1),1,"")))</f>
        <v/>
      </c>
      <c r="AW698" s="387">
        <f>SUMIF(C2:C1334,C698,O2:O1334)</f>
        <v>3</v>
      </c>
      <c r="AX698" s="387">
        <f>IF(AND(M698="F",AS698&lt;&gt;0),SUMIF(C2:C1334,C698,W2:W1334),0)</f>
        <v>0</v>
      </c>
      <c r="AY698" s="387" t="str">
        <f t="shared" si="469"/>
        <v/>
      </c>
      <c r="AZ698" s="387" t="str">
        <f t="shared" si="470"/>
        <v/>
      </c>
      <c r="BA698" s="387">
        <f t="shared" si="471"/>
        <v>0</v>
      </c>
      <c r="BB698" s="387">
        <f t="shared" si="440"/>
        <v>0</v>
      </c>
      <c r="BC698" s="387">
        <f t="shared" si="441"/>
        <v>0</v>
      </c>
      <c r="BD698" s="387">
        <f t="shared" si="442"/>
        <v>0</v>
      </c>
      <c r="BE698" s="387">
        <f t="shared" si="443"/>
        <v>0</v>
      </c>
      <c r="BF698" s="387">
        <f t="shared" si="444"/>
        <v>0</v>
      </c>
      <c r="BG698" s="387">
        <f t="shared" si="445"/>
        <v>0</v>
      </c>
      <c r="BH698" s="387">
        <f t="shared" si="446"/>
        <v>0</v>
      </c>
      <c r="BI698" s="387">
        <f t="shared" si="447"/>
        <v>0</v>
      </c>
      <c r="BJ698" s="387">
        <f t="shared" si="448"/>
        <v>0</v>
      </c>
      <c r="BK698" s="387">
        <f t="shared" si="449"/>
        <v>0</v>
      </c>
      <c r="BL698" s="387">
        <f t="shared" si="472"/>
        <v>0</v>
      </c>
      <c r="BM698" s="387">
        <f t="shared" si="473"/>
        <v>0</v>
      </c>
      <c r="BN698" s="387">
        <f t="shared" si="450"/>
        <v>0</v>
      </c>
      <c r="BO698" s="387">
        <f t="shared" si="451"/>
        <v>0</v>
      </c>
      <c r="BP698" s="387">
        <f t="shared" si="452"/>
        <v>0</v>
      </c>
      <c r="BQ698" s="387">
        <f t="shared" si="453"/>
        <v>0</v>
      </c>
      <c r="BR698" s="387">
        <f t="shared" si="454"/>
        <v>0</v>
      </c>
      <c r="BS698" s="387">
        <f t="shared" si="455"/>
        <v>0</v>
      </c>
      <c r="BT698" s="387">
        <f t="shared" si="456"/>
        <v>0</v>
      </c>
      <c r="BU698" s="387">
        <f t="shared" si="457"/>
        <v>0</v>
      </c>
      <c r="BV698" s="387">
        <f t="shared" si="458"/>
        <v>0</v>
      </c>
      <c r="BW698" s="387">
        <f t="shared" si="459"/>
        <v>0</v>
      </c>
      <c r="BX698" s="387">
        <f t="shared" si="474"/>
        <v>0</v>
      </c>
      <c r="BY698" s="387">
        <f t="shared" si="475"/>
        <v>0</v>
      </c>
      <c r="BZ698" s="387">
        <f t="shared" si="476"/>
        <v>0</v>
      </c>
      <c r="CA698" s="387">
        <f t="shared" si="477"/>
        <v>0</v>
      </c>
      <c r="CB698" s="387">
        <f t="shared" si="478"/>
        <v>0</v>
      </c>
      <c r="CC698" s="387">
        <f t="shared" si="460"/>
        <v>0</v>
      </c>
      <c r="CD698" s="387">
        <f t="shared" si="461"/>
        <v>0</v>
      </c>
      <c r="CE698" s="387">
        <f t="shared" si="462"/>
        <v>0</v>
      </c>
      <c r="CF698" s="387">
        <f t="shared" si="463"/>
        <v>0</v>
      </c>
      <c r="CG698" s="387">
        <f t="shared" si="464"/>
        <v>0</v>
      </c>
      <c r="CH698" s="387">
        <f t="shared" si="465"/>
        <v>0</v>
      </c>
      <c r="CI698" s="387">
        <f t="shared" si="466"/>
        <v>0</v>
      </c>
      <c r="CJ698" s="387">
        <f t="shared" si="479"/>
        <v>0</v>
      </c>
      <c r="CK698" s="387" t="str">
        <f t="shared" si="480"/>
        <v/>
      </c>
      <c r="CL698" s="387" t="str">
        <f t="shared" si="481"/>
        <v/>
      </c>
      <c r="CM698" s="387" t="str">
        <f t="shared" si="482"/>
        <v/>
      </c>
      <c r="CN698" s="387" t="str">
        <f t="shared" si="483"/>
        <v>0349-31</v>
      </c>
    </row>
    <row r="699" spans="1:92" ht="15.75" thickBot="1" x14ac:dyDescent="0.3">
      <c r="A699" s="376" t="s">
        <v>161</v>
      </c>
      <c r="B699" s="376" t="s">
        <v>162</v>
      </c>
      <c r="C699" s="376" t="s">
        <v>613</v>
      </c>
      <c r="D699" s="376" t="s">
        <v>614</v>
      </c>
      <c r="E699" s="376" t="s">
        <v>669</v>
      </c>
      <c r="F699" s="382" t="s">
        <v>225</v>
      </c>
      <c r="G699" s="376" t="s">
        <v>781</v>
      </c>
      <c r="H699" s="378"/>
      <c r="I699" s="378"/>
      <c r="J699" s="376" t="s">
        <v>215</v>
      </c>
      <c r="K699" s="376" t="s">
        <v>615</v>
      </c>
      <c r="L699" s="376" t="s">
        <v>181</v>
      </c>
      <c r="M699" s="376" t="s">
        <v>171</v>
      </c>
      <c r="N699" s="376" t="s">
        <v>172</v>
      </c>
      <c r="O699" s="379">
        <v>1</v>
      </c>
      <c r="P699" s="385">
        <v>0</v>
      </c>
      <c r="Q699" s="385">
        <v>0</v>
      </c>
      <c r="R699" s="380">
        <v>80</v>
      </c>
      <c r="S699" s="385">
        <v>0</v>
      </c>
      <c r="T699" s="380">
        <v>5985</v>
      </c>
      <c r="U699" s="380">
        <v>0</v>
      </c>
      <c r="V699" s="380">
        <v>2704.78</v>
      </c>
      <c r="W699" s="380">
        <v>0</v>
      </c>
      <c r="X699" s="380">
        <v>0</v>
      </c>
      <c r="Y699" s="380">
        <v>0</v>
      </c>
      <c r="Z699" s="380">
        <v>0</v>
      </c>
      <c r="AA699" s="376" t="s">
        <v>616</v>
      </c>
      <c r="AB699" s="376" t="s">
        <v>617</v>
      </c>
      <c r="AC699" s="376" t="s">
        <v>618</v>
      </c>
      <c r="AD699" s="376" t="s">
        <v>170</v>
      </c>
      <c r="AE699" s="376" t="s">
        <v>615</v>
      </c>
      <c r="AF699" s="376" t="s">
        <v>211</v>
      </c>
      <c r="AG699" s="376" t="s">
        <v>178</v>
      </c>
      <c r="AH699" s="381">
        <v>31.43</v>
      </c>
      <c r="AI699" s="381">
        <v>3473.5</v>
      </c>
      <c r="AJ699" s="376" t="s">
        <v>179</v>
      </c>
      <c r="AK699" s="376" t="s">
        <v>180</v>
      </c>
      <c r="AL699" s="376" t="s">
        <v>181</v>
      </c>
      <c r="AM699" s="376" t="s">
        <v>182</v>
      </c>
      <c r="AN699" s="376" t="s">
        <v>68</v>
      </c>
      <c r="AO699" s="379">
        <v>80</v>
      </c>
      <c r="AP699" s="385">
        <v>1</v>
      </c>
      <c r="AQ699" s="385">
        <v>0</v>
      </c>
      <c r="AR699" s="383" t="s">
        <v>183</v>
      </c>
      <c r="AS699" s="387">
        <f t="shared" si="467"/>
        <v>0</v>
      </c>
      <c r="AT699">
        <f t="shared" si="468"/>
        <v>0</v>
      </c>
      <c r="AU699" s="387" t="str">
        <f>IF(AT699=0,"",IF(AND(AT699=1,M699="F",SUMIF(C2:C1334,C699,AS2:AS1334)&lt;=1),SUMIF(C2:C1334,C699,AS2:AS1334),IF(AND(AT699=1,M699="F",SUMIF(C2:C1334,C699,AS2:AS1334)&gt;1),1,"")))</f>
        <v/>
      </c>
      <c r="AV699" s="387" t="str">
        <f>IF(AT699=0,"",IF(AND(AT699=3,M699="F",SUMIF(C2:C1334,C699,AS2:AS1334)&lt;=1),SUMIF(C2:C1334,C699,AS2:AS1334),IF(AND(AT699=3,M699="F",SUMIF(C2:C1334,C699,AS2:AS1334)&gt;1),1,"")))</f>
        <v/>
      </c>
      <c r="AW699" s="387">
        <f>SUMIF(C2:C1334,C699,O2:O1334)</f>
        <v>3</v>
      </c>
      <c r="AX699" s="387">
        <f>IF(AND(M699="F",AS699&lt;&gt;0),SUMIF(C2:C1334,C699,W2:W1334),0)</f>
        <v>0</v>
      </c>
      <c r="AY699" s="387" t="str">
        <f t="shared" si="469"/>
        <v/>
      </c>
      <c r="AZ699" s="387" t="str">
        <f t="shared" si="470"/>
        <v/>
      </c>
      <c r="BA699" s="387">
        <f t="shared" si="471"/>
        <v>0</v>
      </c>
      <c r="BB699" s="387">
        <f t="shared" si="440"/>
        <v>0</v>
      </c>
      <c r="BC699" s="387">
        <f t="shared" si="441"/>
        <v>0</v>
      </c>
      <c r="BD699" s="387">
        <f t="shared" si="442"/>
        <v>0</v>
      </c>
      <c r="BE699" s="387">
        <f t="shared" si="443"/>
        <v>0</v>
      </c>
      <c r="BF699" s="387">
        <f t="shared" si="444"/>
        <v>0</v>
      </c>
      <c r="BG699" s="387">
        <f t="shared" si="445"/>
        <v>0</v>
      </c>
      <c r="BH699" s="387">
        <f t="shared" si="446"/>
        <v>0</v>
      </c>
      <c r="BI699" s="387">
        <f t="shared" si="447"/>
        <v>0</v>
      </c>
      <c r="BJ699" s="387">
        <f t="shared" si="448"/>
        <v>0</v>
      </c>
      <c r="BK699" s="387">
        <f t="shared" si="449"/>
        <v>0</v>
      </c>
      <c r="BL699" s="387">
        <f t="shared" si="472"/>
        <v>0</v>
      </c>
      <c r="BM699" s="387">
        <f t="shared" si="473"/>
        <v>0</v>
      </c>
      <c r="BN699" s="387">
        <f t="shared" si="450"/>
        <v>0</v>
      </c>
      <c r="BO699" s="387">
        <f t="shared" si="451"/>
        <v>0</v>
      </c>
      <c r="BP699" s="387">
        <f t="shared" si="452"/>
        <v>0</v>
      </c>
      <c r="BQ699" s="387">
        <f t="shared" si="453"/>
        <v>0</v>
      </c>
      <c r="BR699" s="387">
        <f t="shared" si="454"/>
        <v>0</v>
      </c>
      <c r="BS699" s="387">
        <f t="shared" si="455"/>
        <v>0</v>
      </c>
      <c r="BT699" s="387">
        <f t="shared" si="456"/>
        <v>0</v>
      </c>
      <c r="BU699" s="387">
        <f t="shared" si="457"/>
        <v>0</v>
      </c>
      <c r="BV699" s="387">
        <f t="shared" si="458"/>
        <v>0</v>
      </c>
      <c r="BW699" s="387">
        <f t="shared" si="459"/>
        <v>0</v>
      </c>
      <c r="BX699" s="387">
        <f t="shared" si="474"/>
        <v>0</v>
      </c>
      <c r="BY699" s="387">
        <f t="shared" si="475"/>
        <v>0</v>
      </c>
      <c r="BZ699" s="387">
        <f t="shared" si="476"/>
        <v>0</v>
      </c>
      <c r="CA699" s="387">
        <f t="shared" si="477"/>
        <v>0</v>
      </c>
      <c r="CB699" s="387">
        <f t="shared" si="478"/>
        <v>0</v>
      </c>
      <c r="CC699" s="387">
        <f t="shared" si="460"/>
        <v>0</v>
      </c>
      <c r="CD699" s="387">
        <f t="shared" si="461"/>
        <v>0</v>
      </c>
      <c r="CE699" s="387">
        <f t="shared" si="462"/>
        <v>0</v>
      </c>
      <c r="CF699" s="387">
        <f t="shared" si="463"/>
        <v>0</v>
      </c>
      <c r="CG699" s="387">
        <f t="shared" si="464"/>
        <v>0</v>
      </c>
      <c r="CH699" s="387">
        <f t="shared" si="465"/>
        <v>0</v>
      </c>
      <c r="CI699" s="387">
        <f t="shared" si="466"/>
        <v>0</v>
      </c>
      <c r="CJ699" s="387">
        <f t="shared" si="479"/>
        <v>0</v>
      </c>
      <c r="CK699" s="387" t="str">
        <f t="shared" si="480"/>
        <v/>
      </c>
      <c r="CL699" s="387" t="str">
        <f t="shared" si="481"/>
        <v/>
      </c>
      <c r="CM699" s="387" t="str">
        <f t="shared" si="482"/>
        <v/>
      </c>
      <c r="CN699" s="387" t="str">
        <f t="shared" si="483"/>
        <v>0349-31</v>
      </c>
    </row>
    <row r="700" spans="1:92" ht="15.75" thickBot="1" x14ac:dyDescent="0.3">
      <c r="A700" s="376" t="s">
        <v>161</v>
      </c>
      <c r="B700" s="376" t="s">
        <v>162</v>
      </c>
      <c r="C700" s="376" t="s">
        <v>1552</v>
      </c>
      <c r="D700" s="376" t="s">
        <v>862</v>
      </c>
      <c r="E700" s="376" t="s">
        <v>669</v>
      </c>
      <c r="F700" s="382" t="s">
        <v>225</v>
      </c>
      <c r="G700" s="376" t="s">
        <v>781</v>
      </c>
      <c r="H700" s="378"/>
      <c r="I700" s="378"/>
      <c r="J700" s="376" t="s">
        <v>239</v>
      </c>
      <c r="K700" s="376" t="s">
        <v>863</v>
      </c>
      <c r="L700" s="376" t="s">
        <v>252</v>
      </c>
      <c r="M700" s="376" t="s">
        <v>171</v>
      </c>
      <c r="N700" s="376" t="s">
        <v>172</v>
      </c>
      <c r="O700" s="379">
        <v>1</v>
      </c>
      <c r="P700" s="385">
        <v>0</v>
      </c>
      <c r="Q700" s="385">
        <v>0</v>
      </c>
      <c r="R700" s="380">
        <v>80</v>
      </c>
      <c r="S700" s="385">
        <v>0</v>
      </c>
      <c r="T700" s="380">
        <v>53.79</v>
      </c>
      <c r="U700" s="380">
        <v>0</v>
      </c>
      <c r="V700" s="380">
        <v>38.840000000000003</v>
      </c>
      <c r="W700" s="380">
        <v>0</v>
      </c>
      <c r="X700" s="380">
        <v>0</v>
      </c>
      <c r="Y700" s="380">
        <v>0</v>
      </c>
      <c r="Z700" s="380">
        <v>0</v>
      </c>
      <c r="AA700" s="376" t="s">
        <v>1553</v>
      </c>
      <c r="AB700" s="376" t="s">
        <v>1554</v>
      </c>
      <c r="AC700" s="376" t="s">
        <v>1555</v>
      </c>
      <c r="AD700" s="376" t="s">
        <v>170</v>
      </c>
      <c r="AE700" s="376" t="s">
        <v>863</v>
      </c>
      <c r="AF700" s="376" t="s">
        <v>393</v>
      </c>
      <c r="AG700" s="376" t="s">
        <v>178</v>
      </c>
      <c r="AH700" s="381">
        <v>17.7</v>
      </c>
      <c r="AI700" s="381">
        <v>9028.2000000000007</v>
      </c>
      <c r="AJ700" s="376" t="s">
        <v>179</v>
      </c>
      <c r="AK700" s="376" t="s">
        <v>180</v>
      </c>
      <c r="AL700" s="376" t="s">
        <v>181</v>
      </c>
      <c r="AM700" s="376" t="s">
        <v>182</v>
      </c>
      <c r="AN700" s="376" t="s">
        <v>68</v>
      </c>
      <c r="AO700" s="379">
        <v>80</v>
      </c>
      <c r="AP700" s="385">
        <v>1</v>
      </c>
      <c r="AQ700" s="385">
        <v>0</v>
      </c>
      <c r="AR700" s="383" t="s">
        <v>183</v>
      </c>
      <c r="AS700" s="387">
        <f t="shared" si="467"/>
        <v>0</v>
      </c>
      <c r="AT700">
        <f t="shared" si="468"/>
        <v>0</v>
      </c>
      <c r="AU700" s="387" t="str">
        <f>IF(AT700=0,"",IF(AND(AT700=1,M700="F",SUMIF(C2:C1334,C700,AS2:AS1334)&lt;=1),SUMIF(C2:C1334,C700,AS2:AS1334),IF(AND(AT700=1,M700="F",SUMIF(C2:C1334,C700,AS2:AS1334)&gt;1),1,"")))</f>
        <v/>
      </c>
      <c r="AV700" s="387" t="str">
        <f>IF(AT700=0,"",IF(AND(AT700=3,M700="F",SUMIF(C2:C1334,C700,AS2:AS1334)&lt;=1),SUMIF(C2:C1334,C700,AS2:AS1334),IF(AND(AT700=3,M700="F",SUMIF(C2:C1334,C700,AS2:AS1334)&gt;1),1,"")))</f>
        <v/>
      </c>
      <c r="AW700" s="387">
        <f>SUMIF(C2:C1334,C700,O2:O1334)</f>
        <v>3</v>
      </c>
      <c r="AX700" s="387">
        <f>IF(AND(M700="F",AS700&lt;&gt;0),SUMIF(C2:C1334,C700,W2:W1334),0)</f>
        <v>0</v>
      </c>
      <c r="AY700" s="387" t="str">
        <f t="shared" si="469"/>
        <v/>
      </c>
      <c r="AZ700" s="387" t="str">
        <f t="shared" si="470"/>
        <v/>
      </c>
      <c r="BA700" s="387">
        <f t="shared" si="471"/>
        <v>0</v>
      </c>
      <c r="BB700" s="387">
        <f t="shared" si="440"/>
        <v>0</v>
      </c>
      <c r="BC700" s="387">
        <f t="shared" si="441"/>
        <v>0</v>
      </c>
      <c r="BD700" s="387">
        <f t="shared" si="442"/>
        <v>0</v>
      </c>
      <c r="BE700" s="387">
        <f t="shared" si="443"/>
        <v>0</v>
      </c>
      <c r="BF700" s="387">
        <f t="shared" si="444"/>
        <v>0</v>
      </c>
      <c r="BG700" s="387">
        <f t="shared" si="445"/>
        <v>0</v>
      </c>
      <c r="BH700" s="387">
        <f t="shared" si="446"/>
        <v>0</v>
      </c>
      <c r="BI700" s="387">
        <f t="shared" si="447"/>
        <v>0</v>
      </c>
      <c r="BJ700" s="387">
        <f t="shared" si="448"/>
        <v>0</v>
      </c>
      <c r="BK700" s="387">
        <f t="shared" si="449"/>
        <v>0</v>
      </c>
      <c r="BL700" s="387">
        <f t="shared" si="472"/>
        <v>0</v>
      </c>
      <c r="BM700" s="387">
        <f t="shared" si="473"/>
        <v>0</v>
      </c>
      <c r="BN700" s="387">
        <f t="shared" si="450"/>
        <v>0</v>
      </c>
      <c r="BO700" s="387">
        <f t="shared" si="451"/>
        <v>0</v>
      </c>
      <c r="BP700" s="387">
        <f t="shared" si="452"/>
        <v>0</v>
      </c>
      <c r="BQ700" s="387">
        <f t="shared" si="453"/>
        <v>0</v>
      </c>
      <c r="BR700" s="387">
        <f t="shared" si="454"/>
        <v>0</v>
      </c>
      <c r="BS700" s="387">
        <f t="shared" si="455"/>
        <v>0</v>
      </c>
      <c r="BT700" s="387">
        <f t="shared" si="456"/>
        <v>0</v>
      </c>
      <c r="BU700" s="387">
        <f t="shared" si="457"/>
        <v>0</v>
      </c>
      <c r="BV700" s="387">
        <f t="shared" si="458"/>
        <v>0</v>
      </c>
      <c r="BW700" s="387">
        <f t="shared" si="459"/>
        <v>0</v>
      </c>
      <c r="BX700" s="387">
        <f t="shared" si="474"/>
        <v>0</v>
      </c>
      <c r="BY700" s="387">
        <f t="shared" si="475"/>
        <v>0</v>
      </c>
      <c r="BZ700" s="387">
        <f t="shared" si="476"/>
        <v>0</v>
      </c>
      <c r="CA700" s="387">
        <f t="shared" si="477"/>
        <v>0</v>
      </c>
      <c r="CB700" s="387">
        <f t="shared" si="478"/>
        <v>0</v>
      </c>
      <c r="CC700" s="387">
        <f t="shared" si="460"/>
        <v>0</v>
      </c>
      <c r="CD700" s="387">
        <f t="shared" si="461"/>
        <v>0</v>
      </c>
      <c r="CE700" s="387">
        <f t="shared" si="462"/>
        <v>0</v>
      </c>
      <c r="CF700" s="387">
        <f t="shared" si="463"/>
        <v>0</v>
      </c>
      <c r="CG700" s="387">
        <f t="shared" si="464"/>
        <v>0</v>
      </c>
      <c r="CH700" s="387">
        <f t="shared" si="465"/>
        <v>0</v>
      </c>
      <c r="CI700" s="387">
        <f t="shared" si="466"/>
        <v>0</v>
      </c>
      <c r="CJ700" s="387">
        <f t="shared" si="479"/>
        <v>0</v>
      </c>
      <c r="CK700" s="387" t="str">
        <f t="shared" si="480"/>
        <v/>
      </c>
      <c r="CL700" s="387" t="str">
        <f t="shared" si="481"/>
        <v/>
      </c>
      <c r="CM700" s="387" t="str">
        <f t="shared" si="482"/>
        <v/>
      </c>
      <c r="CN700" s="387" t="str">
        <f t="shared" si="483"/>
        <v>0349-31</v>
      </c>
    </row>
    <row r="701" spans="1:92" ht="15.75" thickBot="1" x14ac:dyDescent="0.3">
      <c r="A701" s="376" t="s">
        <v>161</v>
      </c>
      <c r="B701" s="376" t="s">
        <v>162</v>
      </c>
      <c r="C701" s="376" t="s">
        <v>1014</v>
      </c>
      <c r="D701" s="376" t="s">
        <v>862</v>
      </c>
      <c r="E701" s="376" t="s">
        <v>669</v>
      </c>
      <c r="F701" s="382" t="s">
        <v>225</v>
      </c>
      <c r="G701" s="376" t="s">
        <v>781</v>
      </c>
      <c r="H701" s="378"/>
      <c r="I701" s="378"/>
      <c r="J701" s="376" t="s">
        <v>239</v>
      </c>
      <c r="K701" s="376" t="s">
        <v>863</v>
      </c>
      <c r="L701" s="376" t="s">
        <v>252</v>
      </c>
      <c r="M701" s="376" t="s">
        <v>171</v>
      </c>
      <c r="N701" s="376" t="s">
        <v>172</v>
      </c>
      <c r="O701" s="379">
        <v>1</v>
      </c>
      <c r="P701" s="385">
        <v>0</v>
      </c>
      <c r="Q701" s="385">
        <v>0</v>
      </c>
      <c r="R701" s="380">
        <v>80</v>
      </c>
      <c r="S701" s="385">
        <v>0</v>
      </c>
      <c r="T701" s="380">
        <v>100.64</v>
      </c>
      <c r="U701" s="380">
        <v>0</v>
      </c>
      <c r="V701" s="380">
        <v>36.85</v>
      </c>
      <c r="W701" s="380">
        <v>0</v>
      </c>
      <c r="X701" s="380">
        <v>0</v>
      </c>
      <c r="Y701" s="380">
        <v>0</v>
      </c>
      <c r="Z701" s="380">
        <v>0</v>
      </c>
      <c r="AA701" s="376" t="s">
        <v>1015</v>
      </c>
      <c r="AB701" s="376" t="s">
        <v>1016</v>
      </c>
      <c r="AC701" s="376" t="s">
        <v>1017</v>
      </c>
      <c r="AD701" s="376" t="s">
        <v>1018</v>
      </c>
      <c r="AE701" s="376" t="s">
        <v>863</v>
      </c>
      <c r="AF701" s="376" t="s">
        <v>393</v>
      </c>
      <c r="AG701" s="376" t="s">
        <v>178</v>
      </c>
      <c r="AH701" s="381">
        <v>18.77</v>
      </c>
      <c r="AI701" s="379">
        <v>3280</v>
      </c>
      <c r="AJ701" s="376" t="s">
        <v>179</v>
      </c>
      <c r="AK701" s="376" t="s">
        <v>180</v>
      </c>
      <c r="AL701" s="376" t="s">
        <v>181</v>
      </c>
      <c r="AM701" s="376" t="s">
        <v>182</v>
      </c>
      <c r="AN701" s="376" t="s">
        <v>68</v>
      </c>
      <c r="AO701" s="379">
        <v>80</v>
      </c>
      <c r="AP701" s="385">
        <v>1</v>
      </c>
      <c r="AQ701" s="385">
        <v>0</v>
      </c>
      <c r="AR701" s="383" t="s">
        <v>183</v>
      </c>
      <c r="AS701" s="387">
        <f t="shared" si="467"/>
        <v>0</v>
      </c>
      <c r="AT701">
        <f t="shared" si="468"/>
        <v>0</v>
      </c>
      <c r="AU701" s="387" t="str">
        <f>IF(AT701=0,"",IF(AND(AT701=1,M701="F",SUMIF(C2:C1334,C701,AS2:AS1334)&lt;=1),SUMIF(C2:C1334,C701,AS2:AS1334),IF(AND(AT701=1,M701="F",SUMIF(C2:C1334,C701,AS2:AS1334)&gt;1),1,"")))</f>
        <v/>
      </c>
      <c r="AV701" s="387" t="str">
        <f>IF(AT701=0,"",IF(AND(AT701=3,M701="F",SUMIF(C2:C1334,C701,AS2:AS1334)&lt;=1),SUMIF(C2:C1334,C701,AS2:AS1334),IF(AND(AT701=3,M701="F",SUMIF(C2:C1334,C701,AS2:AS1334)&gt;1),1,"")))</f>
        <v/>
      </c>
      <c r="AW701" s="387">
        <f>SUMIF(C2:C1334,C701,O2:O1334)</f>
        <v>3</v>
      </c>
      <c r="AX701" s="387">
        <f>IF(AND(M701="F",AS701&lt;&gt;0),SUMIF(C2:C1334,C701,W2:W1334),0)</f>
        <v>0</v>
      </c>
      <c r="AY701" s="387" t="str">
        <f t="shared" si="469"/>
        <v/>
      </c>
      <c r="AZ701" s="387" t="str">
        <f t="shared" si="470"/>
        <v/>
      </c>
      <c r="BA701" s="387">
        <f t="shared" si="471"/>
        <v>0</v>
      </c>
      <c r="BB701" s="387">
        <f t="shared" si="440"/>
        <v>0</v>
      </c>
      <c r="BC701" s="387">
        <f t="shared" si="441"/>
        <v>0</v>
      </c>
      <c r="BD701" s="387">
        <f t="shared" si="442"/>
        <v>0</v>
      </c>
      <c r="BE701" s="387">
        <f t="shared" si="443"/>
        <v>0</v>
      </c>
      <c r="BF701" s="387">
        <f t="shared" si="444"/>
        <v>0</v>
      </c>
      <c r="BG701" s="387">
        <f t="shared" si="445"/>
        <v>0</v>
      </c>
      <c r="BH701" s="387">
        <f t="shared" si="446"/>
        <v>0</v>
      </c>
      <c r="BI701" s="387">
        <f t="shared" si="447"/>
        <v>0</v>
      </c>
      <c r="BJ701" s="387">
        <f t="shared" si="448"/>
        <v>0</v>
      </c>
      <c r="BK701" s="387">
        <f t="shared" si="449"/>
        <v>0</v>
      </c>
      <c r="BL701" s="387">
        <f t="shared" si="472"/>
        <v>0</v>
      </c>
      <c r="BM701" s="387">
        <f t="shared" si="473"/>
        <v>0</v>
      </c>
      <c r="BN701" s="387">
        <f t="shared" si="450"/>
        <v>0</v>
      </c>
      <c r="BO701" s="387">
        <f t="shared" si="451"/>
        <v>0</v>
      </c>
      <c r="BP701" s="387">
        <f t="shared" si="452"/>
        <v>0</v>
      </c>
      <c r="BQ701" s="387">
        <f t="shared" si="453"/>
        <v>0</v>
      </c>
      <c r="BR701" s="387">
        <f t="shared" si="454"/>
        <v>0</v>
      </c>
      <c r="BS701" s="387">
        <f t="shared" si="455"/>
        <v>0</v>
      </c>
      <c r="BT701" s="387">
        <f t="shared" si="456"/>
        <v>0</v>
      </c>
      <c r="BU701" s="387">
        <f t="shared" si="457"/>
        <v>0</v>
      </c>
      <c r="BV701" s="387">
        <f t="shared" si="458"/>
        <v>0</v>
      </c>
      <c r="BW701" s="387">
        <f t="shared" si="459"/>
        <v>0</v>
      </c>
      <c r="BX701" s="387">
        <f t="shared" si="474"/>
        <v>0</v>
      </c>
      <c r="BY701" s="387">
        <f t="shared" si="475"/>
        <v>0</v>
      </c>
      <c r="BZ701" s="387">
        <f t="shared" si="476"/>
        <v>0</v>
      </c>
      <c r="CA701" s="387">
        <f t="shared" si="477"/>
        <v>0</v>
      </c>
      <c r="CB701" s="387">
        <f t="shared" si="478"/>
        <v>0</v>
      </c>
      <c r="CC701" s="387">
        <f t="shared" si="460"/>
        <v>0</v>
      </c>
      <c r="CD701" s="387">
        <f t="shared" si="461"/>
        <v>0</v>
      </c>
      <c r="CE701" s="387">
        <f t="shared" si="462"/>
        <v>0</v>
      </c>
      <c r="CF701" s="387">
        <f t="shared" si="463"/>
        <v>0</v>
      </c>
      <c r="CG701" s="387">
        <f t="shared" si="464"/>
        <v>0</v>
      </c>
      <c r="CH701" s="387">
        <f t="shared" si="465"/>
        <v>0</v>
      </c>
      <c r="CI701" s="387">
        <f t="shared" si="466"/>
        <v>0</v>
      </c>
      <c r="CJ701" s="387">
        <f t="shared" si="479"/>
        <v>0</v>
      </c>
      <c r="CK701" s="387" t="str">
        <f t="shared" si="480"/>
        <v/>
      </c>
      <c r="CL701" s="387" t="str">
        <f t="shared" si="481"/>
        <v/>
      </c>
      <c r="CM701" s="387" t="str">
        <f t="shared" si="482"/>
        <v/>
      </c>
      <c r="CN701" s="387" t="str">
        <f t="shared" si="483"/>
        <v>0349-31</v>
      </c>
    </row>
    <row r="702" spans="1:92" ht="15.75" thickBot="1" x14ac:dyDescent="0.3">
      <c r="A702" s="376" t="s">
        <v>161</v>
      </c>
      <c r="B702" s="376" t="s">
        <v>162</v>
      </c>
      <c r="C702" s="376" t="s">
        <v>1777</v>
      </c>
      <c r="D702" s="376" t="s">
        <v>862</v>
      </c>
      <c r="E702" s="376" t="s">
        <v>669</v>
      </c>
      <c r="F702" s="382" t="s">
        <v>225</v>
      </c>
      <c r="G702" s="376" t="s">
        <v>781</v>
      </c>
      <c r="H702" s="378"/>
      <c r="I702" s="378"/>
      <c r="J702" s="376" t="s">
        <v>239</v>
      </c>
      <c r="K702" s="376" t="s">
        <v>863</v>
      </c>
      <c r="L702" s="376" t="s">
        <v>252</v>
      </c>
      <c r="M702" s="376" t="s">
        <v>171</v>
      </c>
      <c r="N702" s="376" t="s">
        <v>172</v>
      </c>
      <c r="O702" s="379">
        <v>1</v>
      </c>
      <c r="P702" s="385">
        <v>0</v>
      </c>
      <c r="Q702" s="385">
        <v>0</v>
      </c>
      <c r="R702" s="380">
        <v>80</v>
      </c>
      <c r="S702" s="385">
        <v>0</v>
      </c>
      <c r="T702" s="380">
        <v>13.22</v>
      </c>
      <c r="U702" s="380">
        <v>0</v>
      </c>
      <c r="V702" s="380">
        <v>6.16</v>
      </c>
      <c r="W702" s="380">
        <v>0</v>
      </c>
      <c r="X702" s="380">
        <v>0</v>
      </c>
      <c r="Y702" s="380">
        <v>0</v>
      </c>
      <c r="Z702" s="380">
        <v>0</v>
      </c>
      <c r="AA702" s="376" t="s">
        <v>1778</v>
      </c>
      <c r="AB702" s="376" t="s">
        <v>1779</v>
      </c>
      <c r="AC702" s="376" t="s">
        <v>1048</v>
      </c>
      <c r="AD702" s="376" t="s">
        <v>180</v>
      </c>
      <c r="AE702" s="376" t="s">
        <v>863</v>
      </c>
      <c r="AF702" s="376" t="s">
        <v>393</v>
      </c>
      <c r="AG702" s="376" t="s">
        <v>178</v>
      </c>
      <c r="AH702" s="381">
        <v>23.69</v>
      </c>
      <c r="AI702" s="381">
        <v>35097.9</v>
      </c>
      <c r="AJ702" s="376" t="s">
        <v>179</v>
      </c>
      <c r="AK702" s="376" t="s">
        <v>180</v>
      </c>
      <c r="AL702" s="376" t="s">
        <v>181</v>
      </c>
      <c r="AM702" s="376" t="s">
        <v>182</v>
      </c>
      <c r="AN702" s="376" t="s">
        <v>68</v>
      </c>
      <c r="AO702" s="379">
        <v>80</v>
      </c>
      <c r="AP702" s="385">
        <v>1</v>
      </c>
      <c r="AQ702" s="385">
        <v>0</v>
      </c>
      <c r="AR702" s="383" t="s">
        <v>183</v>
      </c>
      <c r="AS702" s="387">
        <f t="shared" si="467"/>
        <v>0</v>
      </c>
      <c r="AT702">
        <f t="shared" si="468"/>
        <v>0</v>
      </c>
      <c r="AU702" s="387" t="str">
        <f>IF(AT702=0,"",IF(AND(AT702=1,M702="F",SUMIF(C2:C1334,C702,AS2:AS1334)&lt;=1),SUMIF(C2:C1334,C702,AS2:AS1334),IF(AND(AT702=1,M702="F",SUMIF(C2:C1334,C702,AS2:AS1334)&gt;1),1,"")))</f>
        <v/>
      </c>
      <c r="AV702" s="387" t="str">
        <f>IF(AT702=0,"",IF(AND(AT702=3,M702="F",SUMIF(C2:C1334,C702,AS2:AS1334)&lt;=1),SUMIF(C2:C1334,C702,AS2:AS1334),IF(AND(AT702=3,M702="F",SUMIF(C2:C1334,C702,AS2:AS1334)&gt;1),1,"")))</f>
        <v/>
      </c>
      <c r="AW702" s="387">
        <f>SUMIF(C2:C1334,C702,O2:O1334)</f>
        <v>3</v>
      </c>
      <c r="AX702" s="387">
        <f>IF(AND(M702="F",AS702&lt;&gt;0),SUMIF(C2:C1334,C702,W2:W1334),0)</f>
        <v>0</v>
      </c>
      <c r="AY702" s="387" t="str">
        <f t="shared" si="469"/>
        <v/>
      </c>
      <c r="AZ702" s="387" t="str">
        <f t="shared" si="470"/>
        <v/>
      </c>
      <c r="BA702" s="387">
        <f t="shared" si="471"/>
        <v>0</v>
      </c>
      <c r="BB702" s="387">
        <f t="shared" si="440"/>
        <v>0</v>
      </c>
      <c r="BC702" s="387">
        <f t="shared" si="441"/>
        <v>0</v>
      </c>
      <c r="BD702" s="387">
        <f t="shared" si="442"/>
        <v>0</v>
      </c>
      <c r="BE702" s="387">
        <f t="shared" si="443"/>
        <v>0</v>
      </c>
      <c r="BF702" s="387">
        <f t="shared" si="444"/>
        <v>0</v>
      </c>
      <c r="BG702" s="387">
        <f t="shared" si="445"/>
        <v>0</v>
      </c>
      <c r="BH702" s="387">
        <f t="shared" si="446"/>
        <v>0</v>
      </c>
      <c r="BI702" s="387">
        <f t="shared" si="447"/>
        <v>0</v>
      </c>
      <c r="BJ702" s="387">
        <f t="shared" si="448"/>
        <v>0</v>
      </c>
      <c r="BK702" s="387">
        <f t="shared" si="449"/>
        <v>0</v>
      </c>
      <c r="BL702" s="387">
        <f t="shared" si="472"/>
        <v>0</v>
      </c>
      <c r="BM702" s="387">
        <f t="shared" si="473"/>
        <v>0</v>
      </c>
      <c r="BN702" s="387">
        <f t="shared" si="450"/>
        <v>0</v>
      </c>
      <c r="BO702" s="387">
        <f t="shared" si="451"/>
        <v>0</v>
      </c>
      <c r="BP702" s="387">
        <f t="shared" si="452"/>
        <v>0</v>
      </c>
      <c r="BQ702" s="387">
        <f t="shared" si="453"/>
        <v>0</v>
      </c>
      <c r="BR702" s="387">
        <f t="shared" si="454"/>
        <v>0</v>
      </c>
      <c r="BS702" s="387">
        <f t="shared" si="455"/>
        <v>0</v>
      </c>
      <c r="BT702" s="387">
        <f t="shared" si="456"/>
        <v>0</v>
      </c>
      <c r="BU702" s="387">
        <f t="shared" si="457"/>
        <v>0</v>
      </c>
      <c r="BV702" s="387">
        <f t="shared" si="458"/>
        <v>0</v>
      </c>
      <c r="BW702" s="387">
        <f t="shared" si="459"/>
        <v>0</v>
      </c>
      <c r="BX702" s="387">
        <f t="shared" si="474"/>
        <v>0</v>
      </c>
      <c r="BY702" s="387">
        <f t="shared" si="475"/>
        <v>0</v>
      </c>
      <c r="BZ702" s="387">
        <f t="shared" si="476"/>
        <v>0</v>
      </c>
      <c r="CA702" s="387">
        <f t="shared" si="477"/>
        <v>0</v>
      </c>
      <c r="CB702" s="387">
        <f t="shared" si="478"/>
        <v>0</v>
      </c>
      <c r="CC702" s="387">
        <f t="shared" si="460"/>
        <v>0</v>
      </c>
      <c r="CD702" s="387">
        <f t="shared" si="461"/>
        <v>0</v>
      </c>
      <c r="CE702" s="387">
        <f t="shared" si="462"/>
        <v>0</v>
      </c>
      <c r="CF702" s="387">
        <f t="shared" si="463"/>
        <v>0</v>
      </c>
      <c r="CG702" s="387">
        <f t="shared" si="464"/>
        <v>0</v>
      </c>
      <c r="CH702" s="387">
        <f t="shared" si="465"/>
        <v>0</v>
      </c>
      <c r="CI702" s="387">
        <f t="shared" si="466"/>
        <v>0</v>
      </c>
      <c r="CJ702" s="387">
        <f t="shared" si="479"/>
        <v>0</v>
      </c>
      <c r="CK702" s="387" t="str">
        <f t="shared" si="480"/>
        <v/>
      </c>
      <c r="CL702" s="387" t="str">
        <f t="shared" si="481"/>
        <v/>
      </c>
      <c r="CM702" s="387" t="str">
        <f t="shared" si="482"/>
        <v/>
      </c>
      <c r="CN702" s="387" t="str">
        <f t="shared" si="483"/>
        <v>0349-31</v>
      </c>
    </row>
    <row r="703" spans="1:92" ht="15.75" thickBot="1" x14ac:dyDescent="0.3">
      <c r="A703" s="376" t="s">
        <v>161</v>
      </c>
      <c r="B703" s="376" t="s">
        <v>162</v>
      </c>
      <c r="C703" s="376" t="s">
        <v>1486</v>
      </c>
      <c r="D703" s="376" t="s">
        <v>862</v>
      </c>
      <c r="E703" s="376" t="s">
        <v>669</v>
      </c>
      <c r="F703" s="382" t="s">
        <v>225</v>
      </c>
      <c r="G703" s="376" t="s">
        <v>781</v>
      </c>
      <c r="H703" s="378"/>
      <c r="I703" s="378"/>
      <c r="J703" s="376" t="s">
        <v>215</v>
      </c>
      <c r="K703" s="376" t="s">
        <v>863</v>
      </c>
      <c r="L703" s="376" t="s">
        <v>252</v>
      </c>
      <c r="M703" s="376" t="s">
        <v>272</v>
      </c>
      <c r="N703" s="376" t="s">
        <v>172</v>
      </c>
      <c r="O703" s="379">
        <v>0</v>
      </c>
      <c r="P703" s="385">
        <v>0</v>
      </c>
      <c r="Q703" s="385">
        <v>0</v>
      </c>
      <c r="R703" s="380">
        <v>80</v>
      </c>
      <c r="S703" s="385">
        <v>0</v>
      </c>
      <c r="T703" s="380">
        <v>100.33</v>
      </c>
      <c r="U703" s="380">
        <v>0</v>
      </c>
      <c r="V703" s="380">
        <v>33.39</v>
      </c>
      <c r="W703" s="380">
        <v>0</v>
      </c>
      <c r="X703" s="380">
        <v>0</v>
      </c>
      <c r="Y703" s="380">
        <v>0</v>
      </c>
      <c r="Z703" s="380">
        <v>0</v>
      </c>
      <c r="AA703" s="378"/>
      <c r="AB703" s="376" t="s">
        <v>45</v>
      </c>
      <c r="AC703" s="376" t="s">
        <v>45</v>
      </c>
      <c r="AD703" s="378"/>
      <c r="AE703" s="378"/>
      <c r="AF703" s="378"/>
      <c r="AG703" s="378"/>
      <c r="AH703" s="379">
        <v>0</v>
      </c>
      <c r="AI703" s="379">
        <v>0</v>
      </c>
      <c r="AJ703" s="378"/>
      <c r="AK703" s="378"/>
      <c r="AL703" s="376" t="s">
        <v>181</v>
      </c>
      <c r="AM703" s="378"/>
      <c r="AN703" s="378"/>
      <c r="AO703" s="379">
        <v>0</v>
      </c>
      <c r="AP703" s="385">
        <v>0</v>
      </c>
      <c r="AQ703" s="385">
        <v>0</v>
      </c>
      <c r="AR703" s="384"/>
      <c r="AS703" s="387">
        <f t="shared" si="467"/>
        <v>0</v>
      </c>
      <c r="AT703">
        <f t="shared" si="468"/>
        <v>0</v>
      </c>
      <c r="AU703" s="387" t="str">
        <f>IF(AT703=0,"",IF(AND(AT703=1,M703="F",SUMIF(C2:C1334,C703,AS2:AS1334)&lt;=1),SUMIF(C2:C1334,C703,AS2:AS1334),IF(AND(AT703=1,M703="F",SUMIF(C2:C1334,C703,AS2:AS1334)&gt;1),1,"")))</f>
        <v/>
      </c>
      <c r="AV703" s="387" t="str">
        <f>IF(AT703=0,"",IF(AND(AT703=3,M703="F",SUMIF(C2:C1334,C703,AS2:AS1334)&lt;=1),SUMIF(C2:C1334,C703,AS2:AS1334),IF(AND(AT703=3,M703="F",SUMIF(C2:C1334,C703,AS2:AS1334)&gt;1),1,"")))</f>
        <v/>
      </c>
      <c r="AW703" s="387">
        <f>SUMIF(C2:C1334,C703,O2:O1334)</f>
        <v>0</v>
      </c>
      <c r="AX703" s="387">
        <f>IF(AND(M703="F",AS703&lt;&gt;0),SUMIF(C2:C1334,C703,W2:W1334),0)</f>
        <v>0</v>
      </c>
      <c r="AY703" s="387" t="str">
        <f t="shared" si="469"/>
        <v/>
      </c>
      <c r="AZ703" s="387" t="str">
        <f t="shared" si="470"/>
        <v/>
      </c>
      <c r="BA703" s="387">
        <f t="shared" si="471"/>
        <v>0</v>
      </c>
      <c r="BB703" s="387">
        <f t="shared" si="440"/>
        <v>0</v>
      </c>
      <c r="BC703" s="387">
        <f t="shared" si="441"/>
        <v>0</v>
      </c>
      <c r="BD703" s="387">
        <f t="shared" si="442"/>
        <v>0</v>
      </c>
      <c r="BE703" s="387">
        <f t="shared" si="443"/>
        <v>0</v>
      </c>
      <c r="BF703" s="387">
        <f t="shared" si="444"/>
        <v>0</v>
      </c>
      <c r="BG703" s="387">
        <f t="shared" si="445"/>
        <v>0</v>
      </c>
      <c r="BH703" s="387">
        <f t="shared" si="446"/>
        <v>0</v>
      </c>
      <c r="BI703" s="387">
        <f t="shared" si="447"/>
        <v>0</v>
      </c>
      <c r="BJ703" s="387">
        <f t="shared" si="448"/>
        <v>0</v>
      </c>
      <c r="BK703" s="387">
        <f t="shared" si="449"/>
        <v>0</v>
      </c>
      <c r="BL703" s="387">
        <f t="shared" si="472"/>
        <v>0</v>
      </c>
      <c r="BM703" s="387">
        <f t="shared" si="473"/>
        <v>0</v>
      </c>
      <c r="BN703" s="387">
        <f t="shared" si="450"/>
        <v>0</v>
      </c>
      <c r="BO703" s="387">
        <f t="shared" si="451"/>
        <v>0</v>
      </c>
      <c r="BP703" s="387">
        <f t="shared" si="452"/>
        <v>0</v>
      </c>
      <c r="BQ703" s="387">
        <f t="shared" si="453"/>
        <v>0</v>
      </c>
      <c r="BR703" s="387">
        <f t="shared" si="454"/>
        <v>0</v>
      </c>
      <c r="BS703" s="387">
        <f t="shared" si="455"/>
        <v>0</v>
      </c>
      <c r="BT703" s="387">
        <f t="shared" si="456"/>
        <v>0</v>
      </c>
      <c r="BU703" s="387">
        <f t="shared" si="457"/>
        <v>0</v>
      </c>
      <c r="BV703" s="387">
        <f t="shared" si="458"/>
        <v>0</v>
      </c>
      <c r="BW703" s="387">
        <f t="shared" si="459"/>
        <v>0</v>
      </c>
      <c r="BX703" s="387">
        <f t="shared" si="474"/>
        <v>0</v>
      </c>
      <c r="BY703" s="387">
        <f t="shared" si="475"/>
        <v>0</v>
      </c>
      <c r="BZ703" s="387">
        <f t="shared" si="476"/>
        <v>0</v>
      </c>
      <c r="CA703" s="387">
        <f t="shared" si="477"/>
        <v>0</v>
      </c>
      <c r="CB703" s="387">
        <f t="shared" si="478"/>
        <v>0</v>
      </c>
      <c r="CC703" s="387">
        <f t="shared" si="460"/>
        <v>0</v>
      </c>
      <c r="CD703" s="387">
        <f t="shared" si="461"/>
        <v>0</v>
      </c>
      <c r="CE703" s="387">
        <f t="shared" si="462"/>
        <v>0</v>
      </c>
      <c r="CF703" s="387">
        <f t="shared" si="463"/>
        <v>0</v>
      </c>
      <c r="CG703" s="387">
        <f t="shared" si="464"/>
        <v>0</v>
      </c>
      <c r="CH703" s="387">
        <f t="shared" si="465"/>
        <v>0</v>
      </c>
      <c r="CI703" s="387">
        <f t="shared" si="466"/>
        <v>0</v>
      </c>
      <c r="CJ703" s="387">
        <f t="shared" si="479"/>
        <v>0</v>
      </c>
      <c r="CK703" s="387" t="str">
        <f t="shared" si="480"/>
        <v/>
      </c>
      <c r="CL703" s="387" t="str">
        <f t="shared" si="481"/>
        <v/>
      </c>
      <c r="CM703" s="387" t="str">
        <f t="shared" si="482"/>
        <v/>
      </c>
      <c r="CN703" s="387" t="str">
        <f t="shared" si="483"/>
        <v>0349-31</v>
      </c>
    </row>
    <row r="704" spans="1:92" ht="15.75" thickBot="1" x14ac:dyDescent="0.3">
      <c r="A704" s="376" t="s">
        <v>161</v>
      </c>
      <c r="B704" s="376" t="s">
        <v>162</v>
      </c>
      <c r="C704" s="376" t="s">
        <v>237</v>
      </c>
      <c r="D704" s="376" t="s">
        <v>238</v>
      </c>
      <c r="E704" s="376" t="s">
        <v>669</v>
      </c>
      <c r="F704" s="382" t="s">
        <v>225</v>
      </c>
      <c r="G704" s="376" t="s">
        <v>781</v>
      </c>
      <c r="H704" s="378"/>
      <c r="I704" s="378"/>
      <c r="J704" s="376" t="s">
        <v>239</v>
      </c>
      <c r="K704" s="376" t="s">
        <v>240</v>
      </c>
      <c r="L704" s="376" t="s">
        <v>210</v>
      </c>
      <c r="M704" s="376" t="s">
        <v>171</v>
      </c>
      <c r="N704" s="376" t="s">
        <v>172</v>
      </c>
      <c r="O704" s="379">
        <v>1</v>
      </c>
      <c r="P704" s="385">
        <v>0</v>
      </c>
      <c r="Q704" s="385">
        <v>0</v>
      </c>
      <c r="R704" s="380">
        <v>80</v>
      </c>
      <c r="S704" s="385">
        <v>0</v>
      </c>
      <c r="T704" s="380">
        <v>16.809999999999999</v>
      </c>
      <c r="U704" s="380">
        <v>0</v>
      </c>
      <c r="V704" s="380">
        <v>6.67</v>
      </c>
      <c r="W704" s="380">
        <v>0</v>
      </c>
      <c r="X704" s="380">
        <v>0</v>
      </c>
      <c r="Y704" s="380">
        <v>0</v>
      </c>
      <c r="Z704" s="380">
        <v>0</v>
      </c>
      <c r="AA704" s="376" t="s">
        <v>241</v>
      </c>
      <c r="AB704" s="376" t="s">
        <v>242</v>
      </c>
      <c r="AC704" s="376" t="s">
        <v>243</v>
      </c>
      <c r="AD704" s="376" t="s">
        <v>244</v>
      </c>
      <c r="AE704" s="376" t="s">
        <v>240</v>
      </c>
      <c r="AF704" s="376" t="s">
        <v>245</v>
      </c>
      <c r="AG704" s="376" t="s">
        <v>178</v>
      </c>
      <c r="AH704" s="381">
        <v>33.61</v>
      </c>
      <c r="AI704" s="381">
        <v>17909.099999999999</v>
      </c>
      <c r="AJ704" s="376" t="s">
        <v>179</v>
      </c>
      <c r="AK704" s="376" t="s">
        <v>180</v>
      </c>
      <c r="AL704" s="376" t="s">
        <v>181</v>
      </c>
      <c r="AM704" s="376" t="s">
        <v>182</v>
      </c>
      <c r="AN704" s="376" t="s">
        <v>68</v>
      </c>
      <c r="AO704" s="379">
        <v>80</v>
      </c>
      <c r="AP704" s="385">
        <v>1</v>
      </c>
      <c r="AQ704" s="385">
        <v>0</v>
      </c>
      <c r="AR704" s="383" t="s">
        <v>183</v>
      </c>
      <c r="AS704" s="387">
        <f t="shared" si="467"/>
        <v>0</v>
      </c>
      <c r="AT704">
        <f t="shared" si="468"/>
        <v>0</v>
      </c>
      <c r="AU704" s="387" t="str">
        <f>IF(AT704=0,"",IF(AND(AT704=1,M704="F",SUMIF(C2:C1334,C704,AS2:AS1334)&lt;=1),SUMIF(C2:C1334,C704,AS2:AS1334),IF(AND(AT704=1,M704="F",SUMIF(C2:C1334,C704,AS2:AS1334)&gt;1),1,"")))</f>
        <v/>
      </c>
      <c r="AV704" s="387" t="str">
        <f>IF(AT704=0,"",IF(AND(AT704=3,M704="F",SUMIF(C2:C1334,C704,AS2:AS1334)&lt;=1),SUMIF(C2:C1334,C704,AS2:AS1334),IF(AND(AT704=3,M704="F",SUMIF(C2:C1334,C704,AS2:AS1334)&gt;1),1,"")))</f>
        <v/>
      </c>
      <c r="AW704" s="387">
        <f>SUMIF(C2:C1334,C704,O2:O1334)</f>
        <v>6</v>
      </c>
      <c r="AX704" s="387">
        <f>IF(AND(M704="F",AS704&lt;&gt;0),SUMIF(C2:C1334,C704,W2:W1334),0)</f>
        <v>0</v>
      </c>
      <c r="AY704" s="387" t="str">
        <f t="shared" si="469"/>
        <v/>
      </c>
      <c r="AZ704" s="387" t="str">
        <f t="shared" si="470"/>
        <v/>
      </c>
      <c r="BA704" s="387">
        <f t="shared" si="471"/>
        <v>0</v>
      </c>
      <c r="BB704" s="387">
        <f t="shared" si="440"/>
        <v>0</v>
      </c>
      <c r="BC704" s="387">
        <f t="shared" si="441"/>
        <v>0</v>
      </c>
      <c r="BD704" s="387">
        <f t="shared" si="442"/>
        <v>0</v>
      </c>
      <c r="BE704" s="387">
        <f t="shared" si="443"/>
        <v>0</v>
      </c>
      <c r="BF704" s="387">
        <f t="shared" si="444"/>
        <v>0</v>
      </c>
      <c r="BG704" s="387">
        <f t="shared" si="445"/>
        <v>0</v>
      </c>
      <c r="BH704" s="387">
        <f t="shared" si="446"/>
        <v>0</v>
      </c>
      <c r="BI704" s="387">
        <f t="shared" si="447"/>
        <v>0</v>
      </c>
      <c r="BJ704" s="387">
        <f t="shared" si="448"/>
        <v>0</v>
      </c>
      <c r="BK704" s="387">
        <f t="shared" si="449"/>
        <v>0</v>
      </c>
      <c r="BL704" s="387">
        <f t="shared" si="472"/>
        <v>0</v>
      </c>
      <c r="BM704" s="387">
        <f t="shared" si="473"/>
        <v>0</v>
      </c>
      <c r="BN704" s="387">
        <f t="shared" si="450"/>
        <v>0</v>
      </c>
      <c r="BO704" s="387">
        <f t="shared" si="451"/>
        <v>0</v>
      </c>
      <c r="BP704" s="387">
        <f t="shared" si="452"/>
        <v>0</v>
      </c>
      <c r="BQ704" s="387">
        <f t="shared" si="453"/>
        <v>0</v>
      </c>
      <c r="BR704" s="387">
        <f t="shared" si="454"/>
        <v>0</v>
      </c>
      <c r="BS704" s="387">
        <f t="shared" si="455"/>
        <v>0</v>
      </c>
      <c r="BT704" s="387">
        <f t="shared" si="456"/>
        <v>0</v>
      </c>
      <c r="BU704" s="387">
        <f t="shared" si="457"/>
        <v>0</v>
      </c>
      <c r="BV704" s="387">
        <f t="shared" si="458"/>
        <v>0</v>
      </c>
      <c r="BW704" s="387">
        <f t="shared" si="459"/>
        <v>0</v>
      </c>
      <c r="BX704" s="387">
        <f t="shared" si="474"/>
        <v>0</v>
      </c>
      <c r="BY704" s="387">
        <f t="shared" si="475"/>
        <v>0</v>
      </c>
      <c r="BZ704" s="387">
        <f t="shared" si="476"/>
        <v>0</v>
      </c>
      <c r="CA704" s="387">
        <f t="shared" si="477"/>
        <v>0</v>
      </c>
      <c r="CB704" s="387">
        <f t="shared" si="478"/>
        <v>0</v>
      </c>
      <c r="CC704" s="387">
        <f t="shared" si="460"/>
        <v>0</v>
      </c>
      <c r="CD704" s="387">
        <f t="shared" si="461"/>
        <v>0</v>
      </c>
      <c r="CE704" s="387">
        <f t="shared" si="462"/>
        <v>0</v>
      </c>
      <c r="CF704" s="387">
        <f t="shared" si="463"/>
        <v>0</v>
      </c>
      <c r="CG704" s="387">
        <f t="shared" si="464"/>
        <v>0</v>
      </c>
      <c r="CH704" s="387">
        <f t="shared" si="465"/>
        <v>0</v>
      </c>
      <c r="CI704" s="387">
        <f t="shared" si="466"/>
        <v>0</v>
      </c>
      <c r="CJ704" s="387">
        <f t="shared" si="479"/>
        <v>0</v>
      </c>
      <c r="CK704" s="387" t="str">
        <f t="shared" si="480"/>
        <v/>
      </c>
      <c r="CL704" s="387" t="str">
        <f t="shared" si="481"/>
        <v/>
      </c>
      <c r="CM704" s="387" t="str">
        <f t="shared" si="482"/>
        <v/>
      </c>
      <c r="CN704" s="387" t="str">
        <f t="shared" si="483"/>
        <v>0349-31</v>
      </c>
    </row>
    <row r="705" spans="1:92" ht="15.75" thickBot="1" x14ac:dyDescent="0.3">
      <c r="A705" s="376" t="s">
        <v>161</v>
      </c>
      <c r="B705" s="376" t="s">
        <v>162</v>
      </c>
      <c r="C705" s="376" t="s">
        <v>1623</v>
      </c>
      <c r="D705" s="376" t="s">
        <v>862</v>
      </c>
      <c r="E705" s="376" t="s">
        <v>669</v>
      </c>
      <c r="F705" s="382" t="s">
        <v>225</v>
      </c>
      <c r="G705" s="376" t="s">
        <v>781</v>
      </c>
      <c r="H705" s="378"/>
      <c r="I705" s="378"/>
      <c r="J705" s="376" t="s">
        <v>239</v>
      </c>
      <c r="K705" s="376" t="s">
        <v>863</v>
      </c>
      <c r="L705" s="376" t="s">
        <v>252</v>
      </c>
      <c r="M705" s="376" t="s">
        <v>171</v>
      </c>
      <c r="N705" s="376" t="s">
        <v>172</v>
      </c>
      <c r="O705" s="379">
        <v>1</v>
      </c>
      <c r="P705" s="385">
        <v>0</v>
      </c>
      <c r="Q705" s="385">
        <v>0</v>
      </c>
      <c r="R705" s="380">
        <v>80</v>
      </c>
      <c r="S705" s="385">
        <v>0</v>
      </c>
      <c r="T705" s="380">
        <v>41.64</v>
      </c>
      <c r="U705" s="380">
        <v>0</v>
      </c>
      <c r="V705" s="380">
        <v>23.52</v>
      </c>
      <c r="W705" s="380">
        <v>0</v>
      </c>
      <c r="X705" s="380">
        <v>0</v>
      </c>
      <c r="Y705" s="380">
        <v>0</v>
      </c>
      <c r="Z705" s="380">
        <v>0</v>
      </c>
      <c r="AA705" s="376" t="s">
        <v>1624</v>
      </c>
      <c r="AB705" s="376" t="s">
        <v>1625</v>
      </c>
      <c r="AC705" s="376" t="s">
        <v>1626</v>
      </c>
      <c r="AD705" s="376" t="s">
        <v>324</v>
      </c>
      <c r="AE705" s="376" t="s">
        <v>863</v>
      </c>
      <c r="AF705" s="376" t="s">
        <v>393</v>
      </c>
      <c r="AG705" s="376" t="s">
        <v>178</v>
      </c>
      <c r="AH705" s="381">
        <v>18.53</v>
      </c>
      <c r="AI705" s="381">
        <v>3682.5</v>
      </c>
      <c r="AJ705" s="376" t="s">
        <v>179</v>
      </c>
      <c r="AK705" s="376" t="s">
        <v>180</v>
      </c>
      <c r="AL705" s="376" t="s">
        <v>181</v>
      </c>
      <c r="AM705" s="376" t="s">
        <v>182</v>
      </c>
      <c r="AN705" s="376" t="s">
        <v>68</v>
      </c>
      <c r="AO705" s="379">
        <v>80</v>
      </c>
      <c r="AP705" s="385">
        <v>1</v>
      </c>
      <c r="AQ705" s="385">
        <v>0</v>
      </c>
      <c r="AR705" s="383" t="s">
        <v>183</v>
      </c>
      <c r="AS705" s="387">
        <f t="shared" si="467"/>
        <v>0</v>
      </c>
      <c r="AT705">
        <f t="shared" si="468"/>
        <v>0</v>
      </c>
      <c r="AU705" s="387" t="str">
        <f>IF(AT705=0,"",IF(AND(AT705=1,M705="F",SUMIF(C2:C1334,C705,AS2:AS1334)&lt;=1),SUMIF(C2:C1334,C705,AS2:AS1334),IF(AND(AT705=1,M705="F",SUMIF(C2:C1334,C705,AS2:AS1334)&gt;1),1,"")))</f>
        <v/>
      </c>
      <c r="AV705" s="387" t="str">
        <f>IF(AT705=0,"",IF(AND(AT705=3,M705="F",SUMIF(C2:C1334,C705,AS2:AS1334)&lt;=1),SUMIF(C2:C1334,C705,AS2:AS1334),IF(AND(AT705=3,M705="F",SUMIF(C2:C1334,C705,AS2:AS1334)&gt;1),1,"")))</f>
        <v/>
      </c>
      <c r="AW705" s="387">
        <f>SUMIF(C2:C1334,C705,O2:O1334)</f>
        <v>3</v>
      </c>
      <c r="AX705" s="387">
        <f>IF(AND(M705="F",AS705&lt;&gt;0),SUMIF(C2:C1334,C705,W2:W1334),0)</f>
        <v>0</v>
      </c>
      <c r="AY705" s="387" t="str">
        <f t="shared" si="469"/>
        <v/>
      </c>
      <c r="AZ705" s="387" t="str">
        <f t="shared" si="470"/>
        <v/>
      </c>
      <c r="BA705" s="387">
        <f t="shared" si="471"/>
        <v>0</v>
      </c>
      <c r="BB705" s="387">
        <f t="shared" si="440"/>
        <v>0</v>
      </c>
      <c r="BC705" s="387">
        <f t="shared" si="441"/>
        <v>0</v>
      </c>
      <c r="BD705" s="387">
        <f t="shared" si="442"/>
        <v>0</v>
      </c>
      <c r="BE705" s="387">
        <f t="shared" si="443"/>
        <v>0</v>
      </c>
      <c r="BF705" s="387">
        <f t="shared" si="444"/>
        <v>0</v>
      </c>
      <c r="BG705" s="387">
        <f t="shared" si="445"/>
        <v>0</v>
      </c>
      <c r="BH705" s="387">
        <f t="shared" si="446"/>
        <v>0</v>
      </c>
      <c r="BI705" s="387">
        <f t="shared" si="447"/>
        <v>0</v>
      </c>
      <c r="BJ705" s="387">
        <f t="shared" si="448"/>
        <v>0</v>
      </c>
      <c r="BK705" s="387">
        <f t="shared" si="449"/>
        <v>0</v>
      </c>
      <c r="BL705" s="387">
        <f t="shared" si="472"/>
        <v>0</v>
      </c>
      <c r="BM705" s="387">
        <f t="shared" si="473"/>
        <v>0</v>
      </c>
      <c r="BN705" s="387">
        <f t="shared" si="450"/>
        <v>0</v>
      </c>
      <c r="BO705" s="387">
        <f t="shared" si="451"/>
        <v>0</v>
      </c>
      <c r="BP705" s="387">
        <f t="shared" si="452"/>
        <v>0</v>
      </c>
      <c r="BQ705" s="387">
        <f t="shared" si="453"/>
        <v>0</v>
      </c>
      <c r="BR705" s="387">
        <f t="shared" si="454"/>
        <v>0</v>
      </c>
      <c r="BS705" s="387">
        <f t="shared" si="455"/>
        <v>0</v>
      </c>
      <c r="BT705" s="387">
        <f t="shared" si="456"/>
        <v>0</v>
      </c>
      <c r="BU705" s="387">
        <f t="shared" si="457"/>
        <v>0</v>
      </c>
      <c r="BV705" s="387">
        <f t="shared" si="458"/>
        <v>0</v>
      </c>
      <c r="BW705" s="387">
        <f t="shared" si="459"/>
        <v>0</v>
      </c>
      <c r="BX705" s="387">
        <f t="shared" si="474"/>
        <v>0</v>
      </c>
      <c r="BY705" s="387">
        <f t="shared" si="475"/>
        <v>0</v>
      </c>
      <c r="BZ705" s="387">
        <f t="shared" si="476"/>
        <v>0</v>
      </c>
      <c r="CA705" s="387">
        <f t="shared" si="477"/>
        <v>0</v>
      </c>
      <c r="CB705" s="387">
        <f t="shared" si="478"/>
        <v>0</v>
      </c>
      <c r="CC705" s="387">
        <f t="shared" si="460"/>
        <v>0</v>
      </c>
      <c r="CD705" s="387">
        <f t="shared" si="461"/>
        <v>0</v>
      </c>
      <c r="CE705" s="387">
        <f t="shared" si="462"/>
        <v>0</v>
      </c>
      <c r="CF705" s="387">
        <f t="shared" si="463"/>
        <v>0</v>
      </c>
      <c r="CG705" s="387">
        <f t="shared" si="464"/>
        <v>0</v>
      </c>
      <c r="CH705" s="387">
        <f t="shared" si="465"/>
        <v>0</v>
      </c>
      <c r="CI705" s="387">
        <f t="shared" si="466"/>
        <v>0</v>
      </c>
      <c r="CJ705" s="387">
        <f t="shared" si="479"/>
        <v>0</v>
      </c>
      <c r="CK705" s="387" t="str">
        <f t="shared" si="480"/>
        <v/>
      </c>
      <c r="CL705" s="387" t="str">
        <f t="shared" si="481"/>
        <v/>
      </c>
      <c r="CM705" s="387" t="str">
        <f t="shared" si="482"/>
        <v/>
      </c>
      <c r="CN705" s="387" t="str">
        <f t="shared" si="483"/>
        <v>0349-31</v>
      </c>
    </row>
    <row r="706" spans="1:92" ht="15.75" thickBot="1" x14ac:dyDescent="0.3">
      <c r="A706" s="376" t="s">
        <v>161</v>
      </c>
      <c r="B706" s="376" t="s">
        <v>162</v>
      </c>
      <c r="C706" s="376" t="s">
        <v>1039</v>
      </c>
      <c r="D706" s="376" t="s">
        <v>862</v>
      </c>
      <c r="E706" s="376" t="s">
        <v>669</v>
      </c>
      <c r="F706" s="382" t="s">
        <v>225</v>
      </c>
      <c r="G706" s="376" t="s">
        <v>781</v>
      </c>
      <c r="H706" s="378"/>
      <c r="I706" s="378"/>
      <c r="J706" s="376" t="s">
        <v>239</v>
      </c>
      <c r="K706" s="376" t="s">
        <v>863</v>
      </c>
      <c r="L706" s="376" t="s">
        <v>252</v>
      </c>
      <c r="M706" s="376" t="s">
        <v>171</v>
      </c>
      <c r="N706" s="376" t="s">
        <v>172</v>
      </c>
      <c r="O706" s="379">
        <v>1</v>
      </c>
      <c r="P706" s="385">
        <v>0</v>
      </c>
      <c r="Q706" s="385">
        <v>0</v>
      </c>
      <c r="R706" s="380">
        <v>80</v>
      </c>
      <c r="S706" s="385">
        <v>0</v>
      </c>
      <c r="T706" s="380">
        <v>17.350000000000001</v>
      </c>
      <c r="U706" s="380">
        <v>0</v>
      </c>
      <c r="V706" s="380">
        <v>9.51</v>
      </c>
      <c r="W706" s="380">
        <v>0</v>
      </c>
      <c r="X706" s="380">
        <v>0</v>
      </c>
      <c r="Y706" s="380">
        <v>0</v>
      </c>
      <c r="Z706" s="380">
        <v>0</v>
      </c>
      <c r="AA706" s="376" t="s">
        <v>1040</v>
      </c>
      <c r="AB706" s="376" t="s">
        <v>1041</v>
      </c>
      <c r="AC706" s="376" t="s">
        <v>1042</v>
      </c>
      <c r="AD706" s="376" t="s">
        <v>260</v>
      </c>
      <c r="AE706" s="376" t="s">
        <v>863</v>
      </c>
      <c r="AF706" s="376" t="s">
        <v>393</v>
      </c>
      <c r="AG706" s="376" t="s">
        <v>178</v>
      </c>
      <c r="AH706" s="381">
        <v>18.89</v>
      </c>
      <c r="AI706" s="379">
        <v>3200</v>
      </c>
      <c r="AJ706" s="376" t="s">
        <v>179</v>
      </c>
      <c r="AK706" s="376" t="s">
        <v>180</v>
      </c>
      <c r="AL706" s="376" t="s">
        <v>181</v>
      </c>
      <c r="AM706" s="376" t="s">
        <v>182</v>
      </c>
      <c r="AN706" s="376" t="s">
        <v>68</v>
      </c>
      <c r="AO706" s="379">
        <v>80</v>
      </c>
      <c r="AP706" s="385">
        <v>1</v>
      </c>
      <c r="AQ706" s="385">
        <v>0</v>
      </c>
      <c r="AR706" s="383" t="s">
        <v>183</v>
      </c>
      <c r="AS706" s="387">
        <f t="shared" si="467"/>
        <v>0</v>
      </c>
      <c r="AT706">
        <f t="shared" si="468"/>
        <v>0</v>
      </c>
      <c r="AU706" s="387" t="str">
        <f>IF(AT706=0,"",IF(AND(AT706=1,M706="F",SUMIF(C2:C1334,C706,AS2:AS1334)&lt;=1),SUMIF(C2:C1334,C706,AS2:AS1334),IF(AND(AT706=1,M706="F",SUMIF(C2:C1334,C706,AS2:AS1334)&gt;1),1,"")))</f>
        <v/>
      </c>
      <c r="AV706" s="387" t="str">
        <f>IF(AT706=0,"",IF(AND(AT706=3,M706="F",SUMIF(C2:C1334,C706,AS2:AS1334)&lt;=1),SUMIF(C2:C1334,C706,AS2:AS1334),IF(AND(AT706=3,M706="F",SUMIF(C2:C1334,C706,AS2:AS1334)&gt;1),1,"")))</f>
        <v/>
      </c>
      <c r="AW706" s="387">
        <f>SUMIF(C2:C1334,C706,O2:O1334)</f>
        <v>3</v>
      </c>
      <c r="AX706" s="387">
        <f>IF(AND(M706="F",AS706&lt;&gt;0),SUMIF(C2:C1334,C706,W2:W1334),0)</f>
        <v>0</v>
      </c>
      <c r="AY706" s="387" t="str">
        <f t="shared" si="469"/>
        <v/>
      </c>
      <c r="AZ706" s="387" t="str">
        <f t="shared" si="470"/>
        <v/>
      </c>
      <c r="BA706" s="387">
        <f t="shared" si="471"/>
        <v>0</v>
      </c>
      <c r="BB706" s="387">
        <f t="shared" ref="BB706:BB769" si="484">IF(AND(AT706=1,AK706="E",AU706&gt;=0.75,AW706=1),Health,IF(AND(AT706=1,AK706="E",AU706&gt;=0.75),Health*P706,IF(AND(AT706=1,AK706="E",AU706&gt;=0.5,AW706=1),PTHealth,IF(AND(AT706=1,AK706="E",AU706&gt;=0.5),PTHealth*P706,0))))</f>
        <v>0</v>
      </c>
      <c r="BC706" s="387">
        <f t="shared" ref="BC706:BC769" si="485">IF(AND(AT706=3,AK706="E",AV706&gt;=0.75,AW706=1),Health,IF(AND(AT706=3,AK706="E",AV706&gt;=0.75),Health*P706,IF(AND(AT706=3,AK706="E",AV706&gt;=0.5,AW706=1),PTHealth,IF(AND(AT706=3,AK706="E",AV706&gt;=0.5),PTHealth*P706,0))))</f>
        <v>0</v>
      </c>
      <c r="BD706" s="387">
        <f t="shared" ref="BD706:BD769" si="486">IF(AND(AT706&lt;&gt;0,AX706&gt;=MAXSSDI),SSDI*MAXSSDI*P706,IF(AT706&lt;&gt;0,SSDI*W706,0))</f>
        <v>0</v>
      </c>
      <c r="BE706" s="387">
        <f t="shared" ref="BE706:BE769" si="487">IF(AT706&lt;&gt;0,SSHI*W706,0)</f>
        <v>0</v>
      </c>
      <c r="BF706" s="387">
        <f t="shared" ref="BF706:BF769" si="488">IF(AND(AT706&lt;&gt;0,AN706&lt;&gt;"NE"),VLOOKUP(AN706,Retirement_Rates,3,FALSE)*W706,0)</f>
        <v>0</v>
      </c>
      <c r="BG706" s="387">
        <f t="shared" ref="BG706:BG769" si="489">IF(AND(AT706&lt;&gt;0,AJ706&lt;&gt;"PF"),Life*W706,0)</f>
        <v>0</v>
      </c>
      <c r="BH706" s="387">
        <f t="shared" ref="BH706:BH769" si="490">IF(AND(AT706&lt;&gt;0,AM706="Y"),UI*W706,0)</f>
        <v>0</v>
      </c>
      <c r="BI706" s="387">
        <f t="shared" ref="BI706:BI769" si="491">IF(AND(AT706&lt;&gt;0,N706&lt;&gt;"NR"),DHR*W706,0)</f>
        <v>0</v>
      </c>
      <c r="BJ706" s="387">
        <f t="shared" ref="BJ706:BJ769" si="492">IF(AT706&lt;&gt;0,WC*W706,0)</f>
        <v>0</v>
      </c>
      <c r="BK706" s="387">
        <f t="shared" ref="BK706:BK769" si="493">IF(OR(AND(AT706&lt;&gt;0,AJ706&lt;&gt;"PF",AN706&lt;&gt;"NE",AG706&lt;&gt;"A"),AND(AL706="E",OR(AT706=1,AT706=3))),Sick*W706,0)</f>
        <v>0</v>
      </c>
      <c r="BL706" s="387">
        <f t="shared" si="472"/>
        <v>0</v>
      </c>
      <c r="BM706" s="387">
        <f t="shared" si="473"/>
        <v>0</v>
      </c>
      <c r="BN706" s="387">
        <f t="shared" ref="BN706:BN769" si="494">IF(AND(AT706=1,AK706="E",AU706&gt;=0.75,AW706=1),HealthBY,IF(AND(AT706=1,AK706="E",AU706&gt;=0.75),HealthBY*P706,IF(AND(AT706=1,AK706="E",AU706&gt;=0.5,AW706=1),PTHealthBY,IF(AND(AT706=1,AK706="E",AU706&gt;=0.5),PTHealthBY*P706,0))))</f>
        <v>0</v>
      </c>
      <c r="BO706" s="387">
        <f t="shared" ref="BO706:BO769" si="495">IF(AND(AT706=3,AK706="E",AV706&gt;=0.75,AW706=1),HealthBY,IF(AND(AT706=3,AK706="E",AV706&gt;=0.75),HealthBY*P706,IF(AND(AT706=3,AK706="E",AV706&gt;=0.5,AW706=1),PTHealthBY,IF(AND(AT706=3,AK706="E",AV706&gt;=0.5),PTHealthBY*P706,0))))</f>
        <v>0</v>
      </c>
      <c r="BP706" s="387">
        <f t="shared" ref="BP706:BP769" si="496">IF(AND(AT706&lt;&gt;0,(AX706+BA706)&gt;=MAXSSDIBY),SSDIBY*MAXSSDIBY*P706,IF(AT706&lt;&gt;0,SSDIBY*W706,0))</f>
        <v>0</v>
      </c>
      <c r="BQ706" s="387">
        <f t="shared" ref="BQ706:BQ769" si="497">IF(AT706&lt;&gt;0,SSHIBY*W706,0)</f>
        <v>0</v>
      </c>
      <c r="BR706" s="387">
        <f t="shared" ref="BR706:BR769" si="498">IF(AND(AT706&lt;&gt;0,AN706&lt;&gt;"NE"),VLOOKUP(AN706,Retirement_Rates,4,FALSE)*W706,0)</f>
        <v>0</v>
      </c>
      <c r="BS706" s="387">
        <f t="shared" ref="BS706:BS769" si="499">IF(AND(AT706&lt;&gt;0,AJ706&lt;&gt;"PF"),LifeBY*W706,0)</f>
        <v>0</v>
      </c>
      <c r="BT706" s="387">
        <f t="shared" ref="BT706:BT769" si="500">IF(AND(AT706&lt;&gt;0,AM706="Y"),UIBY*W706,0)</f>
        <v>0</v>
      </c>
      <c r="BU706" s="387">
        <f t="shared" ref="BU706:BU769" si="501">IF(AND(AT706&lt;&gt;0,N706&lt;&gt;"NR"),DHRBY*W706,0)</f>
        <v>0</v>
      </c>
      <c r="BV706" s="387">
        <f t="shared" ref="BV706:BV769" si="502">IF(AT706&lt;&gt;0,WCBY*W706,0)</f>
        <v>0</v>
      </c>
      <c r="BW706" s="387">
        <f t="shared" ref="BW706:BW769" si="503">IF(OR(AND(AT706&lt;&gt;0,AJ706&lt;&gt;"PF",AN706&lt;&gt;"NE",AG706&lt;&gt;"A"),AND(AL706="E",OR(AT706=1,AT706=3))),SickBY*W706,0)</f>
        <v>0</v>
      </c>
      <c r="BX706" s="387">
        <f t="shared" si="474"/>
        <v>0</v>
      </c>
      <c r="BY706" s="387">
        <f t="shared" si="475"/>
        <v>0</v>
      </c>
      <c r="BZ706" s="387">
        <f t="shared" si="476"/>
        <v>0</v>
      </c>
      <c r="CA706" s="387">
        <f t="shared" si="477"/>
        <v>0</v>
      </c>
      <c r="CB706" s="387">
        <f t="shared" si="478"/>
        <v>0</v>
      </c>
      <c r="CC706" s="387">
        <f t="shared" ref="CC706:CC769" si="504">IF(AT706&lt;&gt;0,SSHICHG*Y706,0)</f>
        <v>0</v>
      </c>
      <c r="CD706" s="387">
        <f t="shared" ref="CD706:CD769" si="505">IF(AND(AT706&lt;&gt;0,AN706&lt;&gt;"NE"),VLOOKUP(AN706,Retirement_Rates,5,FALSE)*Y706,0)</f>
        <v>0</v>
      </c>
      <c r="CE706" s="387">
        <f t="shared" ref="CE706:CE769" si="506">IF(AND(AT706&lt;&gt;0,AJ706&lt;&gt;"PF"),LifeCHG*Y706,0)</f>
        <v>0</v>
      </c>
      <c r="CF706" s="387">
        <f t="shared" ref="CF706:CF769" si="507">IF(AND(AT706&lt;&gt;0,AM706="Y"),UICHG*Y706,0)</f>
        <v>0</v>
      </c>
      <c r="CG706" s="387">
        <f t="shared" ref="CG706:CG769" si="508">IF(AND(AT706&lt;&gt;0,N706&lt;&gt;"NR"),DHRCHG*Y706,0)</f>
        <v>0</v>
      </c>
      <c r="CH706" s="387">
        <f t="shared" ref="CH706:CH769" si="509">IF(AT706&lt;&gt;0,WCCHG*Y706,0)</f>
        <v>0</v>
      </c>
      <c r="CI706" s="387">
        <f t="shared" ref="CI706:CI769" si="510">IF(OR(AND(AT706&lt;&gt;0,AJ706&lt;&gt;"PF",AN706&lt;&gt;"NE",AG706&lt;&gt;"A"),AND(AL706="E",OR(AT706=1,AT706=3))),SickCHG*Y706,0)</f>
        <v>0</v>
      </c>
      <c r="CJ706" s="387">
        <f t="shared" si="479"/>
        <v>0</v>
      </c>
      <c r="CK706" s="387" t="str">
        <f t="shared" si="480"/>
        <v/>
      </c>
      <c r="CL706" s="387" t="str">
        <f t="shared" si="481"/>
        <v/>
      </c>
      <c r="CM706" s="387" t="str">
        <f t="shared" si="482"/>
        <v/>
      </c>
      <c r="CN706" s="387" t="str">
        <f t="shared" si="483"/>
        <v>0349-31</v>
      </c>
    </row>
    <row r="707" spans="1:92" ht="15.75" thickBot="1" x14ac:dyDescent="0.3">
      <c r="A707" s="376" t="s">
        <v>161</v>
      </c>
      <c r="B707" s="376" t="s">
        <v>162</v>
      </c>
      <c r="C707" s="376" t="s">
        <v>1808</v>
      </c>
      <c r="D707" s="376" t="s">
        <v>862</v>
      </c>
      <c r="E707" s="376" t="s">
        <v>669</v>
      </c>
      <c r="F707" s="382" t="s">
        <v>225</v>
      </c>
      <c r="G707" s="376" t="s">
        <v>781</v>
      </c>
      <c r="H707" s="378"/>
      <c r="I707" s="378"/>
      <c r="J707" s="376" t="s">
        <v>168</v>
      </c>
      <c r="K707" s="376" t="s">
        <v>863</v>
      </c>
      <c r="L707" s="376" t="s">
        <v>252</v>
      </c>
      <c r="M707" s="376" t="s">
        <v>171</v>
      </c>
      <c r="N707" s="376" t="s">
        <v>172</v>
      </c>
      <c r="O707" s="379">
        <v>1</v>
      </c>
      <c r="P707" s="385">
        <v>0</v>
      </c>
      <c r="Q707" s="385">
        <v>0</v>
      </c>
      <c r="R707" s="380">
        <v>80</v>
      </c>
      <c r="S707" s="385">
        <v>0</v>
      </c>
      <c r="T707" s="380">
        <v>48.55</v>
      </c>
      <c r="U707" s="380">
        <v>0</v>
      </c>
      <c r="V707" s="380">
        <v>26.23</v>
      </c>
      <c r="W707" s="380">
        <v>0</v>
      </c>
      <c r="X707" s="380">
        <v>0</v>
      </c>
      <c r="Y707" s="380">
        <v>0</v>
      </c>
      <c r="Z707" s="380">
        <v>0</v>
      </c>
      <c r="AA707" s="376" t="s">
        <v>1809</v>
      </c>
      <c r="AB707" s="376" t="s">
        <v>1810</v>
      </c>
      <c r="AC707" s="376" t="s">
        <v>1811</v>
      </c>
      <c r="AD707" s="376" t="s">
        <v>1692</v>
      </c>
      <c r="AE707" s="376" t="s">
        <v>863</v>
      </c>
      <c r="AF707" s="376" t="s">
        <v>393</v>
      </c>
      <c r="AG707" s="376" t="s">
        <v>178</v>
      </c>
      <c r="AH707" s="381">
        <v>21.26</v>
      </c>
      <c r="AI707" s="381">
        <v>20565.400000000001</v>
      </c>
      <c r="AJ707" s="376" t="s">
        <v>179</v>
      </c>
      <c r="AK707" s="376" t="s">
        <v>180</v>
      </c>
      <c r="AL707" s="376" t="s">
        <v>181</v>
      </c>
      <c r="AM707" s="376" t="s">
        <v>182</v>
      </c>
      <c r="AN707" s="376" t="s">
        <v>68</v>
      </c>
      <c r="AO707" s="379">
        <v>80</v>
      </c>
      <c r="AP707" s="385">
        <v>1</v>
      </c>
      <c r="AQ707" s="385">
        <v>0</v>
      </c>
      <c r="AR707" s="383" t="s">
        <v>183</v>
      </c>
      <c r="AS707" s="387">
        <f t="shared" ref="AS707:AS770" si="511">IF(((AO707/80)*AP707*P707)&gt;1,AQ707,((AO707/80)*AP707*P707))</f>
        <v>0</v>
      </c>
      <c r="AT707">
        <f t="shared" ref="AT707:AT770" si="512">IF(AND(M707="F",N707&lt;&gt;"NG",AS707&lt;&gt;0,AND(AR707&lt;&gt;6,AR707&lt;&gt;36,AR707&lt;&gt;56),AG707&lt;&gt;"A",OR(AG707="H",AJ707="FS")),1,IF(AND(M707="F",N707&lt;&gt;"NG",AS707&lt;&gt;0,AG707="A"),3,0))</f>
        <v>0</v>
      </c>
      <c r="AU707" s="387" t="str">
        <f>IF(AT707=0,"",IF(AND(AT707=1,M707="F",SUMIF(C2:C1334,C707,AS2:AS1334)&lt;=1),SUMIF(C2:C1334,C707,AS2:AS1334),IF(AND(AT707=1,M707="F",SUMIF(C2:C1334,C707,AS2:AS1334)&gt;1),1,"")))</f>
        <v/>
      </c>
      <c r="AV707" s="387" t="str">
        <f>IF(AT707=0,"",IF(AND(AT707=3,M707="F",SUMIF(C2:C1334,C707,AS2:AS1334)&lt;=1),SUMIF(C2:C1334,C707,AS2:AS1334),IF(AND(AT707=3,M707="F",SUMIF(C2:C1334,C707,AS2:AS1334)&gt;1),1,"")))</f>
        <v/>
      </c>
      <c r="AW707" s="387">
        <f>SUMIF(C2:C1334,C707,O2:O1334)</f>
        <v>3</v>
      </c>
      <c r="AX707" s="387">
        <f>IF(AND(M707="F",AS707&lt;&gt;0),SUMIF(C2:C1334,C707,W2:W1334),0)</f>
        <v>0</v>
      </c>
      <c r="AY707" s="387" t="str">
        <f t="shared" ref="AY707:AY770" si="513">IF(AT707=1,W707,"")</f>
        <v/>
      </c>
      <c r="AZ707" s="387" t="str">
        <f t="shared" ref="AZ707:AZ770" si="514">IF(AT707=3,W707,"")</f>
        <v/>
      </c>
      <c r="BA707" s="387">
        <f t="shared" ref="BA707:BA770" si="515">IF(AT707=1,Y707-W707,0)</f>
        <v>0</v>
      </c>
      <c r="BB707" s="387">
        <f t="shared" si="484"/>
        <v>0</v>
      </c>
      <c r="BC707" s="387">
        <f t="shared" si="485"/>
        <v>0</v>
      </c>
      <c r="BD707" s="387">
        <f t="shared" si="486"/>
        <v>0</v>
      </c>
      <c r="BE707" s="387">
        <f t="shared" si="487"/>
        <v>0</v>
      </c>
      <c r="BF707" s="387">
        <f t="shared" si="488"/>
        <v>0</v>
      </c>
      <c r="BG707" s="387">
        <f t="shared" si="489"/>
        <v>0</v>
      </c>
      <c r="BH707" s="387">
        <f t="shared" si="490"/>
        <v>0</v>
      </c>
      <c r="BI707" s="387">
        <f t="shared" si="491"/>
        <v>0</v>
      </c>
      <c r="BJ707" s="387">
        <f t="shared" si="492"/>
        <v>0</v>
      </c>
      <c r="BK707" s="387">
        <f t="shared" si="493"/>
        <v>0</v>
      </c>
      <c r="BL707" s="387">
        <f t="shared" ref="BL707:BL770" si="516">IF(AT707=1,SUM(BD707:BK707),0)</f>
        <v>0</v>
      </c>
      <c r="BM707" s="387">
        <f t="shared" ref="BM707:BM770" si="517">IF(AT707=3,SUM(BD707:BK707),0)</f>
        <v>0</v>
      </c>
      <c r="BN707" s="387">
        <f t="shared" si="494"/>
        <v>0</v>
      </c>
      <c r="BO707" s="387">
        <f t="shared" si="495"/>
        <v>0</v>
      </c>
      <c r="BP707" s="387">
        <f t="shared" si="496"/>
        <v>0</v>
      </c>
      <c r="BQ707" s="387">
        <f t="shared" si="497"/>
        <v>0</v>
      </c>
      <c r="BR707" s="387">
        <f t="shared" si="498"/>
        <v>0</v>
      </c>
      <c r="BS707" s="387">
        <f t="shared" si="499"/>
        <v>0</v>
      </c>
      <c r="BT707" s="387">
        <f t="shared" si="500"/>
        <v>0</v>
      </c>
      <c r="BU707" s="387">
        <f t="shared" si="501"/>
        <v>0</v>
      </c>
      <c r="BV707" s="387">
        <f t="shared" si="502"/>
        <v>0</v>
      </c>
      <c r="BW707" s="387">
        <f t="shared" si="503"/>
        <v>0</v>
      </c>
      <c r="BX707" s="387">
        <f t="shared" ref="BX707:BX770" si="518">IF(AT707=1,SUM(BP707:BW707),0)</f>
        <v>0</v>
      </c>
      <c r="BY707" s="387">
        <f t="shared" ref="BY707:BY770" si="519">IF(AT707=3,SUM(BP707:BW707),0)</f>
        <v>0</v>
      </c>
      <c r="BZ707" s="387">
        <f t="shared" ref="BZ707:BZ770" si="520">IF(AT707=1,BN707-BB707,0)</f>
        <v>0</v>
      </c>
      <c r="CA707" s="387">
        <f t="shared" ref="CA707:CA770" si="521">IF(AT707=3,BO707-BC707,0)</f>
        <v>0</v>
      </c>
      <c r="CB707" s="387">
        <f t="shared" ref="CB707:CB770" si="522">BP707-BD707</f>
        <v>0</v>
      </c>
      <c r="CC707" s="387">
        <f t="shared" si="504"/>
        <v>0</v>
      </c>
      <c r="CD707" s="387">
        <f t="shared" si="505"/>
        <v>0</v>
      </c>
      <c r="CE707" s="387">
        <f t="shared" si="506"/>
        <v>0</v>
      </c>
      <c r="CF707" s="387">
        <f t="shared" si="507"/>
        <v>0</v>
      </c>
      <c r="CG707" s="387">
        <f t="shared" si="508"/>
        <v>0</v>
      </c>
      <c r="CH707" s="387">
        <f t="shared" si="509"/>
        <v>0</v>
      </c>
      <c r="CI707" s="387">
        <f t="shared" si="510"/>
        <v>0</v>
      </c>
      <c r="CJ707" s="387">
        <f t="shared" ref="CJ707:CJ770" si="523">IF(AT707=1,SUM(CB707:CI707),0)</f>
        <v>0</v>
      </c>
      <c r="CK707" s="387" t="str">
        <f t="shared" ref="CK707:CK770" si="524">IF(AT707=3,SUM(CB707:CI707),"")</f>
        <v/>
      </c>
      <c r="CL707" s="387" t="str">
        <f t="shared" ref="CL707:CL770" si="525">IF(OR(N707="NG",AG707="D"),(T707+U707),"")</f>
        <v/>
      </c>
      <c r="CM707" s="387" t="str">
        <f t="shared" ref="CM707:CM770" si="526">IF(OR(N707="NG",AG707="D"),V707,"")</f>
        <v/>
      </c>
      <c r="CN707" s="387" t="str">
        <f t="shared" ref="CN707:CN770" si="527">E707 &amp; "-" &amp; F707</f>
        <v>0349-31</v>
      </c>
    </row>
    <row r="708" spans="1:92" ht="15.75" thickBot="1" x14ac:dyDescent="0.3">
      <c r="A708" s="376" t="s">
        <v>161</v>
      </c>
      <c r="B708" s="376" t="s">
        <v>162</v>
      </c>
      <c r="C708" s="376" t="s">
        <v>670</v>
      </c>
      <c r="D708" s="376" t="s">
        <v>263</v>
      </c>
      <c r="E708" s="376" t="s">
        <v>669</v>
      </c>
      <c r="F708" s="382" t="s">
        <v>225</v>
      </c>
      <c r="G708" s="376" t="s">
        <v>781</v>
      </c>
      <c r="H708" s="378"/>
      <c r="I708" s="378"/>
      <c r="J708" s="376" t="s">
        <v>239</v>
      </c>
      <c r="K708" s="376" t="s">
        <v>264</v>
      </c>
      <c r="L708" s="376" t="s">
        <v>210</v>
      </c>
      <c r="M708" s="376" t="s">
        <v>171</v>
      </c>
      <c r="N708" s="376" t="s">
        <v>172</v>
      </c>
      <c r="O708" s="379">
        <v>1</v>
      </c>
      <c r="P708" s="385">
        <v>0</v>
      </c>
      <c r="Q708" s="385">
        <v>0</v>
      </c>
      <c r="R708" s="380">
        <v>80</v>
      </c>
      <c r="S708" s="385">
        <v>0</v>
      </c>
      <c r="T708" s="380">
        <v>3606.56</v>
      </c>
      <c r="U708" s="380">
        <v>0</v>
      </c>
      <c r="V708" s="380">
        <v>1425.37</v>
      </c>
      <c r="W708" s="380">
        <v>0</v>
      </c>
      <c r="X708" s="380">
        <v>0</v>
      </c>
      <c r="Y708" s="380">
        <v>0</v>
      </c>
      <c r="Z708" s="380">
        <v>0</v>
      </c>
      <c r="AA708" s="376" t="s">
        <v>671</v>
      </c>
      <c r="AB708" s="376" t="s">
        <v>672</v>
      </c>
      <c r="AC708" s="376" t="s">
        <v>673</v>
      </c>
      <c r="AD708" s="376" t="s">
        <v>176</v>
      </c>
      <c r="AE708" s="376" t="s">
        <v>264</v>
      </c>
      <c r="AF708" s="376" t="s">
        <v>245</v>
      </c>
      <c r="AG708" s="376" t="s">
        <v>178</v>
      </c>
      <c r="AH708" s="381">
        <v>27.39</v>
      </c>
      <c r="AI708" s="381">
        <v>5961.5</v>
      </c>
      <c r="AJ708" s="376" t="s">
        <v>179</v>
      </c>
      <c r="AK708" s="376" t="s">
        <v>180</v>
      </c>
      <c r="AL708" s="376" t="s">
        <v>181</v>
      </c>
      <c r="AM708" s="376" t="s">
        <v>182</v>
      </c>
      <c r="AN708" s="376" t="s">
        <v>68</v>
      </c>
      <c r="AO708" s="379">
        <v>80</v>
      </c>
      <c r="AP708" s="385">
        <v>1</v>
      </c>
      <c r="AQ708" s="385">
        <v>0</v>
      </c>
      <c r="AR708" s="383" t="s">
        <v>183</v>
      </c>
      <c r="AS708" s="387">
        <f t="shared" si="511"/>
        <v>0</v>
      </c>
      <c r="AT708">
        <f t="shared" si="512"/>
        <v>0</v>
      </c>
      <c r="AU708" s="387" t="str">
        <f>IF(AT708=0,"",IF(AND(AT708=1,M708="F",SUMIF(C2:C1334,C708,AS2:AS1334)&lt;=1),SUMIF(C2:C1334,C708,AS2:AS1334),IF(AND(AT708=1,M708="F",SUMIF(C2:C1334,C708,AS2:AS1334)&gt;1),1,"")))</f>
        <v/>
      </c>
      <c r="AV708" s="387" t="str">
        <f>IF(AT708=0,"",IF(AND(AT708=3,M708="F",SUMIF(C2:C1334,C708,AS2:AS1334)&lt;=1),SUMIF(C2:C1334,C708,AS2:AS1334),IF(AND(AT708=3,M708="F",SUMIF(C2:C1334,C708,AS2:AS1334)&gt;1),1,"")))</f>
        <v/>
      </c>
      <c r="AW708" s="387">
        <f>SUMIF(C2:C1334,C708,O2:O1334)</f>
        <v>6</v>
      </c>
      <c r="AX708" s="387">
        <f>IF(AND(M708="F",AS708&lt;&gt;0),SUMIF(C2:C1334,C708,W2:W1334),0)</f>
        <v>0</v>
      </c>
      <c r="AY708" s="387" t="str">
        <f t="shared" si="513"/>
        <v/>
      </c>
      <c r="AZ708" s="387" t="str">
        <f t="shared" si="514"/>
        <v/>
      </c>
      <c r="BA708" s="387">
        <f t="shared" si="515"/>
        <v>0</v>
      </c>
      <c r="BB708" s="387">
        <f t="shared" si="484"/>
        <v>0</v>
      </c>
      <c r="BC708" s="387">
        <f t="shared" si="485"/>
        <v>0</v>
      </c>
      <c r="BD708" s="387">
        <f t="shared" si="486"/>
        <v>0</v>
      </c>
      <c r="BE708" s="387">
        <f t="shared" si="487"/>
        <v>0</v>
      </c>
      <c r="BF708" s="387">
        <f t="shared" si="488"/>
        <v>0</v>
      </c>
      <c r="BG708" s="387">
        <f t="shared" si="489"/>
        <v>0</v>
      </c>
      <c r="BH708" s="387">
        <f t="shared" si="490"/>
        <v>0</v>
      </c>
      <c r="BI708" s="387">
        <f t="shared" si="491"/>
        <v>0</v>
      </c>
      <c r="BJ708" s="387">
        <f t="shared" si="492"/>
        <v>0</v>
      </c>
      <c r="BK708" s="387">
        <f t="shared" si="493"/>
        <v>0</v>
      </c>
      <c r="BL708" s="387">
        <f t="shared" si="516"/>
        <v>0</v>
      </c>
      <c r="BM708" s="387">
        <f t="shared" si="517"/>
        <v>0</v>
      </c>
      <c r="BN708" s="387">
        <f t="shared" si="494"/>
        <v>0</v>
      </c>
      <c r="BO708" s="387">
        <f t="shared" si="495"/>
        <v>0</v>
      </c>
      <c r="BP708" s="387">
        <f t="shared" si="496"/>
        <v>0</v>
      </c>
      <c r="BQ708" s="387">
        <f t="shared" si="497"/>
        <v>0</v>
      </c>
      <c r="BR708" s="387">
        <f t="shared" si="498"/>
        <v>0</v>
      </c>
      <c r="BS708" s="387">
        <f t="shared" si="499"/>
        <v>0</v>
      </c>
      <c r="BT708" s="387">
        <f t="shared" si="500"/>
        <v>0</v>
      </c>
      <c r="BU708" s="387">
        <f t="shared" si="501"/>
        <v>0</v>
      </c>
      <c r="BV708" s="387">
        <f t="shared" si="502"/>
        <v>0</v>
      </c>
      <c r="BW708" s="387">
        <f t="shared" si="503"/>
        <v>0</v>
      </c>
      <c r="BX708" s="387">
        <f t="shared" si="518"/>
        <v>0</v>
      </c>
      <c r="BY708" s="387">
        <f t="shared" si="519"/>
        <v>0</v>
      </c>
      <c r="BZ708" s="387">
        <f t="shared" si="520"/>
        <v>0</v>
      </c>
      <c r="CA708" s="387">
        <f t="shared" si="521"/>
        <v>0</v>
      </c>
      <c r="CB708" s="387">
        <f t="shared" si="522"/>
        <v>0</v>
      </c>
      <c r="CC708" s="387">
        <f t="shared" si="504"/>
        <v>0</v>
      </c>
      <c r="CD708" s="387">
        <f t="shared" si="505"/>
        <v>0</v>
      </c>
      <c r="CE708" s="387">
        <f t="shared" si="506"/>
        <v>0</v>
      </c>
      <c r="CF708" s="387">
        <f t="shared" si="507"/>
        <v>0</v>
      </c>
      <c r="CG708" s="387">
        <f t="shared" si="508"/>
        <v>0</v>
      </c>
      <c r="CH708" s="387">
        <f t="shared" si="509"/>
        <v>0</v>
      </c>
      <c r="CI708" s="387">
        <f t="shared" si="510"/>
        <v>0</v>
      </c>
      <c r="CJ708" s="387">
        <f t="shared" si="523"/>
        <v>0</v>
      </c>
      <c r="CK708" s="387" t="str">
        <f t="shared" si="524"/>
        <v/>
      </c>
      <c r="CL708" s="387" t="str">
        <f t="shared" si="525"/>
        <v/>
      </c>
      <c r="CM708" s="387" t="str">
        <f t="shared" si="526"/>
        <v/>
      </c>
      <c r="CN708" s="387" t="str">
        <f t="shared" si="527"/>
        <v>0349-31</v>
      </c>
    </row>
    <row r="709" spans="1:92" ht="15.75" thickBot="1" x14ac:dyDescent="0.3">
      <c r="A709" s="376" t="s">
        <v>161</v>
      </c>
      <c r="B709" s="376" t="s">
        <v>162</v>
      </c>
      <c r="C709" s="376" t="s">
        <v>1523</v>
      </c>
      <c r="D709" s="376" t="s">
        <v>524</v>
      </c>
      <c r="E709" s="376" t="s">
        <v>669</v>
      </c>
      <c r="F709" s="382" t="s">
        <v>225</v>
      </c>
      <c r="G709" s="376" t="s">
        <v>781</v>
      </c>
      <c r="H709" s="378"/>
      <c r="I709" s="378"/>
      <c r="J709" s="376" t="s">
        <v>239</v>
      </c>
      <c r="K709" s="376" t="s">
        <v>525</v>
      </c>
      <c r="L709" s="376" t="s">
        <v>170</v>
      </c>
      <c r="M709" s="376" t="s">
        <v>566</v>
      </c>
      <c r="N709" s="376" t="s">
        <v>877</v>
      </c>
      <c r="O709" s="379">
        <v>0</v>
      </c>
      <c r="P709" s="385">
        <v>0</v>
      </c>
      <c r="Q709" s="385">
        <v>0</v>
      </c>
      <c r="R709" s="380">
        <v>80</v>
      </c>
      <c r="S709" s="385">
        <v>0</v>
      </c>
      <c r="T709" s="380">
        <v>943.67</v>
      </c>
      <c r="U709" s="380">
        <v>0</v>
      </c>
      <c r="V709" s="380">
        <v>427.01</v>
      </c>
      <c r="W709" s="380">
        <v>0</v>
      </c>
      <c r="X709" s="380">
        <v>0</v>
      </c>
      <c r="Y709" s="380">
        <v>0</v>
      </c>
      <c r="Z709" s="380">
        <v>0</v>
      </c>
      <c r="AA709" s="378"/>
      <c r="AB709" s="376" t="s">
        <v>45</v>
      </c>
      <c r="AC709" s="376" t="s">
        <v>45</v>
      </c>
      <c r="AD709" s="378"/>
      <c r="AE709" s="378"/>
      <c r="AF709" s="378"/>
      <c r="AG709" s="378"/>
      <c r="AH709" s="379">
        <v>0</v>
      </c>
      <c r="AI709" s="379">
        <v>0</v>
      </c>
      <c r="AJ709" s="378"/>
      <c r="AK709" s="378"/>
      <c r="AL709" s="376" t="s">
        <v>181</v>
      </c>
      <c r="AM709" s="378"/>
      <c r="AN709" s="378"/>
      <c r="AO709" s="379">
        <v>0</v>
      </c>
      <c r="AP709" s="385">
        <v>0</v>
      </c>
      <c r="AQ709" s="385">
        <v>0</v>
      </c>
      <c r="AR709" s="384"/>
      <c r="AS709" s="387">
        <f t="shared" si="511"/>
        <v>0</v>
      </c>
      <c r="AT709">
        <f t="shared" si="512"/>
        <v>0</v>
      </c>
      <c r="AU709" s="387" t="str">
        <f>IF(AT709=0,"",IF(AND(AT709=1,M709="F",SUMIF(C2:C1334,C709,AS2:AS1334)&lt;=1),SUMIF(C2:C1334,C709,AS2:AS1334),IF(AND(AT709=1,M709="F",SUMIF(C2:C1334,C709,AS2:AS1334)&gt;1),1,"")))</f>
        <v/>
      </c>
      <c r="AV709" s="387" t="str">
        <f>IF(AT709=0,"",IF(AND(AT709=3,M709="F",SUMIF(C2:C1334,C709,AS2:AS1334)&lt;=1),SUMIF(C2:C1334,C709,AS2:AS1334),IF(AND(AT709=3,M709="F",SUMIF(C2:C1334,C709,AS2:AS1334)&gt;1),1,"")))</f>
        <v/>
      </c>
      <c r="AW709" s="387">
        <f>SUMIF(C2:C1334,C709,O2:O1334)</f>
        <v>0</v>
      </c>
      <c r="AX709" s="387">
        <f>IF(AND(M709="F",AS709&lt;&gt;0),SUMIF(C2:C1334,C709,W2:W1334),0)</f>
        <v>0</v>
      </c>
      <c r="AY709" s="387" t="str">
        <f t="shared" si="513"/>
        <v/>
      </c>
      <c r="AZ709" s="387" t="str">
        <f t="shared" si="514"/>
        <v/>
      </c>
      <c r="BA709" s="387">
        <f t="shared" si="515"/>
        <v>0</v>
      </c>
      <c r="BB709" s="387">
        <f t="shared" si="484"/>
        <v>0</v>
      </c>
      <c r="BC709" s="387">
        <f t="shared" si="485"/>
        <v>0</v>
      </c>
      <c r="BD709" s="387">
        <f t="shared" si="486"/>
        <v>0</v>
      </c>
      <c r="BE709" s="387">
        <f t="shared" si="487"/>
        <v>0</v>
      </c>
      <c r="BF709" s="387">
        <f t="shared" si="488"/>
        <v>0</v>
      </c>
      <c r="BG709" s="387">
        <f t="shared" si="489"/>
        <v>0</v>
      </c>
      <c r="BH709" s="387">
        <f t="shared" si="490"/>
        <v>0</v>
      </c>
      <c r="BI709" s="387">
        <f t="shared" si="491"/>
        <v>0</v>
      </c>
      <c r="BJ709" s="387">
        <f t="shared" si="492"/>
        <v>0</v>
      </c>
      <c r="BK709" s="387">
        <f t="shared" si="493"/>
        <v>0</v>
      </c>
      <c r="BL709" s="387">
        <f t="shared" si="516"/>
        <v>0</v>
      </c>
      <c r="BM709" s="387">
        <f t="shared" si="517"/>
        <v>0</v>
      </c>
      <c r="BN709" s="387">
        <f t="shared" si="494"/>
        <v>0</v>
      </c>
      <c r="BO709" s="387">
        <f t="shared" si="495"/>
        <v>0</v>
      </c>
      <c r="BP709" s="387">
        <f t="shared" si="496"/>
        <v>0</v>
      </c>
      <c r="BQ709" s="387">
        <f t="shared" si="497"/>
        <v>0</v>
      </c>
      <c r="BR709" s="387">
        <f t="shared" si="498"/>
        <v>0</v>
      </c>
      <c r="BS709" s="387">
        <f t="shared" si="499"/>
        <v>0</v>
      </c>
      <c r="BT709" s="387">
        <f t="shared" si="500"/>
        <v>0</v>
      </c>
      <c r="BU709" s="387">
        <f t="shared" si="501"/>
        <v>0</v>
      </c>
      <c r="BV709" s="387">
        <f t="shared" si="502"/>
        <v>0</v>
      </c>
      <c r="BW709" s="387">
        <f t="shared" si="503"/>
        <v>0</v>
      </c>
      <c r="BX709" s="387">
        <f t="shared" si="518"/>
        <v>0</v>
      </c>
      <c r="BY709" s="387">
        <f t="shared" si="519"/>
        <v>0</v>
      </c>
      <c r="BZ709" s="387">
        <f t="shared" si="520"/>
        <v>0</v>
      </c>
      <c r="CA709" s="387">
        <f t="shared" si="521"/>
        <v>0</v>
      </c>
      <c r="CB709" s="387">
        <f t="shared" si="522"/>
        <v>0</v>
      </c>
      <c r="CC709" s="387">
        <f t="shared" si="504"/>
        <v>0</v>
      </c>
      <c r="CD709" s="387">
        <f t="shared" si="505"/>
        <v>0</v>
      </c>
      <c r="CE709" s="387">
        <f t="shared" si="506"/>
        <v>0</v>
      </c>
      <c r="CF709" s="387">
        <f t="shared" si="507"/>
        <v>0</v>
      </c>
      <c r="CG709" s="387">
        <f t="shared" si="508"/>
        <v>0</v>
      </c>
      <c r="CH709" s="387">
        <f t="shared" si="509"/>
        <v>0</v>
      </c>
      <c r="CI709" s="387">
        <f t="shared" si="510"/>
        <v>0</v>
      </c>
      <c r="CJ709" s="387">
        <f t="shared" si="523"/>
        <v>0</v>
      </c>
      <c r="CK709" s="387" t="str">
        <f t="shared" si="524"/>
        <v/>
      </c>
      <c r="CL709" s="387" t="str">
        <f t="shared" si="525"/>
        <v/>
      </c>
      <c r="CM709" s="387" t="str">
        <f t="shared" si="526"/>
        <v/>
      </c>
      <c r="CN709" s="387" t="str">
        <f t="shared" si="527"/>
        <v>0349-31</v>
      </c>
    </row>
    <row r="710" spans="1:92" ht="15.75" thickBot="1" x14ac:dyDescent="0.3">
      <c r="A710" s="376" t="s">
        <v>161</v>
      </c>
      <c r="B710" s="376" t="s">
        <v>162</v>
      </c>
      <c r="C710" s="376" t="s">
        <v>1655</v>
      </c>
      <c r="D710" s="376" t="s">
        <v>270</v>
      </c>
      <c r="E710" s="376" t="s">
        <v>669</v>
      </c>
      <c r="F710" s="382" t="s">
        <v>225</v>
      </c>
      <c r="G710" s="376" t="s">
        <v>781</v>
      </c>
      <c r="H710" s="378"/>
      <c r="I710" s="378"/>
      <c r="J710" s="376" t="s">
        <v>215</v>
      </c>
      <c r="K710" s="376" t="s">
        <v>271</v>
      </c>
      <c r="L710" s="376" t="s">
        <v>217</v>
      </c>
      <c r="M710" s="376" t="s">
        <v>171</v>
      </c>
      <c r="N710" s="376" t="s">
        <v>172</v>
      </c>
      <c r="O710" s="379">
        <v>1</v>
      </c>
      <c r="P710" s="385">
        <v>0</v>
      </c>
      <c r="Q710" s="385">
        <v>0</v>
      </c>
      <c r="R710" s="380">
        <v>80</v>
      </c>
      <c r="S710" s="385">
        <v>0</v>
      </c>
      <c r="T710" s="380">
        <v>37048.19</v>
      </c>
      <c r="U710" s="380">
        <v>0</v>
      </c>
      <c r="V710" s="380">
        <v>19382.919999999998</v>
      </c>
      <c r="W710" s="380">
        <v>0</v>
      </c>
      <c r="X710" s="380">
        <v>0</v>
      </c>
      <c r="Y710" s="380">
        <v>0</v>
      </c>
      <c r="Z710" s="380">
        <v>0</v>
      </c>
      <c r="AA710" s="376" t="s">
        <v>1656</v>
      </c>
      <c r="AB710" s="376" t="s">
        <v>1657</v>
      </c>
      <c r="AC710" s="376" t="s">
        <v>1148</v>
      </c>
      <c r="AD710" s="376" t="s">
        <v>686</v>
      </c>
      <c r="AE710" s="376" t="s">
        <v>271</v>
      </c>
      <c r="AF710" s="376" t="s">
        <v>221</v>
      </c>
      <c r="AG710" s="376" t="s">
        <v>178</v>
      </c>
      <c r="AH710" s="381">
        <v>18.55</v>
      </c>
      <c r="AI710" s="381">
        <v>56491.1</v>
      </c>
      <c r="AJ710" s="376" t="s">
        <v>179</v>
      </c>
      <c r="AK710" s="376" t="s">
        <v>180</v>
      </c>
      <c r="AL710" s="376" t="s">
        <v>181</v>
      </c>
      <c r="AM710" s="376" t="s">
        <v>182</v>
      </c>
      <c r="AN710" s="376" t="s">
        <v>68</v>
      </c>
      <c r="AO710" s="379">
        <v>80</v>
      </c>
      <c r="AP710" s="385">
        <v>1</v>
      </c>
      <c r="AQ710" s="385">
        <v>0</v>
      </c>
      <c r="AR710" s="383" t="s">
        <v>183</v>
      </c>
      <c r="AS710" s="387">
        <f t="shared" si="511"/>
        <v>0</v>
      </c>
      <c r="AT710">
        <f t="shared" si="512"/>
        <v>0</v>
      </c>
      <c r="AU710" s="387" t="str">
        <f>IF(AT710=0,"",IF(AND(AT710=1,M710="F",SUMIF(C2:C1334,C710,AS2:AS1334)&lt;=1),SUMIF(C2:C1334,C710,AS2:AS1334),IF(AND(AT710=1,M710="F",SUMIF(C2:C1334,C710,AS2:AS1334)&gt;1),1,"")))</f>
        <v/>
      </c>
      <c r="AV710" s="387" t="str">
        <f>IF(AT710=0,"",IF(AND(AT710=3,M710="F",SUMIF(C2:C1334,C710,AS2:AS1334)&lt;=1),SUMIF(C2:C1334,C710,AS2:AS1334),IF(AND(AT710=3,M710="F",SUMIF(C2:C1334,C710,AS2:AS1334)&gt;1),1,"")))</f>
        <v/>
      </c>
      <c r="AW710" s="387">
        <f>SUMIF(C2:C1334,C710,O2:O1334)</f>
        <v>3</v>
      </c>
      <c r="AX710" s="387">
        <f>IF(AND(M710="F",AS710&lt;&gt;0),SUMIF(C2:C1334,C710,W2:W1334),0)</f>
        <v>0</v>
      </c>
      <c r="AY710" s="387" t="str">
        <f t="shared" si="513"/>
        <v/>
      </c>
      <c r="AZ710" s="387" t="str">
        <f t="shared" si="514"/>
        <v/>
      </c>
      <c r="BA710" s="387">
        <f t="shared" si="515"/>
        <v>0</v>
      </c>
      <c r="BB710" s="387">
        <f t="shared" si="484"/>
        <v>0</v>
      </c>
      <c r="BC710" s="387">
        <f t="shared" si="485"/>
        <v>0</v>
      </c>
      <c r="BD710" s="387">
        <f t="shared" si="486"/>
        <v>0</v>
      </c>
      <c r="BE710" s="387">
        <f t="shared" si="487"/>
        <v>0</v>
      </c>
      <c r="BF710" s="387">
        <f t="shared" si="488"/>
        <v>0</v>
      </c>
      <c r="BG710" s="387">
        <f t="shared" si="489"/>
        <v>0</v>
      </c>
      <c r="BH710" s="387">
        <f t="shared" si="490"/>
        <v>0</v>
      </c>
      <c r="BI710" s="387">
        <f t="shared" si="491"/>
        <v>0</v>
      </c>
      <c r="BJ710" s="387">
        <f t="shared" si="492"/>
        <v>0</v>
      </c>
      <c r="BK710" s="387">
        <f t="shared" si="493"/>
        <v>0</v>
      </c>
      <c r="BL710" s="387">
        <f t="shared" si="516"/>
        <v>0</v>
      </c>
      <c r="BM710" s="387">
        <f t="shared" si="517"/>
        <v>0</v>
      </c>
      <c r="BN710" s="387">
        <f t="shared" si="494"/>
        <v>0</v>
      </c>
      <c r="BO710" s="387">
        <f t="shared" si="495"/>
        <v>0</v>
      </c>
      <c r="BP710" s="387">
        <f t="shared" si="496"/>
        <v>0</v>
      </c>
      <c r="BQ710" s="387">
        <f t="shared" si="497"/>
        <v>0</v>
      </c>
      <c r="BR710" s="387">
        <f t="shared" si="498"/>
        <v>0</v>
      </c>
      <c r="BS710" s="387">
        <f t="shared" si="499"/>
        <v>0</v>
      </c>
      <c r="BT710" s="387">
        <f t="shared" si="500"/>
        <v>0</v>
      </c>
      <c r="BU710" s="387">
        <f t="shared" si="501"/>
        <v>0</v>
      </c>
      <c r="BV710" s="387">
        <f t="shared" si="502"/>
        <v>0</v>
      </c>
      <c r="BW710" s="387">
        <f t="shared" si="503"/>
        <v>0</v>
      </c>
      <c r="BX710" s="387">
        <f t="shared" si="518"/>
        <v>0</v>
      </c>
      <c r="BY710" s="387">
        <f t="shared" si="519"/>
        <v>0</v>
      </c>
      <c r="BZ710" s="387">
        <f t="shared" si="520"/>
        <v>0</v>
      </c>
      <c r="CA710" s="387">
        <f t="shared" si="521"/>
        <v>0</v>
      </c>
      <c r="CB710" s="387">
        <f t="shared" si="522"/>
        <v>0</v>
      </c>
      <c r="CC710" s="387">
        <f t="shared" si="504"/>
        <v>0</v>
      </c>
      <c r="CD710" s="387">
        <f t="shared" si="505"/>
        <v>0</v>
      </c>
      <c r="CE710" s="387">
        <f t="shared" si="506"/>
        <v>0</v>
      </c>
      <c r="CF710" s="387">
        <f t="shared" si="507"/>
        <v>0</v>
      </c>
      <c r="CG710" s="387">
        <f t="shared" si="508"/>
        <v>0</v>
      </c>
      <c r="CH710" s="387">
        <f t="shared" si="509"/>
        <v>0</v>
      </c>
      <c r="CI710" s="387">
        <f t="shared" si="510"/>
        <v>0</v>
      </c>
      <c r="CJ710" s="387">
        <f t="shared" si="523"/>
        <v>0</v>
      </c>
      <c r="CK710" s="387" t="str">
        <f t="shared" si="524"/>
        <v/>
      </c>
      <c r="CL710" s="387" t="str">
        <f t="shared" si="525"/>
        <v/>
      </c>
      <c r="CM710" s="387" t="str">
        <f t="shared" si="526"/>
        <v/>
      </c>
      <c r="CN710" s="387" t="str">
        <f t="shared" si="527"/>
        <v>0349-31</v>
      </c>
    </row>
    <row r="711" spans="1:92" ht="15.75" thickBot="1" x14ac:dyDescent="0.3">
      <c r="A711" s="376" t="s">
        <v>161</v>
      </c>
      <c r="B711" s="376" t="s">
        <v>162</v>
      </c>
      <c r="C711" s="376" t="s">
        <v>1072</v>
      </c>
      <c r="D711" s="376" t="s">
        <v>862</v>
      </c>
      <c r="E711" s="376" t="s">
        <v>669</v>
      </c>
      <c r="F711" s="382" t="s">
        <v>225</v>
      </c>
      <c r="G711" s="376" t="s">
        <v>781</v>
      </c>
      <c r="H711" s="378"/>
      <c r="I711" s="378"/>
      <c r="J711" s="376" t="s">
        <v>168</v>
      </c>
      <c r="K711" s="376" t="s">
        <v>863</v>
      </c>
      <c r="L711" s="376" t="s">
        <v>252</v>
      </c>
      <c r="M711" s="376" t="s">
        <v>171</v>
      </c>
      <c r="N711" s="376" t="s">
        <v>172</v>
      </c>
      <c r="O711" s="379">
        <v>1</v>
      </c>
      <c r="P711" s="385">
        <v>0</v>
      </c>
      <c r="Q711" s="385">
        <v>0</v>
      </c>
      <c r="R711" s="380">
        <v>80</v>
      </c>
      <c r="S711" s="385">
        <v>0</v>
      </c>
      <c r="T711" s="380">
        <v>9.31</v>
      </c>
      <c r="U711" s="380">
        <v>0</v>
      </c>
      <c r="V711" s="380">
        <v>4.83</v>
      </c>
      <c r="W711" s="380">
        <v>0</v>
      </c>
      <c r="X711" s="380">
        <v>0</v>
      </c>
      <c r="Y711" s="380">
        <v>0</v>
      </c>
      <c r="Z711" s="380">
        <v>0</v>
      </c>
      <c r="AA711" s="376" t="s">
        <v>1073</v>
      </c>
      <c r="AB711" s="376" t="s">
        <v>1074</v>
      </c>
      <c r="AC711" s="376" t="s">
        <v>1075</v>
      </c>
      <c r="AD711" s="376" t="s">
        <v>210</v>
      </c>
      <c r="AE711" s="376" t="s">
        <v>863</v>
      </c>
      <c r="AF711" s="376" t="s">
        <v>393</v>
      </c>
      <c r="AG711" s="376" t="s">
        <v>178</v>
      </c>
      <c r="AH711" s="381">
        <v>22.26</v>
      </c>
      <c r="AI711" s="381">
        <v>25384.400000000001</v>
      </c>
      <c r="AJ711" s="376" t="s">
        <v>179</v>
      </c>
      <c r="AK711" s="376" t="s">
        <v>180</v>
      </c>
      <c r="AL711" s="376" t="s">
        <v>181</v>
      </c>
      <c r="AM711" s="376" t="s">
        <v>182</v>
      </c>
      <c r="AN711" s="376" t="s">
        <v>68</v>
      </c>
      <c r="AO711" s="379">
        <v>80</v>
      </c>
      <c r="AP711" s="385">
        <v>1</v>
      </c>
      <c r="AQ711" s="385">
        <v>0</v>
      </c>
      <c r="AR711" s="383" t="s">
        <v>183</v>
      </c>
      <c r="AS711" s="387">
        <f t="shared" si="511"/>
        <v>0</v>
      </c>
      <c r="AT711">
        <f t="shared" si="512"/>
        <v>0</v>
      </c>
      <c r="AU711" s="387" t="str">
        <f>IF(AT711=0,"",IF(AND(AT711=1,M711="F",SUMIF(C2:C1334,C711,AS2:AS1334)&lt;=1),SUMIF(C2:C1334,C711,AS2:AS1334),IF(AND(AT711=1,M711="F",SUMIF(C2:C1334,C711,AS2:AS1334)&gt;1),1,"")))</f>
        <v/>
      </c>
      <c r="AV711" s="387" t="str">
        <f>IF(AT711=0,"",IF(AND(AT711=3,M711="F",SUMIF(C2:C1334,C711,AS2:AS1334)&lt;=1),SUMIF(C2:C1334,C711,AS2:AS1334),IF(AND(AT711=3,M711="F",SUMIF(C2:C1334,C711,AS2:AS1334)&gt;1),1,"")))</f>
        <v/>
      </c>
      <c r="AW711" s="387">
        <f>SUMIF(C2:C1334,C711,O2:O1334)</f>
        <v>3</v>
      </c>
      <c r="AX711" s="387">
        <f>IF(AND(M711="F",AS711&lt;&gt;0),SUMIF(C2:C1334,C711,W2:W1334),0)</f>
        <v>0</v>
      </c>
      <c r="AY711" s="387" t="str">
        <f t="shared" si="513"/>
        <v/>
      </c>
      <c r="AZ711" s="387" t="str">
        <f t="shared" si="514"/>
        <v/>
      </c>
      <c r="BA711" s="387">
        <f t="shared" si="515"/>
        <v>0</v>
      </c>
      <c r="BB711" s="387">
        <f t="shared" si="484"/>
        <v>0</v>
      </c>
      <c r="BC711" s="387">
        <f t="shared" si="485"/>
        <v>0</v>
      </c>
      <c r="BD711" s="387">
        <f t="shared" si="486"/>
        <v>0</v>
      </c>
      <c r="BE711" s="387">
        <f t="shared" si="487"/>
        <v>0</v>
      </c>
      <c r="BF711" s="387">
        <f t="shared" si="488"/>
        <v>0</v>
      </c>
      <c r="BG711" s="387">
        <f t="shared" si="489"/>
        <v>0</v>
      </c>
      <c r="BH711" s="387">
        <f t="shared" si="490"/>
        <v>0</v>
      </c>
      <c r="BI711" s="387">
        <f t="shared" si="491"/>
        <v>0</v>
      </c>
      <c r="BJ711" s="387">
        <f t="shared" si="492"/>
        <v>0</v>
      </c>
      <c r="BK711" s="387">
        <f t="shared" si="493"/>
        <v>0</v>
      </c>
      <c r="BL711" s="387">
        <f t="shared" si="516"/>
        <v>0</v>
      </c>
      <c r="BM711" s="387">
        <f t="shared" si="517"/>
        <v>0</v>
      </c>
      <c r="BN711" s="387">
        <f t="shared" si="494"/>
        <v>0</v>
      </c>
      <c r="BO711" s="387">
        <f t="shared" si="495"/>
        <v>0</v>
      </c>
      <c r="BP711" s="387">
        <f t="shared" si="496"/>
        <v>0</v>
      </c>
      <c r="BQ711" s="387">
        <f t="shared" si="497"/>
        <v>0</v>
      </c>
      <c r="BR711" s="387">
        <f t="shared" si="498"/>
        <v>0</v>
      </c>
      <c r="BS711" s="387">
        <f t="shared" si="499"/>
        <v>0</v>
      </c>
      <c r="BT711" s="387">
        <f t="shared" si="500"/>
        <v>0</v>
      </c>
      <c r="BU711" s="387">
        <f t="shared" si="501"/>
        <v>0</v>
      </c>
      <c r="BV711" s="387">
        <f t="shared" si="502"/>
        <v>0</v>
      </c>
      <c r="BW711" s="387">
        <f t="shared" si="503"/>
        <v>0</v>
      </c>
      <c r="BX711" s="387">
        <f t="shared" si="518"/>
        <v>0</v>
      </c>
      <c r="BY711" s="387">
        <f t="shared" si="519"/>
        <v>0</v>
      </c>
      <c r="BZ711" s="387">
        <f t="shared" si="520"/>
        <v>0</v>
      </c>
      <c r="CA711" s="387">
        <f t="shared" si="521"/>
        <v>0</v>
      </c>
      <c r="CB711" s="387">
        <f t="shared" si="522"/>
        <v>0</v>
      </c>
      <c r="CC711" s="387">
        <f t="shared" si="504"/>
        <v>0</v>
      </c>
      <c r="CD711" s="387">
        <f t="shared" si="505"/>
        <v>0</v>
      </c>
      <c r="CE711" s="387">
        <f t="shared" si="506"/>
        <v>0</v>
      </c>
      <c r="CF711" s="387">
        <f t="shared" si="507"/>
        <v>0</v>
      </c>
      <c r="CG711" s="387">
        <f t="shared" si="508"/>
        <v>0</v>
      </c>
      <c r="CH711" s="387">
        <f t="shared" si="509"/>
        <v>0</v>
      </c>
      <c r="CI711" s="387">
        <f t="shared" si="510"/>
        <v>0</v>
      </c>
      <c r="CJ711" s="387">
        <f t="shared" si="523"/>
        <v>0</v>
      </c>
      <c r="CK711" s="387" t="str">
        <f t="shared" si="524"/>
        <v/>
      </c>
      <c r="CL711" s="387" t="str">
        <f t="shared" si="525"/>
        <v/>
      </c>
      <c r="CM711" s="387" t="str">
        <f t="shared" si="526"/>
        <v/>
      </c>
      <c r="CN711" s="387" t="str">
        <f t="shared" si="527"/>
        <v>0349-31</v>
      </c>
    </row>
    <row r="712" spans="1:92" ht="15.75" thickBot="1" x14ac:dyDescent="0.3">
      <c r="A712" s="376" t="s">
        <v>161</v>
      </c>
      <c r="B712" s="376" t="s">
        <v>162</v>
      </c>
      <c r="C712" s="376" t="s">
        <v>1842</v>
      </c>
      <c r="D712" s="376" t="s">
        <v>862</v>
      </c>
      <c r="E712" s="376" t="s">
        <v>669</v>
      </c>
      <c r="F712" s="382" t="s">
        <v>225</v>
      </c>
      <c r="G712" s="376" t="s">
        <v>781</v>
      </c>
      <c r="H712" s="378"/>
      <c r="I712" s="378"/>
      <c r="J712" s="376" t="s">
        <v>168</v>
      </c>
      <c r="K712" s="376" t="s">
        <v>863</v>
      </c>
      <c r="L712" s="376" t="s">
        <v>252</v>
      </c>
      <c r="M712" s="376" t="s">
        <v>171</v>
      </c>
      <c r="N712" s="376" t="s">
        <v>172</v>
      </c>
      <c r="O712" s="379">
        <v>1</v>
      </c>
      <c r="P712" s="385">
        <v>0</v>
      </c>
      <c r="Q712" s="385">
        <v>0</v>
      </c>
      <c r="R712" s="380">
        <v>80</v>
      </c>
      <c r="S712" s="385">
        <v>0</v>
      </c>
      <c r="T712" s="380">
        <v>59.14</v>
      </c>
      <c r="U712" s="380">
        <v>0</v>
      </c>
      <c r="V712" s="380">
        <v>23.48</v>
      </c>
      <c r="W712" s="380">
        <v>0</v>
      </c>
      <c r="X712" s="380">
        <v>0</v>
      </c>
      <c r="Y712" s="380">
        <v>0</v>
      </c>
      <c r="Z712" s="380">
        <v>0</v>
      </c>
      <c r="AA712" s="376" t="s">
        <v>1843</v>
      </c>
      <c r="AB712" s="376" t="s">
        <v>1844</v>
      </c>
      <c r="AC712" s="376" t="s">
        <v>1845</v>
      </c>
      <c r="AD712" s="376" t="s">
        <v>324</v>
      </c>
      <c r="AE712" s="376" t="s">
        <v>863</v>
      </c>
      <c r="AF712" s="376" t="s">
        <v>393</v>
      </c>
      <c r="AG712" s="376" t="s">
        <v>178</v>
      </c>
      <c r="AH712" s="381">
        <v>20.96</v>
      </c>
      <c r="AI712" s="381">
        <v>15121.4</v>
      </c>
      <c r="AJ712" s="376" t="s">
        <v>179</v>
      </c>
      <c r="AK712" s="376" t="s">
        <v>180</v>
      </c>
      <c r="AL712" s="376" t="s">
        <v>181</v>
      </c>
      <c r="AM712" s="376" t="s">
        <v>182</v>
      </c>
      <c r="AN712" s="376" t="s">
        <v>68</v>
      </c>
      <c r="AO712" s="379">
        <v>80</v>
      </c>
      <c r="AP712" s="385">
        <v>1</v>
      </c>
      <c r="AQ712" s="385">
        <v>0</v>
      </c>
      <c r="AR712" s="383" t="s">
        <v>183</v>
      </c>
      <c r="AS712" s="387">
        <f t="shared" si="511"/>
        <v>0</v>
      </c>
      <c r="AT712">
        <f t="shared" si="512"/>
        <v>0</v>
      </c>
      <c r="AU712" s="387" t="str">
        <f>IF(AT712=0,"",IF(AND(AT712=1,M712="F",SUMIF(C2:C1334,C712,AS2:AS1334)&lt;=1),SUMIF(C2:C1334,C712,AS2:AS1334),IF(AND(AT712=1,M712="F",SUMIF(C2:C1334,C712,AS2:AS1334)&gt;1),1,"")))</f>
        <v/>
      </c>
      <c r="AV712" s="387" t="str">
        <f>IF(AT712=0,"",IF(AND(AT712=3,M712="F",SUMIF(C2:C1334,C712,AS2:AS1334)&lt;=1),SUMIF(C2:C1334,C712,AS2:AS1334),IF(AND(AT712=3,M712="F",SUMIF(C2:C1334,C712,AS2:AS1334)&gt;1),1,"")))</f>
        <v/>
      </c>
      <c r="AW712" s="387">
        <f>SUMIF(C2:C1334,C712,O2:O1334)</f>
        <v>2</v>
      </c>
      <c r="AX712" s="387">
        <f>IF(AND(M712="F",AS712&lt;&gt;0),SUMIF(C2:C1334,C712,W2:W1334),0)</f>
        <v>0</v>
      </c>
      <c r="AY712" s="387" t="str">
        <f t="shared" si="513"/>
        <v/>
      </c>
      <c r="AZ712" s="387" t="str">
        <f t="shared" si="514"/>
        <v/>
      </c>
      <c r="BA712" s="387">
        <f t="shared" si="515"/>
        <v>0</v>
      </c>
      <c r="BB712" s="387">
        <f t="shared" si="484"/>
        <v>0</v>
      </c>
      <c r="BC712" s="387">
        <f t="shared" si="485"/>
        <v>0</v>
      </c>
      <c r="BD712" s="387">
        <f t="shared" si="486"/>
        <v>0</v>
      </c>
      <c r="BE712" s="387">
        <f t="shared" si="487"/>
        <v>0</v>
      </c>
      <c r="BF712" s="387">
        <f t="shared" si="488"/>
        <v>0</v>
      </c>
      <c r="BG712" s="387">
        <f t="shared" si="489"/>
        <v>0</v>
      </c>
      <c r="BH712" s="387">
        <f t="shared" si="490"/>
        <v>0</v>
      </c>
      <c r="BI712" s="387">
        <f t="shared" si="491"/>
        <v>0</v>
      </c>
      <c r="BJ712" s="387">
        <f t="shared" si="492"/>
        <v>0</v>
      </c>
      <c r="BK712" s="387">
        <f t="shared" si="493"/>
        <v>0</v>
      </c>
      <c r="BL712" s="387">
        <f t="shared" si="516"/>
        <v>0</v>
      </c>
      <c r="BM712" s="387">
        <f t="shared" si="517"/>
        <v>0</v>
      </c>
      <c r="BN712" s="387">
        <f t="shared" si="494"/>
        <v>0</v>
      </c>
      <c r="BO712" s="387">
        <f t="shared" si="495"/>
        <v>0</v>
      </c>
      <c r="BP712" s="387">
        <f t="shared" si="496"/>
        <v>0</v>
      </c>
      <c r="BQ712" s="387">
        <f t="shared" si="497"/>
        <v>0</v>
      </c>
      <c r="BR712" s="387">
        <f t="shared" si="498"/>
        <v>0</v>
      </c>
      <c r="BS712" s="387">
        <f t="shared" si="499"/>
        <v>0</v>
      </c>
      <c r="BT712" s="387">
        <f t="shared" si="500"/>
        <v>0</v>
      </c>
      <c r="BU712" s="387">
        <f t="shared" si="501"/>
        <v>0</v>
      </c>
      <c r="BV712" s="387">
        <f t="shared" si="502"/>
        <v>0</v>
      </c>
      <c r="BW712" s="387">
        <f t="shared" si="503"/>
        <v>0</v>
      </c>
      <c r="BX712" s="387">
        <f t="shared" si="518"/>
        <v>0</v>
      </c>
      <c r="BY712" s="387">
        <f t="shared" si="519"/>
        <v>0</v>
      </c>
      <c r="BZ712" s="387">
        <f t="shared" si="520"/>
        <v>0</v>
      </c>
      <c r="CA712" s="387">
        <f t="shared" si="521"/>
        <v>0</v>
      </c>
      <c r="CB712" s="387">
        <f t="shared" si="522"/>
        <v>0</v>
      </c>
      <c r="CC712" s="387">
        <f t="shared" si="504"/>
        <v>0</v>
      </c>
      <c r="CD712" s="387">
        <f t="shared" si="505"/>
        <v>0</v>
      </c>
      <c r="CE712" s="387">
        <f t="shared" si="506"/>
        <v>0</v>
      </c>
      <c r="CF712" s="387">
        <f t="shared" si="507"/>
        <v>0</v>
      </c>
      <c r="CG712" s="387">
        <f t="shared" si="508"/>
        <v>0</v>
      </c>
      <c r="CH712" s="387">
        <f t="shared" si="509"/>
        <v>0</v>
      </c>
      <c r="CI712" s="387">
        <f t="shared" si="510"/>
        <v>0</v>
      </c>
      <c r="CJ712" s="387">
        <f t="shared" si="523"/>
        <v>0</v>
      </c>
      <c r="CK712" s="387" t="str">
        <f t="shared" si="524"/>
        <v/>
      </c>
      <c r="CL712" s="387" t="str">
        <f t="shared" si="525"/>
        <v/>
      </c>
      <c r="CM712" s="387" t="str">
        <f t="shared" si="526"/>
        <v/>
      </c>
      <c r="CN712" s="387" t="str">
        <f t="shared" si="527"/>
        <v>0349-31</v>
      </c>
    </row>
    <row r="713" spans="1:92" ht="15.75" thickBot="1" x14ac:dyDescent="0.3">
      <c r="A713" s="376" t="s">
        <v>161</v>
      </c>
      <c r="B713" s="376" t="s">
        <v>162</v>
      </c>
      <c r="C713" s="376" t="s">
        <v>286</v>
      </c>
      <c r="D713" s="376" t="s">
        <v>287</v>
      </c>
      <c r="E713" s="376" t="s">
        <v>669</v>
      </c>
      <c r="F713" s="382" t="s">
        <v>225</v>
      </c>
      <c r="G713" s="376" t="s">
        <v>781</v>
      </c>
      <c r="H713" s="378"/>
      <c r="I713" s="378"/>
      <c r="J713" s="376" t="s">
        <v>288</v>
      </c>
      <c r="K713" s="376" t="s">
        <v>289</v>
      </c>
      <c r="L713" s="376" t="s">
        <v>170</v>
      </c>
      <c r="M713" s="376" t="s">
        <v>171</v>
      </c>
      <c r="N713" s="376" t="s">
        <v>172</v>
      </c>
      <c r="O713" s="379">
        <v>1</v>
      </c>
      <c r="P713" s="385">
        <v>0</v>
      </c>
      <c r="Q713" s="385">
        <v>0</v>
      </c>
      <c r="R713" s="380">
        <v>80</v>
      </c>
      <c r="S713" s="385">
        <v>0</v>
      </c>
      <c r="T713" s="380">
        <v>1807.18</v>
      </c>
      <c r="U713" s="380">
        <v>0</v>
      </c>
      <c r="V713" s="380">
        <v>761.65</v>
      </c>
      <c r="W713" s="380">
        <v>0</v>
      </c>
      <c r="X713" s="380">
        <v>0</v>
      </c>
      <c r="Y713" s="380">
        <v>0</v>
      </c>
      <c r="Z713" s="380">
        <v>0</v>
      </c>
      <c r="AA713" s="376" t="s">
        <v>290</v>
      </c>
      <c r="AB713" s="376" t="s">
        <v>291</v>
      </c>
      <c r="AC713" s="376" t="s">
        <v>292</v>
      </c>
      <c r="AD713" s="376" t="s">
        <v>210</v>
      </c>
      <c r="AE713" s="376" t="s">
        <v>289</v>
      </c>
      <c r="AF713" s="376" t="s">
        <v>177</v>
      </c>
      <c r="AG713" s="376" t="s">
        <v>178</v>
      </c>
      <c r="AH713" s="381">
        <v>29.58</v>
      </c>
      <c r="AI713" s="379">
        <v>41341</v>
      </c>
      <c r="AJ713" s="376" t="s">
        <v>179</v>
      </c>
      <c r="AK713" s="376" t="s">
        <v>180</v>
      </c>
      <c r="AL713" s="376" t="s">
        <v>181</v>
      </c>
      <c r="AM713" s="376" t="s">
        <v>182</v>
      </c>
      <c r="AN713" s="376" t="s">
        <v>68</v>
      </c>
      <c r="AO713" s="379">
        <v>80</v>
      </c>
      <c r="AP713" s="385">
        <v>1</v>
      </c>
      <c r="AQ713" s="385">
        <v>0</v>
      </c>
      <c r="AR713" s="383" t="s">
        <v>183</v>
      </c>
      <c r="AS713" s="387">
        <f t="shared" si="511"/>
        <v>0</v>
      </c>
      <c r="AT713">
        <f t="shared" si="512"/>
        <v>0</v>
      </c>
      <c r="AU713" s="387" t="str">
        <f>IF(AT713=0,"",IF(AND(AT713=1,M713="F",SUMIF(C2:C1334,C713,AS2:AS1334)&lt;=1),SUMIF(C2:C1334,C713,AS2:AS1334),IF(AND(AT713=1,M713="F",SUMIF(C2:C1334,C713,AS2:AS1334)&gt;1),1,"")))</f>
        <v/>
      </c>
      <c r="AV713" s="387" t="str">
        <f>IF(AT713=0,"",IF(AND(AT713=3,M713="F",SUMIF(C2:C1334,C713,AS2:AS1334)&lt;=1),SUMIF(C2:C1334,C713,AS2:AS1334),IF(AND(AT713=3,M713="F",SUMIF(C2:C1334,C713,AS2:AS1334)&gt;1),1,"")))</f>
        <v/>
      </c>
      <c r="AW713" s="387">
        <f>SUMIF(C2:C1334,C713,O2:O1334)</f>
        <v>7</v>
      </c>
      <c r="AX713" s="387">
        <f>IF(AND(M713="F",AS713&lt;&gt;0),SUMIF(C2:C1334,C713,W2:W1334),0)</f>
        <v>0</v>
      </c>
      <c r="AY713" s="387" t="str">
        <f t="shared" si="513"/>
        <v/>
      </c>
      <c r="AZ713" s="387" t="str">
        <f t="shared" si="514"/>
        <v/>
      </c>
      <c r="BA713" s="387">
        <f t="shared" si="515"/>
        <v>0</v>
      </c>
      <c r="BB713" s="387">
        <f t="shared" si="484"/>
        <v>0</v>
      </c>
      <c r="BC713" s="387">
        <f t="shared" si="485"/>
        <v>0</v>
      </c>
      <c r="BD713" s="387">
        <f t="shared" si="486"/>
        <v>0</v>
      </c>
      <c r="BE713" s="387">
        <f t="shared" si="487"/>
        <v>0</v>
      </c>
      <c r="BF713" s="387">
        <f t="shared" si="488"/>
        <v>0</v>
      </c>
      <c r="BG713" s="387">
        <f t="shared" si="489"/>
        <v>0</v>
      </c>
      <c r="BH713" s="387">
        <f t="shared" si="490"/>
        <v>0</v>
      </c>
      <c r="BI713" s="387">
        <f t="shared" si="491"/>
        <v>0</v>
      </c>
      <c r="BJ713" s="387">
        <f t="shared" si="492"/>
        <v>0</v>
      </c>
      <c r="BK713" s="387">
        <f t="shared" si="493"/>
        <v>0</v>
      </c>
      <c r="BL713" s="387">
        <f t="shared" si="516"/>
        <v>0</v>
      </c>
      <c r="BM713" s="387">
        <f t="shared" si="517"/>
        <v>0</v>
      </c>
      <c r="BN713" s="387">
        <f t="shared" si="494"/>
        <v>0</v>
      </c>
      <c r="BO713" s="387">
        <f t="shared" si="495"/>
        <v>0</v>
      </c>
      <c r="BP713" s="387">
        <f t="shared" si="496"/>
        <v>0</v>
      </c>
      <c r="BQ713" s="387">
        <f t="shared" si="497"/>
        <v>0</v>
      </c>
      <c r="BR713" s="387">
        <f t="shared" si="498"/>
        <v>0</v>
      </c>
      <c r="BS713" s="387">
        <f t="shared" si="499"/>
        <v>0</v>
      </c>
      <c r="BT713" s="387">
        <f t="shared" si="500"/>
        <v>0</v>
      </c>
      <c r="BU713" s="387">
        <f t="shared" si="501"/>
        <v>0</v>
      </c>
      <c r="BV713" s="387">
        <f t="shared" si="502"/>
        <v>0</v>
      </c>
      <c r="BW713" s="387">
        <f t="shared" si="503"/>
        <v>0</v>
      </c>
      <c r="BX713" s="387">
        <f t="shared" si="518"/>
        <v>0</v>
      </c>
      <c r="BY713" s="387">
        <f t="shared" si="519"/>
        <v>0</v>
      </c>
      <c r="BZ713" s="387">
        <f t="shared" si="520"/>
        <v>0</v>
      </c>
      <c r="CA713" s="387">
        <f t="shared" si="521"/>
        <v>0</v>
      </c>
      <c r="CB713" s="387">
        <f t="shared" si="522"/>
        <v>0</v>
      </c>
      <c r="CC713" s="387">
        <f t="shared" si="504"/>
        <v>0</v>
      </c>
      <c r="CD713" s="387">
        <f t="shared" si="505"/>
        <v>0</v>
      </c>
      <c r="CE713" s="387">
        <f t="shared" si="506"/>
        <v>0</v>
      </c>
      <c r="CF713" s="387">
        <f t="shared" si="507"/>
        <v>0</v>
      </c>
      <c r="CG713" s="387">
        <f t="shared" si="508"/>
        <v>0</v>
      </c>
      <c r="CH713" s="387">
        <f t="shared" si="509"/>
        <v>0</v>
      </c>
      <c r="CI713" s="387">
        <f t="shared" si="510"/>
        <v>0</v>
      </c>
      <c r="CJ713" s="387">
        <f t="shared" si="523"/>
        <v>0</v>
      </c>
      <c r="CK713" s="387" t="str">
        <f t="shared" si="524"/>
        <v/>
      </c>
      <c r="CL713" s="387" t="str">
        <f t="shared" si="525"/>
        <v/>
      </c>
      <c r="CM713" s="387" t="str">
        <f t="shared" si="526"/>
        <v/>
      </c>
      <c r="CN713" s="387" t="str">
        <f t="shared" si="527"/>
        <v>0349-31</v>
      </c>
    </row>
    <row r="714" spans="1:92" ht="15.75" thickBot="1" x14ac:dyDescent="0.3">
      <c r="A714" s="376" t="s">
        <v>161</v>
      </c>
      <c r="B714" s="376" t="s">
        <v>162</v>
      </c>
      <c r="C714" s="376" t="s">
        <v>1564</v>
      </c>
      <c r="D714" s="376" t="s">
        <v>862</v>
      </c>
      <c r="E714" s="376" t="s">
        <v>669</v>
      </c>
      <c r="F714" s="382" t="s">
        <v>225</v>
      </c>
      <c r="G714" s="376" t="s">
        <v>781</v>
      </c>
      <c r="H714" s="378"/>
      <c r="I714" s="378"/>
      <c r="J714" s="376" t="s">
        <v>239</v>
      </c>
      <c r="K714" s="376" t="s">
        <v>863</v>
      </c>
      <c r="L714" s="376" t="s">
        <v>252</v>
      </c>
      <c r="M714" s="376" t="s">
        <v>272</v>
      </c>
      <c r="N714" s="376" t="s">
        <v>172</v>
      </c>
      <c r="O714" s="379">
        <v>0</v>
      </c>
      <c r="P714" s="385">
        <v>0</v>
      </c>
      <c r="Q714" s="385">
        <v>0</v>
      </c>
      <c r="R714" s="380">
        <v>80</v>
      </c>
      <c r="S714" s="385">
        <v>0</v>
      </c>
      <c r="T714" s="380">
        <v>70.62</v>
      </c>
      <c r="U714" s="380">
        <v>0</v>
      </c>
      <c r="V714" s="380">
        <v>24.25</v>
      </c>
      <c r="W714" s="380">
        <v>0</v>
      </c>
      <c r="X714" s="380">
        <v>0</v>
      </c>
      <c r="Y714" s="380">
        <v>0</v>
      </c>
      <c r="Z714" s="380">
        <v>0</v>
      </c>
      <c r="AA714" s="378"/>
      <c r="AB714" s="376" t="s">
        <v>45</v>
      </c>
      <c r="AC714" s="376" t="s">
        <v>45</v>
      </c>
      <c r="AD714" s="378"/>
      <c r="AE714" s="378"/>
      <c r="AF714" s="378"/>
      <c r="AG714" s="378"/>
      <c r="AH714" s="379">
        <v>0</v>
      </c>
      <c r="AI714" s="379">
        <v>0</v>
      </c>
      <c r="AJ714" s="378"/>
      <c r="AK714" s="378"/>
      <c r="AL714" s="376" t="s">
        <v>181</v>
      </c>
      <c r="AM714" s="378"/>
      <c r="AN714" s="378"/>
      <c r="AO714" s="379">
        <v>0</v>
      </c>
      <c r="AP714" s="385">
        <v>0</v>
      </c>
      <c r="AQ714" s="385">
        <v>0</v>
      </c>
      <c r="AR714" s="384"/>
      <c r="AS714" s="387">
        <f t="shared" si="511"/>
        <v>0</v>
      </c>
      <c r="AT714">
        <f t="shared" si="512"/>
        <v>0</v>
      </c>
      <c r="AU714" s="387" t="str">
        <f>IF(AT714=0,"",IF(AND(AT714=1,M714="F",SUMIF(C2:C1334,C714,AS2:AS1334)&lt;=1),SUMIF(C2:C1334,C714,AS2:AS1334),IF(AND(AT714=1,M714="F",SUMIF(C2:C1334,C714,AS2:AS1334)&gt;1),1,"")))</f>
        <v/>
      </c>
      <c r="AV714" s="387" t="str">
        <f>IF(AT714=0,"",IF(AND(AT714=3,M714="F",SUMIF(C2:C1334,C714,AS2:AS1334)&lt;=1),SUMIF(C2:C1334,C714,AS2:AS1334),IF(AND(AT714=3,M714="F",SUMIF(C2:C1334,C714,AS2:AS1334)&gt;1),1,"")))</f>
        <v/>
      </c>
      <c r="AW714" s="387">
        <f>SUMIF(C2:C1334,C714,O2:O1334)</f>
        <v>0</v>
      </c>
      <c r="AX714" s="387">
        <f>IF(AND(M714="F",AS714&lt;&gt;0),SUMIF(C2:C1334,C714,W2:W1334),0)</f>
        <v>0</v>
      </c>
      <c r="AY714" s="387" t="str">
        <f t="shared" si="513"/>
        <v/>
      </c>
      <c r="AZ714" s="387" t="str">
        <f t="shared" si="514"/>
        <v/>
      </c>
      <c r="BA714" s="387">
        <f t="shared" si="515"/>
        <v>0</v>
      </c>
      <c r="BB714" s="387">
        <f t="shared" si="484"/>
        <v>0</v>
      </c>
      <c r="BC714" s="387">
        <f t="shared" si="485"/>
        <v>0</v>
      </c>
      <c r="BD714" s="387">
        <f t="shared" si="486"/>
        <v>0</v>
      </c>
      <c r="BE714" s="387">
        <f t="shared" si="487"/>
        <v>0</v>
      </c>
      <c r="BF714" s="387">
        <f t="shared" si="488"/>
        <v>0</v>
      </c>
      <c r="BG714" s="387">
        <f t="shared" si="489"/>
        <v>0</v>
      </c>
      <c r="BH714" s="387">
        <f t="shared" si="490"/>
        <v>0</v>
      </c>
      <c r="BI714" s="387">
        <f t="shared" si="491"/>
        <v>0</v>
      </c>
      <c r="BJ714" s="387">
        <f t="shared" si="492"/>
        <v>0</v>
      </c>
      <c r="BK714" s="387">
        <f t="shared" si="493"/>
        <v>0</v>
      </c>
      <c r="BL714" s="387">
        <f t="shared" si="516"/>
        <v>0</v>
      </c>
      <c r="BM714" s="387">
        <f t="shared" si="517"/>
        <v>0</v>
      </c>
      <c r="BN714" s="387">
        <f t="shared" si="494"/>
        <v>0</v>
      </c>
      <c r="BO714" s="387">
        <f t="shared" si="495"/>
        <v>0</v>
      </c>
      <c r="BP714" s="387">
        <f t="shared" si="496"/>
        <v>0</v>
      </c>
      <c r="BQ714" s="387">
        <f t="shared" si="497"/>
        <v>0</v>
      </c>
      <c r="BR714" s="387">
        <f t="shared" si="498"/>
        <v>0</v>
      </c>
      <c r="BS714" s="387">
        <f t="shared" si="499"/>
        <v>0</v>
      </c>
      <c r="BT714" s="387">
        <f t="shared" si="500"/>
        <v>0</v>
      </c>
      <c r="BU714" s="387">
        <f t="shared" si="501"/>
        <v>0</v>
      </c>
      <c r="BV714" s="387">
        <f t="shared" si="502"/>
        <v>0</v>
      </c>
      <c r="BW714" s="387">
        <f t="shared" si="503"/>
        <v>0</v>
      </c>
      <c r="BX714" s="387">
        <f t="shared" si="518"/>
        <v>0</v>
      </c>
      <c r="BY714" s="387">
        <f t="shared" si="519"/>
        <v>0</v>
      </c>
      <c r="BZ714" s="387">
        <f t="shared" si="520"/>
        <v>0</v>
      </c>
      <c r="CA714" s="387">
        <f t="shared" si="521"/>
        <v>0</v>
      </c>
      <c r="CB714" s="387">
        <f t="shared" si="522"/>
        <v>0</v>
      </c>
      <c r="CC714" s="387">
        <f t="shared" si="504"/>
        <v>0</v>
      </c>
      <c r="CD714" s="387">
        <f t="shared" si="505"/>
        <v>0</v>
      </c>
      <c r="CE714" s="387">
        <f t="shared" si="506"/>
        <v>0</v>
      </c>
      <c r="CF714" s="387">
        <f t="shared" si="507"/>
        <v>0</v>
      </c>
      <c r="CG714" s="387">
        <f t="shared" si="508"/>
        <v>0</v>
      </c>
      <c r="CH714" s="387">
        <f t="shared" si="509"/>
        <v>0</v>
      </c>
      <c r="CI714" s="387">
        <f t="shared" si="510"/>
        <v>0</v>
      </c>
      <c r="CJ714" s="387">
        <f t="shared" si="523"/>
        <v>0</v>
      </c>
      <c r="CK714" s="387" t="str">
        <f t="shared" si="524"/>
        <v/>
      </c>
      <c r="CL714" s="387" t="str">
        <f t="shared" si="525"/>
        <v/>
      </c>
      <c r="CM714" s="387" t="str">
        <f t="shared" si="526"/>
        <v/>
      </c>
      <c r="CN714" s="387" t="str">
        <f t="shared" si="527"/>
        <v>0349-31</v>
      </c>
    </row>
    <row r="715" spans="1:92" ht="15.75" thickBot="1" x14ac:dyDescent="0.3">
      <c r="A715" s="376" t="s">
        <v>161</v>
      </c>
      <c r="B715" s="376" t="s">
        <v>162</v>
      </c>
      <c r="C715" s="376" t="s">
        <v>1684</v>
      </c>
      <c r="D715" s="376" t="s">
        <v>862</v>
      </c>
      <c r="E715" s="376" t="s">
        <v>669</v>
      </c>
      <c r="F715" s="382" t="s">
        <v>225</v>
      </c>
      <c r="G715" s="376" t="s">
        <v>781</v>
      </c>
      <c r="H715" s="378"/>
      <c r="I715" s="378"/>
      <c r="J715" s="376" t="s">
        <v>239</v>
      </c>
      <c r="K715" s="376" t="s">
        <v>863</v>
      </c>
      <c r="L715" s="376" t="s">
        <v>252</v>
      </c>
      <c r="M715" s="376" t="s">
        <v>171</v>
      </c>
      <c r="N715" s="376" t="s">
        <v>172</v>
      </c>
      <c r="O715" s="379">
        <v>1</v>
      </c>
      <c r="P715" s="385">
        <v>0</v>
      </c>
      <c r="Q715" s="385">
        <v>0</v>
      </c>
      <c r="R715" s="380">
        <v>80</v>
      </c>
      <c r="S715" s="385">
        <v>0</v>
      </c>
      <c r="T715" s="380">
        <v>83.06</v>
      </c>
      <c r="U715" s="380">
        <v>0</v>
      </c>
      <c r="V715" s="380">
        <v>39.96</v>
      </c>
      <c r="W715" s="380">
        <v>0</v>
      </c>
      <c r="X715" s="380">
        <v>0</v>
      </c>
      <c r="Y715" s="380">
        <v>0</v>
      </c>
      <c r="Z715" s="380">
        <v>0</v>
      </c>
      <c r="AA715" s="376" t="s">
        <v>1685</v>
      </c>
      <c r="AB715" s="376" t="s">
        <v>1686</v>
      </c>
      <c r="AC715" s="376" t="s">
        <v>840</v>
      </c>
      <c r="AD715" s="376" t="s">
        <v>210</v>
      </c>
      <c r="AE715" s="376" t="s">
        <v>863</v>
      </c>
      <c r="AF715" s="376" t="s">
        <v>393</v>
      </c>
      <c r="AG715" s="376" t="s">
        <v>178</v>
      </c>
      <c r="AH715" s="381">
        <v>24.05</v>
      </c>
      <c r="AI715" s="381">
        <v>34902.6</v>
      </c>
      <c r="AJ715" s="376" t="s">
        <v>179</v>
      </c>
      <c r="AK715" s="376" t="s">
        <v>180</v>
      </c>
      <c r="AL715" s="376" t="s">
        <v>181</v>
      </c>
      <c r="AM715" s="376" t="s">
        <v>182</v>
      </c>
      <c r="AN715" s="376" t="s">
        <v>68</v>
      </c>
      <c r="AO715" s="379">
        <v>80</v>
      </c>
      <c r="AP715" s="385">
        <v>1</v>
      </c>
      <c r="AQ715" s="385">
        <v>0</v>
      </c>
      <c r="AR715" s="383" t="s">
        <v>183</v>
      </c>
      <c r="AS715" s="387">
        <f t="shared" si="511"/>
        <v>0</v>
      </c>
      <c r="AT715">
        <f t="shared" si="512"/>
        <v>0</v>
      </c>
      <c r="AU715" s="387" t="str">
        <f>IF(AT715=0,"",IF(AND(AT715=1,M715="F",SUMIF(C2:C1334,C715,AS2:AS1334)&lt;=1),SUMIF(C2:C1334,C715,AS2:AS1334),IF(AND(AT715=1,M715="F",SUMIF(C2:C1334,C715,AS2:AS1334)&gt;1),1,"")))</f>
        <v/>
      </c>
      <c r="AV715" s="387" t="str">
        <f>IF(AT715=0,"",IF(AND(AT715=3,M715="F",SUMIF(C2:C1334,C715,AS2:AS1334)&lt;=1),SUMIF(C2:C1334,C715,AS2:AS1334),IF(AND(AT715=3,M715="F",SUMIF(C2:C1334,C715,AS2:AS1334)&gt;1),1,"")))</f>
        <v/>
      </c>
      <c r="AW715" s="387">
        <f>SUMIF(C2:C1334,C715,O2:O1334)</f>
        <v>3</v>
      </c>
      <c r="AX715" s="387">
        <f>IF(AND(M715="F",AS715&lt;&gt;0),SUMIF(C2:C1334,C715,W2:W1334),0)</f>
        <v>0</v>
      </c>
      <c r="AY715" s="387" t="str">
        <f t="shared" si="513"/>
        <v/>
      </c>
      <c r="AZ715" s="387" t="str">
        <f t="shared" si="514"/>
        <v/>
      </c>
      <c r="BA715" s="387">
        <f t="shared" si="515"/>
        <v>0</v>
      </c>
      <c r="BB715" s="387">
        <f t="shared" si="484"/>
        <v>0</v>
      </c>
      <c r="BC715" s="387">
        <f t="shared" si="485"/>
        <v>0</v>
      </c>
      <c r="BD715" s="387">
        <f t="shared" si="486"/>
        <v>0</v>
      </c>
      <c r="BE715" s="387">
        <f t="shared" si="487"/>
        <v>0</v>
      </c>
      <c r="BF715" s="387">
        <f t="shared" si="488"/>
        <v>0</v>
      </c>
      <c r="BG715" s="387">
        <f t="shared" si="489"/>
        <v>0</v>
      </c>
      <c r="BH715" s="387">
        <f t="shared" si="490"/>
        <v>0</v>
      </c>
      <c r="BI715" s="387">
        <f t="shared" si="491"/>
        <v>0</v>
      </c>
      <c r="BJ715" s="387">
        <f t="shared" si="492"/>
        <v>0</v>
      </c>
      <c r="BK715" s="387">
        <f t="shared" si="493"/>
        <v>0</v>
      </c>
      <c r="BL715" s="387">
        <f t="shared" si="516"/>
        <v>0</v>
      </c>
      <c r="BM715" s="387">
        <f t="shared" si="517"/>
        <v>0</v>
      </c>
      <c r="BN715" s="387">
        <f t="shared" si="494"/>
        <v>0</v>
      </c>
      <c r="BO715" s="387">
        <f t="shared" si="495"/>
        <v>0</v>
      </c>
      <c r="BP715" s="387">
        <f t="shared" si="496"/>
        <v>0</v>
      </c>
      <c r="BQ715" s="387">
        <f t="shared" si="497"/>
        <v>0</v>
      </c>
      <c r="BR715" s="387">
        <f t="shared" si="498"/>
        <v>0</v>
      </c>
      <c r="BS715" s="387">
        <f t="shared" si="499"/>
        <v>0</v>
      </c>
      <c r="BT715" s="387">
        <f t="shared" si="500"/>
        <v>0</v>
      </c>
      <c r="BU715" s="387">
        <f t="shared" si="501"/>
        <v>0</v>
      </c>
      <c r="BV715" s="387">
        <f t="shared" si="502"/>
        <v>0</v>
      </c>
      <c r="BW715" s="387">
        <f t="shared" si="503"/>
        <v>0</v>
      </c>
      <c r="BX715" s="387">
        <f t="shared" si="518"/>
        <v>0</v>
      </c>
      <c r="BY715" s="387">
        <f t="shared" si="519"/>
        <v>0</v>
      </c>
      <c r="BZ715" s="387">
        <f t="shared" si="520"/>
        <v>0</v>
      </c>
      <c r="CA715" s="387">
        <f t="shared" si="521"/>
        <v>0</v>
      </c>
      <c r="CB715" s="387">
        <f t="shared" si="522"/>
        <v>0</v>
      </c>
      <c r="CC715" s="387">
        <f t="shared" si="504"/>
        <v>0</v>
      </c>
      <c r="CD715" s="387">
        <f t="shared" si="505"/>
        <v>0</v>
      </c>
      <c r="CE715" s="387">
        <f t="shared" si="506"/>
        <v>0</v>
      </c>
      <c r="CF715" s="387">
        <f t="shared" si="507"/>
        <v>0</v>
      </c>
      <c r="CG715" s="387">
        <f t="shared" si="508"/>
        <v>0</v>
      </c>
      <c r="CH715" s="387">
        <f t="shared" si="509"/>
        <v>0</v>
      </c>
      <c r="CI715" s="387">
        <f t="shared" si="510"/>
        <v>0</v>
      </c>
      <c r="CJ715" s="387">
        <f t="shared" si="523"/>
        <v>0</v>
      </c>
      <c r="CK715" s="387" t="str">
        <f t="shared" si="524"/>
        <v/>
      </c>
      <c r="CL715" s="387" t="str">
        <f t="shared" si="525"/>
        <v/>
      </c>
      <c r="CM715" s="387" t="str">
        <f t="shared" si="526"/>
        <v/>
      </c>
      <c r="CN715" s="387" t="str">
        <f t="shared" si="527"/>
        <v>0349-31</v>
      </c>
    </row>
    <row r="716" spans="1:92" ht="15.75" thickBot="1" x14ac:dyDescent="0.3">
      <c r="A716" s="376" t="s">
        <v>161</v>
      </c>
      <c r="B716" s="376" t="s">
        <v>162</v>
      </c>
      <c r="C716" s="376" t="s">
        <v>844</v>
      </c>
      <c r="D716" s="376" t="s">
        <v>786</v>
      </c>
      <c r="E716" s="376" t="s">
        <v>669</v>
      </c>
      <c r="F716" s="382" t="s">
        <v>225</v>
      </c>
      <c r="G716" s="376" t="s">
        <v>781</v>
      </c>
      <c r="H716" s="378"/>
      <c r="I716" s="378"/>
      <c r="J716" s="376" t="s">
        <v>239</v>
      </c>
      <c r="K716" s="376" t="s">
        <v>787</v>
      </c>
      <c r="L716" s="376" t="s">
        <v>181</v>
      </c>
      <c r="M716" s="376" t="s">
        <v>171</v>
      </c>
      <c r="N716" s="376" t="s">
        <v>172</v>
      </c>
      <c r="O716" s="379">
        <v>1</v>
      </c>
      <c r="P716" s="385">
        <v>0</v>
      </c>
      <c r="Q716" s="385">
        <v>0</v>
      </c>
      <c r="R716" s="380">
        <v>80</v>
      </c>
      <c r="S716" s="385">
        <v>0</v>
      </c>
      <c r="T716" s="380">
        <v>30.1</v>
      </c>
      <c r="U716" s="380">
        <v>0</v>
      </c>
      <c r="V716" s="380">
        <v>12.05</v>
      </c>
      <c r="W716" s="380">
        <v>0</v>
      </c>
      <c r="X716" s="380">
        <v>0</v>
      </c>
      <c r="Y716" s="380">
        <v>0</v>
      </c>
      <c r="Z716" s="380">
        <v>0</v>
      </c>
      <c r="AA716" s="376" t="s">
        <v>845</v>
      </c>
      <c r="AB716" s="376" t="s">
        <v>846</v>
      </c>
      <c r="AC716" s="376" t="s">
        <v>847</v>
      </c>
      <c r="AD716" s="376" t="s">
        <v>178</v>
      </c>
      <c r="AE716" s="376" t="s">
        <v>787</v>
      </c>
      <c r="AF716" s="376" t="s">
        <v>211</v>
      </c>
      <c r="AG716" s="376" t="s">
        <v>178</v>
      </c>
      <c r="AH716" s="381">
        <v>36.450000000000003</v>
      </c>
      <c r="AI716" s="379">
        <v>51107</v>
      </c>
      <c r="AJ716" s="376" t="s">
        <v>179</v>
      </c>
      <c r="AK716" s="376" t="s">
        <v>180</v>
      </c>
      <c r="AL716" s="376" t="s">
        <v>181</v>
      </c>
      <c r="AM716" s="376" t="s">
        <v>182</v>
      </c>
      <c r="AN716" s="376" t="s">
        <v>68</v>
      </c>
      <c r="AO716" s="379">
        <v>80</v>
      </c>
      <c r="AP716" s="385">
        <v>1</v>
      </c>
      <c r="AQ716" s="385">
        <v>0</v>
      </c>
      <c r="AR716" s="383" t="s">
        <v>183</v>
      </c>
      <c r="AS716" s="387">
        <f t="shared" si="511"/>
        <v>0</v>
      </c>
      <c r="AT716">
        <f t="shared" si="512"/>
        <v>0</v>
      </c>
      <c r="AU716" s="387" t="str">
        <f>IF(AT716=0,"",IF(AND(AT716=1,M716="F",SUMIF(C2:C1334,C716,AS2:AS1334)&lt;=1),SUMIF(C2:C1334,C716,AS2:AS1334),IF(AND(AT716=1,M716="F",SUMIF(C2:C1334,C716,AS2:AS1334)&gt;1),1,"")))</f>
        <v/>
      </c>
      <c r="AV716" s="387" t="str">
        <f>IF(AT716=0,"",IF(AND(AT716=3,M716="F",SUMIF(C2:C1334,C716,AS2:AS1334)&lt;=1),SUMIF(C2:C1334,C716,AS2:AS1334),IF(AND(AT716=3,M716="F",SUMIF(C2:C1334,C716,AS2:AS1334)&gt;1),1,"")))</f>
        <v/>
      </c>
      <c r="AW716" s="387">
        <f>SUMIF(C2:C1334,C716,O2:O1334)</f>
        <v>4</v>
      </c>
      <c r="AX716" s="387">
        <f>IF(AND(M716="F",AS716&lt;&gt;0),SUMIF(C2:C1334,C716,W2:W1334),0)</f>
        <v>0</v>
      </c>
      <c r="AY716" s="387" t="str">
        <f t="shared" si="513"/>
        <v/>
      </c>
      <c r="AZ716" s="387" t="str">
        <f t="shared" si="514"/>
        <v/>
      </c>
      <c r="BA716" s="387">
        <f t="shared" si="515"/>
        <v>0</v>
      </c>
      <c r="BB716" s="387">
        <f t="shared" si="484"/>
        <v>0</v>
      </c>
      <c r="BC716" s="387">
        <f t="shared" si="485"/>
        <v>0</v>
      </c>
      <c r="BD716" s="387">
        <f t="shared" si="486"/>
        <v>0</v>
      </c>
      <c r="BE716" s="387">
        <f t="shared" si="487"/>
        <v>0</v>
      </c>
      <c r="BF716" s="387">
        <f t="shared" si="488"/>
        <v>0</v>
      </c>
      <c r="BG716" s="387">
        <f t="shared" si="489"/>
        <v>0</v>
      </c>
      <c r="BH716" s="387">
        <f t="shared" si="490"/>
        <v>0</v>
      </c>
      <c r="BI716" s="387">
        <f t="shared" si="491"/>
        <v>0</v>
      </c>
      <c r="BJ716" s="387">
        <f t="shared" si="492"/>
        <v>0</v>
      </c>
      <c r="BK716" s="387">
        <f t="shared" si="493"/>
        <v>0</v>
      </c>
      <c r="BL716" s="387">
        <f t="shared" si="516"/>
        <v>0</v>
      </c>
      <c r="BM716" s="387">
        <f t="shared" si="517"/>
        <v>0</v>
      </c>
      <c r="BN716" s="387">
        <f t="shared" si="494"/>
        <v>0</v>
      </c>
      <c r="BO716" s="387">
        <f t="shared" si="495"/>
        <v>0</v>
      </c>
      <c r="BP716" s="387">
        <f t="shared" si="496"/>
        <v>0</v>
      </c>
      <c r="BQ716" s="387">
        <f t="shared" si="497"/>
        <v>0</v>
      </c>
      <c r="BR716" s="387">
        <f t="shared" si="498"/>
        <v>0</v>
      </c>
      <c r="BS716" s="387">
        <f t="shared" si="499"/>
        <v>0</v>
      </c>
      <c r="BT716" s="387">
        <f t="shared" si="500"/>
        <v>0</v>
      </c>
      <c r="BU716" s="387">
        <f t="shared" si="501"/>
        <v>0</v>
      </c>
      <c r="BV716" s="387">
        <f t="shared" si="502"/>
        <v>0</v>
      </c>
      <c r="BW716" s="387">
        <f t="shared" si="503"/>
        <v>0</v>
      </c>
      <c r="BX716" s="387">
        <f t="shared" si="518"/>
        <v>0</v>
      </c>
      <c r="BY716" s="387">
        <f t="shared" si="519"/>
        <v>0</v>
      </c>
      <c r="BZ716" s="387">
        <f t="shared" si="520"/>
        <v>0</v>
      </c>
      <c r="CA716" s="387">
        <f t="shared" si="521"/>
        <v>0</v>
      </c>
      <c r="CB716" s="387">
        <f t="shared" si="522"/>
        <v>0</v>
      </c>
      <c r="CC716" s="387">
        <f t="shared" si="504"/>
        <v>0</v>
      </c>
      <c r="CD716" s="387">
        <f t="shared" si="505"/>
        <v>0</v>
      </c>
      <c r="CE716" s="387">
        <f t="shared" si="506"/>
        <v>0</v>
      </c>
      <c r="CF716" s="387">
        <f t="shared" si="507"/>
        <v>0</v>
      </c>
      <c r="CG716" s="387">
        <f t="shared" si="508"/>
        <v>0</v>
      </c>
      <c r="CH716" s="387">
        <f t="shared" si="509"/>
        <v>0</v>
      </c>
      <c r="CI716" s="387">
        <f t="shared" si="510"/>
        <v>0</v>
      </c>
      <c r="CJ716" s="387">
        <f t="shared" si="523"/>
        <v>0</v>
      </c>
      <c r="CK716" s="387" t="str">
        <f t="shared" si="524"/>
        <v/>
      </c>
      <c r="CL716" s="387" t="str">
        <f t="shared" si="525"/>
        <v/>
      </c>
      <c r="CM716" s="387" t="str">
        <f t="shared" si="526"/>
        <v/>
      </c>
      <c r="CN716" s="387" t="str">
        <f t="shared" si="527"/>
        <v>0349-31</v>
      </c>
    </row>
    <row r="717" spans="1:92" ht="15.75" thickBot="1" x14ac:dyDescent="0.3">
      <c r="A717" s="376" t="s">
        <v>161</v>
      </c>
      <c r="B717" s="376" t="s">
        <v>162</v>
      </c>
      <c r="C717" s="376" t="s">
        <v>1878</v>
      </c>
      <c r="D717" s="376" t="s">
        <v>862</v>
      </c>
      <c r="E717" s="376" t="s">
        <v>669</v>
      </c>
      <c r="F717" s="382" t="s">
        <v>225</v>
      </c>
      <c r="G717" s="376" t="s">
        <v>781</v>
      </c>
      <c r="H717" s="378"/>
      <c r="I717" s="378"/>
      <c r="J717" s="376" t="s">
        <v>239</v>
      </c>
      <c r="K717" s="376" t="s">
        <v>863</v>
      </c>
      <c r="L717" s="376" t="s">
        <v>252</v>
      </c>
      <c r="M717" s="376" t="s">
        <v>171</v>
      </c>
      <c r="N717" s="376" t="s">
        <v>172</v>
      </c>
      <c r="O717" s="379">
        <v>1</v>
      </c>
      <c r="P717" s="385">
        <v>0</v>
      </c>
      <c r="Q717" s="385">
        <v>0</v>
      </c>
      <c r="R717" s="380">
        <v>80</v>
      </c>
      <c r="S717" s="385">
        <v>0</v>
      </c>
      <c r="T717" s="380">
        <v>107.64</v>
      </c>
      <c r="U717" s="380">
        <v>0</v>
      </c>
      <c r="V717" s="380">
        <v>42.8</v>
      </c>
      <c r="W717" s="380">
        <v>0</v>
      </c>
      <c r="X717" s="380">
        <v>0</v>
      </c>
      <c r="Y717" s="380">
        <v>0</v>
      </c>
      <c r="Z717" s="380">
        <v>0</v>
      </c>
      <c r="AA717" s="376" t="s">
        <v>1879</v>
      </c>
      <c r="AB717" s="376" t="s">
        <v>1880</v>
      </c>
      <c r="AC717" s="376" t="s">
        <v>1881</v>
      </c>
      <c r="AD717" s="376" t="s">
        <v>566</v>
      </c>
      <c r="AE717" s="376" t="s">
        <v>863</v>
      </c>
      <c r="AF717" s="376" t="s">
        <v>393</v>
      </c>
      <c r="AG717" s="376" t="s">
        <v>178</v>
      </c>
      <c r="AH717" s="381">
        <v>24.84</v>
      </c>
      <c r="AI717" s="381">
        <v>45212.2</v>
      </c>
      <c r="AJ717" s="376" t="s">
        <v>179</v>
      </c>
      <c r="AK717" s="376" t="s">
        <v>180</v>
      </c>
      <c r="AL717" s="376" t="s">
        <v>181</v>
      </c>
      <c r="AM717" s="376" t="s">
        <v>182</v>
      </c>
      <c r="AN717" s="376" t="s">
        <v>68</v>
      </c>
      <c r="AO717" s="379">
        <v>80</v>
      </c>
      <c r="AP717" s="385">
        <v>1</v>
      </c>
      <c r="AQ717" s="385">
        <v>0</v>
      </c>
      <c r="AR717" s="383" t="s">
        <v>183</v>
      </c>
      <c r="AS717" s="387">
        <f t="shared" si="511"/>
        <v>0</v>
      </c>
      <c r="AT717">
        <f t="shared" si="512"/>
        <v>0</v>
      </c>
      <c r="AU717" s="387" t="str">
        <f>IF(AT717=0,"",IF(AND(AT717=1,M717="F",SUMIF(C2:C1334,C717,AS2:AS1334)&lt;=1),SUMIF(C2:C1334,C717,AS2:AS1334),IF(AND(AT717=1,M717="F",SUMIF(C2:C1334,C717,AS2:AS1334)&gt;1),1,"")))</f>
        <v/>
      </c>
      <c r="AV717" s="387" t="str">
        <f>IF(AT717=0,"",IF(AND(AT717=3,M717="F",SUMIF(C2:C1334,C717,AS2:AS1334)&lt;=1),SUMIF(C2:C1334,C717,AS2:AS1334),IF(AND(AT717=3,M717="F",SUMIF(C2:C1334,C717,AS2:AS1334)&gt;1),1,"")))</f>
        <v/>
      </c>
      <c r="AW717" s="387">
        <f>SUMIF(C2:C1334,C717,O2:O1334)</f>
        <v>3</v>
      </c>
      <c r="AX717" s="387">
        <f>IF(AND(M717="F",AS717&lt;&gt;0),SUMIF(C2:C1334,C717,W2:W1334),0)</f>
        <v>0</v>
      </c>
      <c r="AY717" s="387" t="str">
        <f t="shared" si="513"/>
        <v/>
      </c>
      <c r="AZ717" s="387" t="str">
        <f t="shared" si="514"/>
        <v/>
      </c>
      <c r="BA717" s="387">
        <f t="shared" si="515"/>
        <v>0</v>
      </c>
      <c r="BB717" s="387">
        <f t="shared" si="484"/>
        <v>0</v>
      </c>
      <c r="BC717" s="387">
        <f t="shared" si="485"/>
        <v>0</v>
      </c>
      <c r="BD717" s="387">
        <f t="shared" si="486"/>
        <v>0</v>
      </c>
      <c r="BE717" s="387">
        <f t="shared" si="487"/>
        <v>0</v>
      </c>
      <c r="BF717" s="387">
        <f t="shared" si="488"/>
        <v>0</v>
      </c>
      <c r="BG717" s="387">
        <f t="shared" si="489"/>
        <v>0</v>
      </c>
      <c r="BH717" s="387">
        <f t="shared" si="490"/>
        <v>0</v>
      </c>
      <c r="BI717" s="387">
        <f t="shared" si="491"/>
        <v>0</v>
      </c>
      <c r="BJ717" s="387">
        <f t="shared" si="492"/>
        <v>0</v>
      </c>
      <c r="BK717" s="387">
        <f t="shared" si="493"/>
        <v>0</v>
      </c>
      <c r="BL717" s="387">
        <f t="shared" si="516"/>
        <v>0</v>
      </c>
      <c r="BM717" s="387">
        <f t="shared" si="517"/>
        <v>0</v>
      </c>
      <c r="BN717" s="387">
        <f t="shared" si="494"/>
        <v>0</v>
      </c>
      <c r="BO717" s="387">
        <f t="shared" si="495"/>
        <v>0</v>
      </c>
      <c r="BP717" s="387">
        <f t="shared" si="496"/>
        <v>0</v>
      </c>
      <c r="BQ717" s="387">
        <f t="shared" si="497"/>
        <v>0</v>
      </c>
      <c r="BR717" s="387">
        <f t="shared" si="498"/>
        <v>0</v>
      </c>
      <c r="BS717" s="387">
        <f t="shared" si="499"/>
        <v>0</v>
      </c>
      <c r="BT717" s="387">
        <f t="shared" si="500"/>
        <v>0</v>
      </c>
      <c r="BU717" s="387">
        <f t="shared" si="501"/>
        <v>0</v>
      </c>
      <c r="BV717" s="387">
        <f t="shared" si="502"/>
        <v>0</v>
      </c>
      <c r="BW717" s="387">
        <f t="shared" si="503"/>
        <v>0</v>
      </c>
      <c r="BX717" s="387">
        <f t="shared" si="518"/>
        <v>0</v>
      </c>
      <c r="BY717" s="387">
        <f t="shared" si="519"/>
        <v>0</v>
      </c>
      <c r="BZ717" s="387">
        <f t="shared" si="520"/>
        <v>0</v>
      </c>
      <c r="CA717" s="387">
        <f t="shared" si="521"/>
        <v>0</v>
      </c>
      <c r="CB717" s="387">
        <f t="shared" si="522"/>
        <v>0</v>
      </c>
      <c r="CC717" s="387">
        <f t="shared" si="504"/>
        <v>0</v>
      </c>
      <c r="CD717" s="387">
        <f t="shared" si="505"/>
        <v>0</v>
      </c>
      <c r="CE717" s="387">
        <f t="shared" si="506"/>
        <v>0</v>
      </c>
      <c r="CF717" s="387">
        <f t="shared" si="507"/>
        <v>0</v>
      </c>
      <c r="CG717" s="387">
        <f t="shared" si="508"/>
        <v>0</v>
      </c>
      <c r="CH717" s="387">
        <f t="shared" si="509"/>
        <v>0</v>
      </c>
      <c r="CI717" s="387">
        <f t="shared" si="510"/>
        <v>0</v>
      </c>
      <c r="CJ717" s="387">
        <f t="shared" si="523"/>
        <v>0</v>
      </c>
      <c r="CK717" s="387" t="str">
        <f t="shared" si="524"/>
        <v/>
      </c>
      <c r="CL717" s="387" t="str">
        <f t="shared" si="525"/>
        <v/>
      </c>
      <c r="CM717" s="387" t="str">
        <f t="shared" si="526"/>
        <v/>
      </c>
      <c r="CN717" s="387" t="str">
        <f t="shared" si="527"/>
        <v>0349-31</v>
      </c>
    </row>
    <row r="718" spans="1:92" ht="15.75" thickBot="1" x14ac:dyDescent="0.3">
      <c r="A718" s="376" t="s">
        <v>161</v>
      </c>
      <c r="B718" s="376" t="s">
        <v>162</v>
      </c>
      <c r="C718" s="376" t="s">
        <v>318</v>
      </c>
      <c r="D718" s="376" t="s">
        <v>319</v>
      </c>
      <c r="E718" s="376" t="s">
        <v>669</v>
      </c>
      <c r="F718" s="382" t="s">
        <v>225</v>
      </c>
      <c r="G718" s="376" t="s">
        <v>781</v>
      </c>
      <c r="H718" s="378"/>
      <c r="I718" s="378"/>
      <c r="J718" s="376" t="s">
        <v>168</v>
      </c>
      <c r="K718" s="376" t="s">
        <v>320</v>
      </c>
      <c r="L718" s="376" t="s">
        <v>178</v>
      </c>
      <c r="M718" s="376" t="s">
        <v>171</v>
      </c>
      <c r="N718" s="376" t="s">
        <v>172</v>
      </c>
      <c r="O718" s="379">
        <v>1</v>
      </c>
      <c r="P718" s="385">
        <v>0</v>
      </c>
      <c r="Q718" s="385">
        <v>0</v>
      </c>
      <c r="R718" s="380">
        <v>80</v>
      </c>
      <c r="S718" s="385">
        <v>0</v>
      </c>
      <c r="T718" s="380">
        <v>46.33</v>
      </c>
      <c r="U718" s="380">
        <v>0</v>
      </c>
      <c r="V718" s="380">
        <v>10.119999999999999</v>
      </c>
      <c r="W718" s="380">
        <v>0</v>
      </c>
      <c r="X718" s="380">
        <v>0</v>
      </c>
      <c r="Y718" s="380">
        <v>0</v>
      </c>
      <c r="Z718" s="380">
        <v>0</v>
      </c>
      <c r="AA718" s="376" t="s">
        <v>321</v>
      </c>
      <c r="AB718" s="376" t="s">
        <v>322</v>
      </c>
      <c r="AC718" s="376" t="s">
        <v>323</v>
      </c>
      <c r="AD718" s="376" t="s">
        <v>324</v>
      </c>
      <c r="AE718" s="376" t="s">
        <v>320</v>
      </c>
      <c r="AF718" s="376" t="s">
        <v>253</v>
      </c>
      <c r="AG718" s="376" t="s">
        <v>178</v>
      </c>
      <c r="AH718" s="381">
        <v>18.579999999999998</v>
      </c>
      <c r="AI718" s="381">
        <v>39867.300000000003</v>
      </c>
      <c r="AJ718" s="376" t="s">
        <v>179</v>
      </c>
      <c r="AK718" s="376" t="s">
        <v>180</v>
      </c>
      <c r="AL718" s="376" t="s">
        <v>181</v>
      </c>
      <c r="AM718" s="376" t="s">
        <v>182</v>
      </c>
      <c r="AN718" s="376" t="s">
        <v>68</v>
      </c>
      <c r="AO718" s="379">
        <v>80</v>
      </c>
      <c r="AP718" s="385">
        <v>1</v>
      </c>
      <c r="AQ718" s="385">
        <v>0</v>
      </c>
      <c r="AR718" s="383" t="s">
        <v>183</v>
      </c>
      <c r="AS718" s="387">
        <f t="shared" si="511"/>
        <v>0</v>
      </c>
      <c r="AT718">
        <f t="shared" si="512"/>
        <v>0</v>
      </c>
      <c r="AU718" s="387" t="str">
        <f>IF(AT718=0,"",IF(AND(AT718=1,M718="F",SUMIF(C2:C1334,C718,AS2:AS1334)&lt;=1),SUMIF(C2:C1334,C718,AS2:AS1334),IF(AND(AT718=1,M718="F",SUMIF(C2:C1334,C718,AS2:AS1334)&gt;1),1,"")))</f>
        <v/>
      </c>
      <c r="AV718" s="387" t="str">
        <f>IF(AT718=0,"",IF(AND(AT718=3,M718="F",SUMIF(C2:C1334,C718,AS2:AS1334)&lt;=1),SUMIF(C2:C1334,C718,AS2:AS1334),IF(AND(AT718=3,M718="F",SUMIF(C2:C1334,C718,AS2:AS1334)&gt;1),1,"")))</f>
        <v/>
      </c>
      <c r="AW718" s="387">
        <f>SUMIF(C2:C1334,C718,O2:O1334)</f>
        <v>5</v>
      </c>
      <c r="AX718" s="387">
        <f>IF(AND(M718="F",AS718&lt;&gt;0),SUMIF(C2:C1334,C718,W2:W1334),0)</f>
        <v>0</v>
      </c>
      <c r="AY718" s="387" t="str">
        <f t="shared" si="513"/>
        <v/>
      </c>
      <c r="AZ718" s="387" t="str">
        <f t="shared" si="514"/>
        <v/>
      </c>
      <c r="BA718" s="387">
        <f t="shared" si="515"/>
        <v>0</v>
      </c>
      <c r="BB718" s="387">
        <f t="shared" si="484"/>
        <v>0</v>
      </c>
      <c r="BC718" s="387">
        <f t="shared" si="485"/>
        <v>0</v>
      </c>
      <c r="BD718" s="387">
        <f t="shared" si="486"/>
        <v>0</v>
      </c>
      <c r="BE718" s="387">
        <f t="shared" si="487"/>
        <v>0</v>
      </c>
      <c r="BF718" s="387">
        <f t="shared" si="488"/>
        <v>0</v>
      </c>
      <c r="BG718" s="387">
        <f t="shared" si="489"/>
        <v>0</v>
      </c>
      <c r="BH718" s="387">
        <f t="shared" si="490"/>
        <v>0</v>
      </c>
      <c r="BI718" s="387">
        <f t="shared" si="491"/>
        <v>0</v>
      </c>
      <c r="BJ718" s="387">
        <f t="shared" si="492"/>
        <v>0</v>
      </c>
      <c r="BK718" s="387">
        <f t="shared" si="493"/>
        <v>0</v>
      </c>
      <c r="BL718" s="387">
        <f t="shared" si="516"/>
        <v>0</v>
      </c>
      <c r="BM718" s="387">
        <f t="shared" si="517"/>
        <v>0</v>
      </c>
      <c r="BN718" s="387">
        <f t="shared" si="494"/>
        <v>0</v>
      </c>
      <c r="BO718" s="387">
        <f t="shared" si="495"/>
        <v>0</v>
      </c>
      <c r="BP718" s="387">
        <f t="shared" si="496"/>
        <v>0</v>
      </c>
      <c r="BQ718" s="387">
        <f t="shared" si="497"/>
        <v>0</v>
      </c>
      <c r="BR718" s="387">
        <f t="shared" si="498"/>
        <v>0</v>
      </c>
      <c r="BS718" s="387">
        <f t="shared" si="499"/>
        <v>0</v>
      </c>
      <c r="BT718" s="387">
        <f t="shared" si="500"/>
        <v>0</v>
      </c>
      <c r="BU718" s="387">
        <f t="shared" si="501"/>
        <v>0</v>
      </c>
      <c r="BV718" s="387">
        <f t="shared" si="502"/>
        <v>0</v>
      </c>
      <c r="BW718" s="387">
        <f t="shared" si="503"/>
        <v>0</v>
      </c>
      <c r="BX718" s="387">
        <f t="shared" si="518"/>
        <v>0</v>
      </c>
      <c r="BY718" s="387">
        <f t="shared" si="519"/>
        <v>0</v>
      </c>
      <c r="BZ718" s="387">
        <f t="shared" si="520"/>
        <v>0</v>
      </c>
      <c r="CA718" s="387">
        <f t="shared" si="521"/>
        <v>0</v>
      </c>
      <c r="CB718" s="387">
        <f t="shared" si="522"/>
        <v>0</v>
      </c>
      <c r="CC718" s="387">
        <f t="shared" si="504"/>
        <v>0</v>
      </c>
      <c r="CD718" s="387">
        <f t="shared" si="505"/>
        <v>0</v>
      </c>
      <c r="CE718" s="387">
        <f t="shared" si="506"/>
        <v>0</v>
      </c>
      <c r="CF718" s="387">
        <f t="shared" si="507"/>
        <v>0</v>
      </c>
      <c r="CG718" s="387">
        <f t="shared" si="508"/>
        <v>0</v>
      </c>
      <c r="CH718" s="387">
        <f t="shared" si="509"/>
        <v>0</v>
      </c>
      <c r="CI718" s="387">
        <f t="shared" si="510"/>
        <v>0</v>
      </c>
      <c r="CJ718" s="387">
        <f t="shared" si="523"/>
        <v>0</v>
      </c>
      <c r="CK718" s="387" t="str">
        <f t="shared" si="524"/>
        <v/>
      </c>
      <c r="CL718" s="387" t="str">
        <f t="shared" si="525"/>
        <v/>
      </c>
      <c r="CM718" s="387" t="str">
        <f t="shared" si="526"/>
        <v/>
      </c>
      <c r="CN718" s="387" t="str">
        <f t="shared" si="527"/>
        <v>0349-31</v>
      </c>
    </row>
    <row r="719" spans="1:92" ht="15.75" thickBot="1" x14ac:dyDescent="0.3">
      <c r="A719" s="376" t="s">
        <v>161</v>
      </c>
      <c r="B719" s="376" t="s">
        <v>162</v>
      </c>
      <c r="C719" s="376" t="s">
        <v>1723</v>
      </c>
      <c r="D719" s="376" t="s">
        <v>792</v>
      </c>
      <c r="E719" s="376" t="s">
        <v>669</v>
      </c>
      <c r="F719" s="382" t="s">
        <v>225</v>
      </c>
      <c r="G719" s="376" t="s">
        <v>781</v>
      </c>
      <c r="H719" s="378"/>
      <c r="I719" s="378"/>
      <c r="J719" s="376" t="s">
        <v>239</v>
      </c>
      <c r="K719" s="376" t="s">
        <v>793</v>
      </c>
      <c r="L719" s="376" t="s">
        <v>170</v>
      </c>
      <c r="M719" s="376" t="s">
        <v>171</v>
      </c>
      <c r="N719" s="376" t="s">
        <v>172</v>
      </c>
      <c r="O719" s="379">
        <v>1</v>
      </c>
      <c r="P719" s="385">
        <v>0</v>
      </c>
      <c r="Q719" s="385">
        <v>0</v>
      </c>
      <c r="R719" s="380">
        <v>80</v>
      </c>
      <c r="S719" s="385">
        <v>0</v>
      </c>
      <c r="T719" s="380">
        <v>217.38</v>
      </c>
      <c r="U719" s="380">
        <v>0</v>
      </c>
      <c r="V719" s="380">
        <v>68.22</v>
      </c>
      <c r="W719" s="380">
        <v>0</v>
      </c>
      <c r="X719" s="380">
        <v>0</v>
      </c>
      <c r="Y719" s="380">
        <v>0</v>
      </c>
      <c r="Z719" s="380">
        <v>0</v>
      </c>
      <c r="AA719" s="376" t="s">
        <v>1724</v>
      </c>
      <c r="AB719" s="376" t="s">
        <v>1725</v>
      </c>
      <c r="AC719" s="376" t="s">
        <v>1726</v>
      </c>
      <c r="AD719" s="376" t="s">
        <v>324</v>
      </c>
      <c r="AE719" s="376" t="s">
        <v>793</v>
      </c>
      <c r="AF719" s="376" t="s">
        <v>177</v>
      </c>
      <c r="AG719" s="376" t="s">
        <v>178</v>
      </c>
      <c r="AH719" s="381">
        <v>31.47</v>
      </c>
      <c r="AI719" s="379">
        <v>60469</v>
      </c>
      <c r="AJ719" s="376" t="s">
        <v>179</v>
      </c>
      <c r="AK719" s="376" t="s">
        <v>180</v>
      </c>
      <c r="AL719" s="376" t="s">
        <v>181</v>
      </c>
      <c r="AM719" s="376" t="s">
        <v>182</v>
      </c>
      <c r="AN719" s="376" t="s">
        <v>68</v>
      </c>
      <c r="AO719" s="379">
        <v>80</v>
      </c>
      <c r="AP719" s="385">
        <v>1</v>
      </c>
      <c r="AQ719" s="385">
        <v>0</v>
      </c>
      <c r="AR719" s="383" t="s">
        <v>183</v>
      </c>
      <c r="AS719" s="387">
        <f t="shared" si="511"/>
        <v>0</v>
      </c>
      <c r="AT719">
        <f t="shared" si="512"/>
        <v>0</v>
      </c>
      <c r="AU719" s="387" t="str">
        <f>IF(AT719=0,"",IF(AND(AT719=1,M719="F",SUMIF(C2:C1334,C719,AS2:AS1334)&lt;=1),SUMIF(C2:C1334,C719,AS2:AS1334),IF(AND(AT719=1,M719="F",SUMIF(C2:C1334,C719,AS2:AS1334)&gt;1),1,"")))</f>
        <v/>
      </c>
      <c r="AV719" s="387" t="str">
        <f>IF(AT719=0,"",IF(AND(AT719=3,M719="F",SUMIF(C2:C1334,C719,AS2:AS1334)&lt;=1),SUMIF(C2:C1334,C719,AS2:AS1334),IF(AND(AT719=3,M719="F",SUMIF(C2:C1334,C719,AS2:AS1334)&gt;1),1,"")))</f>
        <v/>
      </c>
      <c r="AW719" s="387">
        <f>SUMIF(C2:C1334,C719,O2:O1334)</f>
        <v>3</v>
      </c>
      <c r="AX719" s="387">
        <f>IF(AND(M719="F",AS719&lt;&gt;0),SUMIF(C2:C1334,C719,W2:W1334),0)</f>
        <v>0</v>
      </c>
      <c r="AY719" s="387" t="str">
        <f t="shared" si="513"/>
        <v/>
      </c>
      <c r="AZ719" s="387" t="str">
        <f t="shared" si="514"/>
        <v/>
      </c>
      <c r="BA719" s="387">
        <f t="shared" si="515"/>
        <v>0</v>
      </c>
      <c r="BB719" s="387">
        <f t="shared" si="484"/>
        <v>0</v>
      </c>
      <c r="BC719" s="387">
        <f t="shared" si="485"/>
        <v>0</v>
      </c>
      <c r="BD719" s="387">
        <f t="shared" si="486"/>
        <v>0</v>
      </c>
      <c r="BE719" s="387">
        <f t="shared" si="487"/>
        <v>0</v>
      </c>
      <c r="BF719" s="387">
        <f t="shared" si="488"/>
        <v>0</v>
      </c>
      <c r="BG719" s="387">
        <f t="shared" si="489"/>
        <v>0</v>
      </c>
      <c r="BH719" s="387">
        <f t="shared" si="490"/>
        <v>0</v>
      </c>
      <c r="BI719" s="387">
        <f t="shared" si="491"/>
        <v>0</v>
      </c>
      <c r="BJ719" s="387">
        <f t="shared" si="492"/>
        <v>0</v>
      </c>
      <c r="BK719" s="387">
        <f t="shared" si="493"/>
        <v>0</v>
      </c>
      <c r="BL719" s="387">
        <f t="shared" si="516"/>
        <v>0</v>
      </c>
      <c r="BM719" s="387">
        <f t="shared" si="517"/>
        <v>0</v>
      </c>
      <c r="BN719" s="387">
        <f t="shared" si="494"/>
        <v>0</v>
      </c>
      <c r="BO719" s="387">
        <f t="shared" si="495"/>
        <v>0</v>
      </c>
      <c r="BP719" s="387">
        <f t="shared" si="496"/>
        <v>0</v>
      </c>
      <c r="BQ719" s="387">
        <f t="shared" si="497"/>
        <v>0</v>
      </c>
      <c r="BR719" s="387">
        <f t="shared" si="498"/>
        <v>0</v>
      </c>
      <c r="BS719" s="387">
        <f t="shared" si="499"/>
        <v>0</v>
      </c>
      <c r="BT719" s="387">
        <f t="shared" si="500"/>
        <v>0</v>
      </c>
      <c r="BU719" s="387">
        <f t="shared" si="501"/>
        <v>0</v>
      </c>
      <c r="BV719" s="387">
        <f t="shared" si="502"/>
        <v>0</v>
      </c>
      <c r="BW719" s="387">
        <f t="shared" si="503"/>
        <v>0</v>
      </c>
      <c r="BX719" s="387">
        <f t="shared" si="518"/>
        <v>0</v>
      </c>
      <c r="BY719" s="387">
        <f t="shared" si="519"/>
        <v>0</v>
      </c>
      <c r="BZ719" s="387">
        <f t="shared" si="520"/>
        <v>0</v>
      </c>
      <c r="CA719" s="387">
        <f t="shared" si="521"/>
        <v>0</v>
      </c>
      <c r="CB719" s="387">
        <f t="shared" si="522"/>
        <v>0</v>
      </c>
      <c r="CC719" s="387">
        <f t="shared" si="504"/>
        <v>0</v>
      </c>
      <c r="CD719" s="387">
        <f t="shared" si="505"/>
        <v>0</v>
      </c>
      <c r="CE719" s="387">
        <f t="shared" si="506"/>
        <v>0</v>
      </c>
      <c r="CF719" s="387">
        <f t="shared" si="507"/>
        <v>0</v>
      </c>
      <c r="CG719" s="387">
        <f t="shared" si="508"/>
        <v>0</v>
      </c>
      <c r="CH719" s="387">
        <f t="shared" si="509"/>
        <v>0</v>
      </c>
      <c r="CI719" s="387">
        <f t="shared" si="510"/>
        <v>0</v>
      </c>
      <c r="CJ719" s="387">
        <f t="shared" si="523"/>
        <v>0</v>
      </c>
      <c r="CK719" s="387" t="str">
        <f t="shared" si="524"/>
        <v/>
      </c>
      <c r="CL719" s="387" t="str">
        <f t="shared" si="525"/>
        <v/>
      </c>
      <c r="CM719" s="387" t="str">
        <f t="shared" si="526"/>
        <v/>
      </c>
      <c r="CN719" s="387" t="str">
        <f t="shared" si="527"/>
        <v>0349-31</v>
      </c>
    </row>
    <row r="720" spans="1:92" ht="15.75" thickBot="1" x14ac:dyDescent="0.3">
      <c r="A720" s="376" t="s">
        <v>161</v>
      </c>
      <c r="B720" s="376" t="s">
        <v>162</v>
      </c>
      <c r="C720" s="376" t="s">
        <v>848</v>
      </c>
      <c r="D720" s="376" t="s">
        <v>792</v>
      </c>
      <c r="E720" s="376" t="s">
        <v>669</v>
      </c>
      <c r="F720" s="382" t="s">
        <v>225</v>
      </c>
      <c r="G720" s="376" t="s">
        <v>781</v>
      </c>
      <c r="H720" s="378"/>
      <c r="I720" s="378"/>
      <c r="J720" s="376" t="s">
        <v>168</v>
      </c>
      <c r="K720" s="376" t="s">
        <v>793</v>
      </c>
      <c r="L720" s="376" t="s">
        <v>170</v>
      </c>
      <c r="M720" s="376" t="s">
        <v>171</v>
      </c>
      <c r="N720" s="376" t="s">
        <v>172</v>
      </c>
      <c r="O720" s="379">
        <v>1</v>
      </c>
      <c r="P720" s="385">
        <v>0</v>
      </c>
      <c r="Q720" s="385">
        <v>0</v>
      </c>
      <c r="R720" s="380">
        <v>80</v>
      </c>
      <c r="S720" s="385">
        <v>0</v>
      </c>
      <c r="T720" s="380">
        <v>184.13</v>
      </c>
      <c r="U720" s="380">
        <v>0</v>
      </c>
      <c r="V720" s="380">
        <v>77.19</v>
      </c>
      <c r="W720" s="380">
        <v>0</v>
      </c>
      <c r="X720" s="380">
        <v>0</v>
      </c>
      <c r="Y720" s="380">
        <v>0</v>
      </c>
      <c r="Z720" s="380">
        <v>0</v>
      </c>
      <c r="AA720" s="376" t="s">
        <v>849</v>
      </c>
      <c r="AB720" s="376" t="s">
        <v>850</v>
      </c>
      <c r="AC720" s="376" t="s">
        <v>851</v>
      </c>
      <c r="AD720" s="376" t="s">
        <v>279</v>
      </c>
      <c r="AE720" s="376" t="s">
        <v>793</v>
      </c>
      <c r="AF720" s="376" t="s">
        <v>177</v>
      </c>
      <c r="AG720" s="376" t="s">
        <v>178</v>
      </c>
      <c r="AH720" s="381">
        <v>23.24</v>
      </c>
      <c r="AI720" s="381">
        <v>19019.400000000001</v>
      </c>
      <c r="AJ720" s="376" t="s">
        <v>179</v>
      </c>
      <c r="AK720" s="376" t="s">
        <v>180</v>
      </c>
      <c r="AL720" s="376" t="s">
        <v>181</v>
      </c>
      <c r="AM720" s="376" t="s">
        <v>182</v>
      </c>
      <c r="AN720" s="376" t="s">
        <v>68</v>
      </c>
      <c r="AO720" s="379">
        <v>80</v>
      </c>
      <c r="AP720" s="385">
        <v>1</v>
      </c>
      <c r="AQ720" s="385">
        <v>0</v>
      </c>
      <c r="AR720" s="383" t="s">
        <v>183</v>
      </c>
      <c r="AS720" s="387">
        <f t="shared" si="511"/>
        <v>0</v>
      </c>
      <c r="AT720">
        <f t="shared" si="512"/>
        <v>0</v>
      </c>
      <c r="AU720" s="387" t="str">
        <f>IF(AT720=0,"",IF(AND(AT720=1,M720="F",SUMIF(C2:C1334,C720,AS2:AS1334)&lt;=1),SUMIF(C2:C1334,C720,AS2:AS1334),IF(AND(AT720=1,M720="F",SUMIF(C2:C1334,C720,AS2:AS1334)&gt;1),1,"")))</f>
        <v/>
      </c>
      <c r="AV720" s="387" t="str">
        <f>IF(AT720=0,"",IF(AND(AT720=3,M720="F",SUMIF(C2:C1334,C720,AS2:AS1334)&lt;=1),SUMIF(C2:C1334,C720,AS2:AS1334),IF(AND(AT720=3,M720="F",SUMIF(C2:C1334,C720,AS2:AS1334)&gt;1),1,"")))</f>
        <v/>
      </c>
      <c r="AW720" s="387">
        <f>SUMIF(C2:C1334,C720,O2:O1334)</f>
        <v>4</v>
      </c>
      <c r="AX720" s="387">
        <f>IF(AND(M720="F",AS720&lt;&gt;0),SUMIF(C2:C1334,C720,W2:W1334),0)</f>
        <v>0</v>
      </c>
      <c r="AY720" s="387" t="str">
        <f t="shared" si="513"/>
        <v/>
      </c>
      <c r="AZ720" s="387" t="str">
        <f t="shared" si="514"/>
        <v/>
      </c>
      <c r="BA720" s="387">
        <f t="shared" si="515"/>
        <v>0</v>
      </c>
      <c r="BB720" s="387">
        <f t="shared" si="484"/>
        <v>0</v>
      </c>
      <c r="BC720" s="387">
        <f t="shared" si="485"/>
        <v>0</v>
      </c>
      <c r="BD720" s="387">
        <f t="shared" si="486"/>
        <v>0</v>
      </c>
      <c r="BE720" s="387">
        <f t="shared" si="487"/>
        <v>0</v>
      </c>
      <c r="BF720" s="387">
        <f t="shared" si="488"/>
        <v>0</v>
      </c>
      <c r="BG720" s="387">
        <f t="shared" si="489"/>
        <v>0</v>
      </c>
      <c r="BH720" s="387">
        <f t="shared" si="490"/>
        <v>0</v>
      </c>
      <c r="BI720" s="387">
        <f t="shared" si="491"/>
        <v>0</v>
      </c>
      <c r="BJ720" s="387">
        <f t="shared" si="492"/>
        <v>0</v>
      </c>
      <c r="BK720" s="387">
        <f t="shared" si="493"/>
        <v>0</v>
      </c>
      <c r="BL720" s="387">
        <f t="shared" si="516"/>
        <v>0</v>
      </c>
      <c r="BM720" s="387">
        <f t="shared" si="517"/>
        <v>0</v>
      </c>
      <c r="BN720" s="387">
        <f t="shared" si="494"/>
        <v>0</v>
      </c>
      <c r="BO720" s="387">
        <f t="shared" si="495"/>
        <v>0</v>
      </c>
      <c r="BP720" s="387">
        <f t="shared" si="496"/>
        <v>0</v>
      </c>
      <c r="BQ720" s="387">
        <f t="shared" si="497"/>
        <v>0</v>
      </c>
      <c r="BR720" s="387">
        <f t="shared" si="498"/>
        <v>0</v>
      </c>
      <c r="BS720" s="387">
        <f t="shared" si="499"/>
        <v>0</v>
      </c>
      <c r="BT720" s="387">
        <f t="shared" si="500"/>
        <v>0</v>
      </c>
      <c r="BU720" s="387">
        <f t="shared" si="501"/>
        <v>0</v>
      </c>
      <c r="BV720" s="387">
        <f t="shared" si="502"/>
        <v>0</v>
      </c>
      <c r="BW720" s="387">
        <f t="shared" si="503"/>
        <v>0</v>
      </c>
      <c r="BX720" s="387">
        <f t="shared" si="518"/>
        <v>0</v>
      </c>
      <c r="BY720" s="387">
        <f t="shared" si="519"/>
        <v>0</v>
      </c>
      <c r="BZ720" s="387">
        <f t="shared" si="520"/>
        <v>0</v>
      </c>
      <c r="CA720" s="387">
        <f t="shared" si="521"/>
        <v>0</v>
      </c>
      <c r="CB720" s="387">
        <f t="shared" si="522"/>
        <v>0</v>
      </c>
      <c r="CC720" s="387">
        <f t="shared" si="504"/>
        <v>0</v>
      </c>
      <c r="CD720" s="387">
        <f t="shared" si="505"/>
        <v>0</v>
      </c>
      <c r="CE720" s="387">
        <f t="shared" si="506"/>
        <v>0</v>
      </c>
      <c r="CF720" s="387">
        <f t="shared" si="507"/>
        <v>0</v>
      </c>
      <c r="CG720" s="387">
        <f t="shared" si="508"/>
        <v>0</v>
      </c>
      <c r="CH720" s="387">
        <f t="shared" si="509"/>
        <v>0</v>
      </c>
      <c r="CI720" s="387">
        <f t="shared" si="510"/>
        <v>0</v>
      </c>
      <c r="CJ720" s="387">
        <f t="shared" si="523"/>
        <v>0</v>
      </c>
      <c r="CK720" s="387" t="str">
        <f t="shared" si="524"/>
        <v/>
      </c>
      <c r="CL720" s="387" t="str">
        <f t="shared" si="525"/>
        <v/>
      </c>
      <c r="CM720" s="387" t="str">
        <f t="shared" si="526"/>
        <v/>
      </c>
      <c r="CN720" s="387" t="str">
        <f t="shared" si="527"/>
        <v>0349-31</v>
      </c>
    </row>
    <row r="721" spans="1:92" ht="15.75" thickBot="1" x14ac:dyDescent="0.3">
      <c r="A721" s="376" t="s">
        <v>161</v>
      </c>
      <c r="B721" s="376" t="s">
        <v>162</v>
      </c>
      <c r="C721" s="376" t="s">
        <v>1915</v>
      </c>
      <c r="D721" s="376" t="s">
        <v>862</v>
      </c>
      <c r="E721" s="376" t="s">
        <v>669</v>
      </c>
      <c r="F721" s="382" t="s">
        <v>225</v>
      </c>
      <c r="G721" s="376" t="s">
        <v>781</v>
      </c>
      <c r="H721" s="378"/>
      <c r="I721" s="378"/>
      <c r="J721" s="376" t="s">
        <v>168</v>
      </c>
      <c r="K721" s="376" t="s">
        <v>863</v>
      </c>
      <c r="L721" s="376" t="s">
        <v>252</v>
      </c>
      <c r="M721" s="376" t="s">
        <v>171</v>
      </c>
      <c r="N721" s="376" t="s">
        <v>172</v>
      </c>
      <c r="O721" s="379">
        <v>1</v>
      </c>
      <c r="P721" s="385">
        <v>0</v>
      </c>
      <c r="Q721" s="385">
        <v>0</v>
      </c>
      <c r="R721" s="380">
        <v>80</v>
      </c>
      <c r="S721" s="385">
        <v>0</v>
      </c>
      <c r="T721" s="380">
        <v>189.92</v>
      </c>
      <c r="U721" s="380">
        <v>0</v>
      </c>
      <c r="V721" s="380">
        <v>84.81</v>
      </c>
      <c r="W721" s="380">
        <v>0</v>
      </c>
      <c r="X721" s="380">
        <v>0</v>
      </c>
      <c r="Y721" s="380">
        <v>0</v>
      </c>
      <c r="Z721" s="380">
        <v>0</v>
      </c>
      <c r="AA721" s="376" t="s">
        <v>1916</v>
      </c>
      <c r="AB721" s="376" t="s">
        <v>1591</v>
      </c>
      <c r="AC721" s="376" t="s">
        <v>260</v>
      </c>
      <c r="AD721" s="376" t="s">
        <v>1917</v>
      </c>
      <c r="AE721" s="376" t="s">
        <v>863</v>
      </c>
      <c r="AF721" s="376" t="s">
        <v>393</v>
      </c>
      <c r="AG721" s="376" t="s">
        <v>178</v>
      </c>
      <c r="AH721" s="381">
        <v>24.4</v>
      </c>
      <c r="AI721" s="381">
        <v>42023.199999999997</v>
      </c>
      <c r="AJ721" s="376" t="s">
        <v>179</v>
      </c>
      <c r="AK721" s="376" t="s">
        <v>180</v>
      </c>
      <c r="AL721" s="376" t="s">
        <v>181</v>
      </c>
      <c r="AM721" s="376" t="s">
        <v>182</v>
      </c>
      <c r="AN721" s="376" t="s">
        <v>68</v>
      </c>
      <c r="AO721" s="379">
        <v>80</v>
      </c>
      <c r="AP721" s="385">
        <v>1</v>
      </c>
      <c r="AQ721" s="385">
        <v>0</v>
      </c>
      <c r="AR721" s="383" t="s">
        <v>183</v>
      </c>
      <c r="AS721" s="387">
        <f t="shared" si="511"/>
        <v>0</v>
      </c>
      <c r="AT721">
        <f t="shared" si="512"/>
        <v>0</v>
      </c>
      <c r="AU721" s="387" t="str">
        <f>IF(AT721=0,"",IF(AND(AT721=1,M721="F",SUMIF(C2:C1334,C721,AS2:AS1334)&lt;=1),SUMIF(C2:C1334,C721,AS2:AS1334),IF(AND(AT721=1,M721="F",SUMIF(C2:C1334,C721,AS2:AS1334)&gt;1),1,"")))</f>
        <v/>
      </c>
      <c r="AV721" s="387" t="str">
        <f>IF(AT721=0,"",IF(AND(AT721=3,M721="F",SUMIF(C2:C1334,C721,AS2:AS1334)&lt;=1),SUMIF(C2:C1334,C721,AS2:AS1334),IF(AND(AT721=3,M721="F",SUMIF(C2:C1334,C721,AS2:AS1334)&gt;1),1,"")))</f>
        <v/>
      </c>
      <c r="AW721" s="387">
        <f>SUMIF(C2:C1334,C721,O2:O1334)</f>
        <v>3</v>
      </c>
      <c r="AX721" s="387">
        <f>IF(AND(M721="F",AS721&lt;&gt;0),SUMIF(C2:C1334,C721,W2:W1334),0)</f>
        <v>0</v>
      </c>
      <c r="AY721" s="387" t="str">
        <f t="shared" si="513"/>
        <v/>
      </c>
      <c r="AZ721" s="387" t="str">
        <f t="shared" si="514"/>
        <v/>
      </c>
      <c r="BA721" s="387">
        <f t="shared" si="515"/>
        <v>0</v>
      </c>
      <c r="BB721" s="387">
        <f t="shared" si="484"/>
        <v>0</v>
      </c>
      <c r="BC721" s="387">
        <f t="shared" si="485"/>
        <v>0</v>
      </c>
      <c r="BD721" s="387">
        <f t="shared" si="486"/>
        <v>0</v>
      </c>
      <c r="BE721" s="387">
        <f t="shared" si="487"/>
        <v>0</v>
      </c>
      <c r="BF721" s="387">
        <f t="shared" si="488"/>
        <v>0</v>
      </c>
      <c r="BG721" s="387">
        <f t="shared" si="489"/>
        <v>0</v>
      </c>
      <c r="BH721" s="387">
        <f t="shared" si="490"/>
        <v>0</v>
      </c>
      <c r="BI721" s="387">
        <f t="shared" si="491"/>
        <v>0</v>
      </c>
      <c r="BJ721" s="387">
        <f t="shared" si="492"/>
        <v>0</v>
      </c>
      <c r="BK721" s="387">
        <f t="shared" si="493"/>
        <v>0</v>
      </c>
      <c r="BL721" s="387">
        <f t="shared" si="516"/>
        <v>0</v>
      </c>
      <c r="BM721" s="387">
        <f t="shared" si="517"/>
        <v>0</v>
      </c>
      <c r="BN721" s="387">
        <f t="shared" si="494"/>
        <v>0</v>
      </c>
      <c r="BO721" s="387">
        <f t="shared" si="495"/>
        <v>0</v>
      </c>
      <c r="BP721" s="387">
        <f t="shared" si="496"/>
        <v>0</v>
      </c>
      <c r="BQ721" s="387">
        <f t="shared" si="497"/>
        <v>0</v>
      </c>
      <c r="BR721" s="387">
        <f t="shared" si="498"/>
        <v>0</v>
      </c>
      <c r="BS721" s="387">
        <f t="shared" si="499"/>
        <v>0</v>
      </c>
      <c r="BT721" s="387">
        <f t="shared" si="500"/>
        <v>0</v>
      </c>
      <c r="BU721" s="387">
        <f t="shared" si="501"/>
        <v>0</v>
      </c>
      <c r="BV721" s="387">
        <f t="shared" si="502"/>
        <v>0</v>
      </c>
      <c r="BW721" s="387">
        <f t="shared" si="503"/>
        <v>0</v>
      </c>
      <c r="BX721" s="387">
        <f t="shared" si="518"/>
        <v>0</v>
      </c>
      <c r="BY721" s="387">
        <f t="shared" si="519"/>
        <v>0</v>
      </c>
      <c r="BZ721" s="387">
        <f t="shared" si="520"/>
        <v>0</v>
      </c>
      <c r="CA721" s="387">
        <f t="shared" si="521"/>
        <v>0</v>
      </c>
      <c r="CB721" s="387">
        <f t="shared" si="522"/>
        <v>0</v>
      </c>
      <c r="CC721" s="387">
        <f t="shared" si="504"/>
        <v>0</v>
      </c>
      <c r="CD721" s="387">
        <f t="shared" si="505"/>
        <v>0</v>
      </c>
      <c r="CE721" s="387">
        <f t="shared" si="506"/>
        <v>0</v>
      </c>
      <c r="CF721" s="387">
        <f t="shared" si="507"/>
        <v>0</v>
      </c>
      <c r="CG721" s="387">
        <f t="shared" si="508"/>
        <v>0</v>
      </c>
      <c r="CH721" s="387">
        <f t="shared" si="509"/>
        <v>0</v>
      </c>
      <c r="CI721" s="387">
        <f t="shared" si="510"/>
        <v>0</v>
      </c>
      <c r="CJ721" s="387">
        <f t="shared" si="523"/>
        <v>0</v>
      </c>
      <c r="CK721" s="387" t="str">
        <f t="shared" si="524"/>
        <v/>
      </c>
      <c r="CL721" s="387" t="str">
        <f t="shared" si="525"/>
        <v/>
      </c>
      <c r="CM721" s="387" t="str">
        <f t="shared" si="526"/>
        <v/>
      </c>
      <c r="CN721" s="387" t="str">
        <f t="shared" si="527"/>
        <v>0349-31</v>
      </c>
    </row>
    <row r="722" spans="1:92" ht="15.75" thickBot="1" x14ac:dyDescent="0.3">
      <c r="A722" s="376" t="s">
        <v>161</v>
      </c>
      <c r="B722" s="376" t="s">
        <v>162</v>
      </c>
      <c r="C722" s="376" t="s">
        <v>342</v>
      </c>
      <c r="D722" s="376" t="s">
        <v>238</v>
      </c>
      <c r="E722" s="376" t="s">
        <v>669</v>
      </c>
      <c r="F722" s="382" t="s">
        <v>225</v>
      </c>
      <c r="G722" s="376" t="s">
        <v>781</v>
      </c>
      <c r="H722" s="378"/>
      <c r="I722" s="378"/>
      <c r="J722" s="376" t="s">
        <v>215</v>
      </c>
      <c r="K722" s="376" t="s">
        <v>343</v>
      </c>
      <c r="L722" s="376" t="s">
        <v>296</v>
      </c>
      <c r="M722" s="376" t="s">
        <v>171</v>
      </c>
      <c r="N722" s="376" t="s">
        <v>172</v>
      </c>
      <c r="O722" s="379">
        <v>1</v>
      </c>
      <c r="P722" s="385">
        <v>0</v>
      </c>
      <c r="Q722" s="385">
        <v>0</v>
      </c>
      <c r="R722" s="380">
        <v>80</v>
      </c>
      <c r="S722" s="385">
        <v>0</v>
      </c>
      <c r="T722" s="380">
        <v>170.98</v>
      </c>
      <c r="U722" s="380">
        <v>0</v>
      </c>
      <c r="V722" s="380">
        <v>84.16</v>
      </c>
      <c r="W722" s="380">
        <v>0</v>
      </c>
      <c r="X722" s="380">
        <v>0</v>
      </c>
      <c r="Y722" s="380">
        <v>0</v>
      </c>
      <c r="Z722" s="380">
        <v>0</v>
      </c>
      <c r="AA722" s="376" t="s">
        <v>344</v>
      </c>
      <c r="AB722" s="376" t="s">
        <v>345</v>
      </c>
      <c r="AC722" s="376" t="s">
        <v>346</v>
      </c>
      <c r="AD722" s="376" t="s">
        <v>347</v>
      </c>
      <c r="AE722" s="376" t="s">
        <v>343</v>
      </c>
      <c r="AF722" s="376" t="s">
        <v>301</v>
      </c>
      <c r="AG722" s="376" t="s">
        <v>178</v>
      </c>
      <c r="AH722" s="381">
        <v>21.52</v>
      </c>
      <c r="AI722" s="379">
        <v>26299</v>
      </c>
      <c r="AJ722" s="376" t="s">
        <v>179</v>
      </c>
      <c r="AK722" s="376" t="s">
        <v>180</v>
      </c>
      <c r="AL722" s="376" t="s">
        <v>181</v>
      </c>
      <c r="AM722" s="376" t="s">
        <v>182</v>
      </c>
      <c r="AN722" s="376" t="s">
        <v>68</v>
      </c>
      <c r="AO722" s="379">
        <v>80</v>
      </c>
      <c r="AP722" s="385">
        <v>1</v>
      </c>
      <c r="AQ722" s="385">
        <v>0</v>
      </c>
      <c r="AR722" s="383" t="s">
        <v>183</v>
      </c>
      <c r="AS722" s="387">
        <f t="shared" si="511"/>
        <v>0</v>
      </c>
      <c r="AT722">
        <f t="shared" si="512"/>
        <v>0</v>
      </c>
      <c r="AU722" s="387" t="str">
        <f>IF(AT722=0,"",IF(AND(AT722=1,M722="F",SUMIF(C2:C1334,C722,AS2:AS1334)&lt;=1),SUMIF(C2:C1334,C722,AS2:AS1334),IF(AND(AT722=1,M722="F",SUMIF(C2:C1334,C722,AS2:AS1334)&gt;1),1,"")))</f>
        <v/>
      </c>
      <c r="AV722" s="387" t="str">
        <f>IF(AT722=0,"",IF(AND(AT722=3,M722="F",SUMIF(C2:C1334,C722,AS2:AS1334)&lt;=1),SUMIF(C2:C1334,C722,AS2:AS1334),IF(AND(AT722=3,M722="F",SUMIF(C2:C1334,C722,AS2:AS1334)&gt;1),1,"")))</f>
        <v/>
      </c>
      <c r="AW722" s="387">
        <f>SUMIF(C2:C1334,C722,O2:O1334)</f>
        <v>4</v>
      </c>
      <c r="AX722" s="387">
        <f>IF(AND(M722="F",AS722&lt;&gt;0),SUMIF(C2:C1334,C722,W2:W1334),0)</f>
        <v>0</v>
      </c>
      <c r="AY722" s="387" t="str">
        <f t="shared" si="513"/>
        <v/>
      </c>
      <c r="AZ722" s="387" t="str">
        <f t="shared" si="514"/>
        <v/>
      </c>
      <c r="BA722" s="387">
        <f t="shared" si="515"/>
        <v>0</v>
      </c>
      <c r="BB722" s="387">
        <f t="shared" si="484"/>
        <v>0</v>
      </c>
      <c r="BC722" s="387">
        <f t="shared" si="485"/>
        <v>0</v>
      </c>
      <c r="BD722" s="387">
        <f t="shared" si="486"/>
        <v>0</v>
      </c>
      <c r="BE722" s="387">
        <f t="shared" si="487"/>
        <v>0</v>
      </c>
      <c r="BF722" s="387">
        <f t="shared" si="488"/>
        <v>0</v>
      </c>
      <c r="BG722" s="387">
        <f t="shared" si="489"/>
        <v>0</v>
      </c>
      <c r="BH722" s="387">
        <f t="shared" si="490"/>
        <v>0</v>
      </c>
      <c r="BI722" s="387">
        <f t="shared" si="491"/>
        <v>0</v>
      </c>
      <c r="BJ722" s="387">
        <f t="shared" si="492"/>
        <v>0</v>
      </c>
      <c r="BK722" s="387">
        <f t="shared" si="493"/>
        <v>0</v>
      </c>
      <c r="BL722" s="387">
        <f t="shared" si="516"/>
        <v>0</v>
      </c>
      <c r="BM722" s="387">
        <f t="shared" si="517"/>
        <v>0</v>
      </c>
      <c r="BN722" s="387">
        <f t="shared" si="494"/>
        <v>0</v>
      </c>
      <c r="BO722" s="387">
        <f t="shared" si="495"/>
        <v>0</v>
      </c>
      <c r="BP722" s="387">
        <f t="shared" si="496"/>
        <v>0</v>
      </c>
      <c r="BQ722" s="387">
        <f t="shared" si="497"/>
        <v>0</v>
      </c>
      <c r="BR722" s="387">
        <f t="shared" si="498"/>
        <v>0</v>
      </c>
      <c r="BS722" s="387">
        <f t="shared" si="499"/>
        <v>0</v>
      </c>
      <c r="BT722" s="387">
        <f t="shared" si="500"/>
        <v>0</v>
      </c>
      <c r="BU722" s="387">
        <f t="shared" si="501"/>
        <v>0</v>
      </c>
      <c r="BV722" s="387">
        <f t="shared" si="502"/>
        <v>0</v>
      </c>
      <c r="BW722" s="387">
        <f t="shared" si="503"/>
        <v>0</v>
      </c>
      <c r="BX722" s="387">
        <f t="shared" si="518"/>
        <v>0</v>
      </c>
      <c r="BY722" s="387">
        <f t="shared" si="519"/>
        <v>0</v>
      </c>
      <c r="BZ722" s="387">
        <f t="shared" si="520"/>
        <v>0</v>
      </c>
      <c r="CA722" s="387">
        <f t="shared" si="521"/>
        <v>0</v>
      </c>
      <c r="CB722" s="387">
        <f t="shared" si="522"/>
        <v>0</v>
      </c>
      <c r="CC722" s="387">
        <f t="shared" si="504"/>
        <v>0</v>
      </c>
      <c r="CD722" s="387">
        <f t="shared" si="505"/>
        <v>0</v>
      </c>
      <c r="CE722" s="387">
        <f t="shared" si="506"/>
        <v>0</v>
      </c>
      <c r="CF722" s="387">
        <f t="shared" si="507"/>
        <v>0</v>
      </c>
      <c r="CG722" s="387">
        <f t="shared" si="508"/>
        <v>0</v>
      </c>
      <c r="CH722" s="387">
        <f t="shared" si="509"/>
        <v>0</v>
      </c>
      <c r="CI722" s="387">
        <f t="shared" si="510"/>
        <v>0</v>
      </c>
      <c r="CJ722" s="387">
        <f t="shared" si="523"/>
        <v>0</v>
      </c>
      <c r="CK722" s="387" t="str">
        <f t="shared" si="524"/>
        <v/>
      </c>
      <c r="CL722" s="387" t="str">
        <f t="shared" si="525"/>
        <v/>
      </c>
      <c r="CM722" s="387" t="str">
        <f t="shared" si="526"/>
        <v/>
      </c>
      <c r="CN722" s="387" t="str">
        <f t="shared" si="527"/>
        <v>0349-31</v>
      </c>
    </row>
    <row r="723" spans="1:92" ht="15.75" thickBot="1" x14ac:dyDescent="0.3">
      <c r="A723" s="376" t="s">
        <v>161</v>
      </c>
      <c r="B723" s="376" t="s">
        <v>162</v>
      </c>
      <c r="C723" s="376" t="s">
        <v>705</v>
      </c>
      <c r="D723" s="376" t="s">
        <v>706</v>
      </c>
      <c r="E723" s="376" t="s">
        <v>669</v>
      </c>
      <c r="F723" s="382" t="s">
        <v>225</v>
      </c>
      <c r="G723" s="376" t="s">
        <v>781</v>
      </c>
      <c r="H723" s="378"/>
      <c r="I723" s="378"/>
      <c r="J723" s="376" t="s">
        <v>215</v>
      </c>
      <c r="K723" s="376" t="s">
        <v>707</v>
      </c>
      <c r="L723" s="376" t="s">
        <v>210</v>
      </c>
      <c r="M723" s="376" t="s">
        <v>171</v>
      </c>
      <c r="N723" s="376" t="s">
        <v>172</v>
      </c>
      <c r="O723" s="379">
        <v>1</v>
      </c>
      <c r="P723" s="385">
        <v>0</v>
      </c>
      <c r="Q723" s="385">
        <v>0</v>
      </c>
      <c r="R723" s="380">
        <v>80</v>
      </c>
      <c r="S723" s="385">
        <v>0</v>
      </c>
      <c r="T723" s="380">
        <v>10166.120000000001</v>
      </c>
      <c r="U723" s="380">
        <v>0</v>
      </c>
      <c r="V723" s="380">
        <v>4754.95</v>
      </c>
      <c r="W723" s="380">
        <v>0</v>
      </c>
      <c r="X723" s="380">
        <v>0</v>
      </c>
      <c r="Y723" s="380">
        <v>0</v>
      </c>
      <c r="Z723" s="380">
        <v>0</v>
      </c>
      <c r="AA723" s="376" t="s">
        <v>708</v>
      </c>
      <c r="AB723" s="376" t="s">
        <v>709</v>
      </c>
      <c r="AC723" s="376" t="s">
        <v>710</v>
      </c>
      <c r="AD723" s="376" t="s">
        <v>170</v>
      </c>
      <c r="AE723" s="376" t="s">
        <v>707</v>
      </c>
      <c r="AF723" s="376" t="s">
        <v>245</v>
      </c>
      <c r="AG723" s="376" t="s">
        <v>178</v>
      </c>
      <c r="AH723" s="381">
        <v>34.869999999999997</v>
      </c>
      <c r="AI723" s="381">
        <v>47786.3</v>
      </c>
      <c r="AJ723" s="376" t="s">
        <v>179</v>
      </c>
      <c r="AK723" s="376" t="s">
        <v>180</v>
      </c>
      <c r="AL723" s="376" t="s">
        <v>181</v>
      </c>
      <c r="AM723" s="376" t="s">
        <v>182</v>
      </c>
      <c r="AN723" s="376" t="s">
        <v>68</v>
      </c>
      <c r="AO723" s="379">
        <v>80</v>
      </c>
      <c r="AP723" s="385">
        <v>1</v>
      </c>
      <c r="AQ723" s="385">
        <v>0</v>
      </c>
      <c r="AR723" s="383" t="s">
        <v>183</v>
      </c>
      <c r="AS723" s="387">
        <f t="shared" si="511"/>
        <v>0</v>
      </c>
      <c r="AT723">
        <f t="shared" si="512"/>
        <v>0</v>
      </c>
      <c r="AU723" s="387" t="str">
        <f>IF(AT723=0,"",IF(AND(AT723=1,M723="F",SUMIF(C2:C1334,C723,AS2:AS1334)&lt;=1),SUMIF(C2:C1334,C723,AS2:AS1334),IF(AND(AT723=1,M723="F",SUMIF(C2:C1334,C723,AS2:AS1334)&gt;1),1,"")))</f>
        <v/>
      </c>
      <c r="AV723" s="387" t="str">
        <f>IF(AT723=0,"",IF(AND(AT723=3,M723="F",SUMIF(C2:C1334,C723,AS2:AS1334)&lt;=1),SUMIF(C2:C1334,C723,AS2:AS1334),IF(AND(AT723=3,M723="F",SUMIF(C2:C1334,C723,AS2:AS1334)&gt;1),1,"")))</f>
        <v/>
      </c>
      <c r="AW723" s="387">
        <f>SUMIF(C2:C1334,C723,O2:O1334)</f>
        <v>4</v>
      </c>
      <c r="AX723" s="387">
        <f>IF(AND(M723="F",AS723&lt;&gt;0),SUMIF(C2:C1334,C723,W2:W1334),0)</f>
        <v>0</v>
      </c>
      <c r="AY723" s="387" t="str">
        <f t="shared" si="513"/>
        <v/>
      </c>
      <c r="AZ723" s="387" t="str">
        <f t="shared" si="514"/>
        <v/>
      </c>
      <c r="BA723" s="387">
        <f t="shared" si="515"/>
        <v>0</v>
      </c>
      <c r="BB723" s="387">
        <f t="shared" si="484"/>
        <v>0</v>
      </c>
      <c r="BC723" s="387">
        <f t="shared" si="485"/>
        <v>0</v>
      </c>
      <c r="BD723" s="387">
        <f t="shared" si="486"/>
        <v>0</v>
      </c>
      <c r="BE723" s="387">
        <f t="shared" si="487"/>
        <v>0</v>
      </c>
      <c r="BF723" s="387">
        <f t="shared" si="488"/>
        <v>0</v>
      </c>
      <c r="BG723" s="387">
        <f t="shared" si="489"/>
        <v>0</v>
      </c>
      <c r="BH723" s="387">
        <f t="shared" si="490"/>
        <v>0</v>
      </c>
      <c r="BI723" s="387">
        <f t="shared" si="491"/>
        <v>0</v>
      </c>
      <c r="BJ723" s="387">
        <f t="shared" si="492"/>
        <v>0</v>
      </c>
      <c r="BK723" s="387">
        <f t="shared" si="493"/>
        <v>0</v>
      </c>
      <c r="BL723" s="387">
        <f t="shared" si="516"/>
        <v>0</v>
      </c>
      <c r="BM723" s="387">
        <f t="shared" si="517"/>
        <v>0</v>
      </c>
      <c r="BN723" s="387">
        <f t="shared" si="494"/>
        <v>0</v>
      </c>
      <c r="BO723" s="387">
        <f t="shared" si="495"/>
        <v>0</v>
      </c>
      <c r="BP723" s="387">
        <f t="shared" si="496"/>
        <v>0</v>
      </c>
      <c r="BQ723" s="387">
        <f t="shared" si="497"/>
        <v>0</v>
      </c>
      <c r="BR723" s="387">
        <f t="shared" si="498"/>
        <v>0</v>
      </c>
      <c r="BS723" s="387">
        <f t="shared" si="499"/>
        <v>0</v>
      </c>
      <c r="BT723" s="387">
        <f t="shared" si="500"/>
        <v>0</v>
      </c>
      <c r="BU723" s="387">
        <f t="shared" si="501"/>
        <v>0</v>
      </c>
      <c r="BV723" s="387">
        <f t="shared" si="502"/>
        <v>0</v>
      </c>
      <c r="BW723" s="387">
        <f t="shared" si="503"/>
        <v>0</v>
      </c>
      <c r="BX723" s="387">
        <f t="shared" si="518"/>
        <v>0</v>
      </c>
      <c r="BY723" s="387">
        <f t="shared" si="519"/>
        <v>0</v>
      </c>
      <c r="BZ723" s="387">
        <f t="shared" si="520"/>
        <v>0</v>
      </c>
      <c r="CA723" s="387">
        <f t="shared" si="521"/>
        <v>0</v>
      </c>
      <c r="CB723" s="387">
        <f t="shared" si="522"/>
        <v>0</v>
      </c>
      <c r="CC723" s="387">
        <f t="shared" si="504"/>
        <v>0</v>
      </c>
      <c r="CD723" s="387">
        <f t="shared" si="505"/>
        <v>0</v>
      </c>
      <c r="CE723" s="387">
        <f t="shared" si="506"/>
        <v>0</v>
      </c>
      <c r="CF723" s="387">
        <f t="shared" si="507"/>
        <v>0</v>
      </c>
      <c r="CG723" s="387">
        <f t="shared" si="508"/>
        <v>0</v>
      </c>
      <c r="CH723" s="387">
        <f t="shared" si="509"/>
        <v>0</v>
      </c>
      <c r="CI723" s="387">
        <f t="shared" si="510"/>
        <v>0</v>
      </c>
      <c r="CJ723" s="387">
        <f t="shared" si="523"/>
        <v>0</v>
      </c>
      <c r="CK723" s="387" t="str">
        <f t="shared" si="524"/>
        <v/>
      </c>
      <c r="CL723" s="387" t="str">
        <f t="shared" si="525"/>
        <v/>
      </c>
      <c r="CM723" s="387" t="str">
        <f t="shared" si="526"/>
        <v/>
      </c>
      <c r="CN723" s="387" t="str">
        <f t="shared" si="527"/>
        <v>0349-31</v>
      </c>
    </row>
    <row r="724" spans="1:92" ht="15.75" thickBot="1" x14ac:dyDescent="0.3">
      <c r="A724" s="376" t="s">
        <v>161</v>
      </c>
      <c r="B724" s="376" t="s">
        <v>162</v>
      </c>
      <c r="C724" s="376" t="s">
        <v>852</v>
      </c>
      <c r="D724" s="376" t="s">
        <v>786</v>
      </c>
      <c r="E724" s="376" t="s">
        <v>669</v>
      </c>
      <c r="F724" s="382" t="s">
        <v>225</v>
      </c>
      <c r="G724" s="376" t="s">
        <v>781</v>
      </c>
      <c r="H724" s="378"/>
      <c r="I724" s="378"/>
      <c r="J724" s="376" t="s">
        <v>239</v>
      </c>
      <c r="K724" s="376" t="s">
        <v>787</v>
      </c>
      <c r="L724" s="376" t="s">
        <v>181</v>
      </c>
      <c r="M724" s="376" t="s">
        <v>171</v>
      </c>
      <c r="N724" s="376" t="s">
        <v>172</v>
      </c>
      <c r="O724" s="379">
        <v>1</v>
      </c>
      <c r="P724" s="385">
        <v>0</v>
      </c>
      <c r="Q724" s="385">
        <v>0</v>
      </c>
      <c r="R724" s="380">
        <v>80</v>
      </c>
      <c r="S724" s="385">
        <v>0</v>
      </c>
      <c r="T724" s="380">
        <v>30.92</v>
      </c>
      <c r="U724" s="380">
        <v>0</v>
      </c>
      <c r="V724" s="380">
        <v>12.05</v>
      </c>
      <c r="W724" s="380">
        <v>0</v>
      </c>
      <c r="X724" s="380">
        <v>0</v>
      </c>
      <c r="Y724" s="380">
        <v>0</v>
      </c>
      <c r="Z724" s="380">
        <v>0</v>
      </c>
      <c r="AA724" s="376" t="s">
        <v>853</v>
      </c>
      <c r="AB724" s="376" t="s">
        <v>854</v>
      </c>
      <c r="AC724" s="376" t="s">
        <v>855</v>
      </c>
      <c r="AD724" s="376" t="s">
        <v>856</v>
      </c>
      <c r="AE724" s="376" t="s">
        <v>787</v>
      </c>
      <c r="AF724" s="376" t="s">
        <v>211</v>
      </c>
      <c r="AG724" s="376" t="s">
        <v>178</v>
      </c>
      <c r="AH724" s="381">
        <v>35.950000000000003</v>
      </c>
      <c r="AI724" s="381">
        <v>23289.1</v>
      </c>
      <c r="AJ724" s="376" t="s">
        <v>179</v>
      </c>
      <c r="AK724" s="376" t="s">
        <v>180</v>
      </c>
      <c r="AL724" s="376" t="s">
        <v>181</v>
      </c>
      <c r="AM724" s="376" t="s">
        <v>182</v>
      </c>
      <c r="AN724" s="376" t="s">
        <v>68</v>
      </c>
      <c r="AO724" s="379">
        <v>80</v>
      </c>
      <c r="AP724" s="385">
        <v>1</v>
      </c>
      <c r="AQ724" s="385">
        <v>0</v>
      </c>
      <c r="AR724" s="383" t="s">
        <v>183</v>
      </c>
      <c r="AS724" s="387">
        <f t="shared" si="511"/>
        <v>0</v>
      </c>
      <c r="AT724">
        <f t="shared" si="512"/>
        <v>0</v>
      </c>
      <c r="AU724" s="387" t="str">
        <f>IF(AT724=0,"",IF(AND(AT724=1,M724="F",SUMIF(C2:C1334,C724,AS2:AS1334)&lt;=1),SUMIF(C2:C1334,C724,AS2:AS1334),IF(AND(AT724=1,M724="F",SUMIF(C2:C1334,C724,AS2:AS1334)&gt;1),1,"")))</f>
        <v/>
      </c>
      <c r="AV724" s="387" t="str">
        <f>IF(AT724=0,"",IF(AND(AT724=3,M724="F",SUMIF(C2:C1334,C724,AS2:AS1334)&lt;=1),SUMIF(C2:C1334,C724,AS2:AS1334),IF(AND(AT724=3,M724="F",SUMIF(C2:C1334,C724,AS2:AS1334)&gt;1),1,"")))</f>
        <v/>
      </c>
      <c r="AW724" s="387">
        <f>SUMIF(C2:C1334,C724,O2:O1334)</f>
        <v>4</v>
      </c>
      <c r="AX724" s="387">
        <f>IF(AND(M724="F",AS724&lt;&gt;0),SUMIF(C2:C1334,C724,W2:W1334),0)</f>
        <v>0</v>
      </c>
      <c r="AY724" s="387" t="str">
        <f t="shared" si="513"/>
        <v/>
      </c>
      <c r="AZ724" s="387" t="str">
        <f t="shared" si="514"/>
        <v/>
      </c>
      <c r="BA724" s="387">
        <f t="shared" si="515"/>
        <v>0</v>
      </c>
      <c r="BB724" s="387">
        <f t="shared" si="484"/>
        <v>0</v>
      </c>
      <c r="BC724" s="387">
        <f t="shared" si="485"/>
        <v>0</v>
      </c>
      <c r="BD724" s="387">
        <f t="shared" si="486"/>
        <v>0</v>
      </c>
      <c r="BE724" s="387">
        <f t="shared" si="487"/>
        <v>0</v>
      </c>
      <c r="BF724" s="387">
        <f t="shared" si="488"/>
        <v>0</v>
      </c>
      <c r="BG724" s="387">
        <f t="shared" si="489"/>
        <v>0</v>
      </c>
      <c r="BH724" s="387">
        <f t="shared" si="490"/>
        <v>0</v>
      </c>
      <c r="BI724" s="387">
        <f t="shared" si="491"/>
        <v>0</v>
      </c>
      <c r="BJ724" s="387">
        <f t="shared" si="492"/>
        <v>0</v>
      </c>
      <c r="BK724" s="387">
        <f t="shared" si="493"/>
        <v>0</v>
      </c>
      <c r="BL724" s="387">
        <f t="shared" si="516"/>
        <v>0</v>
      </c>
      <c r="BM724" s="387">
        <f t="shared" si="517"/>
        <v>0</v>
      </c>
      <c r="BN724" s="387">
        <f t="shared" si="494"/>
        <v>0</v>
      </c>
      <c r="BO724" s="387">
        <f t="shared" si="495"/>
        <v>0</v>
      </c>
      <c r="BP724" s="387">
        <f t="shared" si="496"/>
        <v>0</v>
      </c>
      <c r="BQ724" s="387">
        <f t="shared" si="497"/>
        <v>0</v>
      </c>
      <c r="BR724" s="387">
        <f t="shared" si="498"/>
        <v>0</v>
      </c>
      <c r="BS724" s="387">
        <f t="shared" si="499"/>
        <v>0</v>
      </c>
      <c r="BT724" s="387">
        <f t="shared" si="500"/>
        <v>0</v>
      </c>
      <c r="BU724" s="387">
        <f t="shared" si="501"/>
        <v>0</v>
      </c>
      <c r="BV724" s="387">
        <f t="shared" si="502"/>
        <v>0</v>
      </c>
      <c r="BW724" s="387">
        <f t="shared" si="503"/>
        <v>0</v>
      </c>
      <c r="BX724" s="387">
        <f t="shared" si="518"/>
        <v>0</v>
      </c>
      <c r="BY724" s="387">
        <f t="shared" si="519"/>
        <v>0</v>
      </c>
      <c r="BZ724" s="387">
        <f t="shared" si="520"/>
        <v>0</v>
      </c>
      <c r="CA724" s="387">
        <f t="shared" si="521"/>
        <v>0</v>
      </c>
      <c r="CB724" s="387">
        <f t="shared" si="522"/>
        <v>0</v>
      </c>
      <c r="CC724" s="387">
        <f t="shared" si="504"/>
        <v>0</v>
      </c>
      <c r="CD724" s="387">
        <f t="shared" si="505"/>
        <v>0</v>
      </c>
      <c r="CE724" s="387">
        <f t="shared" si="506"/>
        <v>0</v>
      </c>
      <c r="CF724" s="387">
        <f t="shared" si="507"/>
        <v>0</v>
      </c>
      <c r="CG724" s="387">
        <f t="shared" si="508"/>
        <v>0</v>
      </c>
      <c r="CH724" s="387">
        <f t="shared" si="509"/>
        <v>0</v>
      </c>
      <c r="CI724" s="387">
        <f t="shared" si="510"/>
        <v>0</v>
      </c>
      <c r="CJ724" s="387">
        <f t="shared" si="523"/>
        <v>0</v>
      </c>
      <c r="CK724" s="387" t="str">
        <f t="shared" si="524"/>
        <v/>
      </c>
      <c r="CL724" s="387" t="str">
        <f t="shared" si="525"/>
        <v/>
      </c>
      <c r="CM724" s="387" t="str">
        <f t="shared" si="526"/>
        <v/>
      </c>
      <c r="CN724" s="387" t="str">
        <f t="shared" si="527"/>
        <v>0349-31</v>
      </c>
    </row>
    <row r="725" spans="1:92" ht="15.75" thickBot="1" x14ac:dyDescent="0.3">
      <c r="A725" s="376" t="s">
        <v>161</v>
      </c>
      <c r="B725" s="376" t="s">
        <v>162</v>
      </c>
      <c r="C725" s="376" t="s">
        <v>1648</v>
      </c>
      <c r="D725" s="376" t="s">
        <v>862</v>
      </c>
      <c r="E725" s="376" t="s">
        <v>669</v>
      </c>
      <c r="F725" s="382" t="s">
        <v>225</v>
      </c>
      <c r="G725" s="376" t="s">
        <v>781</v>
      </c>
      <c r="H725" s="378"/>
      <c r="I725" s="378"/>
      <c r="J725" s="376" t="s">
        <v>215</v>
      </c>
      <c r="K725" s="376" t="s">
        <v>863</v>
      </c>
      <c r="L725" s="376" t="s">
        <v>252</v>
      </c>
      <c r="M725" s="376" t="s">
        <v>272</v>
      </c>
      <c r="N725" s="376" t="s">
        <v>172</v>
      </c>
      <c r="O725" s="379">
        <v>0</v>
      </c>
      <c r="P725" s="385">
        <v>0</v>
      </c>
      <c r="Q725" s="385">
        <v>0</v>
      </c>
      <c r="R725" s="380">
        <v>80</v>
      </c>
      <c r="S725" s="385">
        <v>0</v>
      </c>
      <c r="T725" s="380">
        <v>67.67</v>
      </c>
      <c r="U725" s="380">
        <v>0</v>
      </c>
      <c r="V725" s="380">
        <v>26.29</v>
      </c>
      <c r="W725" s="380">
        <v>0</v>
      </c>
      <c r="X725" s="380">
        <v>0</v>
      </c>
      <c r="Y725" s="380">
        <v>0</v>
      </c>
      <c r="Z725" s="380">
        <v>0</v>
      </c>
      <c r="AA725" s="378"/>
      <c r="AB725" s="376" t="s">
        <v>45</v>
      </c>
      <c r="AC725" s="376" t="s">
        <v>45</v>
      </c>
      <c r="AD725" s="378"/>
      <c r="AE725" s="378"/>
      <c r="AF725" s="378"/>
      <c r="AG725" s="378"/>
      <c r="AH725" s="379">
        <v>0</v>
      </c>
      <c r="AI725" s="379">
        <v>0</v>
      </c>
      <c r="AJ725" s="378"/>
      <c r="AK725" s="378"/>
      <c r="AL725" s="376" t="s">
        <v>181</v>
      </c>
      <c r="AM725" s="378"/>
      <c r="AN725" s="378"/>
      <c r="AO725" s="379">
        <v>0</v>
      </c>
      <c r="AP725" s="385">
        <v>0</v>
      </c>
      <c r="AQ725" s="385">
        <v>0</v>
      </c>
      <c r="AR725" s="384"/>
      <c r="AS725" s="387">
        <f t="shared" si="511"/>
        <v>0</v>
      </c>
      <c r="AT725">
        <f t="shared" si="512"/>
        <v>0</v>
      </c>
      <c r="AU725" s="387" t="str">
        <f>IF(AT725=0,"",IF(AND(AT725=1,M725="F",SUMIF(C2:C1334,C725,AS2:AS1334)&lt;=1),SUMIF(C2:C1334,C725,AS2:AS1334),IF(AND(AT725=1,M725="F",SUMIF(C2:C1334,C725,AS2:AS1334)&gt;1),1,"")))</f>
        <v/>
      </c>
      <c r="AV725" s="387" t="str">
        <f>IF(AT725=0,"",IF(AND(AT725=3,M725="F",SUMIF(C2:C1334,C725,AS2:AS1334)&lt;=1),SUMIF(C2:C1334,C725,AS2:AS1334),IF(AND(AT725=3,M725="F",SUMIF(C2:C1334,C725,AS2:AS1334)&gt;1),1,"")))</f>
        <v/>
      </c>
      <c r="AW725" s="387">
        <f>SUMIF(C2:C1334,C725,O2:O1334)</f>
        <v>0</v>
      </c>
      <c r="AX725" s="387">
        <f>IF(AND(M725="F",AS725&lt;&gt;0),SUMIF(C2:C1334,C725,W2:W1334),0)</f>
        <v>0</v>
      </c>
      <c r="AY725" s="387" t="str">
        <f t="shared" si="513"/>
        <v/>
      </c>
      <c r="AZ725" s="387" t="str">
        <f t="shared" si="514"/>
        <v/>
      </c>
      <c r="BA725" s="387">
        <f t="shared" si="515"/>
        <v>0</v>
      </c>
      <c r="BB725" s="387">
        <f t="shared" si="484"/>
        <v>0</v>
      </c>
      <c r="BC725" s="387">
        <f t="shared" si="485"/>
        <v>0</v>
      </c>
      <c r="BD725" s="387">
        <f t="shared" si="486"/>
        <v>0</v>
      </c>
      <c r="BE725" s="387">
        <f t="shared" si="487"/>
        <v>0</v>
      </c>
      <c r="BF725" s="387">
        <f t="shared" si="488"/>
        <v>0</v>
      </c>
      <c r="BG725" s="387">
        <f t="shared" si="489"/>
        <v>0</v>
      </c>
      <c r="BH725" s="387">
        <f t="shared" si="490"/>
        <v>0</v>
      </c>
      <c r="BI725" s="387">
        <f t="shared" si="491"/>
        <v>0</v>
      </c>
      <c r="BJ725" s="387">
        <f t="shared" si="492"/>
        <v>0</v>
      </c>
      <c r="BK725" s="387">
        <f t="shared" si="493"/>
        <v>0</v>
      </c>
      <c r="BL725" s="387">
        <f t="shared" si="516"/>
        <v>0</v>
      </c>
      <c r="BM725" s="387">
        <f t="shared" si="517"/>
        <v>0</v>
      </c>
      <c r="BN725" s="387">
        <f t="shared" si="494"/>
        <v>0</v>
      </c>
      <c r="BO725" s="387">
        <f t="shared" si="495"/>
        <v>0</v>
      </c>
      <c r="BP725" s="387">
        <f t="shared" si="496"/>
        <v>0</v>
      </c>
      <c r="BQ725" s="387">
        <f t="shared" si="497"/>
        <v>0</v>
      </c>
      <c r="BR725" s="387">
        <f t="shared" si="498"/>
        <v>0</v>
      </c>
      <c r="BS725" s="387">
        <f t="shared" si="499"/>
        <v>0</v>
      </c>
      <c r="BT725" s="387">
        <f t="shared" si="500"/>
        <v>0</v>
      </c>
      <c r="BU725" s="387">
        <f t="shared" si="501"/>
        <v>0</v>
      </c>
      <c r="BV725" s="387">
        <f t="shared" si="502"/>
        <v>0</v>
      </c>
      <c r="BW725" s="387">
        <f t="shared" si="503"/>
        <v>0</v>
      </c>
      <c r="BX725" s="387">
        <f t="shared" si="518"/>
        <v>0</v>
      </c>
      <c r="BY725" s="387">
        <f t="shared" si="519"/>
        <v>0</v>
      </c>
      <c r="BZ725" s="387">
        <f t="shared" si="520"/>
        <v>0</v>
      </c>
      <c r="CA725" s="387">
        <f t="shared" si="521"/>
        <v>0</v>
      </c>
      <c r="CB725" s="387">
        <f t="shared" si="522"/>
        <v>0</v>
      </c>
      <c r="CC725" s="387">
        <f t="shared" si="504"/>
        <v>0</v>
      </c>
      <c r="CD725" s="387">
        <f t="shared" si="505"/>
        <v>0</v>
      </c>
      <c r="CE725" s="387">
        <f t="shared" si="506"/>
        <v>0</v>
      </c>
      <c r="CF725" s="387">
        <f t="shared" si="507"/>
        <v>0</v>
      </c>
      <c r="CG725" s="387">
        <f t="shared" si="508"/>
        <v>0</v>
      </c>
      <c r="CH725" s="387">
        <f t="shared" si="509"/>
        <v>0</v>
      </c>
      <c r="CI725" s="387">
        <f t="shared" si="510"/>
        <v>0</v>
      </c>
      <c r="CJ725" s="387">
        <f t="shared" si="523"/>
        <v>0</v>
      </c>
      <c r="CK725" s="387" t="str">
        <f t="shared" si="524"/>
        <v/>
      </c>
      <c r="CL725" s="387" t="str">
        <f t="shared" si="525"/>
        <v/>
      </c>
      <c r="CM725" s="387" t="str">
        <f t="shared" si="526"/>
        <v/>
      </c>
      <c r="CN725" s="387" t="str">
        <f t="shared" si="527"/>
        <v>0349-31</v>
      </c>
    </row>
    <row r="726" spans="1:92" ht="15.75" thickBot="1" x14ac:dyDescent="0.3">
      <c r="A726" s="376" t="s">
        <v>161</v>
      </c>
      <c r="B726" s="376" t="s">
        <v>162</v>
      </c>
      <c r="C726" s="376" t="s">
        <v>861</v>
      </c>
      <c r="D726" s="376" t="s">
        <v>862</v>
      </c>
      <c r="E726" s="376" t="s">
        <v>669</v>
      </c>
      <c r="F726" s="382" t="s">
        <v>225</v>
      </c>
      <c r="G726" s="376" t="s">
        <v>781</v>
      </c>
      <c r="H726" s="378"/>
      <c r="I726" s="378"/>
      <c r="J726" s="376" t="s">
        <v>239</v>
      </c>
      <c r="K726" s="376" t="s">
        <v>863</v>
      </c>
      <c r="L726" s="376" t="s">
        <v>252</v>
      </c>
      <c r="M726" s="376" t="s">
        <v>171</v>
      </c>
      <c r="N726" s="376" t="s">
        <v>172</v>
      </c>
      <c r="O726" s="379">
        <v>1</v>
      </c>
      <c r="P726" s="385">
        <v>0</v>
      </c>
      <c r="Q726" s="385">
        <v>0</v>
      </c>
      <c r="R726" s="380">
        <v>80</v>
      </c>
      <c r="S726" s="385">
        <v>0</v>
      </c>
      <c r="T726" s="380">
        <v>17.350000000000001</v>
      </c>
      <c r="U726" s="380">
        <v>0</v>
      </c>
      <c r="V726" s="380">
        <v>9.51</v>
      </c>
      <c r="W726" s="380">
        <v>0</v>
      </c>
      <c r="X726" s="380">
        <v>0</v>
      </c>
      <c r="Y726" s="380">
        <v>0</v>
      </c>
      <c r="Z726" s="380">
        <v>0</v>
      </c>
      <c r="AA726" s="376" t="s">
        <v>864</v>
      </c>
      <c r="AB726" s="376" t="s">
        <v>865</v>
      </c>
      <c r="AC726" s="376" t="s">
        <v>866</v>
      </c>
      <c r="AD726" s="376" t="s">
        <v>441</v>
      </c>
      <c r="AE726" s="376" t="s">
        <v>863</v>
      </c>
      <c r="AF726" s="376" t="s">
        <v>393</v>
      </c>
      <c r="AG726" s="376" t="s">
        <v>178</v>
      </c>
      <c r="AH726" s="381">
        <v>18.760000000000002</v>
      </c>
      <c r="AI726" s="379">
        <v>3208</v>
      </c>
      <c r="AJ726" s="376" t="s">
        <v>179</v>
      </c>
      <c r="AK726" s="376" t="s">
        <v>180</v>
      </c>
      <c r="AL726" s="376" t="s">
        <v>181</v>
      </c>
      <c r="AM726" s="376" t="s">
        <v>182</v>
      </c>
      <c r="AN726" s="376" t="s">
        <v>68</v>
      </c>
      <c r="AO726" s="379">
        <v>80</v>
      </c>
      <c r="AP726" s="385">
        <v>1</v>
      </c>
      <c r="AQ726" s="385">
        <v>0</v>
      </c>
      <c r="AR726" s="383" t="s">
        <v>183</v>
      </c>
      <c r="AS726" s="387">
        <f t="shared" si="511"/>
        <v>0</v>
      </c>
      <c r="AT726">
        <f t="shared" si="512"/>
        <v>0</v>
      </c>
      <c r="AU726" s="387" t="str">
        <f>IF(AT726=0,"",IF(AND(AT726=1,M726="F",SUMIF(C2:C1334,C726,AS2:AS1334)&lt;=1),SUMIF(C2:C1334,C726,AS2:AS1334),IF(AND(AT726=1,M726="F",SUMIF(C2:C1334,C726,AS2:AS1334)&gt;1),1,"")))</f>
        <v/>
      </c>
      <c r="AV726" s="387" t="str">
        <f>IF(AT726=0,"",IF(AND(AT726=3,M726="F",SUMIF(C2:C1334,C726,AS2:AS1334)&lt;=1),SUMIF(C2:C1334,C726,AS2:AS1334),IF(AND(AT726=3,M726="F",SUMIF(C2:C1334,C726,AS2:AS1334)&gt;1),1,"")))</f>
        <v/>
      </c>
      <c r="AW726" s="387">
        <f>SUMIF(C2:C1334,C726,O2:O1334)</f>
        <v>3</v>
      </c>
      <c r="AX726" s="387">
        <f>IF(AND(M726="F",AS726&lt;&gt;0),SUMIF(C2:C1334,C726,W2:W1334),0)</f>
        <v>0</v>
      </c>
      <c r="AY726" s="387" t="str">
        <f t="shared" si="513"/>
        <v/>
      </c>
      <c r="AZ726" s="387" t="str">
        <f t="shared" si="514"/>
        <v/>
      </c>
      <c r="BA726" s="387">
        <f t="shared" si="515"/>
        <v>0</v>
      </c>
      <c r="BB726" s="387">
        <f t="shared" si="484"/>
        <v>0</v>
      </c>
      <c r="BC726" s="387">
        <f t="shared" si="485"/>
        <v>0</v>
      </c>
      <c r="BD726" s="387">
        <f t="shared" si="486"/>
        <v>0</v>
      </c>
      <c r="BE726" s="387">
        <f t="shared" si="487"/>
        <v>0</v>
      </c>
      <c r="BF726" s="387">
        <f t="shared" si="488"/>
        <v>0</v>
      </c>
      <c r="BG726" s="387">
        <f t="shared" si="489"/>
        <v>0</v>
      </c>
      <c r="BH726" s="387">
        <f t="shared" si="490"/>
        <v>0</v>
      </c>
      <c r="BI726" s="387">
        <f t="shared" si="491"/>
        <v>0</v>
      </c>
      <c r="BJ726" s="387">
        <f t="shared" si="492"/>
        <v>0</v>
      </c>
      <c r="BK726" s="387">
        <f t="shared" si="493"/>
        <v>0</v>
      </c>
      <c r="BL726" s="387">
        <f t="shared" si="516"/>
        <v>0</v>
      </c>
      <c r="BM726" s="387">
        <f t="shared" si="517"/>
        <v>0</v>
      </c>
      <c r="BN726" s="387">
        <f t="shared" si="494"/>
        <v>0</v>
      </c>
      <c r="BO726" s="387">
        <f t="shared" si="495"/>
        <v>0</v>
      </c>
      <c r="BP726" s="387">
        <f t="shared" si="496"/>
        <v>0</v>
      </c>
      <c r="BQ726" s="387">
        <f t="shared" si="497"/>
        <v>0</v>
      </c>
      <c r="BR726" s="387">
        <f t="shared" si="498"/>
        <v>0</v>
      </c>
      <c r="BS726" s="387">
        <f t="shared" si="499"/>
        <v>0</v>
      </c>
      <c r="BT726" s="387">
        <f t="shared" si="500"/>
        <v>0</v>
      </c>
      <c r="BU726" s="387">
        <f t="shared" si="501"/>
        <v>0</v>
      </c>
      <c r="BV726" s="387">
        <f t="shared" si="502"/>
        <v>0</v>
      </c>
      <c r="BW726" s="387">
        <f t="shared" si="503"/>
        <v>0</v>
      </c>
      <c r="BX726" s="387">
        <f t="shared" si="518"/>
        <v>0</v>
      </c>
      <c r="BY726" s="387">
        <f t="shared" si="519"/>
        <v>0</v>
      </c>
      <c r="BZ726" s="387">
        <f t="shared" si="520"/>
        <v>0</v>
      </c>
      <c r="CA726" s="387">
        <f t="shared" si="521"/>
        <v>0</v>
      </c>
      <c r="CB726" s="387">
        <f t="shared" si="522"/>
        <v>0</v>
      </c>
      <c r="CC726" s="387">
        <f t="shared" si="504"/>
        <v>0</v>
      </c>
      <c r="CD726" s="387">
        <f t="shared" si="505"/>
        <v>0</v>
      </c>
      <c r="CE726" s="387">
        <f t="shared" si="506"/>
        <v>0</v>
      </c>
      <c r="CF726" s="387">
        <f t="shared" si="507"/>
        <v>0</v>
      </c>
      <c r="CG726" s="387">
        <f t="shared" si="508"/>
        <v>0</v>
      </c>
      <c r="CH726" s="387">
        <f t="shared" si="509"/>
        <v>0</v>
      </c>
      <c r="CI726" s="387">
        <f t="shared" si="510"/>
        <v>0</v>
      </c>
      <c r="CJ726" s="387">
        <f t="shared" si="523"/>
        <v>0</v>
      </c>
      <c r="CK726" s="387" t="str">
        <f t="shared" si="524"/>
        <v/>
      </c>
      <c r="CL726" s="387" t="str">
        <f t="shared" si="525"/>
        <v/>
      </c>
      <c r="CM726" s="387" t="str">
        <f t="shared" si="526"/>
        <v/>
      </c>
      <c r="CN726" s="387" t="str">
        <f t="shared" si="527"/>
        <v>0349-31</v>
      </c>
    </row>
    <row r="727" spans="1:92" ht="15.75" thickBot="1" x14ac:dyDescent="0.3">
      <c r="A727" s="376" t="s">
        <v>161</v>
      </c>
      <c r="B727" s="376" t="s">
        <v>162</v>
      </c>
      <c r="C727" s="376" t="s">
        <v>1483</v>
      </c>
      <c r="D727" s="376" t="s">
        <v>862</v>
      </c>
      <c r="E727" s="376" t="s">
        <v>669</v>
      </c>
      <c r="F727" s="382" t="s">
        <v>225</v>
      </c>
      <c r="G727" s="376" t="s">
        <v>781</v>
      </c>
      <c r="H727" s="378"/>
      <c r="I727" s="378"/>
      <c r="J727" s="376" t="s">
        <v>215</v>
      </c>
      <c r="K727" s="376" t="s">
        <v>863</v>
      </c>
      <c r="L727" s="376" t="s">
        <v>252</v>
      </c>
      <c r="M727" s="376" t="s">
        <v>171</v>
      </c>
      <c r="N727" s="376" t="s">
        <v>172</v>
      </c>
      <c r="O727" s="379">
        <v>1</v>
      </c>
      <c r="P727" s="385">
        <v>0</v>
      </c>
      <c r="Q727" s="385">
        <v>0</v>
      </c>
      <c r="R727" s="380">
        <v>80</v>
      </c>
      <c r="S727" s="385">
        <v>0</v>
      </c>
      <c r="T727" s="380">
        <v>211.67</v>
      </c>
      <c r="U727" s="380">
        <v>0</v>
      </c>
      <c r="V727" s="380">
        <v>118.27</v>
      </c>
      <c r="W727" s="380">
        <v>0</v>
      </c>
      <c r="X727" s="380">
        <v>0</v>
      </c>
      <c r="Y727" s="380">
        <v>0</v>
      </c>
      <c r="Z727" s="380">
        <v>0</v>
      </c>
      <c r="AA727" s="376" t="s">
        <v>1484</v>
      </c>
      <c r="AB727" s="376" t="s">
        <v>1485</v>
      </c>
      <c r="AC727" s="376" t="s">
        <v>851</v>
      </c>
      <c r="AD727" s="376" t="s">
        <v>170</v>
      </c>
      <c r="AE727" s="376" t="s">
        <v>863</v>
      </c>
      <c r="AF727" s="376" t="s">
        <v>393</v>
      </c>
      <c r="AG727" s="376" t="s">
        <v>178</v>
      </c>
      <c r="AH727" s="381">
        <v>18.670000000000002</v>
      </c>
      <c r="AI727" s="381">
        <v>25136.6</v>
      </c>
      <c r="AJ727" s="376" t="s">
        <v>179</v>
      </c>
      <c r="AK727" s="376" t="s">
        <v>180</v>
      </c>
      <c r="AL727" s="376" t="s">
        <v>181</v>
      </c>
      <c r="AM727" s="376" t="s">
        <v>182</v>
      </c>
      <c r="AN727" s="376" t="s">
        <v>68</v>
      </c>
      <c r="AO727" s="379">
        <v>80</v>
      </c>
      <c r="AP727" s="385">
        <v>1</v>
      </c>
      <c r="AQ727" s="385">
        <v>0</v>
      </c>
      <c r="AR727" s="383" t="s">
        <v>183</v>
      </c>
      <c r="AS727" s="387">
        <f t="shared" si="511"/>
        <v>0</v>
      </c>
      <c r="AT727">
        <f t="shared" si="512"/>
        <v>0</v>
      </c>
      <c r="AU727" s="387" t="str">
        <f>IF(AT727=0,"",IF(AND(AT727=1,M727="F",SUMIF(C2:C1334,C727,AS2:AS1334)&lt;=1),SUMIF(C2:C1334,C727,AS2:AS1334),IF(AND(AT727=1,M727="F",SUMIF(C2:C1334,C727,AS2:AS1334)&gt;1),1,"")))</f>
        <v/>
      </c>
      <c r="AV727" s="387" t="str">
        <f>IF(AT727=0,"",IF(AND(AT727=3,M727="F",SUMIF(C2:C1334,C727,AS2:AS1334)&lt;=1),SUMIF(C2:C1334,C727,AS2:AS1334),IF(AND(AT727=3,M727="F",SUMIF(C2:C1334,C727,AS2:AS1334)&gt;1),1,"")))</f>
        <v/>
      </c>
      <c r="AW727" s="387">
        <f>SUMIF(C2:C1334,C727,O2:O1334)</f>
        <v>3</v>
      </c>
      <c r="AX727" s="387">
        <f>IF(AND(M727="F",AS727&lt;&gt;0),SUMIF(C2:C1334,C727,W2:W1334),0)</f>
        <v>0</v>
      </c>
      <c r="AY727" s="387" t="str">
        <f t="shared" si="513"/>
        <v/>
      </c>
      <c r="AZ727" s="387" t="str">
        <f t="shared" si="514"/>
        <v/>
      </c>
      <c r="BA727" s="387">
        <f t="shared" si="515"/>
        <v>0</v>
      </c>
      <c r="BB727" s="387">
        <f t="shared" si="484"/>
        <v>0</v>
      </c>
      <c r="BC727" s="387">
        <f t="shared" si="485"/>
        <v>0</v>
      </c>
      <c r="BD727" s="387">
        <f t="shared" si="486"/>
        <v>0</v>
      </c>
      <c r="BE727" s="387">
        <f t="shared" si="487"/>
        <v>0</v>
      </c>
      <c r="BF727" s="387">
        <f t="shared" si="488"/>
        <v>0</v>
      </c>
      <c r="BG727" s="387">
        <f t="shared" si="489"/>
        <v>0</v>
      </c>
      <c r="BH727" s="387">
        <f t="shared" si="490"/>
        <v>0</v>
      </c>
      <c r="BI727" s="387">
        <f t="shared" si="491"/>
        <v>0</v>
      </c>
      <c r="BJ727" s="387">
        <f t="shared" si="492"/>
        <v>0</v>
      </c>
      <c r="BK727" s="387">
        <f t="shared" si="493"/>
        <v>0</v>
      </c>
      <c r="BL727" s="387">
        <f t="shared" si="516"/>
        <v>0</v>
      </c>
      <c r="BM727" s="387">
        <f t="shared" si="517"/>
        <v>0</v>
      </c>
      <c r="BN727" s="387">
        <f t="shared" si="494"/>
        <v>0</v>
      </c>
      <c r="BO727" s="387">
        <f t="shared" si="495"/>
        <v>0</v>
      </c>
      <c r="BP727" s="387">
        <f t="shared" si="496"/>
        <v>0</v>
      </c>
      <c r="BQ727" s="387">
        <f t="shared" si="497"/>
        <v>0</v>
      </c>
      <c r="BR727" s="387">
        <f t="shared" si="498"/>
        <v>0</v>
      </c>
      <c r="BS727" s="387">
        <f t="shared" si="499"/>
        <v>0</v>
      </c>
      <c r="BT727" s="387">
        <f t="shared" si="500"/>
        <v>0</v>
      </c>
      <c r="BU727" s="387">
        <f t="shared" si="501"/>
        <v>0</v>
      </c>
      <c r="BV727" s="387">
        <f t="shared" si="502"/>
        <v>0</v>
      </c>
      <c r="BW727" s="387">
        <f t="shared" si="503"/>
        <v>0</v>
      </c>
      <c r="BX727" s="387">
        <f t="shared" si="518"/>
        <v>0</v>
      </c>
      <c r="BY727" s="387">
        <f t="shared" si="519"/>
        <v>0</v>
      </c>
      <c r="BZ727" s="387">
        <f t="shared" si="520"/>
        <v>0</v>
      </c>
      <c r="CA727" s="387">
        <f t="shared" si="521"/>
        <v>0</v>
      </c>
      <c r="CB727" s="387">
        <f t="shared" si="522"/>
        <v>0</v>
      </c>
      <c r="CC727" s="387">
        <f t="shared" si="504"/>
        <v>0</v>
      </c>
      <c r="CD727" s="387">
        <f t="shared" si="505"/>
        <v>0</v>
      </c>
      <c r="CE727" s="387">
        <f t="shared" si="506"/>
        <v>0</v>
      </c>
      <c r="CF727" s="387">
        <f t="shared" si="507"/>
        <v>0</v>
      </c>
      <c r="CG727" s="387">
        <f t="shared" si="508"/>
        <v>0</v>
      </c>
      <c r="CH727" s="387">
        <f t="shared" si="509"/>
        <v>0</v>
      </c>
      <c r="CI727" s="387">
        <f t="shared" si="510"/>
        <v>0</v>
      </c>
      <c r="CJ727" s="387">
        <f t="shared" si="523"/>
        <v>0</v>
      </c>
      <c r="CK727" s="387" t="str">
        <f t="shared" si="524"/>
        <v/>
      </c>
      <c r="CL727" s="387" t="str">
        <f t="shared" si="525"/>
        <v/>
      </c>
      <c r="CM727" s="387" t="str">
        <f t="shared" si="526"/>
        <v/>
      </c>
      <c r="CN727" s="387" t="str">
        <f t="shared" si="527"/>
        <v>0349-31</v>
      </c>
    </row>
    <row r="728" spans="1:92" ht="15.75" thickBot="1" x14ac:dyDescent="0.3">
      <c r="A728" s="376" t="s">
        <v>161</v>
      </c>
      <c r="B728" s="376" t="s">
        <v>162</v>
      </c>
      <c r="C728" s="376" t="s">
        <v>1826</v>
      </c>
      <c r="D728" s="376" t="s">
        <v>862</v>
      </c>
      <c r="E728" s="376" t="s">
        <v>669</v>
      </c>
      <c r="F728" s="382" t="s">
        <v>225</v>
      </c>
      <c r="G728" s="376" t="s">
        <v>781</v>
      </c>
      <c r="H728" s="378"/>
      <c r="I728" s="378"/>
      <c r="J728" s="376" t="s">
        <v>239</v>
      </c>
      <c r="K728" s="376" t="s">
        <v>863</v>
      </c>
      <c r="L728" s="376" t="s">
        <v>252</v>
      </c>
      <c r="M728" s="376" t="s">
        <v>171</v>
      </c>
      <c r="N728" s="376" t="s">
        <v>172</v>
      </c>
      <c r="O728" s="379">
        <v>1</v>
      </c>
      <c r="P728" s="385">
        <v>0</v>
      </c>
      <c r="Q728" s="385">
        <v>0</v>
      </c>
      <c r="R728" s="380">
        <v>80</v>
      </c>
      <c r="S728" s="385">
        <v>0</v>
      </c>
      <c r="T728" s="380">
        <v>121.96</v>
      </c>
      <c r="U728" s="380">
        <v>0</v>
      </c>
      <c r="V728" s="380">
        <v>55.15</v>
      </c>
      <c r="W728" s="380">
        <v>0</v>
      </c>
      <c r="X728" s="380">
        <v>0</v>
      </c>
      <c r="Y728" s="380">
        <v>0</v>
      </c>
      <c r="Z728" s="380">
        <v>0</v>
      </c>
      <c r="AA728" s="376" t="s">
        <v>1827</v>
      </c>
      <c r="AB728" s="376" t="s">
        <v>1828</v>
      </c>
      <c r="AC728" s="376" t="s">
        <v>176</v>
      </c>
      <c r="AD728" s="376" t="s">
        <v>324</v>
      </c>
      <c r="AE728" s="376" t="s">
        <v>863</v>
      </c>
      <c r="AF728" s="376" t="s">
        <v>393</v>
      </c>
      <c r="AG728" s="376" t="s">
        <v>178</v>
      </c>
      <c r="AH728" s="381">
        <v>18.760000000000002</v>
      </c>
      <c r="AI728" s="381">
        <v>3227.5</v>
      </c>
      <c r="AJ728" s="376" t="s">
        <v>179</v>
      </c>
      <c r="AK728" s="376" t="s">
        <v>180</v>
      </c>
      <c r="AL728" s="376" t="s">
        <v>181</v>
      </c>
      <c r="AM728" s="376" t="s">
        <v>182</v>
      </c>
      <c r="AN728" s="376" t="s">
        <v>68</v>
      </c>
      <c r="AO728" s="379">
        <v>80</v>
      </c>
      <c r="AP728" s="385">
        <v>1</v>
      </c>
      <c r="AQ728" s="385">
        <v>0</v>
      </c>
      <c r="AR728" s="383" t="s">
        <v>183</v>
      </c>
      <c r="AS728" s="387">
        <f t="shared" si="511"/>
        <v>0</v>
      </c>
      <c r="AT728">
        <f t="shared" si="512"/>
        <v>0</v>
      </c>
      <c r="AU728" s="387" t="str">
        <f>IF(AT728=0,"",IF(AND(AT728=1,M728="F",SUMIF(C2:C1334,C728,AS2:AS1334)&lt;=1),SUMIF(C2:C1334,C728,AS2:AS1334),IF(AND(AT728=1,M728="F",SUMIF(C2:C1334,C728,AS2:AS1334)&gt;1),1,"")))</f>
        <v/>
      </c>
      <c r="AV728" s="387" t="str">
        <f>IF(AT728=0,"",IF(AND(AT728=3,M728="F",SUMIF(C2:C1334,C728,AS2:AS1334)&lt;=1),SUMIF(C2:C1334,C728,AS2:AS1334),IF(AND(AT728=3,M728="F",SUMIF(C2:C1334,C728,AS2:AS1334)&gt;1),1,"")))</f>
        <v/>
      </c>
      <c r="AW728" s="387">
        <f>SUMIF(C2:C1334,C728,O2:O1334)</f>
        <v>3</v>
      </c>
      <c r="AX728" s="387">
        <f>IF(AND(M728="F",AS728&lt;&gt;0),SUMIF(C2:C1334,C728,W2:W1334),0)</f>
        <v>0</v>
      </c>
      <c r="AY728" s="387" t="str">
        <f t="shared" si="513"/>
        <v/>
      </c>
      <c r="AZ728" s="387" t="str">
        <f t="shared" si="514"/>
        <v/>
      </c>
      <c r="BA728" s="387">
        <f t="shared" si="515"/>
        <v>0</v>
      </c>
      <c r="BB728" s="387">
        <f t="shared" si="484"/>
        <v>0</v>
      </c>
      <c r="BC728" s="387">
        <f t="shared" si="485"/>
        <v>0</v>
      </c>
      <c r="BD728" s="387">
        <f t="shared" si="486"/>
        <v>0</v>
      </c>
      <c r="BE728" s="387">
        <f t="shared" si="487"/>
        <v>0</v>
      </c>
      <c r="BF728" s="387">
        <f t="shared" si="488"/>
        <v>0</v>
      </c>
      <c r="BG728" s="387">
        <f t="shared" si="489"/>
        <v>0</v>
      </c>
      <c r="BH728" s="387">
        <f t="shared" si="490"/>
        <v>0</v>
      </c>
      <c r="BI728" s="387">
        <f t="shared" si="491"/>
        <v>0</v>
      </c>
      <c r="BJ728" s="387">
        <f t="shared" si="492"/>
        <v>0</v>
      </c>
      <c r="BK728" s="387">
        <f t="shared" si="493"/>
        <v>0</v>
      </c>
      <c r="BL728" s="387">
        <f t="shared" si="516"/>
        <v>0</v>
      </c>
      <c r="BM728" s="387">
        <f t="shared" si="517"/>
        <v>0</v>
      </c>
      <c r="BN728" s="387">
        <f t="shared" si="494"/>
        <v>0</v>
      </c>
      <c r="BO728" s="387">
        <f t="shared" si="495"/>
        <v>0</v>
      </c>
      <c r="BP728" s="387">
        <f t="shared" si="496"/>
        <v>0</v>
      </c>
      <c r="BQ728" s="387">
        <f t="shared" si="497"/>
        <v>0</v>
      </c>
      <c r="BR728" s="387">
        <f t="shared" si="498"/>
        <v>0</v>
      </c>
      <c r="BS728" s="387">
        <f t="shared" si="499"/>
        <v>0</v>
      </c>
      <c r="BT728" s="387">
        <f t="shared" si="500"/>
        <v>0</v>
      </c>
      <c r="BU728" s="387">
        <f t="shared" si="501"/>
        <v>0</v>
      </c>
      <c r="BV728" s="387">
        <f t="shared" si="502"/>
        <v>0</v>
      </c>
      <c r="BW728" s="387">
        <f t="shared" si="503"/>
        <v>0</v>
      </c>
      <c r="BX728" s="387">
        <f t="shared" si="518"/>
        <v>0</v>
      </c>
      <c r="BY728" s="387">
        <f t="shared" si="519"/>
        <v>0</v>
      </c>
      <c r="BZ728" s="387">
        <f t="shared" si="520"/>
        <v>0</v>
      </c>
      <c r="CA728" s="387">
        <f t="shared" si="521"/>
        <v>0</v>
      </c>
      <c r="CB728" s="387">
        <f t="shared" si="522"/>
        <v>0</v>
      </c>
      <c r="CC728" s="387">
        <f t="shared" si="504"/>
        <v>0</v>
      </c>
      <c r="CD728" s="387">
        <f t="shared" si="505"/>
        <v>0</v>
      </c>
      <c r="CE728" s="387">
        <f t="shared" si="506"/>
        <v>0</v>
      </c>
      <c r="CF728" s="387">
        <f t="shared" si="507"/>
        <v>0</v>
      </c>
      <c r="CG728" s="387">
        <f t="shared" si="508"/>
        <v>0</v>
      </c>
      <c r="CH728" s="387">
        <f t="shared" si="509"/>
        <v>0</v>
      </c>
      <c r="CI728" s="387">
        <f t="shared" si="510"/>
        <v>0</v>
      </c>
      <c r="CJ728" s="387">
        <f t="shared" si="523"/>
        <v>0</v>
      </c>
      <c r="CK728" s="387" t="str">
        <f t="shared" si="524"/>
        <v/>
      </c>
      <c r="CL728" s="387" t="str">
        <f t="shared" si="525"/>
        <v/>
      </c>
      <c r="CM728" s="387" t="str">
        <f t="shared" si="526"/>
        <v/>
      </c>
      <c r="CN728" s="387" t="str">
        <f t="shared" si="527"/>
        <v>0349-31</v>
      </c>
    </row>
    <row r="729" spans="1:92" ht="15.75" thickBot="1" x14ac:dyDescent="0.3">
      <c r="A729" s="376" t="s">
        <v>161</v>
      </c>
      <c r="B729" s="376" t="s">
        <v>162</v>
      </c>
      <c r="C729" s="376" t="s">
        <v>1361</v>
      </c>
      <c r="D729" s="376" t="s">
        <v>792</v>
      </c>
      <c r="E729" s="376" t="s">
        <v>669</v>
      </c>
      <c r="F729" s="382" t="s">
        <v>225</v>
      </c>
      <c r="G729" s="376" t="s">
        <v>781</v>
      </c>
      <c r="H729" s="378"/>
      <c r="I729" s="378"/>
      <c r="J729" s="376" t="s">
        <v>215</v>
      </c>
      <c r="K729" s="376" t="s">
        <v>793</v>
      </c>
      <c r="L729" s="376" t="s">
        <v>170</v>
      </c>
      <c r="M729" s="376" t="s">
        <v>171</v>
      </c>
      <c r="N729" s="376" t="s">
        <v>172</v>
      </c>
      <c r="O729" s="379">
        <v>1</v>
      </c>
      <c r="P729" s="385">
        <v>0</v>
      </c>
      <c r="Q729" s="385">
        <v>0</v>
      </c>
      <c r="R729" s="380">
        <v>80</v>
      </c>
      <c r="S729" s="385">
        <v>0</v>
      </c>
      <c r="T729" s="380">
        <v>4577.62</v>
      </c>
      <c r="U729" s="380">
        <v>0</v>
      </c>
      <c r="V729" s="380">
        <v>1940.61</v>
      </c>
      <c r="W729" s="380">
        <v>0</v>
      </c>
      <c r="X729" s="380">
        <v>0</v>
      </c>
      <c r="Y729" s="380">
        <v>0</v>
      </c>
      <c r="Z729" s="380">
        <v>0</v>
      </c>
      <c r="AA729" s="376" t="s">
        <v>1362</v>
      </c>
      <c r="AB729" s="376" t="s">
        <v>1363</v>
      </c>
      <c r="AC729" s="376" t="s">
        <v>1364</v>
      </c>
      <c r="AD729" s="376" t="s">
        <v>198</v>
      </c>
      <c r="AE729" s="376" t="s">
        <v>793</v>
      </c>
      <c r="AF729" s="376" t="s">
        <v>177</v>
      </c>
      <c r="AG729" s="376" t="s">
        <v>178</v>
      </c>
      <c r="AH729" s="381">
        <v>25.35</v>
      </c>
      <c r="AI729" s="379">
        <v>32696</v>
      </c>
      <c r="AJ729" s="376" t="s">
        <v>179</v>
      </c>
      <c r="AK729" s="376" t="s">
        <v>180</v>
      </c>
      <c r="AL729" s="376" t="s">
        <v>181</v>
      </c>
      <c r="AM729" s="376" t="s">
        <v>182</v>
      </c>
      <c r="AN729" s="376" t="s">
        <v>68</v>
      </c>
      <c r="AO729" s="379">
        <v>80</v>
      </c>
      <c r="AP729" s="385">
        <v>1</v>
      </c>
      <c r="AQ729" s="385">
        <v>0</v>
      </c>
      <c r="AR729" s="383" t="s">
        <v>183</v>
      </c>
      <c r="AS729" s="387">
        <f t="shared" si="511"/>
        <v>0</v>
      </c>
      <c r="AT729">
        <f t="shared" si="512"/>
        <v>0</v>
      </c>
      <c r="AU729" s="387" t="str">
        <f>IF(AT729=0,"",IF(AND(AT729=1,M729="F",SUMIF(C2:C1334,C729,AS2:AS1334)&lt;=1),SUMIF(C2:C1334,C729,AS2:AS1334),IF(AND(AT729=1,M729="F",SUMIF(C2:C1334,C729,AS2:AS1334)&gt;1),1,"")))</f>
        <v/>
      </c>
      <c r="AV729" s="387" t="str">
        <f>IF(AT729=0,"",IF(AND(AT729=3,M729="F",SUMIF(C2:C1334,C729,AS2:AS1334)&lt;=1),SUMIF(C2:C1334,C729,AS2:AS1334),IF(AND(AT729=3,M729="F",SUMIF(C2:C1334,C729,AS2:AS1334)&gt;1),1,"")))</f>
        <v/>
      </c>
      <c r="AW729" s="387">
        <f>SUMIF(C2:C1334,C729,O2:O1334)</f>
        <v>3</v>
      </c>
      <c r="AX729" s="387">
        <f>IF(AND(M729="F",AS729&lt;&gt;0),SUMIF(C2:C1334,C729,W2:W1334),0)</f>
        <v>0</v>
      </c>
      <c r="AY729" s="387" t="str">
        <f t="shared" si="513"/>
        <v/>
      </c>
      <c r="AZ729" s="387" t="str">
        <f t="shared" si="514"/>
        <v/>
      </c>
      <c r="BA729" s="387">
        <f t="shared" si="515"/>
        <v>0</v>
      </c>
      <c r="BB729" s="387">
        <f t="shared" si="484"/>
        <v>0</v>
      </c>
      <c r="BC729" s="387">
        <f t="shared" si="485"/>
        <v>0</v>
      </c>
      <c r="BD729" s="387">
        <f t="shared" si="486"/>
        <v>0</v>
      </c>
      <c r="BE729" s="387">
        <f t="shared" si="487"/>
        <v>0</v>
      </c>
      <c r="BF729" s="387">
        <f t="shared" si="488"/>
        <v>0</v>
      </c>
      <c r="BG729" s="387">
        <f t="shared" si="489"/>
        <v>0</v>
      </c>
      <c r="BH729" s="387">
        <f t="shared" si="490"/>
        <v>0</v>
      </c>
      <c r="BI729" s="387">
        <f t="shared" si="491"/>
        <v>0</v>
      </c>
      <c r="BJ729" s="387">
        <f t="shared" si="492"/>
        <v>0</v>
      </c>
      <c r="BK729" s="387">
        <f t="shared" si="493"/>
        <v>0</v>
      </c>
      <c r="BL729" s="387">
        <f t="shared" si="516"/>
        <v>0</v>
      </c>
      <c r="BM729" s="387">
        <f t="shared" si="517"/>
        <v>0</v>
      </c>
      <c r="BN729" s="387">
        <f t="shared" si="494"/>
        <v>0</v>
      </c>
      <c r="BO729" s="387">
        <f t="shared" si="495"/>
        <v>0</v>
      </c>
      <c r="BP729" s="387">
        <f t="shared" si="496"/>
        <v>0</v>
      </c>
      <c r="BQ729" s="387">
        <f t="shared" si="497"/>
        <v>0</v>
      </c>
      <c r="BR729" s="387">
        <f t="shared" si="498"/>
        <v>0</v>
      </c>
      <c r="BS729" s="387">
        <f t="shared" si="499"/>
        <v>0</v>
      </c>
      <c r="BT729" s="387">
        <f t="shared" si="500"/>
        <v>0</v>
      </c>
      <c r="BU729" s="387">
        <f t="shared" si="501"/>
        <v>0</v>
      </c>
      <c r="BV729" s="387">
        <f t="shared" si="502"/>
        <v>0</v>
      </c>
      <c r="BW729" s="387">
        <f t="shared" si="503"/>
        <v>0</v>
      </c>
      <c r="BX729" s="387">
        <f t="shared" si="518"/>
        <v>0</v>
      </c>
      <c r="BY729" s="387">
        <f t="shared" si="519"/>
        <v>0</v>
      </c>
      <c r="BZ729" s="387">
        <f t="shared" si="520"/>
        <v>0</v>
      </c>
      <c r="CA729" s="387">
        <f t="shared" si="521"/>
        <v>0</v>
      </c>
      <c r="CB729" s="387">
        <f t="shared" si="522"/>
        <v>0</v>
      </c>
      <c r="CC729" s="387">
        <f t="shared" si="504"/>
        <v>0</v>
      </c>
      <c r="CD729" s="387">
        <f t="shared" si="505"/>
        <v>0</v>
      </c>
      <c r="CE729" s="387">
        <f t="shared" si="506"/>
        <v>0</v>
      </c>
      <c r="CF729" s="387">
        <f t="shared" si="507"/>
        <v>0</v>
      </c>
      <c r="CG729" s="387">
        <f t="shared" si="508"/>
        <v>0</v>
      </c>
      <c r="CH729" s="387">
        <f t="shared" si="509"/>
        <v>0</v>
      </c>
      <c r="CI729" s="387">
        <f t="shared" si="510"/>
        <v>0</v>
      </c>
      <c r="CJ729" s="387">
        <f t="shared" si="523"/>
        <v>0</v>
      </c>
      <c r="CK729" s="387" t="str">
        <f t="shared" si="524"/>
        <v/>
      </c>
      <c r="CL729" s="387" t="str">
        <f t="shared" si="525"/>
        <v/>
      </c>
      <c r="CM729" s="387" t="str">
        <f t="shared" si="526"/>
        <v/>
      </c>
      <c r="CN729" s="387" t="str">
        <f t="shared" si="527"/>
        <v>0349-31</v>
      </c>
    </row>
    <row r="730" spans="1:92" ht="15.75" thickBot="1" x14ac:dyDescent="0.3">
      <c r="A730" s="376" t="s">
        <v>161</v>
      </c>
      <c r="B730" s="376" t="s">
        <v>162</v>
      </c>
      <c r="C730" s="376" t="s">
        <v>909</v>
      </c>
      <c r="D730" s="376" t="s">
        <v>862</v>
      </c>
      <c r="E730" s="376" t="s">
        <v>669</v>
      </c>
      <c r="F730" s="382" t="s">
        <v>225</v>
      </c>
      <c r="G730" s="376" t="s">
        <v>781</v>
      </c>
      <c r="H730" s="378"/>
      <c r="I730" s="378"/>
      <c r="J730" s="376" t="s">
        <v>239</v>
      </c>
      <c r="K730" s="376" t="s">
        <v>863</v>
      </c>
      <c r="L730" s="376" t="s">
        <v>252</v>
      </c>
      <c r="M730" s="376" t="s">
        <v>171</v>
      </c>
      <c r="N730" s="376" t="s">
        <v>172</v>
      </c>
      <c r="O730" s="379">
        <v>1</v>
      </c>
      <c r="P730" s="385">
        <v>0</v>
      </c>
      <c r="Q730" s="385">
        <v>0</v>
      </c>
      <c r="R730" s="380">
        <v>80</v>
      </c>
      <c r="S730" s="385">
        <v>0</v>
      </c>
      <c r="T730" s="380">
        <v>26.88</v>
      </c>
      <c r="U730" s="380">
        <v>0</v>
      </c>
      <c r="V730" s="380">
        <v>11.49</v>
      </c>
      <c r="W730" s="380">
        <v>0</v>
      </c>
      <c r="X730" s="380">
        <v>0</v>
      </c>
      <c r="Y730" s="380">
        <v>0</v>
      </c>
      <c r="Z730" s="380">
        <v>0</v>
      </c>
      <c r="AA730" s="376" t="s">
        <v>910</v>
      </c>
      <c r="AB730" s="376" t="s">
        <v>911</v>
      </c>
      <c r="AC730" s="376" t="s">
        <v>912</v>
      </c>
      <c r="AD730" s="376" t="s">
        <v>566</v>
      </c>
      <c r="AE730" s="376" t="s">
        <v>863</v>
      </c>
      <c r="AF730" s="376" t="s">
        <v>393</v>
      </c>
      <c r="AG730" s="376" t="s">
        <v>178</v>
      </c>
      <c r="AH730" s="381">
        <v>27.74</v>
      </c>
      <c r="AI730" s="381">
        <v>65177.9</v>
      </c>
      <c r="AJ730" s="376" t="s">
        <v>179</v>
      </c>
      <c r="AK730" s="376" t="s">
        <v>180</v>
      </c>
      <c r="AL730" s="376" t="s">
        <v>181</v>
      </c>
      <c r="AM730" s="376" t="s">
        <v>182</v>
      </c>
      <c r="AN730" s="376" t="s">
        <v>68</v>
      </c>
      <c r="AO730" s="379">
        <v>80</v>
      </c>
      <c r="AP730" s="385">
        <v>1</v>
      </c>
      <c r="AQ730" s="385">
        <v>0</v>
      </c>
      <c r="AR730" s="383" t="s">
        <v>183</v>
      </c>
      <c r="AS730" s="387">
        <f t="shared" si="511"/>
        <v>0</v>
      </c>
      <c r="AT730">
        <f t="shared" si="512"/>
        <v>0</v>
      </c>
      <c r="AU730" s="387" t="str">
        <f>IF(AT730=0,"",IF(AND(AT730=1,M730="F",SUMIF(C2:C1334,C730,AS2:AS1334)&lt;=1),SUMIF(C2:C1334,C730,AS2:AS1334),IF(AND(AT730=1,M730="F",SUMIF(C2:C1334,C730,AS2:AS1334)&gt;1),1,"")))</f>
        <v/>
      </c>
      <c r="AV730" s="387" t="str">
        <f>IF(AT730=0,"",IF(AND(AT730=3,M730="F",SUMIF(C2:C1334,C730,AS2:AS1334)&lt;=1),SUMIF(C2:C1334,C730,AS2:AS1334),IF(AND(AT730=3,M730="F",SUMIF(C2:C1334,C730,AS2:AS1334)&gt;1),1,"")))</f>
        <v/>
      </c>
      <c r="AW730" s="387">
        <f>SUMIF(C2:C1334,C730,O2:O1334)</f>
        <v>3</v>
      </c>
      <c r="AX730" s="387">
        <f>IF(AND(M730="F",AS730&lt;&gt;0),SUMIF(C2:C1334,C730,W2:W1334),0)</f>
        <v>0</v>
      </c>
      <c r="AY730" s="387" t="str">
        <f t="shared" si="513"/>
        <v/>
      </c>
      <c r="AZ730" s="387" t="str">
        <f t="shared" si="514"/>
        <v/>
      </c>
      <c r="BA730" s="387">
        <f t="shared" si="515"/>
        <v>0</v>
      </c>
      <c r="BB730" s="387">
        <f t="shared" si="484"/>
        <v>0</v>
      </c>
      <c r="BC730" s="387">
        <f t="shared" si="485"/>
        <v>0</v>
      </c>
      <c r="BD730" s="387">
        <f t="shared" si="486"/>
        <v>0</v>
      </c>
      <c r="BE730" s="387">
        <f t="shared" si="487"/>
        <v>0</v>
      </c>
      <c r="BF730" s="387">
        <f t="shared" si="488"/>
        <v>0</v>
      </c>
      <c r="BG730" s="387">
        <f t="shared" si="489"/>
        <v>0</v>
      </c>
      <c r="BH730" s="387">
        <f t="shared" si="490"/>
        <v>0</v>
      </c>
      <c r="BI730" s="387">
        <f t="shared" si="491"/>
        <v>0</v>
      </c>
      <c r="BJ730" s="387">
        <f t="shared" si="492"/>
        <v>0</v>
      </c>
      <c r="BK730" s="387">
        <f t="shared" si="493"/>
        <v>0</v>
      </c>
      <c r="BL730" s="387">
        <f t="shared" si="516"/>
        <v>0</v>
      </c>
      <c r="BM730" s="387">
        <f t="shared" si="517"/>
        <v>0</v>
      </c>
      <c r="BN730" s="387">
        <f t="shared" si="494"/>
        <v>0</v>
      </c>
      <c r="BO730" s="387">
        <f t="shared" si="495"/>
        <v>0</v>
      </c>
      <c r="BP730" s="387">
        <f t="shared" si="496"/>
        <v>0</v>
      </c>
      <c r="BQ730" s="387">
        <f t="shared" si="497"/>
        <v>0</v>
      </c>
      <c r="BR730" s="387">
        <f t="shared" si="498"/>
        <v>0</v>
      </c>
      <c r="BS730" s="387">
        <f t="shared" si="499"/>
        <v>0</v>
      </c>
      <c r="BT730" s="387">
        <f t="shared" si="500"/>
        <v>0</v>
      </c>
      <c r="BU730" s="387">
        <f t="shared" si="501"/>
        <v>0</v>
      </c>
      <c r="BV730" s="387">
        <f t="shared" si="502"/>
        <v>0</v>
      </c>
      <c r="BW730" s="387">
        <f t="shared" si="503"/>
        <v>0</v>
      </c>
      <c r="BX730" s="387">
        <f t="shared" si="518"/>
        <v>0</v>
      </c>
      <c r="BY730" s="387">
        <f t="shared" si="519"/>
        <v>0</v>
      </c>
      <c r="BZ730" s="387">
        <f t="shared" si="520"/>
        <v>0</v>
      </c>
      <c r="CA730" s="387">
        <f t="shared" si="521"/>
        <v>0</v>
      </c>
      <c r="CB730" s="387">
        <f t="shared" si="522"/>
        <v>0</v>
      </c>
      <c r="CC730" s="387">
        <f t="shared" si="504"/>
        <v>0</v>
      </c>
      <c r="CD730" s="387">
        <f t="shared" si="505"/>
        <v>0</v>
      </c>
      <c r="CE730" s="387">
        <f t="shared" si="506"/>
        <v>0</v>
      </c>
      <c r="CF730" s="387">
        <f t="shared" si="507"/>
        <v>0</v>
      </c>
      <c r="CG730" s="387">
        <f t="shared" si="508"/>
        <v>0</v>
      </c>
      <c r="CH730" s="387">
        <f t="shared" si="509"/>
        <v>0</v>
      </c>
      <c r="CI730" s="387">
        <f t="shared" si="510"/>
        <v>0</v>
      </c>
      <c r="CJ730" s="387">
        <f t="shared" si="523"/>
        <v>0</v>
      </c>
      <c r="CK730" s="387" t="str">
        <f t="shared" si="524"/>
        <v/>
      </c>
      <c r="CL730" s="387" t="str">
        <f t="shared" si="525"/>
        <v/>
      </c>
      <c r="CM730" s="387" t="str">
        <f t="shared" si="526"/>
        <v/>
      </c>
      <c r="CN730" s="387" t="str">
        <f t="shared" si="527"/>
        <v>0349-31</v>
      </c>
    </row>
    <row r="731" spans="1:92" ht="15.75" thickBot="1" x14ac:dyDescent="0.3">
      <c r="A731" s="376" t="s">
        <v>161</v>
      </c>
      <c r="B731" s="376" t="s">
        <v>162</v>
      </c>
      <c r="C731" s="376" t="s">
        <v>398</v>
      </c>
      <c r="D731" s="376" t="s">
        <v>375</v>
      </c>
      <c r="E731" s="376" t="s">
        <v>669</v>
      </c>
      <c r="F731" s="382" t="s">
        <v>225</v>
      </c>
      <c r="G731" s="376" t="s">
        <v>781</v>
      </c>
      <c r="H731" s="378"/>
      <c r="I731" s="378"/>
      <c r="J731" s="376" t="s">
        <v>239</v>
      </c>
      <c r="K731" s="376" t="s">
        <v>376</v>
      </c>
      <c r="L731" s="376" t="s">
        <v>178</v>
      </c>
      <c r="M731" s="376" t="s">
        <v>171</v>
      </c>
      <c r="N731" s="376" t="s">
        <v>172</v>
      </c>
      <c r="O731" s="379">
        <v>1</v>
      </c>
      <c r="P731" s="385">
        <v>0</v>
      </c>
      <c r="Q731" s="385">
        <v>0</v>
      </c>
      <c r="R731" s="380">
        <v>80</v>
      </c>
      <c r="S731" s="385">
        <v>0</v>
      </c>
      <c r="T731" s="380">
        <v>47.92</v>
      </c>
      <c r="U731" s="380">
        <v>0</v>
      </c>
      <c r="V731" s="380">
        <v>30.25</v>
      </c>
      <c r="W731" s="380">
        <v>0</v>
      </c>
      <c r="X731" s="380">
        <v>0</v>
      </c>
      <c r="Y731" s="380">
        <v>0</v>
      </c>
      <c r="Z731" s="380">
        <v>0</v>
      </c>
      <c r="AA731" s="376" t="s">
        <v>399</v>
      </c>
      <c r="AB731" s="376" t="s">
        <v>400</v>
      </c>
      <c r="AC731" s="376" t="s">
        <v>401</v>
      </c>
      <c r="AD731" s="376" t="s">
        <v>402</v>
      </c>
      <c r="AE731" s="376" t="s">
        <v>376</v>
      </c>
      <c r="AF731" s="376" t="s">
        <v>253</v>
      </c>
      <c r="AG731" s="376" t="s">
        <v>178</v>
      </c>
      <c r="AH731" s="381">
        <v>15.21</v>
      </c>
      <c r="AI731" s="381">
        <v>13084.3</v>
      </c>
      <c r="AJ731" s="376" t="s">
        <v>179</v>
      </c>
      <c r="AK731" s="376" t="s">
        <v>180</v>
      </c>
      <c r="AL731" s="376" t="s">
        <v>181</v>
      </c>
      <c r="AM731" s="376" t="s">
        <v>182</v>
      </c>
      <c r="AN731" s="376" t="s">
        <v>68</v>
      </c>
      <c r="AO731" s="379">
        <v>80</v>
      </c>
      <c r="AP731" s="385">
        <v>1</v>
      </c>
      <c r="AQ731" s="385">
        <v>0</v>
      </c>
      <c r="AR731" s="383" t="s">
        <v>183</v>
      </c>
      <c r="AS731" s="387">
        <f t="shared" si="511"/>
        <v>0</v>
      </c>
      <c r="AT731">
        <f t="shared" si="512"/>
        <v>0</v>
      </c>
      <c r="AU731" s="387" t="str">
        <f>IF(AT731=0,"",IF(AND(AT731=1,M731="F",SUMIF(C2:C1334,C731,AS2:AS1334)&lt;=1),SUMIF(C2:C1334,C731,AS2:AS1334),IF(AND(AT731=1,M731="F",SUMIF(C2:C1334,C731,AS2:AS1334)&gt;1),1,"")))</f>
        <v/>
      </c>
      <c r="AV731" s="387" t="str">
        <f>IF(AT731=0,"",IF(AND(AT731=3,M731="F",SUMIF(C2:C1334,C731,AS2:AS1334)&lt;=1),SUMIF(C2:C1334,C731,AS2:AS1334),IF(AND(AT731=3,M731="F",SUMIF(C2:C1334,C731,AS2:AS1334)&gt;1),1,"")))</f>
        <v/>
      </c>
      <c r="AW731" s="387">
        <f>SUMIF(C2:C1334,C731,O2:O1334)</f>
        <v>6</v>
      </c>
      <c r="AX731" s="387">
        <f>IF(AND(M731="F",AS731&lt;&gt;0),SUMIF(C2:C1334,C731,W2:W1334),0)</f>
        <v>0</v>
      </c>
      <c r="AY731" s="387" t="str">
        <f t="shared" si="513"/>
        <v/>
      </c>
      <c r="AZ731" s="387" t="str">
        <f t="shared" si="514"/>
        <v/>
      </c>
      <c r="BA731" s="387">
        <f t="shared" si="515"/>
        <v>0</v>
      </c>
      <c r="BB731" s="387">
        <f t="shared" si="484"/>
        <v>0</v>
      </c>
      <c r="BC731" s="387">
        <f t="shared" si="485"/>
        <v>0</v>
      </c>
      <c r="BD731" s="387">
        <f t="shared" si="486"/>
        <v>0</v>
      </c>
      <c r="BE731" s="387">
        <f t="shared" si="487"/>
        <v>0</v>
      </c>
      <c r="BF731" s="387">
        <f t="shared" si="488"/>
        <v>0</v>
      </c>
      <c r="BG731" s="387">
        <f t="shared" si="489"/>
        <v>0</v>
      </c>
      <c r="BH731" s="387">
        <f t="shared" si="490"/>
        <v>0</v>
      </c>
      <c r="BI731" s="387">
        <f t="shared" si="491"/>
        <v>0</v>
      </c>
      <c r="BJ731" s="387">
        <f t="shared" si="492"/>
        <v>0</v>
      </c>
      <c r="BK731" s="387">
        <f t="shared" si="493"/>
        <v>0</v>
      </c>
      <c r="BL731" s="387">
        <f t="shared" si="516"/>
        <v>0</v>
      </c>
      <c r="BM731" s="387">
        <f t="shared" si="517"/>
        <v>0</v>
      </c>
      <c r="BN731" s="387">
        <f t="shared" si="494"/>
        <v>0</v>
      </c>
      <c r="BO731" s="387">
        <f t="shared" si="495"/>
        <v>0</v>
      </c>
      <c r="BP731" s="387">
        <f t="shared" si="496"/>
        <v>0</v>
      </c>
      <c r="BQ731" s="387">
        <f t="shared" si="497"/>
        <v>0</v>
      </c>
      <c r="BR731" s="387">
        <f t="shared" si="498"/>
        <v>0</v>
      </c>
      <c r="BS731" s="387">
        <f t="shared" si="499"/>
        <v>0</v>
      </c>
      <c r="BT731" s="387">
        <f t="shared" si="500"/>
        <v>0</v>
      </c>
      <c r="BU731" s="387">
        <f t="shared" si="501"/>
        <v>0</v>
      </c>
      <c r="BV731" s="387">
        <f t="shared" si="502"/>
        <v>0</v>
      </c>
      <c r="BW731" s="387">
        <f t="shared" si="503"/>
        <v>0</v>
      </c>
      <c r="BX731" s="387">
        <f t="shared" si="518"/>
        <v>0</v>
      </c>
      <c r="BY731" s="387">
        <f t="shared" si="519"/>
        <v>0</v>
      </c>
      <c r="BZ731" s="387">
        <f t="shared" si="520"/>
        <v>0</v>
      </c>
      <c r="CA731" s="387">
        <f t="shared" si="521"/>
        <v>0</v>
      </c>
      <c r="CB731" s="387">
        <f t="shared" si="522"/>
        <v>0</v>
      </c>
      <c r="CC731" s="387">
        <f t="shared" si="504"/>
        <v>0</v>
      </c>
      <c r="CD731" s="387">
        <f t="shared" si="505"/>
        <v>0</v>
      </c>
      <c r="CE731" s="387">
        <f t="shared" si="506"/>
        <v>0</v>
      </c>
      <c r="CF731" s="387">
        <f t="shared" si="507"/>
        <v>0</v>
      </c>
      <c r="CG731" s="387">
        <f t="shared" si="508"/>
        <v>0</v>
      </c>
      <c r="CH731" s="387">
        <f t="shared" si="509"/>
        <v>0</v>
      </c>
      <c r="CI731" s="387">
        <f t="shared" si="510"/>
        <v>0</v>
      </c>
      <c r="CJ731" s="387">
        <f t="shared" si="523"/>
        <v>0</v>
      </c>
      <c r="CK731" s="387" t="str">
        <f t="shared" si="524"/>
        <v/>
      </c>
      <c r="CL731" s="387" t="str">
        <f t="shared" si="525"/>
        <v/>
      </c>
      <c r="CM731" s="387" t="str">
        <f t="shared" si="526"/>
        <v/>
      </c>
      <c r="CN731" s="387" t="str">
        <f t="shared" si="527"/>
        <v>0349-31</v>
      </c>
    </row>
    <row r="732" spans="1:92" ht="15.75" thickBot="1" x14ac:dyDescent="0.3">
      <c r="A732" s="376" t="s">
        <v>161</v>
      </c>
      <c r="B732" s="376" t="s">
        <v>162</v>
      </c>
      <c r="C732" s="376" t="s">
        <v>584</v>
      </c>
      <c r="D732" s="376" t="s">
        <v>238</v>
      </c>
      <c r="E732" s="376" t="s">
        <v>669</v>
      </c>
      <c r="F732" s="382" t="s">
        <v>225</v>
      </c>
      <c r="G732" s="376" t="s">
        <v>781</v>
      </c>
      <c r="H732" s="378"/>
      <c r="I732" s="378"/>
      <c r="J732" s="376" t="s">
        <v>215</v>
      </c>
      <c r="K732" s="376" t="s">
        <v>343</v>
      </c>
      <c r="L732" s="376" t="s">
        <v>296</v>
      </c>
      <c r="M732" s="376" t="s">
        <v>171</v>
      </c>
      <c r="N732" s="376" t="s">
        <v>172</v>
      </c>
      <c r="O732" s="379">
        <v>1</v>
      </c>
      <c r="P732" s="385">
        <v>0</v>
      </c>
      <c r="Q732" s="385">
        <v>0</v>
      </c>
      <c r="R732" s="380">
        <v>80</v>
      </c>
      <c r="S732" s="385">
        <v>0</v>
      </c>
      <c r="T732" s="380">
        <v>100.16</v>
      </c>
      <c r="U732" s="380">
        <v>0</v>
      </c>
      <c r="V732" s="380">
        <v>47.04</v>
      </c>
      <c r="W732" s="380">
        <v>0</v>
      </c>
      <c r="X732" s="380">
        <v>0</v>
      </c>
      <c r="Y732" s="380">
        <v>0</v>
      </c>
      <c r="Z732" s="380">
        <v>0</v>
      </c>
      <c r="AA732" s="376" t="s">
        <v>585</v>
      </c>
      <c r="AB732" s="376" t="s">
        <v>586</v>
      </c>
      <c r="AC732" s="376" t="s">
        <v>278</v>
      </c>
      <c r="AD732" s="376" t="s">
        <v>587</v>
      </c>
      <c r="AE732" s="376" t="s">
        <v>343</v>
      </c>
      <c r="AF732" s="376" t="s">
        <v>301</v>
      </c>
      <c r="AG732" s="376" t="s">
        <v>178</v>
      </c>
      <c r="AH732" s="381">
        <v>23.29</v>
      </c>
      <c r="AI732" s="381">
        <v>15091.8</v>
      </c>
      <c r="AJ732" s="376" t="s">
        <v>179</v>
      </c>
      <c r="AK732" s="376" t="s">
        <v>180</v>
      </c>
      <c r="AL732" s="376" t="s">
        <v>181</v>
      </c>
      <c r="AM732" s="376" t="s">
        <v>182</v>
      </c>
      <c r="AN732" s="376" t="s">
        <v>68</v>
      </c>
      <c r="AO732" s="379">
        <v>80</v>
      </c>
      <c r="AP732" s="385">
        <v>1</v>
      </c>
      <c r="AQ732" s="385">
        <v>0</v>
      </c>
      <c r="AR732" s="383" t="s">
        <v>183</v>
      </c>
      <c r="AS732" s="387">
        <f t="shared" si="511"/>
        <v>0</v>
      </c>
      <c r="AT732">
        <f t="shared" si="512"/>
        <v>0</v>
      </c>
      <c r="AU732" s="387" t="str">
        <f>IF(AT732=0,"",IF(AND(AT732=1,M732="F",SUMIF(C2:C1334,C732,AS2:AS1334)&lt;=1),SUMIF(C2:C1334,C732,AS2:AS1334),IF(AND(AT732=1,M732="F",SUMIF(C2:C1334,C732,AS2:AS1334)&gt;1),1,"")))</f>
        <v/>
      </c>
      <c r="AV732" s="387" t="str">
        <f>IF(AT732=0,"",IF(AND(AT732=3,M732="F",SUMIF(C2:C1334,C732,AS2:AS1334)&lt;=1),SUMIF(C2:C1334,C732,AS2:AS1334),IF(AND(AT732=3,M732="F",SUMIF(C2:C1334,C732,AS2:AS1334)&gt;1),1,"")))</f>
        <v/>
      </c>
      <c r="AW732" s="387">
        <f>SUMIF(C2:C1334,C732,O2:O1334)</f>
        <v>3</v>
      </c>
      <c r="AX732" s="387">
        <f>IF(AND(M732="F",AS732&lt;&gt;0),SUMIF(C2:C1334,C732,W2:W1334),0)</f>
        <v>0</v>
      </c>
      <c r="AY732" s="387" t="str">
        <f t="shared" si="513"/>
        <v/>
      </c>
      <c r="AZ732" s="387" t="str">
        <f t="shared" si="514"/>
        <v/>
      </c>
      <c r="BA732" s="387">
        <f t="shared" si="515"/>
        <v>0</v>
      </c>
      <c r="BB732" s="387">
        <f t="shared" si="484"/>
        <v>0</v>
      </c>
      <c r="BC732" s="387">
        <f t="shared" si="485"/>
        <v>0</v>
      </c>
      <c r="BD732" s="387">
        <f t="shared" si="486"/>
        <v>0</v>
      </c>
      <c r="BE732" s="387">
        <f t="shared" si="487"/>
        <v>0</v>
      </c>
      <c r="BF732" s="387">
        <f t="shared" si="488"/>
        <v>0</v>
      </c>
      <c r="BG732" s="387">
        <f t="shared" si="489"/>
        <v>0</v>
      </c>
      <c r="BH732" s="387">
        <f t="shared" si="490"/>
        <v>0</v>
      </c>
      <c r="BI732" s="387">
        <f t="shared" si="491"/>
        <v>0</v>
      </c>
      <c r="BJ732" s="387">
        <f t="shared" si="492"/>
        <v>0</v>
      </c>
      <c r="BK732" s="387">
        <f t="shared" si="493"/>
        <v>0</v>
      </c>
      <c r="BL732" s="387">
        <f t="shared" si="516"/>
        <v>0</v>
      </c>
      <c r="BM732" s="387">
        <f t="shared" si="517"/>
        <v>0</v>
      </c>
      <c r="BN732" s="387">
        <f t="shared" si="494"/>
        <v>0</v>
      </c>
      <c r="BO732" s="387">
        <f t="shared" si="495"/>
        <v>0</v>
      </c>
      <c r="BP732" s="387">
        <f t="shared" si="496"/>
        <v>0</v>
      </c>
      <c r="BQ732" s="387">
        <f t="shared" si="497"/>
        <v>0</v>
      </c>
      <c r="BR732" s="387">
        <f t="shared" si="498"/>
        <v>0</v>
      </c>
      <c r="BS732" s="387">
        <f t="shared" si="499"/>
        <v>0</v>
      </c>
      <c r="BT732" s="387">
        <f t="shared" si="500"/>
        <v>0</v>
      </c>
      <c r="BU732" s="387">
        <f t="shared" si="501"/>
        <v>0</v>
      </c>
      <c r="BV732" s="387">
        <f t="shared" si="502"/>
        <v>0</v>
      </c>
      <c r="BW732" s="387">
        <f t="shared" si="503"/>
        <v>0</v>
      </c>
      <c r="BX732" s="387">
        <f t="shared" si="518"/>
        <v>0</v>
      </c>
      <c r="BY732" s="387">
        <f t="shared" si="519"/>
        <v>0</v>
      </c>
      <c r="BZ732" s="387">
        <f t="shared" si="520"/>
        <v>0</v>
      </c>
      <c r="CA732" s="387">
        <f t="shared" si="521"/>
        <v>0</v>
      </c>
      <c r="CB732" s="387">
        <f t="shared" si="522"/>
        <v>0</v>
      </c>
      <c r="CC732" s="387">
        <f t="shared" si="504"/>
        <v>0</v>
      </c>
      <c r="CD732" s="387">
        <f t="shared" si="505"/>
        <v>0</v>
      </c>
      <c r="CE732" s="387">
        <f t="shared" si="506"/>
        <v>0</v>
      </c>
      <c r="CF732" s="387">
        <f t="shared" si="507"/>
        <v>0</v>
      </c>
      <c r="CG732" s="387">
        <f t="shared" si="508"/>
        <v>0</v>
      </c>
      <c r="CH732" s="387">
        <f t="shared" si="509"/>
        <v>0</v>
      </c>
      <c r="CI732" s="387">
        <f t="shared" si="510"/>
        <v>0</v>
      </c>
      <c r="CJ732" s="387">
        <f t="shared" si="523"/>
        <v>0</v>
      </c>
      <c r="CK732" s="387" t="str">
        <f t="shared" si="524"/>
        <v/>
      </c>
      <c r="CL732" s="387" t="str">
        <f t="shared" si="525"/>
        <v/>
      </c>
      <c r="CM732" s="387" t="str">
        <f t="shared" si="526"/>
        <v/>
      </c>
      <c r="CN732" s="387" t="str">
        <f t="shared" si="527"/>
        <v>0349-31</v>
      </c>
    </row>
    <row r="733" spans="1:92" ht="15.75" thickBot="1" x14ac:dyDescent="0.3">
      <c r="A733" s="376" t="s">
        <v>161</v>
      </c>
      <c r="B733" s="376" t="s">
        <v>162</v>
      </c>
      <c r="C733" s="376" t="s">
        <v>857</v>
      </c>
      <c r="D733" s="376" t="s">
        <v>786</v>
      </c>
      <c r="E733" s="376" t="s">
        <v>669</v>
      </c>
      <c r="F733" s="382" t="s">
        <v>225</v>
      </c>
      <c r="G733" s="376" t="s">
        <v>781</v>
      </c>
      <c r="H733" s="378"/>
      <c r="I733" s="378"/>
      <c r="J733" s="376" t="s">
        <v>168</v>
      </c>
      <c r="K733" s="376" t="s">
        <v>787</v>
      </c>
      <c r="L733" s="376" t="s">
        <v>181</v>
      </c>
      <c r="M733" s="376" t="s">
        <v>171</v>
      </c>
      <c r="N733" s="376" t="s">
        <v>172</v>
      </c>
      <c r="O733" s="379">
        <v>1</v>
      </c>
      <c r="P733" s="385">
        <v>0</v>
      </c>
      <c r="Q733" s="385">
        <v>0</v>
      </c>
      <c r="R733" s="380">
        <v>80</v>
      </c>
      <c r="S733" s="385">
        <v>0</v>
      </c>
      <c r="T733" s="380">
        <v>445.9</v>
      </c>
      <c r="U733" s="380">
        <v>0</v>
      </c>
      <c r="V733" s="380">
        <v>144.19</v>
      </c>
      <c r="W733" s="380">
        <v>0</v>
      </c>
      <c r="X733" s="380">
        <v>0</v>
      </c>
      <c r="Y733" s="380">
        <v>0</v>
      </c>
      <c r="Z733" s="380">
        <v>0</v>
      </c>
      <c r="AA733" s="376" t="s">
        <v>858</v>
      </c>
      <c r="AB733" s="376" t="s">
        <v>859</v>
      </c>
      <c r="AC733" s="376" t="s">
        <v>860</v>
      </c>
      <c r="AD733" s="376" t="s">
        <v>300</v>
      </c>
      <c r="AE733" s="376" t="s">
        <v>787</v>
      </c>
      <c r="AF733" s="376" t="s">
        <v>211</v>
      </c>
      <c r="AG733" s="376" t="s">
        <v>178</v>
      </c>
      <c r="AH733" s="381">
        <v>29.26</v>
      </c>
      <c r="AI733" s="381">
        <v>7042.3</v>
      </c>
      <c r="AJ733" s="376" t="s">
        <v>179</v>
      </c>
      <c r="AK733" s="376" t="s">
        <v>180</v>
      </c>
      <c r="AL733" s="376" t="s">
        <v>181</v>
      </c>
      <c r="AM733" s="376" t="s">
        <v>182</v>
      </c>
      <c r="AN733" s="376" t="s">
        <v>68</v>
      </c>
      <c r="AO733" s="379">
        <v>80</v>
      </c>
      <c r="AP733" s="385">
        <v>1</v>
      </c>
      <c r="AQ733" s="385">
        <v>0</v>
      </c>
      <c r="AR733" s="383" t="s">
        <v>183</v>
      </c>
      <c r="AS733" s="387">
        <f t="shared" si="511"/>
        <v>0</v>
      </c>
      <c r="AT733">
        <f t="shared" si="512"/>
        <v>0</v>
      </c>
      <c r="AU733" s="387" t="str">
        <f>IF(AT733=0,"",IF(AND(AT733=1,M733="F",SUMIF(C2:C1334,C733,AS2:AS1334)&lt;=1),SUMIF(C2:C1334,C733,AS2:AS1334),IF(AND(AT733=1,M733="F",SUMIF(C2:C1334,C733,AS2:AS1334)&gt;1),1,"")))</f>
        <v/>
      </c>
      <c r="AV733" s="387" t="str">
        <f>IF(AT733=0,"",IF(AND(AT733=3,M733="F",SUMIF(C2:C1334,C733,AS2:AS1334)&lt;=1),SUMIF(C2:C1334,C733,AS2:AS1334),IF(AND(AT733=3,M733="F",SUMIF(C2:C1334,C733,AS2:AS1334)&gt;1),1,"")))</f>
        <v/>
      </c>
      <c r="AW733" s="387">
        <f>SUMIF(C2:C1334,C733,O2:O1334)</f>
        <v>4</v>
      </c>
      <c r="AX733" s="387">
        <f>IF(AND(M733="F",AS733&lt;&gt;0),SUMIF(C2:C1334,C733,W2:W1334),0)</f>
        <v>0</v>
      </c>
      <c r="AY733" s="387" t="str">
        <f t="shared" si="513"/>
        <v/>
      </c>
      <c r="AZ733" s="387" t="str">
        <f t="shared" si="514"/>
        <v/>
      </c>
      <c r="BA733" s="387">
        <f t="shared" si="515"/>
        <v>0</v>
      </c>
      <c r="BB733" s="387">
        <f t="shared" si="484"/>
        <v>0</v>
      </c>
      <c r="BC733" s="387">
        <f t="shared" si="485"/>
        <v>0</v>
      </c>
      <c r="BD733" s="387">
        <f t="shared" si="486"/>
        <v>0</v>
      </c>
      <c r="BE733" s="387">
        <f t="shared" si="487"/>
        <v>0</v>
      </c>
      <c r="BF733" s="387">
        <f t="shared" si="488"/>
        <v>0</v>
      </c>
      <c r="BG733" s="387">
        <f t="shared" si="489"/>
        <v>0</v>
      </c>
      <c r="BH733" s="387">
        <f t="shared" si="490"/>
        <v>0</v>
      </c>
      <c r="BI733" s="387">
        <f t="shared" si="491"/>
        <v>0</v>
      </c>
      <c r="BJ733" s="387">
        <f t="shared" si="492"/>
        <v>0</v>
      </c>
      <c r="BK733" s="387">
        <f t="shared" si="493"/>
        <v>0</v>
      </c>
      <c r="BL733" s="387">
        <f t="shared" si="516"/>
        <v>0</v>
      </c>
      <c r="BM733" s="387">
        <f t="shared" si="517"/>
        <v>0</v>
      </c>
      <c r="BN733" s="387">
        <f t="shared" si="494"/>
        <v>0</v>
      </c>
      <c r="BO733" s="387">
        <f t="shared" si="495"/>
        <v>0</v>
      </c>
      <c r="BP733" s="387">
        <f t="shared" si="496"/>
        <v>0</v>
      </c>
      <c r="BQ733" s="387">
        <f t="shared" si="497"/>
        <v>0</v>
      </c>
      <c r="BR733" s="387">
        <f t="shared" si="498"/>
        <v>0</v>
      </c>
      <c r="BS733" s="387">
        <f t="shared" si="499"/>
        <v>0</v>
      </c>
      <c r="BT733" s="387">
        <f t="shared" si="500"/>
        <v>0</v>
      </c>
      <c r="BU733" s="387">
        <f t="shared" si="501"/>
        <v>0</v>
      </c>
      <c r="BV733" s="387">
        <f t="shared" si="502"/>
        <v>0</v>
      </c>
      <c r="BW733" s="387">
        <f t="shared" si="503"/>
        <v>0</v>
      </c>
      <c r="BX733" s="387">
        <f t="shared" si="518"/>
        <v>0</v>
      </c>
      <c r="BY733" s="387">
        <f t="shared" si="519"/>
        <v>0</v>
      </c>
      <c r="BZ733" s="387">
        <f t="shared" si="520"/>
        <v>0</v>
      </c>
      <c r="CA733" s="387">
        <f t="shared" si="521"/>
        <v>0</v>
      </c>
      <c r="CB733" s="387">
        <f t="shared" si="522"/>
        <v>0</v>
      </c>
      <c r="CC733" s="387">
        <f t="shared" si="504"/>
        <v>0</v>
      </c>
      <c r="CD733" s="387">
        <f t="shared" si="505"/>
        <v>0</v>
      </c>
      <c r="CE733" s="387">
        <f t="shared" si="506"/>
        <v>0</v>
      </c>
      <c r="CF733" s="387">
        <f t="shared" si="507"/>
        <v>0</v>
      </c>
      <c r="CG733" s="387">
        <f t="shared" si="508"/>
        <v>0</v>
      </c>
      <c r="CH733" s="387">
        <f t="shared" si="509"/>
        <v>0</v>
      </c>
      <c r="CI733" s="387">
        <f t="shared" si="510"/>
        <v>0</v>
      </c>
      <c r="CJ733" s="387">
        <f t="shared" si="523"/>
        <v>0</v>
      </c>
      <c r="CK733" s="387" t="str">
        <f t="shared" si="524"/>
        <v/>
      </c>
      <c r="CL733" s="387" t="str">
        <f t="shared" si="525"/>
        <v/>
      </c>
      <c r="CM733" s="387" t="str">
        <f t="shared" si="526"/>
        <v/>
      </c>
      <c r="CN733" s="387" t="str">
        <f t="shared" si="527"/>
        <v>0349-31</v>
      </c>
    </row>
    <row r="734" spans="1:92" ht="15.75" thickBot="1" x14ac:dyDescent="0.3">
      <c r="A734" s="376" t="s">
        <v>161</v>
      </c>
      <c r="B734" s="376" t="s">
        <v>162</v>
      </c>
      <c r="C734" s="376" t="s">
        <v>829</v>
      </c>
      <c r="D734" s="376" t="s">
        <v>786</v>
      </c>
      <c r="E734" s="376" t="s">
        <v>669</v>
      </c>
      <c r="F734" s="382" t="s">
        <v>225</v>
      </c>
      <c r="G734" s="376" t="s">
        <v>781</v>
      </c>
      <c r="H734" s="378"/>
      <c r="I734" s="378"/>
      <c r="J734" s="376" t="s">
        <v>215</v>
      </c>
      <c r="K734" s="376" t="s">
        <v>787</v>
      </c>
      <c r="L734" s="376" t="s">
        <v>181</v>
      </c>
      <c r="M734" s="376" t="s">
        <v>171</v>
      </c>
      <c r="N734" s="376" t="s">
        <v>172</v>
      </c>
      <c r="O734" s="379">
        <v>1</v>
      </c>
      <c r="P734" s="385">
        <v>0</v>
      </c>
      <c r="Q734" s="385">
        <v>0</v>
      </c>
      <c r="R734" s="380">
        <v>80</v>
      </c>
      <c r="S734" s="385">
        <v>0</v>
      </c>
      <c r="T734" s="380">
        <v>74.31</v>
      </c>
      <c r="U734" s="380">
        <v>0</v>
      </c>
      <c r="V734" s="380">
        <v>22.21</v>
      </c>
      <c r="W734" s="380">
        <v>0</v>
      </c>
      <c r="X734" s="380">
        <v>0</v>
      </c>
      <c r="Y734" s="380">
        <v>0</v>
      </c>
      <c r="Z734" s="380">
        <v>0</v>
      </c>
      <c r="AA734" s="376" t="s">
        <v>830</v>
      </c>
      <c r="AB734" s="376" t="s">
        <v>831</v>
      </c>
      <c r="AC734" s="376" t="s">
        <v>832</v>
      </c>
      <c r="AD734" s="376" t="s">
        <v>170</v>
      </c>
      <c r="AE734" s="376" t="s">
        <v>787</v>
      </c>
      <c r="AF734" s="376" t="s">
        <v>211</v>
      </c>
      <c r="AG734" s="376" t="s">
        <v>178</v>
      </c>
      <c r="AH734" s="381">
        <v>35.299999999999997</v>
      </c>
      <c r="AI734" s="381">
        <v>36143.599999999999</v>
      </c>
      <c r="AJ734" s="376" t="s">
        <v>179</v>
      </c>
      <c r="AK734" s="376" t="s">
        <v>180</v>
      </c>
      <c r="AL734" s="376" t="s">
        <v>181</v>
      </c>
      <c r="AM734" s="376" t="s">
        <v>182</v>
      </c>
      <c r="AN734" s="376" t="s">
        <v>68</v>
      </c>
      <c r="AO734" s="379">
        <v>80</v>
      </c>
      <c r="AP734" s="385">
        <v>1</v>
      </c>
      <c r="AQ734" s="385">
        <v>0</v>
      </c>
      <c r="AR734" s="383" t="s">
        <v>183</v>
      </c>
      <c r="AS734" s="387">
        <f t="shared" si="511"/>
        <v>0</v>
      </c>
      <c r="AT734">
        <f t="shared" si="512"/>
        <v>0</v>
      </c>
      <c r="AU734" s="387" t="str">
        <f>IF(AT734=0,"",IF(AND(AT734=1,M734="F",SUMIF(C2:C1334,C734,AS2:AS1334)&lt;=1),SUMIF(C2:C1334,C734,AS2:AS1334),IF(AND(AT734=1,M734="F",SUMIF(C2:C1334,C734,AS2:AS1334)&gt;1),1,"")))</f>
        <v/>
      </c>
      <c r="AV734" s="387" t="str">
        <f>IF(AT734=0,"",IF(AND(AT734=3,M734="F",SUMIF(C2:C1334,C734,AS2:AS1334)&lt;=1),SUMIF(C2:C1334,C734,AS2:AS1334),IF(AND(AT734=3,M734="F",SUMIF(C2:C1334,C734,AS2:AS1334)&gt;1),1,"")))</f>
        <v/>
      </c>
      <c r="AW734" s="387">
        <f>SUMIF(C2:C1334,C734,O2:O1334)</f>
        <v>4</v>
      </c>
      <c r="AX734" s="387">
        <f>IF(AND(M734="F",AS734&lt;&gt;0),SUMIF(C2:C1334,C734,W2:W1334),0)</f>
        <v>0</v>
      </c>
      <c r="AY734" s="387" t="str">
        <f t="shared" si="513"/>
        <v/>
      </c>
      <c r="AZ734" s="387" t="str">
        <f t="shared" si="514"/>
        <v/>
      </c>
      <c r="BA734" s="387">
        <f t="shared" si="515"/>
        <v>0</v>
      </c>
      <c r="BB734" s="387">
        <f t="shared" si="484"/>
        <v>0</v>
      </c>
      <c r="BC734" s="387">
        <f t="shared" si="485"/>
        <v>0</v>
      </c>
      <c r="BD734" s="387">
        <f t="shared" si="486"/>
        <v>0</v>
      </c>
      <c r="BE734" s="387">
        <f t="shared" si="487"/>
        <v>0</v>
      </c>
      <c r="BF734" s="387">
        <f t="shared" si="488"/>
        <v>0</v>
      </c>
      <c r="BG734" s="387">
        <f t="shared" si="489"/>
        <v>0</v>
      </c>
      <c r="BH734" s="387">
        <f t="shared" si="490"/>
        <v>0</v>
      </c>
      <c r="BI734" s="387">
        <f t="shared" si="491"/>
        <v>0</v>
      </c>
      <c r="BJ734" s="387">
        <f t="shared" si="492"/>
        <v>0</v>
      </c>
      <c r="BK734" s="387">
        <f t="shared" si="493"/>
        <v>0</v>
      </c>
      <c r="BL734" s="387">
        <f t="shared" si="516"/>
        <v>0</v>
      </c>
      <c r="BM734" s="387">
        <f t="shared" si="517"/>
        <v>0</v>
      </c>
      <c r="BN734" s="387">
        <f t="shared" si="494"/>
        <v>0</v>
      </c>
      <c r="BO734" s="387">
        <f t="shared" si="495"/>
        <v>0</v>
      </c>
      <c r="BP734" s="387">
        <f t="shared" si="496"/>
        <v>0</v>
      </c>
      <c r="BQ734" s="387">
        <f t="shared" si="497"/>
        <v>0</v>
      </c>
      <c r="BR734" s="387">
        <f t="shared" si="498"/>
        <v>0</v>
      </c>
      <c r="BS734" s="387">
        <f t="shared" si="499"/>
        <v>0</v>
      </c>
      <c r="BT734" s="387">
        <f t="shared" si="500"/>
        <v>0</v>
      </c>
      <c r="BU734" s="387">
        <f t="shared" si="501"/>
        <v>0</v>
      </c>
      <c r="BV734" s="387">
        <f t="shared" si="502"/>
        <v>0</v>
      </c>
      <c r="BW734" s="387">
        <f t="shared" si="503"/>
        <v>0</v>
      </c>
      <c r="BX734" s="387">
        <f t="shared" si="518"/>
        <v>0</v>
      </c>
      <c r="BY734" s="387">
        <f t="shared" si="519"/>
        <v>0</v>
      </c>
      <c r="BZ734" s="387">
        <f t="shared" si="520"/>
        <v>0</v>
      </c>
      <c r="CA734" s="387">
        <f t="shared" si="521"/>
        <v>0</v>
      </c>
      <c r="CB734" s="387">
        <f t="shared" si="522"/>
        <v>0</v>
      </c>
      <c r="CC734" s="387">
        <f t="shared" si="504"/>
        <v>0</v>
      </c>
      <c r="CD734" s="387">
        <f t="shared" si="505"/>
        <v>0</v>
      </c>
      <c r="CE734" s="387">
        <f t="shared" si="506"/>
        <v>0</v>
      </c>
      <c r="CF734" s="387">
        <f t="shared" si="507"/>
        <v>0</v>
      </c>
      <c r="CG734" s="387">
        <f t="shared" si="508"/>
        <v>0</v>
      </c>
      <c r="CH734" s="387">
        <f t="shared" si="509"/>
        <v>0</v>
      </c>
      <c r="CI734" s="387">
        <f t="shared" si="510"/>
        <v>0</v>
      </c>
      <c r="CJ734" s="387">
        <f t="shared" si="523"/>
        <v>0</v>
      </c>
      <c r="CK734" s="387" t="str">
        <f t="shared" si="524"/>
        <v/>
      </c>
      <c r="CL734" s="387" t="str">
        <f t="shared" si="525"/>
        <v/>
      </c>
      <c r="CM734" s="387" t="str">
        <f t="shared" si="526"/>
        <v/>
      </c>
      <c r="CN734" s="387" t="str">
        <f t="shared" si="527"/>
        <v>0349-31</v>
      </c>
    </row>
    <row r="735" spans="1:92" ht="15.75" thickBot="1" x14ac:dyDescent="0.3">
      <c r="A735" s="376" t="s">
        <v>161</v>
      </c>
      <c r="B735" s="376" t="s">
        <v>162</v>
      </c>
      <c r="C735" s="376" t="s">
        <v>544</v>
      </c>
      <c r="D735" s="376" t="s">
        <v>263</v>
      </c>
      <c r="E735" s="376" t="s">
        <v>669</v>
      </c>
      <c r="F735" s="382" t="s">
        <v>225</v>
      </c>
      <c r="G735" s="376" t="s">
        <v>781</v>
      </c>
      <c r="H735" s="378"/>
      <c r="I735" s="378"/>
      <c r="J735" s="376" t="s">
        <v>215</v>
      </c>
      <c r="K735" s="376" t="s">
        <v>264</v>
      </c>
      <c r="L735" s="376" t="s">
        <v>210</v>
      </c>
      <c r="M735" s="376" t="s">
        <v>171</v>
      </c>
      <c r="N735" s="376" t="s">
        <v>172</v>
      </c>
      <c r="O735" s="379">
        <v>1</v>
      </c>
      <c r="P735" s="385">
        <v>0</v>
      </c>
      <c r="Q735" s="385">
        <v>0</v>
      </c>
      <c r="R735" s="380">
        <v>80</v>
      </c>
      <c r="S735" s="385">
        <v>0</v>
      </c>
      <c r="T735" s="380">
        <v>206.73</v>
      </c>
      <c r="U735" s="380">
        <v>0</v>
      </c>
      <c r="V735" s="380">
        <v>59.81</v>
      </c>
      <c r="W735" s="380">
        <v>0</v>
      </c>
      <c r="X735" s="380">
        <v>0</v>
      </c>
      <c r="Y735" s="380">
        <v>0</v>
      </c>
      <c r="Z735" s="380">
        <v>0</v>
      </c>
      <c r="AA735" s="376" t="s">
        <v>545</v>
      </c>
      <c r="AB735" s="376" t="s">
        <v>546</v>
      </c>
      <c r="AC735" s="376" t="s">
        <v>458</v>
      </c>
      <c r="AD735" s="376" t="s">
        <v>406</v>
      </c>
      <c r="AE735" s="376" t="s">
        <v>264</v>
      </c>
      <c r="AF735" s="376" t="s">
        <v>245</v>
      </c>
      <c r="AG735" s="376" t="s">
        <v>178</v>
      </c>
      <c r="AH735" s="381">
        <v>31.31</v>
      </c>
      <c r="AI735" s="381">
        <v>46544.3</v>
      </c>
      <c r="AJ735" s="376" t="s">
        <v>179</v>
      </c>
      <c r="AK735" s="376" t="s">
        <v>180</v>
      </c>
      <c r="AL735" s="376" t="s">
        <v>181</v>
      </c>
      <c r="AM735" s="376" t="s">
        <v>182</v>
      </c>
      <c r="AN735" s="376" t="s">
        <v>68</v>
      </c>
      <c r="AO735" s="379">
        <v>80</v>
      </c>
      <c r="AP735" s="385">
        <v>1</v>
      </c>
      <c r="AQ735" s="385">
        <v>0</v>
      </c>
      <c r="AR735" s="383" t="s">
        <v>183</v>
      </c>
      <c r="AS735" s="387">
        <f t="shared" si="511"/>
        <v>0</v>
      </c>
      <c r="AT735">
        <f t="shared" si="512"/>
        <v>0</v>
      </c>
      <c r="AU735" s="387" t="str">
        <f>IF(AT735=0,"",IF(AND(AT735=1,M735="F",SUMIF(C2:C1334,C735,AS2:AS1334)&lt;=1),SUMIF(C2:C1334,C735,AS2:AS1334),IF(AND(AT735=1,M735="F",SUMIF(C2:C1334,C735,AS2:AS1334)&gt;1),1,"")))</f>
        <v/>
      </c>
      <c r="AV735" s="387" t="str">
        <f>IF(AT735=0,"",IF(AND(AT735=3,M735="F",SUMIF(C2:C1334,C735,AS2:AS1334)&lt;=1),SUMIF(C2:C1334,C735,AS2:AS1334),IF(AND(AT735=3,M735="F",SUMIF(C2:C1334,C735,AS2:AS1334)&gt;1),1,"")))</f>
        <v/>
      </c>
      <c r="AW735" s="387">
        <f>SUMIF(C2:C1334,C735,O2:O1334)</f>
        <v>4</v>
      </c>
      <c r="AX735" s="387">
        <f>IF(AND(M735="F",AS735&lt;&gt;0),SUMIF(C2:C1334,C735,W2:W1334),0)</f>
        <v>0</v>
      </c>
      <c r="AY735" s="387" t="str">
        <f t="shared" si="513"/>
        <v/>
      </c>
      <c r="AZ735" s="387" t="str">
        <f t="shared" si="514"/>
        <v/>
      </c>
      <c r="BA735" s="387">
        <f t="shared" si="515"/>
        <v>0</v>
      </c>
      <c r="BB735" s="387">
        <f t="shared" si="484"/>
        <v>0</v>
      </c>
      <c r="BC735" s="387">
        <f t="shared" si="485"/>
        <v>0</v>
      </c>
      <c r="BD735" s="387">
        <f t="shared" si="486"/>
        <v>0</v>
      </c>
      <c r="BE735" s="387">
        <f t="shared" si="487"/>
        <v>0</v>
      </c>
      <c r="BF735" s="387">
        <f t="shared" si="488"/>
        <v>0</v>
      </c>
      <c r="BG735" s="387">
        <f t="shared" si="489"/>
        <v>0</v>
      </c>
      <c r="BH735" s="387">
        <f t="shared" si="490"/>
        <v>0</v>
      </c>
      <c r="BI735" s="387">
        <f t="shared" si="491"/>
        <v>0</v>
      </c>
      <c r="BJ735" s="387">
        <f t="shared" si="492"/>
        <v>0</v>
      </c>
      <c r="BK735" s="387">
        <f t="shared" si="493"/>
        <v>0</v>
      </c>
      <c r="BL735" s="387">
        <f t="shared" si="516"/>
        <v>0</v>
      </c>
      <c r="BM735" s="387">
        <f t="shared" si="517"/>
        <v>0</v>
      </c>
      <c r="BN735" s="387">
        <f t="shared" si="494"/>
        <v>0</v>
      </c>
      <c r="BO735" s="387">
        <f t="shared" si="495"/>
        <v>0</v>
      </c>
      <c r="BP735" s="387">
        <f t="shared" si="496"/>
        <v>0</v>
      </c>
      <c r="BQ735" s="387">
        <f t="shared" si="497"/>
        <v>0</v>
      </c>
      <c r="BR735" s="387">
        <f t="shared" si="498"/>
        <v>0</v>
      </c>
      <c r="BS735" s="387">
        <f t="shared" si="499"/>
        <v>0</v>
      </c>
      <c r="BT735" s="387">
        <f t="shared" si="500"/>
        <v>0</v>
      </c>
      <c r="BU735" s="387">
        <f t="shared" si="501"/>
        <v>0</v>
      </c>
      <c r="BV735" s="387">
        <f t="shared" si="502"/>
        <v>0</v>
      </c>
      <c r="BW735" s="387">
        <f t="shared" si="503"/>
        <v>0</v>
      </c>
      <c r="BX735" s="387">
        <f t="shared" si="518"/>
        <v>0</v>
      </c>
      <c r="BY735" s="387">
        <f t="shared" si="519"/>
        <v>0</v>
      </c>
      <c r="BZ735" s="387">
        <f t="shared" si="520"/>
        <v>0</v>
      </c>
      <c r="CA735" s="387">
        <f t="shared" si="521"/>
        <v>0</v>
      </c>
      <c r="CB735" s="387">
        <f t="shared" si="522"/>
        <v>0</v>
      </c>
      <c r="CC735" s="387">
        <f t="shared" si="504"/>
        <v>0</v>
      </c>
      <c r="CD735" s="387">
        <f t="shared" si="505"/>
        <v>0</v>
      </c>
      <c r="CE735" s="387">
        <f t="shared" si="506"/>
        <v>0</v>
      </c>
      <c r="CF735" s="387">
        <f t="shared" si="507"/>
        <v>0</v>
      </c>
      <c r="CG735" s="387">
        <f t="shared" si="508"/>
        <v>0</v>
      </c>
      <c r="CH735" s="387">
        <f t="shared" si="509"/>
        <v>0</v>
      </c>
      <c r="CI735" s="387">
        <f t="shared" si="510"/>
        <v>0</v>
      </c>
      <c r="CJ735" s="387">
        <f t="shared" si="523"/>
        <v>0</v>
      </c>
      <c r="CK735" s="387" t="str">
        <f t="shared" si="524"/>
        <v/>
      </c>
      <c r="CL735" s="387" t="str">
        <f t="shared" si="525"/>
        <v/>
      </c>
      <c r="CM735" s="387" t="str">
        <f t="shared" si="526"/>
        <v/>
      </c>
      <c r="CN735" s="387" t="str">
        <f t="shared" si="527"/>
        <v>0349-31</v>
      </c>
    </row>
    <row r="736" spans="1:92" ht="15.75" thickBot="1" x14ac:dyDescent="0.3">
      <c r="A736" s="376" t="s">
        <v>161</v>
      </c>
      <c r="B736" s="376" t="s">
        <v>162</v>
      </c>
      <c r="C736" s="376" t="s">
        <v>1733</v>
      </c>
      <c r="D736" s="376" t="s">
        <v>862</v>
      </c>
      <c r="E736" s="376" t="s">
        <v>669</v>
      </c>
      <c r="F736" s="382" t="s">
        <v>225</v>
      </c>
      <c r="G736" s="376" t="s">
        <v>781</v>
      </c>
      <c r="H736" s="378"/>
      <c r="I736" s="378"/>
      <c r="J736" s="376" t="s">
        <v>215</v>
      </c>
      <c r="K736" s="376" t="s">
        <v>863</v>
      </c>
      <c r="L736" s="376" t="s">
        <v>252</v>
      </c>
      <c r="M736" s="376" t="s">
        <v>272</v>
      </c>
      <c r="N736" s="376" t="s">
        <v>877</v>
      </c>
      <c r="O736" s="379">
        <v>0</v>
      </c>
      <c r="P736" s="385">
        <v>0</v>
      </c>
      <c r="Q736" s="385">
        <v>0</v>
      </c>
      <c r="R736" s="380">
        <v>80</v>
      </c>
      <c r="S736" s="385">
        <v>0</v>
      </c>
      <c r="T736" s="380">
        <v>104.11</v>
      </c>
      <c r="U736" s="380">
        <v>0</v>
      </c>
      <c r="V736" s="380">
        <v>46.68</v>
      </c>
      <c r="W736" s="380">
        <v>0</v>
      </c>
      <c r="X736" s="380">
        <v>0</v>
      </c>
      <c r="Y736" s="380">
        <v>0</v>
      </c>
      <c r="Z736" s="380">
        <v>0</v>
      </c>
      <c r="AA736" s="378"/>
      <c r="AB736" s="376" t="s">
        <v>45</v>
      </c>
      <c r="AC736" s="376" t="s">
        <v>45</v>
      </c>
      <c r="AD736" s="378"/>
      <c r="AE736" s="378"/>
      <c r="AF736" s="378"/>
      <c r="AG736" s="378"/>
      <c r="AH736" s="379">
        <v>0</v>
      </c>
      <c r="AI736" s="379">
        <v>0</v>
      </c>
      <c r="AJ736" s="378"/>
      <c r="AK736" s="378"/>
      <c r="AL736" s="376" t="s">
        <v>181</v>
      </c>
      <c r="AM736" s="378"/>
      <c r="AN736" s="378"/>
      <c r="AO736" s="379">
        <v>0</v>
      </c>
      <c r="AP736" s="385">
        <v>0</v>
      </c>
      <c r="AQ736" s="385">
        <v>0</v>
      </c>
      <c r="AR736" s="384"/>
      <c r="AS736" s="387">
        <f t="shared" si="511"/>
        <v>0</v>
      </c>
      <c r="AT736">
        <f t="shared" si="512"/>
        <v>0</v>
      </c>
      <c r="AU736" s="387" t="str">
        <f>IF(AT736=0,"",IF(AND(AT736=1,M736="F",SUMIF(C2:C1334,C736,AS2:AS1334)&lt;=1),SUMIF(C2:C1334,C736,AS2:AS1334),IF(AND(AT736=1,M736="F",SUMIF(C2:C1334,C736,AS2:AS1334)&gt;1),1,"")))</f>
        <v/>
      </c>
      <c r="AV736" s="387" t="str">
        <f>IF(AT736=0,"",IF(AND(AT736=3,M736="F",SUMIF(C2:C1334,C736,AS2:AS1334)&lt;=1),SUMIF(C2:C1334,C736,AS2:AS1334),IF(AND(AT736=3,M736="F",SUMIF(C2:C1334,C736,AS2:AS1334)&gt;1),1,"")))</f>
        <v/>
      </c>
      <c r="AW736" s="387">
        <f>SUMIF(C2:C1334,C736,O2:O1334)</f>
        <v>0</v>
      </c>
      <c r="AX736" s="387">
        <f>IF(AND(M736="F",AS736&lt;&gt;0),SUMIF(C2:C1334,C736,W2:W1334),0)</f>
        <v>0</v>
      </c>
      <c r="AY736" s="387" t="str">
        <f t="shared" si="513"/>
        <v/>
      </c>
      <c r="AZ736" s="387" t="str">
        <f t="shared" si="514"/>
        <v/>
      </c>
      <c r="BA736" s="387">
        <f t="shared" si="515"/>
        <v>0</v>
      </c>
      <c r="BB736" s="387">
        <f t="shared" si="484"/>
        <v>0</v>
      </c>
      <c r="BC736" s="387">
        <f t="shared" si="485"/>
        <v>0</v>
      </c>
      <c r="BD736" s="387">
        <f t="shared" si="486"/>
        <v>0</v>
      </c>
      <c r="BE736" s="387">
        <f t="shared" si="487"/>
        <v>0</v>
      </c>
      <c r="BF736" s="387">
        <f t="shared" si="488"/>
        <v>0</v>
      </c>
      <c r="BG736" s="387">
        <f t="shared" si="489"/>
        <v>0</v>
      </c>
      <c r="BH736" s="387">
        <f t="shared" si="490"/>
        <v>0</v>
      </c>
      <c r="BI736" s="387">
        <f t="shared" si="491"/>
        <v>0</v>
      </c>
      <c r="BJ736" s="387">
        <f t="shared" si="492"/>
        <v>0</v>
      </c>
      <c r="BK736" s="387">
        <f t="shared" si="493"/>
        <v>0</v>
      </c>
      <c r="BL736" s="387">
        <f t="shared" si="516"/>
        <v>0</v>
      </c>
      <c r="BM736" s="387">
        <f t="shared" si="517"/>
        <v>0</v>
      </c>
      <c r="BN736" s="387">
        <f t="shared" si="494"/>
        <v>0</v>
      </c>
      <c r="BO736" s="387">
        <f t="shared" si="495"/>
        <v>0</v>
      </c>
      <c r="BP736" s="387">
        <f t="shared" si="496"/>
        <v>0</v>
      </c>
      <c r="BQ736" s="387">
        <f t="shared" si="497"/>
        <v>0</v>
      </c>
      <c r="BR736" s="387">
        <f t="shared" si="498"/>
        <v>0</v>
      </c>
      <c r="BS736" s="387">
        <f t="shared" si="499"/>
        <v>0</v>
      </c>
      <c r="BT736" s="387">
        <f t="shared" si="500"/>
        <v>0</v>
      </c>
      <c r="BU736" s="387">
        <f t="shared" si="501"/>
        <v>0</v>
      </c>
      <c r="BV736" s="387">
        <f t="shared" si="502"/>
        <v>0</v>
      </c>
      <c r="BW736" s="387">
        <f t="shared" si="503"/>
        <v>0</v>
      </c>
      <c r="BX736" s="387">
        <f t="shared" si="518"/>
        <v>0</v>
      </c>
      <c r="BY736" s="387">
        <f t="shared" si="519"/>
        <v>0</v>
      </c>
      <c r="BZ736" s="387">
        <f t="shared" si="520"/>
        <v>0</v>
      </c>
      <c r="CA736" s="387">
        <f t="shared" si="521"/>
        <v>0</v>
      </c>
      <c r="CB736" s="387">
        <f t="shared" si="522"/>
        <v>0</v>
      </c>
      <c r="CC736" s="387">
        <f t="shared" si="504"/>
        <v>0</v>
      </c>
      <c r="CD736" s="387">
        <f t="shared" si="505"/>
        <v>0</v>
      </c>
      <c r="CE736" s="387">
        <f t="shared" si="506"/>
        <v>0</v>
      </c>
      <c r="CF736" s="387">
        <f t="shared" si="507"/>
        <v>0</v>
      </c>
      <c r="CG736" s="387">
        <f t="shared" si="508"/>
        <v>0</v>
      </c>
      <c r="CH736" s="387">
        <f t="shared" si="509"/>
        <v>0</v>
      </c>
      <c r="CI736" s="387">
        <f t="shared" si="510"/>
        <v>0</v>
      </c>
      <c r="CJ736" s="387">
        <f t="shared" si="523"/>
        <v>0</v>
      </c>
      <c r="CK736" s="387" t="str">
        <f t="shared" si="524"/>
        <v/>
      </c>
      <c r="CL736" s="387" t="str">
        <f t="shared" si="525"/>
        <v/>
      </c>
      <c r="CM736" s="387" t="str">
        <f t="shared" si="526"/>
        <v/>
      </c>
      <c r="CN736" s="387" t="str">
        <f t="shared" si="527"/>
        <v>0349-31</v>
      </c>
    </row>
    <row r="737" spans="1:92" ht="15.75" thickBot="1" x14ac:dyDescent="0.3">
      <c r="A737" s="376" t="s">
        <v>161</v>
      </c>
      <c r="B737" s="376" t="s">
        <v>162</v>
      </c>
      <c r="C737" s="376" t="s">
        <v>1891</v>
      </c>
      <c r="D737" s="376" t="s">
        <v>862</v>
      </c>
      <c r="E737" s="376" t="s">
        <v>669</v>
      </c>
      <c r="F737" s="382" t="s">
        <v>225</v>
      </c>
      <c r="G737" s="376" t="s">
        <v>781</v>
      </c>
      <c r="H737" s="378"/>
      <c r="I737" s="378"/>
      <c r="J737" s="376" t="s">
        <v>239</v>
      </c>
      <c r="K737" s="376" t="s">
        <v>863</v>
      </c>
      <c r="L737" s="376" t="s">
        <v>252</v>
      </c>
      <c r="M737" s="376" t="s">
        <v>171</v>
      </c>
      <c r="N737" s="376" t="s">
        <v>172</v>
      </c>
      <c r="O737" s="379">
        <v>1</v>
      </c>
      <c r="P737" s="385">
        <v>0</v>
      </c>
      <c r="Q737" s="385">
        <v>0</v>
      </c>
      <c r="R737" s="380">
        <v>80</v>
      </c>
      <c r="S737" s="385">
        <v>0</v>
      </c>
      <c r="T737" s="380">
        <v>756.15</v>
      </c>
      <c r="U737" s="380">
        <v>0</v>
      </c>
      <c r="V737" s="380">
        <v>371.15</v>
      </c>
      <c r="W737" s="380">
        <v>0</v>
      </c>
      <c r="X737" s="380">
        <v>0</v>
      </c>
      <c r="Y737" s="380">
        <v>0</v>
      </c>
      <c r="Z737" s="380">
        <v>0</v>
      </c>
      <c r="AA737" s="376" t="s">
        <v>1892</v>
      </c>
      <c r="AB737" s="376" t="s">
        <v>1893</v>
      </c>
      <c r="AC737" s="376" t="s">
        <v>1894</v>
      </c>
      <c r="AD737" s="376" t="s">
        <v>1895</v>
      </c>
      <c r="AE737" s="376" t="s">
        <v>863</v>
      </c>
      <c r="AF737" s="376" t="s">
        <v>393</v>
      </c>
      <c r="AG737" s="376" t="s">
        <v>178</v>
      </c>
      <c r="AH737" s="381">
        <v>23.77</v>
      </c>
      <c r="AI737" s="381">
        <v>35283.199999999997</v>
      </c>
      <c r="AJ737" s="376" t="s">
        <v>179</v>
      </c>
      <c r="AK737" s="376" t="s">
        <v>180</v>
      </c>
      <c r="AL737" s="376" t="s">
        <v>181</v>
      </c>
      <c r="AM737" s="376" t="s">
        <v>182</v>
      </c>
      <c r="AN737" s="376" t="s">
        <v>68</v>
      </c>
      <c r="AO737" s="379">
        <v>80</v>
      </c>
      <c r="AP737" s="385">
        <v>1</v>
      </c>
      <c r="AQ737" s="385">
        <v>0</v>
      </c>
      <c r="AR737" s="383" t="s">
        <v>183</v>
      </c>
      <c r="AS737" s="387">
        <f t="shared" si="511"/>
        <v>0</v>
      </c>
      <c r="AT737">
        <f t="shared" si="512"/>
        <v>0</v>
      </c>
      <c r="AU737" s="387" t="str">
        <f>IF(AT737=0,"",IF(AND(AT737=1,M737="F",SUMIF(C2:C1334,C737,AS2:AS1334)&lt;=1),SUMIF(C2:C1334,C737,AS2:AS1334),IF(AND(AT737=1,M737="F",SUMIF(C2:C1334,C737,AS2:AS1334)&gt;1),1,"")))</f>
        <v/>
      </c>
      <c r="AV737" s="387" t="str">
        <f>IF(AT737=0,"",IF(AND(AT737=3,M737="F",SUMIF(C2:C1334,C737,AS2:AS1334)&lt;=1),SUMIF(C2:C1334,C737,AS2:AS1334),IF(AND(AT737=3,M737="F",SUMIF(C2:C1334,C737,AS2:AS1334)&gt;1),1,"")))</f>
        <v/>
      </c>
      <c r="AW737" s="387">
        <f>SUMIF(C2:C1334,C737,O2:O1334)</f>
        <v>3</v>
      </c>
      <c r="AX737" s="387">
        <f>IF(AND(M737="F",AS737&lt;&gt;0),SUMIF(C2:C1334,C737,W2:W1334),0)</f>
        <v>0</v>
      </c>
      <c r="AY737" s="387" t="str">
        <f t="shared" si="513"/>
        <v/>
      </c>
      <c r="AZ737" s="387" t="str">
        <f t="shared" si="514"/>
        <v/>
      </c>
      <c r="BA737" s="387">
        <f t="shared" si="515"/>
        <v>0</v>
      </c>
      <c r="BB737" s="387">
        <f t="shared" si="484"/>
        <v>0</v>
      </c>
      <c r="BC737" s="387">
        <f t="shared" si="485"/>
        <v>0</v>
      </c>
      <c r="BD737" s="387">
        <f t="shared" si="486"/>
        <v>0</v>
      </c>
      <c r="BE737" s="387">
        <f t="shared" si="487"/>
        <v>0</v>
      </c>
      <c r="BF737" s="387">
        <f t="shared" si="488"/>
        <v>0</v>
      </c>
      <c r="BG737" s="387">
        <f t="shared" si="489"/>
        <v>0</v>
      </c>
      <c r="BH737" s="387">
        <f t="shared" si="490"/>
        <v>0</v>
      </c>
      <c r="BI737" s="387">
        <f t="shared" si="491"/>
        <v>0</v>
      </c>
      <c r="BJ737" s="387">
        <f t="shared" si="492"/>
        <v>0</v>
      </c>
      <c r="BK737" s="387">
        <f t="shared" si="493"/>
        <v>0</v>
      </c>
      <c r="BL737" s="387">
        <f t="shared" si="516"/>
        <v>0</v>
      </c>
      <c r="BM737" s="387">
        <f t="shared" si="517"/>
        <v>0</v>
      </c>
      <c r="BN737" s="387">
        <f t="shared" si="494"/>
        <v>0</v>
      </c>
      <c r="BO737" s="387">
        <f t="shared" si="495"/>
        <v>0</v>
      </c>
      <c r="BP737" s="387">
        <f t="shared" si="496"/>
        <v>0</v>
      </c>
      <c r="BQ737" s="387">
        <f t="shared" si="497"/>
        <v>0</v>
      </c>
      <c r="BR737" s="387">
        <f t="shared" si="498"/>
        <v>0</v>
      </c>
      <c r="BS737" s="387">
        <f t="shared" si="499"/>
        <v>0</v>
      </c>
      <c r="BT737" s="387">
        <f t="shared" si="500"/>
        <v>0</v>
      </c>
      <c r="BU737" s="387">
        <f t="shared" si="501"/>
        <v>0</v>
      </c>
      <c r="BV737" s="387">
        <f t="shared" si="502"/>
        <v>0</v>
      </c>
      <c r="BW737" s="387">
        <f t="shared" si="503"/>
        <v>0</v>
      </c>
      <c r="BX737" s="387">
        <f t="shared" si="518"/>
        <v>0</v>
      </c>
      <c r="BY737" s="387">
        <f t="shared" si="519"/>
        <v>0</v>
      </c>
      <c r="BZ737" s="387">
        <f t="shared" si="520"/>
        <v>0</v>
      </c>
      <c r="CA737" s="387">
        <f t="shared" si="521"/>
        <v>0</v>
      </c>
      <c r="CB737" s="387">
        <f t="shared" si="522"/>
        <v>0</v>
      </c>
      <c r="CC737" s="387">
        <f t="shared" si="504"/>
        <v>0</v>
      </c>
      <c r="CD737" s="387">
        <f t="shared" si="505"/>
        <v>0</v>
      </c>
      <c r="CE737" s="387">
        <f t="shared" si="506"/>
        <v>0</v>
      </c>
      <c r="CF737" s="387">
        <f t="shared" si="507"/>
        <v>0</v>
      </c>
      <c r="CG737" s="387">
        <f t="shared" si="508"/>
        <v>0</v>
      </c>
      <c r="CH737" s="387">
        <f t="shared" si="509"/>
        <v>0</v>
      </c>
      <c r="CI737" s="387">
        <f t="shared" si="510"/>
        <v>0</v>
      </c>
      <c r="CJ737" s="387">
        <f t="shared" si="523"/>
        <v>0</v>
      </c>
      <c r="CK737" s="387" t="str">
        <f t="shared" si="524"/>
        <v/>
      </c>
      <c r="CL737" s="387" t="str">
        <f t="shared" si="525"/>
        <v/>
      </c>
      <c r="CM737" s="387" t="str">
        <f t="shared" si="526"/>
        <v/>
      </c>
      <c r="CN737" s="387" t="str">
        <f t="shared" si="527"/>
        <v>0349-31</v>
      </c>
    </row>
    <row r="738" spans="1:92" ht="15.75" thickBot="1" x14ac:dyDescent="0.3">
      <c r="A738" s="376" t="s">
        <v>161</v>
      </c>
      <c r="B738" s="376" t="s">
        <v>162</v>
      </c>
      <c r="C738" s="376" t="s">
        <v>785</v>
      </c>
      <c r="D738" s="376" t="s">
        <v>786</v>
      </c>
      <c r="E738" s="376" t="s">
        <v>669</v>
      </c>
      <c r="F738" s="382" t="s">
        <v>225</v>
      </c>
      <c r="G738" s="376" t="s">
        <v>781</v>
      </c>
      <c r="H738" s="378"/>
      <c r="I738" s="378"/>
      <c r="J738" s="376" t="s">
        <v>215</v>
      </c>
      <c r="K738" s="376" t="s">
        <v>787</v>
      </c>
      <c r="L738" s="376" t="s">
        <v>181</v>
      </c>
      <c r="M738" s="376" t="s">
        <v>171</v>
      </c>
      <c r="N738" s="376" t="s">
        <v>172</v>
      </c>
      <c r="O738" s="379">
        <v>1</v>
      </c>
      <c r="P738" s="385">
        <v>0</v>
      </c>
      <c r="Q738" s="385">
        <v>0</v>
      </c>
      <c r="R738" s="380">
        <v>80</v>
      </c>
      <c r="S738" s="385">
        <v>0</v>
      </c>
      <c r="T738" s="380">
        <v>173.81</v>
      </c>
      <c r="U738" s="380">
        <v>0</v>
      </c>
      <c r="V738" s="380">
        <v>51.05</v>
      </c>
      <c r="W738" s="380">
        <v>0</v>
      </c>
      <c r="X738" s="380">
        <v>0</v>
      </c>
      <c r="Y738" s="380">
        <v>0</v>
      </c>
      <c r="Z738" s="380">
        <v>0</v>
      </c>
      <c r="AA738" s="376" t="s">
        <v>788</v>
      </c>
      <c r="AB738" s="376" t="s">
        <v>789</v>
      </c>
      <c r="AC738" s="376" t="s">
        <v>790</v>
      </c>
      <c r="AD738" s="376" t="s">
        <v>252</v>
      </c>
      <c r="AE738" s="376" t="s">
        <v>787</v>
      </c>
      <c r="AF738" s="376" t="s">
        <v>211</v>
      </c>
      <c r="AG738" s="376" t="s">
        <v>178</v>
      </c>
      <c r="AH738" s="381">
        <v>42.04</v>
      </c>
      <c r="AI738" s="381">
        <v>73560.800000000003</v>
      </c>
      <c r="AJ738" s="376" t="s">
        <v>179</v>
      </c>
      <c r="AK738" s="376" t="s">
        <v>180</v>
      </c>
      <c r="AL738" s="376" t="s">
        <v>181</v>
      </c>
      <c r="AM738" s="376" t="s">
        <v>182</v>
      </c>
      <c r="AN738" s="376" t="s">
        <v>68</v>
      </c>
      <c r="AO738" s="379">
        <v>80</v>
      </c>
      <c r="AP738" s="385">
        <v>1</v>
      </c>
      <c r="AQ738" s="385">
        <v>0</v>
      </c>
      <c r="AR738" s="383" t="s">
        <v>183</v>
      </c>
      <c r="AS738" s="387">
        <f t="shared" si="511"/>
        <v>0</v>
      </c>
      <c r="AT738">
        <f t="shared" si="512"/>
        <v>0</v>
      </c>
      <c r="AU738" s="387" t="str">
        <f>IF(AT738=0,"",IF(AND(AT738=1,M738="F",SUMIF(C2:C1334,C738,AS2:AS1334)&lt;=1),SUMIF(C2:C1334,C738,AS2:AS1334),IF(AND(AT738=1,M738="F",SUMIF(C2:C1334,C738,AS2:AS1334)&gt;1),1,"")))</f>
        <v/>
      </c>
      <c r="AV738" s="387" t="str">
        <f>IF(AT738=0,"",IF(AND(AT738=3,M738="F",SUMIF(C2:C1334,C738,AS2:AS1334)&lt;=1),SUMIF(C2:C1334,C738,AS2:AS1334),IF(AND(AT738=3,M738="F",SUMIF(C2:C1334,C738,AS2:AS1334)&gt;1),1,"")))</f>
        <v/>
      </c>
      <c r="AW738" s="387">
        <f>SUMIF(C2:C1334,C738,O2:O1334)</f>
        <v>3</v>
      </c>
      <c r="AX738" s="387">
        <f>IF(AND(M738="F",AS738&lt;&gt;0),SUMIF(C2:C1334,C738,W2:W1334),0)</f>
        <v>0</v>
      </c>
      <c r="AY738" s="387" t="str">
        <f t="shared" si="513"/>
        <v/>
      </c>
      <c r="AZ738" s="387" t="str">
        <f t="shared" si="514"/>
        <v/>
      </c>
      <c r="BA738" s="387">
        <f t="shared" si="515"/>
        <v>0</v>
      </c>
      <c r="BB738" s="387">
        <f t="shared" si="484"/>
        <v>0</v>
      </c>
      <c r="BC738" s="387">
        <f t="shared" si="485"/>
        <v>0</v>
      </c>
      <c r="BD738" s="387">
        <f t="shared" si="486"/>
        <v>0</v>
      </c>
      <c r="BE738" s="387">
        <f t="shared" si="487"/>
        <v>0</v>
      </c>
      <c r="BF738" s="387">
        <f t="shared" si="488"/>
        <v>0</v>
      </c>
      <c r="BG738" s="387">
        <f t="shared" si="489"/>
        <v>0</v>
      </c>
      <c r="BH738" s="387">
        <f t="shared" si="490"/>
        <v>0</v>
      </c>
      <c r="BI738" s="387">
        <f t="shared" si="491"/>
        <v>0</v>
      </c>
      <c r="BJ738" s="387">
        <f t="shared" si="492"/>
        <v>0</v>
      </c>
      <c r="BK738" s="387">
        <f t="shared" si="493"/>
        <v>0</v>
      </c>
      <c r="BL738" s="387">
        <f t="shared" si="516"/>
        <v>0</v>
      </c>
      <c r="BM738" s="387">
        <f t="shared" si="517"/>
        <v>0</v>
      </c>
      <c r="BN738" s="387">
        <f t="shared" si="494"/>
        <v>0</v>
      </c>
      <c r="BO738" s="387">
        <f t="shared" si="495"/>
        <v>0</v>
      </c>
      <c r="BP738" s="387">
        <f t="shared" si="496"/>
        <v>0</v>
      </c>
      <c r="BQ738" s="387">
        <f t="shared" si="497"/>
        <v>0</v>
      </c>
      <c r="BR738" s="387">
        <f t="shared" si="498"/>
        <v>0</v>
      </c>
      <c r="BS738" s="387">
        <f t="shared" si="499"/>
        <v>0</v>
      </c>
      <c r="BT738" s="387">
        <f t="shared" si="500"/>
        <v>0</v>
      </c>
      <c r="BU738" s="387">
        <f t="shared" si="501"/>
        <v>0</v>
      </c>
      <c r="BV738" s="387">
        <f t="shared" si="502"/>
        <v>0</v>
      </c>
      <c r="BW738" s="387">
        <f t="shared" si="503"/>
        <v>0</v>
      </c>
      <c r="BX738" s="387">
        <f t="shared" si="518"/>
        <v>0</v>
      </c>
      <c r="BY738" s="387">
        <f t="shared" si="519"/>
        <v>0</v>
      </c>
      <c r="BZ738" s="387">
        <f t="shared" si="520"/>
        <v>0</v>
      </c>
      <c r="CA738" s="387">
        <f t="shared" si="521"/>
        <v>0</v>
      </c>
      <c r="CB738" s="387">
        <f t="shared" si="522"/>
        <v>0</v>
      </c>
      <c r="CC738" s="387">
        <f t="shared" si="504"/>
        <v>0</v>
      </c>
      <c r="CD738" s="387">
        <f t="shared" si="505"/>
        <v>0</v>
      </c>
      <c r="CE738" s="387">
        <f t="shared" si="506"/>
        <v>0</v>
      </c>
      <c r="CF738" s="387">
        <f t="shared" si="507"/>
        <v>0</v>
      </c>
      <c r="CG738" s="387">
        <f t="shared" si="508"/>
        <v>0</v>
      </c>
      <c r="CH738" s="387">
        <f t="shared" si="509"/>
        <v>0</v>
      </c>
      <c r="CI738" s="387">
        <f t="shared" si="510"/>
        <v>0</v>
      </c>
      <c r="CJ738" s="387">
        <f t="shared" si="523"/>
        <v>0</v>
      </c>
      <c r="CK738" s="387" t="str">
        <f t="shared" si="524"/>
        <v/>
      </c>
      <c r="CL738" s="387" t="str">
        <f t="shared" si="525"/>
        <v/>
      </c>
      <c r="CM738" s="387" t="str">
        <f t="shared" si="526"/>
        <v/>
      </c>
      <c r="CN738" s="387" t="str">
        <f t="shared" si="527"/>
        <v>0349-31</v>
      </c>
    </row>
    <row r="739" spans="1:92" ht="15.75" thickBot="1" x14ac:dyDescent="0.3">
      <c r="A739" s="376" t="s">
        <v>161</v>
      </c>
      <c r="B739" s="376" t="s">
        <v>162</v>
      </c>
      <c r="C739" s="376" t="s">
        <v>833</v>
      </c>
      <c r="D739" s="376" t="s">
        <v>786</v>
      </c>
      <c r="E739" s="376" t="s">
        <v>669</v>
      </c>
      <c r="F739" s="382" t="s">
        <v>225</v>
      </c>
      <c r="G739" s="376" t="s">
        <v>781</v>
      </c>
      <c r="H739" s="378"/>
      <c r="I739" s="378"/>
      <c r="J739" s="376" t="s">
        <v>239</v>
      </c>
      <c r="K739" s="376" t="s">
        <v>787</v>
      </c>
      <c r="L739" s="376" t="s">
        <v>181</v>
      </c>
      <c r="M739" s="376" t="s">
        <v>171</v>
      </c>
      <c r="N739" s="376" t="s">
        <v>172</v>
      </c>
      <c r="O739" s="379">
        <v>1</v>
      </c>
      <c r="P739" s="385">
        <v>0</v>
      </c>
      <c r="Q739" s="385">
        <v>0</v>
      </c>
      <c r="R739" s="380">
        <v>80</v>
      </c>
      <c r="S739" s="385">
        <v>0</v>
      </c>
      <c r="T739" s="380">
        <v>30</v>
      </c>
      <c r="U739" s="380">
        <v>0</v>
      </c>
      <c r="V739" s="380">
        <v>12.51</v>
      </c>
      <c r="W739" s="380">
        <v>0</v>
      </c>
      <c r="X739" s="380">
        <v>0</v>
      </c>
      <c r="Y739" s="380">
        <v>0</v>
      </c>
      <c r="Z739" s="380">
        <v>0</v>
      </c>
      <c r="AA739" s="376" t="s">
        <v>834</v>
      </c>
      <c r="AB739" s="376" t="s">
        <v>835</v>
      </c>
      <c r="AC739" s="376" t="s">
        <v>428</v>
      </c>
      <c r="AD739" s="376" t="s">
        <v>836</v>
      </c>
      <c r="AE739" s="376" t="s">
        <v>787</v>
      </c>
      <c r="AF739" s="376" t="s">
        <v>211</v>
      </c>
      <c r="AG739" s="376" t="s">
        <v>178</v>
      </c>
      <c r="AH739" s="381">
        <v>37.979999999999997</v>
      </c>
      <c r="AI739" s="381">
        <v>27965.8</v>
      </c>
      <c r="AJ739" s="376" t="s">
        <v>179</v>
      </c>
      <c r="AK739" s="376" t="s">
        <v>180</v>
      </c>
      <c r="AL739" s="376" t="s">
        <v>181</v>
      </c>
      <c r="AM739" s="376" t="s">
        <v>182</v>
      </c>
      <c r="AN739" s="376" t="s">
        <v>68</v>
      </c>
      <c r="AO739" s="379">
        <v>80</v>
      </c>
      <c r="AP739" s="385">
        <v>1</v>
      </c>
      <c r="AQ739" s="385">
        <v>0</v>
      </c>
      <c r="AR739" s="383" t="s">
        <v>183</v>
      </c>
      <c r="AS739" s="387">
        <f t="shared" si="511"/>
        <v>0</v>
      </c>
      <c r="AT739">
        <f t="shared" si="512"/>
        <v>0</v>
      </c>
      <c r="AU739" s="387" t="str">
        <f>IF(AT739=0,"",IF(AND(AT739=1,M739="F",SUMIF(C2:C1334,C739,AS2:AS1334)&lt;=1),SUMIF(C2:C1334,C739,AS2:AS1334),IF(AND(AT739=1,M739="F",SUMIF(C2:C1334,C739,AS2:AS1334)&gt;1),1,"")))</f>
        <v/>
      </c>
      <c r="AV739" s="387" t="str">
        <f>IF(AT739=0,"",IF(AND(AT739=3,M739="F",SUMIF(C2:C1334,C739,AS2:AS1334)&lt;=1),SUMIF(C2:C1334,C739,AS2:AS1334),IF(AND(AT739=3,M739="F",SUMIF(C2:C1334,C739,AS2:AS1334)&gt;1),1,"")))</f>
        <v/>
      </c>
      <c r="AW739" s="387">
        <f>SUMIF(C2:C1334,C739,O2:O1334)</f>
        <v>4</v>
      </c>
      <c r="AX739" s="387">
        <f>IF(AND(M739="F",AS739&lt;&gt;0),SUMIF(C2:C1334,C739,W2:W1334),0)</f>
        <v>0</v>
      </c>
      <c r="AY739" s="387" t="str">
        <f t="shared" si="513"/>
        <v/>
      </c>
      <c r="AZ739" s="387" t="str">
        <f t="shared" si="514"/>
        <v/>
      </c>
      <c r="BA739" s="387">
        <f t="shared" si="515"/>
        <v>0</v>
      </c>
      <c r="BB739" s="387">
        <f t="shared" si="484"/>
        <v>0</v>
      </c>
      <c r="BC739" s="387">
        <f t="shared" si="485"/>
        <v>0</v>
      </c>
      <c r="BD739" s="387">
        <f t="shared" si="486"/>
        <v>0</v>
      </c>
      <c r="BE739" s="387">
        <f t="shared" si="487"/>
        <v>0</v>
      </c>
      <c r="BF739" s="387">
        <f t="shared" si="488"/>
        <v>0</v>
      </c>
      <c r="BG739" s="387">
        <f t="shared" si="489"/>
        <v>0</v>
      </c>
      <c r="BH739" s="387">
        <f t="shared" si="490"/>
        <v>0</v>
      </c>
      <c r="BI739" s="387">
        <f t="shared" si="491"/>
        <v>0</v>
      </c>
      <c r="BJ739" s="387">
        <f t="shared" si="492"/>
        <v>0</v>
      </c>
      <c r="BK739" s="387">
        <f t="shared" si="493"/>
        <v>0</v>
      </c>
      <c r="BL739" s="387">
        <f t="shared" si="516"/>
        <v>0</v>
      </c>
      <c r="BM739" s="387">
        <f t="shared" si="517"/>
        <v>0</v>
      </c>
      <c r="BN739" s="387">
        <f t="shared" si="494"/>
        <v>0</v>
      </c>
      <c r="BO739" s="387">
        <f t="shared" si="495"/>
        <v>0</v>
      </c>
      <c r="BP739" s="387">
        <f t="shared" si="496"/>
        <v>0</v>
      </c>
      <c r="BQ739" s="387">
        <f t="shared" si="497"/>
        <v>0</v>
      </c>
      <c r="BR739" s="387">
        <f t="shared" si="498"/>
        <v>0</v>
      </c>
      <c r="BS739" s="387">
        <f t="shared" si="499"/>
        <v>0</v>
      </c>
      <c r="BT739" s="387">
        <f t="shared" si="500"/>
        <v>0</v>
      </c>
      <c r="BU739" s="387">
        <f t="shared" si="501"/>
        <v>0</v>
      </c>
      <c r="BV739" s="387">
        <f t="shared" si="502"/>
        <v>0</v>
      </c>
      <c r="BW739" s="387">
        <f t="shared" si="503"/>
        <v>0</v>
      </c>
      <c r="BX739" s="387">
        <f t="shared" si="518"/>
        <v>0</v>
      </c>
      <c r="BY739" s="387">
        <f t="shared" si="519"/>
        <v>0</v>
      </c>
      <c r="BZ739" s="387">
        <f t="shared" si="520"/>
        <v>0</v>
      </c>
      <c r="CA739" s="387">
        <f t="shared" si="521"/>
        <v>0</v>
      </c>
      <c r="CB739" s="387">
        <f t="shared" si="522"/>
        <v>0</v>
      </c>
      <c r="CC739" s="387">
        <f t="shared" si="504"/>
        <v>0</v>
      </c>
      <c r="CD739" s="387">
        <f t="shared" si="505"/>
        <v>0</v>
      </c>
      <c r="CE739" s="387">
        <f t="shared" si="506"/>
        <v>0</v>
      </c>
      <c r="CF739" s="387">
        <f t="shared" si="507"/>
        <v>0</v>
      </c>
      <c r="CG739" s="387">
        <f t="shared" si="508"/>
        <v>0</v>
      </c>
      <c r="CH739" s="387">
        <f t="shared" si="509"/>
        <v>0</v>
      </c>
      <c r="CI739" s="387">
        <f t="shared" si="510"/>
        <v>0</v>
      </c>
      <c r="CJ739" s="387">
        <f t="shared" si="523"/>
        <v>0</v>
      </c>
      <c r="CK739" s="387" t="str">
        <f t="shared" si="524"/>
        <v/>
      </c>
      <c r="CL739" s="387" t="str">
        <f t="shared" si="525"/>
        <v/>
      </c>
      <c r="CM739" s="387" t="str">
        <f t="shared" si="526"/>
        <v/>
      </c>
      <c r="CN739" s="387" t="str">
        <f t="shared" si="527"/>
        <v>0349-31</v>
      </c>
    </row>
    <row r="740" spans="1:92" ht="15.75" thickBot="1" x14ac:dyDescent="0.3">
      <c r="A740" s="376" t="s">
        <v>161</v>
      </c>
      <c r="B740" s="376" t="s">
        <v>162</v>
      </c>
      <c r="C740" s="376" t="s">
        <v>921</v>
      </c>
      <c r="D740" s="376" t="s">
        <v>792</v>
      </c>
      <c r="E740" s="376" t="s">
        <v>669</v>
      </c>
      <c r="F740" s="382" t="s">
        <v>225</v>
      </c>
      <c r="G740" s="376" t="s">
        <v>781</v>
      </c>
      <c r="H740" s="378"/>
      <c r="I740" s="378"/>
      <c r="J740" s="376" t="s">
        <v>239</v>
      </c>
      <c r="K740" s="376" t="s">
        <v>793</v>
      </c>
      <c r="L740" s="376" t="s">
        <v>170</v>
      </c>
      <c r="M740" s="376" t="s">
        <v>171</v>
      </c>
      <c r="N740" s="376" t="s">
        <v>172</v>
      </c>
      <c r="O740" s="379">
        <v>1</v>
      </c>
      <c r="P740" s="385">
        <v>0</v>
      </c>
      <c r="Q740" s="385">
        <v>0</v>
      </c>
      <c r="R740" s="380">
        <v>80</v>
      </c>
      <c r="S740" s="385">
        <v>0</v>
      </c>
      <c r="T740" s="380">
        <v>79.2</v>
      </c>
      <c r="U740" s="380">
        <v>0</v>
      </c>
      <c r="V740" s="380">
        <v>27.03</v>
      </c>
      <c r="W740" s="380">
        <v>0</v>
      </c>
      <c r="X740" s="380">
        <v>0</v>
      </c>
      <c r="Y740" s="380">
        <v>0</v>
      </c>
      <c r="Z740" s="380">
        <v>0</v>
      </c>
      <c r="AA740" s="376" t="s">
        <v>922</v>
      </c>
      <c r="AB740" s="376" t="s">
        <v>923</v>
      </c>
      <c r="AC740" s="376" t="s">
        <v>278</v>
      </c>
      <c r="AD740" s="376" t="s">
        <v>924</v>
      </c>
      <c r="AE740" s="376" t="s">
        <v>793</v>
      </c>
      <c r="AF740" s="376" t="s">
        <v>177</v>
      </c>
      <c r="AG740" s="376" t="s">
        <v>178</v>
      </c>
      <c r="AH740" s="381">
        <v>23.41</v>
      </c>
      <c r="AI740" s="381">
        <v>12021.7</v>
      </c>
      <c r="AJ740" s="376" t="s">
        <v>179</v>
      </c>
      <c r="AK740" s="376" t="s">
        <v>180</v>
      </c>
      <c r="AL740" s="376" t="s">
        <v>181</v>
      </c>
      <c r="AM740" s="376" t="s">
        <v>182</v>
      </c>
      <c r="AN740" s="376" t="s">
        <v>68</v>
      </c>
      <c r="AO740" s="379">
        <v>80</v>
      </c>
      <c r="AP740" s="385">
        <v>1</v>
      </c>
      <c r="AQ740" s="385">
        <v>0</v>
      </c>
      <c r="AR740" s="383" t="s">
        <v>183</v>
      </c>
      <c r="AS740" s="387">
        <f t="shared" si="511"/>
        <v>0</v>
      </c>
      <c r="AT740">
        <f t="shared" si="512"/>
        <v>0</v>
      </c>
      <c r="AU740" s="387" t="str">
        <f>IF(AT740=0,"",IF(AND(AT740=1,M740="F",SUMIF(C2:C1334,C740,AS2:AS1334)&lt;=1),SUMIF(C2:C1334,C740,AS2:AS1334),IF(AND(AT740=1,M740="F",SUMIF(C2:C1334,C740,AS2:AS1334)&gt;1),1,"")))</f>
        <v/>
      </c>
      <c r="AV740" s="387" t="str">
        <f>IF(AT740=0,"",IF(AND(AT740=3,M740="F",SUMIF(C2:C1334,C740,AS2:AS1334)&lt;=1),SUMIF(C2:C1334,C740,AS2:AS1334),IF(AND(AT740=3,M740="F",SUMIF(C2:C1334,C740,AS2:AS1334)&gt;1),1,"")))</f>
        <v/>
      </c>
      <c r="AW740" s="387">
        <f>SUMIF(C2:C1334,C740,O2:O1334)</f>
        <v>3</v>
      </c>
      <c r="AX740" s="387">
        <f>IF(AND(M740="F",AS740&lt;&gt;0),SUMIF(C2:C1334,C740,W2:W1334),0)</f>
        <v>0</v>
      </c>
      <c r="AY740" s="387" t="str">
        <f t="shared" si="513"/>
        <v/>
      </c>
      <c r="AZ740" s="387" t="str">
        <f t="shared" si="514"/>
        <v/>
      </c>
      <c r="BA740" s="387">
        <f t="shared" si="515"/>
        <v>0</v>
      </c>
      <c r="BB740" s="387">
        <f t="shared" si="484"/>
        <v>0</v>
      </c>
      <c r="BC740" s="387">
        <f t="shared" si="485"/>
        <v>0</v>
      </c>
      <c r="BD740" s="387">
        <f t="shared" si="486"/>
        <v>0</v>
      </c>
      <c r="BE740" s="387">
        <f t="shared" si="487"/>
        <v>0</v>
      </c>
      <c r="BF740" s="387">
        <f t="shared" si="488"/>
        <v>0</v>
      </c>
      <c r="BG740" s="387">
        <f t="shared" si="489"/>
        <v>0</v>
      </c>
      <c r="BH740" s="387">
        <f t="shared" si="490"/>
        <v>0</v>
      </c>
      <c r="BI740" s="387">
        <f t="shared" si="491"/>
        <v>0</v>
      </c>
      <c r="BJ740" s="387">
        <f t="shared" si="492"/>
        <v>0</v>
      </c>
      <c r="BK740" s="387">
        <f t="shared" si="493"/>
        <v>0</v>
      </c>
      <c r="BL740" s="387">
        <f t="shared" si="516"/>
        <v>0</v>
      </c>
      <c r="BM740" s="387">
        <f t="shared" si="517"/>
        <v>0</v>
      </c>
      <c r="BN740" s="387">
        <f t="shared" si="494"/>
        <v>0</v>
      </c>
      <c r="BO740" s="387">
        <f t="shared" si="495"/>
        <v>0</v>
      </c>
      <c r="BP740" s="387">
        <f t="shared" si="496"/>
        <v>0</v>
      </c>
      <c r="BQ740" s="387">
        <f t="shared" si="497"/>
        <v>0</v>
      </c>
      <c r="BR740" s="387">
        <f t="shared" si="498"/>
        <v>0</v>
      </c>
      <c r="BS740" s="387">
        <f t="shared" si="499"/>
        <v>0</v>
      </c>
      <c r="BT740" s="387">
        <f t="shared" si="500"/>
        <v>0</v>
      </c>
      <c r="BU740" s="387">
        <f t="shared" si="501"/>
        <v>0</v>
      </c>
      <c r="BV740" s="387">
        <f t="shared" si="502"/>
        <v>0</v>
      </c>
      <c r="BW740" s="387">
        <f t="shared" si="503"/>
        <v>0</v>
      </c>
      <c r="BX740" s="387">
        <f t="shared" si="518"/>
        <v>0</v>
      </c>
      <c r="BY740" s="387">
        <f t="shared" si="519"/>
        <v>0</v>
      </c>
      <c r="BZ740" s="387">
        <f t="shared" si="520"/>
        <v>0</v>
      </c>
      <c r="CA740" s="387">
        <f t="shared" si="521"/>
        <v>0</v>
      </c>
      <c r="CB740" s="387">
        <f t="shared" si="522"/>
        <v>0</v>
      </c>
      <c r="CC740" s="387">
        <f t="shared" si="504"/>
        <v>0</v>
      </c>
      <c r="CD740" s="387">
        <f t="shared" si="505"/>
        <v>0</v>
      </c>
      <c r="CE740" s="387">
        <f t="shared" si="506"/>
        <v>0</v>
      </c>
      <c r="CF740" s="387">
        <f t="shared" si="507"/>
        <v>0</v>
      </c>
      <c r="CG740" s="387">
        <f t="shared" si="508"/>
        <v>0</v>
      </c>
      <c r="CH740" s="387">
        <f t="shared" si="509"/>
        <v>0</v>
      </c>
      <c r="CI740" s="387">
        <f t="shared" si="510"/>
        <v>0</v>
      </c>
      <c r="CJ740" s="387">
        <f t="shared" si="523"/>
        <v>0</v>
      </c>
      <c r="CK740" s="387" t="str">
        <f t="shared" si="524"/>
        <v/>
      </c>
      <c r="CL740" s="387" t="str">
        <f t="shared" si="525"/>
        <v/>
      </c>
      <c r="CM740" s="387" t="str">
        <f t="shared" si="526"/>
        <v/>
      </c>
      <c r="CN740" s="387" t="str">
        <f t="shared" si="527"/>
        <v>0349-31</v>
      </c>
    </row>
    <row r="741" spans="1:92" ht="15.75" thickBot="1" x14ac:dyDescent="0.3">
      <c r="A741" s="376" t="s">
        <v>161</v>
      </c>
      <c r="B741" s="376" t="s">
        <v>162</v>
      </c>
      <c r="C741" s="376" t="s">
        <v>1926</v>
      </c>
      <c r="D741" s="376" t="s">
        <v>862</v>
      </c>
      <c r="E741" s="376" t="s">
        <v>669</v>
      </c>
      <c r="F741" s="382" t="s">
        <v>225</v>
      </c>
      <c r="G741" s="376" t="s">
        <v>781</v>
      </c>
      <c r="H741" s="378"/>
      <c r="I741" s="378"/>
      <c r="J741" s="376" t="s">
        <v>239</v>
      </c>
      <c r="K741" s="376" t="s">
        <v>863</v>
      </c>
      <c r="L741" s="376" t="s">
        <v>252</v>
      </c>
      <c r="M741" s="376" t="s">
        <v>171</v>
      </c>
      <c r="N741" s="376" t="s">
        <v>172</v>
      </c>
      <c r="O741" s="379">
        <v>1</v>
      </c>
      <c r="P741" s="385">
        <v>0</v>
      </c>
      <c r="Q741" s="385">
        <v>0</v>
      </c>
      <c r="R741" s="380">
        <v>80</v>
      </c>
      <c r="S741" s="385">
        <v>0</v>
      </c>
      <c r="T741" s="380">
        <v>444.18</v>
      </c>
      <c r="U741" s="380">
        <v>0</v>
      </c>
      <c r="V741" s="380">
        <v>233.11</v>
      </c>
      <c r="W741" s="380">
        <v>0</v>
      </c>
      <c r="X741" s="380">
        <v>0</v>
      </c>
      <c r="Y741" s="380">
        <v>0</v>
      </c>
      <c r="Z741" s="380">
        <v>0</v>
      </c>
      <c r="AA741" s="376" t="s">
        <v>1927</v>
      </c>
      <c r="AB741" s="376" t="s">
        <v>1928</v>
      </c>
      <c r="AC741" s="376" t="s">
        <v>1929</v>
      </c>
      <c r="AD741" s="376" t="s">
        <v>324</v>
      </c>
      <c r="AE741" s="376" t="s">
        <v>863</v>
      </c>
      <c r="AF741" s="376" t="s">
        <v>393</v>
      </c>
      <c r="AG741" s="376" t="s">
        <v>178</v>
      </c>
      <c r="AH741" s="381">
        <v>18.91</v>
      </c>
      <c r="AI741" s="379">
        <v>3392</v>
      </c>
      <c r="AJ741" s="376" t="s">
        <v>179</v>
      </c>
      <c r="AK741" s="376" t="s">
        <v>180</v>
      </c>
      <c r="AL741" s="376" t="s">
        <v>181</v>
      </c>
      <c r="AM741" s="376" t="s">
        <v>182</v>
      </c>
      <c r="AN741" s="376" t="s">
        <v>68</v>
      </c>
      <c r="AO741" s="379">
        <v>80</v>
      </c>
      <c r="AP741" s="385">
        <v>1</v>
      </c>
      <c r="AQ741" s="385">
        <v>0</v>
      </c>
      <c r="AR741" s="383" t="s">
        <v>183</v>
      </c>
      <c r="AS741" s="387">
        <f t="shared" si="511"/>
        <v>0</v>
      </c>
      <c r="AT741">
        <f t="shared" si="512"/>
        <v>0</v>
      </c>
      <c r="AU741" s="387" t="str">
        <f>IF(AT741=0,"",IF(AND(AT741=1,M741="F",SUMIF(C2:C1334,C741,AS2:AS1334)&lt;=1),SUMIF(C2:C1334,C741,AS2:AS1334),IF(AND(AT741=1,M741="F",SUMIF(C2:C1334,C741,AS2:AS1334)&gt;1),1,"")))</f>
        <v/>
      </c>
      <c r="AV741" s="387" t="str">
        <f>IF(AT741=0,"",IF(AND(AT741=3,M741="F",SUMIF(C2:C1334,C741,AS2:AS1334)&lt;=1),SUMIF(C2:C1334,C741,AS2:AS1334),IF(AND(AT741=3,M741="F",SUMIF(C2:C1334,C741,AS2:AS1334)&gt;1),1,"")))</f>
        <v/>
      </c>
      <c r="AW741" s="387">
        <f>SUMIF(C2:C1334,C741,O2:O1334)</f>
        <v>3</v>
      </c>
      <c r="AX741" s="387">
        <f>IF(AND(M741="F",AS741&lt;&gt;0),SUMIF(C2:C1334,C741,W2:W1334),0)</f>
        <v>0</v>
      </c>
      <c r="AY741" s="387" t="str">
        <f t="shared" si="513"/>
        <v/>
      </c>
      <c r="AZ741" s="387" t="str">
        <f t="shared" si="514"/>
        <v/>
      </c>
      <c r="BA741" s="387">
        <f t="shared" si="515"/>
        <v>0</v>
      </c>
      <c r="BB741" s="387">
        <f t="shared" si="484"/>
        <v>0</v>
      </c>
      <c r="BC741" s="387">
        <f t="shared" si="485"/>
        <v>0</v>
      </c>
      <c r="BD741" s="387">
        <f t="shared" si="486"/>
        <v>0</v>
      </c>
      <c r="BE741" s="387">
        <f t="shared" si="487"/>
        <v>0</v>
      </c>
      <c r="BF741" s="387">
        <f t="shared" si="488"/>
        <v>0</v>
      </c>
      <c r="BG741" s="387">
        <f t="shared" si="489"/>
        <v>0</v>
      </c>
      <c r="BH741" s="387">
        <f t="shared" si="490"/>
        <v>0</v>
      </c>
      <c r="BI741" s="387">
        <f t="shared" si="491"/>
        <v>0</v>
      </c>
      <c r="BJ741" s="387">
        <f t="shared" si="492"/>
        <v>0</v>
      </c>
      <c r="BK741" s="387">
        <f t="shared" si="493"/>
        <v>0</v>
      </c>
      <c r="BL741" s="387">
        <f t="shared" si="516"/>
        <v>0</v>
      </c>
      <c r="BM741" s="387">
        <f t="shared" si="517"/>
        <v>0</v>
      </c>
      <c r="BN741" s="387">
        <f t="shared" si="494"/>
        <v>0</v>
      </c>
      <c r="BO741" s="387">
        <f t="shared" si="495"/>
        <v>0</v>
      </c>
      <c r="BP741" s="387">
        <f t="shared" si="496"/>
        <v>0</v>
      </c>
      <c r="BQ741" s="387">
        <f t="shared" si="497"/>
        <v>0</v>
      </c>
      <c r="BR741" s="387">
        <f t="shared" si="498"/>
        <v>0</v>
      </c>
      <c r="BS741" s="387">
        <f t="shared" si="499"/>
        <v>0</v>
      </c>
      <c r="BT741" s="387">
        <f t="shared" si="500"/>
        <v>0</v>
      </c>
      <c r="BU741" s="387">
        <f t="shared" si="501"/>
        <v>0</v>
      </c>
      <c r="BV741" s="387">
        <f t="shared" si="502"/>
        <v>0</v>
      </c>
      <c r="BW741" s="387">
        <f t="shared" si="503"/>
        <v>0</v>
      </c>
      <c r="BX741" s="387">
        <f t="shared" si="518"/>
        <v>0</v>
      </c>
      <c r="BY741" s="387">
        <f t="shared" si="519"/>
        <v>0</v>
      </c>
      <c r="BZ741" s="387">
        <f t="shared" si="520"/>
        <v>0</v>
      </c>
      <c r="CA741" s="387">
        <f t="shared" si="521"/>
        <v>0</v>
      </c>
      <c r="CB741" s="387">
        <f t="shared" si="522"/>
        <v>0</v>
      </c>
      <c r="CC741" s="387">
        <f t="shared" si="504"/>
        <v>0</v>
      </c>
      <c r="CD741" s="387">
        <f t="shared" si="505"/>
        <v>0</v>
      </c>
      <c r="CE741" s="387">
        <f t="shared" si="506"/>
        <v>0</v>
      </c>
      <c r="CF741" s="387">
        <f t="shared" si="507"/>
        <v>0</v>
      </c>
      <c r="CG741" s="387">
        <f t="shared" si="508"/>
        <v>0</v>
      </c>
      <c r="CH741" s="387">
        <f t="shared" si="509"/>
        <v>0</v>
      </c>
      <c r="CI741" s="387">
        <f t="shared" si="510"/>
        <v>0</v>
      </c>
      <c r="CJ741" s="387">
        <f t="shared" si="523"/>
        <v>0</v>
      </c>
      <c r="CK741" s="387" t="str">
        <f t="shared" si="524"/>
        <v/>
      </c>
      <c r="CL741" s="387" t="str">
        <f t="shared" si="525"/>
        <v/>
      </c>
      <c r="CM741" s="387" t="str">
        <f t="shared" si="526"/>
        <v/>
      </c>
      <c r="CN741" s="387" t="str">
        <f t="shared" si="527"/>
        <v>0349-31</v>
      </c>
    </row>
    <row r="742" spans="1:92" ht="15.75" thickBot="1" x14ac:dyDescent="0.3">
      <c r="A742" s="376" t="s">
        <v>161</v>
      </c>
      <c r="B742" s="376" t="s">
        <v>162</v>
      </c>
      <c r="C742" s="376" t="s">
        <v>1627</v>
      </c>
      <c r="D742" s="376" t="s">
        <v>862</v>
      </c>
      <c r="E742" s="376" t="s">
        <v>669</v>
      </c>
      <c r="F742" s="382" t="s">
        <v>225</v>
      </c>
      <c r="G742" s="376" t="s">
        <v>781</v>
      </c>
      <c r="H742" s="378"/>
      <c r="I742" s="378"/>
      <c r="J742" s="376" t="s">
        <v>168</v>
      </c>
      <c r="K742" s="376" t="s">
        <v>863</v>
      </c>
      <c r="L742" s="376" t="s">
        <v>252</v>
      </c>
      <c r="M742" s="376" t="s">
        <v>171</v>
      </c>
      <c r="N742" s="376" t="s">
        <v>172</v>
      </c>
      <c r="O742" s="379">
        <v>1</v>
      </c>
      <c r="P742" s="385">
        <v>0</v>
      </c>
      <c r="Q742" s="385">
        <v>0</v>
      </c>
      <c r="R742" s="380">
        <v>80</v>
      </c>
      <c r="S742" s="385">
        <v>0</v>
      </c>
      <c r="T742" s="380">
        <v>122.19</v>
      </c>
      <c r="U742" s="380">
        <v>0</v>
      </c>
      <c r="V742" s="380">
        <v>41.46</v>
      </c>
      <c r="W742" s="380">
        <v>0</v>
      </c>
      <c r="X742" s="380">
        <v>0</v>
      </c>
      <c r="Y742" s="380">
        <v>0</v>
      </c>
      <c r="Z742" s="380">
        <v>0</v>
      </c>
      <c r="AA742" s="376" t="s">
        <v>1628</v>
      </c>
      <c r="AB742" s="376" t="s">
        <v>1091</v>
      </c>
      <c r="AC742" s="376" t="s">
        <v>747</v>
      </c>
      <c r="AD742" s="376" t="s">
        <v>252</v>
      </c>
      <c r="AE742" s="376" t="s">
        <v>863</v>
      </c>
      <c r="AF742" s="376" t="s">
        <v>393</v>
      </c>
      <c r="AG742" s="376" t="s">
        <v>178</v>
      </c>
      <c r="AH742" s="381">
        <v>23.38</v>
      </c>
      <c r="AI742" s="381">
        <v>30850.5</v>
      </c>
      <c r="AJ742" s="376" t="s">
        <v>179</v>
      </c>
      <c r="AK742" s="376" t="s">
        <v>180</v>
      </c>
      <c r="AL742" s="376" t="s">
        <v>181</v>
      </c>
      <c r="AM742" s="376" t="s">
        <v>182</v>
      </c>
      <c r="AN742" s="376" t="s">
        <v>68</v>
      </c>
      <c r="AO742" s="379">
        <v>80</v>
      </c>
      <c r="AP742" s="385">
        <v>1</v>
      </c>
      <c r="AQ742" s="385">
        <v>0</v>
      </c>
      <c r="AR742" s="383" t="s">
        <v>183</v>
      </c>
      <c r="AS742" s="387">
        <f t="shared" si="511"/>
        <v>0</v>
      </c>
      <c r="AT742">
        <f t="shared" si="512"/>
        <v>0</v>
      </c>
      <c r="AU742" s="387" t="str">
        <f>IF(AT742=0,"",IF(AND(AT742=1,M742="F",SUMIF(C2:C1334,C742,AS2:AS1334)&lt;=1),SUMIF(C2:C1334,C742,AS2:AS1334),IF(AND(AT742=1,M742="F",SUMIF(C2:C1334,C742,AS2:AS1334)&gt;1),1,"")))</f>
        <v/>
      </c>
      <c r="AV742" s="387" t="str">
        <f>IF(AT742=0,"",IF(AND(AT742=3,M742="F",SUMIF(C2:C1334,C742,AS2:AS1334)&lt;=1),SUMIF(C2:C1334,C742,AS2:AS1334),IF(AND(AT742=3,M742="F",SUMIF(C2:C1334,C742,AS2:AS1334)&gt;1),1,"")))</f>
        <v/>
      </c>
      <c r="AW742" s="387">
        <f>SUMIF(C2:C1334,C742,O2:O1334)</f>
        <v>3</v>
      </c>
      <c r="AX742" s="387">
        <f>IF(AND(M742="F",AS742&lt;&gt;0),SUMIF(C2:C1334,C742,W2:W1334),0)</f>
        <v>0</v>
      </c>
      <c r="AY742" s="387" t="str">
        <f t="shared" si="513"/>
        <v/>
      </c>
      <c r="AZ742" s="387" t="str">
        <f t="shared" si="514"/>
        <v/>
      </c>
      <c r="BA742" s="387">
        <f t="shared" si="515"/>
        <v>0</v>
      </c>
      <c r="BB742" s="387">
        <f t="shared" si="484"/>
        <v>0</v>
      </c>
      <c r="BC742" s="387">
        <f t="shared" si="485"/>
        <v>0</v>
      </c>
      <c r="BD742" s="387">
        <f t="shared" si="486"/>
        <v>0</v>
      </c>
      <c r="BE742" s="387">
        <f t="shared" si="487"/>
        <v>0</v>
      </c>
      <c r="BF742" s="387">
        <f t="shared" si="488"/>
        <v>0</v>
      </c>
      <c r="BG742" s="387">
        <f t="shared" si="489"/>
        <v>0</v>
      </c>
      <c r="BH742" s="387">
        <f t="shared" si="490"/>
        <v>0</v>
      </c>
      <c r="BI742" s="387">
        <f t="shared" si="491"/>
        <v>0</v>
      </c>
      <c r="BJ742" s="387">
        <f t="shared" si="492"/>
        <v>0</v>
      </c>
      <c r="BK742" s="387">
        <f t="shared" si="493"/>
        <v>0</v>
      </c>
      <c r="BL742" s="387">
        <f t="shared" si="516"/>
        <v>0</v>
      </c>
      <c r="BM742" s="387">
        <f t="shared" si="517"/>
        <v>0</v>
      </c>
      <c r="BN742" s="387">
        <f t="shared" si="494"/>
        <v>0</v>
      </c>
      <c r="BO742" s="387">
        <f t="shared" si="495"/>
        <v>0</v>
      </c>
      <c r="BP742" s="387">
        <f t="shared" si="496"/>
        <v>0</v>
      </c>
      <c r="BQ742" s="387">
        <f t="shared" si="497"/>
        <v>0</v>
      </c>
      <c r="BR742" s="387">
        <f t="shared" si="498"/>
        <v>0</v>
      </c>
      <c r="BS742" s="387">
        <f t="shared" si="499"/>
        <v>0</v>
      </c>
      <c r="BT742" s="387">
        <f t="shared" si="500"/>
        <v>0</v>
      </c>
      <c r="BU742" s="387">
        <f t="shared" si="501"/>
        <v>0</v>
      </c>
      <c r="BV742" s="387">
        <f t="shared" si="502"/>
        <v>0</v>
      </c>
      <c r="BW742" s="387">
        <f t="shared" si="503"/>
        <v>0</v>
      </c>
      <c r="BX742" s="387">
        <f t="shared" si="518"/>
        <v>0</v>
      </c>
      <c r="BY742" s="387">
        <f t="shared" si="519"/>
        <v>0</v>
      </c>
      <c r="BZ742" s="387">
        <f t="shared" si="520"/>
        <v>0</v>
      </c>
      <c r="CA742" s="387">
        <f t="shared" si="521"/>
        <v>0</v>
      </c>
      <c r="CB742" s="387">
        <f t="shared" si="522"/>
        <v>0</v>
      </c>
      <c r="CC742" s="387">
        <f t="shared" si="504"/>
        <v>0</v>
      </c>
      <c r="CD742" s="387">
        <f t="shared" si="505"/>
        <v>0</v>
      </c>
      <c r="CE742" s="387">
        <f t="shared" si="506"/>
        <v>0</v>
      </c>
      <c r="CF742" s="387">
        <f t="shared" si="507"/>
        <v>0</v>
      </c>
      <c r="CG742" s="387">
        <f t="shared" si="508"/>
        <v>0</v>
      </c>
      <c r="CH742" s="387">
        <f t="shared" si="509"/>
        <v>0</v>
      </c>
      <c r="CI742" s="387">
        <f t="shared" si="510"/>
        <v>0</v>
      </c>
      <c r="CJ742" s="387">
        <f t="shared" si="523"/>
        <v>0</v>
      </c>
      <c r="CK742" s="387" t="str">
        <f t="shared" si="524"/>
        <v/>
      </c>
      <c r="CL742" s="387" t="str">
        <f t="shared" si="525"/>
        <v/>
      </c>
      <c r="CM742" s="387" t="str">
        <f t="shared" si="526"/>
        <v/>
      </c>
      <c r="CN742" s="387" t="str">
        <f t="shared" si="527"/>
        <v>0349-31</v>
      </c>
    </row>
    <row r="743" spans="1:92" ht="15.75" thickBot="1" x14ac:dyDescent="0.3">
      <c r="A743" s="376" t="s">
        <v>161</v>
      </c>
      <c r="B743" s="376" t="s">
        <v>162</v>
      </c>
      <c r="C743" s="376" t="s">
        <v>987</v>
      </c>
      <c r="D743" s="376" t="s">
        <v>862</v>
      </c>
      <c r="E743" s="376" t="s">
        <v>669</v>
      </c>
      <c r="F743" s="382" t="s">
        <v>225</v>
      </c>
      <c r="G743" s="376" t="s">
        <v>781</v>
      </c>
      <c r="H743" s="378"/>
      <c r="I743" s="378"/>
      <c r="J743" s="376" t="s">
        <v>215</v>
      </c>
      <c r="K743" s="376" t="s">
        <v>863</v>
      </c>
      <c r="L743" s="376" t="s">
        <v>252</v>
      </c>
      <c r="M743" s="376" t="s">
        <v>171</v>
      </c>
      <c r="N743" s="376" t="s">
        <v>172</v>
      </c>
      <c r="O743" s="379">
        <v>1</v>
      </c>
      <c r="P743" s="385">
        <v>0</v>
      </c>
      <c r="Q743" s="385">
        <v>0</v>
      </c>
      <c r="R743" s="380">
        <v>80</v>
      </c>
      <c r="S743" s="385">
        <v>0</v>
      </c>
      <c r="T743" s="380">
        <v>64.3</v>
      </c>
      <c r="U743" s="380">
        <v>0</v>
      </c>
      <c r="V743" s="380">
        <v>26.34</v>
      </c>
      <c r="W743" s="380">
        <v>0</v>
      </c>
      <c r="X743" s="380">
        <v>0</v>
      </c>
      <c r="Y743" s="380">
        <v>0</v>
      </c>
      <c r="Z743" s="380">
        <v>0</v>
      </c>
      <c r="AA743" s="376" t="s">
        <v>988</v>
      </c>
      <c r="AB743" s="376" t="s">
        <v>989</v>
      </c>
      <c r="AC743" s="376" t="s">
        <v>990</v>
      </c>
      <c r="AD743" s="376" t="s">
        <v>236</v>
      </c>
      <c r="AE743" s="376" t="s">
        <v>863</v>
      </c>
      <c r="AF743" s="376" t="s">
        <v>393</v>
      </c>
      <c r="AG743" s="376" t="s">
        <v>178</v>
      </c>
      <c r="AH743" s="381">
        <v>20.78</v>
      </c>
      <c r="AI743" s="381">
        <v>10159.700000000001</v>
      </c>
      <c r="AJ743" s="376" t="s">
        <v>179</v>
      </c>
      <c r="AK743" s="376" t="s">
        <v>180</v>
      </c>
      <c r="AL743" s="376" t="s">
        <v>181</v>
      </c>
      <c r="AM743" s="376" t="s">
        <v>182</v>
      </c>
      <c r="AN743" s="376" t="s">
        <v>68</v>
      </c>
      <c r="AO743" s="379">
        <v>80</v>
      </c>
      <c r="AP743" s="385">
        <v>1</v>
      </c>
      <c r="AQ743" s="385">
        <v>0</v>
      </c>
      <c r="AR743" s="383" t="s">
        <v>183</v>
      </c>
      <c r="AS743" s="387">
        <f t="shared" si="511"/>
        <v>0</v>
      </c>
      <c r="AT743">
        <f t="shared" si="512"/>
        <v>0</v>
      </c>
      <c r="AU743" s="387" t="str">
        <f>IF(AT743=0,"",IF(AND(AT743=1,M743="F",SUMIF(C2:C1334,C743,AS2:AS1334)&lt;=1),SUMIF(C2:C1334,C743,AS2:AS1334),IF(AND(AT743=1,M743="F",SUMIF(C2:C1334,C743,AS2:AS1334)&gt;1),1,"")))</f>
        <v/>
      </c>
      <c r="AV743" s="387" t="str">
        <f>IF(AT743=0,"",IF(AND(AT743=3,M743="F",SUMIF(C2:C1334,C743,AS2:AS1334)&lt;=1),SUMIF(C2:C1334,C743,AS2:AS1334),IF(AND(AT743=3,M743="F",SUMIF(C2:C1334,C743,AS2:AS1334)&gt;1),1,"")))</f>
        <v/>
      </c>
      <c r="AW743" s="387">
        <f>SUMIF(C2:C1334,C743,O2:O1334)</f>
        <v>2</v>
      </c>
      <c r="AX743" s="387">
        <f>IF(AND(M743="F",AS743&lt;&gt;0),SUMIF(C2:C1334,C743,W2:W1334),0)</f>
        <v>0</v>
      </c>
      <c r="AY743" s="387" t="str">
        <f t="shared" si="513"/>
        <v/>
      </c>
      <c r="AZ743" s="387" t="str">
        <f t="shared" si="514"/>
        <v/>
      </c>
      <c r="BA743" s="387">
        <f t="shared" si="515"/>
        <v>0</v>
      </c>
      <c r="BB743" s="387">
        <f t="shared" si="484"/>
        <v>0</v>
      </c>
      <c r="BC743" s="387">
        <f t="shared" si="485"/>
        <v>0</v>
      </c>
      <c r="BD743" s="387">
        <f t="shared" si="486"/>
        <v>0</v>
      </c>
      <c r="BE743" s="387">
        <f t="shared" si="487"/>
        <v>0</v>
      </c>
      <c r="BF743" s="387">
        <f t="shared" si="488"/>
        <v>0</v>
      </c>
      <c r="BG743" s="387">
        <f t="shared" si="489"/>
        <v>0</v>
      </c>
      <c r="BH743" s="387">
        <f t="shared" si="490"/>
        <v>0</v>
      </c>
      <c r="BI743" s="387">
        <f t="shared" si="491"/>
        <v>0</v>
      </c>
      <c r="BJ743" s="387">
        <f t="shared" si="492"/>
        <v>0</v>
      </c>
      <c r="BK743" s="387">
        <f t="shared" si="493"/>
        <v>0</v>
      </c>
      <c r="BL743" s="387">
        <f t="shared" si="516"/>
        <v>0</v>
      </c>
      <c r="BM743" s="387">
        <f t="shared" si="517"/>
        <v>0</v>
      </c>
      <c r="BN743" s="387">
        <f t="shared" si="494"/>
        <v>0</v>
      </c>
      <c r="BO743" s="387">
        <f t="shared" si="495"/>
        <v>0</v>
      </c>
      <c r="BP743" s="387">
        <f t="shared" si="496"/>
        <v>0</v>
      </c>
      <c r="BQ743" s="387">
        <f t="shared" si="497"/>
        <v>0</v>
      </c>
      <c r="BR743" s="387">
        <f t="shared" si="498"/>
        <v>0</v>
      </c>
      <c r="BS743" s="387">
        <f t="shared" si="499"/>
        <v>0</v>
      </c>
      <c r="BT743" s="387">
        <f t="shared" si="500"/>
        <v>0</v>
      </c>
      <c r="BU743" s="387">
        <f t="shared" si="501"/>
        <v>0</v>
      </c>
      <c r="BV743" s="387">
        <f t="shared" si="502"/>
        <v>0</v>
      </c>
      <c r="BW743" s="387">
        <f t="shared" si="503"/>
        <v>0</v>
      </c>
      <c r="BX743" s="387">
        <f t="shared" si="518"/>
        <v>0</v>
      </c>
      <c r="BY743" s="387">
        <f t="shared" si="519"/>
        <v>0</v>
      </c>
      <c r="BZ743" s="387">
        <f t="shared" si="520"/>
        <v>0</v>
      </c>
      <c r="CA743" s="387">
        <f t="shared" si="521"/>
        <v>0</v>
      </c>
      <c r="CB743" s="387">
        <f t="shared" si="522"/>
        <v>0</v>
      </c>
      <c r="CC743" s="387">
        <f t="shared" si="504"/>
        <v>0</v>
      </c>
      <c r="CD743" s="387">
        <f t="shared" si="505"/>
        <v>0</v>
      </c>
      <c r="CE743" s="387">
        <f t="shared" si="506"/>
        <v>0</v>
      </c>
      <c r="CF743" s="387">
        <f t="shared" si="507"/>
        <v>0</v>
      </c>
      <c r="CG743" s="387">
        <f t="shared" si="508"/>
        <v>0</v>
      </c>
      <c r="CH743" s="387">
        <f t="shared" si="509"/>
        <v>0</v>
      </c>
      <c r="CI743" s="387">
        <f t="shared" si="510"/>
        <v>0</v>
      </c>
      <c r="CJ743" s="387">
        <f t="shared" si="523"/>
        <v>0</v>
      </c>
      <c r="CK743" s="387" t="str">
        <f t="shared" si="524"/>
        <v/>
      </c>
      <c r="CL743" s="387" t="str">
        <f t="shared" si="525"/>
        <v/>
      </c>
      <c r="CM743" s="387" t="str">
        <f t="shared" si="526"/>
        <v/>
      </c>
      <c r="CN743" s="387" t="str">
        <f t="shared" si="527"/>
        <v>0349-31</v>
      </c>
    </row>
    <row r="744" spans="1:92" ht="15.75" thickBot="1" x14ac:dyDescent="0.3">
      <c r="A744" s="376" t="s">
        <v>161</v>
      </c>
      <c r="B744" s="376" t="s">
        <v>162</v>
      </c>
      <c r="C744" s="376" t="s">
        <v>947</v>
      </c>
      <c r="D744" s="376" t="s">
        <v>792</v>
      </c>
      <c r="E744" s="376" t="s">
        <v>669</v>
      </c>
      <c r="F744" s="382" t="s">
        <v>225</v>
      </c>
      <c r="G744" s="376" t="s">
        <v>781</v>
      </c>
      <c r="H744" s="378"/>
      <c r="I744" s="378"/>
      <c r="J744" s="376" t="s">
        <v>239</v>
      </c>
      <c r="K744" s="376" t="s">
        <v>793</v>
      </c>
      <c r="L744" s="376" t="s">
        <v>170</v>
      </c>
      <c r="M744" s="376" t="s">
        <v>171</v>
      </c>
      <c r="N744" s="376" t="s">
        <v>172</v>
      </c>
      <c r="O744" s="379">
        <v>1</v>
      </c>
      <c r="P744" s="385">
        <v>0</v>
      </c>
      <c r="Q744" s="385">
        <v>0</v>
      </c>
      <c r="R744" s="380">
        <v>80</v>
      </c>
      <c r="S744" s="385">
        <v>0</v>
      </c>
      <c r="T744" s="380">
        <v>68.14</v>
      </c>
      <c r="U744" s="380">
        <v>0</v>
      </c>
      <c r="V744" s="380">
        <v>28.39</v>
      </c>
      <c r="W744" s="380">
        <v>0</v>
      </c>
      <c r="X744" s="380">
        <v>0</v>
      </c>
      <c r="Y744" s="380">
        <v>0</v>
      </c>
      <c r="Z744" s="380">
        <v>0</v>
      </c>
      <c r="AA744" s="376" t="s">
        <v>948</v>
      </c>
      <c r="AB744" s="376" t="s">
        <v>949</v>
      </c>
      <c r="AC744" s="376" t="s">
        <v>950</v>
      </c>
      <c r="AD744" s="376" t="s">
        <v>180</v>
      </c>
      <c r="AE744" s="376" t="s">
        <v>793</v>
      </c>
      <c r="AF744" s="376" t="s">
        <v>177</v>
      </c>
      <c r="AG744" s="376" t="s">
        <v>178</v>
      </c>
      <c r="AH744" s="381">
        <v>29.6</v>
      </c>
      <c r="AI744" s="379">
        <v>44811</v>
      </c>
      <c r="AJ744" s="376" t="s">
        <v>179</v>
      </c>
      <c r="AK744" s="376" t="s">
        <v>180</v>
      </c>
      <c r="AL744" s="376" t="s">
        <v>181</v>
      </c>
      <c r="AM744" s="376" t="s">
        <v>182</v>
      </c>
      <c r="AN744" s="376" t="s">
        <v>68</v>
      </c>
      <c r="AO744" s="379">
        <v>80</v>
      </c>
      <c r="AP744" s="385">
        <v>1</v>
      </c>
      <c r="AQ744" s="385">
        <v>0</v>
      </c>
      <c r="AR744" s="383" t="s">
        <v>183</v>
      </c>
      <c r="AS744" s="387">
        <f t="shared" si="511"/>
        <v>0</v>
      </c>
      <c r="AT744">
        <f t="shared" si="512"/>
        <v>0</v>
      </c>
      <c r="AU744" s="387" t="str">
        <f>IF(AT744=0,"",IF(AND(AT744=1,M744="F",SUMIF(C2:C1334,C744,AS2:AS1334)&lt;=1),SUMIF(C2:C1334,C744,AS2:AS1334),IF(AND(AT744=1,M744="F",SUMIF(C2:C1334,C744,AS2:AS1334)&gt;1),1,"")))</f>
        <v/>
      </c>
      <c r="AV744" s="387" t="str">
        <f>IF(AT744=0,"",IF(AND(AT744=3,M744="F",SUMIF(C2:C1334,C744,AS2:AS1334)&lt;=1),SUMIF(C2:C1334,C744,AS2:AS1334),IF(AND(AT744=3,M744="F",SUMIF(C2:C1334,C744,AS2:AS1334)&gt;1),1,"")))</f>
        <v/>
      </c>
      <c r="AW744" s="387">
        <f>SUMIF(C2:C1334,C744,O2:O1334)</f>
        <v>3</v>
      </c>
      <c r="AX744" s="387">
        <f>IF(AND(M744="F",AS744&lt;&gt;0),SUMIF(C2:C1334,C744,W2:W1334),0)</f>
        <v>0</v>
      </c>
      <c r="AY744" s="387" t="str">
        <f t="shared" si="513"/>
        <v/>
      </c>
      <c r="AZ744" s="387" t="str">
        <f t="shared" si="514"/>
        <v/>
      </c>
      <c r="BA744" s="387">
        <f t="shared" si="515"/>
        <v>0</v>
      </c>
      <c r="BB744" s="387">
        <f t="shared" si="484"/>
        <v>0</v>
      </c>
      <c r="BC744" s="387">
        <f t="shared" si="485"/>
        <v>0</v>
      </c>
      <c r="BD744" s="387">
        <f t="shared" si="486"/>
        <v>0</v>
      </c>
      <c r="BE744" s="387">
        <f t="shared" si="487"/>
        <v>0</v>
      </c>
      <c r="BF744" s="387">
        <f t="shared" si="488"/>
        <v>0</v>
      </c>
      <c r="BG744" s="387">
        <f t="shared" si="489"/>
        <v>0</v>
      </c>
      <c r="BH744" s="387">
        <f t="shared" si="490"/>
        <v>0</v>
      </c>
      <c r="BI744" s="387">
        <f t="shared" si="491"/>
        <v>0</v>
      </c>
      <c r="BJ744" s="387">
        <f t="shared" si="492"/>
        <v>0</v>
      </c>
      <c r="BK744" s="387">
        <f t="shared" si="493"/>
        <v>0</v>
      </c>
      <c r="BL744" s="387">
        <f t="shared" si="516"/>
        <v>0</v>
      </c>
      <c r="BM744" s="387">
        <f t="shared" si="517"/>
        <v>0</v>
      </c>
      <c r="BN744" s="387">
        <f t="shared" si="494"/>
        <v>0</v>
      </c>
      <c r="BO744" s="387">
        <f t="shared" si="495"/>
        <v>0</v>
      </c>
      <c r="BP744" s="387">
        <f t="shared" si="496"/>
        <v>0</v>
      </c>
      <c r="BQ744" s="387">
        <f t="shared" si="497"/>
        <v>0</v>
      </c>
      <c r="BR744" s="387">
        <f t="shared" si="498"/>
        <v>0</v>
      </c>
      <c r="BS744" s="387">
        <f t="shared" si="499"/>
        <v>0</v>
      </c>
      <c r="BT744" s="387">
        <f t="shared" si="500"/>
        <v>0</v>
      </c>
      <c r="BU744" s="387">
        <f t="shared" si="501"/>
        <v>0</v>
      </c>
      <c r="BV744" s="387">
        <f t="shared" si="502"/>
        <v>0</v>
      </c>
      <c r="BW744" s="387">
        <f t="shared" si="503"/>
        <v>0</v>
      </c>
      <c r="BX744" s="387">
        <f t="shared" si="518"/>
        <v>0</v>
      </c>
      <c r="BY744" s="387">
        <f t="shared" si="519"/>
        <v>0</v>
      </c>
      <c r="BZ744" s="387">
        <f t="shared" si="520"/>
        <v>0</v>
      </c>
      <c r="CA744" s="387">
        <f t="shared" si="521"/>
        <v>0</v>
      </c>
      <c r="CB744" s="387">
        <f t="shared" si="522"/>
        <v>0</v>
      </c>
      <c r="CC744" s="387">
        <f t="shared" si="504"/>
        <v>0</v>
      </c>
      <c r="CD744" s="387">
        <f t="shared" si="505"/>
        <v>0</v>
      </c>
      <c r="CE744" s="387">
        <f t="shared" si="506"/>
        <v>0</v>
      </c>
      <c r="CF744" s="387">
        <f t="shared" si="507"/>
        <v>0</v>
      </c>
      <c r="CG744" s="387">
        <f t="shared" si="508"/>
        <v>0</v>
      </c>
      <c r="CH744" s="387">
        <f t="shared" si="509"/>
        <v>0</v>
      </c>
      <c r="CI744" s="387">
        <f t="shared" si="510"/>
        <v>0</v>
      </c>
      <c r="CJ744" s="387">
        <f t="shared" si="523"/>
        <v>0</v>
      </c>
      <c r="CK744" s="387" t="str">
        <f t="shared" si="524"/>
        <v/>
      </c>
      <c r="CL744" s="387" t="str">
        <f t="shared" si="525"/>
        <v/>
      </c>
      <c r="CM744" s="387" t="str">
        <f t="shared" si="526"/>
        <v/>
      </c>
      <c r="CN744" s="387" t="str">
        <f t="shared" si="527"/>
        <v>0349-31</v>
      </c>
    </row>
    <row r="745" spans="1:92" ht="15.75" thickBot="1" x14ac:dyDescent="0.3">
      <c r="A745" s="376" t="s">
        <v>161</v>
      </c>
      <c r="B745" s="376" t="s">
        <v>162</v>
      </c>
      <c r="C745" s="376" t="s">
        <v>1092</v>
      </c>
      <c r="D745" s="376" t="s">
        <v>862</v>
      </c>
      <c r="E745" s="376" t="s">
        <v>669</v>
      </c>
      <c r="F745" s="382" t="s">
        <v>225</v>
      </c>
      <c r="G745" s="376" t="s">
        <v>781</v>
      </c>
      <c r="H745" s="378"/>
      <c r="I745" s="378"/>
      <c r="J745" s="376" t="s">
        <v>239</v>
      </c>
      <c r="K745" s="376" t="s">
        <v>863</v>
      </c>
      <c r="L745" s="376" t="s">
        <v>252</v>
      </c>
      <c r="M745" s="376" t="s">
        <v>171</v>
      </c>
      <c r="N745" s="376" t="s">
        <v>172</v>
      </c>
      <c r="O745" s="379">
        <v>1</v>
      </c>
      <c r="P745" s="385">
        <v>0</v>
      </c>
      <c r="Q745" s="385">
        <v>0</v>
      </c>
      <c r="R745" s="380">
        <v>80</v>
      </c>
      <c r="S745" s="385">
        <v>0</v>
      </c>
      <c r="T745" s="380">
        <v>71.14</v>
      </c>
      <c r="U745" s="380">
        <v>0</v>
      </c>
      <c r="V745" s="380">
        <v>33.69</v>
      </c>
      <c r="W745" s="380">
        <v>0</v>
      </c>
      <c r="X745" s="380">
        <v>0</v>
      </c>
      <c r="Y745" s="380">
        <v>0</v>
      </c>
      <c r="Z745" s="380">
        <v>0</v>
      </c>
      <c r="AA745" s="376" t="s">
        <v>1093</v>
      </c>
      <c r="AB745" s="376" t="s">
        <v>1094</v>
      </c>
      <c r="AC745" s="376" t="s">
        <v>1095</v>
      </c>
      <c r="AD745" s="376" t="s">
        <v>170</v>
      </c>
      <c r="AE745" s="376" t="s">
        <v>863</v>
      </c>
      <c r="AF745" s="376" t="s">
        <v>393</v>
      </c>
      <c r="AG745" s="376" t="s">
        <v>178</v>
      </c>
      <c r="AH745" s="381">
        <v>18.89</v>
      </c>
      <c r="AI745" s="381">
        <v>3928.5</v>
      </c>
      <c r="AJ745" s="376" t="s">
        <v>179</v>
      </c>
      <c r="AK745" s="376" t="s">
        <v>180</v>
      </c>
      <c r="AL745" s="376" t="s">
        <v>181</v>
      </c>
      <c r="AM745" s="376" t="s">
        <v>182</v>
      </c>
      <c r="AN745" s="376" t="s">
        <v>68</v>
      </c>
      <c r="AO745" s="379">
        <v>80</v>
      </c>
      <c r="AP745" s="385">
        <v>1</v>
      </c>
      <c r="AQ745" s="385">
        <v>0</v>
      </c>
      <c r="AR745" s="383" t="s">
        <v>183</v>
      </c>
      <c r="AS745" s="387">
        <f t="shared" si="511"/>
        <v>0</v>
      </c>
      <c r="AT745">
        <f t="shared" si="512"/>
        <v>0</v>
      </c>
      <c r="AU745" s="387" t="str">
        <f>IF(AT745=0,"",IF(AND(AT745=1,M745="F",SUMIF(C2:C1334,C745,AS2:AS1334)&lt;=1),SUMIF(C2:C1334,C745,AS2:AS1334),IF(AND(AT745=1,M745="F",SUMIF(C2:C1334,C745,AS2:AS1334)&gt;1),1,"")))</f>
        <v/>
      </c>
      <c r="AV745" s="387" t="str">
        <f>IF(AT745=0,"",IF(AND(AT745=3,M745="F",SUMIF(C2:C1334,C745,AS2:AS1334)&lt;=1),SUMIF(C2:C1334,C745,AS2:AS1334),IF(AND(AT745=3,M745="F",SUMIF(C2:C1334,C745,AS2:AS1334)&gt;1),1,"")))</f>
        <v/>
      </c>
      <c r="AW745" s="387">
        <f>SUMIF(C2:C1334,C745,O2:O1334)</f>
        <v>3</v>
      </c>
      <c r="AX745" s="387">
        <f>IF(AND(M745="F",AS745&lt;&gt;0),SUMIF(C2:C1334,C745,W2:W1334),0)</f>
        <v>0</v>
      </c>
      <c r="AY745" s="387" t="str">
        <f t="shared" si="513"/>
        <v/>
      </c>
      <c r="AZ745" s="387" t="str">
        <f t="shared" si="514"/>
        <v/>
      </c>
      <c r="BA745" s="387">
        <f t="shared" si="515"/>
        <v>0</v>
      </c>
      <c r="BB745" s="387">
        <f t="shared" si="484"/>
        <v>0</v>
      </c>
      <c r="BC745" s="387">
        <f t="shared" si="485"/>
        <v>0</v>
      </c>
      <c r="BD745" s="387">
        <f t="shared" si="486"/>
        <v>0</v>
      </c>
      <c r="BE745" s="387">
        <f t="shared" si="487"/>
        <v>0</v>
      </c>
      <c r="BF745" s="387">
        <f t="shared" si="488"/>
        <v>0</v>
      </c>
      <c r="BG745" s="387">
        <f t="shared" si="489"/>
        <v>0</v>
      </c>
      <c r="BH745" s="387">
        <f t="shared" si="490"/>
        <v>0</v>
      </c>
      <c r="BI745" s="387">
        <f t="shared" si="491"/>
        <v>0</v>
      </c>
      <c r="BJ745" s="387">
        <f t="shared" si="492"/>
        <v>0</v>
      </c>
      <c r="BK745" s="387">
        <f t="shared" si="493"/>
        <v>0</v>
      </c>
      <c r="BL745" s="387">
        <f t="shared" si="516"/>
        <v>0</v>
      </c>
      <c r="BM745" s="387">
        <f t="shared" si="517"/>
        <v>0</v>
      </c>
      <c r="BN745" s="387">
        <f t="shared" si="494"/>
        <v>0</v>
      </c>
      <c r="BO745" s="387">
        <f t="shared" si="495"/>
        <v>0</v>
      </c>
      <c r="BP745" s="387">
        <f t="shared" si="496"/>
        <v>0</v>
      </c>
      <c r="BQ745" s="387">
        <f t="shared" si="497"/>
        <v>0</v>
      </c>
      <c r="BR745" s="387">
        <f t="shared" si="498"/>
        <v>0</v>
      </c>
      <c r="BS745" s="387">
        <f t="shared" si="499"/>
        <v>0</v>
      </c>
      <c r="BT745" s="387">
        <f t="shared" si="500"/>
        <v>0</v>
      </c>
      <c r="BU745" s="387">
        <f t="shared" si="501"/>
        <v>0</v>
      </c>
      <c r="BV745" s="387">
        <f t="shared" si="502"/>
        <v>0</v>
      </c>
      <c r="BW745" s="387">
        <f t="shared" si="503"/>
        <v>0</v>
      </c>
      <c r="BX745" s="387">
        <f t="shared" si="518"/>
        <v>0</v>
      </c>
      <c r="BY745" s="387">
        <f t="shared" si="519"/>
        <v>0</v>
      </c>
      <c r="BZ745" s="387">
        <f t="shared" si="520"/>
        <v>0</v>
      </c>
      <c r="CA745" s="387">
        <f t="shared" si="521"/>
        <v>0</v>
      </c>
      <c r="CB745" s="387">
        <f t="shared" si="522"/>
        <v>0</v>
      </c>
      <c r="CC745" s="387">
        <f t="shared" si="504"/>
        <v>0</v>
      </c>
      <c r="CD745" s="387">
        <f t="shared" si="505"/>
        <v>0</v>
      </c>
      <c r="CE745" s="387">
        <f t="shared" si="506"/>
        <v>0</v>
      </c>
      <c r="CF745" s="387">
        <f t="shared" si="507"/>
        <v>0</v>
      </c>
      <c r="CG745" s="387">
        <f t="shared" si="508"/>
        <v>0</v>
      </c>
      <c r="CH745" s="387">
        <f t="shared" si="509"/>
        <v>0</v>
      </c>
      <c r="CI745" s="387">
        <f t="shared" si="510"/>
        <v>0</v>
      </c>
      <c r="CJ745" s="387">
        <f t="shared" si="523"/>
        <v>0</v>
      </c>
      <c r="CK745" s="387" t="str">
        <f t="shared" si="524"/>
        <v/>
      </c>
      <c r="CL745" s="387" t="str">
        <f t="shared" si="525"/>
        <v/>
      </c>
      <c r="CM745" s="387" t="str">
        <f t="shared" si="526"/>
        <v/>
      </c>
      <c r="CN745" s="387" t="str">
        <f t="shared" si="527"/>
        <v>0349-31</v>
      </c>
    </row>
    <row r="746" spans="1:92" ht="15.75" thickBot="1" x14ac:dyDescent="0.3">
      <c r="A746" s="376" t="s">
        <v>161</v>
      </c>
      <c r="B746" s="376" t="s">
        <v>162</v>
      </c>
      <c r="C746" s="376" t="s">
        <v>1659</v>
      </c>
      <c r="D746" s="376" t="s">
        <v>862</v>
      </c>
      <c r="E746" s="376" t="s">
        <v>669</v>
      </c>
      <c r="F746" s="382" t="s">
        <v>225</v>
      </c>
      <c r="G746" s="376" t="s">
        <v>781</v>
      </c>
      <c r="H746" s="378"/>
      <c r="I746" s="378"/>
      <c r="J746" s="376" t="s">
        <v>239</v>
      </c>
      <c r="K746" s="376" t="s">
        <v>863</v>
      </c>
      <c r="L746" s="376" t="s">
        <v>252</v>
      </c>
      <c r="M746" s="376" t="s">
        <v>171</v>
      </c>
      <c r="N746" s="376" t="s">
        <v>172</v>
      </c>
      <c r="O746" s="379">
        <v>1</v>
      </c>
      <c r="P746" s="385">
        <v>0</v>
      </c>
      <c r="Q746" s="385">
        <v>0</v>
      </c>
      <c r="R746" s="380">
        <v>80</v>
      </c>
      <c r="S746" s="385">
        <v>0</v>
      </c>
      <c r="T746" s="380">
        <v>54.54</v>
      </c>
      <c r="U746" s="380">
        <v>0</v>
      </c>
      <c r="V746" s="380">
        <v>18.670000000000002</v>
      </c>
      <c r="W746" s="380">
        <v>0</v>
      </c>
      <c r="X746" s="380">
        <v>0</v>
      </c>
      <c r="Y746" s="380">
        <v>0</v>
      </c>
      <c r="Z746" s="380">
        <v>0</v>
      </c>
      <c r="AA746" s="376" t="s">
        <v>1660</v>
      </c>
      <c r="AB746" s="376" t="s">
        <v>1661</v>
      </c>
      <c r="AC746" s="376" t="s">
        <v>1662</v>
      </c>
      <c r="AD746" s="376" t="s">
        <v>324</v>
      </c>
      <c r="AE746" s="376" t="s">
        <v>863</v>
      </c>
      <c r="AF746" s="376" t="s">
        <v>393</v>
      </c>
      <c r="AG746" s="376" t="s">
        <v>178</v>
      </c>
      <c r="AH746" s="381">
        <v>22.93</v>
      </c>
      <c r="AI746" s="379">
        <v>36070</v>
      </c>
      <c r="AJ746" s="376" t="s">
        <v>179</v>
      </c>
      <c r="AK746" s="376" t="s">
        <v>180</v>
      </c>
      <c r="AL746" s="376" t="s">
        <v>181</v>
      </c>
      <c r="AM746" s="376" t="s">
        <v>182</v>
      </c>
      <c r="AN746" s="376" t="s">
        <v>68</v>
      </c>
      <c r="AO746" s="379">
        <v>80</v>
      </c>
      <c r="AP746" s="385">
        <v>1</v>
      </c>
      <c r="AQ746" s="385">
        <v>0</v>
      </c>
      <c r="AR746" s="383" t="s">
        <v>183</v>
      </c>
      <c r="AS746" s="387">
        <f t="shared" si="511"/>
        <v>0</v>
      </c>
      <c r="AT746">
        <f t="shared" si="512"/>
        <v>0</v>
      </c>
      <c r="AU746" s="387" t="str">
        <f>IF(AT746=0,"",IF(AND(AT746=1,M746="F",SUMIF(C2:C1334,C746,AS2:AS1334)&lt;=1),SUMIF(C2:C1334,C746,AS2:AS1334),IF(AND(AT746=1,M746="F",SUMIF(C2:C1334,C746,AS2:AS1334)&gt;1),1,"")))</f>
        <v/>
      </c>
      <c r="AV746" s="387" t="str">
        <f>IF(AT746=0,"",IF(AND(AT746=3,M746="F",SUMIF(C2:C1334,C746,AS2:AS1334)&lt;=1),SUMIF(C2:C1334,C746,AS2:AS1334),IF(AND(AT746=3,M746="F",SUMIF(C2:C1334,C746,AS2:AS1334)&gt;1),1,"")))</f>
        <v/>
      </c>
      <c r="AW746" s="387">
        <f>SUMIF(C2:C1334,C746,O2:O1334)</f>
        <v>3</v>
      </c>
      <c r="AX746" s="387">
        <f>IF(AND(M746="F",AS746&lt;&gt;0),SUMIF(C2:C1334,C746,W2:W1334),0)</f>
        <v>0</v>
      </c>
      <c r="AY746" s="387" t="str">
        <f t="shared" si="513"/>
        <v/>
      </c>
      <c r="AZ746" s="387" t="str">
        <f t="shared" si="514"/>
        <v/>
      </c>
      <c r="BA746" s="387">
        <f t="shared" si="515"/>
        <v>0</v>
      </c>
      <c r="BB746" s="387">
        <f t="shared" si="484"/>
        <v>0</v>
      </c>
      <c r="BC746" s="387">
        <f t="shared" si="485"/>
        <v>0</v>
      </c>
      <c r="BD746" s="387">
        <f t="shared" si="486"/>
        <v>0</v>
      </c>
      <c r="BE746" s="387">
        <f t="shared" si="487"/>
        <v>0</v>
      </c>
      <c r="BF746" s="387">
        <f t="shared" si="488"/>
        <v>0</v>
      </c>
      <c r="BG746" s="387">
        <f t="shared" si="489"/>
        <v>0</v>
      </c>
      <c r="BH746" s="387">
        <f t="shared" si="490"/>
        <v>0</v>
      </c>
      <c r="BI746" s="387">
        <f t="shared" si="491"/>
        <v>0</v>
      </c>
      <c r="BJ746" s="387">
        <f t="shared" si="492"/>
        <v>0</v>
      </c>
      <c r="BK746" s="387">
        <f t="shared" si="493"/>
        <v>0</v>
      </c>
      <c r="BL746" s="387">
        <f t="shared" si="516"/>
        <v>0</v>
      </c>
      <c r="BM746" s="387">
        <f t="shared" si="517"/>
        <v>0</v>
      </c>
      <c r="BN746" s="387">
        <f t="shared" si="494"/>
        <v>0</v>
      </c>
      <c r="BO746" s="387">
        <f t="shared" si="495"/>
        <v>0</v>
      </c>
      <c r="BP746" s="387">
        <f t="shared" si="496"/>
        <v>0</v>
      </c>
      <c r="BQ746" s="387">
        <f t="shared" si="497"/>
        <v>0</v>
      </c>
      <c r="BR746" s="387">
        <f t="shared" si="498"/>
        <v>0</v>
      </c>
      <c r="BS746" s="387">
        <f t="shared" si="499"/>
        <v>0</v>
      </c>
      <c r="BT746" s="387">
        <f t="shared" si="500"/>
        <v>0</v>
      </c>
      <c r="BU746" s="387">
        <f t="shared" si="501"/>
        <v>0</v>
      </c>
      <c r="BV746" s="387">
        <f t="shared" si="502"/>
        <v>0</v>
      </c>
      <c r="BW746" s="387">
        <f t="shared" si="503"/>
        <v>0</v>
      </c>
      <c r="BX746" s="387">
        <f t="shared" si="518"/>
        <v>0</v>
      </c>
      <c r="BY746" s="387">
        <f t="shared" si="519"/>
        <v>0</v>
      </c>
      <c r="BZ746" s="387">
        <f t="shared" si="520"/>
        <v>0</v>
      </c>
      <c r="CA746" s="387">
        <f t="shared" si="521"/>
        <v>0</v>
      </c>
      <c r="CB746" s="387">
        <f t="shared" si="522"/>
        <v>0</v>
      </c>
      <c r="CC746" s="387">
        <f t="shared" si="504"/>
        <v>0</v>
      </c>
      <c r="CD746" s="387">
        <f t="shared" si="505"/>
        <v>0</v>
      </c>
      <c r="CE746" s="387">
        <f t="shared" si="506"/>
        <v>0</v>
      </c>
      <c r="CF746" s="387">
        <f t="shared" si="507"/>
        <v>0</v>
      </c>
      <c r="CG746" s="387">
        <f t="shared" si="508"/>
        <v>0</v>
      </c>
      <c r="CH746" s="387">
        <f t="shared" si="509"/>
        <v>0</v>
      </c>
      <c r="CI746" s="387">
        <f t="shared" si="510"/>
        <v>0</v>
      </c>
      <c r="CJ746" s="387">
        <f t="shared" si="523"/>
        <v>0</v>
      </c>
      <c r="CK746" s="387" t="str">
        <f t="shared" si="524"/>
        <v/>
      </c>
      <c r="CL746" s="387" t="str">
        <f t="shared" si="525"/>
        <v/>
      </c>
      <c r="CM746" s="387" t="str">
        <f t="shared" si="526"/>
        <v/>
      </c>
      <c r="CN746" s="387" t="str">
        <f t="shared" si="527"/>
        <v>0349-31</v>
      </c>
    </row>
    <row r="747" spans="1:92" ht="15.75" thickBot="1" x14ac:dyDescent="0.3">
      <c r="A747" s="376" t="s">
        <v>161</v>
      </c>
      <c r="B747" s="376" t="s">
        <v>162</v>
      </c>
      <c r="C747" s="376" t="s">
        <v>1051</v>
      </c>
      <c r="D747" s="376" t="s">
        <v>862</v>
      </c>
      <c r="E747" s="376" t="s">
        <v>669</v>
      </c>
      <c r="F747" s="382" t="s">
        <v>225</v>
      </c>
      <c r="G747" s="376" t="s">
        <v>781</v>
      </c>
      <c r="H747" s="378"/>
      <c r="I747" s="378"/>
      <c r="J747" s="376" t="s">
        <v>215</v>
      </c>
      <c r="K747" s="376" t="s">
        <v>863</v>
      </c>
      <c r="L747" s="376" t="s">
        <v>252</v>
      </c>
      <c r="M747" s="376" t="s">
        <v>171</v>
      </c>
      <c r="N747" s="376" t="s">
        <v>172</v>
      </c>
      <c r="O747" s="379">
        <v>1</v>
      </c>
      <c r="P747" s="385">
        <v>0</v>
      </c>
      <c r="Q747" s="385">
        <v>0</v>
      </c>
      <c r="R747" s="380">
        <v>80</v>
      </c>
      <c r="S747" s="385">
        <v>0</v>
      </c>
      <c r="T747" s="380">
        <v>8.69</v>
      </c>
      <c r="U747" s="380">
        <v>0</v>
      </c>
      <c r="V747" s="380">
        <v>4.6900000000000004</v>
      </c>
      <c r="W747" s="380">
        <v>0</v>
      </c>
      <c r="X747" s="380">
        <v>0</v>
      </c>
      <c r="Y747" s="380">
        <v>0</v>
      </c>
      <c r="Z747" s="380">
        <v>0</v>
      </c>
      <c r="AA747" s="376" t="s">
        <v>1052</v>
      </c>
      <c r="AB747" s="376" t="s">
        <v>1053</v>
      </c>
      <c r="AC747" s="376" t="s">
        <v>1054</v>
      </c>
      <c r="AD747" s="376" t="s">
        <v>1055</v>
      </c>
      <c r="AE747" s="376" t="s">
        <v>863</v>
      </c>
      <c r="AF747" s="376" t="s">
        <v>393</v>
      </c>
      <c r="AG747" s="376" t="s">
        <v>178</v>
      </c>
      <c r="AH747" s="381">
        <v>20.21</v>
      </c>
      <c r="AI747" s="381">
        <v>9047.5</v>
      </c>
      <c r="AJ747" s="376" t="s">
        <v>179</v>
      </c>
      <c r="AK747" s="376" t="s">
        <v>180</v>
      </c>
      <c r="AL747" s="376" t="s">
        <v>181</v>
      </c>
      <c r="AM747" s="376" t="s">
        <v>182</v>
      </c>
      <c r="AN747" s="376" t="s">
        <v>68</v>
      </c>
      <c r="AO747" s="379">
        <v>80</v>
      </c>
      <c r="AP747" s="385">
        <v>1</v>
      </c>
      <c r="AQ747" s="385">
        <v>0</v>
      </c>
      <c r="AR747" s="383" t="s">
        <v>183</v>
      </c>
      <c r="AS747" s="387">
        <f t="shared" si="511"/>
        <v>0</v>
      </c>
      <c r="AT747">
        <f t="shared" si="512"/>
        <v>0</v>
      </c>
      <c r="AU747" s="387" t="str">
        <f>IF(AT747=0,"",IF(AND(AT747=1,M747="F",SUMIF(C2:C1334,C747,AS2:AS1334)&lt;=1),SUMIF(C2:C1334,C747,AS2:AS1334),IF(AND(AT747=1,M747="F",SUMIF(C2:C1334,C747,AS2:AS1334)&gt;1),1,"")))</f>
        <v/>
      </c>
      <c r="AV747" s="387" t="str">
        <f>IF(AT747=0,"",IF(AND(AT747=3,M747="F",SUMIF(C2:C1334,C747,AS2:AS1334)&lt;=1),SUMIF(C2:C1334,C747,AS2:AS1334),IF(AND(AT747=3,M747="F",SUMIF(C2:C1334,C747,AS2:AS1334)&gt;1),1,"")))</f>
        <v/>
      </c>
      <c r="AW747" s="387">
        <f>SUMIF(C2:C1334,C747,O2:O1334)</f>
        <v>3</v>
      </c>
      <c r="AX747" s="387">
        <f>IF(AND(M747="F",AS747&lt;&gt;0),SUMIF(C2:C1334,C747,W2:W1334),0)</f>
        <v>0</v>
      </c>
      <c r="AY747" s="387" t="str">
        <f t="shared" si="513"/>
        <v/>
      </c>
      <c r="AZ747" s="387" t="str">
        <f t="shared" si="514"/>
        <v/>
      </c>
      <c r="BA747" s="387">
        <f t="shared" si="515"/>
        <v>0</v>
      </c>
      <c r="BB747" s="387">
        <f t="shared" si="484"/>
        <v>0</v>
      </c>
      <c r="BC747" s="387">
        <f t="shared" si="485"/>
        <v>0</v>
      </c>
      <c r="BD747" s="387">
        <f t="shared" si="486"/>
        <v>0</v>
      </c>
      <c r="BE747" s="387">
        <f t="shared" si="487"/>
        <v>0</v>
      </c>
      <c r="BF747" s="387">
        <f t="shared" si="488"/>
        <v>0</v>
      </c>
      <c r="BG747" s="387">
        <f t="shared" si="489"/>
        <v>0</v>
      </c>
      <c r="BH747" s="387">
        <f t="shared" si="490"/>
        <v>0</v>
      </c>
      <c r="BI747" s="387">
        <f t="shared" si="491"/>
        <v>0</v>
      </c>
      <c r="BJ747" s="387">
        <f t="shared" si="492"/>
        <v>0</v>
      </c>
      <c r="BK747" s="387">
        <f t="shared" si="493"/>
        <v>0</v>
      </c>
      <c r="BL747" s="387">
        <f t="shared" si="516"/>
        <v>0</v>
      </c>
      <c r="BM747" s="387">
        <f t="shared" si="517"/>
        <v>0</v>
      </c>
      <c r="BN747" s="387">
        <f t="shared" si="494"/>
        <v>0</v>
      </c>
      <c r="BO747" s="387">
        <f t="shared" si="495"/>
        <v>0</v>
      </c>
      <c r="BP747" s="387">
        <f t="shared" si="496"/>
        <v>0</v>
      </c>
      <c r="BQ747" s="387">
        <f t="shared" si="497"/>
        <v>0</v>
      </c>
      <c r="BR747" s="387">
        <f t="shared" si="498"/>
        <v>0</v>
      </c>
      <c r="BS747" s="387">
        <f t="shared" si="499"/>
        <v>0</v>
      </c>
      <c r="BT747" s="387">
        <f t="shared" si="500"/>
        <v>0</v>
      </c>
      <c r="BU747" s="387">
        <f t="shared" si="501"/>
        <v>0</v>
      </c>
      <c r="BV747" s="387">
        <f t="shared" si="502"/>
        <v>0</v>
      </c>
      <c r="BW747" s="387">
        <f t="shared" si="503"/>
        <v>0</v>
      </c>
      <c r="BX747" s="387">
        <f t="shared" si="518"/>
        <v>0</v>
      </c>
      <c r="BY747" s="387">
        <f t="shared" si="519"/>
        <v>0</v>
      </c>
      <c r="BZ747" s="387">
        <f t="shared" si="520"/>
        <v>0</v>
      </c>
      <c r="CA747" s="387">
        <f t="shared" si="521"/>
        <v>0</v>
      </c>
      <c r="CB747" s="387">
        <f t="shared" si="522"/>
        <v>0</v>
      </c>
      <c r="CC747" s="387">
        <f t="shared" si="504"/>
        <v>0</v>
      </c>
      <c r="CD747" s="387">
        <f t="shared" si="505"/>
        <v>0</v>
      </c>
      <c r="CE747" s="387">
        <f t="shared" si="506"/>
        <v>0</v>
      </c>
      <c r="CF747" s="387">
        <f t="shared" si="507"/>
        <v>0</v>
      </c>
      <c r="CG747" s="387">
        <f t="shared" si="508"/>
        <v>0</v>
      </c>
      <c r="CH747" s="387">
        <f t="shared" si="509"/>
        <v>0</v>
      </c>
      <c r="CI747" s="387">
        <f t="shared" si="510"/>
        <v>0</v>
      </c>
      <c r="CJ747" s="387">
        <f t="shared" si="523"/>
        <v>0</v>
      </c>
      <c r="CK747" s="387" t="str">
        <f t="shared" si="524"/>
        <v/>
      </c>
      <c r="CL747" s="387" t="str">
        <f t="shared" si="525"/>
        <v/>
      </c>
      <c r="CM747" s="387" t="str">
        <f t="shared" si="526"/>
        <v/>
      </c>
      <c r="CN747" s="387" t="str">
        <f t="shared" si="527"/>
        <v>0349-31</v>
      </c>
    </row>
    <row r="748" spans="1:92" ht="15.75" thickBot="1" x14ac:dyDescent="0.3">
      <c r="A748" s="376" t="s">
        <v>161</v>
      </c>
      <c r="B748" s="376" t="s">
        <v>162</v>
      </c>
      <c r="C748" s="376" t="s">
        <v>1829</v>
      </c>
      <c r="D748" s="376" t="s">
        <v>862</v>
      </c>
      <c r="E748" s="376" t="s">
        <v>669</v>
      </c>
      <c r="F748" s="382" t="s">
        <v>225</v>
      </c>
      <c r="G748" s="376" t="s">
        <v>781</v>
      </c>
      <c r="H748" s="378"/>
      <c r="I748" s="378"/>
      <c r="J748" s="376" t="s">
        <v>168</v>
      </c>
      <c r="K748" s="376" t="s">
        <v>863</v>
      </c>
      <c r="L748" s="376" t="s">
        <v>252</v>
      </c>
      <c r="M748" s="376" t="s">
        <v>272</v>
      </c>
      <c r="N748" s="376" t="s">
        <v>172</v>
      </c>
      <c r="O748" s="379">
        <v>0</v>
      </c>
      <c r="P748" s="385">
        <v>0</v>
      </c>
      <c r="Q748" s="385">
        <v>0</v>
      </c>
      <c r="R748" s="380">
        <v>80</v>
      </c>
      <c r="S748" s="385">
        <v>0</v>
      </c>
      <c r="T748" s="380">
        <v>47</v>
      </c>
      <c r="U748" s="380">
        <v>0</v>
      </c>
      <c r="V748" s="380">
        <v>23.11</v>
      </c>
      <c r="W748" s="380">
        <v>0</v>
      </c>
      <c r="X748" s="380">
        <v>0</v>
      </c>
      <c r="Y748" s="380">
        <v>0</v>
      </c>
      <c r="Z748" s="380">
        <v>0</v>
      </c>
      <c r="AA748" s="378"/>
      <c r="AB748" s="376" t="s">
        <v>45</v>
      </c>
      <c r="AC748" s="376" t="s">
        <v>45</v>
      </c>
      <c r="AD748" s="378"/>
      <c r="AE748" s="378"/>
      <c r="AF748" s="378"/>
      <c r="AG748" s="378"/>
      <c r="AH748" s="379">
        <v>0</v>
      </c>
      <c r="AI748" s="379">
        <v>0</v>
      </c>
      <c r="AJ748" s="378"/>
      <c r="AK748" s="378"/>
      <c r="AL748" s="376" t="s">
        <v>181</v>
      </c>
      <c r="AM748" s="378"/>
      <c r="AN748" s="378"/>
      <c r="AO748" s="379">
        <v>0</v>
      </c>
      <c r="AP748" s="385">
        <v>0</v>
      </c>
      <c r="AQ748" s="385">
        <v>0</v>
      </c>
      <c r="AR748" s="384"/>
      <c r="AS748" s="387">
        <f t="shared" si="511"/>
        <v>0</v>
      </c>
      <c r="AT748">
        <f t="shared" si="512"/>
        <v>0</v>
      </c>
      <c r="AU748" s="387" t="str">
        <f>IF(AT748=0,"",IF(AND(AT748=1,M748="F",SUMIF(C2:C1334,C748,AS2:AS1334)&lt;=1),SUMIF(C2:C1334,C748,AS2:AS1334),IF(AND(AT748=1,M748="F",SUMIF(C2:C1334,C748,AS2:AS1334)&gt;1),1,"")))</f>
        <v/>
      </c>
      <c r="AV748" s="387" t="str">
        <f>IF(AT748=0,"",IF(AND(AT748=3,M748="F",SUMIF(C2:C1334,C748,AS2:AS1334)&lt;=1),SUMIF(C2:C1334,C748,AS2:AS1334),IF(AND(AT748=3,M748="F",SUMIF(C2:C1334,C748,AS2:AS1334)&gt;1),1,"")))</f>
        <v/>
      </c>
      <c r="AW748" s="387">
        <f>SUMIF(C2:C1334,C748,O2:O1334)</f>
        <v>0</v>
      </c>
      <c r="AX748" s="387">
        <f>IF(AND(M748="F",AS748&lt;&gt;0),SUMIF(C2:C1334,C748,W2:W1334),0)</f>
        <v>0</v>
      </c>
      <c r="AY748" s="387" t="str">
        <f t="shared" si="513"/>
        <v/>
      </c>
      <c r="AZ748" s="387" t="str">
        <f t="shared" si="514"/>
        <v/>
      </c>
      <c r="BA748" s="387">
        <f t="shared" si="515"/>
        <v>0</v>
      </c>
      <c r="BB748" s="387">
        <f t="shared" si="484"/>
        <v>0</v>
      </c>
      <c r="BC748" s="387">
        <f t="shared" si="485"/>
        <v>0</v>
      </c>
      <c r="BD748" s="387">
        <f t="shared" si="486"/>
        <v>0</v>
      </c>
      <c r="BE748" s="387">
        <f t="shared" si="487"/>
        <v>0</v>
      </c>
      <c r="BF748" s="387">
        <f t="shared" si="488"/>
        <v>0</v>
      </c>
      <c r="BG748" s="387">
        <f t="shared" si="489"/>
        <v>0</v>
      </c>
      <c r="BH748" s="387">
        <f t="shared" si="490"/>
        <v>0</v>
      </c>
      <c r="BI748" s="387">
        <f t="shared" si="491"/>
        <v>0</v>
      </c>
      <c r="BJ748" s="387">
        <f t="shared" si="492"/>
        <v>0</v>
      </c>
      <c r="BK748" s="387">
        <f t="shared" si="493"/>
        <v>0</v>
      </c>
      <c r="BL748" s="387">
        <f t="shared" si="516"/>
        <v>0</v>
      </c>
      <c r="BM748" s="387">
        <f t="shared" si="517"/>
        <v>0</v>
      </c>
      <c r="BN748" s="387">
        <f t="shared" si="494"/>
        <v>0</v>
      </c>
      <c r="BO748" s="387">
        <f t="shared" si="495"/>
        <v>0</v>
      </c>
      <c r="BP748" s="387">
        <f t="shared" si="496"/>
        <v>0</v>
      </c>
      <c r="BQ748" s="387">
        <f t="shared" si="497"/>
        <v>0</v>
      </c>
      <c r="BR748" s="387">
        <f t="shared" si="498"/>
        <v>0</v>
      </c>
      <c r="BS748" s="387">
        <f t="shared" si="499"/>
        <v>0</v>
      </c>
      <c r="BT748" s="387">
        <f t="shared" si="500"/>
        <v>0</v>
      </c>
      <c r="BU748" s="387">
        <f t="shared" si="501"/>
        <v>0</v>
      </c>
      <c r="BV748" s="387">
        <f t="shared" si="502"/>
        <v>0</v>
      </c>
      <c r="BW748" s="387">
        <f t="shared" si="503"/>
        <v>0</v>
      </c>
      <c r="BX748" s="387">
        <f t="shared" si="518"/>
        <v>0</v>
      </c>
      <c r="BY748" s="387">
        <f t="shared" si="519"/>
        <v>0</v>
      </c>
      <c r="BZ748" s="387">
        <f t="shared" si="520"/>
        <v>0</v>
      </c>
      <c r="CA748" s="387">
        <f t="shared" si="521"/>
        <v>0</v>
      </c>
      <c r="CB748" s="387">
        <f t="shared" si="522"/>
        <v>0</v>
      </c>
      <c r="CC748" s="387">
        <f t="shared" si="504"/>
        <v>0</v>
      </c>
      <c r="CD748" s="387">
        <f t="shared" si="505"/>
        <v>0</v>
      </c>
      <c r="CE748" s="387">
        <f t="shared" si="506"/>
        <v>0</v>
      </c>
      <c r="CF748" s="387">
        <f t="shared" si="507"/>
        <v>0</v>
      </c>
      <c r="CG748" s="387">
        <f t="shared" si="508"/>
        <v>0</v>
      </c>
      <c r="CH748" s="387">
        <f t="shared" si="509"/>
        <v>0</v>
      </c>
      <c r="CI748" s="387">
        <f t="shared" si="510"/>
        <v>0</v>
      </c>
      <c r="CJ748" s="387">
        <f t="shared" si="523"/>
        <v>0</v>
      </c>
      <c r="CK748" s="387" t="str">
        <f t="shared" si="524"/>
        <v/>
      </c>
      <c r="CL748" s="387" t="str">
        <f t="shared" si="525"/>
        <v/>
      </c>
      <c r="CM748" s="387" t="str">
        <f t="shared" si="526"/>
        <v/>
      </c>
      <c r="CN748" s="387" t="str">
        <f t="shared" si="527"/>
        <v>0349-31</v>
      </c>
    </row>
    <row r="749" spans="1:92" ht="15.75" thickBot="1" x14ac:dyDescent="0.3">
      <c r="A749" s="376" t="s">
        <v>161</v>
      </c>
      <c r="B749" s="376" t="s">
        <v>162</v>
      </c>
      <c r="C749" s="376" t="s">
        <v>968</v>
      </c>
      <c r="D749" s="376" t="s">
        <v>792</v>
      </c>
      <c r="E749" s="376" t="s">
        <v>669</v>
      </c>
      <c r="F749" s="382" t="s">
        <v>225</v>
      </c>
      <c r="G749" s="376" t="s">
        <v>781</v>
      </c>
      <c r="H749" s="378"/>
      <c r="I749" s="378"/>
      <c r="J749" s="376" t="s">
        <v>239</v>
      </c>
      <c r="K749" s="376" t="s">
        <v>793</v>
      </c>
      <c r="L749" s="376" t="s">
        <v>170</v>
      </c>
      <c r="M749" s="376" t="s">
        <v>171</v>
      </c>
      <c r="N749" s="376" t="s">
        <v>172</v>
      </c>
      <c r="O749" s="379">
        <v>1</v>
      </c>
      <c r="P749" s="385">
        <v>0</v>
      </c>
      <c r="Q749" s="385">
        <v>0</v>
      </c>
      <c r="R749" s="380">
        <v>80</v>
      </c>
      <c r="S749" s="385">
        <v>0</v>
      </c>
      <c r="T749" s="380">
        <v>22</v>
      </c>
      <c r="U749" s="380">
        <v>0</v>
      </c>
      <c r="V749" s="380">
        <v>10.44</v>
      </c>
      <c r="W749" s="380">
        <v>0</v>
      </c>
      <c r="X749" s="380">
        <v>0</v>
      </c>
      <c r="Y749" s="380">
        <v>0</v>
      </c>
      <c r="Z749" s="380">
        <v>0</v>
      </c>
      <c r="AA749" s="376" t="s">
        <v>969</v>
      </c>
      <c r="AB749" s="376" t="s">
        <v>970</v>
      </c>
      <c r="AC749" s="376" t="s">
        <v>971</v>
      </c>
      <c r="AD749" s="376" t="s">
        <v>972</v>
      </c>
      <c r="AE749" s="376" t="s">
        <v>793</v>
      </c>
      <c r="AF749" s="376" t="s">
        <v>177</v>
      </c>
      <c r="AG749" s="376" t="s">
        <v>178</v>
      </c>
      <c r="AH749" s="381">
        <v>23.41</v>
      </c>
      <c r="AI749" s="381">
        <v>29722.5</v>
      </c>
      <c r="AJ749" s="376" t="s">
        <v>179</v>
      </c>
      <c r="AK749" s="376" t="s">
        <v>180</v>
      </c>
      <c r="AL749" s="376" t="s">
        <v>181</v>
      </c>
      <c r="AM749" s="376" t="s">
        <v>182</v>
      </c>
      <c r="AN749" s="376" t="s">
        <v>68</v>
      </c>
      <c r="AO749" s="379">
        <v>80</v>
      </c>
      <c r="AP749" s="385">
        <v>1</v>
      </c>
      <c r="AQ749" s="385">
        <v>0</v>
      </c>
      <c r="AR749" s="383" t="s">
        <v>183</v>
      </c>
      <c r="AS749" s="387">
        <f t="shared" si="511"/>
        <v>0</v>
      </c>
      <c r="AT749">
        <f t="shared" si="512"/>
        <v>0</v>
      </c>
      <c r="AU749" s="387" t="str">
        <f>IF(AT749=0,"",IF(AND(AT749=1,M749="F",SUMIF(C2:C1334,C749,AS2:AS1334)&lt;=1),SUMIF(C2:C1334,C749,AS2:AS1334),IF(AND(AT749=1,M749="F",SUMIF(C2:C1334,C749,AS2:AS1334)&gt;1),1,"")))</f>
        <v/>
      </c>
      <c r="AV749" s="387" t="str">
        <f>IF(AT749=0,"",IF(AND(AT749=3,M749="F",SUMIF(C2:C1334,C749,AS2:AS1334)&lt;=1),SUMIF(C2:C1334,C749,AS2:AS1334),IF(AND(AT749=3,M749="F",SUMIF(C2:C1334,C749,AS2:AS1334)&gt;1),1,"")))</f>
        <v/>
      </c>
      <c r="AW749" s="387">
        <f>SUMIF(C2:C1334,C749,O2:O1334)</f>
        <v>3</v>
      </c>
      <c r="AX749" s="387">
        <f>IF(AND(M749="F",AS749&lt;&gt;0),SUMIF(C2:C1334,C749,W2:W1334),0)</f>
        <v>0</v>
      </c>
      <c r="AY749" s="387" t="str">
        <f t="shared" si="513"/>
        <v/>
      </c>
      <c r="AZ749" s="387" t="str">
        <f t="shared" si="514"/>
        <v/>
      </c>
      <c r="BA749" s="387">
        <f t="shared" si="515"/>
        <v>0</v>
      </c>
      <c r="BB749" s="387">
        <f t="shared" si="484"/>
        <v>0</v>
      </c>
      <c r="BC749" s="387">
        <f t="shared" si="485"/>
        <v>0</v>
      </c>
      <c r="BD749" s="387">
        <f t="shared" si="486"/>
        <v>0</v>
      </c>
      <c r="BE749" s="387">
        <f t="shared" si="487"/>
        <v>0</v>
      </c>
      <c r="BF749" s="387">
        <f t="shared" si="488"/>
        <v>0</v>
      </c>
      <c r="BG749" s="387">
        <f t="shared" si="489"/>
        <v>0</v>
      </c>
      <c r="BH749" s="387">
        <f t="shared" si="490"/>
        <v>0</v>
      </c>
      <c r="BI749" s="387">
        <f t="shared" si="491"/>
        <v>0</v>
      </c>
      <c r="BJ749" s="387">
        <f t="shared" si="492"/>
        <v>0</v>
      </c>
      <c r="BK749" s="387">
        <f t="shared" si="493"/>
        <v>0</v>
      </c>
      <c r="BL749" s="387">
        <f t="shared" si="516"/>
        <v>0</v>
      </c>
      <c r="BM749" s="387">
        <f t="shared" si="517"/>
        <v>0</v>
      </c>
      <c r="BN749" s="387">
        <f t="shared" si="494"/>
        <v>0</v>
      </c>
      <c r="BO749" s="387">
        <f t="shared" si="495"/>
        <v>0</v>
      </c>
      <c r="BP749" s="387">
        <f t="shared" si="496"/>
        <v>0</v>
      </c>
      <c r="BQ749" s="387">
        <f t="shared" si="497"/>
        <v>0</v>
      </c>
      <c r="BR749" s="387">
        <f t="shared" si="498"/>
        <v>0</v>
      </c>
      <c r="BS749" s="387">
        <f t="shared" si="499"/>
        <v>0</v>
      </c>
      <c r="BT749" s="387">
        <f t="shared" si="500"/>
        <v>0</v>
      </c>
      <c r="BU749" s="387">
        <f t="shared" si="501"/>
        <v>0</v>
      </c>
      <c r="BV749" s="387">
        <f t="shared" si="502"/>
        <v>0</v>
      </c>
      <c r="BW749" s="387">
        <f t="shared" si="503"/>
        <v>0</v>
      </c>
      <c r="BX749" s="387">
        <f t="shared" si="518"/>
        <v>0</v>
      </c>
      <c r="BY749" s="387">
        <f t="shared" si="519"/>
        <v>0</v>
      </c>
      <c r="BZ749" s="387">
        <f t="shared" si="520"/>
        <v>0</v>
      </c>
      <c r="CA749" s="387">
        <f t="shared" si="521"/>
        <v>0</v>
      </c>
      <c r="CB749" s="387">
        <f t="shared" si="522"/>
        <v>0</v>
      </c>
      <c r="CC749" s="387">
        <f t="shared" si="504"/>
        <v>0</v>
      </c>
      <c r="CD749" s="387">
        <f t="shared" si="505"/>
        <v>0</v>
      </c>
      <c r="CE749" s="387">
        <f t="shared" si="506"/>
        <v>0</v>
      </c>
      <c r="CF749" s="387">
        <f t="shared" si="507"/>
        <v>0</v>
      </c>
      <c r="CG749" s="387">
        <f t="shared" si="508"/>
        <v>0</v>
      </c>
      <c r="CH749" s="387">
        <f t="shared" si="509"/>
        <v>0</v>
      </c>
      <c r="CI749" s="387">
        <f t="shared" si="510"/>
        <v>0</v>
      </c>
      <c r="CJ749" s="387">
        <f t="shared" si="523"/>
        <v>0</v>
      </c>
      <c r="CK749" s="387" t="str">
        <f t="shared" si="524"/>
        <v/>
      </c>
      <c r="CL749" s="387" t="str">
        <f t="shared" si="525"/>
        <v/>
      </c>
      <c r="CM749" s="387" t="str">
        <f t="shared" si="526"/>
        <v/>
      </c>
      <c r="CN749" s="387" t="str">
        <f t="shared" si="527"/>
        <v>0349-31</v>
      </c>
    </row>
    <row r="750" spans="1:92" ht="15.75" thickBot="1" x14ac:dyDescent="0.3">
      <c r="A750" s="376" t="s">
        <v>161</v>
      </c>
      <c r="B750" s="376" t="s">
        <v>162</v>
      </c>
      <c r="C750" s="376" t="s">
        <v>1146</v>
      </c>
      <c r="D750" s="376" t="s">
        <v>862</v>
      </c>
      <c r="E750" s="376" t="s">
        <v>669</v>
      </c>
      <c r="F750" s="382" t="s">
        <v>225</v>
      </c>
      <c r="G750" s="376" t="s">
        <v>781</v>
      </c>
      <c r="H750" s="378"/>
      <c r="I750" s="378"/>
      <c r="J750" s="376" t="s">
        <v>239</v>
      </c>
      <c r="K750" s="376" t="s">
        <v>863</v>
      </c>
      <c r="L750" s="376" t="s">
        <v>252</v>
      </c>
      <c r="M750" s="376" t="s">
        <v>171</v>
      </c>
      <c r="N750" s="376" t="s">
        <v>172</v>
      </c>
      <c r="O750" s="379">
        <v>1</v>
      </c>
      <c r="P750" s="385">
        <v>0</v>
      </c>
      <c r="Q750" s="385">
        <v>0</v>
      </c>
      <c r="R750" s="380">
        <v>80</v>
      </c>
      <c r="S750" s="385">
        <v>0</v>
      </c>
      <c r="T750" s="380">
        <v>74.62</v>
      </c>
      <c r="U750" s="380">
        <v>0</v>
      </c>
      <c r="V750" s="380">
        <v>25.01</v>
      </c>
      <c r="W750" s="380">
        <v>0</v>
      </c>
      <c r="X750" s="380">
        <v>0</v>
      </c>
      <c r="Y750" s="380">
        <v>0</v>
      </c>
      <c r="Z750" s="380">
        <v>0</v>
      </c>
      <c r="AA750" s="376" t="s">
        <v>1147</v>
      </c>
      <c r="AB750" s="376" t="s">
        <v>1148</v>
      </c>
      <c r="AC750" s="376" t="s">
        <v>889</v>
      </c>
      <c r="AD750" s="376" t="s">
        <v>1149</v>
      </c>
      <c r="AE750" s="376" t="s">
        <v>863</v>
      </c>
      <c r="AF750" s="376" t="s">
        <v>393</v>
      </c>
      <c r="AG750" s="376" t="s">
        <v>178</v>
      </c>
      <c r="AH750" s="381">
        <v>18.940000000000001</v>
      </c>
      <c r="AI750" s="379">
        <v>3600</v>
      </c>
      <c r="AJ750" s="376" t="s">
        <v>179</v>
      </c>
      <c r="AK750" s="376" t="s">
        <v>180</v>
      </c>
      <c r="AL750" s="376" t="s">
        <v>181</v>
      </c>
      <c r="AM750" s="376" t="s">
        <v>182</v>
      </c>
      <c r="AN750" s="376" t="s">
        <v>68</v>
      </c>
      <c r="AO750" s="379">
        <v>80</v>
      </c>
      <c r="AP750" s="385">
        <v>1</v>
      </c>
      <c r="AQ750" s="385">
        <v>0</v>
      </c>
      <c r="AR750" s="383" t="s">
        <v>183</v>
      </c>
      <c r="AS750" s="387">
        <f t="shared" si="511"/>
        <v>0</v>
      </c>
      <c r="AT750">
        <f t="shared" si="512"/>
        <v>0</v>
      </c>
      <c r="AU750" s="387" t="str">
        <f>IF(AT750=0,"",IF(AND(AT750=1,M750="F",SUMIF(C2:C1334,C750,AS2:AS1334)&lt;=1),SUMIF(C2:C1334,C750,AS2:AS1334),IF(AND(AT750=1,M750="F",SUMIF(C2:C1334,C750,AS2:AS1334)&gt;1),1,"")))</f>
        <v/>
      </c>
      <c r="AV750" s="387" t="str">
        <f>IF(AT750=0,"",IF(AND(AT750=3,M750="F",SUMIF(C2:C1334,C750,AS2:AS1334)&lt;=1),SUMIF(C2:C1334,C750,AS2:AS1334),IF(AND(AT750=3,M750="F",SUMIF(C2:C1334,C750,AS2:AS1334)&gt;1),1,"")))</f>
        <v/>
      </c>
      <c r="AW750" s="387">
        <f>SUMIF(C2:C1334,C750,O2:O1334)</f>
        <v>3</v>
      </c>
      <c r="AX750" s="387">
        <f>IF(AND(M750="F",AS750&lt;&gt;0),SUMIF(C2:C1334,C750,W2:W1334),0)</f>
        <v>0</v>
      </c>
      <c r="AY750" s="387" t="str">
        <f t="shared" si="513"/>
        <v/>
      </c>
      <c r="AZ750" s="387" t="str">
        <f t="shared" si="514"/>
        <v/>
      </c>
      <c r="BA750" s="387">
        <f t="shared" si="515"/>
        <v>0</v>
      </c>
      <c r="BB750" s="387">
        <f t="shared" si="484"/>
        <v>0</v>
      </c>
      <c r="BC750" s="387">
        <f t="shared" si="485"/>
        <v>0</v>
      </c>
      <c r="BD750" s="387">
        <f t="shared" si="486"/>
        <v>0</v>
      </c>
      <c r="BE750" s="387">
        <f t="shared" si="487"/>
        <v>0</v>
      </c>
      <c r="BF750" s="387">
        <f t="shared" si="488"/>
        <v>0</v>
      </c>
      <c r="BG750" s="387">
        <f t="shared" si="489"/>
        <v>0</v>
      </c>
      <c r="BH750" s="387">
        <f t="shared" si="490"/>
        <v>0</v>
      </c>
      <c r="BI750" s="387">
        <f t="shared" si="491"/>
        <v>0</v>
      </c>
      <c r="BJ750" s="387">
        <f t="shared" si="492"/>
        <v>0</v>
      </c>
      <c r="BK750" s="387">
        <f t="shared" si="493"/>
        <v>0</v>
      </c>
      <c r="BL750" s="387">
        <f t="shared" si="516"/>
        <v>0</v>
      </c>
      <c r="BM750" s="387">
        <f t="shared" si="517"/>
        <v>0</v>
      </c>
      <c r="BN750" s="387">
        <f t="shared" si="494"/>
        <v>0</v>
      </c>
      <c r="BO750" s="387">
        <f t="shared" si="495"/>
        <v>0</v>
      </c>
      <c r="BP750" s="387">
        <f t="shared" si="496"/>
        <v>0</v>
      </c>
      <c r="BQ750" s="387">
        <f t="shared" si="497"/>
        <v>0</v>
      </c>
      <c r="BR750" s="387">
        <f t="shared" si="498"/>
        <v>0</v>
      </c>
      <c r="BS750" s="387">
        <f t="shared" si="499"/>
        <v>0</v>
      </c>
      <c r="BT750" s="387">
        <f t="shared" si="500"/>
        <v>0</v>
      </c>
      <c r="BU750" s="387">
        <f t="shared" si="501"/>
        <v>0</v>
      </c>
      <c r="BV750" s="387">
        <f t="shared" si="502"/>
        <v>0</v>
      </c>
      <c r="BW750" s="387">
        <f t="shared" si="503"/>
        <v>0</v>
      </c>
      <c r="BX750" s="387">
        <f t="shared" si="518"/>
        <v>0</v>
      </c>
      <c r="BY750" s="387">
        <f t="shared" si="519"/>
        <v>0</v>
      </c>
      <c r="BZ750" s="387">
        <f t="shared" si="520"/>
        <v>0</v>
      </c>
      <c r="CA750" s="387">
        <f t="shared" si="521"/>
        <v>0</v>
      </c>
      <c r="CB750" s="387">
        <f t="shared" si="522"/>
        <v>0</v>
      </c>
      <c r="CC750" s="387">
        <f t="shared" si="504"/>
        <v>0</v>
      </c>
      <c r="CD750" s="387">
        <f t="shared" si="505"/>
        <v>0</v>
      </c>
      <c r="CE750" s="387">
        <f t="shared" si="506"/>
        <v>0</v>
      </c>
      <c r="CF750" s="387">
        <f t="shared" si="507"/>
        <v>0</v>
      </c>
      <c r="CG750" s="387">
        <f t="shared" si="508"/>
        <v>0</v>
      </c>
      <c r="CH750" s="387">
        <f t="shared" si="509"/>
        <v>0</v>
      </c>
      <c r="CI750" s="387">
        <f t="shared" si="510"/>
        <v>0</v>
      </c>
      <c r="CJ750" s="387">
        <f t="shared" si="523"/>
        <v>0</v>
      </c>
      <c r="CK750" s="387" t="str">
        <f t="shared" si="524"/>
        <v/>
      </c>
      <c r="CL750" s="387" t="str">
        <f t="shared" si="525"/>
        <v/>
      </c>
      <c r="CM750" s="387" t="str">
        <f t="shared" si="526"/>
        <v/>
      </c>
      <c r="CN750" s="387" t="str">
        <f t="shared" si="527"/>
        <v>0349-31</v>
      </c>
    </row>
    <row r="751" spans="1:92" ht="15.75" thickBot="1" x14ac:dyDescent="0.3">
      <c r="A751" s="376" t="s">
        <v>161</v>
      </c>
      <c r="B751" s="376" t="s">
        <v>162</v>
      </c>
      <c r="C751" s="376" t="s">
        <v>1688</v>
      </c>
      <c r="D751" s="376" t="s">
        <v>862</v>
      </c>
      <c r="E751" s="376" t="s">
        <v>669</v>
      </c>
      <c r="F751" s="382" t="s">
        <v>225</v>
      </c>
      <c r="G751" s="376" t="s">
        <v>781</v>
      </c>
      <c r="H751" s="378"/>
      <c r="I751" s="378"/>
      <c r="J751" s="376" t="s">
        <v>215</v>
      </c>
      <c r="K751" s="376" t="s">
        <v>863</v>
      </c>
      <c r="L751" s="376" t="s">
        <v>252</v>
      </c>
      <c r="M751" s="376" t="s">
        <v>171</v>
      </c>
      <c r="N751" s="376" t="s">
        <v>172</v>
      </c>
      <c r="O751" s="379">
        <v>1</v>
      </c>
      <c r="P751" s="385">
        <v>0</v>
      </c>
      <c r="Q751" s="385">
        <v>0</v>
      </c>
      <c r="R751" s="380">
        <v>80</v>
      </c>
      <c r="S751" s="385">
        <v>0</v>
      </c>
      <c r="T751" s="380">
        <v>30.81</v>
      </c>
      <c r="U751" s="380">
        <v>0</v>
      </c>
      <c r="V751" s="380">
        <v>6.65</v>
      </c>
      <c r="W751" s="380">
        <v>0</v>
      </c>
      <c r="X751" s="380">
        <v>0</v>
      </c>
      <c r="Y751" s="380">
        <v>0</v>
      </c>
      <c r="Z751" s="380">
        <v>0</v>
      </c>
      <c r="AA751" s="376" t="s">
        <v>1689</v>
      </c>
      <c r="AB751" s="376" t="s">
        <v>1690</v>
      </c>
      <c r="AC751" s="376" t="s">
        <v>1691</v>
      </c>
      <c r="AD751" s="376" t="s">
        <v>1692</v>
      </c>
      <c r="AE751" s="376" t="s">
        <v>863</v>
      </c>
      <c r="AF751" s="376" t="s">
        <v>393</v>
      </c>
      <c r="AG751" s="376" t="s">
        <v>178</v>
      </c>
      <c r="AH751" s="381">
        <v>23.03</v>
      </c>
      <c r="AI751" s="381">
        <v>36356.5</v>
      </c>
      <c r="AJ751" s="376" t="s">
        <v>179</v>
      </c>
      <c r="AK751" s="376" t="s">
        <v>180</v>
      </c>
      <c r="AL751" s="376" t="s">
        <v>181</v>
      </c>
      <c r="AM751" s="376" t="s">
        <v>182</v>
      </c>
      <c r="AN751" s="376" t="s">
        <v>68</v>
      </c>
      <c r="AO751" s="379">
        <v>80</v>
      </c>
      <c r="AP751" s="385">
        <v>1</v>
      </c>
      <c r="AQ751" s="385">
        <v>0</v>
      </c>
      <c r="AR751" s="383" t="s">
        <v>183</v>
      </c>
      <c r="AS751" s="387">
        <f t="shared" si="511"/>
        <v>0</v>
      </c>
      <c r="AT751">
        <f t="shared" si="512"/>
        <v>0</v>
      </c>
      <c r="AU751" s="387" t="str">
        <f>IF(AT751=0,"",IF(AND(AT751=1,M751="F",SUMIF(C2:C1334,C751,AS2:AS1334)&lt;=1),SUMIF(C2:C1334,C751,AS2:AS1334),IF(AND(AT751=1,M751="F",SUMIF(C2:C1334,C751,AS2:AS1334)&gt;1),1,"")))</f>
        <v/>
      </c>
      <c r="AV751" s="387" t="str">
        <f>IF(AT751=0,"",IF(AND(AT751=3,M751="F",SUMIF(C2:C1334,C751,AS2:AS1334)&lt;=1),SUMIF(C2:C1334,C751,AS2:AS1334),IF(AND(AT751=3,M751="F",SUMIF(C2:C1334,C751,AS2:AS1334)&gt;1),1,"")))</f>
        <v/>
      </c>
      <c r="AW751" s="387">
        <f>SUMIF(C2:C1334,C751,O2:O1334)</f>
        <v>3</v>
      </c>
      <c r="AX751" s="387">
        <f>IF(AND(M751="F",AS751&lt;&gt;0),SUMIF(C2:C1334,C751,W2:W1334),0)</f>
        <v>0</v>
      </c>
      <c r="AY751" s="387" t="str">
        <f t="shared" si="513"/>
        <v/>
      </c>
      <c r="AZ751" s="387" t="str">
        <f t="shared" si="514"/>
        <v/>
      </c>
      <c r="BA751" s="387">
        <f t="shared" si="515"/>
        <v>0</v>
      </c>
      <c r="BB751" s="387">
        <f t="shared" si="484"/>
        <v>0</v>
      </c>
      <c r="BC751" s="387">
        <f t="shared" si="485"/>
        <v>0</v>
      </c>
      <c r="BD751" s="387">
        <f t="shared" si="486"/>
        <v>0</v>
      </c>
      <c r="BE751" s="387">
        <f t="shared" si="487"/>
        <v>0</v>
      </c>
      <c r="BF751" s="387">
        <f t="shared" si="488"/>
        <v>0</v>
      </c>
      <c r="BG751" s="387">
        <f t="shared" si="489"/>
        <v>0</v>
      </c>
      <c r="BH751" s="387">
        <f t="shared" si="490"/>
        <v>0</v>
      </c>
      <c r="BI751" s="387">
        <f t="shared" si="491"/>
        <v>0</v>
      </c>
      <c r="BJ751" s="387">
        <f t="shared" si="492"/>
        <v>0</v>
      </c>
      <c r="BK751" s="387">
        <f t="shared" si="493"/>
        <v>0</v>
      </c>
      <c r="BL751" s="387">
        <f t="shared" si="516"/>
        <v>0</v>
      </c>
      <c r="BM751" s="387">
        <f t="shared" si="517"/>
        <v>0</v>
      </c>
      <c r="BN751" s="387">
        <f t="shared" si="494"/>
        <v>0</v>
      </c>
      <c r="BO751" s="387">
        <f t="shared" si="495"/>
        <v>0</v>
      </c>
      <c r="BP751" s="387">
        <f t="shared" si="496"/>
        <v>0</v>
      </c>
      <c r="BQ751" s="387">
        <f t="shared" si="497"/>
        <v>0</v>
      </c>
      <c r="BR751" s="387">
        <f t="shared" si="498"/>
        <v>0</v>
      </c>
      <c r="BS751" s="387">
        <f t="shared" si="499"/>
        <v>0</v>
      </c>
      <c r="BT751" s="387">
        <f t="shared" si="500"/>
        <v>0</v>
      </c>
      <c r="BU751" s="387">
        <f t="shared" si="501"/>
        <v>0</v>
      </c>
      <c r="BV751" s="387">
        <f t="shared" si="502"/>
        <v>0</v>
      </c>
      <c r="BW751" s="387">
        <f t="shared" si="503"/>
        <v>0</v>
      </c>
      <c r="BX751" s="387">
        <f t="shared" si="518"/>
        <v>0</v>
      </c>
      <c r="BY751" s="387">
        <f t="shared" si="519"/>
        <v>0</v>
      </c>
      <c r="BZ751" s="387">
        <f t="shared" si="520"/>
        <v>0</v>
      </c>
      <c r="CA751" s="387">
        <f t="shared" si="521"/>
        <v>0</v>
      </c>
      <c r="CB751" s="387">
        <f t="shared" si="522"/>
        <v>0</v>
      </c>
      <c r="CC751" s="387">
        <f t="shared" si="504"/>
        <v>0</v>
      </c>
      <c r="CD751" s="387">
        <f t="shared" si="505"/>
        <v>0</v>
      </c>
      <c r="CE751" s="387">
        <f t="shared" si="506"/>
        <v>0</v>
      </c>
      <c r="CF751" s="387">
        <f t="shared" si="507"/>
        <v>0</v>
      </c>
      <c r="CG751" s="387">
        <f t="shared" si="508"/>
        <v>0</v>
      </c>
      <c r="CH751" s="387">
        <f t="shared" si="509"/>
        <v>0</v>
      </c>
      <c r="CI751" s="387">
        <f t="shared" si="510"/>
        <v>0</v>
      </c>
      <c r="CJ751" s="387">
        <f t="shared" si="523"/>
        <v>0</v>
      </c>
      <c r="CK751" s="387" t="str">
        <f t="shared" si="524"/>
        <v/>
      </c>
      <c r="CL751" s="387" t="str">
        <f t="shared" si="525"/>
        <v/>
      </c>
      <c r="CM751" s="387" t="str">
        <f t="shared" si="526"/>
        <v/>
      </c>
      <c r="CN751" s="387" t="str">
        <f t="shared" si="527"/>
        <v>0349-31</v>
      </c>
    </row>
    <row r="752" spans="1:92" ht="15.75" thickBot="1" x14ac:dyDescent="0.3">
      <c r="A752" s="376" t="s">
        <v>161</v>
      </c>
      <c r="B752" s="376" t="s">
        <v>162</v>
      </c>
      <c r="C752" s="376" t="s">
        <v>1083</v>
      </c>
      <c r="D752" s="376" t="s">
        <v>862</v>
      </c>
      <c r="E752" s="376" t="s">
        <v>669</v>
      </c>
      <c r="F752" s="382" t="s">
        <v>225</v>
      </c>
      <c r="G752" s="376" t="s">
        <v>781</v>
      </c>
      <c r="H752" s="378"/>
      <c r="I752" s="378"/>
      <c r="J752" s="376" t="s">
        <v>239</v>
      </c>
      <c r="K752" s="376" t="s">
        <v>863</v>
      </c>
      <c r="L752" s="376" t="s">
        <v>252</v>
      </c>
      <c r="M752" s="376" t="s">
        <v>171</v>
      </c>
      <c r="N752" s="376" t="s">
        <v>172</v>
      </c>
      <c r="O752" s="379">
        <v>1</v>
      </c>
      <c r="P752" s="385">
        <v>0</v>
      </c>
      <c r="Q752" s="385">
        <v>0</v>
      </c>
      <c r="R752" s="380">
        <v>80</v>
      </c>
      <c r="S752" s="385">
        <v>0</v>
      </c>
      <c r="T752" s="380">
        <v>76.34</v>
      </c>
      <c r="U752" s="380">
        <v>0</v>
      </c>
      <c r="V752" s="380">
        <v>43.24</v>
      </c>
      <c r="W752" s="380">
        <v>0</v>
      </c>
      <c r="X752" s="380">
        <v>0</v>
      </c>
      <c r="Y752" s="380">
        <v>0</v>
      </c>
      <c r="Z752" s="380">
        <v>0</v>
      </c>
      <c r="AA752" s="376" t="s">
        <v>1084</v>
      </c>
      <c r="AB752" s="376" t="s">
        <v>1085</v>
      </c>
      <c r="AC752" s="376" t="s">
        <v>176</v>
      </c>
      <c r="AD752" s="376" t="s">
        <v>1086</v>
      </c>
      <c r="AE752" s="376" t="s">
        <v>863</v>
      </c>
      <c r="AF752" s="376" t="s">
        <v>393</v>
      </c>
      <c r="AG752" s="376" t="s">
        <v>178</v>
      </c>
      <c r="AH752" s="381">
        <v>18.670000000000002</v>
      </c>
      <c r="AI752" s="379">
        <v>1520</v>
      </c>
      <c r="AJ752" s="376" t="s">
        <v>179</v>
      </c>
      <c r="AK752" s="376" t="s">
        <v>180</v>
      </c>
      <c r="AL752" s="376" t="s">
        <v>181</v>
      </c>
      <c r="AM752" s="376" t="s">
        <v>182</v>
      </c>
      <c r="AN752" s="376" t="s">
        <v>68</v>
      </c>
      <c r="AO752" s="379">
        <v>80</v>
      </c>
      <c r="AP752" s="385">
        <v>1</v>
      </c>
      <c r="AQ752" s="385">
        <v>0</v>
      </c>
      <c r="AR752" s="383" t="s">
        <v>183</v>
      </c>
      <c r="AS752" s="387">
        <f t="shared" si="511"/>
        <v>0</v>
      </c>
      <c r="AT752">
        <f t="shared" si="512"/>
        <v>0</v>
      </c>
      <c r="AU752" s="387" t="str">
        <f>IF(AT752=0,"",IF(AND(AT752=1,M752="F",SUMIF(C2:C1334,C752,AS2:AS1334)&lt;=1),SUMIF(C2:C1334,C752,AS2:AS1334),IF(AND(AT752=1,M752="F",SUMIF(C2:C1334,C752,AS2:AS1334)&gt;1),1,"")))</f>
        <v/>
      </c>
      <c r="AV752" s="387" t="str">
        <f>IF(AT752=0,"",IF(AND(AT752=3,M752="F",SUMIF(C2:C1334,C752,AS2:AS1334)&lt;=1),SUMIF(C2:C1334,C752,AS2:AS1334),IF(AND(AT752=3,M752="F",SUMIF(C2:C1334,C752,AS2:AS1334)&gt;1),1,"")))</f>
        <v/>
      </c>
      <c r="AW752" s="387">
        <f>SUMIF(C2:C1334,C752,O2:O1334)</f>
        <v>3</v>
      </c>
      <c r="AX752" s="387">
        <f>IF(AND(M752="F",AS752&lt;&gt;0),SUMIF(C2:C1334,C752,W2:W1334),0)</f>
        <v>0</v>
      </c>
      <c r="AY752" s="387" t="str">
        <f t="shared" si="513"/>
        <v/>
      </c>
      <c r="AZ752" s="387" t="str">
        <f t="shared" si="514"/>
        <v/>
      </c>
      <c r="BA752" s="387">
        <f t="shared" si="515"/>
        <v>0</v>
      </c>
      <c r="BB752" s="387">
        <f t="shared" si="484"/>
        <v>0</v>
      </c>
      <c r="BC752" s="387">
        <f t="shared" si="485"/>
        <v>0</v>
      </c>
      <c r="BD752" s="387">
        <f t="shared" si="486"/>
        <v>0</v>
      </c>
      <c r="BE752" s="387">
        <f t="shared" si="487"/>
        <v>0</v>
      </c>
      <c r="BF752" s="387">
        <f t="shared" si="488"/>
        <v>0</v>
      </c>
      <c r="BG752" s="387">
        <f t="shared" si="489"/>
        <v>0</v>
      </c>
      <c r="BH752" s="387">
        <f t="shared" si="490"/>
        <v>0</v>
      </c>
      <c r="BI752" s="387">
        <f t="shared" si="491"/>
        <v>0</v>
      </c>
      <c r="BJ752" s="387">
        <f t="shared" si="492"/>
        <v>0</v>
      </c>
      <c r="BK752" s="387">
        <f t="shared" si="493"/>
        <v>0</v>
      </c>
      <c r="BL752" s="387">
        <f t="shared" si="516"/>
        <v>0</v>
      </c>
      <c r="BM752" s="387">
        <f t="shared" si="517"/>
        <v>0</v>
      </c>
      <c r="BN752" s="387">
        <f t="shared" si="494"/>
        <v>0</v>
      </c>
      <c r="BO752" s="387">
        <f t="shared" si="495"/>
        <v>0</v>
      </c>
      <c r="BP752" s="387">
        <f t="shared" si="496"/>
        <v>0</v>
      </c>
      <c r="BQ752" s="387">
        <f t="shared" si="497"/>
        <v>0</v>
      </c>
      <c r="BR752" s="387">
        <f t="shared" si="498"/>
        <v>0</v>
      </c>
      <c r="BS752" s="387">
        <f t="shared" si="499"/>
        <v>0</v>
      </c>
      <c r="BT752" s="387">
        <f t="shared" si="500"/>
        <v>0</v>
      </c>
      <c r="BU752" s="387">
        <f t="shared" si="501"/>
        <v>0</v>
      </c>
      <c r="BV752" s="387">
        <f t="shared" si="502"/>
        <v>0</v>
      </c>
      <c r="BW752" s="387">
        <f t="shared" si="503"/>
        <v>0</v>
      </c>
      <c r="BX752" s="387">
        <f t="shared" si="518"/>
        <v>0</v>
      </c>
      <c r="BY752" s="387">
        <f t="shared" si="519"/>
        <v>0</v>
      </c>
      <c r="BZ752" s="387">
        <f t="shared" si="520"/>
        <v>0</v>
      </c>
      <c r="CA752" s="387">
        <f t="shared" si="521"/>
        <v>0</v>
      </c>
      <c r="CB752" s="387">
        <f t="shared" si="522"/>
        <v>0</v>
      </c>
      <c r="CC752" s="387">
        <f t="shared" si="504"/>
        <v>0</v>
      </c>
      <c r="CD752" s="387">
        <f t="shared" si="505"/>
        <v>0</v>
      </c>
      <c r="CE752" s="387">
        <f t="shared" si="506"/>
        <v>0</v>
      </c>
      <c r="CF752" s="387">
        <f t="shared" si="507"/>
        <v>0</v>
      </c>
      <c r="CG752" s="387">
        <f t="shared" si="508"/>
        <v>0</v>
      </c>
      <c r="CH752" s="387">
        <f t="shared" si="509"/>
        <v>0</v>
      </c>
      <c r="CI752" s="387">
        <f t="shared" si="510"/>
        <v>0</v>
      </c>
      <c r="CJ752" s="387">
        <f t="shared" si="523"/>
        <v>0</v>
      </c>
      <c r="CK752" s="387" t="str">
        <f t="shared" si="524"/>
        <v/>
      </c>
      <c r="CL752" s="387" t="str">
        <f t="shared" si="525"/>
        <v/>
      </c>
      <c r="CM752" s="387" t="str">
        <f t="shared" si="526"/>
        <v/>
      </c>
      <c r="CN752" s="387" t="str">
        <f t="shared" si="527"/>
        <v>0349-31</v>
      </c>
    </row>
    <row r="753" spans="1:92" ht="15.75" thickBot="1" x14ac:dyDescent="0.3">
      <c r="A753" s="376" t="s">
        <v>161</v>
      </c>
      <c r="B753" s="376" t="s">
        <v>162</v>
      </c>
      <c r="C753" s="376" t="s">
        <v>1119</v>
      </c>
      <c r="D753" s="376" t="s">
        <v>862</v>
      </c>
      <c r="E753" s="376" t="s">
        <v>669</v>
      </c>
      <c r="F753" s="382" t="s">
        <v>225</v>
      </c>
      <c r="G753" s="376" t="s">
        <v>781</v>
      </c>
      <c r="H753" s="378"/>
      <c r="I753" s="378"/>
      <c r="J753" s="376" t="s">
        <v>239</v>
      </c>
      <c r="K753" s="376" t="s">
        <v>863</v>
      </c>
      <c r="L753" s="376" t="s">
        <v>252</v>
      </c>
      <c r="M753" s="376" t="s">
        <v>171</v>
      </c>
      <c r="N753" s="376" t="s">
        <v>172</v>
      </c>
      <c r="O753" s="379">
        <v>1</v>
      </c>
      <c r="P753" s="385">
        <v>0</v>
      </c>
      <c r="Q753" s="385">
        <v>0</v>
      </c>
      <c r="R753" s="380">
        <v>80</v>
      </c>
      <c r="S753" s="385">
        <v>0</v>
      </c>
      <c r="T753" s="380">
        <v>17.989999999999998</v>
      </c>
      <c r="U753" s="380">
        <v>0</v>
      </c>
      <c r="V753" s="380">
        <v>9.98</v>
      </c>
      <c r="W753" s="380">
        <v>0</v>
      </c>
      <c r="X753" s="380">
        <v>0</v>
      </c>
      <c r="Y753" s="380">
        <v>0</v>
      </c>
      <c r="Z753" s="380">
        <v>0</v>
      </c>
      <c r="AA753" s="376" t="s">
        <v>1120</v>
      </c>
      <c r="AB753" s="376" t="s">
        <v>1121</v>
      </c>
      <c r="AC753" s="376" t="s">
        <v>1122</v>
      </c>
      <c r="AD753" s="376" t="s">
        <v>583</v>
      </c>
      <c r="AE753" s="376" t="s">
        <v>863</v>
      </c>
      <c r="AF753" s="376" t="s">
        <v>393</v>
      </c>
      <c r="AG753" s="376" t="s">
        <v>178</v>
      </c>
      <c r="AH753" s="381">
        <v>21.53</v>
      </c>
      <c r="AI753" s="381">
        <v>19288.5</v>
      </c>
      <c r="AJ753" s="376" t="s">
        <v>179</v>
      </c>
      <c r="AK753" s="376" t="s">
        <v>180</v>
      </c>
      <c r="AL753" s="376" t="s">
        <v>181</v>
      </c>
      <c r="AM753" s="376" t="s">
        <v>182</v>
      </c>
      <c r="AN753" s="376" t="s">
        <v>68</v>
      </c>
      <c r="AO753" s="379">
        <v>80</v>
      </c>
      <c r="AP753" s="385">
        <v>1</v>
      </c>
      <c r="AQ753" s="385">
        <v>0</v>
      </c>
      <c r="AR753" s="383" t="s">
        <v>183</v>
      </c>
      <c r="AS753" s="387">
        <f t="shared" si="511"/>
        <v>0</v>
      </c>
      <c r="AT753">
        <f t="shared" si="512"/>
        <v>0</v>
      </c>
      <c r="AU753" s="387" t="str">
        <f>IF(AT753=0,"",IF(AND(AT753=1,M753="F",SUMIF(C2:C1334,C753,AS2:AS1334)&lt;=1),SUMIF(C2:C1334,C753,AS2:AS1334),IF(AND(AT753=1,M753="F",SUMIF(C2:C1334,C753,AS2:AS1334)&gt;1),1,"")))</f>
        <v/>
      </c>
      <c r="AV753" s="387" t="str">
        <f>IF(AT753=0,"",IF(AND(AT753=3,M753="F",SUMIF(C2:C1334,C753,AS2:AS1334)&lt;=1),SUMIF(C2:C1334,C753,AS2:AS1334),IF(AND(AT753=3,M753="F",SUMIF(C2:C1334,C753,AS2:AS1334)&gt;1),1,"")))</f>
        <v/>
      </c>
      <c r="AW753" s="387">
        <f>SUMIF(C2:C1334,C753,O2:O1334)</f>
        <v>3</v>
      </c>
      <c r="AX753" s="387">
        <f>IF(AND(M753="F",AS753&lt;&gt;0),SUMIF(C2:C1334,C753,W2:W1334),0)</f>
        <v>0</v>
      </c>
      <c r="AY753" s="387" t="str">
        <f t="shared" si="513"/>
        <v/>
      </c>
      <c r="AZ753" s="387" t="str">
        <f t="shared" si="514"/>
        <v/>
      </c>
      <c r="BA753" s="387">
        <f t="shared" si="515"/>
        <v>0</v>
      </c>
      <c r="BB753" s="387">
        <f t="shared" si="484"/>
        <v>0</v>
      </c>
      <c r="BC753" s="387">
        <f t="shared" si="485"/>
        <v>0</v>
      </c>
      <c r="BD753" s="387">
        <f t="shared" si="486"/>
        <v>0</v>
      </c>
      <c r="BE753" s="387">
        <f t="shared" si="487"/>
        <v>0</v>
      </c>
      <c r="BF753" s="387">
        <f t="shared" si="488"/>
        <v>0</v>
      </c>
      <c r="BG753" s="387">
        <f t="shared" si="489"/>
        <v>0</v>
      </c>
      <c r="BH753" s="387">
        <f t="shared" si="490"/>
        <v>0</v>
      </c>
      <c r="BI753" s="387">
        <f t="shared" si="491"/>
        <v>0</v>
      </c>
      <c r="BJ753" s="387">
        <f t="shared" si="492"/>
        <v>0</v>
      </c>
      <c r="BK753" s="387">
        <f t="shared" si="493"/>
        <v>0</v>
      </c>
      <c r="BL753" s="387">
        <f t="shared" si="516"/>
        <v>0</v>
      </c>
      <c r="BM753" s="387">
        <f t="shared" si="517"/>
        <v>0</v>
      </c>
      <c r="BN753" s="387">
        <f t="shared" si="494"/>
        <v>0</v>
      </c>
      <c r="BO753" s="387">
        <f t="shared" si="495"/>
        <v>0</v>
      </c>
      <c r="BP753" s="387">
        <f t="shared" si="496"/>
        <v>0</v>
      </c>
      <c r="BQ753" s="387">
        <f t="shared" si="497"/>
        <v>0</v>
      </c>
      <c r="BR753" s="387">
        <f t="shared" si="498"/>
        <v>0</v>
      </c>
      <c r="BS753" s="387">
        <f t="shared" si="499"/>
        <v>0</v>
      </c>
      <c r="BT753" s="387">
        <f t="shared" si="500"/>
        <v>0</v>
      </c>
      <c r="BU753" s="387">
        <f t="shared" si="501"/>
        <v>0</v>
      </c>
      <c r="BV753" s="387">
        <f t="shared" si="502"/>
        <v>0</v>
      </c>
      <c r="BW753" s="387">
        <f t="shared" si="503"/>
        <v>0</v>
      </c>
      <c r="BX753" s="387">
        <f t="shared" si="518"/>
        <v>0</v>
      </c>
      <c r="BY753" s="387">
        <f t="shared" si="519"/>
        <v>0</v>
      </c>
      <c r="BZ753" s="387">
        <f t="shared" si="520"/>
        <v>0</v>
      </c>
      <c r="CA753" s="387">
        <f t="shared" si="521"/>
        <v>0</v>
      </c>
      <c r="CB753" s="387">
        <f t="shared" si="522"/>
        <v>0</v>
      </c>
      <c r="CC753" s="387">
        <f t="shared" si="504"/>
        <v>0</v>
      </c>
      <c r="CD753" s="387">
        <f t="shared" si="505"/>
        <v>0</v>
      </c>
      <c r="CE753" s="387">
        <f t="shared" si="506"/>
        <v>0</v>
      </c>
      <c r="CF753" s="387">
        <f t="shared" si="507"/>
        <v>0</v>
      </c>
      <c r="CG753" s="387">
        <f t="shared" si="508"/>
        <v>0</v>
      </c>
      <c r="CH753" s="387">
        <f t="shared" si="509"/>
        <v>0</v>
      </c>
      <c r="CI753" s="387">
        <f t="shared" si="510"/>
        <v>0</v>
      </c>
      <c r="CJ753" s="387">
        <f t="shared" si="523"/>
        <v>0</v>
      </c>
      <c r="CK753" s="387" t="str">
        <f t="shared" si="524"/>
        <v/>
      </c>
      <c r="CL753" s="387" t="str">
        <f t="shared" si="525"/>
        <v/>
      </c>
      <c r="CM753" s="387" t="str">
        <f t="shared" si="526"/>
        <v/>
      </c>
      <c r="CN753" s="387" t="str">
        <f t="shared" si="527"/>
        <v>0349-31</v>
      </c>
    </row>
    <row r="754" spans="1:92" ht="15.75" thickBot="1" x14ac:dyDescent="0.3">
      <c r="A754" s="376" t="s">
        <v>161</v>
      </c>
      <c r="B754" s="376" t="s">
        <v>162</v>
      </c>
      <c r="C754" s="376" t="s">
        <v>328</v>
      </c>
      <c r="D754" s="376" t="s">
        <v>329</v>
      </c>
      <c r="E754" s="376" t="s">
        <v>669</v>
      </c>
      <c r="F754" s="382" t="s">
        <v>225</v>
      </c>
      <c r="G754" s="376" t="s">
        <v>781</v>
      </c>
      <c r="H754" s="378"/>
      <c r="I754" s="378"/>
      <c r="J754" s="376" t="s">
        <v>239</v>
      </c>
      <c r="K754" s="376" t="s">
        <v>330</v>
      </c>
      <c r="L754" s="376" t="s">
        <v>210</v>
      </c>
      <c r="M754" s="376" t="s">
        <v>171</v>
      </c>
      <c r="N754" s="376" t="s">
        <v>172</v>
      </c>
      <c r="O754" s="379">
        <v>1</v>
      </c>
      <c r="P754" s="385">
        <v>0</v>
      </c>
      <c r="Q754" s="385">
        <v>0</v>
      </c>
      <c r="R754" s="380">
        <v>80</v>
      </c>
      <c r="S754" s="385">
        <v>0</v>
      </c>
      <c r="T754" s="380">
        <v>1488.13</v>
      </c>
      <c r="U754" s="380">
        <v>0</v>
      </c>
      <c r="V754" s="380">
        <v>520.92999999999995</v>
      </c>
      <c r="W754" s="380">
        <v>0</v>
      </c>
      <c r="X754" s="380">
        <v>0</v>
      </c>
      <c r="Y754" s="380">
        <v>0</v>
      </c>
      <c r="Z754" s="380">
        <v>0</v>
      </c>
      <c r="AA754" s="376" t="s">
        <v>331</v>
      </c>
      <c r="AB754" s="376" t="s">
        <v>332</v>
      </c>
      <c r="AC754" s="376" t="s">
        <v>251</v>
      </c>
      <c r="AD754" s="376" t="s">
        <v>170</v>
      </c>
      <c r="AE754" s="376" t="s">
        <v>330</v>
      </c>
      <c r="AF754" s="376" t="s">
        <v>245</v>
      </c>
      <c r="AG754" s="376" t="s">
        <v>178</v>
      </c>
      <c r="AH754" s="379">
        <v>32</v>
      </c>
      <c r="AI754" s="381">
        <v>66344.5</v>
      </c>
      <c r="AJ754" s="376" t="s">
        <v>179</v>
      </c>
      <c r="AK754" s="376" t="s">
        <v>180</v>
      </c>
      <c r="AL754" s="376" t="s">
        <v>181</v>
      </c>
      <c r="AM754" s="376" t="s">
        <v>182</v>
      </c>
      <c r="AN754" s="376" t="s">
        <v>68</v>
      </c>
      <c r="AO754" s="379">
        <v>80</v>
      </c>
      <c r="AP754" s="385">
        <v>1</v>
      </c>
      <c r="AQ754" s="385">
        <v>0</v>
      </c>
      <c r="AR754" s="383" t="s">
        <v>183</v>
      </c>
      <c r="AS754" s="387">
        <f t="shared" si="511"/>
        <v>0</v>
      </c>
      <c r="AT754">
        <f t="shared" si="512"/>
        <v>0</v>
      </c>
      <c r="AU754" s="387" t="str">
        <f>IF(AT754=0,"",IF(AND(AT754=1,M754="F",SUMIF(C2:C1334,C754,AS2:AS1334)&lt;=1),SUMIF(C2:C1334,C754,AS2:AS1334),IF(AND(AT754=1,M754="F",SUMIF(C2:C1334,C754,AS2:AS1334)&gt;1),1,"")))</f>
        <v/>
      </c>
      <c r="AV754" s="387" t="str">
        <f>IF(AT754=0,"",IF(AND(AT754=3,M754="F",SUMIF(C2:C1334,C754,AS2:AS1334)&lt;=1),SUMIF(C2:C1334,C754,AS2:AS1334),IF(AND(AT754=3,M754="F",SUMIF(C2:C1334,C754,AS2:AS1334)&gt;1),1,"")))</f>
        <v/>
      </c>
      <c r="AW754" s="387">
        <f>SUMIF(C2:C1334,C754,O2:O1334)</f>
        <v>4</v>
      </c>
      <c r="AX754" s="387">
        <f>IF(AND(M754="F",AS754&lt;&gt;0),SUMIF(C2:C1334,C754,W2:W1334),0)</f>
        <v>0</v>
      </c>
      <c r="AY754" s="387" t="str">
        <f t="shared" si="513"/>
        <v/>
      </c>
      <c r="AZ754" s="387" t="str">
        <f t="shared" si="514"/>
        <v/>
      </c>
      <c r="BA754" s="387">
        <f t="shared" si="515"/>
        <v>0</v>
      </c>
      <c r="BB754" s="387">
        <f t="shared" si="484"/>
        <v>0</v>
      </c>
      <c r="BC754" s="387">
        <f t="shared" si="485"/>
        <v>0</v>
      </c>
      <c r="BD754" s="387">
        <f t="shared" si="486"/>
        <v>0</v>
      </c>
      <c r="BE754" s="387">
        <f t="shared" si="487"/>
        <v>0</v>
      </c>
      <c r="BF754" s="387">
        <f t="shared" si="488"/>
        <v>0</v>
      </c>
      <c r="BG754" s="387">
        <f t="shared" si="489"/>
        <v>0</v>
      </c>
      <c r="BH754" s="387">
        <f t="shared" si="490"/>
        <v>0</v>
      </c>
      <c r="BI754" s="387">
        <f t="shared" si="491"/>
        <v>0</v>
      </c>
      <c r="BJ754" s="387">
        <f t="shared" si="492"/>
        <v>0</v>
      </c>
      <c r="BK754" s="387">
        <f t="shared" si="493"/>
        <v>0</v>
      </c>
      <c r="BL754" s="387">
        <f t="shared" si="516"/>
        <v>0</v>
      </c>
      <c r="BM754" s="387">
        <f t="shared" si="517"/>
        <v>0</v>
      </c>
      <c r="BN754" s="387">
        <f t="shared" si="494"/>
        <v>0</v>
      </c>
      <c r="BO754" s="387">
        <f t="shared" si="495"/>
        <v>0</v>
      </c>
      <c r="BP754" s="387">
        <f t="shared" si="496"/>
        <v>0</v>
      </c>
      <c r="BQ754" s="387">
        <f t="shared" si="497"/>
        <v>0</v>
      </c>
      <c r="BR754" s="387">
        <f t="shared" si="498"/>
        <v>0</v>
      </c>
      <c r="BS754" s="387">
        <f t="shared" si="499"/>
        <v>0</v>
      </c>
      <c r="BT754" s="387">
        <f t="shared" si="500"/>
        <v>0</v>
      </c>
      <c r="BU754" s="387">
        <f t="shared" si="501"/>
        <v>0</v>
      </c>
      <c r="BV754" s="387">
        <f t="shared" si="502"/>
        <v>0</v>
      </c>
      <c r="BW754" s="387">
        <f t="shared" si="503"/>
        <v>0</v>
      </c>
      <c r="BX754" s="387">
        <f t="shared" si="518"/>
        <v>0</v>
      </c>
      <c r="BY754" s="387">
        <f t="shared" si="519"/>
        <v>0</v>
      </c>
      <c r="BZ754" s="387">
        <f t="shared" si="520"/>
        <v>0</v>
      </c>
      <c r="CA754" s="387">
        <f t="shared" si="521"/>
        <v>0</v>
      </c>
      <c r="CB754" s="387">
        <f t="shared" si="522"/>
        <v>0</v>
      </c>
      <c r="CC754" s="387">
        <f t="shared" si="504"/>
        <v>0</v>
      </c>
      <c r="CD754" s="387">
        <f t="shared" si="505"/>
        <v>0</v>
      </c>
      <c r="CE754" s="387">
        <f t="shared" si="506"/>
        <v>0</v>
      </c>
      <c r="CF754" s="387">
        <f t="shared" si="507"/>
        <v>0</v>
      </c>
      <c r="CG754" s="387">
        <f t="shared" si="508"/>
        <v>0</v>
      </c>
      <c r="CH754" s="387">
        <f t="shared" si="509"/>
        <v>0</v>
      </c>
      <c r="CI754" s="387">
        <f t="shared" si="510"/>
        <v>0</v>
      </c>
      <c r="CJ754" s="387">
        <f t="shared" si="523"/>
        <v>0</v>
      </c>
      <c r="CK754" s="387" t="str">
        <f t="shared" si="524"/>
        <v/>
      </c>
      <c r="CL754" s="387" t="str">
        <f t="shared" si="525"/>
        <v/>
      </c>
      <c r="CM754" s="387" t="str">
        <f t="shared" si="526"/>
        <v/>
      </c>
      <c r="CN754" s="387" t="str">
        <f t="shared" si="527"/>
        <v>0349-31</v>
      </c>
    </row>
    <row r="755" spans="1:92" ht="15.75" thickBot="1" x14ac:dyDescent="0.3">
      <c r="A755" s="376" t="s">
        <v>161</v>
      </c>
      <c r="B755" s="376" t="s">
        <v>162</v>
      </c>
      <c r="C755" s="376" t="s">
        <v>1727</v>
      </c>
      <c r="D755" s="376" t="s">
        <v>862</v>
      </c>
      <c r="E755" s="376" t="s">
        <v>669</v>
      </c>
      <c r="F755" s="382" t="s">
        <v>225</v>
      </c>
      <c r="G755" s="376" t="s">
        <v>781</v>
      </c>
      <c r="H755" s="378"/>
      <c r="I755" s="378"/>
      <c r="J755" s="376" t="s">
        <v>239</v>
      </c>
      <c r="K755" s="376" t="s">
        <v>863</v>
      </c>
      <c r="L755" s="376" t="s">
        <v>252</v>
      </c>
      <c r="M755" s="376" t="s">
        <v>171</v>
      </c>
      <c r="N755" s="376" t="s">
        <v>172</v>
      </c>
      <c r="O755" s="379">
        <v>1</v>
      </c>
      <c r="P755" s="385">
        <v>0</v>
      </c>
      <c r="Q755" s="385">
        <v>0</v>
      </c>
      <c r="R755" s="380">
        <v>80</v>
      </c>
      <c r="S755" s="385">
        <v>0</v>
      </c>
      <c r="T755" s="380">
        <v>88.54</v>
      </c>
      <c r="U755" s="380">
        <v>0</v>
      </c>
      <c r="V755" s="380">
        <v>32.479999999999997</v>
      </c>
      <c r="W755" s="380">
        <v>0</v>
      </c>
      <c r="X755" s="380">
        <v>0</v>
      </c>
      <c r="Y755" s="380">
        <v>0</v>
      </c>
      <c r="Z755" s="380">
        <v>0</v>
      </c>
      <c r="AA755" s="376" t="s">
        <v>1728</v>
      </c>
      <c r="AB755" s="376" t="s">
        <v>1729</v>
      </c>
      <c r="AC755" s="376" t="s">
        <v>836</v>
      </c>
      <c r="AD755" s="376" t="s">
        <v>324</v>
      </c>
      <c r="AE755" s="376" t="s">
        <v>863</v>
      </c>
      <c r="AF755" s="376" t="s">
        <v>393</v>
      </c>
      <c r="AG755" s="376" t="s">
        <v>178</v>
      </c>
      <c r="AH755" s="381">
        <v>24.95</v>
      </c>
      <c r="AI755" s="381">
        <v>32143.599999999999</v>
      </c>
      <c r="AJ755" s="376" t="s">
        <v>179</v>
      </c>
      <c r="AK755" s="376" t="s">
        <v>180</v>
      </c>
      <c r="AL755" s="376" t="s">
        <v>181</v>
      </c>
      <c r="AM755" s="376" t="s">
        <v>182</v>
      </c>
      <c r="AN755" s="376" t="s">
        <v>68</v>
      </c>
      <c r="AO755" s="379">
        <v>80</v>
      </c>
      <c r="AP755" s="385">
        <v>1</v>
      </c>
      <c r="AQ755" s="385">
        <v>0</v>
      </c>
      <c r="AR755" s="383" t="s">
        <v>183</v>
      </c>
      <c r="AS755" s="387">
        <f t="shared" si="511"/>
        <v>0</v>
      </c>
      <c r="AT755">
        <f t="shared" si="512"/>
        <v>0</v>
      </c>
      <c r="AU755" s="387" t="str">
        <f>IF(AT755=0,"",IF(AND(AT755=1,M755="F",SUMIF(C2:C1334,C755,AS2:AS1334)&lt;=1),SUMIF(C2:C1334,C755,AS2:AS1334),IF(AND(AT755=1,M755="F",SUMIF(C2:C1334,C755,AS2:AS1334)&gt;1),1,"")))</f>
        <v/>
      </c>
      <c r="AV755" s="387" t="str">
        <f>IF(AT755=0,"",IF(AND(AT755=3,M755="F",SUMIF(C2:C1334,C755,AS2:AS1334)&lt;=1),SUMIF(C2:C1334,C755,AS2:AS1334),IF(AND(AT755=3,M755="F",SUMIF(C2:C1334,C755,AS2:AS1334)&gt;1),1,"")))</f>
        <v/>
      </c>
      <c r="AW755" s="387">
        <f>SUMIF(C2:C1334,C755,O2:O1334)</f>
        <v>3</v>
      </c>
      <c r="AX755" s="387">
        <f>IF(AND(M755="F",AS755&lt;&gt;0),SUMIF(C2:C1334,C755,W2:W1334),0)</f>
        <v>0</v>
      </c>
      <c r="AY755" s="387" t="str">
        <f t="shared" si="513"/>
        <v/>
      </c>
      <c r="AZ755" s="387" t="str">
        <f t="shared" si="514"/>
        <v/>
      </c>
      <c r="BA755" s="387">
        <f t="shared" si="515"/>
        <v>0</v>
      </c>
      <c r="BB755" s="387">
        <f t="shared" si="484"/>
        <v>0</v>
      </c>
      <c r="BC755" s="387">
        <f t="shared" si="485"/>
        <v>0</v>
      </c>
      <c r="BD755" s="387">
        <f t="shared" si="486"/>
        <v>0</v>
      </c>
      <c r="BE755" s="387">
        <f t="shared" si="487"/>
        <v>0</v>
      </c>
      <c r="BF755" s="387">
        <f t="shared" si="488"/>
        <v>0</v>
      </c>
      <c r="BG755" s="387">
        <f t="shared" si="489"/>
        <v>0</v>
      </c>
      <c r="BH755" s="387">
        <f t="shared" si="490"/>
        <v>0</v>
      </c>
      <c r="BI755" s="387">
        <f t="shared" si="491"/>
        <v>0</v>
      </c>
      <c r="BJ755" s="387">
        <f t="shared" si="492"/>
        <v>0</v>
      </c>
      <c r="BK755" s="387">
        <f t="shared" si="493"/>
        <v>0</v>
      </c>
      <c r="BL755" s="387">
        <f t="shared" si="516"/>
        <v>0</v>
      </c>
      <c r="BM755" s="387">
        <f t="shared" si="517"/>
        <v>0</v>
      </c>
      <c r="BN755" s="387">
        <f t="shared" si="494"/>
        <v>0</v>
      </c>
      <c r="BO755" s="387">
        <f t="shared" si="495"/>
        <v>0</v>
      </c>
      <c r="BP755" s="387">
        <f t="shared" si="496"/>
        <v>0</v>
      </c>
      <c r="BQ755" s="387">
        <f t="shared" si="497"/>
        <v>0</v>
      </c>
      <c r="BR755" s="387">
        <f t="shared" si="498"/>
        <v>0</v>
      </c>
      <c r="BS755" s="387">
        <f t="shared" si="499"/>
        <v>0</v>
      </c>
      <c r="BT755" s="387">
        <f t="shared" si="500"/>
        <v>0</v>
      </c>
      <c r="BU755" s="387">
        <f t="shared" si="501"/>
        <v>0</v>
      </c>
      <c r="BV755" s="387">
        <f t="shared" si="502"/>
        <v>0</v>
      </c>
      <c r="BW755" s="387">
        <f t="shared" si="503"/>
        <v>0</v>
      </c>
      <c r="BX755" s="387">
        <f t="shared" si="518"/>
        <v>0</v>
      </c>
      <c r="BY755" s="387">
        <f t="shared" si="519"/>
        <v>0</v>
      </c>
      <c r="BZ755" s="387">
        <f t="shared" si="520"/>
        <v>0</v>
      </c>
      <c r="CA755" s="387">
        <f t="shared" si="521"/>
        <v>0</v>
      </c>
      <c r="CB755" s="387">
        <f t="shared" si="522"/>
        <v>0</v>
      </c>
      <c r="CC755" s="387">
        <f t="shared" si="504"/>
        <v>0</v>
      </c>
      <c r="CD755" s="387">
        <f t="shared" si="505"/>
        <v>0</v>
      </c>
      <c r="CE755" s="387">
        <f t="shared" si="506"/>
        <v>0</v>
      </c>
      <c r="CF755" s="387">
        <f t="shared" si="507"/>
        <v>0</v>
      </c>
      <c r="CG755" s="387">
        <f t="shared" si="508"/>
        <v>0</v>
      </c>
      <c r="CH755" s="387">
        <f t="shared" si="509"/>
        <v>0</v>
      </c>
      <c r="CI755" s="387">
        <f t="shared" si="510"/>
        <v>0</v>
      </c>
      <c r="CJ755" s="387">
        <f t="shared" si="523"/>
        <v>0</v>
      </c>
      <c r="CK755" s="387" t="str">
        <f t="shared" si="524"/>
        <v/>
      </c>
      <c r="CL755" s="387" t="str">
        <f t="shared" si="525"/>
        <v/>
      </c>
      <c r="CM755" s="387" t="str">
        <f t="shared" si="526"/>
        <v/>
      </c>
      <c r="CN755" s="387" t="str">
        <f t="shared" si="527"/>
        <v>0349-31</v>
      </c>
    </row>
    <row r="756" spans="1:92" ht="15.75" thickBot="1" x14ac:dyDescent="0.3">
      <c r="A756" s="376" t="s">
        <v>161</v>
      </c>
      <c r="B756" s="376" t="s">
        <v>162</v>
      </c>
      <c r="C756" s="376" t="s">
        <v>1113</v>
      </c>
      <c r="D756" s="376" t="s">
        <v>792</v>
      </c>
      <c r="E756" s="376" t="s">
        <v>669</v>
      </c>
      <c r="F756" s="382" t="s">
        <v>225</v>
      </c>
      <c r="G756" s="376" t="s">
        <v>781</v>
      </c>
      <c r="H756" s="378"/>
      <c r="I756" s="378"/>
      <c r="J756" s="376" t="s">
        <v>239</v>
      </c>
      <c r="K756" s="376" t="s">
        <v>793</v>
      </c>
      <c r="L756" s="376" t="s">
        <v>170</v>
      </c>
      <c r="M756" s="376" t="s">
        <v>171</v>
      </c>
      <c r="N756" s="376" t="s">
        <v>172</v>
      </c>
      <c r="O756" s="379">
        <v>1</v>
      </c>
      <c r="P756" s="385">
        <v>0</v>
      </c>
      <c r="Q756" s="385">
        <v>0</v>
      </c>
      <c r="R756" s="380">
        <v>80</v>
      </c>
      <c r="S756" s="385">
        <v>0</v>
      </c>
      <c r="T756" s="380">
        <v>43.51</v>
      </c>
      <c r="U756" s="380">
        <v>0</v>
      </c>
      <c r="V756" s="380">
        <v>9.5</v>
      </c>
      <c r="W756" s="380">
        <v>0</v>
      </c>
      <c r="X756" s="380">
        <v>0</v>
      </c>
      <c r="Y756" s="380">
        <v>0</v>
      </c>
      <c r="Z756" s="380">
        <v>0</v>
      </c>
      <c r="AA756" s="376" t="s">
        <v>1114</v>
      </c>
      <c r="AB756" s="376" t="s">
        <v>1115</v>
      </c>
      <c r="AC756" s="376" t="s">
        <v>260</v>
      </c>
      <c r="AD756" s="376" t="s">
        <v>765</v>
      </c>
      <c r="AE756" s="376" t="s">
        <v>793</v>
      </c>
      <c r="AF756" s="376" t="s">
        <v>177</v>
      </c>
      <c r="AG756" s="376" t="s">
        <v>178</v>
      </c>
      <c r="AH756" s="381">
        <v>24.16</v>
      </c>
      <c r="AI756" s="381">
        <v>24144.5</v>
      </c>
      <c r="AJ756" s="376" t="s">
        <v>179</v>
      </c>
      <c r="AK756" s="376" t="s">
        <v>180</v>
      </c>
      <c r="AL756" s="376" t="s">
        <v>181</v>
      </c>
      <c r="AM756" s="376" t="s">
        <v>182</v>
      </c>
      <c r="AN756" s="376" t="s">
        <v>68</v>
      </c>
      <c r="AO756" s="379">
        <v>80</v>
      </c>
      <c r="AP756" s="385">
        <v>1</v>
      </c>
      <c r="AQ756" s="385">
        <v>0</v>
      </c>
      <c r="AR756" s="383" t="s">
        <v>183</v>
      </c>
      <c r="AS756" s="387">
        <f t="shared" si="511"/>
        <v>0</v>
      </c>
      <c r="AT756">
        <f t="shared" si="512"/>
        <v>0</v>
      </c>
      <c r="AU756" s="387" t="str">
        <f>IF(AT756=0,"",IF(AND(AT756=1,M756="F",SUMIF(C2:C1334,C756,AS2:AS1334)&lt;=1),SUMIF(C2:C1334,C756,AS2:AS1334),IF(AND(AT756=1,M756="F",SUMIF(C2:C1334,C756,AS2:AS1334)&gt;1),1,"")))</f>
        <v/>
      </c>
      <c r="AV756" s="387" t="str">
        <f>IF(AT756=0,"",IF(AND(AT756=3,M756="F",SUMIF(C2:C1334,C756,AS2:AS1334)&lt;=1),SUMIF(C2:C1334,C756,AS2:AS1334),IF(AND(AT756=3,M756="F",SUMIF(C2:C1334,C756,AS2:AS1334)&gt;1),1,"")))</f>
        <v/>
      </c>
      <c r="AW756" s="387">
        <f>SUMIF(C2:C1334,C756,O2:O1334)</f>
        <v>3</v>
      </c>
      <c r="AX756" s="387">
        <f>IF(AND(M756="F",AS756&lt;&gt;0),SUMIF(C2:C1334,C756,W2:W1334),0)</f>
        <v>0</v>
      </c>
      <c r="AY756" s="387" t="str">
        <f t="shared" si="513"/>
        <v/>
      </c>
      <c r="AZ756" s="387" t="str">
        <f t="shared" si="514"/>
        <v/>
      </c>
      <c r="BA756" s="387">
        <f t="shared" si="515"/>
        <v>0</v>
      </c>
      <c r="BB756" s="387">
        <f t="shared" si="484"/>
        <v>0</v>
      </c>
      <c r="BC756" s="387">
        <f t="shared" si="485"/>
        <v>0</v>
      </c>
      <c r="BD756" s="387">
        <f t="shared" si="486"/>
        <v>0</v>
      </c>
      <c r="BE756" s="387">
        <f t="shared" si="487"/>
        <v>0</v>
      </c>
      <c r="BF756" s="387">
        <f t="shared" si="488"/>
        <v>0</v>
      </c>
      <c r="BG756" s="387">
        <f t="shared" si="489"/>
        <v>0</v>
      </c>
      <c r="BH756" s="387">
        <f t="shared" si="490"/>
        <v>0</v>
      </c>
      <c r="BI756" s="387">
        <f t="shared" si="491"/>
        <v>0</v>
      </c>
      <c r="BJ756" s="387">
        <f t="shared" si="492"/>
        <v>0</v>
      </c>
      <c r="BK756" s="387">
        <f t="shared" si="493"/>
        <v>0</v>
      </c>
      <c r="BL756" s="387">
        <f t="shared" si="516"/>
        <v>0</v>
      </c>
      <c r="BM756" s="387">
        <f t="shared" si="517"/>
        <v>0</v>
      </c>
      <c r="BN756" s="387">
        <f t="shared" si="494"/>
        <v>0</v>
      </c>
      <c r="BO756" s="387">
        <f t="shared" si="495"/>
        <v>0</v>
      </c>
      <c r="BP756" s="387">
        <f t="shared" si="496"/>
        <v>0</v>
      </c>
      <c r="BQ756" s="387">
        <f t="shared" si="497"/>
        <v>0</v>
      </c>
      <c r="BR756" s="387">
        <f t="shared" si="498"/>
        <v>0</v>
      </c>
      <c r="BS756" s="387">
        <f t="shared" si="499"/>
        <v>0</v>
      </c>
      <c r="BT756" s="387">
        <f t="shared" si="500"/>
        <v>0</v>
      </c>
      <c r="BU756" s="387">
        <f t="shared" si="501"/>
        <v>0</v>
      </c>
      <c r="BV756" s="387">
        <f t="shared" si="502"/>
        <v>0</v>
      </c>
      <c r="BW756" s="387">
        <f t="shared" si="503"/>
        <v>0</v>
      </c>
      <c r="BX756" s="387">
        <f t="shared" si="518"/>
        <v>0</v>
      </c>
      <c r="BY756" s="387">
        <f t="shared" si="519"/>
        <v>0</v>
      </c>
      <c r="BZ756" s="387">
        <f t="shared" si="520"/>
        <v>0</v>
      </c>
      <c r="CA756" s="387">
        <f t="shared" si="521"/>
        <v>0</v>
      </c>
      <c r="CB756" s="387">
        <f t="shared" si="522"/>
        <v>0</v>
      </c>
      <c r="CC756" s="387">
        <f t="shared" si="504"/>
        <v>0</v>
      </c>
      <c r="CD756" s="387">
        <f t="shared" si="505"/>
        <v>0</v>
      </c>
      <c r="CE756" s="387">
        <f t="shared" si="506"/>
        <v>0</v>
      </c>
      <c r="CF756" s="387">
        <f t="shared" si="507"/>
        <v>0</v>
      </c>
      <c r="CG756" s="387">
        <f t="shared" si="508"/>
        <v>0</v>
      </c>
      <c r="CH756" s="387">
        <f t="shared" si="509"/>
        <v>0</v>
      </c>
      <c r="CI756" s="387">
        <f t="shared" si="510"/>
        <v>0</v>
      </c>
      <c r="CJ756" s="387">
        <f t="shared" si="523"/>
        <v>0</v>
      </c>
      <c r="CK756" s="387" t="str">
        <f t="shared" si="524"/>
        <v/>
      </c>
      <c r="CL756" s="387" t="str">
        <f t="shared" si="525"/>
        <v/>
      </c>
      <c r="CM756" s="387" t="str">
        <f t="shared" si="526"/>
        <v/>
      </c>
      <c r="CN756" s="387" t="str">
        <f t="shared" si="527"/>
        <v>0349-31</v>
      </c>
    </row>
    <row r="757" spans="1:92" ht="15.75" thickBot="1" x14ac:dyDescent="0.3">
      <c r="A757" s="376" t="s">
        <v>161</v>
      </c>
      <c r="B757" s="376" t="s">
        <v>162</v>
      </c>
      <c r="C757" s="376" t="s">
        <v>1540</v>
      </c>
      <c r="D757" s="376" t="s">
        <v>655</v>
      </c>
      <c r="E757" s="376" t="s">
        <v>669</v>
      </c>
      <c r="F757" s="382" t="s">
        <v>225</v>
      </c>
      <c r="G757" s="376" t="s">
        <v>781</v>
      </c>
      <c r="H757" s="378"/>
      <c r="I757" s="378"/>
      <c r="J757" s="376" t="s">
        <v>215</v>
      </c>
      <c r="K757" s="376" t="s">
        <v>656</v>
      </c>
      <c r="L757" s="376" t="s">
        <v>210</v>
      </c>
      <c r="M757" s="376" t="s">
        <v>171</v>
      </c>
      <c r="N757" s="376" t="s">
        <v>172</v>
      </c>
      <c r="O757" s="379">
        <v>1</v>
      </c>
      <c r="P757" s="385">
        <v>0</v>
      </c>
      <c r="Q757" s="385">
        <v>0</v>
      </c>
      <c r="R757" s="380">
        <v>80</v>
      </c>
      <c r="S757" s="385">
        <v>0</v>
      </c>
      <c r="T757" s="380">
        <v>215.86</v>
      </c>
      <c r="U757" s="380">
        <v>0</v>
      </c>
      <c r="V757" s="380">
        <v>85.9</v>
      </c>
      <c r="W757" s="380">
        <v>0</v>
      </c>
      <c r="X757" s="380">
        <v>0</v>
      </c>
      <c r="Y757" s="380">
        <v>0</v>
      </c>
      <c r="Z757" s="380">
        <v>0</v>
      </c>
      <c r="AA757" s="376" t="s">
        <v>1541</v>
      </c>
      <c r="AB757" s="376" t="s">
        <v>1542</v>
      </c>
      <c r="AC757" s="376" t="s">
        <v>176</v>
      </c>
      <c r="AD757" s="376" t="s">
        <v>419</v>
      </c>
      <c r="AE757" s="376" t="s">
        <v>656</v>
      </c>
      <c r="AF757" s="376" t="s">
        <v>245</v>
      </c>
      <c r="AG757" s="376" t="s">
        <v>178</v>
      </c>
      <c r="AH757" s="381">
        <v>33.21</v>
      </c>
      <c r="AI757" s="381">
        <v>56976.5</v>
      </c>
      <c r="AJ757" s="376" t="s">
        <v>179</v>
      </c>
      <c r="AK757" s="376" t="s">
        <v>180</v>
      </c>
      <c r="AL757" s="376" t="s">
        <v>181</v>
      </c>
      <c r="AM757" s="376" t="s">
        <v>182</v>
      </c>
      <c r="AN757" s="376" t="s">
        <v>68</v>
      </c>
      <c r="AO757" s="379">
        <v>80</v>
      </c>
      <c r="AP757" s="385">
        <v>1</v>
      </c>
      <c r="AQ757" s="385">
        <v>0</v>
      </c>
      <c r="AR757" s="383" t="s">
        <v>183</v>
      </c>
      <c r="AS757" s="387">
        <f t="shared" si="511"/>
        <v>0</v>
      </c>
      <c r="AT757">
        <f t="shared" si="512"/>
        <v>0</v>
      </c>
      <c r="AU757" s="387" t="str">
        <f>IF(AT757=0,"",IF(AND(AT757=1,M757="F",SUMIF(C2:C1334,C757,AS2:AS1334)&lt;=1),SUMIF(C2:C1334,C757,AS2:AS1334),IF(AND(AT757=1,M757="F",SUMIF(C2:C1334,C757,AS2:AS1334)&gt;1),1,"")))</f>
        <v/>
      </c>
      <c r="AV757" s="387" t="str">
        <f>IF(AT757=0,"",IF(AND(AT757=3,M757="F",SUMIF(C2:C1334,C757,AS2:AS1334)&lt;=1),SUMIF(C2:C1334,C757,AS2:AS1334),IF(AND(AT757=3,M757="F",SUMIF(C2:C1334,C757,AS2:AS1334)&gt;1),1,"")))</f>
        <v/>
      </c>
      <c r="AW757" s="387">
        <f>SUMIF(C2:C1334,C757,O2:O1334)</f>
        <v>2</v>
      </c>
      <c r="AX757" s="387">
        <f>IF(AND(M757="F",AS757&lt;&gt;0),SUMIF(C2:C1334,C757,W2:W1334),0)</f>
        <v>0</v>
      </c>
      <c r="AY757" s="387" t="str">
        <f t="shared" si="513"/>
        <v/>
      </c>
      <c r="AZ757" s="387" t="str">
        <f t="shared" si="514"/>
        <v/>
      </c>
      <c r="BA757" s="387">
        <f t="shared" si="515"/>
        <v>0</v>
      </c>
      <c r="BB757" s="387">
        <f t="shared" si="484"/>
        <v>0</v>
      </c>
      <c r="BC757" s="387">
        <f t="shared" si="485"/>
        <v>0</v>
      </c>
      <c r="BD757" s="387">
        <f t="shared" si="486"/>
        <v>0</v>
      </c>
      <c r="BE757" s="387">
        <f t="shared" si="487"/>
        <v>0</v>
      </c>
      <c r="BF757" s="387">
        <f t="shared" si="488"/>
        <v>0</v>
      </c>
      <c r="BG757" s="387">
        <f t="shared" si="489"/>
        <v>0</v>
      </c>
      <c r="BH757" s="387">
        <f t="shared" si="490"/>
        <v>0</v>
      </c>
      <c r="BI757" s="387">
        <f t="shared" si="491"/>
        <v>0</v>
      </c>
      <c r="BJ757" s="387">
        <f t="shared" si="492"/>
        <v>0</v>
      </c>
      <c r="BK757" s="387">
        <f t="shared" si="493"/>
        <v>0</v>
      </c>
      <c r="BL757" s="387">
        <f t="shared" si="516"/>
        <v>0</v>
      </c>
      <c r="BM757" s="387">
        <f t="shared" si="517"/>
        <v>0</v>
      </c>
      <c r="BN757" s="387">
        <f t="shared" si="494"/>
        <v>0</v>
      </c>
      <c r="BO757" s="387">
        <f t="shared" si="495"/>
        <v>0</v>
      </c>
      <c r="BP757" s="387">
        <f t="shared" si="496"/>
        <v>0</v>
      </c>
      <c r="BQ757" s="387">
        <f t="shared" si="497"/>
        <v>0</v>
      </c>
      <c r="BR757" s="387">
        <f t="shared" si="498"/>
        <v>0</v>
      </c>
      <c r="BS757" s="387">
        <f t="shared" si="499"/>
        <v>0</v>
      </c>
      <c r="BT757" s="387">
        <f t="shared" si="500"/>
        <v>0</v>
      </c>
      <c r="BU757" s="387">
        <f t="shared" si="501"/>
        <v>0</v>
      </c>
      <c r="BV757" s="387">
        <f t="shared" si="502"/>
        <v>0</v>
      </c>
      <c r="BW757" s="387">
        <f t="shared" si="503"/>
        <v>0</v>
      </c>
      <c r="BX757" s="387">
        <f t="shared" si="518"/>
        <v>0</v>
      </c>
      <c r="BY757" s="387">
        <f t="shared" si="519"/>
        <v>0</v>
      </c>
      <c r="BZ757" s="387">
        <f t="shared" si="520"/>
        <v>0</v>
      </c>
      <c r="CA757" s="387">
        <f t="shared" si="521"/>
        <v>0</v>
      </c>
      <c r="CB757" s="387">
        <f t="shared" si="522"/>
        <v>0</v>
      </c>
      <c r="CC757" s="387">
        <f t="shared" si="504"/>
        <v>0</v>
      </c>
      <c r="CD757" s="387">
        <f t="shared" si="505"/>
        <v>0</v>
      </c>
      <c r="CE757" s="387">
        <f t="shared" si="506"/>
        <v>0</v>
      </c>
      <c r="CF757" s="387">
        <f t="shared" si="507"/>
        <v>0</v>
      </c>
      <c r="CG757" s="387">
        <f t="shared" si="508"/>
        <v>0</v>
      </c>
      <c r="CH757" s="387">
        <f t="shared" si="509"/>
        <v>0</v>
      </c>
      <c r="CI757" s="387">
        <f t="shared" si="510"/>
        <v>0</v>
      </c>
      <c r="CJ757" s="387">
        <f t="shared" si="523"/>
        <v>0</v>
      </c>
      <c r="CK757" s="387" t="str">
        <f t="shared" si="524"/>
        <v/>
      </c>
      <c r="CL757" s="387" t="str">
        <f t="shared" si="525"/>
        <v/>
      </c>
      <c r="CM757" s="387" t="str">
        <f t="shared" si="526"/>
        <v/>
      </c>
      <c r="CN757" s="387" t="str">
        <f t="shared" si="527"/>
        <v>0349-31</v>
      </c>
    </row>
    <row r="758" spans="1:92" ht="15.75" thickBot="1" x14ac:dyDescent="0.3">
      <c r="A758" s="376" t="s">
        <v>161</v>
      </c>
      <c r="B758" s="376" t="s">
        <v>162</v>
      </c>
      <c r="C758" s="376" t="s">
        <v>791</v>
      </c>
      <c r="D758" s="376" t="s">
        <v>792</v>
      </c>
      <c r="E758" s="376" t="s">
        <v>669</v>
      </c>
      <c r="F758" s="382" t="s">
        <v>225</v>
      </c>
      <c r="G758" s="376" t="s">
        <v>781</v>
      </c>
      <c r="H758" s="378"/>
      <c r="I758" s="378"/>
      <c r="J758" s="376" t="s">
        <v>239</v>
      </c>
      <c r="K758" s="376" t="s">
        <v>793</v>
      </c>
      <c r="L758" s="376" t="s">
        <v>170</v>
      </c>
      <c r="M758" s="376" t="s">
        <v>171</v>
      </c>
      <c r="N758" s="376" t="s">
        <v>172</v>
      </c>
      <c r="O758" s="379">
        <v>1</v>
      </c>
      <c r="P758" s="385">
        <v>0</v>
      </c>
      <c r="Q758" s="385">
        <v>0</v>
      </c>
      <c r="R758" s="380">
        <v>80</v>
      </c>
      <c r="S758" s="385">
        <v>0</v>
      </c>
      <c r="T758" s="380">
        <v>97.09</v>
      </c>
      <c r="U758" s="380">
        <v>0</v>
      </c>
      <c r="V758" s="380">
        <v>29.78</v>
      </c>
      <c r="W758" s="380">
        <v>0</v>
      </c>
      <c r="X758" s="380">
        <v>0</v>
      </c>
      <c r="Y758" s="380">
        <v>0</v>
      </c>
      <c r="Z758" s="380">
        <v>0</v>
      </c>
      <c r="AA758" s="376" t="s">
        <v>794</v>
      </c>
      <c r="AB758" s="376" t="s">
        <v>795</v>
      </c>
      <c r="AC758" s="376" t="s">
        <v>796</v>
      </c>
      <c r="AD758" s="376" t="s">
        <v>296</v>
      </c>
      <c r="AE758" s="376" t="s">
        <v>793</v>
      </c>
      <c r="AF758" s="376" t="s">
        <v>177</v>
      </c>
      <c r="AG758" s="376" t="s">
        <v>178</v>
      </c>
      <c r="AH758" s="381">
        <v>24.8</v>
      </c>
      <c r="AI758" s="381">
        <v>35674.6</v>
      </c>
      <c r="AJ758" s="376" t="s">
        <v>179</v>
      </c>
      <c r="AK758" s="376" t="s">
        <v>180</v>
      </c>
      <c r="AL758" s="376" t="s">
        <v>181</v>
      </c>
      <c r="AM758" s="376" t="s">
        <v>182</v>
      </c>
      <c r="AN758" s="376" t="s">
        <v>68</v>
      </c>
      <c r="AO758" s="379">
        <v>80</v>
      </c>
      <c r="AP758" s="385">
        <v>1</v>
      </c>
      <c r="AQ758" s="385">
        <v>0</v>
      </c>
      <c r="AR758" s="383" t="s">
        <v>183</v>
      </c>
      <c r="AS758" s="387">
        <f t="shared" si="511"/>
        <v>0</v>
      </c>
      <c r="AT758">
        <f t="shared" si="512"/>
        <v>0</v>
      </c>
      <c r="AU758" s="387" t="str">
        <f>IF(AT758=0,"",IF(AND(AT758=1,M758="F",SUMIF(C2:C1334,C758,AS2:AS1334)&lt;=1),SUMIF(C2:C1334,C758,AS2:AS1334),IF(AND(AT758=1,M758="F",SUMIF(C2:C1334,C758,AS2:AS1334)&gt;1),1,"")))</f>
        <v/>
      </c>
      <c r="AV758" s="387" t="str">
        <f>IF(AT758=0,"",IF(AND(AT758=3,M758="F",SUMIF(C2:C1334,C758,AS2:AS1334)&lt;=1),SUMIF(C2:C1334,C758,AS2:AS1334),IF(AND(AT758=3,M758="F",SUMIF(C2:C1334,C758,AS2:AS1334)&gt;1),1,"")))</f>
        <v/>
      </c>
      <c r="AW758" s="387">
        <f>SUMIF(C2:C1334,C758,O2:O1334)</f>
        <v>3</v>
      </c>
      <c r="AX758" s="387">
        <f>IF(AND(M758="F",AS758&lt;&gt;0),SUMIF(C2:C1334,C758,W2:W1334),0)</f>
        <v>0</v>
      </c>
      <c r="AY758" s="387" t="str">
        <f t="shared" si="513"/>
        <v/>
      </c>
      <c r="AZ758" s="387" t="str">
        <f t="shared" si="514"/>
        <v/>
      </c>
      <c r="BA758" s="387">
        <f t="shared" si="515"/>
        <v>0</v>
      </c>
      <c r="BB758" s="387">
        <f t="shared" si="484"/>
        <v>0</v>
      </c>
      <c r="BC758" s="387">
        <f t="shared" si="485"/>
        <v>0</v>
      </c>
      <c r="BD758" s="387">
        <f t="shared" si="486"/>
        <v>0</v>
      </c>
      <c r="BE758" s="387">
        <f t="shared" si="487"/>
        <v>0</v>
      </c>
      <c r="BF758" s="387">
        <f t="shared" si="488"/>
        <v>0</v>
      </c>
      <c r="BG758" s="387">
        <f t="shared" si="489"/>
        <v>0</v>
      </c>
      <c r="BH758" s="387">
        <f t="shared" si="490"/>
        <v>0</v>
      </c>
      <c r="BI758" s="387">
        <f t="shared" si="491"/>
        <v>0</v>
      </c>
      <c r="BJ758" s="387">
        <f t="shared" si="492"/>
        <v>0</v>
      </c>
      <c r="BK758" s="387">
        <f t="shared" si="493"/>
        <v>0</v>
      </c>
      <c r="BL758" s="387">
        <f t="shared" si="516"/>
        <v>0</v>
      </c>
      <c r="BM758" s="387">
        <f t="shared" si="517"/>
        <v>0</v>
      </c>
      <c r="BN758" s="387">
        <f t="shared" si="494"/>
        <v>0</v>
      </c>
      <c r="BO758" s="387">
        <f t="shared" si="495"/>
        <v>0</v>
      </c>
      <c r="BP758" s="387">
        <f t="shared" si="496"/>
        <v>0</v>
      </c>
      <c r="BQ758" s="387">
        <f t="shared" si="497"/>
        <v>0</v>
      </c>
      <c r="BR758" s="387">
        <f t="shared" si="498"/>
        <v>0</v>
      </c>
      <c r="BS758" s="387">
        <f t="shared" si="499"/>
        <v>0</v>
      </c>
      <c r="BT758" s="387">
        <f t="shared" si="500"/>
        <v>0</v>
      </c>
      <c r="BU758" s="387">
        <f t="shared" si="501"/>
        <v>0</v>
      </c>
      <c r="BV758" s="387">
        <f t="shared" si="502"/>
        <v>0</v>
      </c>
      <c r="BW758" s="387">
        <f t="shared" si="503"/>
        <v>0</v>
      </c>
      <c r="BX758" s="387">
        <f t="shared" si="518"/>
        <v>0</v>
      </c>
      <c r="BY758" s="387">
        <f t="shared" si="519"/>
        <v>0</v>
      </c>
      <c r="BZ758" s="387">
        <f t="shared" si="520"/>
        <v>0</v>
      </c>
      <c r="CA758" s="387">
        <f t="shared" si="521"/>
        <v>0</v>
      </c>
      <c r="CB758" s="387">
        <f t="shared" si="522"/>
        <v>0</v>
      </c>
      <c r="CC758" s="387">
        <f t="shared" si="504"/>
        <v>0</v>
      </c>
      <c r="CD758" s="387">
        <f t="shared" si="505"/>
        <v>0</v>
      </c>
      <c r="CE758" s="387">
        <f t="shared" si="506"/>
        <v>0</v>
      </c>
      <c r="CF758" s="387">
        <f t="shared" si="507"/>
        <v>0</v>
      </c>
      <c r="CG758" s="387">
        <f t="shared" si="508"/>
        <v>0</v>
      </c>
      <c r="CH758" s="387">
        <f t="shared" si="509"/>
        <v>0</v>
      </c>
      <c r="CI758" s="387">
        <f t="shared" si="510"/>
        <v>0</v>
      </c>
      <c r="CJ758" s="387">
        <f t="shared" si="523"/>
        <v>0</v>
      </c>
      <c r="CK758" s="387" t="str">
        <f t="shared" si="524"/>
        <v/>
      </c>
      <c r="CL758" s="387" t="str">
        <f t="shared" si="525"/>
        <v/>
      </c>
      <c r="CM758" s="387" t="str">
        <f t="shared" si="526"/>
        <v/>
      </c>
      <c r="CN758" s="387" t="str">
        <f t="shared" si="527"/>
        <v>0349-31</v>
      </c>
    </row>
    <row r="759" spans="1:92" ht="15.75" thickBot="1" x14ac:dyDescent="0.3">
      <c r="A759" s="376" t="s">
        <v>161</v>
      </c>
      <c r="B759" s="376" t="s">
        <v>162</v>
      </c>
      <c r="C759" s="376" t="s">
        <v>782</v>
      </c>
      <c r="D759" s="376" t="s">
        <v>783</v>
      </c>
      <c r="E759" s="376" t="s">
        <v>669</v>
      </c>
      <c r="F759" s="382" t="s">
        <v>225</v>
      </c>
      <c r="G759" s="376" t="s">
        <v>781</v>
      </c>
      <c r="H759" s="378"/>
      <c r="I759" s="378"/>
      <c r="J759" s="376" t="s">
        <v>239</v>
      </c>
      <c r="K759" s="376" t="s">
        <v>784</v>
      </c>
      <c r="L759" s="376" t="s">
        <v>351</v>
      </c>
      <c r="M759" s="376" t="s">
        <v>272</v>
      </c>
      <c r="N759" s="376" t="s">
        <v>172</v>
      </c>
      <c r="O759" s="379">
        <v>0</v>
      </c>
      <c r="P759" s="385">
        <v>0</v>
      </c>
      <c r="Q759" s="385">
        <v>0</v>
      </c>
      <c r="R759" s="380">
        <v>80</v>
      </c>
      <c r="S759" s="385">
        <v>0</v>
      </c>
      <c r="T759" s="380">
        <v>832.5</v>
      </c>
      <c r="U759" s="380">
        <v>0</v>
      </c>
      <c r="V759" s="380">
        <v>257.91000000000003</v>
      </c>
      <c r="W759" s="380">
        <v>0</v>
      </c>
      <c r="X759" s="380">
        <v>0</v>
      </c>
      <c r="Y759" s="380">
        <v>0</v>
      </c>
      <c r="Z759" s="380">
        <v>0</v>
      </c>
      <c r="AA759" s="378"/>
      <c r="AB759" s="376" t="s">
        <v>45</v>
      </c>
      <c r="AC759" s="376" t="s">
        <v>45</v>
      </c>
      <c r="AD759" s="378"/>
      <c r="AE759" s="378"/>
      <c r="AF759" s="378"/>
      <c r="AG759" s="378"/>
      <c r="AH759" s="379">
        <v>0</v>
      </c>
      <c r="AI759" s="379">
        <v>0</v>
      </c>
      <c r="AJ759" s="378"/>
      <c r="AK759" s="378"/>
      <c r="AL759" s="376" t="s">
        <v>181</v>
      </c>
      <c r="AM759" s="378"/>
      <c r="AN759" s="378"/>
      <c r="AO759" s="379">
        <v>0</v>
      </c>
      <c r="AP759" s="385">
        <v>0</v>
      </c>
      <c r="AQ759" s="385">
        <v>0</v>
      </c>
      <c r="AR759" s="384"/>
      <c r="AS759" s="387">
        <f t="shared" si="511"/>
        <v>0</v>
      </c>
      <c r="AT759">
        <f t="shared" si="512"/>
        <v>0</v>
      </c>
      <c r="AU759" s="387" t="str">
        <f>IF(AT759=0,"",IF(AND(AT759=1,M759="F",SUMIF(C2:C1334,C759,AS2:AS1334)&lt;=1),SUMIF(C2:C1334,C759,AS2:AS1334),IF(AND(AT759=1,M759="F",SUMIF(C2:C1334,C759,AS2:AS1334)&gt;1),1,"")))</f>
        <v/>
      </c>
      <c r="AV759" s="387" t="str">
        <f>IF(AT759=0,"",IF(AND(AT759=3,M759="F",SUMIF(C2:C1334,C759,AS2:AS1334)&lt;=1),SUMIF(C2:C1334,C759,AS2:AS1334),IF(AND(AT759=3,M759="F",SUMIF(C2:C1334,C759,AS2:AS1334)&gt;1),1,"")))</f>
        <v/>
      </c>
      <c r="AW759" s="387">
        <f>SUMIF(C2:C1334,C759,O2:O1334)</f>
        <v>0</v>
      </c>
      <c r="AX759" s="387">
        <f>IF(AND(M759="F",AS759&lt;&gt;0),SUMIF(C2:C1334,C759,W2:W1334),0)</f>
        <v>0</v>
      </c>
      <c r="AY759" s="387" t="str">
        <f t="shared" si="513"/>
        <v/>
      </c>
      <c r="AZ759" s="387" t="str">
        <f t="shared" si="514"/>
        <v/>
      </c>
      <c r="BA759" s="387">
        <f t="shared" si="515"/>
        <v>0</v>
      </c>
      <c r="BB759" s="387">
        <f t="shared" si="484"/>
        <v>0</v>
      </c>
      <c r="BC759" s="387">
        <f t="shared" si="485"/>
        <v>0</v>
      </c>
      <c r="BD759" s="387">
        <f t="shared" si="486"/>
        <v>0</v>
      </c>
      <c r="BE759" s="387">
        <f t="shared" si="487"/>
        <v>0</v>
      </c>
      <c r="BF759" s="387">
        <f t="shared" si="488"/>
        <v>0</v>
      </c>
      <c r="BG759" s="387">
        <f t="shared" si="489"/>
        <v>0</v>
      </c>
      <c r="BH759" s="387">
        <f t="shared" si="490"/>
        <v>0</v>
      </c>
      <c r="BI759" s="387">
        <f t="shared" si="491"/>
        <v>0</v>
      </c>
      <c r="BJ759" s="387">
        <f t="shared" si="492"/>
        <v>0</v>
      </c>
      <c r="BK759" s="387">
        <f t="shared" si="493"/>
        <v>0</v>
      </c>
      <c r="BL759" s="387">
        <f t="shared" si="516"/>
        <v>0</v>
      </c>
      <c r="BM759" s="387">
        <f t="shared" si="517"/>
        <v>0</v>
      </c>
      <c r="BN759" s="387">
        <f t="shared" si="494"/>
        <v>0</v>
      </c>
      <c r="BO759" s="387">
        <f t="shared" si="495"/>
        <v>0</v>
      </c>
      <c r="BP759" s="387">
        <f t="shared" si="496"/>
        <v>0</v>
      </c>
      <c r="BQ759" s="387">
        <f t="shared" si="497"/>
        <v>0</v>
      </c>
      <c r="BR759" s="387">
        <f t="shared" si="498"/>
        <v>0</v>
      </c>
      <c r="BS759" s="387">
        <f t="shared" si="499"/>
        <v>0</v>
      </c>
      <c r="BT759" s="387">
        <f t="shared" si="500"/>
        <v>0</v>
      </c>
      <c r="BU759" s="387">
        <f t="shared" si="501"/>
        <v>0</v>
      </c>
      <c r="BV759" s="387">
        <f t="shared" si="502"/>
        <v>0</v>
      </c>
      <c r="BW759" s="387">
        <f t="shared" si="503"/>
        <v>0</v>
      </c>
      <c r="BX759" s="387">
        <f t="shared" si="518"/>
        <v>0</v>
      </c>
      <c r="BY759" s="387">
        <f t="shared" si="519"/>
        <v>0</v>
      </c>
      <c r="BZ759" s="387">
        <f t="shared" si="520"/>
        <v>0</v>
      </c>
      <c r="CA759" s="387">
        <f t="shared" si="521"/>
        <v>0</v>
      </c>
      <c r="CB759" s="387">
        <f t="shared" si="522"/>
        <v>0</v>
      </c>
      <c r="CC759" s="387">
        <f t="shared" si="504"/>
        <v>0</v>
      </c>
      <c r="CD759" s="387">
        <f t="shared" si="505"/>
        <v>0</v>
      </c>
      <c r="CE759" s="387">
        <f t="shared" si="506"/>
        <v>0</v>
      </c>
      <c r="CF759" s="387">
        <f t="shared" si="507"/>
        <v>0</v>
      </c>
      <c r="CG759" s="387">
        <f t="shared" si="508"/>
        <v>0</v>
      </c>
      <c r="CH759" s="387">
        <f t="shared" si="509"/>
        <v>0</v>
      </c>
      <c r="CI759" s="387">
        <f t="shared" si="510"/>
        <v>0</v>
      </c>
      <c r="CJ759" s="387">
        <f t="shared" si="523"/>
        <v>0</v>
      </c>
      <c r="CK759" s="387" t="str">
        <f t="shared" si="524"/>
        <v/>
      </c>
      <c r="CL759" s="387" t="str">
        <f t="shared" si="525"/>
        <v/>
      </c>
      <c r="CM759" s="387" t="str">
        <f t="shared" si="526"/>
        <v/>
      </c>
      <c r="CN759" s="387" t="str">
        <f t="shared" si="527"/>
        <v>0349-31</v>
      </c>
    </row>
    <row r="760" spans="1:92" ht="15.75" thickBot="1" x14ac:dyDescent="0.3">
      <c r="A760" s="376" t="s">
        <v>161</v>
      </c>
      <c r="B760" s="376" t="s">
        <v>162</v>
      </c>
      <c r="C760" s="376" t="s">
        <v>1173</v>
      </c>
      <c r="D760" s="376" t="s">
        <v>862</v>
      </c>
      <c r="E760" s="376" t="s">
        <v>669</v>
      </c>
      <c r="F760" s="382" t="s">
        <v>225</v>
      </c>
      <c r="G760" s="376" t="s">
        <v>781</v>
      </c>
      <c r="H760" s="378"/>
      <c r="I760" s="378"/>
      <c r="J760" s="376" t="s">
        <v>239</v>
      </c>
      <c r="K760" s="376" t="s">
        <v>863</v>
      </c>
      <c r="L760" s="376" t="s">
        <v>252</v>
      </c>
      <c r="M760" s="376" t="s">
        <v>171</v>
      </c>
      <c r="N760" s="376" t="s">
        <v>172</v>
      </c>
      <c r="O760" s="379">
        <v>1</v>
      </c>
      <c r="P760" s="385">
        <v>0</v>
      </c>
      <c r="Q760" s="385">
        <v>0</v>
      </c>
      <c r="R760" s="380">
        <v>80</v>
      </c>
      <c r="S760" s="385">
        <v>0</v>
      </c>
      <c r="T760" s="380">
        <v>17.350000000000001</v>
      </c>
      <c r="U760" s="380">
        <v>0</v>
      </c>
      <c r="V760" s="380">
        <v>9.5399999999999991</v>
      </c>
      <c r="W760" s="380">
        <v>0</v>
      </c>
      <c r="X760" s="380">
        <v>0</v>
      </c>
      <c r="Y760" s="380">
        <v>0</v>
      </c>
      <c r="Z760" s="380">
        <v>0</v>
      </c>
      <c r="AA760" s="376" t="s">
        <v>1174</v>
      </c>
      <c r="AB760" s="376" t="s">
        <v>1175</v>
      </c>
      <c r="AC760" s="376" t="s">
        <v>1031</v>
      </c>
      <c r="AD760" s="376" t="s">
        <v>279</v>
      </c>
      <c r="AE760" s="376" t="s">
        <v>863</v>
      </c>
      <c r="AF760" s="376" t="s">
        <v>393</v>
      </c>
      <c r="AG760" s="376" t="s">
        <v>178</v>
      </c>
      <c r="AH760" s="381">
        <v>19.12</v>
      </c>
      <c r="AI760" s="381">
        <v>5037.3</v>
      </c>
      <c r="AJ760" s="376" t="s">
        <v>179</v>
      </c>
      <c r="AK760" s="376" t="s">
        <v>180</v>
      </c>
      <c r="AL760" s="376" t="s">
        <v>181</v>
      </c>
      <c r="AM760" s="376" t="s">
        <v>182</v>
      </c>
      <c r="AN760" s="376" t="s">
        <v>68</v>
      </c>
      <c r="AO760" s="379">
        <v>80</v>
      </c>
      <c r="AP760" s="385">
        <v>1</v>
      </c>
      <c r="AQ760" s="385">
        <v>0</v>
      </c>
      <c r="AR760" s="383" t="s">
        <v>183</v>
      </c>
      <c r="AS760" s="387">
        <f t="shared" si="511"/>
        <v>0</v>
      </c>
      <c r="AT760">
        <f t="shared" si="512"/>
        <v>0</v>
      </c>
      <c r="AU760" s="387" t="str">
        <f>IF(AT760=0,"",IF(AND(AT760=1,M760="F",SUMIF(C2:C1334,C760,AS2:AS1334)&lt;=1),SUMIF(C2:C1334,C760,AS2:AS1334),IF(AND(AT760=1,M760="F",SUMIF(C2:C1334,C760,AS2:AS1334)&gt;1),1,"")))</f>
        <v/>
      </c>
      <c r="AV760" s="387" t="str">
        <f>IF(AT760=0,"",IF(AND(AT760=3,M760="F",SUMIF(C2:C1334,C760,AS2:AS1334)&lt;=1),SUMIF(C2:C1334,C760,AS2:AS1334),IF(AND(AT760=3,M760="F",SUMIF(C2:C1334,C760,AS2:AS1334)&gt;1),1,"")))</f>
        <v/>
      </c>
      <c r="AW760" s="387">
        <f>SUMIF(C2:C1334,C760,O2:O1334)</f>
        <v>3</v>
      </c>
      <c r="AX760" s="387">
        <f>IF(AND(M760="F",AS760&lt;&gt;0),SUMIF(C2:C1334,C760,W2:W1334),0)</f>
        <v>0</v>
      </c>
      <c r="AY760" s="387" t="str">
        <f t="shared" si="513"/>
        <v/>
      </c>
      <c r="AZ760" s="387" t="str">
        <f t="shared" si="514"/>
        <v/>
      </c>
      <c r="BA760" s="387">
        <f t="shared" si="515"/>
        <v>0</v>
      </c>
      <c r="BB760" s="387">
        <f t="shared" si="484"/>
        <v>0</v>
      </c>
      <c r="BC760" s="387">
        <f t="shared" si="485"/>
        <v>0</v>
      </c>
      <c r="BD760" s="387">
        <f t="shared" si="486"/>
        <v>0</v>
      </c>
      <c r="BE760" s="387">
        <f t="shared" si="487"/>
        <v>0</v>
      </c>
      <c r="BF760" s="387">
        <f t="shared" si="488"/>
        <v>0</v>
      </c>
      <c r="BG760" s="387">
        <f t="shared" si="489"/>
        <v>0</v>
      </c>
      <c r="BH760" s="387">
        <f t="shared" si="490"/>
        <v>0</v>
      </c>
      <c r="BI760" s="387">
        <f t="shared" si="491"/>
        <v>0</v>
      </c>
      <c r="BJ760" s="387">
        <f t="shared" si="492"/>
        <v>0</v>
      </c>
      <c r="BK760" s="387">
        <f t="shared" si="493"/>
        <v>0</v>
      </c>
      <c r="BL760" s="387">
        <f t="shared" si="516"/>
        <v>0</v>
      </c>
      <c r="BM760" s="387">
        <f t="shared" si="517"/>
        <v>0</v>
      </c>
      <c r="BN760" s="387">
        <f t="shared" si="494"/>
        <v>0</v>
      </c>
      <c r="BO760" s="387">
        <f t="shared" si="495"/>
        <v>0</v>
      </c>
      <c r="BP760" s="387">
        <f t="shared" si="496"/>
        <v>0</v>
      </c>
      <c r="BQ760" s="387">
        <f t="shared" si="497"/>
        <v>0</v>
      </c>
      <c r="BR760" s="387">
        <f t="shared" si="498"/>
        <v>0</v>
      </c>
      <c r="BS760" s="387">
        <f t="shared" si="499"/>
        <v>0</v>
      </c>
      <c r="BT760" s="387">
        <f t="shared" si="500"/>
        <v>0</v>
      </c>
      <c r="BU760" s="387">
        <f t="shared" si="501"/>
        <v>0</v>
      </c>
      <c r="BV760" s="387">
        <f t="shared" si="502"/>
        <v>0</v>
      </c>
      <c r="BW760" s="387">
        <f t="shared" si="503"/>
        <v>0</v>
      </c>
      <c r="BX760" s="387">
        <f t="shared" si="518"/>
        <v>0</v>
      </c>
      <c r="BY760" s="387">
        <f t="shared" si="519"/>
        <v>0</v>
      </c>
      <c r="BZ760" s="387">
        <f t="shared" si="520"/>
        <v>0</v>
      </c>
      <c r="CA760" s="387">
        <f t="shared" si="521"/>
        <v>0</v>
      </c>
      <c r="CB760" s="387">
        <f t="shared" si="522"/>
        <v>0</v>
      </c>
      <c r="CC760" s="387">
        <f t="shared" si="504"/>
        <v>0</v>
      </c>
      <c r="CD760" s="387">
        <f t="shared" si="505"/>
        <v>0</v>
      </c>
      <c r="CE760" s="387">
        <f t="shared" si="506"/>
        <v>0</v>
      </c>
      <c r="CF760" s="387">
        <f t="shared" si="507"/>
        <v>0</v>
      </c>
      <c r="CG760" s="387">
        <f t="shared" si="508"/>
        <v>0</v>
      </c>
      <c r="CH760" s="387">
        <f t="shared" si="509"/>
        <v>0</v>
      </c>
      <c r="CI760" s="387">
        <f t="shared" si="510"/>
        <v>0</v>
      </c>
      <c r="CJ760" s="387">
        <f t="shared" si="523"/>
        <v>0</v>
      </c>
      <c r="CK760" s="387" t="str">
        <f t="shared" si="524"/>
        <v/>
      </c>
      <c r="CL760" s="387" t="str">
        <f t="shared" si="525"/>
        <v/>
      </c>
      <c r="CM760" s="387" t="str">
        <f t="shared" si="526"/>
        <v/>
      </c>
      <c r="CN760" s="387" t="str">
        <f t="shared" si="527"/>
        <v>0349-31</v>
      </c>
    </row>
    <row r="761" spans="1:92" ht="15.75" thickBot="1" x14ac:dyDescent="0.3">
      <c r="A761" s="376" t="s">
        <v>161</v>
      </c>
      <c r="B761" s="376" t="s">
        <v>162</v>
      </c>
      <c r="C761" s="376" t="s">
        <v>348</v>
      </c>
      <c r="D761" s="376" t="s">
        <v>349</v>
      </c>
      <c r="E761" s="376" t="s">
        <v>669</v>
      </c>
      <c r="F761" s="382" t="s">
        <v>225</v>
      </c>
      <c r="G761" s="376" t="s">
        <v>781</v>
      </c>
      <c r="H761" s="378"/>
      <c r="I761" s="378"/>
      <c r="J761" s="376" t="s">
        <v>239</v>
      </c>
      <c r="K761" s="376" t="s">
        <v>350</v>
      </c>
      <c r="L761" s="376" t="s">
        <v>351</v>
      </c>
      <c r="M761" s="376" t="s">
        <v>171</v>
      </c>
      <c r="N761" s="376" t="s">
        <v>172</v>
      </c>
      <c r="O761" s="379">
        <v>1</v>
      </c>
      <c r="P761" s="385">
        <v>0</v>
      </c>
      <c r="Q761" s="385">
        <v>0</v>
      </c>
      <c r="R761" s="380">
        <v>80</v>
      </c>
      <c r="S761" s="385">
        <v>0</v>
      </c>
      <c r="T761" s="380">
        <v>866.78</v>
      </c>
      <c r="U761" s="380">
        <v>0</v>
      </c>
      <c r="V761" s="380">
        <v>302</v>
      </c>
      <c r="W761" s="380">
        <v>0</v>
      </c>
      <c r="X761" s="380">
        <v>0</v>
      </c>
      <c r="Y761" s="380">
        <v>0</v>
      </c>
      <c r="Z761" s="380">
        <v>0</v>
      </c>
      <c r="AA761" s="376" t="s">
        <v>352</v>
      </c>
      <c r="AB761" s="376" t="s">
        <v>353</v>
      </c>
      <c r="AC761" s="376" t="s">
        <v>354</v>
      </c>
      <c r="AD761" s="376" t="s">
        <v>351</v>
      </c>
      <c r="AE761" s="376" t="s">
        <v>350</v>
      </c>
      <c r="AF761" s="376" t="s">
        <v>355</v>
      </c>
      <c r="AG761" s="376" t="s">
        <v>178</v>
      </c>
      <c r="AH761" s="381">
        <v>44.73</v>
      </c>
      <c r="AI761" s="379">
        <v>49048</v>
      </c>
      <c r="AJ761" s="376" t="s">
        <v>179</v>
      </c>
      <c r="AK761" s="376" t="s">
        <v>180</v>
      </c>
      <c r="AL761" s="376" t="s">
        <v>181</v>
      </c>
      <c r="AM761" s="376" t="s">
        <v>182</v>
      </c>
      <c r="AN761" s="376" t="s">
        <v>68</v>
      </c>
      <c r="AO761" s="379">
        <v>80</v>
      </c>
      <c r="AP761" s="385">
        <v>1</v>
      </c>
      <c r="AQ761" s="385">
        <v>0</v>
      </c>
      <c r="AR761" s="383" t="s">
        <v>183</v>
      </c>
      <c r="AS761" s="387">
        <f t="shared" si="511"/>
        <v>0</v>
      </c>
      <c r="AT761">
        <f t="shared" si="512"/>
        <v>0</v>
      </c>
      <c r="AU761" s="387" t="str">
        <f>IF(AT761=0,"",IF(AND(AT761=1,M761="F",SUMIF(C2:C1334,C761,AS2:AS1334)&lt;=1),SUMIF(C2:C1334,C761,AS2:AS1334),IF(AND(AT761=1,M761="F",SUMIF(C2:C1334,C761,AS2:AS1334)&gt;1),1,"")))</f>
        <v/>
      </c>
      <c r="AV761" s="387" t="str">
        <f>IF(AT761=0,"",IF(AND(AT761=3,M761="F",SUMIF(C2:C1334,C761,AS2:AS1334)&lt;=1),SUMIF(C2:C1334,C761,AS2:AS1334),IF(AND(AT761=3,M761="F",SUMIF(C2:C1334,C761,AS2:AS1334)&gt;1),1,"")))</f>
        <v/>
      </c>
      <c r="AW761" s="387">
        <f>SUMIF(C2:C1334,C761,O2:O1334)</f>
        <v>4</v>
      </c>
      <c r="AX761" s="387">
        <f>IF(AND(M761="F",AS761&lt;&gt;0),SUMIF(C2:C1334,C761,W2:W1334),0)</f>
        <v>0</v>
      </c>
      <c r="AY761" s="387" t="str">
        <f t="shared" si="513"/>
        <v/>
      </c>
      <c r="AZ761" s="387" t="str">
        <f t="shared" si="514"/>
        <v/>
      </c>
      <c r="BA761" s="387">
        <f t="shared" si="515"/>
        <v>0</v>
      </c>
      <c r="BB761" s="387">
        <f t="shared" si="484"/>
        <v>0</v>
      </c>
      <c r="BC761" s="387">
        <f t="shared" si="485"/>
        <v>0</v>
      </c>
      <c r="BD761" s="387">
        <f t="shared" si="486"/>
        <v>0</v>
      </c>
      <c r="BE761" s="387">
        <f t="shared" si="487"/>
        <v>0</v>
      </c>
      <c r="BF761" s="387">
        <f t="shared" si="488"/>
        <v>0</v>
      </c>
      <c r="BG761" s="387">
        <f t="shared" si="489"/>
        <v>0</v>
      </c>
      <c r="BH761" s="387">
        <f t="shared" si="490"/>
        <v>0</v>
      </c>
      <c r="BI761" s="387">
        <f t="shared" si="491"/>
        <v>0</v>
      </c>
      <c r="BJ761" s="387">
        <f t="shared" si="492"/>
        <v>0</v>
      </c>
      <c r="BK761" s="387">
        <f t="shared" si="493"/>
        <v>0</v>
      </c>
      <c r="BL761" s="387">
        <f t="shared" si="516"/>
        <v>0</v>
      </c>
      <c r="BM761" s="387">
        <f t="shared" si="517"/>
        <v>0</v>
      </c>
      <c r="BN761" s="387">
        <f t="shared" si="494"/>
        <v>0</v>
      </c>
      <c r="BO761" s="387">
        <f t="shared" si="495"/>
        <v>0</v>
      </c>
      <c r="BP761" s="387">
        <f t="shared" si="496"/>
        <v>0</v>
      </c>
      <c r="BQ761" s="387">
        <f t="shared" si="497"/>
        <v>0</v>
      </c>
      <c r="BR761" s="387">
        <f t="shared" si="498"/>
        <v>0</v>
      </c>
      <c r="BS761" s="387">
        <f t="shared" si="499"/>
        <v>0</v>
      </c>
      <c r="BT761" s="387">
        <f t="shared" si="500"/>
        <v>0</v>
      </c>
      <c r="BU761" s="387">
        <f t="shared" si="501"/>
        <v>0</v>
      </c>
      <c r="BV761" s="387">
        <f t="shared" si="502"/>
        <v>0</v>
      </c>
      <c r="BW761" s="387">
        <f t="shared" si="503"/>
        <v>0</v>
      </c>
      <c r="BX761" s="387">
        <f t="shared" si="518"/>
        <v>0</v>
      </c>
      <c r="BY761" s="387">
        <f t="shared" si="519"/>
        <v>0</v>
      </c>
      <c r="BZ761" s="387">
        <f t="shared" si="520"/>
        <v>0</v>
      </c>
      <c r="CA761" s="387">
        <f t="shared" si="521"/>
        <v>0</v>
      </c>
      <c r="CB761" s="387">
        <f t="shared" si="522"/>
        <v>0</v>
      </c>
      <c r="CC761" s="387">
        <f t="shared" si="504"/>
        <v>0</v>
      </c>
      <c r="CD761" s="387">
        <f t="shared" si="505"/>
        <v>0</v>
      </c>
      <c r="CE761" s="387">
        <f t="shared" si="506"/>
        <v>0</v>
      </c>
      <c r="CF761" s="387">
        <f t="shared" si="507"/>
        <v>0</v>
      </c>
      <c r="CG761" s="387">
        <f t="shared" si="508"/>
        <v>0</v>
      </c>
      <c r="CH761" s="387">
        <f t="shared" si="509"/>
        <v>0</v>
      </c>
      <c r="CI761" s="387">
        <f t="shared" si="510"/>
        <v>0</v>
      </c>
      <c r="CJ761" s="387">
        <f t="shared" si="523"/>
        <v>0</v>
      </c>
      <c r="CK761" s="387" t="str">
        <f t="shared" si="524"/>
        <v/>
      </c>
      <c r="CL761" s="387" t="str">
        <f t="shared" si="525"/>
        <v/>
      </c>
      <c r="CM761" s="387" t="str">
        <f t="shared" si="526"/>
        <v/>
      </c>
      <c r="CN761" s="387" t="str">
        <f t="shared" si="527"/>
        <v>0349-31</v>
      </c>
    </row>
    <row r="762" spans="1:92" ht="15.75" thickBot="1" x14ac:dyDescent="0.3">
      <c r="A762" s="376" t="s">
        <v>161</v>
      </c>
      <c r="B762" s="376" t="s">
        <v>162</v>
      </c>
      <c r="C762" s="376" t="s">
        <v>1934</v>
      </c>
      <c r="D762" s="376" t="s">
        <v>862</v>
      </c>
      <c r="E762" s="376" t="s">
        <v>669</v>
      </c>
      <c r="F762" s="382" t="s">
        <v>225</v>
      </c>
      <c r="G762" s="376" t="s">
        <v>781</v>
      </c>
      <c r="H762" s="378"/>
      <c r="I762" s="378"/>
      <c r="J762" s="376" t="s">
        <v>239</v>
      </c>
      <c r="K762" s="376" t="s">
        <v>863</v>
      </c>
      <c r="L762" s="376" t="s">
        <v>252</v>
      </c>
      <c r="M762" s="376" t="s">
        <v>171</v>
      </c>
      <c r="N762" s="376" t="s">
        <v>172</v>
      </c>
      <c r="O762" s="379">
        <v>1</v>
      </c>
      <c r="P762" s="385">
        <v>0</v>
      </c>
      <c r="Q762" s="385">
        <v>0</v>
      </c>
      <c r="R762" s="380">
        <v>80</v>
      </c>
      <c r="S762" s="385">
        <v>0</v>
      </c>
      <c r="T762" s="380">
        <v>87.42</v>
      </c>
      <c r="U762" s="380">
        <v>0</v>
      </c>
      <c r="V762" s="380">
        <v>27.76</v>
      </c>
      <c r="W762" s="380">
        <v>0</v>
      </c>
      <c r="X762" s="380">
        <v>0</v>
      </c>
      <c r="Y762" s="380">
        <v>0</v>
      </c>
      <c r="Z762" s="380">
        <v>0</v>
      </c>
      <c r="AA762" s="376" t="s">
        <v>1935</v>
      </c>
      <c r="AB762" s="376" t="s">
        <v>1936</v>
      </c>
      <c r="AC762" s="376" t="s">
        <v>1937</v>
      </c>
      <c r="AD762" s="376" t="s">
        <v>278</v>
      </c>
      <c r="AE762" s="376" t="s">
        <v>863</v>
      </c>
      <c r="AF762" s="376" t="s">
        <v>393</v>
      </c>
      <c r="AG762" s="376" t="s">
        <v>178</v>
      </c>
      <c r="AH762" s="381">
        <v>21.27</v>
      </c>
      <c r="AI762" s="381">
        <v>17831.900000000001</v>
      </c>
      <c r="AJ762" s="376" t="s">
        <v>179</v>
      </c>
      <c r="AK762" s="376" t="s">
        <v>180</v>
      </c>
      <c r="AL762" s="376" t="s">
        <v>181</v>
      </c>
      <c r="AM762" s="376" t="s">
        <v>182</v>
      </c>
      <c r="AN762" s="376" t="s">
        <v>68</v>
      </c>
      <c r="AO762" s="379">
        <v>80</v>
      </c>
      <c r="AP762" s="385">
        <v>1</v>
      </c>
      <c r="AQ762" s="385">
        <v>0</v>
      </c>
      <c r="AR762" s="383" t="s">
        <v>183</v>
      </c>
      <c r="AS762" s="387">
        <f t="shared" si="511"/>
        <v>0</v>
      </c>
      <c r="AT762">
        <f t="shared" si="512"/>
        <v>0</v>
      </c>
      <c r="AU762" s="387" t="str">
        <f>IF(AT762=0,"",IF(AND(AT762=1,M762="F",SUMIF(C2:C1334,C762,AS2:AS1334)&lt;=1),SUMIF(C2:C1334,C762,AS2:AS1334),IF(AND(AT762=1,M762="F",SUMIF(C2:C1334,C762,AS2:AS1334)&gt;1),1,"")))</f>
        <v/>
      </c>
      <c r="AV762" s="387" t="str">
        <f>IF(AT762=0,"",IF(AND(AT762=3,M762="F",SUMIF(C2:C1334,C762,AS2:AS1334)&lt;=1),SUMIF(C2:C1334,C762,AS2:AS1334),IF(AND(AT762=3,M762="F",SUMIF(C2:C1334,C762,AS2:AS1334)&gt;1),1,"")))</f>
        <v/>
      </c>
      <c r="AW762" s="387">
        <f>SUMIF(C2:C1334,C762,O2:O1334)</f>
        <v>2</v>
      </c>
      <c r="AX762" s="387">
        <f>IF(AND(M762="F",AS762&lt;&gt;0),SUMIF(C2:C1334,C762,W2:W1334),0)</f>
        <v>0</v>
      </c>
      <c r="AY762" s="387" t="str">
        <f t="shared" si="513"/>
        <v/>
      </c>
      <c r="AZ762" s="387" t="str">
        <f t="shared" si="514"/>
        <v/>
      </c>
      <c r="BA762" s="387">
        <f t="shared" si="515"/>
        <v>0</v>
      </c>
      <c r="BB762" s="387">
        <f t="shared" si="484"/>
        <v>0</v>
      </c>
      <c r="BC762" s="387">
        <f t="shared" si="485"/>
        <v>0</v>
      </c>
      <c r="BD762" s="387">
        <f t="shared" si="486"/>
        <v>0</v>
      </c>
      <c r="BE762" s="387">
        <f t="shared" si="487"/>
        <v>0</v>
      </c>
      <c r="BF762" s="387">
        <f t="shared" si="488"/>
        <v>0</v>
      </c>
      <c r="BG762" s="387">
        <f t="shared" si="489"/>
        <v>0</v>
      </c>
      <c r="BH762" s="387">
        <f t="shared" si="490"/>
        <v>0</v>
      </c>
      <c r="BI762" s="387">
        <f t="shared" si="491"/>
        <v>0</v>
      </c>
      <c r="BJ762" s="387">
        <f t="shared" si="492"/>
        <v>0</v>
      </c>
      <c r="BK762" s="387">
        <f t="shared" si="493"/>
        <v>0</v>
      </c>
      <c r="BL762" s="387">
        <f t="shared" si="516"/>
        <v>0</v>
      </c>
      <c r="BM762" s="387">
        <f t="shared" si="517"/>
        <v>0</v>
      </c>
      <c r="BN762" s="387">
        <f t="shared" si="494"/>
        <v>0</v>
      </c>
      <c r="BO762" s="387">
        <f t="shared" si="495"/>
        <v>0</v>
      </c>
      <c r="BP762" s="387">
        <f t="shared" si="496"/>
        <v>0</v>
      </c>
      <c r="BQ762" s="387">
        <f t="shared" si="497"/>
        <v>0</v>
      </c>
      <c r="BR762" s="387">
        <f t="shared" si="498"/>
        <v>0</v>
      </c>
      <c r="BS762" s="387">
        <f t="shared" si="499"/>
        <v>0</v>
      </c>
      <c r="BT762" s="387">
        <f t="shared" si="500"/>
        <v>0</v>
      </c>
      <c r="BU762" s="387">
        <f t="shared" si="501"/>
        <v>0</v>
      </c>
      <c r="BV762" s="387">
        <f t="shared" si="502"/>
        <v>0</v>
      </c>
      <c r="BW762" s="387">
        <f t="shared" si="503"/>
        <v>0</v>
      </c>
      <c r="BX762" s="387">
        <f t="shared" si="518"/>
        <v>0</v>
      </c>
      <c r="BY762" s="387">
        <f t="shared" si="519"/>
        <v>0</v>
      </c>
      <c r="BZ762" s="387">
        <f t="shared" si="520"/>
        <v>0</v>
      </c>
      <c r="CA762" s="387">
        <f t="shared" si="521"/>
        <v>0</v>
      </c>
      <c r="CB762" s="387">
        <f t="shared" si="522"/>
        <v>0</v>
      </c>
      <c r="CC762" s="387">
        <f t="shared" si="504"/>
        <v>0</v>
      </c>
      <c r="CD762" s="387">
        <f t="shared" si="505"/>
        <v>0</v>
      </c>
      <c r="CE762" s="387">
        <f t="shared" si="506"/>
        <v>0</v>
      </c>
      <c r="CF762" s="387">
        <f t="shared" si="507"/>
        <v>0</v>
      </c>
      <c r="CG762" s="387">
        <f t="shared" si="508"/>
        <v>0</v>
      </c>
      <c r="CH762" s="387">
        <f t="shared" si="509"/>
        <v>0</v>
      </c>
      <c r="CI762" s="387">
        <f t="shared" si="510"/>
        <v>0</v>
      </c>
      <c r="CJ762" s="387">
        <f t="shared" si="523"/>
        <v>0</v>
      </c>
      <c r="CK762" s="387" t="str">
        <f t="shared" si="524"/>
        <v/>
      </c>
      <c r="CL762" s="387" t="str">
        <f t="shared" si="525"/>
        <v/>
      </c>
      <c r="CM762" s="387" t="str">
        <f t="shared" si="526"/>
        <v/>
      </c>
      <c r="CN762" s="387" t="str">
        <f t="shared" si="527"/>
        <v>0349-31</v>
      </c>
    </row>
    <row r="763" spans="1:92" ht="15.75" thickBot="1" x14ac:dyDescent="0.3">
      <c r="A763" s="376" t="s">
        <v>161</v>
      </c>
      <c r="B763" s="376" t="s">
        <v>162</v>
      </c>
      <c r="C763" s="376" t="s">
        <v>1301</v>
      </c>
      <c r="D763" s="376" t="s">
        <v>862</v>
      </c>
      <c r="E763" s="376" t="s">
        <v>669</v>
      </c>
      <c r="F763" s="382" t="s">
        <v>225</v>
      </c>
      <c r="G763" s="376" t="s">
        <v>781</v>
      </c>
      <c r="H763" s="378"/>
      <c r="I763" s="378"/>
      <c r="J763" s="376" t="s">
        <v>239</v>
      </c>
      <c r="K763" s="376" t="s">
        <v>863</v>
      </c>
      <c r="L763" s="376" t="s">
        <v>252</v>
      </c>
      <c r="M763" s="376" t="s">
        <v>171</v>
      </c>
      <c r="N763" s="376" t="s">
        <v>172</v>
      </c>
      <c r="O763" s="379">
        <v>1</v>
      </c>
      <c r="P763" s="385">
        <v>0</v>
      </c>
      <c r="Q763" s="385">
        <v>0</v>
      </c>
      <c r="R763" s="380">
        <v>80</v>
      </c>
      <c r="S763" s="385">
        <v>0</v>
      </c>
      <c r="T763" s="380">
        <v>57.27</v>
      </c>
      <c r="U763" s="380">
        <v>0</v>
      </c>
      <c r="V763" s="380">
        <v>21.28</v>
      </c>
      <c r="W763" s="380">
        <v>0</v>
      </c>
      <c r="X763" s="380">
        <v>0</v>
      </c>
      <c r="Y763" s="380">
        <v>0</v>
      </c>
      <c r="Z763" s="380">
        <v>0</v>
      </c>
      <c r="AA763" s="376" t="s">
        <v>1302</v>
      </c>
      <c r="AB763" s="376" t="s">
        <v>259</v>
      </c>
      <c r="AC763" s="376" t="s">
        <v>1303</v>
      </c>
      <c r="AD763" s="376" t="s">
        <v>198</v>
      </c>
      <c r="AE763" s="376" t="s">
        <v>863</v>
      </c>
      <c r="AF763" s="376" t="s">
        <v>393</v>
      </c>
      <c r="AG763" s="376" t="s">
        <v>178</v>
      </c>
      <c r="AH763" s="381">
        <v>18.8</v>
      </c>
      <c r="AI763" s="379">
        <v>3520</v>
      </c>
      <c r="AJ763" s="376" t="s">
        <v>179</v>
      </c>
      <c r="AK763" s="376" t="s">
        <v>180</v>
      </c>
      <c r="AL763" s="376" t="s">
        <v>181</v>
      </c>
      <c r="AM763" s="376" t="s">
        <v>182</v>
      </c>
      <c r="AN763" s="376" t="s">
        <v>68</v>
      </c>
      <c r="AO763" s="379">
        <v>80</v>
      </c>
      <c r="AP763" s="385">
        <v>1</v>
      </c>
      <c r="AQ763" s="385">
        <v>0</v>
      </c>
      <c r="AR763" s="383" t="s">
        <v>183</v>
      </c>
      <c r="AS763" s="387">
        <f t="shared" si="511"/>
        <v>0</v>
      </c>
      <c r="AT763">
        <f t="shared" si="512"/>
        <v>0</v>
      </c>
      <c r="AU763" s="387" t="str">
        <f>IF(AT763=0,"",IF(AND(AT763=1,M763="F",SUMIF(C2:C1334,C763,AS2:AS1334)&lt;=1),SUMIF(C2:C1334,C763,AS2:AS1334),IF(AND(AT763=1,M763="F",SUMIF(C2:C1334,C763,AS2:AS1334)&gt;1),1,"")))</f>
        <v/>
      </c>
      <c r="AV763" s="387" t="str">
        <f>IF(AT763=0,"",IF(AND(AT763=3,M763="F",SUMIF(C2:C1334,C763,AS2:AS1334)&lt;=1),SUMIF(C2:C1334,C763,AS2:AS1334),IF(AND(AT763=3,M763="F",SUMIF(C2:C1334,C763,AS2:AS1334)&gt;1),1,"")))</f>
        <v/>
      </c>
      <c r="AW763" s="387">
        <f>SUMIF(C2:C1334,C763,O2:O1334)</f>
        <v>3</v>
      </c>
      <c r="AX763" s="387">
        <f>IF(AND(M763="F",AS763&lt;&gt;0),SUMIF(C2:C1334,C763,W2:W1334),0)</f>
        <v>0</v>
      </c>
      <c r="AY763" s="387" t="str">
        <f t="shared" si="513"/>
        <v/>
      </c>
      <c r="AZ763" s="387" t="str">
        <f t="shared" si="514"/>
        <v/>
      </c>
      <c r="BA763" s="387">
        <f t="shared" si="515"/>
        <v>0</v>
      </c>
      <c r="BB763" s="387">
        <f t="shared" si="484"/>
        <v>0</v>
      </c>
      <c r="BC763" s="387">
        <f t="shared" si="485"/>
        <v>0</v>
      </c>
      <c r="BD763" s="387">
        <f t="shared" si="486"/>
        <v>0</v>
      </c>
      <c r="BE763" s="387">
        <f t="shared" si="487"/>
        <v>0</v>
      </c>
      <c r="BF763" s="387">
        <f t="shared" si="488"/>
        <v>0</v>
      </c>
      <c r="BG763" s="387">
        <f t="shared" si="489"/>
        <v>0</v>
      </c>
      <c r="BH763" s="387">
        <f t="shared" si="490"/>
        <v>0</v>
      </c>
      <c r="BI763" s="387">
        <f t="shared" si="491"/>
        <v>0</v>
      </c>
      <c r="BJ763" s="387">
        <f t="shared" si="492"/>
        <v>0</v>
      </c>
      <c r="BK763" s="387">
        <f t="shared" si="493"/>
        <v>0</v>
      </c>
      <c r="BL763" s="387">
        <f t="shared" si="516"/>
        <v>0</v>
      </c>
      <c r="BM763" s="387">
        <f t="shared" si="517"/>
        <v>0</v>
      </c>
      <c r="BN763" s="387">
        <f t="shared" si="494"/>
        <v>0</v>
      </c>
      <c r="BO763" s="387">
        <f t="shared" si="495"/>
        <v>0</v>
      </c>
      <c r="BP763" s="387">
        <f t="shared" si="496"/>
        <v>0</v>
      </c>
      <c r="BQ763" s="387">
        <f t="shared" si="497"/>
        <v>0</v>
      </c>
      <c r="BR763" s="387">
        <f t="shared" si="498"/>
        <v>0</v>
      </c>
      <c r="BS763" s="387">
        <f t="shared" si="499"/>
        <v>0</v>
      </c>
      <c r="BT763" s="387">
        <f t="shared" si="500"/>
        <v>0</v>
      </c>
      <c r="BU763" s="387">
        <f t="shared" si="501"/>
        <v>0</v>
      </c>
      <c r="BV763" s="387">
        <f t="shared" si="502"/>
        <v>0</v>
      </c>
      <c r="BW763" s="387">
        <f t="shared" si="503"/>
        <v>0</v>
      </c>
      <c r="BX763" s="387">
        <f t="shared" si="518"/>
        <v>0</v>
      </c>
      <c r="BY763" s="387">
        <f t="shared" si="519"/>
        <v>0</v>
      </c>
      <c r="BZ763" s="387">
        <f t="shared" si="520"/>
        <v>0</v>
      </c>
      <c r="CA763" s="387">
        <f t="shared" si="521"/>
        <v>0</v>
      </c>
      <c r="CB763" s="387">
        <f t="shared" si="522"/>
        <v>0</v>
      </c>
      <c r="CC763" s="387">
        <f t="shared" si="504"/>
        <v>0</v>
      </c>
      <c r="CD763" s="387">
        <f t="shared" si="505"/>
        <v>0</v>
      </c>
      <c r="CE763" s="387">
        <f t="shared" si="506"/>
        <v>0</v>
      </c>
      <c r="CF763" s="387">
        <f t="shared" si="507"/>
        <v>0</v>
      </c>
      <c r="CG763" s="387">
        <f t="shared" si="508"/>
        <v>0</v>
      </c>
      <c r="CH763" s="387">
        <f t="shared" si="509"/>
        <v>0</v>
      </c>
      <c r="CI763" s="387">
        <f t="shared" si="510"/>
        <v>0</v>
      </c>
      <c r="CJ763" s="387">
        <f t="shared" si="523"/>
        <v>0</v>
      </c>
      <c r="CK763" s="387" t="str">
        <f t="shared" si="524"/>
        <v/>
      </c>
      <c r="CL763" s="387" t="str">
        <f t="shared" si="525"/>
        <v/>
      </c>
      <c r="CM763" s="387" t="str">
        <f t="shared" si="526"/>
        <v/>
      </c>
      <c r="CN763" s="387" t="str">
        <f t="shared" si="527"/>
        <v>0349-31</v>
      </c>
    </row>
    <row r="764" spans="1:92" ht="15.75" thickBot="1" x14ac:dyDescent="0.3">
      <c r="A764" s="376" t="s">
        <v>161</v>
      </c>
      <c r="B764" s="376" t="s">
        <v>162</v>
      </c>
      <c r="C764" s="376" t="s">
        <v>367</v>
      </c>
      <c r="D764" s="376" t="s">
        <v>368</v>
      </c>
      <c r="E764" s="376" t="s">
        <v>669</v>
      </c>
      <c r="F764" s="382" t="s">
        <v>225</v>
      </c>
      <c r="G764" s="376" t="s">
        <v>781</v>
      </c>
      <c r="H764" s="378"/>
      <c r="I764" s="378"/>
      <c r="J764" s="376" t="s">
        <v>215</v>
      </c>
      <c r="K764" s="376" t="s">
        <v>369</v>
      </c>
      <c r="L764" s="376" t="s">
        <v>170</v>
      </c>
      <c r="M764" s="376" t="s">
        <v>171</v>
      </c>
      <c r="N764" s="376" t="s">
        <v>172</v>
      </c>
      <c r="O764" s="379">
        <v>1</v>
      </c>
      <c r="P764" s="385">
        <v>0</v>
      </c>
      <c r="Q764" s="385">
        <v>0</v>
      </c>
      <c r="R764" s="380">
        <v>80</v>
      </c>
      <c r="S764" s="385">
        <v>0</v>
      </c>
      <c r="T764" s="380">
        <v>189.77</v>
      </c>
      <c r="U764" s="380">
        <v>0</v>
      </c>
      <c r="V764" s="380">
        <v>40.909999999999997</v>
      </c>
      <c r="W764" s="380">
        <v>0</v>
      </c>
      <c r="X764" s="380">
        <v>0</v>
      </c>
      <c r="Y764" s="380">
        <v>0</v>
      </c>
      <c r="Z764" s="380">
        <v>0</v>
      </c>
      <c r="AA764" s="376" t="s">
        <v>370</v>
      </c>
      <c r="AB764" s="376" t="s">
        <v>371</v>
      </c>
      <c r="AC764" s="376" t="s">
        <v>372</v>
      </c>
      <c r="AD764" s="376" t="s">
        <v>373</v>
      </c>
      <c r="AE764" s="376" t="s">
        <v>369</v>
      </c>
      <c r="AF764" s="376" t="s">
        <v>177</v>
      </c>
      <c r="AG764" s="376" t="s">
        <v>178</v>
      </c>
      <c r="AH764" s="381">
        <v>39.47</v>
      </c>
      <c r="AI764" s="381">
        <v>37447.699999999997</v>
      </c>
      <c r="AJ764" s="376" t="s">
        <v>179</v>
      </c>
      <c r="AK764" s="376" t="s">
        <v>180</v>
      </c>
      <c r="AL764" s="376" t="s">
        <v>181</v>
      </c>
      <c r="AM764" s="376" t="s">
        <v>182</v>
      </c>
      <c r="AN764" s="376" t="s">
        <v>68</v>
      </c>
      <c r="AO764" s="379">
        <v>80</v>
      </c>
      <c r="AP764" s="385">
        <v>1</v>
      </c>
      <c r="AQ764" s="385">
        <v>0</v>
      </c>
      <c r="AR764" s="383" t="s">
        <v>183</v>
      </c>
      <c r="AS764" s="387">
        <f t="shared" si="511"/>
        <v>0</v>
      </c>
      <c r="AT764">
        <f t="shared" si="512"/>
        <v>0</v>
      </c>
      <c r="AU764" s="387" t="str">
        <f>IF(AT764=0,"",IF(AND(AT764=1,M764="F",SUMIF(C2:C1334,C764,AS2:AS1334)&lt;=1),SUMIF(C2:C1334,C764,AS2:AS1334),IF(AND(AT764=1,M764="F",SUMIF(C2:C1334,C764,AS2:AS1334)&gt;1),1,"")))</f>
        <v/>
      </c>
      <c r="AV764" s="387" t="str">
        <f>IF(AT764=0,"",IF(AND(AT764=3,M764="F",SUMIF(C2:C1334,C764,AS2:AS1334)&lt;=1),SUMIF(C2:C1334,C764,AS2:AS1334),IF(AND(AT764=3,M764="F",SUMIF(C2:C1334,C764,AS2:AS1334)&gt;1),1,"")))</f>
        <v/>
      </c>
      <c r="AW764" s="387">
        <f>SUMIF(C2:C1334,C764,O2:O1334)</f>
        <v>4</v>
      </c>
      <c r="AX764" s="387">
        <f>IF(AND(M764="F",AS764&lt;&gt;0),SUMIF(C2:C1334,C764,W2:W1334),0)</f>
        <v>0</v>
      </c>
      <c r="AY764" s="387" t="str">
        <f t="shared" si="513"/>
        <v/>
      </c>
      <c r="AZ764" s="387" t="str">
        <f t="shared" si="514"/>
        <v/>
      </c>
      <c r="BA764" s="387">
        <f t="shared" si="515"/>
        <v>0</v>
      </c>
      <c r="BB764" s="387">
        <f t="shared" si="484"/>
        <v>0</v>
      </c>
      <c r="BC764" s="387">
        <f t="shared" si="485"/>
        <v>0</v>
      </c>
      <c r="BD764" s="387">
        <f t="shared" si="486"/>
        <v>0</v>
      </c>
      <c r="BE764" s="387">
        <f t="shared" si="487"/>
        <v>0</v>
      </c>
      <c r="BF764" s="387">
        <f t="shared" si="488"/>
        <v>0</v>
      </c>
      <c r="BG764" s="387">
        <f t="shared" si="489"/>
        <v>0</v>
      </c>
      <c r="BH764" s="387">
        <f t="shared" si="490"/>
        <v>0</v>
      </c>
      <c r="BI764" s="387">
        <f t="shared" si="491"/>
        <v>0</v>
      </c>
      <c r="BJ764" s="387">
        <f t="shared" si="492"/>
        <v>0</v>
      </c>
      <c r="BK764" s="387">
        <f t="shared" si="493"/>
        <v>0</v>
      </c>
      <c r="BL764" s="387">
        <f t="shared" si="516"/>
        <v>0</v>
      </c>
      <c r="BM764" s="387">
        <f t="shared" si="517"/>
        <v>0</v>
      </c>
      <c r="BN764" s="387">
        <f t="shared" si="494"/>
        <v>0</v>
      </c>
      <c r="BO764" s="387">
        <f t="shared" si="495"/>
        <v>0</v>
      </c>
      <c r="BP764" s="387">
        <f t="shared" si="496"/>
        <v>0</v>
      </c>
      <c r="BQ764" s="387">
        <f t="shared" si="497"/>
        <v>0</v>
      </c>
      <c r="BR764" s="387">
        <f t="shared" si="498"/>
        <v>0</v>
      </c>
      <c r="BS764" s="387">
        <f t="shared" si="499"/>
        <v>0</v>
      </c>
      <c r="BT764" s="387">
        <f t="shared" si="500"/>
        <v>0</v>
      </c>
      <c r="BU764" s="387">
        <f t="shared" si="501"/>
        <v>0</v>
      </c>
      <c r="BV764" s="387">
        <f t="shared" si="502"/>
        <v>0</v>
      </c>
      <c r="BW764" s="387">
        <f t="shared" si="503"/>
        <v>0</v>
      </c>
      <c r="BX764" s="387">
        <f t="shared" si="518"/>
        <v>0</v>
      </c>
      <c r="BY764" s="387">
        <f t="shared" si="519"/>
        <v>0</v>
      </c>
      <c r="BZ764" s="387">
        <f t="shared" si="520"/>
        <v>0</v>
      </c>
      <c r="CA764" s="387">
        <f t="shared" si="521"/>
        <v>0</v>
      </c>
      <c r="CB764" s="387">
        <f t="shared" si="522"/>
        <v>0</v>
      </c>
      <c r="CC764" s="387">
        <f t="shared" si="504"/>
        <v>0</v>
      </c>
      <c r="CD764" s="387">
        <f t="shared" si="505"/>
        <v>0</v>
      </c>
      <c r="CE764" s="387">
        <f t="shared" si="506"/>
        <v>0</v>
      </c>
      <c r="CF764" s="387">
        <f t="shared" si="507"/>
        <v>0</v>
      </c>
      <c r="CG764" s="387">
        <f t="shared" si="508"/>
        <v>0</v>
      </c>
      <c r="CH764" s="387">
        <f t="shared" si="509"/>
        <v>0</v>
      </c>
      <c r="CI764" s="387">
        <f t="shared" si="510"/>
        <v>0</v>
      </c>
      <c r="CJ764" s="387">
        <f t="shared" si="523"/>
        <v>0</v>
      </c>
      <c r="CK764" s="387" t="str">
        <f t="shared" si="524"/>
        <v/>
      </c>
      <c r="CL764" s="387" t="str">
        <f t="shared" si="525"/>
        <v/>
      </c>
      <c r="CM764" s="387" t="str">
        <f t="shared" si="526"/>
        <v/>
      </c>
      <c r="CN764" s="387" t="str">
        <f t="shared" si="527"/>
        <v>0349-31</v>
      </c>
    </row>
    <row r="765" spans="1:92" ht="15.75" thickBot="1" x14ac:dyDescent="0.3">
      <c r="A765" s="376" t="s">
        <v>161</v>
      </c>
      <c r="B765" s="376" t="s">
        <v>162</v>
      </c>
      <c r="C765" s="376" t="s">
        <v>676</v>
      </c>
      <c r="D765" s="376" t="s">
        <v>270</v>
      </c>
      <c r="E765" s="376" t="s">
        <v>674</v>
      </c>
      <c r="F765" s="377" t="s">
        <v>166</v>
      </c>
      <c r="G765" s="376" t="s">
        <v>1945</v>
      </c>
      <c r="H765" s="378"/>
      <c r="I765" s="378"/>
      <c r="J765" s="376" t="s">
        <v>215</v>
      </c>
      <c r="K765" s="376" t="s">
        <v>271</v>
      </c>
      <c r="L765" s="376" t="s">
        <v>217</v>
      </c>
      <c r="M765" s="376" t="s">
        <v>171</v>
      </c>
      <c r="N765" s="376" t="s">
        <v>172</v>
      </c>
      <c r="O765" s="379">
        <v>1</v>
      </c>
      <c r="P765" s="385">
        <v>1</v>
      </c>
      <c r="Q765" s="385">
        <v>1</v>
      </c>
      <c r="R765" s="380">
        <v>80</v>
      </c>
      <c r="S765" s="385">
        <v>1</v>
      </c>
      <c r="T765" s="380">
        <v>0</v>
      </c>
      <c r="U765" s="380">
        <v>0</v>
      </c>
      <c r="V765" s="380">
        <v>0</v>
      </c>
      <c r="W765" s="380">
        <v>40580.800000000003</v>
      </c>
      <c r="X765" s="380">
        <v>20425.55</v>
      </c>
      <c r="Y765" s="380">
        <v>40580.800000000003</v>
      </c>
      <c r="Z765" s="380">
        <v>20255.12</v>
      </c>
      <c r="AA765" s="376" t="s">
        <v>677</v>
      </c>
      <c r="AB765" s="376" t="s">
        <v>678</v>
      </c>
      <c r="AC765" s="376" t="s">
        <v>679</v>
      </c>
      <c r="AD765" s="376" t="s">
        <v>210</v>
      </c>
      <c r="AE765" s="376" t="s">
        <v>271</v>
      </c>
      <c r="AF765" s="376" t="s">
        <v>221</v>
      </c>
      <c r="AG765" s="376" t="s">
        <v>178</v>
      </c>
      <c r="AH765" s="381">
        <v>19.510000000000002</v>
      </c>
      <c r="AI765" s="381">
        <v>28162.3</v>
      </c>
      <c r="AJ765" s="376" t="s">
        <v>179</v>
      </c>
      <c r="AK765" s="376" t="s">
        <v>180</v>
      </c>
      <c r="AL765" s="376" t="s">
        <v>181</v>
      </c>
      <c r="AM765" s="376" t="s">
        <v>182</v>
      </c>
      <c r="AN765" s="376" t="s">
        <v>68</v>
      </c>
      <c r="AO765" s="379">
        <v>80</v>
      </c>
      <c r="AP765" s="385">
        <v>1</v>
      </c>
      <c r="AQ765" s="385">
        <v>1</v>
      </c>
      <c r="AR765" s="383" t="s">
        <v>183</v>
      </c>
      <c r="AS765" s="387">
        <f t="shared" si="511"/>
        <v>1</v>
      </c>
      <c r="AT765">
        <f t="shared" si="512"/>
        <v>1</v>
      </c>
      <c r="AU765" s="387">
        <f>IF(AT765=0,"",IF(AND(AT765=1,M765="F",SUMIF(C2:C1334,C765,AS2:AS1334)&lt;=1),SUMIF(C2:C1334,C765,AS2:AS1334),IF(AND(AT765=1,M765="F",SUMIF(C2:C1334,C765,AS2:AS1334)&gt;1),1,"")))</f>
        <v>1</v>
      </c>
      <c r="AV765" s="387" t="str">
        <f>IF(AT765=0,"",IF(AND(AT765=3,M765="F",SUMIF(C2:C1334,C765,AS2:AS1334)&lt;=1),SUMIF(C2:C1334,C765,AS2:AS1334),IF(AND(AT765=3,M765="F",SUMIF(C2:C1334,C765,AS2:AS1334)&gt;1),1,"")))</f>
        <v/>
      </c>
      <c r="AW765" s="387">
        <f>SUMIF(C2:C1334,C765,O2:O1334)</f>
        <v>2</v>
      </c>
      <c r="AX765" s="387">
        <f>IF(AND(M765="F",AS765&lt;&gt;0),SUMIF(C2:C1334,C765,W2:W1334),0)</f>
        <v>40580.800000000003</v>
      </c>
      <c r="AY765" s="387">
        <f t="shared" si="513"/>
        <v>40580.800000000003</v>
      </c>
      <c r="AZ765" s="387" t="str">
        <f t="shared" si="514"/>
        <v/>
      </c>
      <c r="BA765" s="387">
        <f t="shared" si="515"/>
        <v>0</v>
      </c>
      <c r="BB765" s="387">
        <f t="shared" si="484"/>
        <v>11650</v>
      </c>
      <c r="BC765" s="387">
        <f t="shared" si="485"/>
        <v>0</v>
      </c>
      <c r="BD765" s="387">
        <f t="shared" si="486"/>
        <v>2516.0096000000003</v>
      </c>
      <c r="BE765" s="387">
        <f t="shared" si="487"/>
        <v>588.42160000000013</v>
      </c>
      <c r="BF765" s="387">
        <f t="shared" si="488"/>
        <v>4845.3475200000003</v>
      </c>
      <c r="BG765" s="387">
        <f t="shared" si="489"/>
        <v>292.58756800000003</v>
      </c>
      <c r="BH765" s="387">
        <f t="shared" si="490"/>
        <v>198.84592000000001</v>
      </c>
      <c r="BI765" s="387">
        <f t="shared" si="491"/>
        <v>224.61472800000001</v>
      </c>
      <c r="BJ765" s="387">
        <f t="shared" si="492"/>
        <v>109.56816000000002</v>
      </c>
      <c r="BK765" s="387">
        <f t="shared" si="493"/>
        <v>0</v>
      </c>
      <c r="BL765" s="387">
        <f t="shared" si="516"/>
        <v>8775.395096000002</v>
      </c>
      <c r="BM765" s="387">
        <f t="shared" si="517"/>
        <v>0</v>
      </c>
      <c r="BN765" s="387">
        <f t="shared" si="494"/>
        <v>11650</v>
      </c>
      <c r="BO765" s="387">
        <f t="shared" si="495"/>
        <v>0</v>
      </c>
      <c r="BP765" s="387">
        <f t="shared" si="496"/>
        <v>2516.0096000000003</v>
      </c>
      <c r="BQ765" s="387">
        <f t="shared" si="497"/>
        <v>588.42160000000013</v>
      </c>
      <c r="BR765" s="387">
        <f t="shared" si="498"/>
        <v>4845.3475200000003</v>
      </c>
      <c r="BS765" s="387">
        <f t="shared" si="499"/>
        <v>292.58756800000003</v>
      </c>
      <c r="BT765" s="387">
        <f t="shared" si="500"/>
        <v>0</v>
      </c>
      <c r="BU765" s="387">
        <f t="shared" si="501"/>
        <v>224.61472800000001</v>
      </c>
      <c r="BV765" s="387">
        <f t="shared" si="502"/>
        <v>137.97471999999999</v>
      </c>
      <c r="BW765" s="387">
        <f t="shared" si="503"/>
        <v>0</v>
      </c>
      <c r="BX765" s="387">
        <f t="shared" si="518"/>
        <v>8604.9557360000017</v>
      </c>
      <c r="BY765" s="387">
        <f t="shared" si="519"/>
        <v>0</v>
      </c>
      <c r="BZ765" s="387">
        <f t="shared" si="520"/>
        <v>0</v>
      </c>
      <c r="CA765" s="387">
        <f t="shared" si="521"/>
        <v>0</v>
      </c>
      <c r="CB765" s="387">
        <f t="shared" si="522"/>
        <v>0</v>
      </c>
      <c r="CC765" s="387">
        <f t="shared" si="504"/>
        <v>0</v>
      </c>
      <c r="CD765" s="387">
        <f t="shared" si="505"/>
        <v>0</v>
      </c>
      <c r="CE765" s="387">
        <f t="shared" si="506"/>
        <v>0</v>
      </c>
      <c r="CF765" s="387">
        <f t="shared" si="507"/>
        <v>-198.84592000000001</v>
      </c>
      <c r="CG765" s="387">
        <f t="shared" si="508"/>
        <v>0</v>
      </c>
      <c r="CH765" s="387">
        <f t="shared" si="509"/>
        <v>28.406559999999988</v>
      </c>
      <c r="CI765" s="387">
        <f t="shared" si="510"/>
        <v>0</v>
      </c>
      <c r="CJ765" s="387">
        <f t="shared" si="523"/>
        <v>-170.43936000000002</v>
      </c>
      <c r="CK765" s="387" t="str">
        <f t="shared" si="524"/>
        <v/>
      </c>
      <c r="CL765" s="387" t="str">
        <f t="shared" si="525"/>
        <v/>
      </c>
      <c r="CM765" s="387" t="str">
        <f t="shared" si="526"/>
        <v/>
      </c>
      <c r="CN765" s="387" t="str">
        <f t="shared" si="527"/>
        <v>0001-00</v>
      </c>
    </row>
    <row r="766" spans="1:92" ht="15.75" thickBot="1" x14ac:dyDescent="0.3">
      <c r="A766" s="376" t="s">
        <v>161</v>
      </c>
      <c r="B766" s="376" t="s">
        <v>162</v>
      </c>
      <c r="C766" s="376" t="s">
        <v>680</v>
      </c>
      <c r="D766" s="376" t="s">
        <v>681</v>
      </c>
      <c r="E766" s="376" t="s">
        <v>674</v>
      </c>
      <c r="F766" s="377" t="s">
        <v>166</v>
      </c>
      <c r="G766" s="376" t="s">
        <v>1945</v>
      </c>
      <c r="H766" s="378"/>
      <c r="I766" s="378"/>
      <c r="J766" s="376" t="s">
        <v>215</v>
      </c>
      <c r="K766" s="376" t="s">
        <v>682</v>
      </c>
      <c r="L766" s="376" t="s">
        <v>296</v>
      </c>
      <c r="M766" s="376" t="s">
        <v>171</v>
      </c>
      <c r="N766" s="376" t="s">
        <v>172</v>
      </c>
      <c r="O766" s="379">
        <v>1</v>
      </c>
      <c r="P766" s="385">
        <v>1</v>
      </c>
      <c r="Q766" s="385">
        <v>1</v>
      </c>
      <c r="R766" s="380">
        <v>80</v>
      </c>
      <c r="S766" s="385">
        <v>1</v>
      </c>
      <c r="T766" s="380">
        <v>0</v>
      </c>
      <c r="U766" s="380">
        <v>0</v>
      </c>
      <c r="V766" s="380">
        <v>0</v>
      </c>
      <c r="W766" s="380">
        <v>43160</v>
      </c>
      <c r="X766" s="380">
        <v>20983.33</v>
      </c>
      <c r="Y766" s="380">
        <v>43160</v>
      </c>
      <c r="Z766" s="380">
        <v>20802.060000000001</v>
      </c>
      <c r="AA766" s="376" t="s">
        <v>683</v>
      </c>
      <c r="AB766" s="376" t="s">
        <v>684</v>
      </c>
      <c r="AC766" s="376" t="s">
        <v>685</v>
      </c>
      <c r="AD766" s="376" t="s">
        <v>686</v>
      </c>
      <c r="AE766" s="376" t="s">
        <v>682</v>
      </c>
      <c r="AF766" s="376" t="s">
        <v>301</v>
      </c>
      <c r="AG766" s="376" t="s">
        <v>178</v>
      </c>
      <c r="AH766" s="381">
        <v>20.75</v>
      </c>
      <c r="AI766" s="381">
        <v>26143.4</v>
      </c>
      <c r="AJ766" s="376" t="s">
        <v>179</v>
      </c>
      <c r="AK766" s="376" t="s">
        <v>180</v>
      </c>
      <c r="AL766" s="376" t="s">
        <v>181</v>
      </c>
      <c r="AM766" s="376" t="s">
        <v>182</v>
      </c>
      <c r="AN766" s="376" t="s">
        <v>68</v>
      </c>
      <c r="AO766" s="379">
        <v>80</v>
      </c>
      <c r="AP766" s="385">
        <v>1</v>
      </c>
      <c r="AQ766" s="385">
        <v>1</v>
      </c>
      <c r="AR766" s="383" t="s">
        <v>183</v>
      </c>
      <c r="AS766" s="387">
        <f t="shared" si="511"/>
        <v>1</v>
      </c>
      <c r="AT766">
        <f t="shared" si="512"/>
        <v>1</v>
      </c>
      <c r="AU766" s="387">
        <f>IF(AT766=0,"",IF(AND(AT766=1,M766="F",SUMIF(C2:C1334,C766,AS2:AS1334)&lt;=1),SUMIF(C2:C1334,C766,AS2:AS1334),IF(AND(AT766=1,M766="F",SUMIF(C2:C1334,C766,AS2:AS1334)&gt;1),1,"")))</f>
        <v>1</v>
      </c>
      <c r="AV766" s="387" t="str">
        <f>IF(AT766=0,"",IF(AND(AT766=3,M766="F",SUMIF(C2:C1334,C766,AS2:AS1334)&lt;=1),SUMIF(C2:C1334,C766,AS2:AS1334),IF(AND(AT766=3,M766="F",SUMIF(C2:C1334,C766,AS2:AS1334)&gt;1),1,"")))</f>
        <v/>
      </c>
      <c r="AW766" s="387">
        <f>SUMIF(C2:C1334,C766,O2:O1334)</f>
        <v>2</v>
      </c>
      <c r="AX766" s="387">
        <f>IF(AND(M766="F",AS766&lt;&gt;0),SUMIF(C2:C1334,C766,W2:W1334),0)</f>
        <v>43160</v>
      </c>
      <c r="AY766" s="387">
        <f t="shared" si="513"/>
        <v>43160</v>
      </c>
      <c r="AZ766" s="387" t="str">
        <f t="shared" si="514"/>
        <v/>
      </c>
      <c r="BA766" s="387">
        <f t="shared" si="515"/>
        <v>0</v>
      </c>
      <c r="BB766" s="387">
        <f t="shared" si="484"/>
        <v>11650</v>
      </c>
      <c r="BC766" s="387">
        <f t="shared" si="485"/>
        <v>0</v>
      </c>
      <c r="BD766" s="387">
        <f t="shared" si="486"/>
        <v>2675.92</v>
      </c>
      <c r="BE766" s="387">
        <f t="shared" si="487"/>
        <v>625.82000000000005</v>
      </c>
      <c r="BF766" s="387">
        <f t="shared" si="488"/>
        <v>5153.3040000000001</v>
      </c>
      <c r="BG766" s="387">
        <f t="shared" si="489"/>
        <v>311.18360000000001</v>
      </c>
      <c r="BH766" s="387">
        <f t="shared" si="490"/>
        <v>211.48399999999998</v>
      </c>
      <c r="BI766" s="387">
        <f t="shared" si="491"/>
        <v>238.89060000000001</v>
      </c>
      <c r="BJ766" s="387">
        <f t="shared" si="492"/>
        <v>116.53200000000001</v>
      </c>
      <c r="BK766" s="387">
        <f t="shared" si="493"/>
        <v>0</v>
      </c>
      <c r="BL766" s="387">
        <f t="shared" si="516"/>
        <v>9333.1342000000004</v>
      </c>
      <c r="BM766" s="387">
        <f t="shared" si="517"/>
        <v>0</v>
      </c>
      <c r="BN766" s="387">
        <f t="shared" si="494"/>
        <v>11650</v>
      </c>
      <c r="BO766" s="387">
        <f t="shared" si="495"/>
        <v>0</v>
      </c>
      <c r="BP766" s="387">
        <f t="shared" si="496"/>
        <v>2675.92</v>
      </c>
      <c r="BQ766" s="387">
        <f t="shared" si="497"/>
        <v>625.82000000000005</v>
      </c>
      <c r="BR766" s="387">
        <f t="shared" si="498"/>
        <v>5153.3040000000001</v>
      </c>
      <c r="BS766" s="387">
        <f t="shared" si="499"/>
        <v>311.18360000000001</v>
      </c>
      <c r="BT766" s="387">
        <f t="shared" si="500"/>
        <v>0</v>
      </c>
      <c r="BU766" s="387">
        <f t="shared" si="501"/>
        <v>238.89060000000001</v>
      </c>
      <c r="BV766" s="387">
        <f t="shared" si="502"/>
        <v>146.744</v>
      </c>
      <c r="BW766" s="387">
        <f t="shared" si="503"/>
        <v>0</v>
      </c>
      <c r="BX766" s="387">
        <f t="shared" si="518"/>
        <v>9151.8622000000014</v>
      </c>
      <c r="BY766" s="387">
        <f t="shared" si="519"/>
        <v>0</v>
      </c>
      <c r="BZ766" s="387">
        <f t="shared" si="520"/>
        <v>0</v>
      </c>
      <c r="CA766" s="387">
        <f t="shared" si="521"/>
        <v>0</v>
      </c>
      <c r="CB766" s="387">
        <f t="shared" si="522"/>
        <v>0</v>
      </c>
      <c r="CC766" s="387">
        <f t="shared" si="504"/>
        <v>0</v>
      </c>
      <c r="CD766" s="387">
        <f t="shared" si="505"/>
        <v>0</v>
      </c>
      <c r="CE766" s="387">
        <f t="shared" si="506"/>
        <v>0</v>
      </c>
      <c r="CF766" s="387">
        <f t="shared" si="507"/>
        <v>-211.48399999999998</v>
      </c>
      <c r="CG766" s="387">
        <f t="shared" si="508"/>
        <v>0</v>
      </c>
      <c r="CH766" s="387">
        <f t="shared" si="509"/>
        <v>30.211999999999986</v>
      </c>
      <c r="CI766" s="387">
        <f t="shared" si="510"/>
        <v>0</v>
      </c>
      <c r="CJ766" s="387">
        <f t="shared" si="523"/>
        <v>-181.27199999999999</v>
      </c>
      <c r="CK766" s="387" t="str">
        <f t="shared" si="524"/>
        <v/>
      </c>
      <c r="CL766" s="387" t="str">
        <f t="shared" si="525"/>
        <v/>
      </c>
      <c r="CM766" s="387" t="str">
        <f t="shared" si="526"/>
        <v/>
      </c>
      <c r="CN766" s="387" t="str">
        <f t="shared" si="527"/>
        <v>0001-00</v>
      </c>
    </row>
    <row r="767" spans="1:92" ht="15.75" thickBot="1" x14ac:dyDescent="0.3">
      <c r="A767" s="376" t="s">
        <v>161</v>
      </c>
      <c r="B767" s="376" t="s">
        <v>162</v>
      </c>
      <c r="C767" s="376" t="s">
        <v>687</v>
      </c>
      <c r="D767" s="376" t="s">
        <v>681</v>
      </c>
      <c r="E767" s="376" t="s">
        <v>674</v>
      </c>
      <c r="F767" s="377" t="s">
        <v>166</v>
      </c>
      <c r="G767" s="376" t="s">
        <v>1945</v>
      </c>
      <c r="H767" s="378"/>
      <c r="I767" s="378"/>
      <c r="J767" s="376" t="s">
        <v>215</v>
      </c>
      <c r="K767" s="376" t="s">
        <v>682</v>
      </c>
      <c r="L767" s="376" t="s">
        <v>296</v>
      </c>
      <c r="M767" s="376" t="s">
        <v>171</v>
      </c>
      <c r="N767" s="376" t="s">
        <v>172</v>
      </c>
      <c r="O767" s="379">
        <v>1</v>
      </c>
      <c r="P767" s="385">
        <v>1</v>
      </c>
      <c r="Q767" s="385">
        <v>1</v>
      </c>
      <c r="R767" s="380">
        <v>80</v>
      </c>
      <c r="S767" s="385">
        <v>1</v>
      </c>
      <c r="T767" s="380">
        <v>0</v>
      </c>
      <c r="U767" s="380">
        <v>0</v>
      </c>
      <c r="V767" s="380">
        <v>0</v>
      </c>
      <c r="W767" s="380">
        <v>51563.199999999997</v>
      </c>
      <c r="X767" s="380">
        <v>22800.51</v>
      </c>
      <c r="Y767" s="380">
        <v>51563.199999999997</v>
      </c>
      <c r="Z767" s="380">
        <v>22583.95</v>
      </c>
      <c r="AA767" s="376" t="s">
        <v>688</v>
      </c>
      <c r="AB767" s="376" t="s">
        <v>689</v>
      </c>
      <c r="AC767" s="376" t="s">
        <v>690</v>
      </c>
      <c r="AD767" s="376" t="s">
        <v>324</v>
      </c>
      <c r="AE767" s="376" t="s">
        <v>682</v>
      </c>
      <c r="AF767" s="376" t="s">
        <v>301</v>
      </c>
      <c r="AG767" s="376" t="s">
        <v>178</v>
      </c>
      <c r="AH767" s="381">
        <v>24.79</v>
      </c>
      <c r="AI767" s="381">
        <v>42198.8</v>
      </c>
      <c r="AJ767" s="376" t="s">
        <v>179</v>
      </c>
      <c r="AK767" s="376" t="s">
        <v>180</v>
      </c>
      <c r="AL767" s="376" t="s">
        <v>181</v>
      </c>
      <c r="AM767" s="376" t="s">
        <v>182</v>
      </c>
      <c r="AN767" s="376" t="s">
        <v>68</v>
      </c>
      <c r="AO767" s="379">
        <v>80</v>
      </c>
      <c r="AP767" s="385">
        <v>1</v>
      </c>
      <c r="AQ767" s="385">
        <v>1</v>
      </c>
      <c r="AR767" s="383" t="s">
        <v>183</v>
      </c>
      <c r="AS767" s="387">
        <f t="shared" si="511"/>
        <v>1</v>
      </c>
      <c r="AT767">
        <f t="shared" si="512"/>
        <v>1</v>
      </c>
      <c r="AU767" s="387">
        <f>IF(AT767=0,"",IF(AND(AT767=1,M767="F",SUMIF(C2:C1334,C767,AS2:AS1334)&lt;=1),SUMIF(C2:C1334,C767,AS2:AS1334),IF(AND(AT767=1,M767="F",SUMIF(C2:C1334,C767,AS2:AS1334)&gt;1),1,"")))</f>
        <v>1</v>
      </c>
      <c r="AV767" s="387" t="str">
        <f>IF(AT767=0,"",IF(AND(AT767=3,M767="F",SUMIF(C2:C1334,C767,AS2:AS1334)&lt;=1),SUMIF(C2:C1334,C767,AS2:AS1334),IF(AND(AT767=3,M767="F",SUMIF(C2:C1334,C767,AS2:AS1334)&gt;1),1,"")))</f>
        <v/>
      </c>
      <c r="AW767" s="387">
        <f>SUMIF(C2:C1334,C767,O2:O1334)</f>
        <v>2</v>
      </c>
      <c r="AX767" s="387">
        <f>IF(AND(M767="F",AS767&lt;&gt;0),SUMIF(C2:C1334,C767,W2:W1334),0)</f>
        <v>51563.199999999997</v>
      </c>
      <c r="AY767" s="387">
        <f t="shared" si="513"/>
        <v>51563.199999999997</v>
      </c>
      <c r="AZ767" s="387" t="str">
        <f t="shared" si="514"/>
        <v/>
      </c>
      <c r="BA767" s="387">
        <f t="shared" si="515"/>
        <v>0</v>
      </c>
      <c r="BB767" s="387">
        <f t="shared" si="484"/>
        <v>11650</v>
      </c>
      <c r="BC767" s="387">
        <f t="shared" si="485"/>
        <v>0</v>
      </c>
      <c r="BD767" s="387">
        <f t="shared" si="486"/>
        <v>3196.9184</v>
      </c>
      <c r="BE767" s="387">
        <f t="shared" si="487"/>
        <v>747.66639999999995</v>
      </c>
      <c r="BF767" s="387">
        <f t="shared" si="488"/>
        <v>6156.6460799999995</v>
      </c>
      <c r="BG767" s="387">
        <f t="shared" si="489"/>
        <v>371.77067199999999</v>
      </c>
      <c r="BH767" s="387">
        <f t="shared" si="490"/>
        <v>252.65967999999998</v>
      </c>
      <c r="BI767" s="387">
        <f t="shared" si="491"/>
        <v>285.40231199999999</v>
      </c>
      <c r="BJ767" s="387">
        <f t="shared" si="492"/>
        <v>139.22064</v>
      </c>
      <c r="BK767" s="387">
        <f t="shared" si="493"/>
        <v>0</v>
      </c>
      <c r="BL767" s="387">
        <f t="shared" si="516"/>
        <v>11150.284184</v>
      </c>
      <c r="BM767" s="387">
        <f t="shared" si="517"/>
        <v>0</v>
      </c>
      <c r="BN767" s="387">
        <f t="shared" si="494"/>
        <v>11650</v>
      </c>
      <c r="BO767" s="387">
        <f t="shared" si="495"/>
        <v>0</v>
      </c>
      <c r="BP767" s="387">
        <f t="shared" si="496"/>
        <v>3196.9184</v>
      </c>
      <c r="BQ767" s="387">
        <f t="shared" si="497"/>
        <v>747.66639999999995</v>
      </c>
      <c r="BR767" s="387">
        <f t="shared" si="498"/>
        <v>6156.6460799999995</v>
      </c>
      <c r="BS767" s="387">
        <f t="shared" si="499"/>
        <v>371.77067199999999</v>
      </c>
      <c r="BT767" s="387">
        <f t="shared" si="500"/>
        <v>0</v>
      </c>
      <c r="BU767" s="387">
        <f t="shared" si="501"/>
        <v>285.40231199999999</v>
      </c>
      <c r="BV767" s="387">
        <f t="shared" si="502"/>
        <v>175.31487999999999</v>
      </c>
      <c r="BW767" s="387">
        <f t="shared" si="503"/>
        <v>0</v>
      </c>
      <c r="BX767" s="387">
        <f t="shared" si="518"/>
        <v>10933.718744</v>
      </c>
      <c r="BY767" s="387">
        <f t="shared" si="519"/>
        <v>0</v>
      </c>
      <c r="BZ767" s="387">
        <f t="shared" si="520"/>
        <v>0</v>
      </c>
      <c r="CA767" s="387">
        <f t="shared" si="521"/>
        <v>0</v>
      </c>
      <c r="CB767" s="387">
        <f t="shared" si="522"/>
        <v>0</v>
      </c>
      <c r="CC767" s="387">
        <f t="shared" si="504"/>
        <v>0</v>
      </c>
      <c r="CD767" s="387">
        <f t="shared" si="505"/>
        <v>0</v>
      </c>
      <c r="CE767" s="387">
        <f t="shared" si="506"/>
        <v>0</v>
      </c>
      <c r="CF767" s="387">
        <f t="shared" si="507"/>
        <v>-252.65967999999998</v>
      </c>
      <c r="CG767" s="387">
        <f t="shared" si="508"/>
        <v>0</v>
      </c>
      <c r="CH767" s="387">
        <f t="shared" si="509"/>
        <v>36.094239999999978</v>
      </c>
      <c r="CI767" s="387">
        <f t="shared" si="510"/>
        <v>0</v>
      </c>
      <c r="CJ767" s="387">
        <f t="shared" si="523"/>
        <v>-216.56544</v>
      </c>
      <c r="CK767" s="387" t="str">
        <f t="shared" si="524"/>
        <v/>
      </c>
      <c r="CL767" s="387" t="str">
        <f t="shared" si="525"/>
        <v/>
      </c>
      <c r="CM767" s="387" t="str">
        <f t="shared" si="526"/>
        <v/>
      </c>
      <c r="CN767" s="387" t="str">
        <f t="shared" si="527"/>
        <v>0001-00</v>
      </c>
    </row>
    <row r="768" spans="1:92" ht="15.75" thickBot="1" x14ac:dyDescent="0.3">
      <c r="A768" s="376" t="s">
        <v>161</v>
      </c>
      <c r="B768" s="376" t="s">
        <v>162</v>
      </c>
      <c r="C768" s="376" t="s">
        <v>691</v>
      </c>
      <c r="D768" s="376" t="s">
        <v>681</v>
      </c>
      <c r="E768" s="376" t="s">
        <v>674</v>
      </c>
      <c r="F768" s="377" t="s">
        <v>166</v>
      </c>
      <c r="G768" s="376" t="s">
        <v>1945</v>
      </c>
      <c r="H768" s="378"/>
      <c r="I768" s="378"/>
      <c r="J768" s="376" t="s">
        <v>215</v>
      </c>
      <c r="K768" s="376" t="s">
        <v>682</v>
      </c>
      <c r="L768" s="376" t="s">
        <v>296</v>
      </c>
      <c r="M768" s="376" t="s">
        <v>171</v>
      </c>
      <c r="N768" s="376" t="s">
        <v>172</v>
      </c>
      <c r="O768" s="379">
        <v>1</v>
      </c>
      <c r="P768" s="385">
        <v>1</v>
      </c>
      <c r="Q768" s="385">
        <v>1</v>
      </c>
      <c r="R768" s="380">
        <v>80</v>
      </c>
      <c r="S768" s="385">
        <v>1</v>
      </c>
      <c r="T768" s="380">
        <v>0</v>
      </c>
      <c r="U768" s="380">
        <v>0</v>
      </c>
      <c r="V768" s="380">
        <v>0</v>
      </c>
      <c r="W768" s="380">
        <v>39104</v>
      </c>
      <c r="X768" s="380">
        <v>20106.189999999999</v>
      </c>
      <c r="Y768" s="380">
        <v>39104</v>
      </c>
      <c r="Z768" s="380">
        <v>19941.96</v>
      </c>
      <c r="AA768" s="376" t="s">
        <v>692</v>
      </c>
      <c r="AB768" s="376" t="s">
        <v>693</v>
      </c>
      <c r="AC768" s="376" t="s">
        <v>694</v>
      </c>
      <c r="AD768" s="376" t="s">
        <v>268</v>
      </c>
      <c r="AE768" s="376" t="s">
        <v>695</v>
      </c>
      <c r="AF768" s="376" t="s">
        <v>221</v>
      </c>
      <c r="AG768" s="376" t="s">
        <v>178</v>
      </c>
      <c r="AH768" s="381">
        <v>18.8</v>
      </c>
      <c r="AI768" s="381">
        <v>24281.200000000001</v>
      </c>
      <c r="AJ768" s="376" t="s">
        <v>179</v>
      </c>
      <c r="AK768" s="376" t="s">
        <v>180</v>
      </c>
      <c r="AL768" s="376" t="s">
        <v>181</v>
      </c>
      <c r="AM768" s="376" t="s">
        <v>182</v>
      </c>
      <c r="AN768" s="376" t="s">
        <v>68</v>
      </c>
      <c r="AO768" s="379">
        <v>80</v>
      </c>
      <c r="AP768" s="385">
        <v>1</v>
      </c>
      <c r="AQ768" s="385">
        <v>1</v>
      </c>
      <c r="AR768" s="383">
        <v>3</v>
      </c>
      <c r="AS768" s="387">
        <f t="shared" si="511"/>
        <v>1</v>
      </c>
      <c r="AT768">
        <f t="shared" si="512"/>
        <v>1</v>
      </c>
      <c r="AU768" s="387">
        <f>IF(AT768=0,"",IF(AND(AT768=1,M768="F",SUMIF(C2:C1334,C768,AS2:AS1334)&lt;=1),SUMIF(C2:C1334,C768,AS2:AS1334),IF(AND(AT768=1,M768="F",SUMIF(C2:C1334,C768,AS2:AS1334)&gt;1),1,"")))</f>
        <v>1</v>
      </c>
      <c r="AV768" s="387" t="str">
        <f>IF(AT768=0,"",IF(AND(AT768=3,M768="F",SUMIF(C2:C1334,C768,AS2:AS1334)&lt;=1),SUMIF(C2:C1334,C768,AS2:AS1334),IF(AND(AT768=3,M768="F",SUMIF(C2:C1334,C768,AS2:AS1334)&gt;1),1,"")))</f>
        <v/>
      </c>
      <c r="AW768" s="387">
        <f>SUMIF(C2:C1334,C768,O2:O1334)</f>
        <v>2</v>
      </c>
      <c r="AX768" s="387">
        <f>IF(AND(M768="F",AS768&lt;&gt;0),SUMIF(C2:C1334,C768,W2:W1334),0)</f>
        <v>39104</v>
      </c>
      <c r="AY768" s="387">
        <f t="shared" si="513"/>
        <v>39104</v>
      </c>
      <c r="AZ768" s="387" t="str">
        <f t="shared" si="514"/>
        <v/>
      </c>
      <c r="BA768" s="387">
        <f t="shared" si="515"/>
        <v>0</v>
      </c>
      <c r="BB768" s="387">
        <f t="shared" si="484"/>
        <v>11650</v>
      </c>
      <c r="BC768" s="387">
        <f t="shared" si="485"/>
        <v>0</v>
      </c>
      <c r="BD768" s="387">
        <f t="shared" si="486"/>
        <v>2424.4479999999999</v>
      </c>
      <c r="BE768" s="387">
        <f t="shared" si="487"/>
        <v>567.00800000000004</v>
      </c>
      <c r="BF768" s="387">
        <f t="shared" si="488"/>
        <v>4669.0176000000001</v>
      </c>
      <c r="BG768" s="387">
        <f t="shared" si="489"/>
        <v>281.93984</v>
      </c>
      <c r="BH768" s="387">
        <f t="shared" si="490"/>
        <v>191.6096</v>
      </c>
      <c r="BI768" s="387">
        <f t="shared" si="491"/>
        <v>216.44064</v>
      </c>
      <c r="BJ768" s="387">
        <f t="shared" si="492"/>
        <v>105.58080000000001</v>
      </c>
      <c r="BK768" s="387">
        <f t="shared" si="493"/>
        <v>0</v>
      </c>
      <c r="BL768" s="387">
        <f t="shared" si="516"/>
        <v>8456.0444800000005</v>
      </c>
      <c r="BM768" s="387">
        <f t="shared" si="517"/>
        <v>0</v>
      </c>
      <c r="BN768" s="387">
        <f t="shared" si="494"/>
        <v>11650</v>
      </c>
      <c r="BO768" s="387">
        <f t="shared" si="495"/>
        <v>0</v>
      </c>
      <c r="BP768" s="387">
        <f t="shared" si="496"/>
        <v>2424.4479999999999</v>
      </c>
      <c r="BQ768" s="387">
        <f t="shared" si="497"/>
        <v>567.00800000000004</v>
      </c>
      <c r="BR768" s="387">
        <f t="shared" si="498"/>
        <v>4669.0176000000001</v>
      </c>
      <c r="BS768" s="387">
        <f t="shared" si="499"/>
        <v>281.93984</v>
      </c>
      <c r="BT768" s="387">
        <f t="shared" si="500"/>
        <v>0</v>
      </c>
      <c r="BU768" s="387">
        <f t="shared" si="501"/>
        <v>216.44064</v>
      </c>
      <c r="BV768" s="387">
        <f t="shared" si="502"/>
        <v>132.95359999999999</v>
      </c>
      <c r="BW768" s="387">
        <f t="shared" si="503"/>
        <v>0</v>
      </c>
      <c r="BX768" s="387">
        <f t="shared" si="518"/>
        <v>8291.8076799999999</v>
      </c>
      <c r="BY768" s="387">
        <f t="shared" si="519"/>
        <v>0</v>
      </c>
      <c r="BZ768" s="387">
        <f t="shared" si="520"/>
        <v>0</v>
      </c>
      <c r="CA768" s="387">
        <f t="shared" si="521"/>
        <v>0</v>
      </c>
      <c r="CB768" s="387">
        <f t="shared" si="522"/>
        <v>0</v>
      </c>
      <c r="CC768" s="387">
        <f t="shared" si="504"/>
        <v>0</v>
      </c>
      <c r="CD768" s="387">
        <f t="shared" si="505"/>
        <v>0</v>
      </c>
      <c r="CE768" s="387">
        <f t="shared" si="506"/>
        <v>0</v>
      </c>
      <c r="CF768" s="387">
        <f t="shared" si="507"/>
        <v>-191.6096</v>
      </c>
      <c r="CG768" s="387">
        <f t="shared" si="508"/>
        <v>0</v>
      </c>
      <c r="CH768" s="387">
        <f t="shared" si="509"/>
        <v>27.372799999999987</v>
      </c>
      <c r="CI768" s="387">
        <f t="shared" si="510"/>
        <v>0</v>
      </c>
      <c r="CJ768" s="387">
        <f t="shared" si="523"/>
        <v>-164.23680000000002</v>
      </c>
      <c r="CK768" s="387" t="str">
        <f t="shared" si="524"/>
        <v/>
      </c>
      <c r="CL768" s="387" t="str">
        <f t="shared" si="525"/>
        <v/>
      </c>
      <c r="CM768" s="387" t="str">
        <f t="shared" si="526"/>
        <v/>
      </c>
      <c r="CN768" s="387" t="str">
        <f t="shared" si="527"/>
        <v>0001-00</v>
      </c>
    </row>
    <row r="769" spans="1:92" ht="15.75" thickBot="1" x14ac:dyDescent="0.3">
      <c r="A769" s="376" t="s">
        <v>161</v>
      </c>
      <c r="B769" s="376" t="s">
        <v>162</v>
      </c>
      <c r="C769" s="376" t="s">
        <v>696</v>
      </c>
      <c r="D769" s="376" t="s">
        <v>681</v>
      </c>
      <c r="E769" s="376" t="s">
        <v>674</v>
      </c>
      <c r="F769" s="377" t="s">
        <v>166</v>
      </c>
      <c r="G769" s="376" t="s">
        <v>1945</v>
      </c>
      <c r="H769" s="378"/>
      <c r="I769" s="378"/>
      <c r="J769" s="376" t="s">
        <v>239</v>
      </c>
      <c r="K769" s="376" t="s">
        <v>682</v>
      </c>
      <c r="L769" s="376" t="s">
        <v>296</v>
      </c>
      <c r="M769" s="376" t="s">
        <v>171</v>
      </c>
      <c r="N769" s="376" t="s">
        <v>172</v>
      </c>
      <c r="O769" s="379">
        <v>1</v>
      </c>
      <c r="P769" s="385">
        <v>0.9</v>
      </c>
      <c r="Q769" s="385">
        <v>0.9</v>
      </c>
      <c r="R769" s="380">
        <v>80</v>
      </c>
      <c r="S769" s="385">
        <v>0.9</v>
      </c>
      <c r="T769" s="380">
        <v>0</v>
      </c>
      <c r="U769" s="380">
        <v>0</v>
      </c>
      <c r="V769" s="380">
        <v>0</v>
      </c>
      <c r="W769" s="380">
        <v>40322.879999999997</v>
      </c>
      <c r="X769" s="380">
        <v>19204.78</v>
      </c>
      <c r="Y769" s="380">
        <v>40322.879999999997</v>
      </c>
      <c r="Z769" s="380">
        <v>19035.439999999999</v>
      </c>
      <c r="AA769" s="376" t="s">
        <v>697</v>
      </c>
      <c r="AB769" s="376" t="s">
        <v>698</v>
      </c>
      <c r="AC769" s="376" t="s">
        <v>542</v>
      </c>
      <c r="AD769" s="376" t="s">
        <v>180</v>
      </c>
      <c r="AE769" s="376" t="s">
        <v>682</v>
      </c>
      <c r="AF769" s="376" t="s">
        <v>301</v>
      </c>
      <c r="AG769" s="376" t="s">
        <v>178</v>
      </c>
      <c r="AH769" s="381">
        <v>21.54</v>
      </c>
      <c r="AI769" s="381">
        <v>43319.3</v>
      </c>
      <c r="AJ769" s="376" t="s">
        <v>179</v>
      </c>
      <c r="AK769" s="376" t="s">
        <v>180</v>
      </c>
      <c r="AL769" s="376" t="s">
        <v>181</v>
      </c>
      <c r="AM769" s="376" t="s">
        <v>182</v>
      </c>
      <c r="AN769" s="376" t="s">
        <v>68</v>
      </c>
      <c r="AO769" s="379">
        <v>80</v>
      </c>
      <c r="AP769" s="385">
        <v>1</v>
      </c>
      <c r="AQ769" s="385">
        <v>0.9</v>
      </c>
      <c r="AR769" s="383" t="s">
        <v>183</v>
      </c>
      <c r="AS769" s="387">
        <f t="shared" si="511"/>
        <v>0.9</v>
      </c>
      <c r="AT769">
        <f t="shared" si="512"/>
        <v>1</v>
      </c>
      <c r="AU769" s="387">
        <f>IF(AT769=0,"",IF(AND(AT769=1,M769="F",SUMIF(C2:C1334,C769,AS2:AS1334)&lt;=1),SUMIF(C2:C1334,C769,AS2:AS1334),IF(AND(AT769=1,M769="F",SUMIF(C2:C1334,C769,AS2:AS1334)&gt;1),1,"")))</f>
        <v>1</v>
      </c>
      <c r="AV769" s="387" t="str">
        <f>IF(AT769=0,"",IF(AND(AT769=3,M769="F",SUMIF(C2:C1334,C769,AS2:AS1334)&lt;=1),SUMIF(C2:C1334,C769,AS2:AS1334),IF(AND(AT769=3,M769="F",SUMIF(C2:C1334,C769,AS2:AS1334)&gt;1),1,"")))</f>
        <v/>
      </c>
      <c r="AW769" s="387">
        <f>SUMIF(C2:C1334,C769,O2:O1334)</f>
        <v>3</v>
      </c>
      <c r="AX769" s="387">
        <f>IF(AND(M769="F",AS769&lt;&gt;0),SUMIF(C2:C1334,C769,W2:W1334),0)</f>
        <v>44803.199999999997</v>
      </c>
      <c r="AY769" s="387">
        <f t="shared" si="513"/>
        <v>40322.879999999997</v>
      </c>
      <c r="AZ769" s="387" t="str">
        <f t="shared" si="514"/>
        <v/>
      </c>
      <c r="BA769" s="387">
        <f t="shared" si="515"/>
        <v>0</v>
      </c>
      <c r="BB769" s="387">
        <f t="shared" si="484"/>
        <v>10485</v>
      </c>
      <c r="BC769" s="387">
        <f t="shared" si="485"/>
        <v>0</v>
      </c>
      <c r="BD769" s="387">
        <f t="shared" si="486"/>
        <v>2500.01856</v>
      </c>
      <c r="BE769" s="387">
        <f t="shared" si="487"/>
        <v>584.68175999999994</v>
      </c>
      <c r="BF769" s="387">
        <f t="shared" si="488"/>
        <v>4814.551872</v>
      </c>
      <c r="BG769" s="387">
        <f t="shared" si="489"/>
        <v>290.7279648</v>
      </c>
      <c r="BH769" s="387">
        <f t="shared" si="490"/>
        <v>197.58211199999997</v>
      </c>
      <c r="BI769" s="387">
        <f t="shared" si="491"/>
        <v>223.18714079999998</v>
      </c>
      <c r="BJ769" s="387">
        <f t="shared" si="492"/>
        <v>108.871776</v>
      </c>
      <c r="BK769" s="387">
        <f t="shared" si="493"/>
        <v>0</v>
      </c>
      <c r="BL769" s="387">
        <f t="shared" si="516"/>
        <v>8719.6211856000009</v>
      </c>
      <c r="BM769" s="387">
        <f t="shared" si="517"/>
        <v>0</v>
      </c>
      <c r="BN769" s="387">
        <f t="shared" si="494"/>
        <v>10485</v>
      </c>
      <c r="BO769" s="387">
        <f t="shared" si="495"/>
        <v>0</v>
      </c>
      <c r="BP769" s="387">
        <f t="shared" si="496"/>
        <v>2500.01856</v>
      </c>
      <c r="BQ769" s="387">
        <f t="shared" si="497"/>
        <v>584.68175999999994</v>
      </c>
      <c r="BR769" s="387">
        <f t="shared" si="498"/>
        <v>4814.551872</v>
      </c>
      <c r="BS769" s="387">
        <f t="shared" si="499"/>
        <v>290.7279648</v>
      </c>
      <c r="BT769" s="387">
        <f t="shared" si="500"/>
        <v>0</v>
      </c>
      <c r="BU769" s="387">
        <f t="shared" si="501"/>
        <v>223.18714079999998</v>
      </c>
      <c r="BV769" s="387">
        <f t="shared" si="502"/>
        <v>137.09779199999997</v>
      </c>
      <c r="BW769" s="387">
        <f t="shared" si="503"/>
        <v>0</v>
      </c>
      <c r="BX769" s="387">
        <f t="shared" si="518"/>
        <v>8550.2650896000014</v>
      </c>
      <c r="BY769" s="387">
        <f t="shared" si="519"/>
        <v>0</v>
      </c>
      <c r="BZ769" s="387">
        <f t="shared" si="520"/>
        <v>0</v>
      </c>
      <c r="CA769" s="387">
        <f t="shared" si="521"/>
        <v>0</v>
      </c>
      <c r="CB769" s="387">
        <f t="shared" si="522"/>
        <v>0</v>
      </c>
      <c r="CC769" s="387">
        <f t="shared" si="504"/>
        <v>0</v>
      </c>
      <c r="CD769" s="387">
        <f t="shared" si="505"/>
        <v>0</v>
      </c>
      <c r="CE769" s="387">
        <f t="shared" si="506"/>
        <v>0</v>
      </c>
      <c r="CF769" s="387">
        <f t="shared" si="507"/>
        <v>-197.58211199999997</v>
      </c>
      <c r="CG769" s="387">
        <f t="shared" si="508"/>
        <v>0</v>
      </c>
      <c r="CH769" s="387">
        <f t="shared" si="509"/>
        <v>28.226015999999984</v>
      </c>
      <c r="CI769" s="387">
        <f t="shared" si="510"/>
        <v>0</v>
      </c>
      <c r="CJ769" s="387">
        <f t="shared" si="523"/>
        <v>-169.35609599999998</v>
      </c>
      <c r="CK769" s="387" t="str">
        <f t="shared" si="524"/>
        <v/>
      </c>
      <c r="CL769" s="387" t="str">
        <f t="shared" si="525"/>
        <v/>
      </c>
      <c r="CM769" s="387" t="str">
        <f t="shared" si="526"/>
        <v/>
      </c>
      <c r="CN769" s="387" t="str">
        <f t="shared" si="527"/>
        <v>0001-00</v>
      </c>
    </row>
    <row r="770" spans="1:92" ht="15.75" thickBot="1" x14ac:dyDescent="0.3">
      <c r="A770" s="376" t="s">
        <v>161</v>
      </c>
      <c r="B770" s="376" t="s">
        <v>162</v>
      </c>
      <c r="C770" s="376" t="s">
        <v>705</v>
      </c>
      <c r="D770" s="376" t="s">
        <v>706</v>
      </c>
      <c r="E770" s="376" t="s">
        <v>674</v>
      </c>
      <c r="F770" s="377" t="s">
        <v>166</v>
      </c>
      <c r="G770" s="376" t="s">
        <v>1945</v>
      </c>
      <c r="H770" s="378"/>
      <c r="I770" s="378"/>
      <c r="J770" s="376" t="s">
        <v>215</v>
      </c>
      <c r="K770" s="376" t="s">
        <v>707</v>
      </c>
      <c r="L770" s="376" t="s">
        <v>210</v>
      </c>
      <c r="M770" s="376" t="s">
        <v>171</v>
      </c>
      <c r="N770" s="376" t="s">
        <v>172</v>
      </c>
      <c r="O770" s="379">
        <v>1</v>
      </c>
      <c r="P770" s="385">
        <v>1</v>
      </c>
      <c r="Q770" s="385">
        <v>1</v>
      </c>
      <c r="R770" s="380">
        <v>80</v>
      </c>
      <c r="S770" s="385">
        <v>1</v>
      </c>
      <c r="T770" s="380">
        <v>0</v>
      </c>
      <c r="U770" s="380">
        <v>0</v>
      </c>
      <c r="V770" s="380">
        <v>0</v>
      </c>
      <c r="W770" s="380">
        <v>72529.600000000006</v>
      </c>
      <c r="X770" s="380">
        <v>27334.48</v>
      </c>
      <c r="Y770" s="380">
        <v>72529.600000000006</v>
      </c>
      <c r="Z770" s="380">
        <v>27029.87</v>
      </c>
      <c r="AA770" s="376" t="s">
        <v>708</v>
      </c>
      <c r="AB770" s="376" t="s">
        <v>709</v>
      </c>
      <c r="AC770" s="376" t="s">
        <v>710</v>
      </c>
      <c r="AD770" s="376" t="s">
        <v>170</v>
      </c>
      <c r="AE770" s="376" t="s">
        <v>707</v>
      </c>
      <c r="AF770" s="376" t="s">
        <v>245</v>
      </c>
      <c r="AG770" s="376" t="s">
        <v>178</v>
      </c>
      <c r="AH770" s="381">
        <v>34.869999999999997</v>
      </c>
      <c r="AI770" s="381">
        <v>47786.3</v>
      </c>
      <c r="AJ770" s="376" t="s">
        <v>179</v>
      </c>
      <c r="AK770" s="376" t="s">
        <v>180</v>
      </c>
      <c r="AL770" s="376" t="s">
        <v>181</v>
      </c>
      <c r="AM770" s="376" t="s">
        <v>182</v>
      </c>
      <c r="AN770" s="376" t="s">
        <v>68</v>
      </c>
      <c r="AO770" s="379">
        <v>80</v>
      </c>
      <c r="AP770" s="385">
        <v>1</v>
      </c>
      <c r="AQ770" s="385">
        <v>1</v>
      </c>
      <c r="AR770" s="383" t="s">
        <v>183</v>
      </c>
      <c r="AS770" s="387">
        <f t="shared" si="511"/>
        <v>1</v>
      </c>
      <c r="AT770">
        <f t="shared" si="512"/>
        <v>1</v>
      </c>
      <c r="AU770" s="387">
        <f>IF(AT770=0,"",IF(AND(AT770=1,M770="F",SUMIF(C2:C1334,C770,AS2:AS1334)&lt;=1),SUMIF(C2:C1334,C770,AS2:AS1334),IF(AND(AT770=1,M770="F",SUMIF(C2:C1334,C770,AS2:AS1334)&gt;1),1,"")))</f>
        <v>1</v>
      </c>
      <c r="AV770" s="387" t="str">
        <f>IF(AT770=0,"",IF(AND(AT770=3,M770="F",SUMIF(C2:C1334,C770,AS2:AS1334)&lt;=1),SUMIF(C2:C1334,C770,AS2:AS1334),IF(AND(AT770=3,M770="F",SUMIF(C2:C1334,C770,AS2:AS1334)&gt;1),1,"")))</f>
        <v/>
      </c>
      <c r="AW770" s="387">
        <f>SUMIF(C2:C1334,C770,O2:O1334)</f>
        <v>4</v>
      </c>
      <c r="AX770" s="387">
        <f>IF(AND(M770="F",AS770&lt;&gt;0),SUMIF(C2:C1334,C770,W2:W1334),0)</f>
        <v>72529.600000000006</v>
      </c>
      <c r="AY770" s="387">
        <f t="shared" si="513"/>
        <v>72529.600000000006</v>
      </c>
      <c r="AZ770" s="387" t="str">
        <f t="shared" si="514"/>
        <v/>
      </c>
      <c r="BA770" s="387">
        <f t="shared" si="515"/>
        <v>0</v>
      </c>
      <c r="BB770" s="387">
        <f t="shared" ref="BB770:BB833" si="528">IF(AND(AT770=1,AK770="E",AU770&gt;=0.75,AW770=1),Health,IF(AND(AT770=1,AK770="E",AU770&gt;=0.75),Health*P770,IF(AND(AT770=1,AK770="E",AU770&gt;=0.5,AW770=1),PTHealth,IF(AND(AT770=1,AK770="E",AU770&gt;=0.5),PTHealth*P770,0))))</f>
        <v>11650</v>
      </c>
      <c r="BC770" s="387">
        <f t="shared" ref="BC770:BC833" si="529">IF(AND(AT770=3,AK770="E",AV770&gt;=0.75,AW770=1),Health,IF(AND(AT770=3,AK770="E",AV770&gt;=0.75),Health*P770,IF(AND(AT770=3,AK770="E",AV770&gt;=0.5,AW770=1),PTHealth,IF(AND(AT770=3,AK770="E",AV770&gt;=0.5),PTHealth*P770,0))))</f>
        <v>0</v>
      </c>
      <c r="BD770" s="387">
        <f t="shared" ref="BD770:BD833" si="530">IF(AND(AT770&lt;&gt;0,AX770&gt;=MAXSSDI),SSDI*MAXSSDI*P770,IF(AT770&lt;&gt;0,SSDI*W770,0))</f>
        <v>4496.8352000000004</v>
      </c>
      <c r="BE770" s="387">
        <f t="shared" ref="BE770:BE833" si="531">IF(AT770&lt;&gt;0,SSHI*W770,0)</f>
        <v>1051.6792</v>
      </c>
      <c r="BF770" s="387">
        <f t="shared" ref="BF770:BF833" si="532">IF(AND(AT770&lt;&gt;0,AN770&lt;&gt;"NE"),VLOOKUP(AN770,Retirement_Rates,3,FALSE)*W770,0)</f>
        <v>8660.0342400000009</v>
      </c>
      <c r="BG770" s="387">
        <f t="shared" ref="BG770:BG833" si="533">IF(AND(AT770&lt;&gt;0,AJ770&lt;&gt;"PF"),Life*W770,0)</f>
        <v>522.93841600000007</v>
      </c>
      <c r="BH770" s="387">
        <f t="shared" ref="BH770:BH833" si="534">IF(AND(AT770&lt;&gt;0,AM770="Y"),UI*W770,0)</f>
        <v>355.39503999999999</v>
      </c>
      <c r="BI770" s="387">
        <f t="shared" ref="BI770:BI833" si="535">IF(AND(AT770&lt;&gt;0,N770&lt;&gt;"NR"),DHR*W770,0)</f>
        <v>401.45133600000003</v>
      </c>
      <c r="BJ770" s="387">
        <f t="shared" ref="BJ770:BJ833" si="536">IF(AT770&lt;&gt;0,WC*W770,0)</f>
        <v>195.82992000000002</v>
      </c>
      <c r="BK770" s="387">
        <f t="shared" ref="BK770:BK833" si="537">IF(OR(AND(AT770&lt;&gt;0,AJ770&lt;&gt;"PF",AN770&lt;&gt;"NE",AG770&lt;&gt;"A"),AND(AL770="E",OR(AT770=1,AT770=3))),Sick*W770,0)</f>
        <v>0</v>
      </c>
      <c r="BL770" s="387">
        <f t="shared" si="516"/>
        <v>15684.163352000001</v>
      </c>
      <c r="BM770" s="387">
        <f t="shared" si="517"/>
        <v>0</v>
      </c>
      <c r="BN770" s="387">
        <f t="shared" ref="BN770:BN833" si="538">IF(AND(AT770=1,AK770="E",AU770&gt;=0.75,AW770=1),HealthBY,IF(AND(AT770=1,AK770="E",AU770&gt;=0.75),HealthBY*P770,IF(AND(AT770=1,AK770="E",AU770&gt;=0.5,AW770=1),PTHealthBY,IF(AND(AT770=1,AK770="E",AU770&gt;=0.5),PTHealthBY*P770,0))))</f>
        <v>11650</v>
      </c>
      <c r="BO770" s="387">
        <f t="shared" ref="BO770:BO833" si="539">IF(AND(AT770=3,AK770="E",AV770&gt;=0.75,AW770=1),HealthBY,IF(AND(AT770=3,AK770="E",AV770&gt;=0.75),HealthBY*P770,IF(AND(AT770=3,AK770="E",AV770&gt;=0.5,AW770=1),PTHealthBY,IF(AND(AT770=3,AK770="E",AV770&gt;=0.5),PTHealthBY*P770,0))))</f>
        <v>0</v>
      </c>
      <c r="BP770" s="387">
        <f t="shared" ref="BP770:BP833" si="540">IF(AND(AT770&lt;&gt;0,(AX770+BA770)&gt;=MAXSSDIBY),SSDIBY*MAXSSDIBY*P770,IF(AT770&lt;&gt;0,SSDIBY*W770,0))</f>
        <v>4496.8352000000004</v>
      </c>
      <c r="BQ770" s="387">
        <f t="shared" ref="BQ770:BQ833" si="541">IF(AT770&lt;&gt;0,SSHIBY*W770,0)</f>
        <v>1051.6792</v>
      </c>
      <c r="BR770" s="387">
        <f t="shared" ref="BR770:BR833" si="542">IF(AND(AT770&lt;&gt;0,AN770&lt;&gt;"NE"),VLOOKUP(AN770,Retirement_Rates,4,FALSE)*W770,0)</f>
        <v>8660.0342400000009</v>
      </c>
      <c r="BS770" s="387">
        <f t="shared" ref="BS770:BS833" si="543">IF(AND(AT770&lt;&gt;0,AJ770&lt;&gt;"PF"),LifeBY*W770,0)</f>
        <v>522.93841600000007</v>
      </c>
      <c r="BT770" s="387">
        <f t="shared" ref="BT770:BT833" si="544">IF(AND(AT770&lt;&gt;0,AM770="Y"),UIBY*W770,0)</f>
        <v>0</v>
      </c>
      <c r="BU770" s="387">
        <f t="shared" ref="BU770:BU833" si="545">IF(AND(AT770&lt;&gt;0,N770&lt;&gt;"NR"),DHRBY*W770,0)</f>
        <v>401.45133600000003</v>
      </c>
      <c r="BV770" s="387">
        <f t="shared" ref="BV770:BV833" si="546">IF(AT770&lt;&gt;0,WCBY*W770,0)</f>
        <v>246.60064</v>
      </c>
      <c r="BW770" s="387">
        <f t="shared" ref="BW770:BW833" si="547">IF(OR(AND(AT770&lt;&gt;0,AJ770&lt;&gt;"PF",AN770&lt;&gt;"NE",AG770&lt;&gt;"A"),AND(AL770="E",OR(AT770=1,AT770=3))),SickBY*W770,0)</f>
        <v>0</v>
      </c>
      <c r="BX770" s="387">
        <f t="shared" si="518"/>
        <v>15379.539032000002</v>
      </c>
      <c r="BY770" s="387">
        <f t="shared" si="519"/>
        <v>0</v>
      </c>
      <c r="BZ770" s="387">
        <f t="shared" si="520"/>
        <v>0</v>
      </c>
      <c r="CA770" s="387">
        <f t="shared" si="521"/>
        <v>0</v>
      </c>
      <c r="CB770" s="387">
        <f t="shared" si="522"/>
        <v>0</v>
      </c>
      <c r="CC770" s="387">
        <f t="shared" ref="CC770:CC833" si="548">IF(AT770&lt;&gt;0,SSHICHG*Y770,0)</f>
        <v>0</v>
      </c>
      <c r="CD770" s="387">
        <f t="shared" ref="CD770:CD833" si="549">IF(AND(AT770&lt;&gt;0,AN770&lt;&gt;"NE"),VLOOKUP(AN770,Retirement_Rates,5,FALSE)*Y770,0)</f>
        <v>0</v>
      </c>
      <c r="CE770" s="387">
        <f t="shared" ref="CE770:CE833" si="550">IF(AND(AT770&lt;&gt;0,AJ770&lt;&gt;"PF"),LifeCHG*Y770,0)</f>
        <v>0</v>
      </c>
      <c r="CF770" s="387">
        <f t="shared" ref="CF770:CF833" si="551">IF(AND(AT770&lt;&gt;0,AM770="Y"),UICHG*Y770,0)</f>
        <v>-355.39503999999999</v>
      </c>
      <c r="CG770" s="387">
        <f t="shared" ref="CG770:CG833" si="552">IF(AND(AT770&lt;&gt;0,N770&lt;&gt;"NR"),DHRCHG*Y770,0)</f>
        <v>0</v>
      </c>
      <c r="CH770" s="387">
        <f t="shared" ref="CH770:CH833" si="553">IF(AT770&lt;&gt;0,WCCHG*Y770,0)</f>
        <v>50.770719999999983</v>
      </c>
      <c r="CI770" s="387">
        <f t="shared" ref="CI770:CI833" si="554">IF(OR(AND(AT770&lt;&gt;0,AJ770&lt;&gt;"PF",AN770&lt;&gt;"NE",AG770&lt;&gt;"A"),AND(AL770="E",OR(AT770=1,AT770=3))),SickCHG*Y770,0)</f>
        <v>0</v>
      </c>
      <c r="CJ770" s="387">
        <f t="shared" si="523"/>
        <v>-304.62432000000001</v>
      </c>
      <c r="CK770" s="387" t="str">
        <f t="shared" si="524"/>
        <v/>
      </c>
      <c r="CL770" s="387" t="str">
        <f t="shared" si="525"/>
        <v/>
      </c>
      <c r="CM770" s="387" t="str">
        <f t="shared" si="526"/>
        <v/>
      </c>
      <c r="CN770" s="387" t="str">
        <f t="shared" si="527"/>
        <v>0001-00</v>
      </c>
    </row>
    <row r="771" spans="1:92" ht="15.75" thickBot="1" x14ac:dyDescent="0.3">
      <c r="A771" s="376" t="s">
        <v>161</v>
      </c>
      <c r="B771" s="376" t="s">
        <v>162</v>
      </c>
      <c r="C771" s="376" t="s">
        <v>1556</v>
      </c>
      <c r="D771" s="376" t="s">
        <v>238</v>
      </c>
      <c r="E771" s="376" t="s">
        <v>165</v>
      </c>
      <c r="F771" s="377" t="s">
        <v>166</v>
      </c>
      <c r="G771" s="376" t="s">
        <v>1945</v>
      </c>
      <c r="H771" s="378"/>
      <c r="I771" s="378"/>
      <c r="J771" s="376" t="s">
        <v>215</v>
      </c>
      <c r="K771" s="376" t="s">
        <v>285</v>
      </c>
      <c r="L771" s="376" t="s">
        <v>170</v>
      </c>
      <c r="M771" s="376" t="s">
        <v>171</v>
      </c>
      <c r="N771" s="376" t="s">
        <v>172</v>
      </c>
      <c r="O771" s="379">
        <v>1</v>
      </c>
      <c r="P771" s="385">
        <v>0</v>
      </c>
      <c r="Q771" s="385">
        <v>0</v>
      </c>
      <c r="R771" s="380">
        <v>80</v>
      </c>
      <c r="S771" s="385">
        <v>0</v>
      </c>
      <c r="T771" s="380">
        <v>845.22</v>
      </c>
      <c r="U771" s="380">
        <v>0</v>
      </c>
      <c r="V771" s="380">
        <v>402.7</v>
      </c>
      <c r="W771" s="380">
        <v>0</v>
      </c>
      <c r="X771" s="380">
        <v>0</v>
      </c>
      <c r="Y771" s="380">
        <v>0</v>
      </c>
      <c r="Z771" s="380">
        <v>0</v>
      </c>
      <c r="AA771" s="376" t="s">
        <v>1557</v>
      </c>
      <c r="AB771" s="376" t="s">
        <v>1558</v>
      </c>
      <c r="AC771" s="376" t="s">
        <v>1559</v>
      </c>
      <c r="AD771" s="376" t="s">
        <v>317</v>
      </c>
      <c r="AE771" s="376" t="s">
        <v>285</v>
      </c>
      <c r="AF771" s="376" t="s">
        <v>177</v>
      </c>
      <c r="AG771" s="376" t="s">
        <v>178</v>
      </c>
      <c r="AH771" s="381">
        <v>22.36</v>
      </c>
      <c r="AI771" s="381">
        <v>9555.4</v>
      </c>
      <c r="AJ771" s="376" t="s">
        <v>179</v>
      </c>
      <c r="AK771" s="376" t="s">
        <v>180</v>
      </c>
      <c r="AL771" s="376" t="s">
        <v>181</v>
      </c>
      <c r="AM771" s="376" t="s">
        <v>182</v>
      </c>
      <c r="AN771" s="376" t="s">
        <v>68</v>
      </c>
      <c r="AO771" s="379">
        <v>80</v>
      </c>
      <c r="AP771" s="385">
        <v>1</v>
      </c>
      <c r="AQ771" s="385">
        <v>0</v>
      </c>
      <c r="AR771" s="383" t="s">
        <v>183</v>
      </c>
      <c r="AS771" s="387">
        <f t="shared" ref="AS771:AS834" si="555">IF(((AO771/80)*AP771*P771)&gt;1,AQ771,((AO771/80)*AP771*P771))</f>
        <v>0</v>
      </c>
      <c r="AT771">
        <f t="shared" ref="AT771:AT834" si="556">IF(AND(M771="F",N771&lt;&gt;"NG",AS771&lt;&gt;0,AND(AR771&lt;&gt;6,AR771&lt;&gt;36,AR771&lt;&gt;56),AG771&lt;&gt;"A",OR(AG771="H",AJ771="FS")),1,IF(AND(M771="F",N771&lt;&gt;"NG",AS771&lt;&gt;0,AG771="A"),3,0))</f>
        <v>0</v>
      </c>
      <c r="AU771" s="387" t="str">
        <f>IF(AT771=0,"",IF(AND(AT771=1,M771="F",SUMIF(C2:C1334,C771,AS2:AS1334)&lt;=1),SUMIF(C2:C1334,C771,AS2:AS1334),IF(AND(AT771=1,M771="F",SUMIF(C2:C1334,C771,AS2:AS1334)&gt;1),1,"")))</f>
        <v/>
      </c>
      <c r="AV771" s="387" t="str">
        <f>IF(AT771=0,"",IF(AND(AT771=3,M771="F",SUMIF(C2:C1334,C771,AS2:AS1334)&lt;=1),SUMIF(C2:C1334,C771,AS2:AS1334),IF(AND(AT771=3,M771="F",SUMIF(C2:C1334,C771,AS2:AS1334)&gt;1),1,"")))</f>
        <v/>
      </c>
      <c r="AW771" s="387">
        <f>SUMIF(C2:C1334,C771,O2:O1334)</f>
        <v>3</v>
      </c>
      <c r="AX771" s="387">
        <f>IF(AND(M771="F",AS771&lt;&gt;0),SUMIF(C2:C1334,C771,W2:W1334),0)</f>
        <v>0</v>
      </c>
      <c r="AY771" s="387" t="str">
        <f t="shared" ref="AY771:AY834" si="557">IF(AT771=1,W771,"")</f>
        <v/>
      </c>
      <c r="AZ771" s="387" t="str">
        <f t="shared" ref="AZ771:AZ834" si="558">IF(AT771=3,W771,"")</f>
        <v/>
      </c>
      <c r="BA771" s="387">
        <f t="shared" ref="BA771:BA834" si="559">IF(AT771=1,Y771-W771,0)</f>
        <v>0</v>
      </c>
      <c r="BB771" s="387">
        <f t="shared" si="528"/>
        <v>0</v>
      </c>
      <c r="BC771" s="387">
        <f t="shared" si="529"/>
        <v>0</v>
      </c>
      <c r="BD771" s="387">
        <f t="shared" si="530"/>
        <v>0</v>
      </c>
      <c r="BE771" s="387">
        <f t="shared" si="531"/>
        <v>0</v>
      </c>
      <c r="BF771" s="387">
        <f t="shared" si="532"/>
        <v>0</v>
      </c>
      <c r="BG771" s="387">
        <f t="shared" si="533"/>
        <v>0</v>
      </c>
      <c r="BH771" s="387">
        <f t="shared" si="534"/>
        <v>0</v>
      </c>
      <c r="BI771" s="387">
        <f t="shared" si="535"/>
        <v>0</v>
      </c>
      <c r="BJ771" s="387">
        <f t="shared" si="536"/>
        <v>0</v>
      </c>
      <c r="BK771" s="387">
        <f t="shared" si="537"/>
        <v>0</v>
      </c>
      <c r="BL771" s="387">
        <f t="shared" ref="BL771:BL834" si="560">IF(AT771=1,SUM(BD771:BK771),0)</f>
        <v>0</v>
      </c>
      <c r="BM771" s="387">
        <f t="shared" ref="BM771:BM834" si="561">IF(AT771=3,SUM(BD771:BK771),0)</f>
        <v>0</v>
      </c>
      <c r="BN771" s="387">
        <f t="shared" si="538"/>
        <v>0</v>
      </c>
      <c r="BO771" s="387">
        <f t="shared" si="539"/>
        <v>0</v>
      </c>
      <c r="BP771" s="387">
        <f t="shared" si="540"/>
        <v>0</v>
      </c>
      <c r="BQ771" s="387">
        <f t="shared" si="541"/>
        <v>0</v>
      </c>
      <c r="BR771" s="387">
        <f t="shared" si="542"/>
        <v>0</v>
      </c>
      <c r="BS771" s="387">
        <f t="shared" si="543"/>
        <v>0</v>
      </c>
      <c r="BT771" s="387">
        <f t="shared" si="544"/>
        <v>0</v>
      </c>
      <c r="BU771" s="387">
        <f t="shared" si="545"/>
        <v>0</v>
      </c>
      <c r="BV771" s="387">
        <f t="shared" si="546"/>
        <v>0</v>
      </c>
      <c r="BW771" s="387">
        <f t="shared" si="547"/>
        <v>0</v>
      </c>
      <c r="BX771" s="387">
        <f t="shared" ref="BX771:BX834" si="562">IF(AT771=1,SUM(BP771:BW771),0)</f>
        <v>0</v>
      </c>
      <c r="BY771" s="387">
        <f t="shared" ref="BY771:BY834" si="563">IF(AT771=3,SUM(BP771:BW771),0)</f>
        <v>0</v>
      </c>
      <c r="BZ771" s="387">
        <f t="shared" ref="BZ771:BZ834" si="564">IF(AT771=1,BN771-BB771,0)</f>
        <v>0</v>
      </c>
      <c r="CA771" s="387">
        <f t="shared" ref="CA771:CA834" si="565">IF(AT771=3,BO771-BC771,0)</f>
        <v>0</v>
      </c>
      <c r="CB771" s="387">
        <f t="shared" ref="CB771:CB834" si="566">BP771-BD771</f>
        <v>0</v>
      </c>
      <c r="CC771" s="387">
        <f t="shared" si="548"/>
        <v>0</v>
      </c>
      <c r="CD771" s="387">
        <f t="shared" si="549"/>
        <v>0</v>
      </c>
      <c r="CE771" s="387">
        <f t="shared" si="550"/>
        <v>0</v>
      </c>
      <c r="CF771" s="387">
        <f t="shared" si="551"/>
        <v>0</v>
      </c>
      <c r="CG771" s="387">
        <f t="shared" si="552"/>
        <v>0</v>
      </c>
      <c r="CH771" s="387">
        <f t="shared" si="553"/>
        <v>0</v>
      </c>
      <c r="CI771" s="387">
        <f t="shared" si="554"/>
        <v>0</v>
      </c>
      <c r="CJ771" s="387">
        <f t="shared" ref="CJ771:CJ834" si="567">IF(AT771=1,SUM(CB771:CI771),0)</f>
        <v>0</v>
      </c>
      <c r="CK771" s="387" t="str">
        <f t="shared" ref="CK771:CK834" si="568">IF(AT771=3,SUM(CB771:CI771),"")</f>
        <v/>
      </c>
      <c r="CL771" s="387" t="str">
        <f t="shared" ref="CL771:CL834" si="569">IF(OR(N771="NG",AG771="D"),(T771+U771),"")</f>
        <v/>
      </c>
      <c r="CM771" s="387" t="str">
        <f t="shared" ref="CM771:CM834" si="570">IF(OR(N771="NG",AG771="D"),V771,"")</f>
        <v/>
      </c>
      <c r="CN771" s="387" t="str">
        <f t="shared" ref="CN771:CN834" si="571">E771 &amp; "-" &amp; F771</f>
        <v>0302-00</v>
      </c>
    </row>
    <row r="772" spans="1:92" ht="15.75" thickBot="1" x14ac:dyDescent="0.3">
      <c r="A772" s="376" t="s">
        <v>161</v>
      </c>
      <c r="B772" s="376" t="s">
        <v>162</v>
      </c>
      <c r="C772" s="376" t="s">
        <v>437</v>
      </c>
      <c r="D772" s="376" t="s">
        <v>421</v>
      </c>
      <c r="E772" s="376" t="s">
        <v>165</v>
      </c>
      <c r="F772" s="377" t="s">
        <v>166</v>
      </c>
      <c r="G772" s="376" t="s">
        <v>1945</v>
      </c>
      <c r="H772" s="378"/>
      <c r="I772" s="378"/>
      <c r="J772" s="376" t="s">
        <v>239</v>
      </c>
      <c r="K772" s="376" t="s">
        <v>422</v>
      </c>
      <c r="L772" s="376" t="s">
        <v>181</v>
      </c>
      <c r="M772" s="376" t="s">
        <v>171</v>
      </c>
      <c r="N772" s="376" t="s">
        <v>172</v>
      </c>
      <c r="O772" s="379">
        <v>1</v>
      </c>
      <c r="P772" s="385">
        <v>0</v>
      </c>
      <c r="Q772" s="385">
        <v>0</v>
      </c>
      <c r="R772" s="380">
        <v>80</v>
      </c>
      <c r="S772" s="385">
        <v>0</v>
      </c>
      <c r="T772" s="380">
        <v>636.37</v>
      </c>
      <c r="U772" s="380">
        <v>0</v>
      </c>
      <c r="V772" s="380">
        <v>221.02</v>
      </c>
      <c r="W772" s="380">
        <v>0</v>
      </c>
      <c r="X772" s="380">
        <v>0</v>
      </c>
      <c r="Y772" s="380">
        <v>0</v>
      </c>
      <c r="Z772" s="380">
        <v>0</v>
      </c>
      <c r="AA772" s="376" t="s">
        <v>438</v>
      </c>
      <c r="AB772" s="376" t="s">
        <v>439</v>
      </c>
      <c r="AC772" s="376" t="s">
        <v>440</v>
      </c>
      <c r="AD772" s="376" t="s">
        <v>441</v>
      </c>
      <c r="AE772" s="376" t="s">
        <v>422</v>
      </c>
      <c r="AF772" s="376" t="s">
        <v>211</v>
      </c>
      <c r="AG772" s="376" t="s">
        <v>178</v>
      </c>
      <c r="AH772" s="381">
        <v>45.02</v>
      </c>
      <c r="AI772" s="379">
        <v>25059</v>
      </c>
      <c r="AJ772" s="376" t="s">
        <v>179</v>
      </c>
      <c r="AK772" s="376" t="s">
        <v>180</v>
      </c>
      <c r="AL772" s="376" t="s">
        <v>181</v>
      </c>
      <c r="AM772" s="376" t="s">
        <v>182</v>
      </c>
      <c r="AN772" s="376" t="s">
        <v>68</v>
      </c>
      <c r="AO772" s="379">
        <v>80</v>
      </c>
      <c r="AP772" s="385">
        <v>1</v>
      </c>
      <c r="AQ772" s="385">
        <v>0</v>
      </c>
      <c r="AR772" s="383" t="s">
        <v>183</v>
      </c>
      <c r="AS772" s="387">
        <f t="shared" si="555"/>
        <v>0</v>
      </c>
      <c r="AT772">
        <f t="shared" si="556"/>
        <v>0</v>
      </c>
      <c r="AU772" s="387" t="str">
        <f>IF(AT772=0,"",IF(AND(AT772=1,M772="F",SUMIF(C2:C1334,C772,AS2:AS1334)&lt;=1),SUMIF(C2:C1334,C772,AS2:AS1334),IF(AND(AT772=1,M772="F",SUMIF(C2:C1334,C772,AS2:AS1334)&gt;1),1,"")))</f>
        <v/>
      </c>
      <c r="AV772" s="387" t="str">
        <f>IF(AT772=0,"",IF(AND(AT772=3,M772="F",SUMIF(C2:C1334,C772,AS2:AS1334)&lt;=1),SUMIF(C2:C1334,C772,AS2:AS1334),IF(AND(AT772=3,M772="F",SUMIF(C2:C1334,C772,AS2:AS1334)&gt;1),1,"")))</f>
        <v/>
      </c>
      <c r="AW772" s="387">
        <f>SUMIF(C2:C1334,C772,O2:O1334)</f>
        <v>4</v>
      </c>
      <c r="AX772" s="387">
        <f>IF(AND(M772="F",AS772&lt;&gt;0),SUMIF(C2:C1334,C772,W2:W1334),0)</f>
        <v>0</v>
      </c>
      <c r="AY772" s="387" t="str">
        <f t="shared" si="557"/>
        <v/>
      </c>
      <c r="AZ772" s="387" t="str">
        <f t="shared" si="558"/>
        <v/>
      </c>
      <c r="BA772" s="387">
        <f t="shared" si="559"/>
        <v>0</v>
      </c>
      <c r="BB772" s="387">
        <f t="shared" si="528"/>
        <v>0</v>
      </c>
      <c r="BC772" s="387">
        <f t="shared" si="529"/>
        <v>0</v>
      </c>
      <c r="BD772" s="387">
        <f t="shared" si="530"/>
        <v>0</v>
      </c>
      <c r="BE772" s="387">
        <f t="shared" si="531"/>
        <v>0</v>
      </c>
      <c r="BF772" s="387">
        <f t="shared" si="532"/>
        <v>0</v>
      </c>
      <c r="BG772" s="387">
        <f t="shared" si="533"/>
        <v>0</v>
      </c>
      <c r="BH772" s="387">
        <f t="shared" si="534"/>
        <v>0</v>
      </c>
      <c r="BI772" s="387">
        <f t="shared" si="535"/>
        <v>0</v>
      </c>
      <c r="BJ772" s="387">
        <f t="shared" si="536"/>
        <v>0</v>
      </c>
      <c r="BK772" s="387">
        <f t="shared" si="537"/>
        <v>0</v>
      </c>
      <c r="BL772" s="387">
        <f t="shared" si="560"/>
        <v>0</v>
      </c>
      <c r="BM772" s="387">
        <f t="shared" si="561"/>
        <v>0</v>
      </c>
      <c r="BN772" s="387">
        <f t="shared" si="538"/>
        <v>0</v>
      </c>
      <c r="BO772" s="387">
        <f t="shared" si="539"/>
        <v>0</v>
      </c>
      <c r="BP772" s="387">
        <f t="shared" si="540"/>
        <v>0</v>
      </c>
      <c r="BQ772" s="387">
        <f t="shared" si="541"/>
        <v>0</v>
      </c>
      <c r="BR772" s="387">
        <f t="shared" si="542"/>
        <v>0</v>
      </c>
      <c r="BS772" s="387">
        <f t="shared" si="543"/>
        <v>0</v>
      </c>
      <c r="BT772" s="387">
        <f t="shared" si="544"/>
        <v>0</v>
      </c>
      <c r="BU772" s="387">
        <f t="shared" si="545"/>
        <v>0</v>
      </c>
      <c r="BV772" s="387">
        <f t="shared" si="546"/>
        <v>0</v>
      </c>
      <c r="BW772" s="387">
        <f t="shared" si="547"/>
        <v>0</v>
      </c>
      <c r="BX772" s="387">
        <f t="shared" si="562"/>
        <v>0</v>
      </c>
      <c r="BY772" s="387">
        <f t="shared" si="563"/>
        <v>0</v>
      </c>
      <c r="BZ772" s="387">
        <f t="shared" si="564"/>
        <v>0</v>
      </c>
      <c r="CA772" s="387">
        <f t="shared" si="565"/>
        <v>0</v>
      </c>
      <c r="CB772" s="387">
        <f t="shared" si="566"/>
        <v>0</v>
      </c>
      <c r="CC772" s="387">
        <f t="shared" si="548"/>
        <v>0</v>
      </c>
      <c r="CD772" s="387">
        <f t="shared" si="549"/>
        <v>0</v>
      </c>
      <c r="CE772" s="387">
        <f t="shared" si="550"/>
        <v>0</v>
      </c>
      <c r="CF772" s="387">
        <f t="shared" si="551"/>
        <v>0</v>
      </c>
      <c r="CG772" s="387">
        <f t="shared" si="552"/>
        <v>0</v>
      </c>
      <c r="CH772" s="387">
        <f t="shared" si="553"/>
        <v>0</v>
      </c>
      <c r="CI772" s="387">
        <f t="shared" si="554"/>
        <v>0</v>
      </c>
      <c r="CJ772" s="387">
        <f t="shared" si="567"/>
        <v>0</v>
      </c>
      <c r="CK772" s="387" t="str">
        <f t="shared" si="568"/>
        <v/>
      </c>
      <c r="CL772" s="387" t="str">
        <f t="shared" si="569"/>
        <v/>
      </c>
      <c r="CM772" s="387" t="str">
        <f t="shared" si="570"/>
        <v/>
      </c>
      <c r="CN772" s="387" t="str">
        <f t="shared" si="571"/>
        <v>0302-00</v>
      </c>
    </row>
    <row r="773" spans="1:92" ht="15.75" thickBot="1" x14ac:dyDescent="0.3">
      <c r="A773" s="376" t="s">
        <v>161</v>
      </c>
      <c r="B773" s="376" t="s">
        <v>162</v>
      </c>
      <c r="C773" s="376" t="s">
        <v>1946</v>
      </c>
      <c r="D773" s="376" t="s">
        <v>368</v>
      </c>
      <c r="E773" s="376" t="s">
        <v>165</v>
      </c>
      <c r="F773" s="377" t="s">
        <v>166</v>
      </c>
      <c r="G773" s="376" t="s">
        <v>1945</v>
      </c>
      <c r="H773" s="378"/>
      <c r="I773" s="378"/>
      <c r="J773" s="376" t="s">
        <v>239</v>
      </c>
      <c r="K773" s="376" t="s">
        <v>382</v>
      </c>
      <c r="L773" s="376" t="s">
        <v>296</v>
      </c>
      <c r="M773" s="376" t="s">
        <v>566</v>
      </c>
      <c r="N773" s="376" t="s">
        <v>172</v>
      </c>
      <c r="O773" s="379">
        <v>0</v>
      </c>
      <c r="P773" s="385">
        <v>0</v>
      </c>
      <c r="Q773" s="385">
        <v>0</v>
      </c>
      <c r="R773" s="380">
        <v>80</v>
      </c>
      <c r="S773" s="385">
        <v>0</v>
      </c>
      <c r="T773" s="380">
        <v>3119.16</v>
      </c>
      <c r="U773" s="380">
        <v>1556.52</v>
      </c>
      <c r="V773" s="380">
        <v>601.22</v>
      </c>
      <c r="W773" s="380">
        <v>0</v>
      </c>
      <c r="X773" s="380">
        <v>0</v>
      </c>
      <c r="Y773" s="380">
        <v>0</v>
      </c>
      <c r="Z773" s="380">
        <v>0</v>
      </c>
      <c r="AA773" s="378"/>
      <c r="AB773" s="376" t="s">
        <v>45</v>
      </c>
      <c r="AC773" s="376" t="s">
        <v>45</v>
      </c>
      <c r="AD773" s="378"/>
      <c r="AE773" s="378"/>
      <c r="AF773" s="378"/>
      <c r="AG773" s="378"/>
      <c r="AH773" s="379">
        <v>0</v>
      </c>
      <c r="AI773" s="379">
        <v>0</v>
      </c>
      <c r="AJ773" s="378"/>
      <c r="AK773" s="378"/>
      <c r="AL773" s="376" t="s">
        <v>181</v>
      </c>
      <c r="AM773" s="378"/>
      <c r="AN773" s="378"/>
      <c r="AO773" s="379">
        <v>0</v>
      </c>
      <c r="AP773" s="385">
        <v>0</v>
      </c>
      <c r="AQ773" s="385">
        <v>0</v>
      </c>
      <c r="AR773" s="384"/>
      <c r="AS773" s="387">
        <f t="shared" si="555"/>
        <v>0</v>
      </c>
      <c r="AT773">
        <f t="shared" si="556"/>
        <v>0</v>
      </c>
      <c r="AU773" s="387" t="str">
        <f>IF(AT773=0,"",IF(AND(AT773=1,M773="F",SUMIF(C2:C1334,C773,AS2:AS1334)&lt;=1),SUMIF(C2:C1334,C773,AS2:AS1334),IF(AND(AT773=1,M773="F",SUMIF(C2:C1334,C773,AS2:AS1334)&gt;1),1,"")))</f>
        <v/>
      </c>
      <c r="AV773" s="387" t="str">
        <f>IF(AT773=0,"",IF(AND(AT773=3,M773="F",SUMIF(C2:C1334,C773,AS2:AS1334)&lt;=1),SUMIF(C2:C1334,C773,AS2:AS1334),IF(AND(AT773=3,M773="F",SUMIF(C2:C1334,C773,AS2:AS1334)&gt;1),1,"")))</f>
        <v/>
      </c>
      <c r="AW773" s="387">
        <f>SUMIF(C2:C1334,C773,O2:O1334)</f>
        <v>0</v>
      </c>
      <c r="AX773" s="387">
        <f>IF(AND(M773="F",AS773&lt;&gt;0),SUMIF(C2:C1334,C773,W2:W1334),0)</f>
        <v>0</v>
      </c>
      <c r="AY773" s="387" t="str">
        <f t="shared" si="557"/>
        <v/>
      </c>
      <c r="AZ773" s="387" t="str">
        <f t="shared" si="558"/>
        <v/>
      </c>
      <c r="BA773" s="387">
        <f t="shared" si="559"/>
        <v>0</v>
      </c>
      <c r="BB773" s="387">
        <f t="shared" si="528"/>
        <v>0</v>
      </c>
      <c r="BC773" s="387">
        <f t="shared" si="529"/>
        <v>0</v>
      </c>
      <c r="BD773" s="387">
        <f t="shared" si="530"/>
        <v>0</v>
      </c>
      <c r="BE773" s="387">
        <f t="shared" si="531"/>
        <v>0</v>
      </c>
      <c r="BF773" s="387">
        <f t="shared" si="532"/>
        <v>0</v>
      </c>
      <c r="BG773" s="387">
        <f t="shared" si="533"/>
        <v>0</v>
      </c>
      <c r="BH773" s="387">
        <f t="shared" si="534"/>
        <v>0</v>
      </c>
      <c r="BI773" s="387">
        <f t="shared" si="535"/>
        <v>0</v>
      </c>
      <c r="BJ773" s="387">
        <f t="shared" si="536"/>
        <v>0</v>
      </c>
      <c r="BK773" s="387">
        <f t="shared" si="537"/>
        <v>0</v>
      </c>
      <c r="BL773" s="387">
        <f t="shared" si="560"/>
        <v>0</v>
      </c>
      <c r="BM773" s="387">
        <f t="shared" si="561"/>
        <v>0</v>
      </c>
      <c r="BN773" s="387">
        <f t="shared" si="538"/>
        <v>0</v>
      </c>
      <c r="BO773" s="387">
        <f t="shared" si="539"/>
        <v>0</v>
      </c>
      <c r="BP773" s="387">
        <f t="shared" si="540"/>
        <v>0</v>
      </c>
      <c r="BQ773" s="387">
        <f t="shared" si="541"/>
        <v>0</v>
      </c>
      <c r="BR773" s="387">
        <f t="shared" si="542"/>
        <v>0</v>
      </c>
      <c r="BS773" s="387">
        <f t="shared" si="543"/>
        <v>0</v>
      </c>
      <c r="BT773" s="387">
        <f t="shared" si="544"/>
        <v>0</v>
      </c>
      <c r="BU773" s="387">
        <f t="shared" si="545"/>
        <v>0</v>
      </c>
      <c r="BV773" s="387">
        <f t="shared" si="546"/>
        <v>0</v>
      </c>
      <c r="BW773" s="387">
        <f t="shared" si="547"/>
        <v>0</v>
      </c>
      <c r="BX773" s="387">
        <f t="shared" si="562"/>
        <v>0</v>
      </c>
      <c r="BY773" s="387">
        <f t="shared" si="563"/>
        <v>0</v>
      </c>
      <c r="BZ773" s="387">
        <f t="shared" si="564"/>
        <v>0</v>
      </c>
      <c r="CA773" s="387">
        <f t="shared" si="565"/>
        <v>0</v>
      </c>
      <c r="CB773" s="387">
        <f t="shared" si="566"/>
        <v>0</v>
      </c>
      <c r="CC773" s="387">
        <f t="shared" si="548"/>
        <v>0</v>
      </c>
      <c r="CD773" s="387">
        <f t="shared" si="549"/>
        <v>0</v>
      </c>
      <c r="CE773" s="387">
        <f t="shared" si="550"/>
        <v>0</v>
      </c>
      <c r="CF773" s="387">
        <f t="shared" si="551"/>
        <v>0</v>
      </c>
      <c r="CG773" s="387">
        <f t="shared" si="552"/>
        <v>0</v>
      </c>
      <c r="CH773" s="387">
        <f t="shared" si="553"/>
        <v>0</v>
      </c>
      <c r="CI773" s="387">
        <f t="shared" si="554"/>
        <v>0</v>
      </c>
      <c r="CJ773" s="387">
        <f t="shared" si="567"/>
        <v>0</v>
      </c>
      <c r="CK773" s="387" t="str">
        <f t="shared" si="568"/>
        <v/>
      </c>
      <c r="CL773" s="387" t="str">
        <f t="shared" si="569"/>
        <v/>
      </c>
      <c r="CM773" s="387" t="str">
        <f t="shared" si="570"/>
        <v/>
      </c>
      <c r="CN773" s="387" t="str">
        <f t="shared" si="571"/>
        <v>0302-00</v>
      </c>
    </row>
    <row r="774" spans="1:92" ht="15.75" thickBot="1" x14ac:dyDescent="0.3">
      <c r="A774" s="376" t="s">
        <v>161</v>
      </c>
      <c r="B774" s="376" t="s">
        <v>162</v>
      </c>
      <c r="C774" s="376" t="s">
        <v>420</v>
      </c>
      <c r="D774" s="376" t="s">
        <v>421</v>
      </c>
      <c r="E774" s="376" t="s">
        <v>165</v>
      </c>
      <c r="F774" s="377" t="s">
        <v>166</v>
      </c>
      <c r="G774" s="376" t="s">
        <v>1945</v>
      </c>
      <c r="H774" s="378"/>
      <c r="I774" s="378"/>
      <c r="J774" s="376" t="s">
        <v>215</v>
      </c>
      <c r="K774" s="376" t="s">
        <v>422</v>
      </c>
      <c r="L774" s="376" t="s">
        <v>181</v>
      </c>
      <c r="M774" s="376" t="s">
        <v>272</v>
      </c>
      <c r="N774" s="376" t="s">
        <v>172</v>
      </c>
      <c r="O774" s="379">
        <v>0</v>
      </c>
      <c r="P774" s="385">
        <v>0</v>
      </c>
      <c r="Q774" s="385">
        <v>0</v>
      </c>
      <c r="R774" s="380">
        <v>80</v>
      </c>
      <c r="S774" s="385">
        <v>0</v>
      </c>
      <c r="T774" s="380">
        <v>4975.75</v>
      </c>
      <c r="U774" s="380">
        <v>2718.54</v>
      </c>
      <c r="V774" s="380">
        <v>2614.39</v>
      </c>
      <c r="W774" s="380">
        <v>0</v>
      </c>
      <c r="X774" s="380">
        <v>0</v>
      </c>
      <c r="Y774" s="380">
        <v>0</v>
      </c>
      <c r="Z774" s="380">
        <v>0</v>
      </c>
      <c r="AA774" s="378"/>
      <c r="AB774" s="376" t="s">
        <v>45</v>
      </c>
      <c r="AC774" s="376" t="s">
        <v>45</v>
      </c>
      <c r="AD774" s="378"/>
      <c r="AE774" s="378"/>
      <c r="AF774" s="378"/>
      <c r="AG774" s="378"/>
      <c r="AH774" s="379">
        <v>0</v>
      </c>
      <c r="AI774" s="379">
        <v>0</v>
      </c>
      <c r="AJ774" s="378"/>
      <c r="AK774" s="378"/>
      <c r="AL774" s="376" t="s">
        <v>181</v>
      </c>
      <c r="AM774" s="378"/>
      <c r="AN774" s="378"/>
      <c r="AO774" s="379">
        <v>0</v>
      </c>
      <c r="AP774" s="385">
        <v>0</v>
      </c>
      <c r="AQ774" s="385">
        <v>0</v>
      </c>
      <c r="AR774" s="384"/>
      <c r="AS774" s="387">
        <f t="shared" si="555"/>
        <v>0</v>
      </c>
      <c r="AT774">
        <f t="shared" si="556"/>
        <v>0</v>
      </c>
      <c r="AU774" s="387" t="str">
        <f>IF(AT774=0,"",IF(AND(AT774=1,M774="F",SUMIF(C2:C1334,C774,AS2:AS1334)&lt;=1),SUMIF(C2:C1334,C774,AS2:AS1334),IF(AND(AT774=1,M774="F",SUMIF(C2:C1334,C774,AS2:AS1334)&gt;1),1,"")))</f>
        <v/>
      </c>
      <c r="AV774" s="387" t="str">
        <f>IF(AT774=0,"",IF(AND(AT774=3,M774="F",SUMIF(C2:C1334,C774,AS2:AS1334)&lt;=1),SUMIF(C2:C1334,C774,AS2:AS1334),IF(AND(AT774=3,M774="F",SUMIF(C2:C1334,C774,AS2:AS1334)&gt;1),1,"")))</f>
        <v/>
      </c>
      <c r="AW774" s="387">
        <f>SUMIF(C2:C1334,C774,O2:O1334)</f>
        <v>0</v>
      </c>
      <c r="AX774" s="387">
        <f>IF(AND(M774="F",AS774&lt;&gt;0),SUMIF(C2:C1334,C774,W2:W1334),0)</f>
        <v>0</v>
      </c>
      <c r="AY774" s="387" t="str">
        <f t="shared" si="557"/>
        <v/>
      </c>
      <c r="AZ774" s="387" t="str">
        <f t="shared" si="558"/>
        <v/>
      </c>
      <c r="BA774" s="387">
        <f t="shared" si="559"/>
        <v>0</v>
      </c>
      <c r="BB774" s="387">
        <f t="shared" si="528"/>
        <v>0</v>
      </c>
      <c r="BC774" s="387">
        <f t="shared" si="529"/>
        <v>0</v>
      </c>
      <c r="BD774" s="387">
        <f t="shared" si="530"/>
        <v>0</v>
      </c>
      <c r="BE774" s="387">
        <f t="shared" si="531"/>
        <v>0</v>
      </c>
      <c r="BF774" s="387">
        <f t="shared" si="532"/>
        <v>0</v>
      </c>
      <c r="BG774" s="387">
        <f t="shared" si="533"/>
        <v>0</v>
      </c>
      <c r="BH774" s="387">
        <f t="shared" si="534"/>
        <v>0</v>
      </c>
      <c r="BI774" s="387">
        <f t="shared" si="535"/>
        <v>0</v>
      </c>
      <c r="BJ774" s="387">
        <f t="shared" si="536"/>
        <v>0</v>
      </c>
      <c r="BK774" s="387">
        <f t="shared" si="537"/>
        <v>0</v>
      </c>
      <c r="BL774" s="387">
        <f t="shared" si="560"/>
        <v>0</v>
      </c>
      <c r="BM774" s="387">
        <f t="shared" si="561"/>
        <v>0</v>
      </c>
      <c r="BN774" s="387">
        <f t="shared" si="538"/>
        <v>0</v>
      </c>
      <c r="BO774" s="387">
        <f t="shared" si="539"/>
        <v>0</v>
      </c>
      <c r="BP774" s="387">
        <f t="shared" si="540"/>
        <v>0</v>
      </c>
      <c r="BQ774" s="387">
        <f t="shared" si="541"/>
        <v>0</v>
      </c>
      <c r="BR774" s="387">
        <f t="shared" si="542"/>
        <v>0</v>
      </c>
      <c r="BS774" s="387">
        <f t="shared" si="543"/>
        <v>0</v>
      </c>
      <c r="BT774" s="387">
        <f t="shared" si="544"/>
        <v>0</v>
      </c>
      <c r="BU774" s="387">
        <f t="shared" si="545"/>
        <v>0</v>
      </c>
      <c r="BV774" s="387">
        <f t="shared" si="546"/>
        <v>0</v>
      </c>
      <c r="BW774" s="387">
        <f t="shared" si="547"/>
        <v>0</v>
      </c>
      <c r="BX774" s="387">
        <f t="shared" si="562"/>
        <v>0</v>
      </c>
      <c r="BY774" s="387">
        <f t="shared" si="563"/>
        <v>0</v>
      </c>
      <c r="BZ774" s="387">
        <f t="shared" si="564"/>
        <v>0</v>
      </c>
      <c r="CA774" s="387">
        <f t="shared" si="565"/>
        <v>0</v>
      </c>
      <c r="CB774" s="387">
        <f t="shared" si="566"/>
        <v>0</v>
      </c>
      <c r="CC774" s="387">
        <f t="shared" si="548"/>
        <v>0</v>
      </c>
      <c r="CD774" s="387">
        <f t="shared" si="549"/>
        <v>0</v>
      </c>
      <c r="CE774" s="387">
        <f t="shared" si="550"/>
        <v>0</v>
      </c>
      <c r="CF774" s="387">
        <f t="shared" si="551"/>
        <v>0</v>
      </c>
      <c r="CG774" s="387">
        <f t="shared" si="552"/>
        <v>0</v>
      </c>
      <c r="CH774" s="387">
        <f t="shared" si="553"/>
        <v>0</v>
      </c>
      <c r="CI774" s="387">
        <f t="shared" si="554"/>
        <v>0</v>
      </c>
      <c r="CJ774" s="387">
        <f t="shared" si="567"/>
        <v>0</v>
      </c>
      <c r="CK774" s="387" t="str">
        <f t="shared" si="568"/>
        <v/>
      </c>
      <c r="CL774" s="387" t="str">
        <f t="shared" si="569"/>
        <v/>
      </c>
      <c r="CM774" s="387" t="str">
        <f t="shared" si="570"/>
        <v/>
      </c>
      <c r="CN774" s="387" t="str">
        <f t="shared" si="571"/>
        <v>0302-00</v>
      </c>
    </row>
    <row r="775" spans="1:92" ht="15.75" thickBot="1" x14ac:dyDescent="0.3">
      <c r="A775" s="376" t="s">
        <v>161</v>
      </c>
      <c r="B775" s="376" t="s">
        <v>162</v>
      </c>
      <c r="C775" s="376" t="s">
        <v>1947</v>
      </c>
      <c r="D775" s="376" t="s">
        <v>574</v>
      </c>
      <c r="E775" s="376" t="s">
        <v>165</v>
      </c>
      <c r="F775" s="377" t="s">
        <v>166</v>
      </c>
      <c r="G775" s="376" t="s">
        <v>1945</v>
      </c>
      <c r="H775" s="378"/>
      <c r="I775" s="378"/>
      <c r="J775" s="376" t="s">
        <v>215</v>
      </c>
      <c r="K775" s="376" t="s">
        <v>575</v>
      </c>
      <c r="L775" s="376" t="s">
        <v>351</v>
      </c>
      <c r="M775" s="376" t="s">
        <v>566</v>
      </c>
      <c r="N775" s="376" t="s">
        <v>172</v>
      </c>
      <c r="O775" s="379">
        <v>0</v>
      </c>
      <c r="P775" s="385">
        <v>0</v>
      </c>
      <c r="Q775" s="385">
        <v>0</v>
      </c>
      <c r="R775" s="380">
        <v>80</v>
      </c>
      <c r="S775" s="385">
        <v>0</v>
      </c>
      <c r="T775" s="380">
        <v>19754.939999999999</v>
      </c>
      <c r="U775" s="380">
        <v>0</v>
      </c>
      <c r="V775" s="380">
        <v>1056.97</v>
      </c>
      <c r="W775" s="380">
        <v>0</v>
      </c>
      <c r="X775" s="380">
        <v>0</v>
      </c>
      <c r="Y775" s="380">
        <v>0</v>
      </c>
      <c r="Z775" s="380">
        <v>0</v>
      </c>
      <c r="AA775" s="378"/>
      <c r="AB775" s="376" t="s">
        <v>45</v>
      </c>
      <c r="AC775" s="376" t="s">
        <v>45</v>
      </c>
      <c r="AD775" s="378"/>
      <c r="AE775" s="378"/>
      <c r="AF775" s="378"/>
      <c r="AG775" s="378"/>
      <c r="AH775" s="379">
        <v>0</v>
      </c>
      <c r="AI775" s="379">
        <v>0</v>
      </c>
      <c r="AJ775" s="378"/>
      <c r="AK775" s="378"/>
      <c r="AL775" s="376" t="s">
        <v>181</v>
      </c>
      <c r="AM775" s="378"/>
      <c r="AN775" s="378"/>
      <c r="AO775" s="379">
        <v>0</v>
      </c>
      <c r="AP775" s="385">
        <v>0</v>
      </c>
      <c r="AQ775" s="385">
        <v>0</v>
      </c>
      <c r="AR775" s="384"/>
      <c r="AS775" s="387">
        <f t="shared" si="555"/>
        <v>0</v>
      </c>
      <c r="AT775">
        <f t="shared" si="556"/>
        <v>0</v>
      </c>
      <c r="AU775" s="387" t="str">
        <f>IF(AT775=0,"",IF(AND(AT775=1,M775="F",SUMIF(C2:C1334,C775,AS2:AS1334)&lt;=1),SUMIF(C2:C1334,C775,AS2:AS1334),IF(AND(AT775=1,M775="F",SUMIF(C2:C1334,C775,AS2:AS1334)&gt;1),1,"")))</f>
        <v/>
      </c>
      <c r="AV775" s="387" t="str">
        <f>IF(AT775=0,"",IF(AND(AT775=3,M775="F",SUMIF(C2:C1334,C775,AS2:AS1334)&lt;=1),SUMIF(C2:C1334,C775,AS2:AS1334),IF(AND(AT775=3,M775="F",SUMIF(C2:C1334,C775,AS2:AS1334)&gt;1),1,"")))</f>
        <v/>
      </c>
      <c r="AW775" s="387">
        <f>SUMIF(C2:C1334,C775,O2:O1334)</f>
        <v>0</v>
      </c>
      <c r="AX775" s="387">
        <f>IF(AND(M775="F",AS775&lt;&gt;0),SUMIF(C2:C1334,C775,W2:W1334),0)</f>
        <v>0</v>
      </c>
      <c r="AY775" s="387" t="str">
        <f t="shared" si="557"/>
        <v/>
      </c>
      <c r="AZ775" s="387" t="str">
        <f t="shared" si="558"/>
        <v/>
      </c>
      <c r="BA775" s="387">
        <f t="shared" si="559"/>
        <v>0</v>
      </c>
      <c r="BB775" s="387">
        <f t="shared" si="528"/>
        <v>0</v>
      </c>
      <c r="BC775" s="387">
        <f t="shared" si="529"/>
        <v>0</v>
      </c>
      <c r="BD775" s="387">
        <f t="shared" si="530"/>
        <v>0</v>
      </c>
      <c r="BE775" s="387">
        <f t="shared" si="531"/>
        <v>0</v>
      </c>
      <c r="BF775" s="387">
        <f t="shared" si="532"/>
        <v>0</v>
      </c>
      <c r="BG775" s="387">
        <f t="shared" si="533"/>
        <v>0</v>
      </c>
      <c r="BH775" s="387">
        <f t="shared" si="534"/>
        <v>0</v>
      </c>
      <c r="BI775" s="387">
        <f t="shared" si="535"/>
        <v>0</v>
      </c>
      <c r="BJ775" s="387">
        <f t="shared" si="536"/>
        <v>0</v>
      </c>
      <c r="BK775" s="387">
        <f t="shared" si="537"/>
        <v>0</v>
      </c>
      <c r="BL775" s="387">
        <f t="shared" si="560"/>
        <v>0</v>
      </c>
      <c r="BM775" s="387">
        <f t="shared" si="561"/>
        <v>0</v>
      </c>
      <c r="BN775" s="387">
        <f t="shared" si="538"/>
        <v>0</v>
      </c>
      <c r="BO775" s="387">
        <f t="shared" si="539"/>
        <v>0</v>
      </c>
      <c r="BP775" s="387">
        <f t="shared" si="540"/>
        <v>0</v>
      </c>
      <c r="BQ775" s="387">
        <f t="shared" si="541"/>
        <v>0</v>
      </c>
      <c r="BR775" s="387">
        <f t="shared" si="542"/>
        <v>0</v>
      </c>
      <c r="BS775" s="387">
        <f t="shared" si="543"/>
        <v>0</v>
      </c>
      <c r="BT775" s="387">
        <f t="shared" si="544"/>
        <v>0</v>
      </c>
      <c r="BU775" s="387">
        <f t="shared" si="545"/>
        <v>0</v>
      </c>
      <c r="BV775" s="387">
        <f t="shared" si="546"/>
        <v>0</v>
      </c>
      <c r="BW775" s="387">
        <f t="shared" si="547"/>
        <v>0</v>
      </c>
      <c r="BX775" s="387">
        <f t="shared" si="562"/>
        <v>0</v>
      </c>
      <c r="BY775" s="387">
        <f t="shared" si="563"/>
        <v>0</v>
      </c>
      <c r="BZ775" s="387">
        <f t="shared" si="564"/>
        <v>0</v>
      </c>
      <c r="CA775" s="387">
        <f t="shared" si="565"/>
        <v>0</v>
      </c>
      <c r="CB775" s="387">
        <f t="shared" si="566"/>
        <v>0</v>
      </c>
      <c r="CC775" s="387">
        <f t="shared" si="548"/>
        <v>0</v>
      </c>
      <c r="CD775" s="387">
        <f t="shared" si="549"/>
        <v>0</v>
      </c>
      <c r="CE775" s="387">
        <f t="shared" si="550"/>
        <v>0</v>
      </c>
      <c r="CF775" s="387">
        <f t="shared" si="551"/>
        <v>0</v>
      </c>
      <c r="CG775" s="387">
        <f t="shared" si="552"/>
        <v>0</v>
      </c>
      <c r="CH775" s="387">
        <f t="shared" si="553"/>
        <v>0</v>
      </c>
      <c r="CI775" s="387">
        <f t="shared" si="554"/>
        <v>0</v>
      </c>
      <c r="CJ775" s="387">
        <f t="shared" si="567"/>
        <v>0</v>
      </c>
      <c r="CK775" s="387" t="str">
        <f t="shared" si="568"/>
        <v/>
      </c>
      <c r="CL775" s="387" t="str">
        <f t="shared" si="569"/>
        <v/>
      </c>
      <c r="CM775" s="387" t="str">
        <f t="shared" si="570"/>
        <v/>
      </c>
      <c r="CN775" s="387" t="str">
        <f t="shared" si="571"/>
        <v>0302-00</v>
      </c>
    </row>
    <row r="776" spans="1:92" ht="15.75" thickBot="1" x14ac:dyDescent="0.3">
      <c r="A776" s="376" t="s">
        <v>161</v>
      </c>
      <c r="B776" s="376" t="s">
        <v>162</v>
      </c>
      <c r="C776" s="376" t="s">
        <v>1859</v>
      </c>
      <c r="D776" s="376" t="s">
        <v>1860</v>
      </c>
      <c r="E776" s="376" t="s">
        <v>165</v>
      </c>
      <c r="F776" s="377" t="s">
        <v>166</v>
      </c>
      <c r="G776" s="376" t="s">
        <v>1945</v>
      </c>
      <c r="H776" s="378"/>
      <c r="I776" s="378"/>
      <c r="J776" s="376" t="s">
        <v>215</v>
      </c>
      <c r="K776" s="376" t="s">
        <v>1861</v>
      </c>
      <c r="L776" s="376" t="s">
        <v>166</v>
      </c>
      <c r="M776" s="376" t="s">
        <v>171</v>
      </c>
      <c r="N776" s="376" t="s">
        <v>257</v>
      </c>
      <c r="O776" s="379">
        <v>1</v>
      </c>
      <c r="P776" s="385">
        <v>0</v>
      </c>
      <c r="Q776" s="385">
        <v>0</v>
      </c>
      <c r="R776" s="380">
        <v>80</v>
      </c>
      <c r="S776" s="385">
        <v>0</v>
      </c>
      <c r="T776" s="380">
        <v>7140.52</v>
      </c>
      <c r="U776" s="380">
        <v>0</v>
      </c>
      <c r="V776" s="380">
        <v>2069.36</v>
      </c>
      <c r="W776" s="380">
        <v>0</v>
      </c>
      <c r="X776" s="380">
        <v>0</v>
      </c>
      <c r="Y776" s="380">
        <v>0</v>
      </c>
      <c r="Z776" s="380">
        <v>0</v>
      </c>
      <c r="AA776" s="376" t="s">
        <v>1862</v>
      </c>
      <c r="AB776" s="376" t="s">
        <v>1863</v>
      </c>
      <c r="AC776" s="376" t="s">
        <v>501</v>
      </c>
      <c r="AD776" s="376" t="s">
        <v>198</v>
      </c>
      <c r="AE776" s="376" t="s">
        <v>1861</v>
      </c>
      <c r="AF776" s="376" t="s">
        <v>261</v>
      </c>
      <c r="AG776" s="376" t="s">
        <v>178</v>
      </c>
      <c r="AH776" s="381">
        <v>63.47</v>
      </c>
      <c r="AI776" s="381">
        <v>42719.6</v>
      </c>
      <c r="AJ776" s="376" t="s">
        <v>179</v>
      </c>
      <c r="AK776" s="376" t="s">
        <v>180</v>
      </c>
      <c r="AL776" s="376" t="s">
        <v>181</v>
      </c>
      <c r="AM776" s="376" t="s">
        <v>182</v>
      </c>
      <c r="AN776" s="376" t="s">
        <v>68</v>
      </c>
      <c r="AO776" s="379">
        <v>80</v>
      </c>
      <c r="AP776" s="385">
        <v>1</v>
      </c>
      <c r="AQ776" s="385">
        <v>0</v>
      </c>
      <c r="AR776" s="383" t="s">
        <v>183</v>
      </c>
      <c r="AS776" s="387">
        <f t="shared" si="555"/>
        <v>0</v>
      </c>
      <c r="AT776">
        <f t="shared" si="556"/>
        <v>0</v>
      </c>
      <c r="AU776" s="387" t="str">
        <f>IF(AT776=0,"",IF(AND(AT776=1,M776="F",SUMIF(C2:C1334,C776,AS2:AS1334)&lt;=1),SUMIF(C2:C1334,C776,AS2:AS1334),IF(AND(AT776=1,M776="F",SUMIF(C2:C1334,C776,AS2:AS1334)&gt;1),1,"")))</f>
        <v/>
      </c>
      <c r="AV776" s="387" t="str">
        <f>IF(AT776=0,"",IF(AND(AT776=3,M776="F",SUMIF(C2:C1334,C776,AS2:AS1334)&lt;=1),SUMIF(C2:C1334,C776,AS2:AS1334),IF(AND(AT776=3,M776="F",SUMIF(C2:C1334,C776,AS2:AS1334)&gt;1),1,"")))</f>
        <v/>
      </c>
      <c r="AW776" s="387">
        <f>SUMIF(C2:C1334,C776,O2:O1334)</f>
        <v>3</v>
      </c>
      <c r="AX776" s="387">
        <f>IF(AND(M776="F",AS776&lt;&gt;0),SUMIF(C2:C1334,C776,W2:W1334),0)</f>
        <v>0</v>
      </c>
      <c r="AY776" s="387" t="str">
        <f t="shared" si="557"/>
        <v/>
      </c>
      <c r="AZ776" s="387" t="str">
        <f t="shared" si="558"/>
        <v/>
      </c>
      <c r="BA776" s="387">
        <f t="shared" si="559"/>
        <v>0</v>
      </c>
      <c r="BB776" s="387">
        <f t="shared" si="528"/>
        <v>0</v>
      </c>
      <c r="BC776" s="387">
        <f t="shared" si="529"/>
        <v>0</v>
      </c>
      <c r="BD776" s="387">
        <f t="shared" si="530"/>
        <v>0</v>
      </c>
      <c r="BE776" s="387">
        <f t="shared" si="531"/>
        <v>0</v>
      </c>
      <c r="BF776" s="387">
        <f t="shared" si="532"/>
        <v>0</v>
      </c>
      <c r="BG776" s="387">
        <f t="shared" si="533"/>
        <v>0</v>
      </c>
      <c r="BH776" s="387">
        <f t="shared" si="534"/>
        <v>0</v>
      </c>
      <c r="BI776" s="387">
        <f t="shared" si="535"/>
        <v>0</v>
      </c>
      <c r="BJ776" s="387">
        <f t="shared" si="536"/>
        <v>0</v>
      </c>
      <c r="BK776" s="387">
        <f t="shared" si="537"/>
        <v>0</v>
      </c>
      <c r="BL776" s="387">
        <f t="shared" si="560"/>
        <v>0</v>
      </c>
      <c r="BM776" s="387">
        <f t="shared" si="561"/>
        <v>0</v>
      </c>
      <c r="BN776" s="387">
        <f t="shared" si="538"/>
        <v>0</v>
      </c>
      <c r="BO776" s="387">
        <f t="shared" si="539"/>
        <v>0</v>
      </c>
      <c r="BP776" s="387">
        <f t="shared" si="540"/>
        <v>0</v>
      </c>
      <c r="BQ776" s="387">
        <f t="shared" si="541"/>
        <v>0</v>
      </c>
      <c r="BR776" s="387">
        <f t="shared" si="542"/>
        <v>0</v>
      </c>
      <c r="BS776" s="387">
        <f t="shared" si="543"/>
        <v>0</v>
      </c>
      <c r="BT776" s="387">
        <f t="shared" si="544"/>
        <v>0</v>
      </c>
      <c r="BU776" s="387">
        <f t="shared" si="545"/>
        <v>0</v>
      </c>
      <c r="BV776" s="387">
        <f t="shared" si="546"/>
        <v>0</v>
      </c>
      <c r="BW776" s="387">
        <f t="shared" si="547"/>
        <v>0</v>
      </c>
      <c r="BX776" s="387">
        <f t="shared" si="562"/>
        <v>0</v>
      </c>
      <c r="BY776" s="387">
        <f t="shared" si="563"/>
        <v>0</v>
      </c>
      <c r="BZ776" s="387">
        <f t="shared" si="564"/>
        <v>0</v>
      </c>
      <c r="CA776" s="387">
        <f t="shared" si="565"/>
        <v>0</v>
      </c>
      <c r="CB776" s="387">
        <f t="shared" si="566"/>
        <v>0</v>
      </c>
      <c r="CC776" s="387">
        <f t="shared" si="548"/>
        <v>0</v>
      </c>
      <c r="CD776" s="387">
        <f t="shared" si="549"/>
        <v>0</v>
      </c>
      <c r="CE776" s="387">
        <f t="shared" si="550"/>
        <v>0</v>
      </c>
      <c r="CF776" s="387">
        <f t="shared" si="551"/>
        <v>0</v>
      </c>
      <c r="CG776" s="387">
        <f t="shared" si="552"/>
        <v>0</v>
      </c>
      <c r="CH776" s="387">
        <f t="shared" si="553"/>
        <v>0</v>
      </c>
      <c r="CI776" s="387">
        <f t="shared" si="554"/>
        <v>0</v>
      </c>
      <c r="CJ776" s="387">
        <f t="shared" si="567"/>
        <v>0</v>
      </c>
      <c r="CK776" s="387" t="str">
        <f t="shared" si="568"/>
        <v/>
      </c>
      <c r="CL776" s="387" t="str">
        <f t="shared" si="569"/>
        <v/>
      </c>
      <c r="CM776" s="387" t="str">
        <f t="shared" si="570"/>
        <v/>
      </c>
      <c r="CN776" s="387" t="str">
        <f t="shared" si="571"/>
        <v>0302-00</v>
      </c>
    </row>
    <row r="777" spans="1:92" ht="15.75" thickBot="1" x14ac:dyDescent="0.3">
      <c r="A777" s="376" t="s">
        <v>161</v>
      </c>
      <c r="B777" s="376" t="s">
        <v>162</v>
      </c>
      <c r="C777" s="376" t="s">
        <v>1308</v>
      </c>
      <c r="D777" s="376" t="s">
        <v>238</v>
      </c>
      <c r="E777" s="376" t="s">
        <v>165</v>
      </c>
      <c r="F777" s="377" t="s">
        <v>166</v>
      </c>
      <c r="G777" s="376" t="s">
        <v>1945</v>
      </c>
      <c r="H777" s="378"/>
      <c r="I777" s="378"/>
      <c r="J777" s="376" t="s">
        <v>215</v>
      </c>
      <c r="K777" s="376" t="s">
        <v>285</v>
      </c>
      <c r="L777" s="376" t="s">
        <v>170</v>
      </c>
      <c r="M777" s="376" t="s">
        <v>171</v>
      </c>
      <c r="N777" s="376" t="s">
        <v>172</v>
      </c>
      <c r="O777" s="379">
        <v>1</v>
      </c>
      <c r="P777" s="385">
        <v>0</v>
      </c>
      <c r="Q777" s="385">
        <v>0</v>
      </c>
      <c r="R777" s="380">
        <v>80</v>
      </c>
      <c r="S777" s="385">
        <v>0</v>
      </c>
      <c r="T777" s="380">
        <v>1034.74</v>
      </c>
      <c r="U777" s="380">
        <v>0</v>
      </c>
      <c r="V777" s="380">
        <v>480.98</v>
      </c>
      <c r="W777" s="380">
        <v>0</v>
      </c>
      <c r="X777" s="380">
        <v>0</v>
      </c>
      <c r="Y777" s="380">
        <v>0</v>
      </c>
      <c r="Z777" s="380">
        <v>0</v>
      </c>
      <c r="AA777" s="376" t="s">
        <v>1309</v>
      </c>
      <c r="AB777" s="376" t="s">
        <v>1310</v>
      </c>
      <c r="AC777" s="376" t="s">
        <v>889</v>
      </c>
      <c r="AD777" s="376" t="s">
        <v>1311</v>
      </c>
      <c r="AE777" s="376" t="s">
        <v>285</v>
      </c>
      <c r="AF777" s="376" t="s">
        <v>177</v>
      </c>
      <c r="AG777" s="376" t="s">
        <v>178</v>
      </c>
      <c r="AH777" s="381">
        <v>23.41</v>
      </c>
      <c r="AI777" s="379">
        <v>18476</v>
      </c>
      <c r="AJ777" s="376" t="s">
        <v>179</v>
      </c>
      <c r="AK777" s="376" t="s">
        <v>180</v>
      </c>
      <c r="AL777" s="376" t="s">
        <v>181</v>
      </c>
      <c r="AM777" s="376" t="s">
        <v>182</v>
      </c>
      <c r="AN777" s="376" t="s">
        <v>68</v>
      </c>
      <c r="AO777" s="379">
        <v>80</v>
      </c>
      <c r="AP777" s="385">
        <v>1</v>
      </c>
      <c r="AQ777" s="385">
        <v>0</v>
      </c>
      <c r="AR777" s="383" t="s">
        <v>183</v>
      </c>
      <c r="AS777" s="387">
        <f t="shared" si="555"/>
        <v>0</v>
      </c>
      <c r="AT777">
        <f t="shared" si="556"/>
        <v>0</v>
      </c>
      <c r="AU777" s="387" t="str">
        <f>IF(AT777=0,"",IF(AND(AT777=1,M777="F",SUMIF(C2:C1334,C777,AS2:AS1334)&lt;=1),SUMIF(C2:C1334,C777,AS2:AS1334),IF(AND(AT777=1,M777="F",SUMIF(C2:C1334,C777,AS2:AS1334)&gt;1),1,"")))</f>
        <v/>
      </c>
      <c r="AV777" s="387" t="str">
        <f>IF(AT777=0,"",IF(AND(AT777=3,M777="F",SUMIF(C2:C1334,C777,AS2:AS1334)&lt;=1),SUMIF(C2:C1334,C777,AS2:AS1334),IF(AND(AT777=3,M777="F",SUMIF(C2:C1334,C777,AS2:AS1334)&gt;1),1,"")))</f>
        <v/>
      </c>
      <c r="AW777" s="387">
        <f>SUMIF(C2:C1334,C777,O2:O1334)</f>
        <v>3</v>
      </c>
      <c r="AX777" s="387">
        <f>IF(AND(M777="F",AS777&lt;&gt;0),SUMIF(C2:C1334,C777,W2:W1334),0)</f>
        <v>0</v>
      </c>
      <c r="AY777" s="387" t="str">
        <f t="shared" si="557"/>
        <v/>
      </c>
      <c r="AZ777" s="387" t="str">
        <f t="shared" si="558"/>
        <v/>
      </c>
      <c r="BA777" s="387">
        <f t="shared" si="559"/>
        <v>0</v>
      </c>
      <c r="BB777" s="387">
        <f t="shared" si="528"/>
        <v>0</v>
      </c>
      <c r="BC777" s="387">
        <f t="shared" si="529"/>
        <v>0</v>
      </c>
      <c r="BD777" s="387">
        <f t="shared" si="530"/>
        <v>0</v>
      </c>
      <c r="BE777" s="387">
        <f t="shared" si="531"/>
        <v>0</v>
      </c>
      <c r="BF777" s="387">
        <f t="shared" si="532"/>
        <v>0</v>
      </c>
      <c r="BG777" s="387">
        <f t="shared" si="533"/>
        <v>0</v>
      </c>
      <c r="BH777" s="387">
        <f t="shared" si="534"/>
        <v>0</v>
      </c>
      <c r="BI777" s="387">
        <f t="shared" si="535"/>
        <v>0</v>
      </c>
      <c r="BJ777" s="387">
        <f t="shared" si="536"/>
        <v>0</v>
      </c>
      <c r="BK777" s="387">
        <f t="shared" si="537"/>
        <v>0</v>
      </c>
      <c r="BL777" s="387">
        <f t="shared" si="560"/>
        <v>0</v>
      </c>
      <c r="BM777" s="387">
        <f t="shared" si="561"/>
        <v>0</v>
      </c>
      <c r="BN777" s="387">
        <f t="shared" si="538"/>
        <v>0</v>
      </c>
      <c r="BO777" s="387">
        <f t="shared" si="539"/>
        <v>0</v>
      </c>
      <c r="BP777" s="387">
        <f t="shared" si="540"/>
        <v>0</v>
      </c>
      <c r="BQ777" s="387">
        <f t="shared" si="541"/>
        <v>0</v>
      </c>
      <c r="BR777" s="387">
        <f t="shared" si="542"/>
        <v>0</v>
      </c>
      <c r="BS777" s="387">
        <f t="shared" si="543"/>
        <v>0</v>
      </c>
      <c r="BT777" s="387">
        <f t="shared" si="544"/>
        <v>0</v>
      </c>
      <c r="BU777" s="387">
        <f t="shared" si="545"/>
        <v>0</v>
      </c>
      <c r="BV777" s="387">
        <f t="shared" si="546"/>
        <v>0</v>
      </c>
      <c r="BW777" s="387">
        <f t="shared" si="547"/>
        <v>0</v>
      </c>
      <c r="BX777" s="387">
        <f t="shared" si="562"/>
        <v>0</v>
      </c>
      <c r="BY777" s="387">
        <f t="shared" si="563"/>
        <v>0</v>
      </c>
      <c r="BZ777" s="387">
        <f t="shared" si="564"/>
        <v>0</v>
      </c>
      <c r="CA777" s="387">
        <f t="shared" si="565"/>
        <v>0</v>
      </c>
      <c r="CB777" s="387">
        <f t="shared" si="566"/>
        <v>0</v>
      </c>
      <c r="CC777" s="387">
        <f t="shared" si="548"/>
        <v>0</v>
      </c>
      <c r="CD777" s="387">
        <f t="shared" si="549"/>
        <v>0</v>
      </c>
      <c r="CE777" s="387">
        <f t="shared" si="550"/>
        <v>0</v>
      </c>
      <c r="CF777" s="387">
        <f t="shared" si="551"/>
        <v>0</v>
      </c>
      <c r="CG777" s="387">
        <f t="shared" si="552"/>
        <v>0</v>
      </c>
      <c r="CH777" s="387">
        <f t="shared" si="553"/>
        <v>0</v>
      </c>
      <c r="CI777" s="387">
        <f t="shared" si="554"/>
        <v>0</v>
      </c>
      <c r="CJ777" s="387">
        <f t="shared" si="567"/>
        <v>0</v>
      </c>
      <c r="CK777" s="387" t="str">
        <f t="shared" si="568"/>
        <v/>
      </c>
      <c r="CL777" s="387" t="str">
        <f t="shared" si="569"/>
        <v/>
      </c>
      <c r="CM777" s="387" t="str">
        <f t="shared" si="570"/>
        <v/>
      </c>
      <c r="CN777" s="387" t="str">
        <f t="shared" si="571"/>
        <v>0302-00</v>
      </c>
    </row>
    <row r="778" spans="1:92" ht="15.75" thickBot="1" x14ac:dyDescent="0.3">
      <c r="A778" s="376" t="s">
        <v>161</v>
      </c>
      <c r="B778" s="376" t="s">
        <v>162</v>
      </c>
      <c r="C778" s="376" t="s">
        <v>1948</v>
      </c>
      <c r="D778" s="376" t="s">
        <v>1949</v>
      </c>
      <c r="E778" s="376" t="s">
        <v>165</v>
      </c>
      <c r="F778" s="377" t="s">
        <v>166</v>
      </c>
      <c r="G778" s="376" t="s">
        <v>1945</v>
      </c>
      <c r="H778" s="378"/>
      <c r="I778" s="378"/>
      <c r="J778" s="376" t="s">
        <v>215</v>
      </c>
      <c r="K778" s="376" t="s">
        <v>1950</v>
      </c>
      <c r="L778" s="376" t="s">
        <v>170</v>
      </c>
      <c r="M778" s="376" t="s">
        <v>171</v>
      </c>
      <c r="N778" s="376" t="s">
        <v>172</v>
      </c>
      <c r="O778" s="379">
        <v>1</v>
      </c>
      <c r="P778" s="385">
        <v>0</v>
      </c>
      <c r="Q778" s="385">
        <v>0</v>
      </c>
      <c r="R778" s="380">
        <v>80</v>
      </c>
      <c r="S778" s="385">
        <v>0</v>
      </c>
      <c r="T778" s="380">
        <v>24.14</v>
      </c>
      <c r="U778" s="380">
        <v>0</v>
      </c>
      <c r="V778" s="380">
        <v>11</v>
      </c>
      <c r="W778" s="380">
        <v>0</v>
      </c>
      <c r="X778" s="380">
        <v>0</v>
      </c>
      <c r="Y778" s="380">
        <v>0</v>
      </c>
      <c r="Z778" s="380">
        <v>0</v>
      </c>
      <c r="AA778" s="376" t="s">
        <v>1951</v>
      </c>
      <c r="AB778" s="376" t="s">
        <v>315</v>
      </c>
      <c r="AC778" s="376" t="s">
        <v>1952</v>
      </c>
      <c r="AD778" s="376" t="s">
        <v>252</v>
      </c>
      <c r="AE778" s="376" t="s">
        <v>1950</v>
      </c>
      <c r="AF778" s="376" t="s">
        <v>177</v>
      </c>
      <c r="AG778" s="376" t="s">
        <v>178</v>
      </c>
      <c r="AH778" s="381">
        <v>25.47</v>
      </c>
      <c r="AI778" s="381">
        <v>25956.7</v>
      </c>
      <c r="AJ778" s="376" t="s">
        <v>179</v>
      </c>
      <c r="AK778" s="376" t="s">
        <v>180</v>
      </c>
      <c r="AL778" s="376" t="s">
        <v>181</v>
      </c>
      <c r="AM778" s="376" t="s">
        <v>182</v>
      </c>
      <c r="AN778" s="376" t="s">
        <v>68</v>
      </c>
      <c r="AO778" s="379">
        <v>80</v>
      </c>
      <c r="AP778" s="385">
        <v>1</v>
      </c>
      <c r="AQ778" s="385">
        <v>0</v>
      </c>
      <c r="AR778" s="383" t="s">
        <v>183</v>
      </c>
      <c r="AS778" s="387">
        <f t="shared" si="555"/>
        <v>0</v>
      </c>
      <c r="AT778">
        <f t="shared" si="556"/>
        <v>0</v>
      </c>
      <c r="AU778" s="387" t="str">
        <f>IF(AT778=0,"",IF(AND(AT778=1,M778="F",SUMIF(C2:C1334,C778,AS2:AS1334)&lt;=1),SUMIF(C2:C1334,C778,AS2:AS1334),IF(AND(AT778=1,M778="F",SUMIF(C2:C1334,C778,AS2:AS1334)&gt;1),1,"")))</f>
        <v/>
      </c>
      <c r="AV778" s="387" t="str">
        <f>IF(AT778=0,"",IF(AND(AT778=3,M778="F",SUMIF(C2:C1334,C778,AS2:AS1334)&lt;=1),SUMIF(C2:C1334,C778,AS2:AS1334),IF(AND(AT778=3,M778="F",SUMIF(C2:C1334,C778,AS2:AS1334)&gt;1),1,"")))</f>
        <v/>
      </c>
      <c r="AW778" s="387">
        <f>SUMIF(C2:C1334,C778,O2:O1334)</f>
        <v>2</v>
      </c>
      <c r="AX778" s="387">
        <f>IF(AND(M778="F",AS778&lt;&gt;0),SUMIF(C2:C1334,C778,W2:W1334),0)</f>
        <v>0</v>
      </c>
      <c r="AY778" s="387" t="str">
        <f t="shared" si="557"/>
        <v/>
      </c>
      <c r="AZ778" s="387" t="str">
        <f t="shared" si="558"/>
        <v/>
      </c>
      <c r="BA778" s="387">
        <f t="shared" si="559"/>
        <v>0</v>
      </c>
      <c r="BB778" s="387">
        <f t="shared" si="528"/>
        <v>0</v>
      </c>
      <c r="BC778" s="387">
        <f t="shared" si="529"/>
        <v>0</v>
      </c>
      <c r="BD778" s="387">
        <f t="shared" si="530"/>
        <v>0</v>
      </c>
      <c r="BE778" s="387">
        <f t="shared" si="531"/>
        <v>0</v>
      </c>
      <c r="BF778" s="387">
        <f t="shared" si="532"/>
        <v>0</v>
      </c>
      <c r="BG778" s="387">
        <f t="shared" si="533"/>
        <v>0</v>
      </c>
      <c r="BH778" s="387">
        <f t="shared" si="534"/>
        <v>0</v>
      </c>
      <c r="BI778" s="387">
        <f t="shared" si="535"/>
        <v>0</v>
      </c>
      <c r="BJ778" s="387">
        <f t="shared" si="536"/>
        <v>0</v>
      </c>
      <c r="BK778" s="387">
        <f t="shared" si="537"/>
        <v>0</v>
      </c>
      <c r="BL778" s="387">
        <f t="shared" si="560"/>
        <v>0</v>
      </c>
      <c r="BM778" s="387">
        <f t="shared" si="561"/>
        <v>0</v>
      </c>
      <c r="BN778" s="387">
        <f t="shared" si="538"/>
        <v>0</v>
      </c>
      <c r="BO778" s="387">
        <f t="shared" si="539"/>
        <v>0</v>
      </c>
      <c r="BP778" s="387">
        <f t="shared" si="540"/>
        <v>0</v>
      </c>
      <c r="BQ778" s="387">
        <f t="shared" si="541"/>
        <v>0</v>
      </c>
      <c r="BR778" s="387">
        <f t="shared" si="542"/>
        <v>0</v>
      </c>
      <c r="BS778" s="387">
        <f t="shared" si="543"/>
        <v>0</v>
      </c>
      <c r="BT778" s="387">
        <f t="shared" si="544"/>
        <v>0</v>
      </c>
      <c r="BU778" s="387">
        <f t="shared" si="545"/>
        <v>0</v>
      </c>
      <c r="BV778" s="387">
        <f t="shared" si="546"/>
        <v>0</v>
      </c>
      <c r="BW778" s="387">
        <f t="shared" si="547"/>
        <v>0</v>
      </c>
      <c r="BX778" s="387">
        <f t="shared" si="562"/>
        <v>0</v>
      </c>
      <c r="BY778" s="387">
        <f t="shared" si="563"/>
        <v>0</v>
      </c>
      <c r="BZ778" s="387">
        <f t="shared" si="564"/>
        <v>0</v>
      </c>
      <c r="CA778" s="387">
        <f t="shared" si="565"/>
        <v>0</v>
      </c>
      <c r="CB778" s="387">
        <f t="shared" si="566"/>
        <v>0</v>
      </c>
      <c r="CC778" s="387">
        <f t="shared" si="548"/>
        <v>0</v>
      </c>
      <c r="CD778" s="387">
        <f t="shared" si="549"/>
        <v>0</v>
      </c>
      <c r="CE778" s="387">
        <f t="shared" si="550"/>
        <v>0</v>
      </c>
      <c r="CF778" s="387">
        <f t="shared" si="551"/>
        <v>0</v>
      </c>
      <c r="CG778" s="387">
        <f t="shared" si="552"/>
        <v>0</v>
      </c>
      <c r="CH778" s="387">
        <f t="shared" si="553"/>
        <v>0</v>
      </c>
      <c r="CI778" s="387">
        <f t="shared" si="554"/>
        <v>0</v>
      </c>
      <c r="CJ778" s="387">
        <f t="shared" si="567"/>
        <v>0</v>
      </c>
      <c r="CK778" s="387" t="str">
        <f t="shared" si="568"/>
        <v/>
      </c>
      <c r="CL778" s="387" t="str">
        <f t="shared" si="569"/>
        <v/>
      </c>
      <c r="CM778" s="387" t="str">
        <f t="shared" si="570"/>
        <v/>
      </c>
      <c r="CN778" s="387" t="str">
        <f t="shared" si="571"/>
        <v>0302-00</v>
      </c>
    </row>
    <row r="779" spans="1:92" ht="15.75" thickBot="1" x14ac:dyDescent="0.3">
      <c r="A779" s="376" t="s">
        <v>161</v>
      </c>
      <c r="B779" s="376" t="s">
        <v>162</v>
      </c>
      <c r="C779" s="376" t="s">
        <v>1953</v>
      </c>
      <c r="D779" s="376" t="s">
        <v>368</v>
      </c>
      <c r="E779" s="376" t="s">
        <v>165</v>
      </c>
      <c r="F779" s="377" t="s">
        <v>166</v>
      </c>
      <c r="G779" s="376" t="s">
        <v>1945</v>
      </c>
      <c r="H779" s="378"/>
      <c r="I779" s="378"/>
      <c r="J779" s="376" t="s">
        <v>215</v>
      </c>
      <c r="K779" s="376" t="s">
        <v>424</v>
      </c>
      <c r="L779" s="376" t="s">
        <v>210</v>
      </c>
      <c r="M779" s="376" t="s">
        <v>171</v>
      </c>
      <c r="N779" s="376" t="s">
        <v>172</v>
      </c>
      <c r="O779" s="379">
        <v>1</v>
      </c>
      <c r="P779" s="385">
        <v>0</v>
      </c>
      <c r="Q779" s="385">
        <v>0</v>
      </c>
      <c r="R779" s="380">
        <v>80</v>
      </c>
      <c r="S779" s="385">
        <v>0</v>
      </c>
      <c r="T779" s="380">
        <v>8719.8799999999992</v>
      </c>
      <c r="U779" s="380">
        <v>1620.32</v>
      </c>
      <c r="V779" s="380">
        <v>3351.8</v>
      </c>
      <c r="W779" s="380">
        <v>0</v>
      </c>
      <c r="X779" s="380">
        <v>0</v>
      </c>
      <c r="Y779" s="380">
        <v>0</v>
      </c>
      <c r="Z779" s="380">
        <v>0</v>
      </c>
      <c r="AA779" s="376" t="s">
        <v>1954</v>
      </c>
      <c r="AB779" s="376" t="s">
        <v>1955</v>
      </c>
      <c r="AC779" s="376" t="s">
        <v>1881</v>
      </c>
      <c r="AD779" s="376" t="s">
        <v>351</v>
      </c>
      <c r="AE779" s="376" t="s">
        <v>424</v>
      </c>
      <c r="AF779" s="376" t="s">
        <v>245</v>
      </c>
      <c r="AG779" s="376" t="s">
        <v>178</v>
      </c>
      <c r="AH779" s="381">
        <v>44.67</v>
      </c>
      <c r="AI779" s="381">
        <v>47073.8</v>
      </c>
      <c r="AJ779" s="376" t="s">
        <v>179</v>
      </c>
      <c r="AK779" s="376" t="s">
        <v>180</v>
      </c>
      <c r="AL779" s="376" t="s">
        <v>181</v>
      </c>
      <c r="AM779" s="376" t="s">
        <v>182</v>
      </c>
      <c r="AN779" s="376" t="s">
        <v>68</v>
      </c>
      <c r="AO779" s="379">
        <v>80</v>
      </c>
      <c r="AP779" s="385">
        <v>1</v>
      </c>
      <c r="AQ779" s="385">
        <v>0</v>
      </c>
      <c r="AR779" s="383" t="s">
        <v>183</v>
      </c>
      <c r="AS779" s="387">
        <f t="shared" si="555"/>
        <v>0</v>
      </c>
      <c r="AT779">
        <f t="shared" si="556"/>
        <v>0</v>
      </c>
      <c r="AU779" s="387" t="str">
        <f>IF(AT779=0,"",IF(AND(AT779=1,M779="F",SUMIF(C2:C1334,C779,AS2:AS1334)&lt;=1),SUMIF(C2:C1334,C779,AS2:AS1334),IF(AND(AT779=1,M779="F",SUMIF(C2:C1334,C779,AS2:AS1334)&gt;1),1,"")))</f>
        <v/>
      </c>
      <c r="AV779" s="387" t="str">
        <f>IF(AT779=0,"",IF(AND(AT779=3,M779="F",SUMIF(C2:C1334,C779,AS2:AS1334)&lt;=1),SUMIF(C2:C1334,C779,AS2:AS1334),IF(AND(AT779=3,M779="F",SUMIF(C2:C1334,C779,AS2:AS1334)&gt;1),1,"")))</f>
        <v/>
      </c>
      <c r="AW779" s="387">
        <f>SUMIF(C2:C1334,C779,O2:O1334)</f>
        <v>2</v>
      </c>
      <c r="AX779" s="387">
        <f>IF(AND(M779="F",AS779&lt;&gt;0),SUMIF(C2:C1334,C779,W2:W1334),0)</f>
        <v>0</v>
      </c>
      <c r="AY779" s="387" t="str">
        <f t="shared" si="557"/>
        <v/>
      </c>
      <c r="AZ779" s="387" t="str">
        <f t="shared" si="558"/>
        <v/>
      </c>
      <c r="BA779" s="387">
        <f t="shared" si="559"/>
        <v>0</v>
      </c>
      <c r="BB779" s="387">
        <f t="shared" si="528"/>
        <v>0</v>
      </c>
      <c r="BC779" s="387">
        <f t="shared" si="529"/>
        <v>0</v>
      </c>
      <c r="BD779" s="387">
        <f t="shared" si="530"/>
        <v>0</v>
      </c>
      <c r="BE779" s="387">
        <f t="shared" si="531"/>
        <v>0</v>
      </c>
      <c r="BF779" s="387">
        <f t="shared" si="532"/>
        <v>0</v>
      </c>
      <c r="BG779" s="387">
        <f t="shared" si="533"/>
        <v>0</v>
      </c>
      <c r="BH779" s="387">
        <f t="shared" si="534"/>
        <v>0</v>
      </c>
      <c r="BI779" s="387">
        <f t="shared" si="535"/>
        <v>0</v>
      </c>
      <c r="BJ779" s="387">
        <f t="shared" si="536"/>
        <v>0</v>
      </c>
      <c r="BK779" s="387">
        <f t="shared" si="537"/>
        <v>0</v>
      </c>
      <c r="BL779" s="387">
        <f t="shared" si="560"/>
        <v>0</v>
      </c>
      <c r="BM779" s="387">
        <f t="shared" si="561"/>
        <v>0</v>
      </c>
      <c r="BN779" s="387">
        <f t="shared" si="538"/>
        <v>0</v>
      </c>
      <c r="BO779" s="387">
        <f t="shared" si="539"/>
        <v>0</v>
      </c>
      <c r="BP779" s="387">
        <f t="shared" si="540"/>
        <v>0</v>
      </c>
      <c r="BQ779" s="387">
        <f t="shared" si="541"/>
        <v>0</v>
      </c>
      <c r="BR779" s="387">
        <f t="shared" si="542"/>
        <v>0</v>
      </c>
      <c r="BS779" s="387">
        <f t="shared" si="543"/>
        <v>0</v>
      </c>
      <c r="BT779" s="387">
        <f t="shared" si="544"/>
        <v>0</v>
      </c>
      <c r="BU779" s="387">
        <f t="shared" si="545"/>
        <v>0</v>
      </c>
      <c r="BV779" s="387">
        <f t="shared" si="546"/>
        <v>0</v>
      </c>
      <c r="BW779" s="387">
        <f t="shared" si="547"/>
        <v>0</v>
      </c>
      <c r="BX779" s="387">
        <f t="shared" si="562"/>
        <v>0</v>
      </c>
      <c r="BY779" s="387">
        <f t="shared" si="563"/>
        <v>0</v>
      </c>
      <c r="BZ779" s="387">
        <f t="shared" si="564"/>
        <v>0</v>
      </c>
      <c r="CA779" s="387">
        <f t="shared" si="565"/>
        <v>0</v>
      </c>
      <c r="CB779" s="387">
        <f t="shared" si="566"/>
        <v>0</v>
      </c>
      <c r="CC779" s="387">
        <f t="shared" si="548"/>
        <v>0</v>
      </c>
      <c r="CD779" s="387">
        <f t="shared" si="549"/>
        <v>0</v>
      </c>
      <c r="CE779" s="387">
        <f t="shared" si="550"/>
        <v>0</v>
      </c>
      <c r="CF779" s="387">
        <f t="shared" si="551"/>
        <v>0</v>
      </c>
      <c r="CG779" s="387">
        <f t="shared" si="552"/>
        <v>0</v>
      </c>
      <c r="CH779" s="387">
        <f t="shared" si="553"/>
        <v>0</v>
      </c>
      <c r="CI779" s="387">
        <f t="shared" si="554"/>
        <v>0</v>
      </c>
      <c r="CJ779" s="387">
        <f t="shared" si="567"/>
        <v>0</v>
      </c>
      <c r="CK779" s="387" t="str">
        <f t="shared" si="568"/>
        <v/>
      </c>
      <c r="CL779" s="387" t="str">
        <f t="shared" si="569"/>
        <v/>
      </c>
      <c r="CM779" s="387" t="str">
        <f t="shared" si="570"/>
        <v/>
      </c>
      <c r="CN779" s="387" t="str">
        <f t="shared" si="571"/>
        <v>0302-00</v>
      </c>
    </row>
    <row r="780" spans="1:92" ht="15.75" thickBot="1" x14ac:dyDescent="0.3">
      <c r="A780" s="376" t="s">
        <v>161</v>
      </c>
      <c r="B780" s="376" t="s">
        <v>162</v>
      </c>
      <c r="C780" s="376" t="s">
        <v>1956</v>
      </c>
      <c r="D780" s="376" t="s">
        <v>1957</v>
      </c>
      <c r="E780" s="376" t="s">
        <v>165</v>
      </c>
      <c r="F780" s="377" t="s">
        <v>166</v>
      </c>
      <c r="G780" s="376" t="s">
        <v>1945</v>
      </c>
      <c r="H780" s="378"/>
      <c r="I780" s="378"/>
      <c r="J780" s="376" t="s">
        <v>215</v>
      </c>
      <c r="K780" s="376" t="s">
        <v>1958</v>
      </c>
      <c r="L780" s="376" t="s">
        <v>181</v>
      </c>
      <c r="M780" s="376" t="s">
        <v>171</v>
      </c>
      <c r="N780" s="376" t="s">
        <v>172</v>
      </c>
      <c r="O780" s="379">
        <v>1</v>
      </c>
      <c r="P780" s="385">
        <v>0</v>
      </c>
      <c r="Q780" s="385">
        <v>0</v>
      </c>
      <c r="R780" s="380">
        <v>80</v>
      </c>
      <c r="S780" s="385">
        <v>0</v>
      </c>
      <c r="T780" s="380">
        <v>1948.95</v>
      </c>
      <c r="U780" s="380">
        <v>155.55000000000001</v>
      </c>
      <c r="V780" s="380">
        <v>828.22</v>
      </c>
      <c r="W780" s="380">
        <v>0</v>
      </c>
      <c r="X780" s="380">
        <v>0</v>
      </c>
      <c r="Y780" s="380">
        <v>0</v>
      </c>
      <c r="Z780" s="380">
        <v>0</v>
      </c>
      <c r="AA780" s="376" t="s">
        <v>1959</v>
      </c>
      <c r="AB780" s="376" t="s">
        <v>1960</v>
      </c>
      <c r="AC780" s="376" t="s">
        <v>577</v>
      </c>
      <c r="AD780" s="376" t="s">
        <v>171</v>
      </c>
      <c r="AE780" s="376" t="s">
        <v>1958</v>
      </c>
      <c r="AF780" s="376" t="s">
        <v>211</v>
      </c>
      <c r="AG780" s="376" t="s">
        <v>178</v>
      </c>
      <c r="AH780" s="381">
        <v>31.34</v>
      </c>
      <c r="AI780" s="381">
        <v>39068.699999999997</v>
      </c>
      <c r="AJ780" s="376" t="s">
        <v>179</v>
      </c>
      <c r="AK780" s="376" t="s">
        <v>180</v>
      </c>
      <c r="AL780" s="376" t="s">
        <v>181</v>
      </c>
      <c r="AM780" s="376" t="s">
        <v>182</v>
      </c>
      <c r="AN780" s="376" t="s">
        <v>68</v>
      </c>
      <c r="AO780" s="379">
        <v>80</v>
      </c>
      <c r="AP780" s="385">
        <v>1</v>
      </c>
      <c r="AQ780" s="385">
        <v>0</v>
      </c>
      <c r="AR780" s="383" t="s">
        <v>183</v>
      </c>
      <c r="AS780" s="387">
        <f t="shared" si="555"/>
        <v>0</v>
      </c>
      <c r="AT780">
        <f t="shared" si="556"/>
        <v>0</v>
      </c>
      <c r="AU780" s="387" t="str">
        <f>IF(AT780=0,"",IF(AND(AT780=1,M780="F",SUMIF(C2:C1334,C780,AS2:AS1334)&lt;=1),SUMIF(C2:C1334,C780,AS2:AS1334),IF(AND(AT780=1,M780="F",SUMIF(C2:C1334,C780,AS2:AS1334)&gt;1),1,"")))</f>
        <v/>
      </c>
      <c r="AV780" s="387" t="str">
        <f>IF(AT780=0,"",IF(AND(AT780=3,M780="F",SUMIF(C2:C1334,C780,AS2:AS1334)&lt;=1),SUMIF(C2:C1334,C780,AS2:AS1334),IF(AND(AT780=3,M780="F",SUMIF(C2:C1334,C780,AS2:AS1334)&gt;1),1,"")))</f>
        <v/>
      </c>
      <c r="AW780" s="387">
        <f>SUMIF(C2:C1334,C780,O2:O1334)</f>
        <v>2</v>
      </c>
      <c r="AX780" s="387">
        <f>IF(AND(M780="F",AS780&lt;&gt;0),SUMIF(C2:C1334,C780,W2:W1334),0)</f>
        <v>0</v>
      </c>
      <c r="AY780" s="387" t="str">
        <f t="shared" si="557"/>
        <v/>
      </c>
      <c r="AZ780" s="387" t="str">
        <f t="shared" si="558"/>
        <v/>
      </c>
      <c r="BA780" s="387">
        <f t="shared" si="559"/>
        <v>0</v>
      </c>
      <c r="BB780" s="387">
        <f t="shared" si="528"/>
        <v>0</v>
      </c>
      <c r="BC780" s="387">
        <f t="shared" si="529"/>
        <v>0</v>
      </c>
      <c r="BD780" s="387">
        <f t="shared" si="530"/>
        <v>0</v>
      </c>
      <c r="BE780" s="387">
        <f t="shared" si="531"/>
        <v>0</v>
      </c>
      <c r="BF780" s="387">
        <f t="shared" si="532"/>
        <v>0</v>
      </c>
      <c r="BG780" s="387">
        <f t="shared" si="533"/>
        <v>0</v>
      </c>
      <c r="BH780" s="387">
        <f t="shared" si="534"/>
        <v>0</v>
      </c>
      <c r="BI780" s="387">
        <f t="shared" si="535"/>
        <v>0</v>
      </c>
      <c r="BJ780" s="387">
        <f t="shared" si="536"/>
        <v>0</v>
      </c>
      <c r="BK780" s="387">
        <f t="shared" si="537"/>
        <v>0</v>
      </c>
      <c r="BL780" s="387">
        <f t="shared" si="560"/>
        <v>0</v>
      </c>
      <c r="BM780" s="387">
        <f t="shared" si="561"/>
        <v>0</v>
      </c>
      <c r="BN780" s="387">
        <f t="shared" si="538"/>
        <v>0</v>
      </c>
      <c r="BO780" s="387">
        <f t="shared" si="539"/>
        <v>0</v>
      </c>
      <c r="BP780" s="387">
        <f t="shared" si="540"/>
        <v>0</v>
      </c>
      <c r="BQ780" s="387">
        <f t="shared" si="541"/>
        <v>0</v>
      </c>
      <c r="BR780" s="387">
        <f t="shared" si="542"/>
        <v>0</v>
      </c>
      <c r="BS780" s="387">
        <f t="shared" si="543"/>
        <v>0</v>
      </c>
      <c r="BT780" s="387">
        <f t="shared" si="544"/>
        <v>0</v>
      </c>
      <c r="BU780" s="387">
        <f t="shared" si="545"/>
        <v>0</v>
      </c>
      <c r="BV780" s="387">
        <f t="shared" si="546"/>
        <v>0</v>
      </c>
      <c r="BW780" s="387">
        <f t="shared" si="547"/>
        <v>0</v>
      </c>
      <c r="BX780" s="387">
        <f t="shared" si="562"/>
        <v>0</v>
      </c>
      <c r="BY780" s="387">
        <f t="shared" si="563"/>
        <v>0</v>
      </c>
      <c r="BZ780" s="387">
        <f t="shared" si="564"/>
        <v>0</v>
      </c>
      <c r="CA780" s="387">
        <f t="shared" si="565"/>
        <v>0</v>
      </c>
      <c r="CB780" s="387">
        <f t="shared" si="566"/>
        <v>0</v>
      </c>
      <c r="CC780" s="387">
        <f t="shared" si="548"/>
        <v>0</v>
      </c>
      <c r="CD780" s="387">
        <f t="shared" si="549"/>
        <v>0</v>
      </c>
      <c r="CE780" s="387">
        <f t="shared" si="550"/>
        <v>0</v>
      </c>
      <c r="CF780" s="387">
        <f t="shared" si="551"/>
        <v>0</v>
      </c>
      <c r="CG780" s="387">
        <f t="shared" si="552"/>
        <v>0</v>
      </c>
      <c r="CH780" s="387">
        <f t="shared" si="553"/>
        <v>0</v>
      </c>
      <c r="CI780" s="387">
        <f t="shared" si="554"/>
        <v>0</v>
      </c>
      <c r="CJ780" s="387">
        <f t="shared" si="567"/>
        <v>0</v>
      </c>
      <c r="CK780" s="387" t="str">
        <f t="shared" si="568"/>
        <v/>
      </c>
      <c r="CL780" s="387" t="str">
        <f t="shared" si="569"/>
        <v/>
      </c>
      <c r="CM780" s="387" t="str">
        <f t="shared" si="570"/>
        <v/>
      </c>
      <c r="CN780" s="387" t="str">
        <f t="shared" si="571"/>
        <v>0302-00</v>
      </c>
    </row>
    <row r="781" spans="1:92" ht="15.75" thickBot="1" x14ac:dyDescent="0.3">
      <c r="A781" s="376" t="s">
        <v>161</v>
      </c>
      <c r="B781" s="376" t="s">
        <v>162</v>
      </c>
      <c r="C781" s="376" t="s">
        <v>529</v>
      </c>
      <c r="D781" s="376" t="s">
        <v>485</v>
      </c>
      <c r="E781" s="376" t="s">
        <v>165</v>
      </c>
      <c r="F781" s="377" t="s">
        <v>166</v>
      </c>
      <c r="G781" s="376" t="s">
        <v>1945</v>
      </c>
      <c r="H781" s="378"/>
      <c r="I781" s="378"/>
      <c r="J781" s="376" t="s">
        <v>239</v>
      </c>
      <c r="K781" s="376" t="s">
        <v>530</v>
      </c>
      <c r="L781" s="376" t="s">
        <v>181</v>
      </c>
      <c r="M781" s="376" t="s">
        <v>171</v>
      </c>
      <c r="N781" s="376" t="s">
        <v>172</v>
      </c>
      <c r="O781" s="379">
        <v>1</v>
      </c>
      <c r="P781" s="385">
        <v>0</v>
      </c>
      <c r="Q781" s="385">
        <v>0</v>
      </c>
      <c r="R781" s="380">
        <v>80</v>
      </c>
      <c r="S781" s="385">
        <v>0</v>
      </c>
      <c r="T781" s="380">
        <v>9669.2000000000007</v>
      </c>
      <c r="U781" s="380">
        <v>0</v>
      </c>
      <c r="V781" s="380">
        <v>3050.25</v>
      </c>
      <c r="W781" s="380">
        <v>0</v>
      </c>
      <c r="X781" s="380">
        <v>0</v>
      </c>
      <c r="Y781" s="380">
        <v>0</v>
      </c>
      <c r="Z781" s="380">
        <v>0</v>
      </c>
      <c r="AA781" s="376" t="s">
        <v>531</v>
      </c>
      <c r="AB781" s="376" t="s">
        <v>532</v>
      </c>
      <c r="AC781" s="376" t="s">
        <v>533</v>
      </c>
      <c r="AD781" s="376" t="s">
        <v>534</v>
      </c>
      <c r="AE781" s="376" t="s">
        <v>530</v>
      </c>
      <c r="AF781" s="376" t="s">
        <v>211</v>
      </c>
      <c r="AG781" s="376" t="s">
        <v>178</v>
      </c>
      <c r="AH781" s="381">
        <v>49.87</v>
      </c>
      <c r="AI781" s="381">
        <v>41301.5</v>
      </c>
      <c r="AJ781" s="376" t="s">
        <v>179</v>
      </c>
      <c r="AK781" s="376" t="s">
        <v>180</v>
      </c>
      <c r="AL781" s="376" t="s">
        <v>181</v>
      </c>
      <c r="AM781" s="376" t="s">
        <v>182</v>
      </c>
      <c r="AN781" s="376" t="s">
        <v>68</v>
      </c>
      <c r="AO781" s="379">
        <v>80</v>
      </c>
      <c r="AP781" s="385">
        <v>1</v>
      </c>
      <c r="AQ781" s="385">
        <v>0</v>
      </c>
      <c r="AR781" s="383" t="s">
        <v>183</v>
      </c>
      <c r="AS781" s="387">
        <f t="shared" si="555"/>
        <v>0</v>
      </c>
      <c r="AT781">
        <f t="shared" si="556"/>
        <v>0</v>
      </c>
      <c r="AU781" s="387" t="str">
        <f>IF(AT781=0,"",IF(AND(AT781=1,M781="F",SUMIF(C2:C1334,C781,AS2:AS1334)&lt;=1),SUMIF(C2:C1334,C781,AS2:AS1334),IF(AND(AT781=1,M781="F",SUMIF(C2:C1334,C781,AS2:AS1334)&gt;1),1,"")))</f>
        <v/>
      </c>
      <c r="AV781" s="387" t="str">
        <f>IF(AT781=0,"",IF(AND(AT781=3,M781="F",SUMIF(C2:C1334,C781,AS2:AS1334)&lt;=1),SUMIF(C2:C1334,C781,AS2:AS1334),IF(AND(AT781=3,M781="F",SUMIF(C2:C1334,C781,AS2:AS1334)&gt;1),1,"")))</f>
        <v/>
      </c>
      <c r="AW781" s="387">
        <f>SUMIF(C2:C1334,C781,O2:O1334)</f>
        <v>4</v>
      </c>
      <c r="AX781" s="387">
        <f>IF(AND(M781="F",AS781&lt;&gt;0),SUMIF(C2:C1334,C781,W2:W1334),0)</f>
        <v>0</v>
      </c>
      <c r="AY781" s="387" t="str">
        <f t="shared" si="557"/>
        <v/>
      </c>
      <c r="AZ781" s="387" t="str">
        <f t="shared" si="558"/>
        <v/>
      </c>
      <c r="BA781" s="387">
        <f t="shared" si="559"/>
        <v>0</v>
      </c>
      <c r="BB781" s="387">
        <f t="shared" si="528"/>
        <v>0</v>
      </c>
      <c r="BC781" s="387">
        <f t="shared" si="529"/>
        <v>0</v>
      </c>
      <c r="BD781" s="387">
        <f t="shared" si="530"/>
        <v>0</v>
      </c>
      <c r="BE781" s="387">
        <f t="shared" si="531"/>
        <v>0</v>
      </c>
      <c r="BF781" s="387">
        <f t="shared" si="532"/>
        <v>0</v>
      </c>
      <c r="BG781" s="387">
        <f t="shared" si="533"/>
        <v>0</v>
      </c>
      <c r="BH781" s="387">
        <f t="shared" si="534"/>
        <v>0</v>
      </c>
      <c r="BI781" s="387">
        <f t="shared" si="535"/>
        <v>0</v>
      </c>
      <c r="BJ781" s="387">
        <f t="shared" si="536"/>
        <v>0</v>
      </c>
      <c r="BK781" s="387">
        <f t="shared" si="537"/>
        <v>0</v>
      </c>
      <c r="BL781" s="387">
        <f t="shared" si="560"/>
        <v>0</v>
      </c>
      <c r="BM781" s="387">
        <f t="shared" si="561"/>
        <v>0</v>
      </c>
      <c r="BN781" s="387">
        <f t="shared" si="538"/>
        <v>0</v>
      </c>
      <c r="BO781" s="387">
        <f t="shared" si="539"/>
        <v>0</v>
      </c>
      <c r="BP781" s="387">
        <f t="shared" si="540"/>
        <v>0</v>
      </c>
      <c r="BQ781" s="387">
        <f t="shared" si="541"/>
        <v>0</v>
      </c>
      <c r="BR781" s="387">
        <f t="shared" si="542"/>
        <v>0</v>
      </c>
      <c r="BS781" s="387">
        <f t="shared" si="543"/>
        <v>0</v>
      </c>
      <c r="BT781" s="387">
        <f t="shared" si="544"/>
        <v>0</v>
      </c>
      <c r="BU781" s="387">
        <f t="shared" si="545"/>
        <v>0</v>
      </c>
      <c r="BV781" s="387">
        <f t="shared" si="546"/>
        <v>0</v>
      </c>
      <c r="BW781" s="387">
        <f t="shared" si="547"/>
        <v>0</v>
      </c>
      <c r="BX781" s="387">
        <f t="shared" si="562"/>
        <v>0</v>
      </c>
      <c r="BY781" s="387">
        <f t="shared" si="563"/>
        <v>0</v>
      </c>
      <c r="BZ781" s="387">
        <f t="shared" si="564"/>
        <v>0</v>
      </c>
      <c r="CA781" s="387">
        <f t="shared" si="565"/>
        <v>0</v>
      </c>
      <c r="CB781" s="387">
        <f t="shared" si="566"/>
        <v>0</v>
      </c>
      <c r="CC781" s="387">
        <f t="shared" si="548"/>
        <v>0</v>
      </c>
      <c r="CD781" s="387">
        <f t="shared" si="549"/>
        <v>0</v>
      </c>
      <c r="CE781" s="387">
        <f t="shared" si="550"/>
        <v>0</v>
      </c>
      <c r="CF781" s="387">
        <f t="shared" si="551"/>
        <v>0</v>
      </c>
      <c r="CG781" s="387">
        <f t="shared" si="552"/>
        <v>0</v>
      </c>
      <c r="CH781" s="387">
        <f t="shared" si="553"/>
        <v>0</v>
      </c>
      <c r="CI781" s="387">
        <f t="shared" si="554"/>
        <v>0</v>
      </c>
      <c r="CJ781" s="387">
        <f t="shared" si="567"/>
        <v>0</v>
      </c>
      <c r="CK781" s="387" t="str">
        <f t="shared" si="568"/>
        <v/>
      </c>
      <c r="CL781" s="387" t="str">
        <f t="shared" si="569"/>
        <v/>
      </c>
      <c r="CM781" s="387" t="str">
        <f t="shared" si="570"/>
        <v/>
      </c>
      <c r="CN781" s="387" t="str">
        <f t="shared" si="571"/>
        <v>0302-00</v>
      </c>
    </row>
    <row r="782" spans="1:92" ht="15.75" thickBot="1" x14ac:dyDescent="0.3">
      <c r="A782" s="376" t="s">
        <v>161</v>
      </c>
      <c r="B782" s="376" t="s">
        <v>162</v>
      </c>
      <c r="C782" s="376" t="s">
        <v>699</v>
      </c>
      <c r="D782" s="376" t="s">
        <v>700</v>
      </c>
      <c r="E782" s="376" t="s">
        <v>165</v>
      </c>
      <c r="F782" s="377" t="s">
        <v>166</v>
      </c>
      <c r="G782" s="376" t="s">
        <v>1945</v>
      </c>
      <c r="H782" s="378"/>
      <c r="I782" s="378"/>
      <c r="J782" s="376" t="s">
        <v>215</v>
      </c>
      <c r="K782" s="376" t="s">
        <v>701</v>
      </c>
      <c r="L782" s="376" t="s">
        <v>170</v>
      </c>
      <c r="M782" s="376" t="s">
        <v>171</v>
      </c>
      <c r="N782" s="376" t="s">
        <v>172</v>
      </c>
      <c r="O782" s="379">
        <v>1</v>
      </c>
      <c r="P782" s="385">
        <v>0</v>
      </c>
      <c r="Q782" s="385">
        <v>0</v>
      </c>
      <c r="R782" s="380">
        <v>80</v>
      </c>
      <c r="S782" s="385">
        <v>0</v>
      </c>
      <c r="T782" s="380">
        <v>17.3</v>
      </c>
      <c r="U782" s="380">
        <v>0</v>
      </c>
      <c r="V782" s="380">
        <v>3.87</v>
      </c>
      <c r="W782" s="380">
        <v>0</v>
      </c>
      <c r="X782" s="380">
        <v>0</v>
      </c>
      <c r="Y782" s="380">
        <v>0</v>
      </c>
      <c r="Z782" s="380">
        <v>0</v>
      </c>
      <c r="AA782" s="376" t="s">
        <v>702</v>
      </c>
      <c r="AB782" s="376" t="s">
        <v>703</v>
      </c>
      <c r="AC782" s="376" t="s">
        <v>704</v>
      </c>
      <c r="AD782" s="376" t="s">
        <v>583</v>
      </c>
      <c r="AE782" s="376" t="s">
        <v>701</v>
      </c>
      <c r="AF782" s="376" t="s">
        <v>177</v>
      </c>
      <c r="AG782" s="376" t="s">
        <v>178</v>
      </c>
      <c r="AH782" s="381">
        <v>36.24</v>
      </c>
      <c r="AI782" s="381">
        <v>56635.199999999997</v>
      </c>
      <c r="AJ782" s="376" t="s">
        <v>179</v>
      </c>
      <c r="AK782" s="376" t="s">
        <v>180</v>
      </c>
      <c r="AL782" s="376" t="s">
        <v>181</v>
      </c>
      <c r="AM782" s="376" t="s">
        <v>182</v>
      </c>
      <c r="AN782" s="376" t="s">
        <v>68</v>
      </c>
      <c r="AO782" s="379">
        <v>80</v>
      </c>
      <c r="AP782" s="385">
        <v>1</v>
      </c>
      <c r="AQ782" s="385">
        <v>0</v>
      </c>
      <c r="AR782" s="383" t="s">
        <v>183</v>
      </c>
      <c r="AS782" s="387">
        <f t="shared" si="555"/>
        <v>0</v>
      </c>
      <c r="AT782">
        <f t="shared" si="556"/>
        <v>0</v>
      </c>
      <c r="AU782" s="387" t="str">
        <f>IF(AT782=0,"",IF(AND(AT782=1,M782="F",SUMIF(C2:C1334,C782,AS2:AS1334)&lt;=1),SUMIF(C2:C1334,C782,AS2:AS1334),IF(AND(AT782=1,M782="F",SUMIF(C2:C1334,C782,AS2:AS1334)&gt;1),1,"")))</f>
        <v/>
      </c>
      <c r="AV782" s="387" t="str">
        <f>IF(AT782=0,"",IF(AND(AT782=3,M782="F",SUMIF(C2:C1334,C782,AS2:AS1334)&lt;=1),SUMIF(C2:C1334,C782,AS2:AS1334),IF(AND(AT782=3,M782="F",SUMIF(C2:C1334,C782,AS2:AS1334)&gt;1),1,"")))</f>
        <v/>
      </c>
      <c r="AW782" s="387">
        <f>SUMIF(C2:C1334,C782,O2:O1334)</f>
        <v>3</v>
      </c>
      <c r="AX782" s="387">
        <f>IF(AND(M782="F",AS782&lt;&gt;0),SUMIF(C2:C1334,C782,W2:W1334),0)</f>
        <v>0</v>
      </c>
      <c r="AY782" s="387" t="str">
        <f t="shared" si="557"/>
        <v/>
      </c>
      <c r="AZ782" s="387" t="str">
        <f t="shared" si="558"/>
        <v/>
      </c>
      <c r="BA782" s="387">
        <f t="shared" si="559"/>
        <v>0</v>
      </c>
      <c r="BB782" s="387">
        <f t="shared" si="528"/>
        <v>0</v>
      </c>
      <c r="BC782" s="387">
        <f t="shared" si="529"/>
        <v>0</v>
      </c>
      <c r="BD782" s="387">
        <f t="shared" si="530"/>
        <v>0</v>
      </c>
      <c r="BE782" s="387">
        <f t="shared" si="531"/>
        <v>0</v>
      </c>
      <c r="BF782" s="387">
        <f t="shared" si="532"/>
        <v>0</v>
      </c>
      <c r="BG782" s="387">
        <f t="shared" si="533"/>
        <v>0</v>
      </c>
      <c r="BH782" s="387">
        <f t="shared" si="534"/>
        <v>0</v>
      </c>
      <c r="BI782" s="387">
        <f t="shared" si="535"/>
        <v>0</v>
      </c>
      <c r="BJ782" s="387">
        <f t="shared" si="536"/>
        <v>0</v>
      </c>
      <c r="BK782" s="387">
        <f t="shared" si="537"/>
        <v>0</v>
      </c>
      <c r="BL782" s="387">
        <f t="shared" si="560"/>
        <v>0</v>
      </c>
      <c r="BM782" s="387">
        <f t="shared" si="561"/>
        <v>0</v>
      </c>
      <c r="BN782" s="387">
        <f t="shared" si="538"/>
        <v>0</v>
      </c>
      <c r="BO782" s="387">
        <f t="shared" si="539"/>
        <v>0</v>
      </c>
      <c r="BP782" s="387">
        <f t="shared" si="540"/>
        <v>0</v>
      </c>
      <c r="BQ782" s="387">
        <f t="shared" si="541"/>
        <v>0</v>
      </c>
      <c r="BR782" s="387">
        <f t="shared" si="542"/>
        <v>0</v>
      </c>
      <c r="BS782" s="387">
        <f t="shared" si="543"/>
        <v>0</v>
      </c>
      <c r="BT782" s="387">
        <f t="shared" si="544"/>
        <v>0</v>
      </c>
      <c r="BU782" s="387">
        <f t="shared" si="545"/>
        <v>0</v>
      </c>
      <c r="BV782" s="387">
        <f t="shared" si="546"/>
        <v>0</v>
      </c>
      <c r="BW782" s="387">
        <f t="shared" si="547"/>
        <v>0</v>
      </c>
      <c r="BX782" s="387">
        <f t="shared" si="562"/>
        <v>0</v>
      </c>
      <c r="BY782" s="387">
        <f t="shared" si="563"/>
        <v>0</v>
      </c>
      <c r="BZ782" s="387">
        <f t="shared" si="564"/>
        <v>0</v>
      </c>
      <c r="CA782" s="387">
        <f t="shared" si="565"/>
        <v>0</v>
      </c>
      <c r="CB782" s="387">
        <f t="shared" si="566"/>
        <v>0</v>
      </c>
      <c r="CC782" s="387">
        <f t="shared" si="548"/>
        <v>0</v>
      </c>
      <c r="CD782" s="387">
        <f t="shared" si="549"/>
        <v>0</v>
      </c>
      <c r="CE782" s="387">
        <f t="shared" si="550"/>
        <v>0</v>
      </c>
      <c r="CF782" s="387">
        <f t="shared" si="551"/>
        <v>0</v>
      </c>
      <c r="CG782" s="387">
        <f t="shared" si="552"/>
        <v>0</v>
      </c>
      <c r="CH782" s="387">
        <f t="shared" si="553"/>
        <v>0</v>
      </c>
      <c r="CI782" s="387">
        <f t="shared" si="554"/>
        <v>0</v>
      </c>
      <c r="CJ782" s="387">
        <f t="shared" si="567"/>
        <v>0</v>
      </c>
      <c r="CK782" s="387" t="str">
        <f t="shared" si="568"/>
        <v/>
      </c>
      <c r="CL782" s="387" t="str">
        <f t="shared" si="569"/>
        <v/>
      </c>
      <c r="CM782" s="387" t="str">
        <f t="shared" si="570"/>
        <v/>
      </c>
      <c r="CN782" s="387" t="str">
        <f t="shared" si="571"/>
        <v>0302-00</v>
      </c>
    </row>
    <row r="783" spans="1:92" ht="15.75" thickBot="1" x14ac:dyDescent="0.3">
      <c r="A783" s="376" t="s">
        <v>161</v>
      </c>
      <c r="B783" s="376" t="s">
        <v>162</v>
      </c>
      <c r="C783" s="376" t="s">
        <v>1961</v>
      </c>
      <c r="D783" s="376" t="s">
        <v>574</v>
      </c>
      <c r="E783" s="376" t="s">
        <v>165</v>
      </c>
      <c r="F783" s="377" t="s">
        <v>166</v>
      </c>
      <c r="G783" s="376" t="s">
        <v>1945</v>
      </c>
      <c r="H783" s="378"/>
      <c r="I783" s="378"/>
      <c r="J783" s="376" t="s">
        <v>215</v>
      </c>
      <c r="K783" s="376" t="s">
        <v>575</v>
      </c>
      <c r="L783" s="376" t="s">
        <v>351</v>
      </c>
      <c r="M783" s="376" t="s">
        <v>566</v>
      </c>
      <c r="N783" s="376" t="s">
        <v>172</v>
      </c>
      <c r="O783" s="379">
        <v>0</v>
      </c>
      <c r="P783" s="385">
        <v>0</v>
      </c>
      <c r="Q783" s="385">
        <v>0</v>
      </c>
      <c r="R783" s="380">
        <v>80</v>
      </c>
      <c r="S783" s="385">
        <v>0</v>
      </c>
      <c r="T783" s="380">
        <v>18974.240000000002</v>
      </c>
      <c r="U783" s="380">
        <v>0</v>
      </c>
      <c r="V783" s="380">
        <v>1609.49</v>
      </c>
      <c r="W783" s="380">
        <v>0</v>
      </c>
      <c r="X783" s="380">
        <v>0</v>
      </c>
      <c r="Y783" s="380">
        <v>0</v>
      </c>
      <c r="Z783" s="380">
        <v>0</v>
      </c>
      <c r="AA783" s="378"/>
      <c r="AB783" s="376" t="s">
        <v>45</v>
      </c>
      <c r="AC783" s="376" t="s">
        <v>45</v>
      </c>
      <c r="AD783" s="378"/>
      <c r="AE783" s="378"/>
      <c r="AF783" s="378"/>
      <c r="AG783" s="378"/>
      <c r="AH783" s="379">
        <v>0</v>
      </c>
      <c r="AI783" s="379">
        <v>0</v>
      </c>
      <c r="AJ783" s="378"/>
      <c r="AK783" s="378"/>
      <c r="AL783" s="376" t="s">
        <v>181</v>
      </c>
      <c r="AM783" s="378"/>
      <c r="AN783" s="378"/>
      <c r="AO783" s="379">
        <v>0</v>
      </c>
      <c r="AP783" s="385">
        <v>0</v>
      </c>
      <c r="AQ783" s="385">
        <v>0</v>
      </c>
      <c r="AR783" s="384"/>
      <c r="AS783" s="387">
        <f t="shared" si="555"/>
        <v>0</v>
      </c>
      <c r="AT783">
        <f t="shared" si="556"/>
        <v>0</v>
      </c>
      <c r="AU783" s="387" t="str">
        <f>IF(AT783=0,"",IF(AND(AT783=1,M783="F",SUMIF(C2:C1334,C783,AS2:AS1334)&lt;=1),SUMIF(C2:C1334,C783,AS2:AS1334),IF(AND(AT783=1,M783="F",SUMIF(C2:C1334,C783,AS2:AS1334)&gt;1),1,"")))</f>
        <v/>
      </c>
      <c r="AV783" s="387" t="str">
        <f>IF(AT783=0,"",IF(AND(AT783=3,M783="F",SUMIF(C2:C1334,C783,AS2:AS1334)&lt;=1),SUMIF(C2:C1334,C783,AS2:AS1334),IF(AND(AT783=3,M783="F",SUMIF(C2:C1334,C783,AS2:AS1334)&gt;1),1,"")))</f>
        <v/>
      </c>
      <c r="AW783" s="387">
        <f>SUMIF(C2:C1334,C783,O2:O1334)</f>
        <v>0</v>
      </c>
      <c r="AX783" s="387">
        <f>IF(AND(M783="F",AS783&lt;&gt;0),SUMIF(C2:C1334,C783,W2:W1334),0)</f>
        <v>0</v>
      </c>
      <c r="AY783" s="387" t="str">
        <f t="shared" si="557"/>
        <v/>
      </c>
      <c r="AZ783" s="387" t="str">
        <f t="shared" si="558"/>
        <v/>
      </c>
      <c r="BA783" s="387">
        <f t="shared" si="559"/>
        <v>0</v>
      </c>
      <c r="BB783" s="387">
        <f t="shared" si="528"/>
        <v>0</v>
      </c>
      <c r="BC783" s="387">
        <f t="shared" si="529"/>
        <v>0</v>
      </c>
      <c r="BD783" s="387">
        <f t="shared" si="530"/>
        <v>0</v>
      </c>
      <c r="BE783" s="387">
        <f t="shared" si="531"/>
        <v>0</v>
      </c>
      <c r="BF783" s="387">
        <f t="shared" si="532"/>
        <v>0</v>
      </c>
      <c r="BG783" s="387">
        <f t="shared" si="533"/>
        <v>0</v>
      </c>
      <c r="BH783" s="387">
        <f t="shared" si="534"/>
        <v>0</v>
      </c>
      <c r="BI783" s="387">
        <f t="shared" si="535"/>
        <v>0</v>
      </c>
      <c r="BJ783" s="387">
        <f t="shared" si="536"/>
        <v>0</v>
      </c>
      <c r="BK783" s="387">
        <f t="shared" si="537"/>
        <v>0</v>
      </c>
      <c r="BL783" s="387">
        <f t="shared" si="560"/>
        <v>0</v>
      </c>
      <c r="BM783" s="387">
        <f t="shared" si="561"/>
        <v>0</v>
      </c>
      <c r="BN783" s="387">
        <f t="shared" si="538"/>
        <v>0</v>
      </c>
      <c r="BO783" s="387">
        <f t="shared" si="539"/>
        <v>0</v>
      </c>
      <c r="BP783" s="387">
        <f t="shared" si="540"/>
        <v>0</v>
      </c>
      <c r="BQ783" s="387">
        <f t="shared" si="541"/>
        <v>0</v>
      </c>
      <c r="BR783" s="387">
        <f t="shared" si="542"/>
        <v>0</v>
      </c>
      <c r="BS783" s="387">
        <f t="shared" si="543"/>
        <v>0</v>
      </c>
      <c r="BT783" s="387">
        <f t="shared" si="544"/>
        <v>0</v>
      </c>
      <c r="BU783" s="387">
        <f t="shared" si="545"/>
        <v>0</v>
      </c>
      <c r="BV783" s="387">
        <f t="shared" si="546"/>
        <v>0</v>
      </c>
      <c r="BW783" s="387">
        <f t="shared" si="547"/>
        <v>0</v>
      </c>
      <c r="BX783" s="387">
        <f t="shared" si="562"/>
        <v>0</v>
      </c>
      <c r="BY783" s="387">
        <f t="shared" si="563"/>
        <v>0</v>
      </c>
      <c r="BZ783" s="387">
        <f t="shared" si="564"/>
        <v>0</v>
      </c>
      <c r="CA783" s="387">
        <f t="shared" si="565"/>
        <v>0</v>
      </c>
      <c r="CB783" s="387">
        <f t="shared" si="566"/>
        <v>0</v>
      </c>
      <c r="CC783" s="387">
        <f t="shared" si="548"/>
        <v>0</v>
      </c>
      <c r="CD783" s="387">
        <f t="shared" si="549"/>
        <v>0</v>
      </c>
      <c r="CE783" s="387">
        <f t="shared" si="550"/>
        <v>0</v>
      </c>
      <c r="CF783" s="387">
        <f t="shared" si="551"/>
        <v>0</v>
      </c>
      <c r="CG783" s="387">
        <f t="shared" si="552"/>
        <v>0</v>
      </c>
      <c r="CH783" s="387">
        <f t="shared" si="553"/>
        <v>0</v>
      </c>
      <c r="CI783" s="387">
        <f t="shared" si="554"/>
        <v>0</v>
      </c>
      <c r="CJ783" s="387">
        <f t="shared" si="567"/>
        <v>0</v>
      </c>
      <c r="CK783" s="387" t="str">
        <f t="shared" si="568"/>
        <v/>
      </c>
      <c r="CL783" s="387" t="str">
        <f t="shared" si="569"/>
        <v/>
      </c>
      <c r="CM783" s="387" t="str">
        <f t="shared" si="570"/>
        <v/>
      </c>
      <c r="CN783" s="387" t="str">
        <f t="shared" si="571"/>
        <v>0302-00</v>
      </c>
    </row>
    <row r="784" spans="1:92" ht="15.75" thickBot="1" x14ac:dyDescent="0.3">
      <c r="A784" s="376" t="s">
        <v>161</v>
      </c>
      <c r="B784" s="376" t="s">
        <v>162</v>
      </c>
      <c r="C784" s="376" t="s">
        <v>1962</v>
      </c>
      <c r="D784" s="376" t="s">
        <v>881</v>
      </c>
      <c r="E784" s="376" t="s">
        <v>165</v>
      </c>
      <c r="F784" s="377" t="s">
        <v>166</v>
      </c>
      <c r="G784" s="376" t="s">
        <v>1945</v>
      </c>
      <c r="H784" s="378"/>
      <c r="I784" s="378"/>
      <c r="J784" s="376" t="s">
        <v>215</v>
      </c>
      <c r="K784" s="376" t="s">
        <v>882</v>
      </c>
      <c r="L784" s="376" t="s">
        <v>210</v>
      </c>
      <c r="M784" s="376" t="s">
        <v>171</v>
      </c>
      <c r="N784" s="376" t="s">
        <v>172</v>
      </c>
      <c r="O784" s="379">
        <v>1</v>
      </c>
      <c r="P784" s="385">
        <v>0</v>
      </c>
      <c r="Q784" s="385">
        <v>0</v>
      </c>
      <c r="R784" s="380">
        <v>80</v>
      </c>
      <c r="S784" s="385">
        <v>0</v>
      </c>
      <c r="T784" s="380">
        <v>130.28</v>
      </c>
      <c r="U784" s="380">
        <v>0</v>
      </c>
      <c r="V784" s="380">
        <v>51.46</v>
      </c>
      <c r="W784" s="380">
        <v>0</v>
      </c>
      <c r="X784" s="380">
        <v>0</v>
      </c>
      <c r="Y784" s="380">
        <v>0</v>
      </c>
      <c r="Z784" s="380">
        <v>0</v>
      </c>
      <c r="AA784" s="376" t="s">
        <v>1963</v>
      </c>
      <c r="AB784" s="376" t="s">
        <v>1964</v>
      </c>
      <c r="AC784" s="376" t="s">
        <v>1965</v>
      </c>
      <c r="AD784" s="376" t="s">
        <v>324</v>
      </c>
      <c r="AE784" s="376" t="s">
        <v>882</v>
      </c>
      <c r="AF784" s="376" t="s">
        <v>245</v>
      </c>
      <c r="AG784" s="376" t="s">
        <v>178</v>
      </c>
      <c r="AH784" s="381">
        <v>31.02</v>
      </c>
      <c r="AI784" s="381">
        <v>36010.699999999997</v>
      </c>
      <c r="AJ784" s="376" t="s">
        <v>179</v>
      </c>
      <c r="AK784" s="376" t="s">
        <v>180</v>
      </c>
      <c r="AL784" s="376" t="s">
        <v>181</v>
      </c>
      <c r="AM784" s="376" t="s">
        <v>182</v>
      </c>
      <c r="AN784" s="376" t="s">
        <v>68</v>
      </c>
      <c r="AO784" s="379">
        <v>80</v>
      </c>
      <c r="AP784" s="385">
        <v>1</v>
      </c>
      <c r="AQ784" s="385">
        <v>0</v>
      </c>
      <c r="AR784" s="383" t="s">
        <v>183</v>
      </c>
      <c r="AS784" s="387">
        <f t="shared" si="555"/>
        <v>0</v>
      </c>
      <c r="AT784">
        <f t="shared" si="556"/>
        <v>0</v>
      </c>
      <c r="AU784" s="387" t="str">
        <f>IF(AT784=0,"",IF(AND(AT784=1,M784="F",SUMIF(C2:C1334,C784,AS2:AS1334)&lt;=1),SUMIF(C2:C1334,C784,AS2:AS1334),IF(AND(AT784=1,M784="F",SUMIF(C2:C1334,C784,AS2:AS1334)&gt;1),1,"")))</f>
        <v/>
      </c>
      <c r="AV784" s="387" t="str">
        <f>IF(AT784=0,"",IF(AND(AT784=3,M784="F",SUMIF(C2:C1334,C784,AS2:AS1334)&lt;=1),SUMIF(C2:C1334,C784,AS2:AS1334),IF(AND(AT784=3,M784="F",SUMIF(C2:C1334,C784,AS2:AS1334)&gt;1),1,"")))</f>
        <v/>
      </c>
      <c r="AW784" s="387">
        <f>SUMIF(C2:C1334,C784,O2:O1334)</f>
        <v>2</v>
      </c>
      <c r="AX784" s="387">
        <f>IF(AND(M784="F",AS784&lt;&gt;0),SUMIF(C2:C1334,C784,W2:W1334),0)</f>
        <v>0</v>
      </c>
      <c r="AY784" s="387" t="str">
        <f t="shared" si="557"/>
        <v/>
      </c>
      <c r="AZ784" s="387" t="str">
        <f t="shared" si="558"/>
        <v/>
      </c>
      <c r="BA784" s="387">
        <f t="shared" si="559"/>
        <v>0</v>
      </c>
      <c r="BB784" s="387">
        <f t="shared" si="528"/>
        <v>0</v>
      </c>
      <c r="BC784" s="387">
        <f t="shared" si="529"/>
        <v>0</v>
      </c>
      <c r="BD784" s="387">
        <f t="shared" si="530"/>
        <v>0</v>
      </c>
      <c r="BE784" s="387">
        <f t="shared" si="531"/>
        <v>0</v>
      </c>
      <c r="BF784" s="387">
        <f t="shared" si="532"/>
        <v>0</v>
      </c>
      <c r="BG784" s="387">
        <f t="shared" si="533"/>
        <v>0</v>
      </c>
      <c r="BH784" s="387">
        <f t="shared" si="534"/>
        <v>0</v>
      </c>
      <c r="BI784" s="387">
        <f t="shared" si="535"/>
        <v>0</v>
      </c>
      <c r="BJ784" s="387">
        <f t="shared" si="536"/>
        <v>0</v>
      </c>
      <c r="BK784" s="387">
        <f t="shared" si="537"/>
        <v>0</v>
      </c>
      <c r="BL784" s="387">
        <f t="shared" si="560"/>
        <v>0</v>
      </c>
      <c r="BM784" s="387">
        <f t="shared" si="561"/>
        <v>0</v>
      </c>
      <c r="BN784" s="387">
        <f t="shared" si="538"/>
        <v>0</v>
      </c>
      <c r="BO784" s="387">
        <f t="shared" si="539"/>
        <v>0</v>
      </c>
      <c r="BP784" s="387">
        <f t="shared" si="540"/>
        <v>0</v>
      </c>
      <c r="BQ784" s="387">
        <f t="shared" si="541"/>
        <v>0</v>
      </c>
      <c r="BR784" s="387">
        <f t="shared" si="542"/>
        <v>0</v>
      </c>
      <c r="BS784" s="387">
        <f t="shared" si="543"/>
        <v>0</v>
      </c>
      <c r="BT784" s="387">
        <f t="shared" si="544"/>
        <v>0</v>
      </c>
      <c r="BU784" s="387">
        <f t="shared" si="545"/>
        <v>0</v>
      </c>
      <c r="BV784" s="387">
        <f t="shared" si="546"/>
        <v>0</v>
      </c>
      <c r="BW784" s="387">
        <f t="shared" si="547"/>
        <v>0</v>
      </c>
      <c r="BX784" s="387">
        <f t="shared" si="562"/>
        <v>0</v>
      </c>
      <c r="BY784" s="387">
        <f t="shared" si="563"/>
        <v>0</v>
      </c>
      <c r="BZ784" s="387">
        <f t="shared" si="564"/>
        <v>0</v>
      </c>
      <c r="CA784" s="387">
        <f t="shared" si="565"/>
        <v>0</v>
      </c>
      <c r="CB784" s="387">
        <f t="shared" si="566"/>
        <v>0</v>
      </c>
      <c r="CC784" s="387">
        <f t="shared" si="548"/>
        <v>0</v>
      </c>
      <c r="CD784" s="387">
        <f t="shared" si="549"/>
        <v>0</v>
      </c>
      <c r="CE784" s="387">
        <f t="shared" si="550"/>
        <v>0</v>
      </c>
      <c r="CF784" s="387">
        <f t="shared" si="551"/>
        <v>0</v>
      </c>
      <c r="CG784" s="387">
        <f t="shared" si="552"/>
        <v>0</v>
      </c>
      <c r="CH784" s="387">
        <f t="shared" si="553"/>
        <v>0</v>
      </c>
      <c r="CI784" s="387">
        <f t="shared" si="554"/>
        <v>0</v>
      </c>
      <c r="CJ784" s="387">
        <f t="shared" si="567"/>
        <v>0</v>
      </c>
      <c r="CK784" s="387" t="str">
        <f t="shared" si="568"/>
        <v/>
      </c>
      <c r="CL784" s="387" t="str">
        <f t="shared" si="569"/>
        <v/>
      </c>
      <c r="CM784" s="387" t="str">
        <f t="shared" si="570"/>
        <v/>
      </c>
      <c r="CN784" s="387" t="str">
        <f t="shared" si="571"/>
        <v>0302-00</v>
      </c>
    </row>
    <row r="785" spans="1:92" ht="15.75" thickBot="1" x14ac:dyDescent="0.3">
      <c r="A785" s="376" t="s">
        <v>161</v>
      </c>
      <c r="B785" s="376" t="s">
        <v>162</v>
      </c>
      <c r="C785" s="376" t="s">
        <v>442</v>
      </c>
      <c r="D785" s="376" t="s">
        <v>443</v>
      </c>
      <c r="E785" s="376" t="s">
        <v>165</v>
      </c>
      <c r="F785" s="377" t="s">
        <v>166</v>
      </c>
      <c r="G785" s="376" t="s">
        <v>1945</v>
      </c>
      <c r="H785" s="378"/>
      <c r="I785" s="378"/>
      <c r="J785" s="376" t="s">
        <v>239</v>
      </c>
      <c r="K785" s="376" t="s">
        <v>444</v>
      </c>
      <c r="L785" s="376" t="s">
        <v>351</v>
      </c>
      <c r="M785" s="376" t="s">
        <v>171</v>
      </c>
      <c r="N785" s="376" t="s">
        <v>172</v>
      </c>
      <c r="O785" s="379">
        <v>2</v>
      </c>
      <c r="P785" s="385">
        <v>0</v>
      </c>
      <c r="Q785" s="385">
        <v>0</v>
      </c>
      <c r="R785" s="380">
        <v>80</v>
      </c>
      <c r="S785" s="385">
        <v>0</v>
      </c>
      <c r="T785" s="380">
        <v>4664</v>
      </c>
      <c r="U785" s="380">
        <v>0</v>
      </c>
      <c r="V785" s="380">
        <v>1463.53</v>
      </c>
      <c r="W785" s="380">
        <v>0</v>
      </c>
      <c r="X785" s="380">
        <v>0</v>
      </c>
      <c r="Y785" s="380">
        <v>0</v>
      </c>
      <c r="Z785" s="380">
        <v>0</v>
      </c>
      <c r="AA785" s="376" t="s">
        <v>445</v>
      </c>
      <c r="AB785" s="376" t="s">
        <v>446</v>
      </c>
      <c r="AC785" s="376" t="s">
        <v>251</v>
      </c>
      <c r="AD785" s="376" t="s">
        <v>300</v>
      </c>
      <c r="AE785" s="376" t="s">
        <v>444</v>
      </c>
      <c r="AF785" s="376" t="s">
        <v>355</v>
      </c>
      <c r="AG785" s="376" t="s">
        <v>178</v>
      </c>
      <c r="AH785" s="381">
        <v>43.15</v>
      </c>
      <c r="AI785" s="381">
        <v>16321.2</v>
      </c>
      <c r="AJ785" s="376" t="s">
        <v>179</v>
      </c>
      <c r="AK785" s="376" t="s">
        <v>180</v>
      </c>
      <c r="AL785" s="376" t="s">
        <v>181</v>
      </c>
      <c r="AM785" s="376" t="s">
        <v>182</v>
      </c>
      <c r="AN785" s="376" t="s">
        <v>68</v>
      </c>
      <c r="AO785" s="379">
        <v>80</v>
      </c>
      <c r="AP785" s="385">
        <v>1</v>
      </c>
      <c r="AQ785" s="385">
        <v>0</v>
      </c>
      <c r="AR785" s="383">
        <v>6</v>
      </c>
      <c r="AS785" s="387">
        <f t="shared" si="555"/>
        <v>0</v>
      </c>
      <c r="AT785">
        <f t="shared" si="556"/>
        <v>0</v>
      </c>
      <c r="AU785" s="387" t="str">
        <f>IF(AT785=0,"",IF(AND(AT785=1,M785="F",SUMIF(C2:C1334,C785,AS2:AS1334)&lt;=1),SUMIF(C2:C1334,C785,AS2:AS1334),IF(AND(AT785=1,M785="F",SUMIF(C2:C1334,C785,AS2:AS1334)&gt;1),1,"")))</f>
        <v/>
      </c>
      <c r="AV785" s="387" t="str">
        <f>IF(AT785=0,"",IF(AND(AT785=3,M785="F",SUMIF(C2:C1334,C785,AS2:AS1334)&lt;=1),SUMIF(C2:C1334,C785,AS2:AS1334),IF(AND(AT785=3,M785="F",SUMIF(C2:C1334,C785,AS2:AS1334)&gt;1),1,"")))</f>
        <v/>
      </c>
      <c r="AW785" s="387">
        <f>SUMIF(C2:C1334,C785,O2:O1334)</f>
        <v>16</v>
      </c>
      <c r="AX785" s="387">
        <f>IF(AND(M785="F",AS785&lt;&gt;0),SUMIF(C2:C1334,C785,W2:W1334),0)</f>
        <v>0</v>
      </c>
      <c r="AY785" s="387" t="str">
        <f t="shared" si="557"/>
        <v/>
      </c>
      <c r="AZ785" s="387" t="str">
        <f t="shared" si="558"/>
        <v/>
      </c>
      <c r="BA785" s="387">
        <f t="shared" si="559"/>
        <v>0</v>
      </c>
      <c r="BB785" s="387">
        <f t="shared" si="528"/>
        <v>0</v>
      </c>
      <c r="BC785" s="387">
        <f t="shared" si="529"/>
        <v>0</v>
      </c>
      <c r="BD785" s="387">
        <f t="shared" si="530"/>
        <v>0</v>
      </c>
      <c r="BE785" s="387">
        <f t="shared" si="531"/>
        <v>0</v>
      </c>
      <c r="BF785" s="387">
        <f t="shared" si="532"/>
        <v>0</v>
      </c>
      <c r="BG785" s="387">
        <f t="shared" si="533"/>
        <v>0</v>
      </c>
      <c r="BH785" s="387">
        <f t="shared" si="534"/>
        <v>0</v>
      </c>
      <c r="BI785" s="387">
        <f t="shared" si="535"/>
        <v>0</v>
      </c>
      <c r="BJ785" s="387">
        <f t="shared" si="536"/>
        <v>0</v>
      </c>
      <c r="BK785" s="387">
        <f t="shared" si="537"/>
        <v>0</v>
      </c>
      <c r="BL785" s="387">
        <f t="shared" si="560"/>
        <v>0</v>
      </c>
      <c r="BM785" s="387">
        <f t="shared" si="561"/>
        <v>0</v>
      </c>
      <c r="BN785" s="387">
        <f t="shared" si="538"/>
        <v>0</v>
      </c>
      <c r="BO785" s="387">
        <f t="shared" si="539"/>
        <v>0</v>
      </c>
      <c r="BP785" s="387">
        <f t="shared" si="540"/>
        <v>0</v>
      </c>
      <c r="BQ785" s="387">
        <f t="shared" si="541"/>
        <v>0</v>
      </c>
      <c r="BR785" s="387">
        <f t="shared" si="542"/>
        <v>0</v>
      </c>
      <c r="BS785" s="387">
        <f t="shared" si="543"/>
        <v>0</v>
      </c>
      <c r="BT785" s="387">
        <f t="shared" si="544"/>
        <v>0</v>
      </c>
      <c r="BU785" s="387">
        <f t="shared" si="545"/>
        <v>0</v>
      </c>
      <c r="BV785" s="387">
        <f t="shared" si="546"/>
        <v>0</v>
      </c>
      <c r="BW785" s="387">
        <f t="shared" si="547"/>
        <v>0</v>
      </c>
      <c r="BX785" s="387">
        <f t="shared" si="562"/>
        <v>0</v>
      </c>
      <c r="BY785" s="387">
        <f t="shared" si="563"/>
        <v>0</v>
      </c>
      <c r="BZ785" s="387">
        <f t="shared" si="564"/>
        <v>0</v>
      </c>
      <c r="CA785" s="387">
        <f t="shared" si="565"/>
        <v>0</v>
      </c>
      <c r="CB785" s="387">
        <f t="shared" si="566"/>
        <v>0</v>
      </c>
      <c r="CC785" s="387">
        <f t="shared" si="548"/>
        <v>0</v>
      </c>
      <c r="CD785" s="387">
        <f t="shared" si="549"/>
        <v>0</v>
      </c>
      <c r="CE785" s="387">
        <f t="shared" si="550"/>
        <v>0</v>
      </c>
      <c r="CF785" s="387">
        <f t="shared" si="551"/>
        <v>0</v>
      </c>
      <c r="CG785" s="387">
        <f t="shared" si="552"/>
        <v>0</v>
      </c>
      <c r="CH785" s="387">
        <f t="shared" si="553"/>
        <v>0</v>
      </c>
      <c r="CI785" s="387">
        <f t="shared" si="554"/>
        <v>0</v>
      </c>
      <c r="CJ785" s="387">
        <f t="shared" si="567"/>
        <v>0</v>
      </c>
      <c r="CK785" s="387" t="str">
        <f t="shared" si="568"/>
        <v/>
      </c>
      <c r="CL785" s="387" t="str">
        <f t="shared" si="569"/>
        <v/>
      </c>
      <c r="CM785" s="387" t="str">
        <f t="shared" si="570"/>
        <v/>
      </c>
      <c r="CN785" s="387" t="str">
        <f t="shared" si="571"/>
        <v>0302-00</v>
      </c>
    </row>
    <row r="786" spans="1:92" ht="15.75" thickBot="1" x14ac:dyDescent="0.3">
      <c r="A786" s="376" t="s">
        <v>161</v>
      </c>
      <c r="B786" s="376" t="s">
        <v>162</v>
      </c>
      <c r="C786" s="376" t="s">
        <v>442</v>
      </c>
      <c r="D786" s="376" t="s">
        <v>443</v>
      </c>
      <c r="E786" s="376" t="s">
        <v>165</v>
      </c>
      <c r="F786" s="377" t="s">
        <v>166</v>
      </c>
      <c r="G786" s="376" t="s">
        <v>1945</v>
      </c>
      <c r="H786" s="378"/>
      <c r="I786" s="378"/>
      <c r="J786" s="376" t="s">
        <v>239</v>
      </c>
      <c r="K786" s="376" t="s">
        <v>444</v>
      </c>
      <c r="L786" s="376" t="s">
        <v>351</v>
      </c>
      <c r="M786" s="376" t="s">
        <v>171</v>
      </c>
      <c r="N786" s="376" t="s">
        <v>172</v>
      </c>
      <c r="O786" s="379">
        <v>2</v>
      </c>
      <c r="P786" s="385">
        <v>0</v>
      </c>
      <c r="Q786" s="385">
        <v>0</v>
      </c>
      <c r="R786" s="380">
        <v>80</v>
      </c>
      <c r="S786" s="385">
        <v>0</v>
      </c>
      <c r="T786" s="380">
        <v>4664</v>
      </c>
      <c r="U786" s="380">
        <v>0</v>
      </c>
      <c r="V786" s="380">
        <v>1463.53</v>
      </c>
      <c r="W786" s="380">
        <v>0</v>
      </c>
      <c r="X786" s="380">
        <v>0</v>
      </c>
      <c r="Y786" s="380">
        <v>0</v>
      </c>
      <c r="Z786" s="380">
        <v>0</v>
      </c>
      <c r="AA786" s="376" t="s">
        <v>456</v>
      </c>
      <c r="AB786" s="376" t="s">
        <v>457</v>
      </c>
      <c r="AC786" s="376" t="s">
        <v>458</v>
      </c>
      <c r="AD786" s="376" t="s">
        <v>180</v>
      </c>
      <c r="AE786" s="376" t="s">
        <v>444</v>
      </c>
      <c r="AF786" s="376" t="s">
        <v>355</v>
      </c>
      <c r="AG786" s="376" t="s">
        <v>178</v>
      </c>
      <c r="AH786" s="381">
        <v>54.93</v>
      </c>
      <c r="AI786" s="381">
        <v>51351.3</v>
      </c>
      <c r="AJ786" s="376" t="s">
        <v>179</v>
      </c>
      <c r="AK786" s="376" t="s">
        <v>180</v>
      </c>
      <c r="AL786" s="376" t="s">
        <v>181</v>
      </c>
      <c r="AM786" s="376" t="s">
        <v>182</v>
      </c>
      <c r="AN786" s="376" t="s">
        <v>68</v>
      </c>
      <c r="AO786" s="379">
        <v>80</v>
      </c>
      <c r="AP786" s="385">
        <v>1</v>
      </c>
      <c r="AQ786" s="385">
        <v>0</v>
      </c>
      <c r="AR786" s="383" t="s">
        <v>183</v>
      </c>
      <c r="AS786" s="387">
        <f t="shared" si="555"/>
        <v>0</v>
      </c>
      <c r="AT786">
        <f t="shared" si="556"/>
        <v>0</v>
      </c>
      <c r="AU786" s="387" t="str">
        <f>IF(AT786=0,"",IF(AND(AT786=1,M786="F",SUMIF(C2:C1334,C786,AS2:AS1334)&lt;=1),SUMIF(C2:C1334,C786,AS2:AS1334),IF(AND(AT786=1,M786="F",SUMIF(C2:C1334,C786,AS2:AS1334)&gt;1),1,"")))</f>
        <v/>
      </c>
      <c r="AV786" s="387" t="str">
        <f>IF(AT786=0,"",IF(AND(AT786=3,M786="F",SUMIF(C2:C1334,C786,AS2:AS1334)&lt;=1),SUMIF(C2:C1334,C786,AS2:AS1334),IF(AND(AT786=3,M786="F",SUMIF(C2:C1334,C786,AS2:AS1334)&gt;1),1,"")))</f>
        <v/>
      </c>
      <c r="AW786" s="387">
        <f>SUMIF(C2:C1334,C786,O2:O1334)</f>
        <v>16</v>
      </c>
      <c r="AX786" s="387">
        <f>IF(AND(M786="F",AS786&lt;&gt;0),SUMIF(C2:C1334,C786,W2:W1334),0)</f>
        <v>0</v>
      </c>
      <c r="AY786" s="387" t="str">
        <f t="shared" si="557"/>
        <v/>
      </c>
      <c r="AZ786" s="387" t="str">
        <f t="shared" si="558"/>
        <v/>
      </c>
      <c r="BA786" s="387">
        <f t="shared" si="559"/>
        <v>0</v>
      </c>
      <c r="BB786" s="387">
        <f t="shared" si="528"/>
        <v>0</v>
      </c>
      <c r="BC786" s="387">
        <f t="shared" si="529"/>
        <v>0</v>
      </c>
      <c r="BD786" s="387">
        <f t="shared" si="530"/>
        <v>0</v>
      </c>
      <c r="BE786" s="387">
        <f t="shared" si="531"/>
        <v>0</v>
      </c>
      <c r="BF786" s="387">
        <f t="shared" si="532"/>
        <v>0</v>
      </c>
      <c r="BG786" s="387">
        <f t="shared" si="533"/>
        <v>0</v>
      </c>
      <c r="BH786" s="387">
        <f t="shared" si="534"/>
        <v>0</v>
      </c>
      <c r="BI786" s="387">
        <f t="shared" si="535"/>
        <v>0</v>
      </c>
      <c r="BJ786" s="387">
        <f t="shared" si="536"/>
        <v>0</v>
      </c>
      <c r="BK786" s="387">
        <f t="shared" si="537"/>
        <v>0</v>
      </c>
      <c r="BL786" s="387">
        <f t="shared" si="560"/>
        <v>0</v>
      </c>
      <c r="BM786" s="387">
        <f t="shared" si="561"/>
        <v>0</v>
      </c>
      <c r="BN786" s="387">
        <f t="shared" si="538"/>
        <v>0</v>
      </c>
      <c r="BO786" s="387">
        <f t="shared" si="539"/>
        <v>0</v>
      </c>
      <c r="BP786" s="387">
        <f t="shared" si="540"/>
        <v>0</v>
      </c>
      <c r="BQ786" s="387">
        <f t="shared" si="541"/>
        <v>0</v>
      </c>
      <c r="BR786" s="387">
        <f t="shared" si="542"/>
        <v>0</v>
      </c>
      <c r="BS786" s="387">
        <f t="shared" si="543"/>
        <v>0</v>
      </c>
      <c r="BT786" s="387">
        <f t="shared" si="544"/>
        <v>0</v>
      </c>
      <c r="BU786" s="387">
        <f t="shared" si="545"/>
        <v>0</v>
      </c>
      <c r="BV786" s="387">
        <f t="shared" si="546"/>
        <v>0</v>
      </c>
      <c r="BW786" s="387">
        <f t="shared" si="547"/>
        <v>0</v>
      </c>
      <c r="BX786" s="387">
        <f t="shared" si="562"/>
        <v>0</v>
      </c>
      <c r="BY786" s="387">
        <f t="shared" si="563"/>
        <v>0</v>
      </c>
      <c r="BZ786" s="387">
        <f t="shared" si="564"/>
        <v>0</v>
      </c>
      <c r="CA786" s="387">
        <f t="shared" si="565"/>
        <v>0</v>
      </c>
      <c r="CB786" s="387">
        <f t="shared" si="566"/>
        <v>0</v>
      </c>
      <c r="CC786" s="387">
        <f t="shared" si="548"/>
        <v>0</v>
      </c>
      <c r="CD786" s="387">
        <f t="shared" si="549"/>
        <v>0</v>
      </c>
      <c r="CE786" s="387">
        <f t="shared" si="550"/>
        <v>0</v>
      </c>
      <c r="CF786" s="387">
        <f t="shared" si="551"/>
        <v>0</v>
      </c>
      <c r="CG786" s="387">
        <f t="shared" si="552"/>
        <v>0</v>
      </c>
      <c r="CH786" s="387">
        <f t="shared" si="553"/>
        <v>0</v>
      </c>
      <c r="CI786" s="387">
        <f t="shared" si="554"/>
        <v>0</v>
      </c>
      <c r="CJ786" s="387">
        <f t="shared" si="567"/>
        <v>0</v>
      </c>
      <c r="CK786" s="387" t="str">
        <f t="shared" si="568"/>
        <v/>
      </c>
      <c r="CL786" s="387" t="str">
        <f t="shared" si="569"/>
        <v/>
      </c>
      <c r="CM786" s="387" t="str">
        <f t="shared" si="570"/>
        <v/>
      </c>
      <c r="CN786" s="387" t="str">
        <f t="shared" si="571"/>
        <v>0302-00</v>
      </c>
    </row>
    <row r="787" spans="1:92" ht="15.75" thickBot="1" x14ac:dyDescent="0.3">
      <c r="A787" s="376" t="s">
        <v>161</v>
      </c>
      <c r="B787" s="376" t="s">
        <v>162</v>
      </c>
      <c r="C787" s="376" t="s">
        <v>1966</v>
      </c>
      <c r="D787" s="376" t="s">
        <v>238</v>
      </c>
      <c r="E787" s="376" t="s">
        <v>165</v>
      </c>
      <c r="F787" s="377" t="s">
        <v>166</v>
      </c>
      <c r="G787" s="376" t="s">
        <v>1945</v>
      </c>
      <c r="H787" s="378"/>
      <c r="I787" s="378"/>
      <c r="J787" s="376" t="s">
        <v>215</v>
      </c>
      <c r="K787" s="376" t="s">
        <v>285</v>
      </c>
      <c r="L787" s="376" t="s">
        <v>170</v>
      </c>
      <c r="M787" s="376" t="s">
        <v>171</v>
      </c>
      <c r="N787" s="376" t="s">
        <v>172</v>
      </c>
      <c r="O787" s="379">
        <v>1</v>
      </c>
      <c r="P787" s="385">
        <v>0</v>
      </c>
      <c r="Q787" s="385">
        <v>0</v>
      </c>
      <c r="R787" s="380">
        <v>80</v>
      </c>
      <c r="S787" s="385">
        <v>0</v>
      </c>
      <c r="T787" s="380">
        <v>874.28</v>
      </c>
      <c r="U787" s="380">
        <v>0</v>
      </c>
      <c r="V787" s="380">
        <v>418.11</v>
      </c>
      <c r="W787" s="380">
        <v>0</v>
      </c>
      <c r="X787" s="380">
        <v>0</v>
      </c>
      <c r="Y787" s="380">
        <v>0</v>
      </c>
      <c r="Z787" s="380">
        <v>0</v>
      </c>
      <c r="AA787" s="376" t="s">
        <v>1967</v>
      </c>
      <c r="AB787" s="376" t="s">
        <v>1968</v>
      </c>
      <c r="AC787" s="376" t="s">
        <v>1969</v>
      </c>
      <c r="AD787" s="376" t="s">
        <v>170</v>
      </c>
      <c r="AE787" s="376" t="s">
        <v>285</v>
      </c>
      <c r="AF787" s="376" t="s">
        <v>177</v>
      </c>
      <c r="AG787" s="376" t="s">
        <v>178</v>
      </c>
      <c r="AH787" s="381">
        <v>22.36</v>
      </c>
      <c r="AI787" s="381">
        <v>531.5</v>
      </c>
      <c r="AJ787" s="376" t="s">
        <v>179</v>
      </c>
      <c r="AK787" s="376" t="s">
        <v>180</v>
      </c>
      <c r="AL787" s="376" t="s">
        <v>181</v>
      </c>
      <c r="AM787" s="376" t="s">
        <v>182</v>
      </c>
      <c r="AN787" s="376" t="s">
        <v>68</v>
      </c>
      <c r="AO787" s="379">
        <v>80</v>
      </c>
      <c r="AP787" s="385">
        <v>1</v>
      </c>
      <c r="AQ787" s="385">
        <v>0</v>
      </c>
      <c r="AR787" s="383" t="s">
        <v>183</v>
      </c>
      <c r="AS787" s="387">
        <f t="shared" si="555"/>
        <v>0</v>
      </c>
      <c r="AT787">
        <f t="shared" si="556"/>
        <v>0</v>
      </c>
      <c r="AU787" s="387" t="str">
        <f>IF(AT787=0,"",IF(AND(AT787=1,M787="F",SUMIF(C2:C1334,C787,AS2:AS1334)&lt;=1),SUMIF(C2:C1334,C787,AS2:AS1334),IF(AND(AT787=1,M787="F",SUMIF(C2:C1334,C787,AS2:AS1334)&gt;1),1,"")))</f>
        <v/>
      </c>
      <c r="AV787" s="387" t="str">
        <f>IF(AT787=0,"",IF(AND(AT787=3,M787="F",SUMIF(C2:C1334,C787,AS2:AS1334)&lt;=1),SUMIF(C2:C1334,C787,AS2:AS1334),IF(AND(AT787=3,M787="F",SUMIF(C2:C1334,C787,AS2:AS1334)&gt;1),1,"")))</f>
        <v/>
      </c>
      <c r="AW787" s="387">
        <f>SUMIF(C2:C1334,C787,O2:O1334)</f>
        <v>2</v>
      </c>
      <c r="AX787" s="387">
        <f>IF(AND(M787="F",AS787&lt;&gt;0),SUMIF(C2:C1334,C787,W2:W1334),0)</f>
        <v>0</v>
      </c>
      <c r="AY787" s="387" t="str">
        <f t="shared" si="557"/>
        <v/>
      </c>
      <c r="AZ787" s="387" t="str">
        <f t="shared" si="558"/>
        <v/>
      </c>
      <c r="BA787" s="387">
        <f t="shared" si="559"/>
        <v>0</v>
      </c>
      <c r="BB787" s="387">
        <f t="shared" si="528"/>
        <v>0</v>
      </c>
      <c r="BC787" s="387">
        <f t="shared" si="529"/>
        <v>0</v>
      </c>
      <c r="BD787" s="387">
        <f t="shared" si="530"/>
        <v>0</v>
      </c>
      <c r="BE787" s="387">
        <f t="shared" si="531"/>
        <v>0</v>
      </c>
      <c r="BF787" s="387">
        <f t="shared" si="532"/>
        <v>0</v>
      </c>
      <c r="BG787" s="387">
        <f t="shared" si="533"/>
        <v>0</v>
      </c>
      <c r="BH787" s="387">
        <f t="shared" si="534"/>
        <v>0</v>
      </c>
      <c r="BI787" s="387">
        <f t="shared" si="535"/>
        <v>0</v>
      </c>
      <c r="BJ787" s="387">
        <f t="shared" si="536"/>
        <v>0</v>
      </c>
      <c r="BK787" s="387">
        <f t="shared" si="537"/>
        <v>0</v>
      </c>
      <c r="BL787" s="387">
        <f t="shared" si="560"/>
        <v>0</v>
      </c>
      <c r="BM787" s="387">
        <f t="shared" si="561"/>
        <v>0</v>
      </c>
      <c r="BN787" s="387">
        <f t="shared" si="538"/>
        <v>0</v>
      </c>
      <c r="BO787" s="387">
        <f t="shared" si="539"/>
        <v>0</v>
      </c>
      <c r="BP787" s="387">
        <f t="shared" si="540"/>
        <v>0</v>
      </c>
      <c r="BQ787" s="387">
        <f t="shared" si="541"/>
        <v>0</v>
      </c>
      <c r="BR787" s="387">
        <f t="shared" si="542"/>
        <v>0</v>
      </c>
      <c r="BS787" s="387">
        <f t="shared" si="543"/>
        <v>0</v>
      </c>
      <c r="BT787" s="387">
        <f t="shared" si="544"/>
        <v>0</v>
      </c>
      <c r="BU787" s="387">
        <f t="shared" si="545"/>
        <v>0</v>
      </c>
      <c r="BV787" s="387">
        <f t="shared" si="546"/>
        <v>0</v>
      </c>
      <c r="BW787" s="387">
        <f t="shared" si="547"/>
        <v>0</v>
      </c>
      <c r="BX787" s="387">
        <f t="shared" si="562"/>
        <v>0</v>
      </c>
      <c r="BY787" s="387">
        <f t="shared" si="563"/>
        <v>0</v>
      </c>
      <c r="BZ787" s="387">
        <f t="shared" si="564"/>
        <v>0</v>
      </c>
      <c r="CA787" s="387">
        <f t="shared" si="565"/>
        <v>0</v>
      </c>
      <c r="CB787" s="387">
        <f t="shared" si="566"/>
        <v>0</v>
      </c>
      <c r="CC787" s="387">
        <f t="shared" si="548"/>
        <v>0</v>
      </c>
      <c r="CD787" s="387">
        <f t="shared" si="549"/>
        <v>0</v>
      </c>
      <c r="CE787" s="387">
        <f t="shared" si="550"/>
        <v>0</v>
      </c>
      <c r="CF787" s="387">
        <f t="shared" si="551"/>
        <v>0</v>
      </c>
      <c r="CG787" s="387">
        <f t="shared" si="552"/>
        <v>0</v>
      </c>
      <c r="CH787" s="387">
        <f t="shared" si="553"/>
        <v>0</v>
      </c>
      <c r="CI787" s="387">
        <f t="shared" si="554"/>
        <v>0</v>
      </c>
      <c r="CJ787" s="387">
        <f t="shared" si="567"/>
        <v>0</v>
      </c>
      <c r="CK787" s="387" t="str">
        <f t="shared" si="568"/>
        <v/>
      </c>
      <c r="CL787" s="387" t="str">
        <f t="shared" si="569"/>
        <v/>
      </c>
      <c r="CM787" s="387" t="str">
        <f t="shared" si="570"/>
        <v/>
      </c>
      <c r="CN787" s="387" t="str">
        <f t="shared" si="571"/>
        <v>0302-00</v>
      </c>
    </row>
    <row r="788" spans="1:92" ht="15.75" thickBot="1" x14ac:dyDescent="0.3">
      <c r="A788" s="376" t="s">
        <v>161</v>
      </c>
      <c r="B788" s="376" t="s">
        <v>162</v>
      </c>
      <c r="C788" s="376" t="s">
        <v>1970</v>
      </c>
      <c r="D788" s="376" t="s">
        <v>998</v>
      </c>
      <c r="E788" s="376" t="s">
        <v>165</v>
      </c>
      <c r="F788" s="377" t="s">
        <v>166</v>
      </c>
      <c r="G788" s="376" t="s">
        <v>1945</v>
      </c>
      <c r="H788" s="378"/>
      <c r="I788" s="378"/>
      <c r="J788" s="376" t="s">
        <v>215</v>
      </c>
      <c r="K788" s="376" t="s">
        <v>999</v>
      </c>
      <c r="L788" s="376" t="s">
        <v>170</v>
      </c>
      <c r="M788" s="376" t="s">
        <v>171</v>
      </c>
      <c r="N788" s="376" t="s">
        <v>172</v>
      </c>
      <c r="O788" s="379">
        <v>1</v>
      </c>
      <c r="P788" s="385">
        <v>0</v>
      </c>
      <c r="Q788" s="385">
        <v>0</v>
      </c>
      <c r="R788" s="380">
        <v>80</v>
      </c>
      <c r="S788" s="385">
        <v>0</v>
      </c>
      <c r="T788" s="380">
        <v>6319.13</v>
      </c>
      <c r="U788" s="380">
        <v>0</v>
      </c>
      <c r="V788" s="380">
        <v>1384.43</v>
      </c>
      <c r="W788" s="380">
        <v>0</v>
      </c>
      <c r="X788" s="380">
        <v>0</v>
      </c>
      <c r="Y788" s="380">
        <v>0</v>
      </c>
      <c r="Z788" s="380">
        <v>0</v>
      </c>
      <c r="AA788" s="376" t="s">
        <v>1971</v>
      </c>
      <c r="AB788" s="376" t="s">
        <v>1972</v>
      </c>
      <c r="AC788" s="376" t="s">
        <v>1973</v>
      </c>
      <c r="AD788" s="376" t="s">
        <v>1722</v>
      </c>
      <c r="AE788" s="376" t="s">
        <v>999</v>
      </c>
      <c r="AF788" s="376" t="s">
        <v>177</v>
      </c>
      <c r="AG788" s="376" t="s">
        <v>178</v>
      </c>
      <c r="AH788" s="381">
        <v>24.52</v>
      </c>
      <c r="AI788" s="379">
        <v>7674</v>
      </c>
      <c r="AJ788" s="376" t="s">
        <v>179</v>
      </c>
      <c r="AK788" s="376" t="s">
        <v>180</v>
      </c>
      <c r="AL788" s="376" t="s">
        <v>181</v>
      </c>
      <c r="AM788" s="376" t="s">
        <v>182</v>
      </c>
      <c r="AN788" s="376" t="s">
        <v>68</v>
      </c>
      <c r="AO788" s="379">
        <v>80</v>
      </c>
      <c r="AP788" s="385">
        <v>1</v>
      </c>
      <c r="AQ788" s="385">
        <v>0</v>
      </c>
      <c r="AR788" s="383" t="s">
        <v>183</v>
      </c>
      <c r="AS788" s="387">
        <f t="shared" si="555"/>
        <v>0</v>
      </c>
      <c r="AT788">
        <f t="shared" si="556"/>
        <v>0</v>
      </c>
      <c r="AU788" s="387" t="str">
        <f>IF(AT788=0,"",IF(AND(AT788=1,M788="F",SUMIF(C2:C1334,C788,AS2:AS1334)&lt;=1),SUMIF(C2:C1334,C788,AS2:AS1334),IF(AND(AT788=1,M788="F",SUMIF(C2:C1334,C788,AS2:AS1334)&gt;1),1,"")))</f>
        <v/>
      </c>
      <c r="AV788" s="387" t="str">
        <f>IF(AT788=0,"",IF(AND(AT788=3,M788="F",SUMIF(C2:C1334,C788,AS2:AS1334)&lt;=1),SUMIF(C2:C1334,C788,AS2:AS1334),IF(AND(AT788=3,M788="F",SUMIF(C2:C1334,C788,AS2:AS1334)&gt;1),1,"")))</f>
        <v/>
      </c>
      <c r="AW788" s="387">
        <f>SUMIF(C2:C1334,C788,O2:O1334)</f>
        <v>2</v>
      </c>
      <c r="AX788" s="387">
        <f>IF(AND(M788="F",AS788&lt;&gt;0),SUMIF(C2:C1334,C788,W2:W1334),0)</f>
        <v>0</v>
      </c>
      <c r="AY788" s="387" t="str">
        <f t="shared" si="557"/>
        <v/>
      </c>
      <c r="AZ788" s="387" t="str">
        <f t="shared" si="558"/>
        <v/>
      </c>
      <c r="BA788" s="387">
        <f t="shared" si="559"/>
        <v>0</v>
      </c>
      <c r="BB788" s="387">
        <f t="shared" si="528"/>
        <v>0</v>
      </c>
      <c r="BC788" s="387">
        <f t="shared" si="529"/>
        <v>0</v>
      </c>
      <c r="BD788" s="387">
        <f t="shared" si="530"/>
        <v>0</v>
      </c>
      <c r="BE788" s="387">
        <f t="shared" si="531"/>
        <v>0</v>
      </c>
      <c r="BF788" s="387">
        <f t="shared" si="532"/>
        <v>0</v>
      </c>
      <c r="BG788" s="387">
        <f t="shared" si="533"/>
        <v>0</v>
      </c>
      <c r="BH788" s="387">
        <f t="shared" si="534"/>
        <v>0</v>
      </c>
      <c r="BI788" s="387">
        <f t="shared" si="535"/>
        <v>0</v>
      </c>
      <c r="BJ788" s="387">
        <f t="shared" si="536"/>
        <v>0</v>
      </c>
      <c r="BK788" s="387">
        <f t="shared" si="537"/>
        <v>0</v>
      </c>
      <c r="BL788" s="387">
        <f t="shared" si="560"/>
        <v>0</v>
      </c>
      <c r="BM788" s="387">
        <f t="shared" si="561"/>
        <v>0</v>
      </c>
      <c r="BN788" s="387">
        <f t="shared" si="538"/>
        <v>0</v>
      </c>
      <c r="BO788" s="387">
        <f t="shared" si="539"/>
        <v>0</v>
      </c>
      <c r="BP788" s="387">
        <f t="shared" si="540"/>
        <v>0</v>
      </c>
      <c r="BQ788" s="387">
        <f t="shared" si="541"/>
        <v>0</v>
      </c>
      <c r="BR788" s="387">
        <f t="shared" si="542"/>
        <v>0</v>
      </c>
      <c r="BS788" s="387">
        <f t="shared" si="543"/>
        <v>0</v>
      </c>
      <c r="BT788" s="387">
        <f t="shared" si="544"/>
        <v>0</v>
      </c>
      <c r="BU788" s="387">
        <f t="shared" si="545"/>
        <v>0</v>
      </c>
      <c r="BV788" s="387">
        <f t="shared" si="546"/>
        <v>0</v>
      </c>
      <c r="BW788" s="387">
        <f t="shared" si="547"/>
        <v>0</v>
      </c>
      <c r="BX788" s="387">
        <f t="shared" si="562"/>
        <v>0</v>
      </c>
      <c r="BY788" s="387">
        <f t="shared" si="563"/>
        <v>0</v>
      </c>
      <c r="BZ788" s="387">
        <f t="shared" si="564"/>
        <v>0</v>
      </c>
      <c r="CA788" s="387">
        <f t="shared" si="565"/>
        <v>0</v>
      </c>
      <c r="CB788" s="387">
        <f t="shared" si="566"/>
        <v>0</v>
      </c>
      <c r="CC788" s="387">
        <f t="shared" si="548"/>
        <v>0</v>
      </c>
      <c r="CD788" s="387">
        <f t="shared" si="549"/>
        <v>0</v>
      </c>
      <c r="CE788" s="387">
        <f t="shared" si="550"/>
        <v>0</v>
      </c>
      <c r="CF788" s="387">
        <f t="shared" si="551"/>
        <v>0</v>
      </c>
      <c r="CG788" s="387">
        <f t="shared" si="552"/>
        <v>0</v>
      </c>
      <c r="CH788" s="387">
        <f t="shared" si="553"/>
        <v>0</v>
      </c>
      <c r="CI788" s="387">
        <f t="shared" si="554"/>
        <v>0</v>
      </c>
      <c r="CJ788" s="387">
        <f t="shared" si="567"/>
        <v>0</v>
      </c>
      <c r="CK788" s="387" t="str">
        <f t="shared" si="568"/>
        <v/>
      </c>
      <c r="CL788" s="387" t="str">
        <f t="shared" si="569"/>
        <v/>
      </c>
      <c r="CM788" s="387" t="str">
        <f t="shared" si="570"/>
        <v/>
      </c>
      <c r="CN788" s="387" t="str">
        <f t="shared" si="571"/>
        <v>0302-00</v>
      </c>
    </row>
    <row r="789" spans="1:92" ht="15.75" thickBot="1" x14ac:dyDescent="0.3">
      <c r="A789" s="376" t="s">
        <v>161</v>
      </c>
      <c r="B789" s="376" t="s">
        <v>162</v>
      </c>
      <c r="C789" s="376" t="s">
        <v>1897</v>
      </c>
      <c r="D789" s="376" t="s">
        <v>655</v>
      </c>
      <c r="E789" s="376" t="s">
        <v>165</v>
      </c>
      <c r="F789" s="377" t="s">
        <v>166</v>
      </c>
      <c r="G789" s="376" t="s">
        <v>1945</v>
      </c>
      <c r="H789" s="378"/>
      <c r="I789" s="378"/>
      <c r="J789" s="376" t="s">
        <v>215</v>
      </c>
      <c r="K789" s="376" t="s">
        <v>656</v>
      </c>
      <c r="L789" s="376" t="s">
        <v>210</v>
      </c>
      <c r="M789" s="376" t="s">
        <v>171</v>
      </c>
      <c r="N789" s="376" t="s">
        <v>172</v>
      </c>
      <c r="O789" s="379">
        <v>1</v>
      </c>
      <c r="P789" s="385">
        <v>0</v>
      </c>
      <c r="Q789" s="385">
        <v>0</v>
      </c>
      <c r="R789" s="380">
        <v>80</v>
      </c>
      <c r="S789" s="385">
        <v>0</v>
      </c>
      <c r="T789" s="380">
        <v>1621.29</v>
      </c>
      <c r="U789" s="380">
        <v>0</v>
      </c>
      <c r="V789" s="380">
        <v>634.05999999999995</v>
      </c>
      <c r="W789" s="380">
        <v>0</v>
      </c>
      <c r="X789" s="380">
        <v>0</v>
      </c>
      <c r="Y789" s="380">
        <v>0</v>
      </c>
      <c r="Z789" s="380">
        <v>0</v>
      </c>
      <c r="AA789" s="376" t="s">
        <v>1898</v>
      </c>
      <c r="AB789" s="376" t="s">
        <v>1899</v>
      </c>
      <c r="AC789" s="376" t="s">
        <v>618</v>
      </c>
      <c r="AD789" s="376" t="s">
        <v>1900</v>
      </c>
      <c r="AE789" s="376" t="s">
        <v>656</v>
      </c>
      <c r="AF789" s="376" t="s">
        <v>245</v>
      </c>
      <c r="AG789" s="376" t="s">
        <v>178</v>
      </c>
      <c r="AH789" s="381">
        <v>34.51</v>
      </c>
      <c r="AI789" s="381">
        <v>17208.5</v>
      </c>
      <c r="AJ789" s="376" t="s">
        <v>179</v>
      </c>
      <c r="AK789" s="376" t="s">
        <v>180</v>
      </c>
      <c r="AL789" s="376" t="s">
        <v>181</v>
      </c>
      <c r="AM789" s="376" t="s">
        <v>182</v>
      </c>
      <c r="AN789" s="376" t="s">
        <v>68</v>
      </c>
      <c r="AO789" s="379">
        <v>80</v>
      </c>
      <c r="AP789" s="385">
        <v>1</v>
      </c>
      <c r="AQ789" s="385">
        <v>0</v>
      </c>
      <c r="AR789" s="383" t="s">
        <v>183</v>
      </c>
      <c r="AS789" s="387">
        <f t="shared" si="555"/>
        <v>0</v>
      </c>
      <c r="AT789">
        <f t="shared" si="556"/>
        <v>0</v>
      </c>
      <c r="AU789" s="387" t="str">
        <f>IF(AT789=0,"",IF(AND(AT789=1,M789="F",SUMIF(C2:C1334,C789,AS2:AS1334)&lt;=1),SUMIF(C2:C1334,C789,AS2:AS1334),IF(AND(AT789=1,M789="F",SUMIF(C2:C1334,C789,AS2:AS1334)&gt;1),1,"")))</f>
        <v/>
      </c>
      <c r="AV789" s="387" t="str">
        <f>IF(AT789=0,"",IF(AND(AT789=3,M789="F",SUMIF(C2:C1334,C789,AS2:AS1334)&lt;=1),SUMIF(C2:C1334,C789,AS2:AS1334),IF(AND(AT789=3,M789="F",SUMIF(C2:C1334,C789,AS2:AS1334)&gt;1),1,"")))</f>
        <v/>
      </c>
      <c r="AW789" s="387">
        <f>SUMIF(C2:C1334,C789,O2:O1334)</f>
        <v>3</v>
      </c>
      <c r="AX789" s="387">
        <f>IF(AND(M789="F",AS789&lt;&gt;0),SUMIF(C2:C1334,C789,W2:W1334),0)</f>
        <v>0</v>
      </c>
      <c r="AY789" s="387" t="str">
        <f t="shared" si="557"/>
        <v/>
      </c>
      <c r="AZ789" s="387" t="str">
        <f t="shared" si="558"/>
        <v/>
      </c>
      <c r="BA789" s="387">
        <f t="shared" si="559"/>
        <v>0</v>
      </c>
      <c r="BB789" s="387">
        <f t="shared" si="528"/>
        <v>0</v>
      </c>
      <c r="BC789" s="387">
        <f t="shared" si="529"/>
        <v>0</v>
      </c>
      <c r="BD789" s="387">
        <f t="shared" si="530"/>
        <v>0</v>
      </c>
      <c r="BE789" s="387">
        <f t="shared" si="531"/>
        <v>0</v>
      </c>
      <c r="BF789" s="387">
        <f t="shared" si="532"/>
        <v>0</v>
      </c>
      <c r="BG789" s="387">
        <f t="shared" si="533"/>
        <v>0</v>
      </c>
      <c r="BH789" s="387">
        <f t="shared" si="534"/>
        <v>0</v>
      </c>
      <c r="BI789" s="387">
        <f t="shared" si="535"/>
        <v>0</v>
      </c>
      <c r="BJ789" s="387">
        <f t="shared" si="536"/>
        <v>0</v>
      </c>
      <c r="BK789" s="387">
        <f t="shared" si="537"/>
        <v>0</v>
      </c>
      <c r="BL789" s="387">
        <f t="shared" si="560"/>
        <v>0</v>
      </c>
      <c r="BM789" s="387">
        <f t="shared" si="561"/>
        <v>0</v>
      </c>
      <c r="BN789" s="387">
        <f t="shared" si="538"/>
        <v>0</v>
      </c>
      <c r="BO789" s="387">
        <f t="shared" si="539"/>
        <v>0</v>
      </c>
      <c r="BP789" s="387">
        <f t="shared" si="540"/>
        <v>0</v>
      </c>
      <c r="BQ789" s="387">
        <f t="shared" si="541"/>
        <v>0</v>
      </c>
      <c r="BR789" s="387">
        <f t="shared" si="542"/>
        <v>0</v>
      </c>
      <c r="BS789" s="387">
        <f t="shared" si="543"/>
        <v>0</v>
      </c>
      <c r="BT789" s="387">
        <f t="shared" si="544"/>
        <v>0</v>
      </c>
      <c r="BU789" s="387">
        <f t="shared" si="545"/>
        <v>0</v>
      </c>
      <c r="BV789" s="387">
        <f t="shared" si="546"/>
        <v>0</v>
      </c>
      <c r="BW789" s="387">
        <f t="shared" si="547"/>
        <v>0</v>
      </c>
      <c r="BX789" s="387">
        <f t="shared" si="562"/>
        <v>0</v>
      </c>
      <c r="BY789" s="387">
        <f t="shared" si="563"/>
        <v>0</v>
      </c>
      <c r="BZ789" s="387">
        <f t="shared" si="564"/>
        <v>0</v>
      </c>
      <c r="CA789" s="387">
        <f t="shared" si="565"/>
        <v>0</v>
      </c>
      <c r="CB789" s="387">
        <f t="shared" si="566"/>
        <v>0</v>
      </c>
      <c r="CC789" s="387">
        <f t="shared" si="548"/>
        <v>0</v>
      </c>
      <c r="CD789" s="387">
        <f t="shared" si="549"/>
        <v>0</v>
      </c>
      <c r="CE789" s="387">
        <f t="shared" si="550"/>
        <v>0</v>
      </c>
      <c r="CF789" s="387">
        <f t="shared" si="551"/>
        <v>0</v>
      </c>
      <c r="CG789" s="387">
        <f t="shared" si="552"/>
        <v>0</v>
      </c>
      <c r="CH789" s="387">
        <f t="shared" si="553"/>
        <v>0</v>
      </c>
      <c r="CI789" s="387">
        <f t="shared" si="554"/>
        <v>0</v>
      </c>
      <c r="CJ789" s="387">
        <f t="shared" si="567"/>
        <v>0</v>
      </c>
      <c r="CK789" s="387" t="str">
        <f t="shared" si="568"/>
        <v/>
      </c>
      <c r="CL789" s="387" t="str">
        <f t="shared" si="569"/>
        <v/>
      </c>
      <c r="CM789" s="387" t="str">
        <f t="shared" si="570"/>
        <v/>
      </c>
      <c r="CN789" s="387" t="str">
        <f t="shared" si="571"/>
        <v>0302-00</v>
      </c>
    </row>
    <row r="790" spans="1:92" ht="15.75" thickBot="1" x14ac:dyDescent="0.3">
      <c r="A790" s="376" t="s">
        <v>161</v>
      </c>
      <c r="B790" s="376" t="s">
        <v>162</v>
      </c>
      <c r="C790" s="376" t="s">
        <v>237</v>
      </c>
      <c r="D790" s="376" t="s">
        <v>238</v>
      </c>
      <c r="E790" s="376" t="s">
        <v>165</v>
      </c>
      <c r="F790" s="377" t="s">
        <v>166</v>
      </c>
      <c r="G790" s="376" t="s">
        <v>1945</v>
      </c>
      <c r="H790" s="378"/>
      <c r="I790" s="378"/>
      <c r="J790" s="376" t="s">
        <v>239</v>
      </c>
      <c r="K790" s="376" t="s">
        <v>240</v>
      </c>
      <c r="L790" s="376" t="s">
        <v>210</v>
      </c>
      <c r="M790" s="376" t="s">
        <v>171</v>
      </c>
      <c r="N790" s="376" t="s">
        <v>172</v>
      </c>
      <c r="O790" s="379">
        <v>1</v>
      </c>
      <c r="P790" s="385">
        <v>0</v>
      </c>
      <c r="Q790" s="385">
        <v>0</v>
      </c>
      <c r="R790" s="380">
        <v>80</v>
      </c>
      <c r="S790" s="385">
        <v>0</v>
      </c>
      <c r="T790" s="380">
        <v>355.31</v>
      </c>
      <c r="U790" s="380">
        <v>0</v>
      </c>
      <c r="V790" s="380">
        <v>137.68</v>
      </c>
      <c r="W790" s="380">
        <v>0</v>
      </c>
      <c r="X790" s="380">
        <v>0</v>
      </c>
      <c r="Y790" s="380">
        <v>0</v>
      </c>
      <c r="Z790" s="380">
        <v>0</v>
      </c>
      <c r="AA790" s="376" t="s">
        <v>241</v>
      </c>
      <c r="AB790" s="376" t="s">
        <v>242</v>
      </c>
      <c r="AC790" s="376" t="s">
        <v>243</v>
      </c>
      <c r="AD790" s="376" t="s">
        <v>244</v>
      </c>
      <c r="AE790" s="376" t="s">
        <v>240</v>
      </c>
      <c r="AF790" s="376" t="s">
        <v>245</v>
      </c>
      <c r="AG790" s="376" t="s">
        <v>178</v>
      </c>
      <c r="AH790" s="381">
        <v>33.61</v>
      </c>
      <c r="AI790" s="381">
        <v>17909.099999999999</v>
      </c>
      <c r="AJ790" s="376" t="s">
        <v>179</v>
      </c>
      <c r="AK790" s="376" t="s">
        <v>180</v>
      </c>
      <c r="AL790" s="376" t="s">
        <v>181</v>
      </c>
      <c r="AM790" s="376" t="s">
        <v>182</v>
      </c>
      <c r="AN790" s="376" t="s">
        <v>68</v>
      </c>
      <c r="AO790" s="379">
        <v>80</v>
      </c>
      <c r="AP790" s="385">
        <v>1</v>
      </c>
      <c r="AQ790" s="385">
        <v>0</v>
      </c>
      <c r="AR790" s="383" t="s">
        <v>183</v>
      </c>
      <c r="AS790" s="387">
        <f t="shared" si="555"/>
        <v>0</v>
      </c>
      <c r="AT790">
        <f t="shared" si="556"/>
        <v>0</v>
      </c>
      <c r="AU790" s="387" t="str">
        <f>IF(AT790=0,"",IF(AND(AT790=1,M790="F",SUMIF(C2:C1334,C790,AS2:AS1334)&lt;=1),SUMIF(C2:C1334,C790,AS2:AS1334),IF(AND(AT790=1,M790="F",SUMIF(C2:C1334,C790,AS2:AS1334)&gt;1),1,"")))</f>
        <v/>
      </c>
      <c r="AV790" s="387" t="str">
        <f>IF(AT790=0,"",IF(AND(AT790=3,M790="F",SUMIF(C2:C1334,C790,AS2:AS1334)&lt;=1),SUMIF(C2:C1334,C790,AS2:AS1334),IF(AND(AT790=3,M790="F",SUMIF(C2:C1334,C790,AS2:AS1334)&gt;1),1,"")))</f>
        <v/>
      </c>
      <c r="AW790" s="387">
        <f>SUMIF(C2:C1334,C790,O2:O1334)</f>
        <v>6</v>
      </c>
      <c r="AX790" s="387">
        <f>IF(AND(M790="F",AS790&lt;&gt;0),SUMIF(C2:C1334,C790,W2:W1334),0)</f>
        <v>0</v>
      </c>
      <c r="AY790" s="387" t="str">
        <f t="shared" si="557"/>
        <v/>
      </c>
      <c r="AZ790" s="387" t="str">
        <f t="shared" si="558"/>
        <v/>
      </c>
      <c r="BA790" s="387">
        <f t="shared" si="559"/>
        <v>0</v>
      </c>
      <c r="BB790" s="387">
        <f t="shared" si="528"/>
        <v>0</v>
      </c>
      <c r="BC790" s="387">
        <f t="shared" si="529"/>
        <v>0</v>
      </c>
      <c r="BD790" s="387">
        <f t="shared" si="530"/>
        <v>0</v>
      </c>
      <c r="BE790" s="387">
        <f t="shared" si="531"/>
        <v>0</v>
      </c>
      <c r="BF790" s="387">
        <f t="shared" si="532"/>
        <v>0</v>
      </c>
      <c r="BG790" s="387">
        <f t="shared" si="533"/>
        <v>0</v>
      </c>
      <c r="BH790" s="387">
        <f t="shared" si="534"/>
        <v>0</v>
      </c>
      <c r="BI790" s="387">
        <f t="shared" si="535"/>
        <v>0</v>
      </c>
      <c r="BJ790" s="387">
        <f t="shared" si="536"/>
        <v>0</v>
      </c>
      <c r="BK790" s="387">
        <f t="shared" si="537"/>
        <v>0</v>
      </c>
      <c r="BL790" s="387">
        <f t="shared" si="560"/>
        <v>0</v>
      </c>
      <c r="BM790" s="387">
        <f t="shared" si="561"/>
        <v>0</v>
      </c>
      <c r="BN790" s="387">
        <f t="shared" si="538"/>
        <v>0</v>
      </c>
      <c r="BO790" s="387">
        <f t="shared" si="539"/>
        <v>0</v>
      </c>
      <c r="BP790" s="387">
        <f t="shared" si="540"/>
        <v>0</v>
      </c>
      <c r="BQ790" s="387">
        <f t="shared" si="541"/>
        <v>0</v>
      </c>
      <c r="BR790" s="387">
        <f t="shared" si="542"/>
        <v>0</v>
      </c>
      <c r="BS790" s="387">
        <f t="shared" si="543"/>
        <v>0</v>
      </c>
      <c r="BT790" s="387">
        <f t="shared" si="544"/>
        <v>0</v>
      </c>
      <c r="BU790" s="387">
        <f t="shared" si="545"/>
        <v>0</v>
      </c>
      <c r="BV790" s="387">
        <f t="shared" si="546"/>
        <v>0</v>
      </c>
      <c r="BW790" s="387">
        <f t="shared" si="547"/>
        <v>0</v>
      </c>
      <c r="BX790" s="387">
        <f t="shared" si="562"/>
        <v>0</v>
      </c>
      <c r="BY790" s="387">
        <f t="shared" si="563"/>
        <v>0</v>
      </c>
      <c r="BZ790" s="387">
        <f t="shared" si="564"/>
        <v>0</v>
      </c>
      <c r="CA790" s="387">
        <f t="shared" si="565"/>
        <v>0</v>
      </c>
      <c r="CB790" s="387">
        <f t="shared" si="566"/>
        <v>0</v>
      </c>
      <c r="CC790" s="387">
        <f t="shared" si="548"/>
        <v>0</v>
      </c>
      <c r="CD790" s="387">
        <f t="shared" si="549"/>
        <v>0</v>
      </c>
      <c r="CE790" s="387">
        <f t="shared" si="550"/>
        <v>0</v>
      </c>
      <c r="CF790" s="387">
        <f t="shared" si="551"/>
        <v>0</v>
      </c>
      <c r="CG790" s="387">
        <f t="shared" si="552"/>
        <v>0</v>
      </c>
      <c r="CH790" s="387">
        <f t="shared" si="553"/>
        <v>0</v>
      </c>
      <c r="CI790" s="387">
        <f t="shared" si="554"/>
        <v>0</v>
      </c>
      <c r="CJ790" s="387">
        <f t="shared" si="567"/>
        <v>0</v>
      </c>
      <c r="CK790" s="387" t="str">
        <f t="shared" si="568"/>
        <v/>
      </c>
      <c r="CL790" s="387" t="str">
        <f t="shared" si="569"/>
        <v/>
      </c>
      <c r="CM790" s="387" t="str">
        <f t="shared" si="570"/>
        <v/>
      </c>
      <c r="CN790" s="387" t="str">
        <f t="shared" si="571"/>
        <v>0302-00</v>
      </c>
    </row>
    <row r="791" spans="1:92" ht="15.75" thickBot="1" x14ac:dyDescent="0.3">
      <c r="A791" s="376" t="s">
        <v>161</v>
      </c>
      <c r="B791" s="376" t="s">
        <v>162</v>
      </c>
      <c r="C791" s="376" t="s">
        <v>1974</v>
      </c>
      <c r="D791" s="376" t="s">
        <v>655</v>
      </c>
      <c r="E791" s="376" t="s">
        <v>165</v>
      </c>
      <c r="F791" s="377" t="s">
        <v>166</v>
      </c>
      <c r="G791" s="376" t="s">
        <v>1945</v>
      </c>
      <c r="H791" s="378"/>
      <c r="I791" s="378"/>
      <c r="J791" s="376" t="s">
        <v>215</v>
      </c>
      <c r="K791" s="376" t="s">
        <v>656</v>
      </c>
      <c r="L791" s="376" t="s">
        <v>210</v>
      </c>
      <c r="M791" s="376" t="s">
        <v>171</v>
      </c>
      <c r="N791" s="376" t="s">
        <v>172</v>
      </c>
      <c r="O791" s="379">
        <v>1</v>
      </c>
      <c r="P791" s="385">
        <v>0</v>
      </c>
      <c r="Q791" s="385">
        <v>0</v>
      </c>
      <c r="R791" s="380">
        <v>80</v>
      </c>
      <c r="S791" s="385">
        <v>0</v>
      </c>
      <c r="T791" s="380">
        <v>30.5</v>
      </c>
      <c r="U791" s="380">
        <v>0</v>
      </c>
      <c r="V791" s="380">
        <v>11.96</v>
      </c>
      <c r="W791" s="380">
        <v>0</v>
      </c>
      <c r="X791" s="380">
        <v>0</v>
      </c>
      <c r="Y791" s="380">
        <v>0</v>
      </c>
      <c r="Z791" s="380">
        <v>0</v>
      </c>
      <c r="AA791" s="376" t="s">
        <v>1975</v>
      </c>
      <c r="AB791" s="376" t="s">
        <v>1976</v>
      </c>
      <c r="AC791" s="376" t="s">
        <v>912</v>
      </c>
      <c r="AD791" s="376" t="s">
        <v>170</v>
      </c>
      <c r="AE791" s="376" t="s">
        <v>656</v>
      </c>
      <c r="AF791" s="376" t="s">
        <v>245</v>
      </c>
      <c r="AG791" s="376" t="s">
        <v>178</v>
      </c>
      <c r="AH791" s="381">
        <v>32.1</v>
      </c>
      <c r="AI791" s="381">
        <v>21071.200000000001</v>
      </c>
      <c r="AJ791" s="376" t="s">
        <v>179</v>
      </c>
      <c r="AK791" s="376" t="s">
        <v>180</v>
      </c>
      <c r="AL791" s="376" t="s">
        <v>181</v>
      </c>
      <c r="AM791" s="376" t="s">
        <v>182</v>
      </c>
      <c r="AN791" s="376" t="s">
        <v>68</v>
      </c>
      <c r="AO791" s="379">
        <v>80</v>
      </c>
      <c r="AP791" s="385">
        <v>1</v>
      </c>
      <c r="AQ791" s="385">
        <v>0</v>
      </c>
      <c r="AR791" s="383" t="s">
        <v>183</v>
      </c>
      <c r="AS791" s="387">
        <f t="shared" si="555"/>
        <v>0</v>
      </c>
      <c r="AT791">
        <f t="shared" si="556"/>
        <v>0</v>
      </c>
      <c r="AU791" s="387" t="str">
        <f>IF(AT791=0,"",IF(AND(AT791=1,M791="F",SUMIF(C2:C1334,C791,AS2:AS1334)&lt;=1),SUMIF(C2:C1334,C791,AS2:AS1334),IF(AND(AT791=1,M791="F",SUMIF(C2:C1334,C791,AS2:AS1334)&gt;1),1,"")))</f>
        <v/>
      </c>
      <c r="AV791" s="387" t="str">
        <f>IF(AT791=0,"",IF(AND(AT791=3,M791="F",SUMIF(C2:C1334,C791,AS2:AS1334)&lt;=1),SUMIF(C2:C1334,C791,AS2:AS1334),IF(AND(AT791=3,M791="F",SUMIF(C2:C1334,C791,AS2:AS1334)&gt;1),1,"")))</f>
        <v/>
      </c>
      <c r="AW791" s="387">
        <f>SUMIF(C2:C1334,C791,O2:O1334)</f>
        <v>2</v>
      </c>
      <c r="AX791" s="387">
        <f>IF(AND(M791="F",AS791&lt;&gt;0),SUMIF(C2:C1334,C791,W2:W1334),0)</f>
        <v>0</v>
      </c>
      <c r="AY791" s="387" t="str">
        <f t="shared" si="557"/>
        <v/>
      </c>
      <c r="AZ791" s="387" t="str">
        <f t="shared" si="558"/>
        <v/>
      </c>
      <c r="BA791" s="387">
        <f t="shared" si="559"/>
        <v>0</v>
      </c>
      <c r="BB791" s="387">
        <f t="shared" si="528"/>
        <v>0</v>
      </c>
      <c r="BC791" s="387">
        <f t="shared" si="529"/>
        <v>0</v>
      </c>
      <c r="BD791" s="387">
        <f t="shared" si="530"/>
        <v>0</v>
      </c>
      <c r="BE791" s="387">
        <f t="shared" si="531"/>
        <v>0</v>
      </c>
      <c r="BF791" s="387">
        <f t="shared" si="532"/>
        <v>0</v>
      </c>
      <c r="BG791" s="387">
        <f t="shared" si="533"/>
        <v>0</v>
      </c>
      <c r="BH791" s="387">
        <f t="shared" si="534"/>
        <v>0</v>
      </c>
      <c r="BI791" s="387">
        <f t="shared" si="535"/>
        <v>0</v>
      </c>
      <c r="BJ791" s="387">
        <f t="shared" si="536"/>
        <v>0</v>
      </c>
      <c r="BK791" s="387">
        <f t="shared" si="537"/>
        <v>0</v>
      </c>
      <c r="BL791" s="387">
        <f t="shared" si="560"/>
        <v>0</v>
      </c>
      <c r="BM791" s="387">
        <f t="shared" si="561"/>
        <v>0</v>
      </c>
      <c r="BN791" s="387">
        <f t="shared" si="538"/>
        <v>0</v>
      </c>
      <c r="BO791" s="387">
        <f t="shared" si="539"/>
        <v>0</v>
      </c>
      <c r="BP791" s="387">
        <f t="shared" si="540"/>
        <v>0</v>
      </c>
      <c r="BQ791" s="387">
        <f t="shared" si="541"/>
        <v>0</v>
      </c>
      <c r="BR791" s="387">
        <f t="shared" si="542"/>
        <v>0</v>
      </c>
      <c r="BS791" s="387">
        <f t="shared" si="543"/>
        <v>0</v>
      </c>
      <c r="BT791" s="387">
        <f t="shared" si="544"/>
        <v>0</v>
      </c>
      <c r="BU791" s="387">
        <f t="shared" si="545"/>
        <v>0</v>
      </c>
      <c r="BV791" s="387">
        <f t="shared" si="546"/>
        <v>0</v>
      </c>
      <c r="BW791" s="387">
        <f t="shared" si="547"/>
        <v>0</v>
      </c>
      <c r="BX791" s="387">
        <f t="shared" si="562"/>
        <v>0</v>
      </c>
      <c r="BY791" s="387">
        <f t="shared" si="563"/>
        <v>0</v>
      </c>
      <c r="BZ791" s="387">
        <f t="shared" si="564"/>
        <v>0</v>
      </c>
      <c r="CA791" s="387">
        <f t="shared" si="565"/>
        <v>0</v>
      </c>
      <c r="CB791" s="387">
        <f t="shared" si="566"/>
        <v>0</v>
      </c>
      <c r="CC791" s="387">
        <f t="shared" si="548"/>
        <v>0</v>
      </c>
      <c r="CD791" s="387">
        <f t="shared" si="549"/>
        <v>0</v>
      </c>
      <c r="CE791" s="387">
        <f t="shared" si="550"/>
        <v>0</v>
      </c>
      <c r="CF791" s="387">
        <f t="shared" si="551"/>
        <v>0</v>
      </c>
      <c r="CG791" s="387">
        <f t="shared" si="552"/>
        <v>0</v>
      </c>
      <c r="CH791" s="387">
        <f t="shared" si="553"/>
        <v>0</v>
      </c>
      <c r="CI791" s="387">
        <f t="shared" si="554"/>
        <v>0</v>
      </c>
      <c r="CJ791" s="387">
        <f t="shared" si="567"/>
        <v>0</v>
      </c>
      <c r="CK791" s="387" t="str">
        <f t="shared" si="568"/>
        <v/>
      </c>
      <c r="CL791" s="387" t="str">
        <f t="shared" si="569"/>
        <v/>
      </c>
      <c r="CM791" s="387" t="str">
        <f t="shared" si="570"/>
        <v/>
      </c>
      <c r="CN791" s="387" t="str">
        <f t="shared" si="571"/>
        <v>0302-00</v>
      </c>
    </row>
    <row r="792" spans="1:92" ht="15.75" thickBot="1" x14ac:dyDescent="0.3">
      <c r="A792" s="376" t="s">
        <v>161</v>
      </c>
      <c r="B792" s="376" t="s">
        <v>162</v>
      </c>
      <c r="C792" s="376" t="s">
        <v>1977</v>
      </c>
      <c r="D792" s="376" t="s">
        <v>368</v>
      </c>
      <c r="E792" s="376" t="s">
        <v>165</v>
      </c>
      <c r="F792" s="377" t="s">
        <v>166</v>
      </c>
      <c r="G792" s="376" t="s">
        <v>1945</v>
      </c>
      <c r="H792" s="378"/>
      <c r="I792" s="378"/>
      <c r="J792" s="376" t="s">
        <v>215</v>
      </c>
      <c r="K792" s="376" t="s">
        <v>424</v>
      </c>
      <c r="L792" s="376" t="s">
        <v>210</v>
      </c>
      <c r="M792" s="376" t="s">
        <v>171</v>
      </c>
      <c r="N792" s="376" t="s">
        <v>172</v>
      </c>
      <c r="O792" s="379">
        <v>1</v>
      </c>
      <c r="P792" s="385">
        <v>0</v>
      </c>
      <c r="Q792" s="385">
        <v>0</v>
      </c>
      <c r="R792" s="380">
        <v>80</v>
      </c>
      <c r="S792" s="385">
        <v>0</v>
      </c>
      <c r="T792" s="380">
        <v>1693.6</v>
      </c>
      <c r="U792" s="380">
        <v>835.2</v>
      </c>
      <c r="V792" s="380">
        <v>838.18</v>
      </c>
      <c r="W792" s="380">
        <v>0</v>
      </c>
      <c r="X792" s="380">
        <v>0</v>
      </c>
      <c r="Y792" s="380">
        <v>0</v>
      </c>
      <c r="Z792" s="380">
        <v>0</v>
      </c>
      <c r="AA792" s="376" t="s">
        <v>1978</v>
      </c>
      <c r="AB792" s="376" t="s">
        <v>1979</v>
      </c>
      <c r="AC792" s="376" t="s">
        <v>1153</v>
      </c>
      <c r="AD792" s="376" t="s">
        <v>1980</v>
      </c>
      <c r="AE792" s="376" t="s">
        <v>424</v>
      </c>
      <c r="AF792" s="376" t="s">
        <v>245</v>
      </c>
      <c r="AG792" s="376" t="s">
        <v>178</v>
      </c>
      <c r="AH792" s="381">
        <v>45.16</v>
      </c>
      <c r="AI792" s="381">
        <v>24848.9</v>
      </c>
      <c r="AJ792" s="376" t="s">
        <v>179</v>
      </c>
      <c r="AK792" s="376" t="s">
        <v>180</v>
      </c>
      <c r="AL792" s="376" t="s">
        <v>181</v>
      </c>
      <c r="AM792" s="376" t="s">
        <v>182</v>
      </c>
      <c r="AN792" s="376" t="s">
        <v>68</v>
      </c>
      <c r="AO792" s="379">
        <v>80</v>
      </c>
      <c r="AP792" s="385">
        <v>1</v>
      </c>
      <c r="AQ792" s="385">
        <v>0</v>
      </c>
      <c r="AR792" s="383" t="s">
        <v>183</v>
      </c>
      <c r="AS792" s="387">
        <f t="shared" si="555"/>
        <v>0</v>
      </c>
      <c r="AT792">
        <f t="shared" si="556"/>
        <v>0</v>
      </c>
      <c r="AU792" s="387" t="str">
        <f>IF(AT792=0,"",IF(AND(AT792=1,M792="F",SUMIF(C2:C1334,C792,AS2:AS1334)&lt;=1),SUMIF(C2:C1334,C792,AS2:AS1334),IF(AND(AT792=1,M792="F",SUMIF(C2:C1334,C792,AS2:AS1334)&gt;1),1,"")))</f>
        <v/>
      </c>
      <c r="AV792" s="387" t="str">
        <f>IF(AT792=0,"",IF(AND(AT792=3,M792="F",SUMIF(C2:C1334,C792,AS2:AS1334)&lt;=1),SUMIF(C2:C1334,C792,AS2:AS1334),IF(AND(AT792=3,M792="F",SUMIF(C2:C1334,C792,AS2:AS1334)&gt;1),1,"")))</f>
        <v/>
      </c>
      <c r="AW792" s="387">
        <f>SUMIF(C2:C1334,C792,O2:O1334)</f>
        <v>2</v>
      </c>
      <c r="AX792" s="387">
        <f>IF(AND(M792="F",AS792&lt;&gt;0),SUMIF(C2:C1334,C792,W2:W1334),0)</f>
        <v>0</v>
      </c>
      <c r="AY792" s="387" t="str">
        <f t="shared" si="557"/>
        <v/>
      </c>
      <c r="AZ792" s="387" t="str">
        <f t="shared" si="558"/>
        <v/>
      </c>
      <c r="BA792" s="387">
        <f t="shared" si="559"/>
        <v>0</v>
      </c>
      <c r="BB792" s="387">
        <f t="shared" si="528"/>
        <v>0</v>
      </c>
      <c r="BC792" s="387">
        <f t="shared" si="529"/>
        <v>0</v>
      </c>
      <c r="BD792" s="387">
        <f t="shared" si="530"/>
        <v>0</v>
      </c>
      <c r="BE792" s="387">
        <f t="shared" si="531"/>
        <v>0</v>
      </c>
      <c r="BF792" s="387">
        <f t="shared" si="532"/>
        <v>0</v>
      </c>
      <c r="BG792" s="387">
        <f t="shared" si="533"/>
        <v>0</v>
      </c>
      <c r="BH792" s="387">
        <f t="shared" si="534"/>
        <v>0</v>
      </c>
      <c r="BI792" s="387">
        <f t="shared" si="535"/>
        <v>0</v>
      </c>
      <c r="BJ792" s="387">
        <f t="shared" si="536"/>
        <v>0</v>
      </c>
      <c r="BK792" s="387">
        <f t="shared" si="537"/>
        <v>0</v>
      </c>
      <c r="BL792" s="387">
        <f t="shared" si="560"/>
        <v>0</v>
      </c>
      <c r="BM792" s="387">
        <f t="shared" si="561"/>
        <v>0</v>
      </c>
      <c r="BN792" s="387">
        <f t="shared" si="538"/>
        <v>0</v>
      </c>
      <c r="BO792" s="387">
        <f t="shared" si="539"/>
        <v>0</v>
      </c>
      <c r="BP792" s="387">
        <f t="shared" si="540"/>
        <v>0</v>
      </c>
      <c r="BQ792" s="387">
        <f t="shared" si="541"/>
        <v>0</v>
      </c>
      <c r="BR792" s="387">
        <f t="shared" si="542"/>
        <v>0</v>
      </c>
      <c r="BS792" s="387">
        <f t="shared" si="543"/>
        <v>0</v>
      </c>
      <c r="BT792" s="387">
        <f t="shared" si="544"/>
        <v>0</v>
      </c>
      <c r="BU792" s="387">
        <f t="shared" si="545"/>
        <v>0</v>
      </c>
      <c r="BV792" s="387">
        <f t="shared" si="546"/>
        <v>0</v>
      </c>
      <c r="BW792" s="387">
        <f t="shared" si="547"/>
        <v>0</v>
      </c>
      <c r="BX792" s="387">
        <f t="shared" si="562"/>
        <v>0</v>
      </c>
      <c r="BY792" s="387">
        <f t="shared" si="563"/>
        <v>0</v>
      </c>
      <c r="BZ792" s="387">
        <f t="shared" si="564"/>
        <v>0</v>
      </c>
      <c r="CA792" s="387">
        <f t="shared" si="565"/>
        <v>0</v>
      </c>
      <c r="CB792" s="387">
        <f t="shared" si="566"/>
        <v>0</v>
      </c>
      <c r="CC792" s="387">
        <f t="shared" si="548"/>
        <v>0</v>
      </c>
      <c r="CD792" s="387">
        <f t="shared" si="549"/>
        <v>0</v>
      </c>
      <c r="CE792" s="387">
        <f t="shared" si="550"/>
        <v>0</v>
      </c>
      <c r="CF792" s="387">
        <f t="shared" si="551"/>
        <v>0</v>
      </c>
      <c r="CG792" s="387">
        <f t="shared" si="552"/>
        <v>0</v>
      </c>
      <c r="CH792" s="387">
        <f t="shared" si="553"/>
        <v>0</v>
      </c>
      <c r="CI792" s="387">
        <f t="shared" si="554"/>
        <v>0</v>
      </c>
      <c r="CJ792" s="387">
        <f t="shared" si="567"/>
        <v>0</v>
      </c>
      <c r="CK792" s="387" t="str">
        <f t="shared" si="568"/>
        <v/>
      </c>
      <c r="CL792" s="387" t="str">
        <f t="shared" si="569"/>
        <v/>
      </c>
      <c r="CM792" s="387" t="str">
        <f t="shared" si="570"/>
        <v/>
      </c>
      <c r="CN792" s="387" t="str">
        <f t="shared" si="571"/>
        <v>0302-00</v>
      </c>
    </row>
    <row r="793" spans="1:92" ht="15.75" thickBot="1" x14ac:dyDescent="0.3">
      <c r="A793" s="376" t="s">
        <v>161</v>
      </c>
      <c r="B793" s="376" t="s">
        <v>162</v>
      </c>
      <c r="C793" s="376" t="s">
        <v>890</v>
      </c>
      <c r="D793" s="376" t="s">
        <v>891</v>
      </c>
      <c r="E793" s="376" t="s">
        <v>165</v>
      </c>
      <c r="F793" s="377" t="s">
        <v>166</v>
      </c>
      <c r="G793" s="376" t="s">
        <v>1945</v>
      </c>
      <c r="H793" s="378"/>
      <c r="I793" s="378"/>
      <c r="J793" s="376" t="s">
        <v>239</v>
      </c>
      <c r="K793" s="376" t="s">
        <v>892</v>
      </c>
      <c r="L793" s="376" t="s">
        <v>432</v>
      </c>
      <c r="M793" s="376" t="s">
        <v>566</v>
      </c>
      <c r="N793" s="376" t="s">
        <v>172</v>
      </c>
      <c r="O793" s="379">
        <v>0</v>
      </c>
      <c r="P793" s="385">
        <v>0</v>
      </c>
      <c r="Q793" s="385">
        <v>0</v>
      </c>
      <c r="R793" s="380">
        <v>80</v>
      </c>
      <c r="S793" s="385">
        <v>0</v>
      </c>
      <c r="T793" s="380">
        <v>67.650000000000006</v>
      </c>
      <c r="U793" s="380">
        <v>0</v>
      </c>
      <c r="V793" s="380">
        <v>23.26</v>
      </c>
      <c r="W793" s="380">
        <v>0</v>
      </c>
      <c r="X793" s="380">
        <v>0</v>
      </c>
      <c r="Y793" s="380">
        <v>0</v>
      </c>
      <c r="Z793" s="380">
        <v>0</v>
      </c>
      <c r="AA793" s="378"/>
      <c r="AB793" s="376" t="s">
        <v>45</v>
      </c>
      <c r="AC793" s="376" t="s">
        <v>45</v>
      </c>
      <c r="AD793" s="378"/>
      <c r="AE793" s="378"/>
      <c r="AF793" s="378"/>
      <c r="AG793" s="378"/>
      <c r="AH793" s="379">
        <v>0</v>
      </c>
      <c r="AI793" s="379">
        <v>0</v>
      </c>
      <c r="AJ793" s="378"/>
      <c r="AK793" s="378"/>
      <c r="AL793" s="376" t="s">
        <v>181</v>
      </c>
      <c r="AM793" s="378"/>
      <c r="AN793" s="378"/>
      <c r="AO793" s="379">
        <v>0</v>
      </c>
      <c r="AP793" s="385">
        <v>0</v>
      </c>
      <c r="AQ793" s="385">
        <v>0</v>
      </c>
      <c r="AR793" s="384"/>
      <c r="AS793" s="387">
        <f t="shared" si="555"/>
        <v>0</v>
      </c>
      <c r="AT793">
        <f t="shared" si="556"/>
        <v>0</v>
      </c>
      <c r="AU793" s="387" t="str">
        <f>IF(AT793=0,"",IF(AND(AT793=1,M793="F",SUMIF(C2:C1334,C793,AS2:AS1334)&lt;=1),SUMIF(C2:C1334,C793,AS2:AS1334),IF(AND(AT793=1,M793="F",SUMIF(C2:C1334,C793,AS2:AS1334)&gt;1),1,"")))</f>
        <v/>
      </c>
      <c r="AV793" s="387" t="str">
        <f>IF(AT793=0,"",IF(AND(AT793=3,M793="F",SUMIF(C2:C1334,C793,AS2:AS1334)&lt;=1),SUMIF(C2:C1334,C793,AS2:AS1334),IF(AND(AT793=3,M793="F",SUMIF(C2:C1334,C793,AS2:AS1334)&gt;1),1,"")))</f>
        <v/>
      </c>
      <c r="AW793" s="387">
        <f>SUMIF(C2:C1334,C793,O2:O1334)</f>
        <v>0</v>
      </c>
      <c r="AX793" s="387">
        <f>IF(AND(M793="F",AS793&lt;&gt;0),SUMIF(C2:C1334,C793,W2:W1334),0)</f>
        <v>0</v>
      </c>
      <c r="AY793" s="387" t="str">
        <f t="shared" si="557"/>
        <v/>
      </c>
      <c r="AZ793" s="387" t="str">
        <f t="shared" si="558"/>
        <v/>
      </c>
      <c r="BA793" s="387">
        <f t="shared" si="559"/>
        <v>0</v>
      </c>
      <c r="BB793" s="387">
        <f t="shared" si="528"/>
        <v>0</v>
      </c>
      <c r="BC793" s="387">
        <f t="shared" si="529"/>
        <v>0</v>
      </c>
      <c r="BD793" s="387">
        <f t="shared" si="530"/>
        <v>0</v>
      </c>
      <c r="BE793" s="387">
        <f t="shared" si="531"/>
        <v>0</v>
      </c>
      <c r="BF793" s="387">
        <f t="shared" si="532"/>
        <v>0</v>
      </c>
      <c r="BG793" s="387">
        <f t="shared" si="533"/>
        <v>0</v>
      </c>
      <c r="BH793" s="387">
        <f t="shared" si="534"/>
        <v>0</v>
      </c>
      <c r="BI793" s="387">
        <f t="shared" si="535"/>
        <v>0</v>
      </c>
      <c r="BJ793" s="387">
        <f t="shared" si="536"/>
        <v>0</v>
      </c>
      <c r="BK793" s="387">
        <f t="shared" si="537"/>
        <v>0</v>
      </c>
      <c r="BL793" s="387">
        <f t="shared" si="560"/>
        <v>0</v>
      </c>
      <c r="BM793" s="387">
        <f t="shared" si="561"/>
        <v>0</v>
      </c>
      <c r="BN793" s="387">
        <f t="shared" si="538"/>
        <v>0</v>
      </c>
      <c r="BO793" s="387">
        <f t="shared" si="539"/>
        <v>0</v>
      </c>
      <c r="BP793" s="387">
        <f t="shared" si="540"/>
        <v>0</v>
      </c>
      <c r="BQ793" s="387">
        <f t="shared" si="541"/>
        <v>0</v>
      </c>
      <c r="BR793" s="387">
        <f t="shared" si="542"/>
        <v>0</v>
      </c>
      <c r="BS793" s="387">
        <f t="shared" si="543"/>
        <v>0</v>
      </c>
      <c r="BT793" s="387">
        <f t="shared" si="544"/>
        <v>0</v>
      </c>
      <c r="BU793" s="387">
        <f t="shared" si="545"/>
        <v>0</v>
      </c>
      <c r="BV793" s="387">
        <f t="shared" si="546"/>
        <v>0</v>
      </c>
      <c r="BW793" s="387">
        <f t="shared" si="547"/>
        <v>0</v>
      </c>
      <c r="BX793" s="387">
        <f t="shared" si="562"/>
        <v>0</v>
      </c>
      <c r="BY793" s="387">
        <f t="shared" si="563"/>
        <v>0</v>
      </c>
      <c r="BZ793" s="387">
        <f t="shared" si="564"/>
        <v>0</v>
      </c>
      <c r="CA793" s="387">
        <f t="shared" si="565"/>
        <v>0</v>
      </c>
      <c r="CB793" s="387">
        <f t="shared" si="566"/>
        <v>0</v>
      </c>
      <c r="CC793" s="387">
        <f t="shared" si="548"/>
        <v>0</v>
      </c>
      <c r="CD793" s="387">
        <f t="shared" si="549"/>
        <v>0</v>
      </c>
      <c r="CE793" s="387">
        <f t="shared" si="550"/>
        <v>0</v>
      </c>
      <c r="CF793" s="387">
        <f t="shared" si="551"/>
        <v>0</v>
      </c>
      <c r="CG793" s="387">
        <f t="shared" si="552"/>
        <v>0</v>
      </c>
      <c r="CH793" s="387">
        <f t="shared" si="553"/>
        <v>0</v>
      </c>
      <c r="CI793" s="387">
        <f t="shared" si="554"/>
        <v>0</v>
      </c>
      <c r="CJ793" s="387">
        <f t="shared" si="567"/>
        <v>0</v>
      </c>
      <c r="CK793" s="387" t="str">
        <f t="shared" si="568"/>
        <v/>
      </c>
      <c r="CL793" s="387" t="str">
        <f t="shared" si="569"/>
        <v/>
      </c>
      <c r="CM793" s="387" t="str">
        <f t="shared" si="570"/>
        <v/>
      </c>
      <c r="CN793" s="387" t="str">
        <f t="shared" si="571"/>
        <v>0302-00</v>
      </c>
    </row>
    <row r="794" spans="1:92" ht="15.75" thickBot="1" x14ac:dyDescent="0.3">
      <c r="A794" s="376" t="s">
        <v>161</v>
      </c>
      <c r="B794" s="376" t="s">
        <v>162</v>
      </c>
      <c r="C794" s="376" t="s">
        <v>398</v>
      </c>
      <c r="D794" s="376" t="s">
        <v>375</v>
      </c>
      <c r="E794" s="376" t="s">
        <v>165</v>
      </c>
      <c r="F794" s="377" t="s">
        <v>166</v>
      </c>
      <c r="G794" s="376" t="s">
        <v>1945</v>
      </c>
      <c r="H794" s="378"/>
      <c r="I794" s="378"/>
      <c r="J794" s="376" t="s">
        <v>239</v>
      </c>
      <c r="K794" s="376" t="s">
        <v>376</v>
      </c>
      <c r="L794" s="376" t="s">
        <v>178</v>
      </c>
      <c r="M794" s="376" t="s">
        <v>171</v>
      </c>
      <c r="N794" s="376" t="s">
        <v>172</v>
      </c>
      <c r="O794" s="379">
        <v>1</v>
      </c>
      <c r="P794" s="385">
        <v>0</v>
      </c>
      <c r="Q794" s="385">
        <v>0</v>
      </c>
      <c r="R794" s="380">
        <v>80</v>
      </c>
      <c r="S794" s="385">
        <v>0</v>
      </c>
      <c r="T794" s="380">
        <v>524.16999999999996</v>
      </c>
      <c r="U794" s="380">
        <v>0</v>
      </c>
      <c r="V794" s="380">
        <v>305.17</v>
      </c>
      <c r="W794" s="380">
        <v>0</v>
      </c>
      <c r="X794" s="380">
        <v>0</v>
      </c>
      <c r="Y794" s="380">
        <v>0</v>
      </c>
      <c r="Z794" s="380">
        <v>0</v>
      </c>
      <c r="AA794" s="376" t="s">
        <v>399</v>
      </c>
      <c r="AB794" s="376" t="s">
        <v>400</v>
      </c>
      <c r="AC794" s="376" t="s">
        <v>401</v>
      </c>
      <c r="AD794" s="376" t="s">
        <v>402</v>
      </c>
      <c r="AE794" s="376" t="s">
        <v>376</v>
      </c>
      <c r="AF794" s="376" t="s">
        <v>253</v>
      </c>
      <c r="AG794" s="376" t="s">
        <v>178</v>
      </c>
      <c r="AH794" s="381">
        <v>15.21</v>
      </c>
      <c r="AI794" s="381">
        <v>13084.3</v>
      </c>
      <c r="AJ794" s="376" t="s">
        <v>179</v>
      </c>
      <c r="AK794" s="376" t="s">
        <v>180</v>
      </c>
      <c r="AL794" s="376" t="s">
        <v>181</v>
      </c>
      <c r="AM794" s="376" t="s">
        <v>182</v>
      </c>
      <c r="AN794" s="376" t="s">
        <v>68</v>
      </c>
      <c r="AO794" s="379">
        <v>80</v>
      </c>
      <c r="AP794" s="385">
        <v>1</v>
      </c>
      <c r="AQ794" s="385">
        <v>0</v>
      </c>
      <c r="AR794" s="383" t="s">
        <v>183</v>
      </c>
      <c r="AS794" s="387">
        <f t="shared" si="555"/>
        <v>0</v>
      </c>
      <c r="AT794">
        <f t="shared" si="556"/>
        <v>0</v>
      </c>
      <c r="AU794" s="387" t="str">
        <f>IF(AT794=0,"",IF(AND(AT794=1,M794="F",SUMIF(C2:C1334,C794,AS2:AS1334)&lt;=1),SUMIF(C2:C1334,C794,AS2:AS1334),IF(AND(AT794=1,M794="F",SUMIF(C2:C1334,C794,AS2:AS1334)&gt;1),1,"")))</f>
        <v/>
      </c>
      <c r="AV794" s="387" t="str">
        <f>IF(AT794=0,"",IF(AND(AT794=3,M794="F",SUMIF(C2:C1334,C794,AS2:AS1334)&lt;=1),SUMIF(C2:C1334,C794,AS2:AS1334),IF(AND(AT794=3,M794="F",SUMIF(C2:C1334,C794,AS2:AS1334)&gt;1),1,"")))</f>
        <v/>
      </c>
      <c r="AW794" s="387">
        <f>SUMIF(C2:C1334,C794,O2:O1334)</f>
        <v>6</v>
      </c>
      <c r="AX794" s="387">
        <f>IF(AND(M794="F",AS794&lt;&gt;0),SUMIF(C2:C1334,C794,W2:W1334),0)</f>
        <v>0</v>
      </c>
      <c r="AY794" s="387" t="str">
        <f t="shared" si="557"/>
        <v/>
      </c>
      <c r="AZ794" s="387" t="str">
        <f t="shared" si="558"/>
        <v/>
      </c>
      <c r="BA794" s="387">
        <f t="shared" si="559"/>
        <v>0</v>
      </c>
      <c r="BB794" s="387">
        <f t="shared" si="528"/>
        <v>0</v>
      </c>
      <c r="BC794" s="387">
        <f t="shared" si="529"/>
        <v>0</v>
      </c>
      <c r="BD794" s="387">
        <f t="shared" si="530"/>
        <v>0</v>
      </c>
      <c r="BE794" s="387">
        <f t="shared" si="531"/>
        <v>0</v>
      </c>
      <c r="BF794" s="387">
        <f t="shared" si="532"/>
        <v>0</v>
      </c>
      <c r="BG794" s="387">
        <f t="shared" si="533"/>
        <v>0</v>
      </c>
      <c r="BH794" s="387">
        <f t="shared" si="534"/>
        <v>0</v>
      </c>
      <c r="BI794" s="387">
        <f t="shared" si="535"/>
        <v>0</v>
      </c>
      <c r="BJ794" s="387">
        <f t="shared" si="536"/>
        <v>0</v>
      </c>
      <c r="BK794" s="387">
        <f t="shared" si="537"/>
        <v>0</v>
      </c>
      <c r="BL794" s="387">
        <f t="shared" si="560"/>
        <v>0</v>
      </c>
      <c r="BM794" s="387">
        <f t="shared" si="561"/>
        <v>0</v>
      </c>
      <c r="BN794" s="387">
        <f t="shared" si="538"/>
        <v>0</v>
      </c>
      <c r="BO794" s="387">
        <f t="shared" si="539"/>
        <v>0</v>
      </c>
      <c r="BP794" s="387">
        <f t="shared" si="540"/>
        <v>0</v>
      </c>
      <c r="BQ794" s="387">
        <f t="shared" si="541"/>
        <v>0</v>
      </c>
      <c r="BR794" s="387">
        <f t="shared" si="542"/>
        <v>0</v>
      </c>
      <c r="BS794" s="387">
        <f t="shared" si="543"/>
        <v>0</v>
      </c>
      <c r="BT794" s="387">
        <f t="shared" si="544"/>
        <v>0</v>
      </c>
      <c r="BU794" s="387">
        <f t="shared" si="545"/>
        <v>0</v>
      </c>
      <c r="BV794" s="387">
        <f t="shared" si="546"/>
        <v>0</v>
      </c>
      <c r="BW794" s="387">
        <f t="shared" si="547"/>
        <v>0</v>
      </c>
      <c r="BX794" s="387">
        <f t="shared" si="562"/>
        <v>0</v>
      </c>
      <c r="BY794" s="387">
        <f t="shared" si="563"/>
        <v>0</v>
      </c>
      <c r="BZ794" s="387">
        <f t="shared" si="564"/>
        <v>0</v>
      </c>
      <c r="CA794" s="387">
        <f t="shared" si="565"/>
        <v>0</v>
      </c>
      <c r="CB794" s="387">
        <f t="shared" si="566"/>
        <v>0</v>
      </c>
      <c r="CC794" s="387">
        <f t="shared" si="548"/>
        <v>0</v>
      </c>
      <c r="CD794" s="387">
        <f t="shared" si="549"/>
        <v>0</v>
      </c>
      <c r="CE794" s="387">
        <f t="shared" si="550"/>
        <v>0</v>
      </c>
      <c r="CF794" s="387">
        <f t="shared" si="551"/>
        <v>0</v>
      </c>
      <c r="CG794" s="387">
        <f t="shared" si="552"/>
        <v>0</v>
      </c>
      <c r="CH794" s="387">
        <f t="shared" si="553"/>
        <v>0</v>
      </c>
      <c r="CI794" s="387">
        <f t="shared" si="554"/>
        <v>0</v>
      </c>
      <c r="CJ794" s="387">
        <f t="shared" si="567"/>
        <v>0</v>
      </c>
      <c r="CK794" s="387" t="str">
        <f t="shared" si="568"/>
        <v/>
      </c>
      <c r="CL794" s="387" t="str">
        <f t="shared" si="569"/>
        <v/>
      </c>
      <c r="CM794" s="387" t="str">
        <f t="shared" si="570"/>
        <v/>
      </c>
      <c r="CN794" s="387" t="str">
        <f t="shared" si="571"/>
        <v>0302-00</v>
      </c>
    </row>
    <row r="795" spans="1:92" ht="15.75" thickBot="1" x14ac:dyDescent="0.3">
      <c r="A795" s="376" t="s">
        <v>161</v>
      </c>
      <c r="B795" s="376" t="s">
        <v>162</v>
      </c>
      <c r="C795" s="376" t="s">
        <v>311</v>
      </c>
      <c r="D795" s="376" t="s">
        <v>312</v>
      </c>
      <c r="E795" s="376" t="s">
        <v>224</v>
      </c>
      <c r="F795" s="382" t="s">
        <v>225</v>
      </c>
      <c r="G795" s="376" t="s">
        <v>1945</v>
      </c>
      <c r="H795" s="378"/>
      <c r="I795" s="378"/>
      <c r="J795" s="376" t="s">
        <v>205</v>
      </c>
      <c r="K795" s="376" t="s">
        <v>313</v>
      </c>
      <c r="L795" s="376" t="s">
        <v>166</v>
      </c>
      <c r="M795" s="376" t="s">
        <v>171</v>
      </c>
      <c r="N795" s="376" t="s">
        <v>257</v>
      </c>
      <c r="O795" s="379">
        <v>1</v>
      </c>
      <c r="P795" s="385">
        <v>0.25</v>
      </c>
      <c r="Q795" s="385">
        <v>0.25</v>
      </c>
      <c r="R795" s="380">
        <v>80</v>
      </c>
      <c r="S795" s="385">
        <v>0.25</v>
      </c>
      <c r="T795" s="380">
        <v>24073.11</v>
      </c>
      <c r="U795" s="380">
        <v>0</v>
      </c>
      <c r="V795" s="380">
        <v>7385.05</v>
      </c>
      <c r="W795" s="380">
        <v>29988.400000000001</v>
      </c>
      <c r="X795" s="380">
        <v>9231.34</v>
      </c>
      <c r="Y795" s="380">
        <v>29988.400000000001</v>
      </c>
      <c r="Z795" s="380">
        <v>9105.39</v>
      </c>
      <c r="AA795" s="376" t="s">
        <v>314</v>
      </c>
      <c r="AB795" s="376" t="s">
        <v>315</v>
      </c>
      <c r="AC795" s="376" t="s">
        <v>316</v>
      </c>
      <c r="AD795" s="376" t="s">
        <v>317</v>
      </c>
      <c r="AE795" s="376" t="s">
        <v>313</v>
      </c>
      <c r="AF795" s="376" t="s">
        <v>261</v>
      </c>
      <c r="AG795" s="376" t="s">
        <v>178</v>
      </c>
      <c r="AH795" s="381">
        <v>57.67</v>
      </c>
      <c r="AI795" s="381">
        <v>73354.2</v>
      </c>
      <c r="AJ795" s="376" t="s">
        <v>179</v>
      </c>
      <c r="AK795" s="376" t="s">
        <v>180</v>
      </c>
      <c r="AL795" s="376" t="s">
        <v>181</v>
      </c>
      <c r="AM795" s="376" t="s">
        <v>182</v>
      </c>
      <c r="AN795" s="376" t="s">
        <v>68</v>
      </c>
      <c r="AO795" s="379">
        <v>80</v>
      </c>
      <c r="AP795" s="385">
        <v>1</v>
      </c>
      <c r="AQ795" s="385">
        <v>0.25</v>
      </c>
      <c r="AR795" s="383" t="s">
        <v>183</v>
      </c>
      <c r="AS795" s="387">
        <f t="shared" si="555"/>
        <v>0.25</v>
      </c>
      <c r="AT795">
        <f t="shared" si="556"/>
        <v>1</v>
      </c>
      <c r="AU795" s="387">
        <f>IF(AT795=0,"",IF(AND(AT795=1,M795="F",SUMIF(C2:C1334,C795,AS2:AS1334)&lt;=1),SUMIF(C2:C1334,C795,AS2:AS1334),IF(AND(AT795=1,M795="F",SUMIF(C2:C1334,C795,AS2:AS1334)&gt;1),1,"")))</f>
        <v>1</v>
      </c>
      <c r="AV795" s="387" t="str">
        <f>IF(AT795=0,"",IF(AND(AT795=3,M795="F",SUMIF(C2:C1334,C795,AS2:AS1334)&lt;=1),SUMIF(C2:C1334,C795,AS2:AS1334),IF(AND(AT795=3,M795="F",SUMIF(C2:C1334,C795,AS2:AS1334)&gt;1),1,"")))</f>
        <v/>
      </c>
      <c r="AW795" s="387">
        <f>SUMIF(C2:C1334,C795,O2:O1334)</f>
        <v>9</v>
      </c>
      <c r="AX795" s="387">
        <f>IF(AND(M795="F",AS795&lt;&gt;0),SUMIF(C2:C1334,C795,W2:W1334),0)</f>
        <v>119953.60000000001</v>
      </c>
      <c r="AY795" s="387">
        <f t="shared" si="557"/>
        <v>29988.400000000001</v>
      </c>
      <c r="AZ795" s="387" t="str">
        <f t="shared" si="558"/>
        <v/>
      </c>
      <c r="BA795" s="387">
        <f t="shared" si="559"/>
        <v>0</v>
      </c>
      <c r="BB795" s="387">
        <f t="shared" si="528"/>
        <v>2912.5</v>
      </c>
      <c r="BC795" s="387">
        <f t="shared" si="529"/>
        <v>0</v>
      </c>
      <c r="BD795" s="387">
        <f t="shared" si="530"/>
        <v>1859.2808</v>
      </c>
      <c r="BE795" s="387">
        <f t="shared" si="531"/>
        <v>434.83180000000004</v>
      </c>
      <c r="BF795" s="387">
        <f t="shared" si="532"/>
        <v>3580.6149600000003</v>
      </c>
      <c r="BG795" s="387">
        <f t="shared" si="533"/>
        <v>216.21636400000003</v>
      </c>
      <c r="BH795" s="387">
        <f t="shared" si="534"/>
        <v>146.94316000000001</v>
      </c>
      <c r="BI795" s="387">
        <f t="shared" si="535"/>
        <v>0</v>
      </c>
      <c r="BJ795" s="387">
        <f t="shared" si="536"/>
        <v>80.968680000000006</v>
      </c>
      <c r="BK795" s="387">
        <f t="shared" si="537"/>
        <v>0</v>
      </c>
      <c r="BL795" s="387">
        <f t="shared" si="560"/>
        <v>6318.8557639999999</v>
      </c>
      <c r="BM795" s="387">
        <f t="shared" si="561"/>
        <v>0</v>
      </c>
      <c r="BN795" s="387">
        <f t="shared" si="538"/>
        <v>2912.5</v>
      </c>
      <c r="BO795" s="387">
        <f t="shared" si="539"/>
        <v>0</v>
      </c>
      <c r="BP795" s="387">
        <f t="shared" si="540"/>
        <v>1859.2808</v>
      </c>
      <c r="BQ795" s="387">
        <f t="shared" si="541"/>
        <v>434.83180000000004</v>
      </c>
      <c r="BR795" s="387">
        <f t="shared" si="542"/>
        <v>3580.6149600000003</v>
      </c>
      <c r="BS795" s="387">
        <f t="shared" si="543"/>
        <v>216.21636400000003</v>
      </c>
      <c r="BT795" s="387">
        <f t="shared" si="544"/>
        <v>0</v>
      </c>
      <c r="BU795" s="387">
        <f t="shared" si="545"/>
        <v>0</v>
      </c>
      <c r="BV795" s="387">
        <f t="shared" si="546"/>
        <v>101.96056</v>
      </c>
      <c r="BW795" s="387">
        <f t="shared" si="547"/>
        <v>0</v>
      </c>
      <c r="BX795" s="387">
        <f t="shared" si="562"/>
        <v>6192.9044840000006</v>
      </c>
      <c r="BY795" s="387">
        <f t="shared" si="563"/>
        <v>0</v>
      </c>
      <c r="BZ795" s="387">
        <f t="shared" si="564"/>
        <v>0</v>
      </c>
      <c r="CA795" s="387">
        <f t="shared" si="565"/>
        <v>0</v>
      </c>
      <c r="CB795" s="387">
        <f t="shared" si="566"/>
        <v>0</v>
      </c>
      <c r="CC795" s="387">
        <f t="shared" si="548"/>
        <v>0</v>
      </c>
      <c r="CD795" s="387">
        <f t="shared" si="549"/>
        <v>0</v>
      </c>
      <c r="CE795" s="387">
        <f t="shared" si="550"/>
        <v>0</v>
      </c>
      <c r="CF795" s="387">
        <f t="shared" si="551"/>
        <v>-146.94316000000001</v>
      </c>
      <c r="CG795" s="387">
        <f t="shared" si="552"/>
        <v>0</v>
      </c>
      <c r="CH795" s="387">
        <f t="shared" si="553"/>
        <v>20.991879999999991</v>
      </c>
      <c r="CI795" s="387">
        <f t="shared" si="554"/>
        <v>0</v>
      </c>
      <c r="CJ795" s="387">
        <f t="shared" si="567"/>
        <v>-125.95128000000001</v>
      </c>
      <c r="CK795" s="387" t="str">
        <f t="shared" si="568"/>
        <v/>
      </c>
      <c r="CL795" s="387" t="str">
        <f t="shared" si="569"/>
        <v/>
      </c>
      <c r="CM795" s="387" t="str">
        <f t="shared" si="570"/>
        <v/>
      </c>
      <c r="CN795" s="387" t="str">
        <f t="shared" si="571"/>
        <v>0348-31</v>
      </c>
    </row>
    <row r="796" spans="1:92" ht="15.75" thickBot="1" x14ac:dyDescent="0.3">
      <c r="A796" s="376" t="s">
        <v>161</v>
      </c>
      <c r="B796" s="376" t="s">
        <v>162</v>
      </c>
      <c r="C796" s="376" t="s">
        <v>1033</v>
      </c>
      <c r="D796" s="376" t="s">
        <v>862</v>
      </c>
      <c r="E796" s="376" t="s">
        <v>224</v>
      </c>
      <c r="F796" s="382" t="s">
        <v>225</v>
      </c>
      <c r="G796" s="376" t="s">
        <v>1945</v>
      </c>
      <c r="H796" s="378"/>
      <c r="I796" s="378"/>
      <c r="J796" s="376" t="s">
        <v>168</v>
      </c>
      <c r="K796" s="376" t="s">
        <v>863</v>
      </c>
      <c r="L796" s="376" t="s">
        <v>252</v>
      </c>
      <c r="M796" s="376" t="s">
        <v>171</v>
      </c>
      <c r="N796" s="376" t="s">
        <v>172</v>
      </c>
      <c r="O796" s="379">
        <v>1</v>
      </c>
      <c r="P796" s="385">
        <v>0.2</v>
      </c>
      <c r="Q796" s="385">
        <v>0.2</v>
      </c>
      <c r="R796" s="380">
        <v>80</v>
      </c>
      <c r="S796" s="385">
        <v>0.2</v>
      </c>
      <c r="T796" s="380">
        <v>4889.58</v>
      </c>
      <c r="U796" s="380">
        <v>0</v>
      </c>
      <c r="V796" s="380">
        <v>2598.59</v>
      </c>
      <c r="W796" s="380">
        <v>7895.68</v>
      </c>
      <c r="X796" s="380">
        <v>4037.43</v>
      </c>
      <c r="Y796" s="380">
        <v>7895.68</v>
      </c>
      <c r="Z796" s="380">
        <v>4004.27</v>
      </c>
      <c r="AA796" s="376" t="s">
        <v>1034</v>
      </c>
      <c r="AB796" s="376" t="s">
        <v>1035</v>
      </c>
      <c r="AC796" s="376" t="s">
        <v>1036</v>
      </c>
      <c r="AD796" s="376" t="s">
        <v>1037</v>
      </c>
      <c r="AE796" s="376" t="s">
        <v>863</v>
      </c>
      <c r="AF796" s="376" t="s">
        <v>393</v>
      </c>
      <c r="AG796" s="376" t="s">
        <v>178</v>
      </c>
      <c r="AH796" s="381">
        <v>18.98</v>
      </c>
      <c r="AI796" s="381">
        <v>3887.1</v>
      </c>
      <c r="AJ796" s="376" t="s">
        <v>179</v>
      </c>
      <c r="AK796" s="376" t="s">
        <v>180</v>
      </c>
      <c r="AL796" s="376" t="s">
        <v>181</v>
      </c>
      <c r="AM796" s="376" t="s">
        <v>182</v>
      </c>
      <c r="AN796" s="376" t="s">
        <v>68</v>
      </c>
      <c r="AO796" s="379">
        <v>80</v>
      </c>
      <c r="AP796" s="385">
        <v>1</v>
      </c>
      <c r="AQ796" s="385">
        <v>0.2</v>
      </c>
      <c r="AR796" s="383" t="s">
        <v>183</v>
      </c>
      <c r="AS796" s="387">
        <f t="shared" si="555"/>
        <v>0.2</v>
      </c>
      <c r="AT796">
        <f t="shared" si="556"/>
        <v>1</v>
      </c>
      <c r="AU796" s="387">
        <f>IF(AT796=0,"",IF(AND(AT796=1,M796="F",SUMIF(C2:C1334,C796,AS2:AS1334)&lt;=1),SUMIF(C2:C1334,C796,AS2:AS1334),IF(AND(AT796=1,M796="F",SUMIF(C2:C1334,C796,AS2:AS1334)&gt;1),1,"")))</f>
        <v>1</v>
      </c>
      <c r="AV796" s="387" t="str">
        <f>IF(AT796=0,"",IF(AND(AT796=3,M796="F",SUMIF(C2:C1334,C796,AS2:AS1334)&lt;=1),SUMIF(C2:C1334,C796,AS2:AS1334),IF(AND(AT796=3,M796="F",SUMIF(C2:C1334,C796,AS2:AS1334)&gt;1),1,"")))</f>
        <v/>
      </c>
      <c r="AW796" s="387">
        <f>SUMIF(C2:C1334,C796,O2:O1334)</f>
        <v>3</v>
      </c>
      <c r="AX796" s="387">
        <f>IF(AND(M796="F",AS796&lt;&gt;0),SUMIF(C2:C1334,C796,W2:W1334),0)</f>
        <v>39478.400000000001</v>
      </c>
      <c r="AY796" s="387">
        <f t="shared" si="557"/>
        <v>7895.68</v>
      </c>
      <c r="AZ796" s="387" t="str">
        <f t="shared" si="558"/>
        <v/>
      </c>
      <c r="BA796" s="387">
        <f t="shared" si="559"/>
        <v>0</v>
      </c>
      <c r="BB796" s="387">
        <f t="shared" si="528"/>
        <v>2330</v>
      </c>
      <c r="BC796" s="387">
        <f t="shared" si="529"/>
        <v>0</v>
      </c>
      <c r="BD796" s="387">
        <f t="shared" si="530"/>
        <v>489.53216000000003</v>
      </c>
      <c r="BE796" s="387">
        <f t="shared" si="531"/>
        <v>114.48736000000001</v>
      </c>
      <c r="BF796" s="387">
        <f t="shared" si="532"/>
        <v>942.74419200000011</v>
      </c>
      <c r="BG796" s="387">
        <f t="shared" si="533"/>
        <v>56.927852800000004</v>
      </c>
      <c r="BH796" s="387">
        <f t="shared" si="534"/>
        <v>38.688831999999998</v>
      </c>
      <c r="BI796" s="387">
        <f t="shared" si="535"/>
        <v>43.702588800000001</v>
      </c>
      <c r="BJ796" s="387">
        <f t="shared" si="536"/>
        <v>21.318336000000002</v>
      </c>
      <c r="BK796" s="387">
        <f t="shared" si="537"/>
        <v>0</v>
      </c>
      <c r="BL796" s="387">
        <f t="shared" si="560"/>
        <v>1707.4013216000003</v>
      </c>
      <c r="BM796" s="387">
        <f t="shared" si="561"/>
        <v>0</v>
      </c>
      <c r="BN796" s="387">
        <f t="shared" si="538"/>
        <v>2330</v>
      </c>
      <c r="BO796" s="387">
        <f t="shared" si="539"/>
        <v>0</v>
      </c>
      <c r="BP796" s="387">
        <f t="shared" si="540"/>
        <v>489.53216000000003</v>
      </c>
      <c r="BQ796" s="387">
        <f t="shared" si="541"/>
        <v>114.48736000000001</v>
      </c>
      <c r="BR796" s="387">
        <f t="shared" si="542"/>
        <v>942.74419200000011</v>
      </c>
      <c r="BS796" s="387">
        <f t="shared" si="543"/>
        <v>56.927852800000004</v>
      </c>
      <c r="BT796" s="387">
        <f t="shared" si="544"/>
        <v>0</v>
      </c>
      <c r="BU796" s="387">
        <f t="shared" si="545"/>
        <v>43.702588800000001</v>
      </c>
      <c r="BV796" s="387">
        <f t="shared" si="546"/>
        <v>26.845312</v>
      </c>
      <c r="BW796" s="387">
        <f t="shared" si="547"/>
        <v>0</v>
      </c>
      <c r="BX796" s="387">
        <f t="shared" si="562"/>
        <v>1674.2394656000001</v>
      </c>
      <c r="BY796" s="387">
        <f t="shared" si="563"/>
        <v>0</v>
      </c>
      <c r="BZ796" s="387">
        <f t="shared" si="564"/>
        <v>0</v>
      </c>
      <c r="CA796" s="387">
        <f t="shared" si="565"/>
        <v>0</v>
      </c>
      <c r="CB796" s="387">
        <f t="shared" si="566"/>
        <v>0</v>
      </c>
      <c r="CC796" s="387">
        <f t="shared" si="548"/>
        <v>0</v>
      </c>
      <c r="CD796" s="387">
        <f t="shared" si="549"/>
        <v>0</v>
      </c>
      <c r="CE796" s="387">
        <f t="shared" si="550"/>
        <v>0</v>
      </c>
      <c r="CF796" s="387">
        <f t="shared" si="551"/>
        <v>-38.688831999999998</v>
      </c>
      <c r="CG796" s="387">
        <f t="shared" si="552"/>
        <v>0</v>
      </c>
      <c r="CH796" s="387">
        <f t="shared" si="553"/>
        <v>5.5269759999999977</v>
      </c>
      <c r="CI796" s="387">
        <f t="shared" si="554"/>
        <v>0</v>
      </c>
      <c r="CJ796" s="387">
        <f t="shared" si="567"/>
        <v>-33.161856</v>
      </c>
      <c r="CK796" s="387" t="str">
        <f t="shared" si="568"/>
        <v/>
      </c>
      <c r="CL796" s="387" t="str">
        <f t="shared" si="569"/>
        <v/>
      </c>
      <c r="CM796" s="387" t="str">
        <f t="shared" si="570"/>
        <v/>
      </c>
      <c r="CN796" s="387" t="str">
        <f t="shared" si="571"/>
        <v>0348-31</v>
      </c>
    </row>
    <row r="797" spans="1:92" ht="15.75" thickBot="1" x14ac:dyDescent="0.3">
      <c r="A797" s="376" t="s">
        <v>161</v>
      </c>
      <c r="B797" s="376" t="s">
        <v>162</v>
      </c>
      <c r="C797" s="376" t="s">
        <v>1833</v>
      </c>
      <c r="D797" s="376" t="s">
        <v>862</v>
      </c>
      <c r="E797" s="376" t="s">
        <v>224</v>
      </c>
      <c r="F797" s="382" t="s">
        <v>225</v>
      </c>
      <c r="G797" s="376" t="s">
        <v>1945</v>
      </c>
      <c r="H797" s="378"/>
      <c r="I797" s="378"/>
      <c r="J797" s="376" t="s">
        <v>215</v>
      </c>
      <c r="K797" s="376" t="s">
        <v>863</v>
      </c>
      <c r="L797" s="376" t="s">
        <v>252</v>
      </c>
      <c r="M797" s="376" t="s">
        <v>171</v>
      </c>
      <c r="N797" s="376" t="s">
        <v>172</v>
      </c>
      <c r="O797" s="379">
        <v>1</v>
      </c>
      <c r="P797" s="385">
        <v>1</v>
      </c>
      <c r="Q797" s="385">
        <v>1</v>
      </c>
      <c r="R797" s="380">
        <v>80</v>
      </c>
      <c r="S797" s="385">
        <v>1</v>
      </c>
      <c r="T797" s="380">
        <v>23759.4</v>
      </c>
      <c r="U797" s="380">
        <v>284.55</v>
      </c>
      <c r="V797" s="380">
        <v>13514.73</v>
      </c>
      <c r="W797" s="380">
        <v>38563.199999999997</v>
      </c>
      <c r="X797" s="380">
        <v>19989.259999999998</v>
      </c>
      <c r="Y797" s="380">
        <v>38563.199999999997</v>
      </c>
      <c r="Z797" s="380">
        <v>19827.3</v>
      </c>
      <c r="AA797" s="376" t="s">
        <v>1834</v>
      </c>
      <c r="AB797" s="376" t="s">
        <v>1835</v>
      </c>
      <c r="AC797" s="376" t="s">
        <v>623</v>
      </c>
      <c r="AD797" s="376" t="s">
        <v>252</v>
      </c>
      <c r="AE797" s="376" t="s">
        <v>863</v>
      </c>
      <c r="AF797" s="376" t="s">
        <v>393</v>
      </c>
      <c r="AG797" s="376" t="s">
        <v>178</v>
      </c>
      <c r="AH797" s="381">
        <v>18.54</v>
      </c>
      <c r="AI797" s="381">
        <v>1623.6</v>
      </c>
      <c r="AJ797" s="376" t="s">
        <v>179</v>
      </c>
      <c r="AK797" s="376" t="s">
        <v>180</v>
      </c>
      <c r="AL797" s="376" t="s">
        <v>181</v>
      </c>
      <c r="AM797" s="376" t="s">
        <v>182</v>
      </c>
      <c r="AN797" s="376" t="s">
        <v>68</v>
      </c>
      <c r="AO797" s="379">
        <v>80</v>
      </c>
      <c r="AP797" s="385">
        <v>1</v>
      </c>
      <c r="AQ797" s="385">
        <v>1</v>
      </c>
      <c r="AR797" s="383" t="s">
        <v>183</v>
      </c>
      <c r="AS797" s="387">
        <f t="shared" si="555"/>
        <v>1</v>
      </c>
      <c r="AT797">
        <f t="shared" si="556"/>
        <v>1</v>
      </c>
      <c r="AU797" s="387">
        <f>IF(AT797=0,"",IF(AND(AT797=1,M797="F",SUMIF(C2:C1334,C797,AS2:AS1334)&lt;=1),SUMIF(C2:C1334,C797,AS2:AS1334),IF(AND(AT797=1,M797="F",SUMIF(C2:C1334,C797,AS2:AS1334)&gt;1),1,"")))</f>
        <v>1</v>
      </c>
      <c r="AV797" s="387" t="str">
        <f>IF(AT797=0,"",IF(AND(AT797=3,M797="F",SUMIF(C2:C1334,C797,AS2:AS1334)&lt;=1),SUMIF(C2:C1334,C797,AS2:AS1334),IF(AND(AT797=3,M797="F",SUMIF(C2:C1334,C797,AS2:AS1334)&gt;1),1,"")))</f>
        <v/>
      </c>
      <c r="AW797" s="387">
        <f>SUMIF(C2:C1334,C797,O2:O1334)</f>
        <v>2</v>
      </c>
      <c r="AX797" s="387">
        <f>IF(AND(M797="F",AS797&lt;&gt;0),SUMIF(C2:C1334,C797,W2:W1334),0)</f>
        <v>38563.199999999997</v>
      </c>
      <c r="AY797" s="387">
        <f t="shared" si="557"/>
        <v>38563.199999999997</v>
      </c>
      <c r="AZ797" s="387" t="str">
        <f t="shared" si="558"/>
        <v/>
      </c>
      <c r="BA797" s="387">
        <f t="shared" si="559"/>
        <v>0</v>
      </c>
      <c r="BB797" s="387">
        <f t="shared" si="528"/>
        <v>11650</v>
      </c>
      <c r="BC797" s="387">
        <f t="shared" si="529"/>
        <v>0</v>
      </c>
      <c r="BD797" s="387">
        <f t="shared" si="530"/>
        <v>2390.9184</v>
      </c>
      <c r="BE797" s="387">
        <f t="shared" si="531"/>
        <v>559.16639999999995</v>
      </c>
      <c r="BF797" s="387">
        <f t="shared" si="532"/>
        <v>4604.4460799999997</v>
      </c>
      <c r="BG797" s="387">
        <f t="shared" si="533"/>
        <v>278.04067199999997</v>
      </c>
      <c r="BH797" s="387">
        <f t="shared" si="534"/>
        <v>188.95967999999999</v>
      </c>
      <c r="BI797" s="387">
        <f t="shared" si="535"/>
        <v>213.44731199999998</v>
      </c>
      <c r="BJ797" s="387">
        <f t="shared" si="536"/>
        <v>104.12063999999999</v>
      </c>
      <c r="BK797" s="387">
        <f t="shared" si="537"/>
        <v>0</v>
      </c>
      <c r="BL797" s="387">
        <f t="shared" si="560"/>
        <v>8339.0991839999988</v>
      </c>
      <c r="BM797" s="387">
        <f t="shared" si="561"/>
        <v>0</v>
      </c>
      <c r="BN797" s="387">
        <f t="shared" si="538"/>
        <v>11650</v>
      </c>
      <c r="BO797" s="387">
        <f t="shared" si="539"/>
        <v>0</v>
      </c>
      <c r="BP797" s="387">
        <f t="shared" si="540"/>
        <v>2390.9184</v>
      </c>
      <c r="BQ797" s="387">
        <f t="shared" si="541"/>
        <v>559.16639999999995</v>
      </c>
      <c r="BR797" s="387">
        <f t="shared" si="542"/>
        <v>4604.4460799999997</v>
      </c>
      <c r="BS797" s="387">
        <f t="shared" si="543"/>
        <v>278.04067199999997</v>
      </c>
      <c r="BT797" s="387">
        <f t="shared" si="544"/>
        <v>0</v>
      </c>
      <c r="BU797" s="387">
        <f t="shared" si="545"/>
        <v>213.44731199999998</v>
      </c>
      <c r="BV797" s="387">
        <f t="shared" si="546"/>
        <v>131.11487999999997</v>
      </c>
      <c r="BW797" s="387">
        <f t="shared" si="547"/>
        <v>0</v>
      </c>
      <c r="BX797" s="387">
        <f t="shared" si="562"/>
        <v>8177.1337440000007</v>
      </c>
      <c r="BY797" s="387">
        <f t="shared" si="563"/>
        <v>0</v>
      </c>
      <c r="BZ797" s="387">
        <f t="shared" si="564"/>
        <v>0</v>
      </c>
      <c r="CA797" s="387">
        <f t="shared" si="565"/>
        <v>0</v>
      </c>
      <c r="CB797" s="387">
        <f t="shared" si="566"/>
        <v>0</v>
      </c>
      <c r="CC797" s="387">
        <f t="shared" si="548"/>
        <v>0</v>
      </c>
      <c r="CD797" s="387">
        <f t="shared" si="549"/>
        <v>0</v>
      </c>
      <c r="CE797" s="387">
        <f t="shared" si="550"/>
        <v>0</v>
      </c>
      <c r="CF797" s="387">
        <f t="shared" si="551"/>
        <v>-188.95967999999999</v>
      </c>
      <c r="CG797" s="387">
        <f t="shared" si="552"/>
        <v>0</v>
      </c>
      <c r="CH797" s="387">
        <f t="shared" si="553"/>
        <v>26.994239999999984</v>
      </c>
      <c r="CI797" s="387">
        <f t="shared" si="554"/>
        <v>0</v>
      </c>
      <c r="CJ797" s="387">
        <f t="shared" si="567"/>
        <v>-161.96544</v>
      </c>
      <c r="CK797" s="387" t="str">
        <f t="shared" si="568"/>
        <v/>
      </c>
      <c r="CL797" s="387" t="str">
        <f t="shared" si="569"/>
        <v/>
      </c>
      <c r="CM797" s="387" t="str">
        <f t="shared" si="570"/>
        <v/>
      </c>
      <c r="CN797" s="387" t="str">
        <f t="shared" si="571"/>
        <v>0348-31</v>
      </c>
    </row>
    <row r="798" spans="1:92" ht="15.75" thickBot="1" x14ac:dyDescent="0.3">
      <c r="A798" s="376" t="s">
        <v>161</v>
      </c>
      <c r="B798" s="376" t="s">
        <v>162</v>
      </c>
      <c r="C798" s="376" t="s">
        <v>1851</v>
      </c>
      <c r="D798" s="376" t="s">
        <v>1088</v>
      </c>
      <c r="E798" s="376" t="s">
        <v>224</v>
      </c>
      <c r="F798" s="382" t="s">
        <v>225</v>
      </c>
      <c r="G798" s="376" t="s">
        <v>1945</v>
      </c>
      <c r="H798" s="378"/>
      <c r="I798" s="378"/>
      <c r="J798" s="376" t="s">
        <v>215</v>
      </c>
      <c r="K798" s="376" t="s">
        <v>1089</v>
      </c>
      <c r="L798" s="376" t="s">
        <v>181</v>
      </c>
      <c r="M798" s="376" t="s">
        <v>171</v>
      </c>
      <c r="N798" s="376" t="s">
        <v>172</v>
      </c>
      <c r="O798" s="379">
        <v>1</v>
      </c>
      <c r="P798" s="385">
        <v>1</v>
      </c>
      <c r="Q798" s="385">
        <v>1</v>
      </c>
      <c r="R798" s="380">
        <v>80</v>
      </c>
      <c r="S798" s="385">
        <v>1</v>
      </c>
      <c r="T798" s="380">
        <v>0</v>
      </c>
      <c r="U798" s="380">
        <v>0</v>
      </c>
      <c r="V798" s="380">
        <v>0</v>
      </c>
      <c r="W798" s="380">
        <v>74505.600000000006</v>
      </c>
      <c r="X798" s="380">
        <v>27761.8</v>
      </c>
      <c r="Y798" s="380">
        <v>74505.600000000006</v>
      </c>
      <c r="Z798" s="380">
        <v>27448.880000000001</v>
      </c>
      <c r="AA798" s="376" t="s">
        <v>1852</v>
      </c>
      <c r="AB798" s="376" t="s">
        <v>1853</v>
      </c>
      <c r="AC798" s="376" t="s">
        <v>1854</v>
      </c>
      <c r="AD798" s="376" t="s">
        <v>300</v>
      </c>
      <c r="AE798" s="376" t="s">
        <v>1089</v>
      </c>
      <c r="AF798" s="376" t="s">
        <v>211</v>
      </c>
      <c r="AG798" s="376" t="s">
        <v>178</v>
      </c>
      <c r="AH798" s="381">
        <v>35.82</v>
      </c>
      <c r="AI798" s="379">
        <v>6303</v>
      </c>
      <c r="AJ798" s="376" t="s">
        <v>179</v>
      </c>
      <c r="AK798" s="376" t="s">
        <v>180</v>
      </c>
      <c r="AL798" s="376" t="s">
        <v>181</v>
      </c>
      <c r="AM798" s="376" t="s">
        <v>182</v>
      </c>
      <c r="AN798" s="376" t="s">
        <v>68</v>
      </c>
      <c r="AO798" s="379">
        <v>80</v>
      </c>
      <c r="AP798" s="385">
        <v>1</v>
      </c>
      <c r="AQ798" s="385">
        <v>1</v>
      </c>
      <c r="AR798" s="383" t="s">
        <v>183</v>
      </c>
      <c r="AS798" s="387">
        <f t="shared" si="555"/>
        <v>1</v>
      </c>
      <c r="AT798">
        <f t="shared" si="556"/>
        <v>1</v>
      </c>
      <c r="AU798" s="387">
        <f>IF(AT798=0,"",IF(AND(AT798=1,M798="F",SUMIF(C2:C1334,C798,AS2:AS1334)&lt;=1),SUMIF(C2:C1334,C798,AS2:AS1334),IF(AND(AT798=1,M798="F",SUMIF(C2:C1334,C798,AS2:AS1334)&gt;1),1,"")))</f>
        <v>1</v>
      </c>
      <c r="AV798" s="387" t="str">
        <f>IF(AT798=0,"",IF(AND(AT798=3,M798="F",SUMIF(C2:C1334,C798,AS2:AS1334)&lt;=1),SUMIF(C2:C1334,C798,AS2:AS1334),IF(AND(AT798=3,M798="F",SUMIF(C2:C1334,C798,AS2:AS1334)&gt;1),1,"")))</f>
        <v/>
      </c>
      <c r="AW798" s="387">
        <f>SUMIF(C2:C1334,C798,O2:O1334)</f>
        <v>2</v>
      </c>
      <c r="AX798" s="387">
        <f>IF(AND(M798="F",AS798&lt;&gt;0),SUMIF(C2:C1334,C798,W2:W1334),0)</f>
        <v>74505.600000000006</v>
      </c>
      <c r="AY798" s="387">
        <f t="shared" si="557"/>
        <v>74505.600000000006</v>
      </c>
      <c r="AZ798" s="387" t="str">
        <f t="shared" si="558"/>
        <v/>
      </c>
      <c r="BA798" s="387">
        <f t="shared" si="559"/>
        <v>0</v>
      </c>
      <c r="BB798" s="387">
        <f t="shared" si="528"/>
        <v>11650</v>
      </c>
      <c r="BC798" s="387">
        <f t="shared" si="529"/>
        <v>0</v>
      </c>
      <c r="BD798" s="387">
        <f t="shared" si="530"/>
        <v>4619.3472000000002</v>
      </c>
      <c r="BE798" s="387">
        <f t="shared" si="531"/>
        <v>1080.3312000000001</v>
      </c>
      <c r="BF798" s="387">
        <f t="shared" si="532"/>
        <v>8895.968640000001</v>
      </c>
      <c r="BG798" s="387">
        <f t="shared" si="533"/>
        <v>537.18537600000002</v>
      </c>
      <c r="BH798" s="387">
        <f t="shared" si="534"/>
        <v>365.07744000000002</v>
      </c>
      <c r="BI798" s="387">
        <f t="shared" si="535"/>
        <v>412.38849600000003</v>
      </c>
      <c r="BJ798" s="387">
        <f t="shared" si="536"/>
        <v>201.16512000000003</v>
      </c>
      <c r="BK798" s="387">
        <f t="shared" si="537"/>
        <v>0</v>
      </c>
      <c r="BL798" s="387">
        <f t="shared" si="560"/>
        <v>16111.463472000001</v>
      </c>
      <c r="BM798" s="387">
        <f t="shared" si="561"/>
        <v>0</v>
      </c>
      <c r="BN798" s="387">
        <f t="shared" si="538"/>
        <v>11650</v>
      </c>
      <c r="BO798" s="387">
        <f t="shared" si="539"/>
        <v>0</v>
      </c>
      <c r="BP798" s="387">
        <f t="shared" si="540"/>
        <v>4619.3472000000002</v>
      </c>
      <c r="BQ798" s="387">
        <f t="shared" si="541"/>
        <v>1080.3312000000001</v>
      </c>
      <c r="BR798" s="387">
        <f t="shared" si="542"/>
        <v>8895.968640000001</v>
      </c>
      <c r="BS798" s="387">
        <f t="shared" si="543"/>
        <v>537.18537600000002</v>
      </c>
      <c r="BT798" s="387">
        <f t="shared" si="544"/>
        <v>0</v>
      </c>
      <c r="BU798" s="387">
        <f t="shared" si="545"/>
        <v>412.38849600000003</v>
      </c>
      <c r="BV798" s="387">
        <f t="shared" si="546"/>
        <v>253.31904</v>
      </c>
      <c r="BW798" s="387">
        <f t="shared" si="547"/>
        <v>0</v>
      </c>
      <c r="BX798" s="387">
        <f t="shared" si="562"/>
        <v>15798.539952000001</v>
      </c>
      <c r="BY798" s="387">
        <f t="shared" si="563"/>
        <v>0</v>
      </c>
      <c r="BZ798" s="387">
        <f t="shared" si="564"/>
        <v>0</v>
      </c>
      <c r="CA798" s="387">
        <f t="shared" si="565"/>
        <v>0</v>
      </c>
      <c r="CB798" s="387">
        <f t="shared" si="566"/>
        <v>0</v>
      </c>
      <c r="CC798" s="387">
        <f t="shared" si="548"/>
        <v>0</v>
      </c>
      <c r="CD798" s="387">
        <f t="shared" si="549"/>
        <v>0</v>
      </c>
      <c r="CE798" s="387">
        <f t="shared" si="550"/>
        <v>0</v>
      </c>
      <c r="CF798" s="387">
        <f t="shared" si="551"/>
        <v>-365.07744000000002</v>
      </c>
      <c r="CG798" s="387">
        <f t="shared" si="552"/>
        <v>0</v>
      </c>
      <c r="CH798" s="387">
        <f t="shared" si="553"/>
        <v>52.153919999999978</v>
      </c>
      <c r="CI798" s="387">
        <f t="shared" si="554"/>
        <v>0</v>
      </c>
      <c r="CJ798" s="387">
        <f t="shared" si="567"/>
        <v>-312.92352000000005</v>
      </c>
      <c r="CK798" s="387" t="str">
        <f t="shared" si="568"/>
        <v/>
      </c>
      <c r="CL798" s="387" t="str">
        <f t="shared" si="569"/>
        <v/>
      </c>
      <c r="CM798" s="387" t="str">
        <f t="shared" si="570"/>
        <v/>
      </c>
      <c r="CN798" s="387" t="str">
        <f t="shared" si="571"/>
        <v>0348-31</v>
      </c>
    </row>
    <row r="799" spans="1:92" ht="15.75" thickBot="1" x14ac:dyDescent="0.3">
      <c r="A799" s="376" t="s">
        <v>161</v>
      </c>
      <c r="B799" s="376" t="s">
        <v>162</v>
      </c>
      <c r="C799" s="376" t="s">
        <v>1981</v>
      </c>
      <c r="D799" s="376" t="s">
        <v>974</v>
      </c>
      <c r="E799" s="376" t="s">
        <v>224</v>
      </c>
      <c r="F799" s="382" t="s">
        <v>225</v>
      </c>
      <c r="G799" s="376" t="s">
        <v>1945</v>
      </c>
      <c r="H799" s="378"/>
      <c r="I799" s="378"/>
      <c r="J799" s="376" t="s">
        <v>215</v>
      </c>
      <c r="K799" s="376" t="s">
        <v>975</v>
      </c>
      <c r="L799" s="376" t="s">
        <v>296</v>
      </c>
      <c r="M799" s="376" t="s">
        <v>171</v>
      </c>
      <c r="N799" s="376" t="s">
        <v>172</v>
      </c>
      <c r="O799" s="379">
        <v>1</v>
      </c>
      <c r="P799" s="385">
        <v>1</v>
      </c>
      <c r="Q799" s="385">
        <v>1</v>
      </c>
      <c r="R799" s="380">
        <v>80</v>
      </c>
      <c r="S799" s="385">
        <v>1</v>
      </c>
      <c r="T799" s="380">
        <v>44752.51</v>
      </c>
      <c r="U799" s="380">
        <v>520.22</v>
      </c>
      <c r="V799" s="380">
        <v>20994.13</v>
      </c>
      <c r="W799" s="380">
        <v>47632</v>
      </c>
      <c r="X799" s="380">
        <v>21950.39</v>
      </c>
      <c r="Y799" s="380">
        <v>47632</v>
      </c>
      <c r="Z799" s="380">
        <v>21750.34</v>
      </c>
      <c r="AA799" s="376" t="s">
        <v>1982</v>
      </c>
      <c r="AB799" s="376" t="s">
        <v>950</v>
      </c>
      <c r="AC799" s="376" t="s">
        <v>310</v>
      </c>
      <c r="AD799" s="376" t="s">
        <v>210</v>
      </c>
      <c r="AE799" s="376" t="s">
        <v>975</v>
      </c>
      <c r="AF799" s="376" t="s">
        <v>301</v>
      </c>
      <c r="AG799" s="376" t="s">
        <v>178</v>
      </c>
      <c r="AH799" s="381">
        <v>22.9</v>
      </c>
      <c r="AI799" s="381">
        <v>25267.4</v>
      </c>
      <c r="AJ799" s="376" t="s">
        <v>179</v>
      </c>
      <c r="AK799" s="376" t="s">
        <v>180</v>
      </c>
      <c r="AL799" s="376" t="s">
        <v>181</v>
      </c>
      <c r="AM799" s="376" t="s">
        <v>182</v>
      </c>
      <c r="AN799" s="376" t="s">
        <v>68</v>
      </c>
      <c r="AO799" s="379">
        <v>80</v>
      </c>
      <c r="AP799" s="385">
        <v>1</v>
      </c>
      <c r="AQ799" s="385">
        <v>1</v>
      </c>
      <c r="AR799" s="383" t="s">
        <v>183</v>
      </c>
      <c r="AS799" s="387">
        <f t="shared" si="555"/>
        <v>1</v>
      </c>
      <c r="AT799">
        <f t="shared" si="556"/>
        <v>1</v>
      </c>
      <c r="AU799" s="387">
        <f>IF(AT799=0,"",IF(AND(AT799=1,M799="F",SUMIF(C2:C1334,C799,AS2:AS1334)&lt;=1),SUMIF(C2:C1334,C799,AS2:AS1334),IF(AND(AT799=1,M799="F",SUMIF(C2:C1334,C799,AS2:AS1334)&gt;1),1,"")))</f>
        <v>1</v>
      </c>
      <c r="AV799" s="387" t="str">
        <f>IF(AT799=0,"",IF(AND(AT799=3,M799="F",SUMIF(C2:C1334,C799,AS2:AS1334)&lt;=1),SUMIF(C2:C1334,C799,AS2:AS1334),IF(AND(AT799=3,M799="F",SUMIF(C2:C1334,C799,AS2:AS1334)&gt;1),1,"")))</f>
        <v/>
      </c>
      <c r="AW799" s="387">
        <f>SUMIF(C2:C1334,C799,O2:O1334)</f>
        <v>1</v>
      </c>
      <c r="AX799" s="387">
        <f>IF(AND(M799="F",AS799&lt;&gt;0),SUMIF(C2:C1334,C799,W2:W1334),0)</f>
        <v>47632</v>
      </c>
      <c r="AY799" s="387">
        <f t="shared" si="557"/>
        <v>47632</v>
      </c>
      <c r="AZ799" s="387" t="str">
        <f t="shared" si="558"/>
        <v/>
      </c>
      <c r="BA799" s="387">
        <f t="shared" si="559"/>
        <v>0</v>
      </c>
      <c r="BB799" s="387">
        <f t="shared" si="528"/>
        <v>11650</v>
      </c>
      <c r="BC799" s="387">
        <f t="shared" si="529"/>
        <v>0</v>
      </c>
      <c r="BD799" s="387">
        <f t="shared" si="530"/>
        <v>2953.1840000000002</v>
      </c>
      <c r="BE799" s="387">
        <f t="shared" si="531"/>
        <v>690.66399999999999</v>
      </c>
      <c r="BF799" s="387">
        <f t="shared" si="532"/>
        <v>5687.2608</v>
      </c>
      <c r="BG799" s="387">
        <f t="shared" si="533"/>
        <v>343.42671999999999</v>
      </c>
      <c r="BH799" s="387">
        <f t="shared" si="534"/>
        <v>233.39679999999998</v>
      </c>
      <c r="BI799" s="387">
        <f t="shared" si="535"/>
        <v>263.64312000000001</v>
      </c>
      <c r="BJ799" s="387">
        <f t="shared" si="536"/>
        <v>128.60640000000001</v>
      </c>
      <c r="BK799" s="387">
        <f t="shared" si="537"/>
        <v>0</v>
      </c>
      <c r="BL799" s="387">
        <f t="shared" si="560"/>
        <v>10300.181840000001</v>
      </c>
      <c r="BM799" s="387">
        <f t="shared" si="561"/>
        <v>0</v>
      </c>
      <c r="BN799" s="387">
        <f t="shared" si="538"/>
        <v>11650</v>
      </c>
      <c r="BO799" s="387">
        <f t="shared" si="539"/>
        <v>0</v>
      </c>
      <c r="BP799" s="387">
        <f t="shared" si="540"/>
        <v>2953.1840000000002</v>
      </c>
      <c r="BQ799" s="387">
        <f t="shared" si="541"/>
        <v>690.66399999999999</v>
      </c>
      <c r="BR799" s="387">
        <f t="shared" si="542"/>
        <v>5687.2608</v>
      </c>
      <c r="BS799" s="387">
        <f t="shared" si="543"/>
        <v>343.42671999999999</v>
      </c>
      <c r="BT799" s="387">
        <f t="shared" si="544"/>
        <v>0</v>
      </c>
      <c r="BU799" s="387">
        <f t="shared" si="545"/>
        <v>263.64312000000001</v>
      </c>
      <c r="BV799" s="387">
        <f t="shared" si="546"/>
        <v>161.94879999999998</v>
      </c>
      <c r="BW799" s="387">
        <f t="shared" si="547"/>
        <v>0</v>
      </c>
      <c r="BX799" s="387">
        <f t="shared" si="562"/>
        <v>10100.12744</v>
      </c>
      <c r="BY799" s="387">
        <f t="shared" si="563"/>
        <v>0</v>
      </c>
      <c r="BZ799" s="387">
        <f t="shared" si="564"/>
        <v>0</v>
      </c>
      <c r="CA799" s="387">
        <f t="shared" si="565"/>
        <v>0</v>
      </c>
      <c r="CB799" s="387">
        <f t="shared" si="566"/>
        <v>0</v>
      </c>
      <c r="CC799" s="387">
        <f t="shared" si="548"/>
        <v>0</v>
      </c>
      <c r="CD799" s="387">
        <f t="shared" si="549"/>
        <v>0</v>
      </c>
      <c r="CE799" s="387">
        <f t="shared" si="550"/>
        <v>0</v>
      </c>
      <c r="CF799" s="387">
        <f t="shared" si="551"/>
        <v>-233.39679999999998</v>
      </c>
      <c r="CG799" s="387">
        <f t="shared" si="552"/>
        <v>0</v>
      </c>
      <c r="CH799" s="387">
        <f t="shared" si="553"/>
        <v>33.342399999999984</v>
      </c>
      <c r="CI799" s="387">
        <f t="shared" si="554"/>
        <v>0</v>
      </c>
      <c r="CJ799" s="387">
        <f t="shared" si="567"/>
        <v>-200.05439999999999</v>
      </c>
      <c r="CK799" s="387" t="str">
        <f t="shared" si="568"/>
        <v/>
      </c>
      <c r="CL799" s="387" t="str">
        <f t="shared" si="569"/>
        <v/>
      </c>
      <c r="CM799" s="387" t="str">
        <f t="shared" si="570"/>
        <v/>
      </c>
      <c r="CN799" s="387" t="str">
        <f t="shared" si="571"/>
        <v>0348-31</v>
      </c>
    </row>
    <row r="800" spans="1:92" ht="15.75" thickBot="1" x14ac:dyDescent="0.3">
      <c r="A800" s="376" t="s">
        <v>161</v>
      </c>
      <c r="B800" s="376" t="s">
        <v>162</v>
      </c>
      <c r="C800" s="376" t="s">
        <v>1218</v>
      </c>
      <c r="D800" s="376" t="s">
        <v>270</v>
      </c>
      <c r="E800" s="376" t="s">
        <v>224</v>
      </c>
      <c r="F800" s="382" t="s">
        <v>225</v>
      </c>
      <c r="G800" s="376" t="s">
        <v>1945</v>
      </c>
      <c r="H800" s="378"/>
      <c r="I800" s="378"/>
      <c r="J800" s="376" t="s">
        <v>215</v>
      </c>
      <c r="K800" s="376" t="s">
        <v>271</v>
      </c>
      <c r="L800" s="376" t="s">
        <v>217</v>
      </c>
      <c r="M800" s="376" t="s">
        <v>171</v>
      </c>
      <c r="N800" s="376" t="s">
        <v>172</v>
      </c>
      <c r="O800" s="379">
        <v>1</v>
      </c>
      <c r="P800" s="385">
        <v>1</v>
      </c>
      <c r="Q800" s="385">
        <v>1</v>
      </c>
      <c r="R800" s="380">
        <v>80</v>
      </c>
      <c r="S800" s="385">
        <v>1</v>
      </c>
      <c r="T800" s="380">
        <v>16582.41</v>
      </c>
      <c r="U800" s="380">
        <v>560.62</v>
      </c>
      <c r="V800" s="380">
        <v>10773.99</v>
      </c>
      <c r="W800" s="380">
        <v>32614.400000000001</v>
      </c>
      <c r="X800" s="380">
        <v>18702.82</v>
      </c>
      <c r="Y800" s="380">
        <v>32614.400000000001</v>
      </c>
      <c r="Z800" s="380">
        <v>18565.84</v>
      </c>
      <c r="AA800" s="376" t="s">
        <v>1219</v>
      </c>
      <c r="AB800" s="376" t="s">
        <v>1220</v>
      </c>
      <c r="AC800" s="376" t="s">
        <v>1221</v>
      </c>
      <c r="AD800" s="376" t="s">
        <v>324</v>
      </c>
      <c r="AE800" s="376" t="s">
        <v>271</v>
      </c>
      <c r="AF800" s="376" t="s">
        <v>221</v>
      </c>
      <c r="AG800" s="376" t="s">
        <v>178</v>
      </c>
      <c r="AH800" s="381">
        <v>15.68</v>
      </c>
      <c r="AI800" s="381">
        <v>1030.5</v>
      </c>
      <c r="AJ800" s="376" t="s">
        <v>179</v>
      </c>
      <c r="AK800" s="376" t="s">
        <v>180</v>
      </c>
      <c r="AL800" s="376" t="s">
        <v>181</v>
      </c>
      <c r="AM800" s="376" t="s">
        <v>182</v>
      </c>
      <c r="AN800" s="376" t="s">
        <v>68</v>
      </c>
      <c r="AO800" s="379">
        <v>80</v>
      </c>
      <c r="AP800" s="385">
        <v>1</v>
      </c>
      <c r="AQ800" s="385">
        <v>1</v>
      </c>
      <c r="AR800" s="383" t="s">
        <v>183</v>
      </c>
      <c r="AS800" s="387">
        <f t="shared" si="555"/>
        <v>1</v>
      </c>
      <c r="AT800">
        <f t="shared" si="556"/>
        <v>1</v>
      </c>
      <c r="AU800" s="387">
        <f>IF(AT800=0,"",IF(AND(AT800=1,M800="F",SUMIF(C2:C1334,C800,AS2:AS1334)&lt;=1),SUMIF(C2:C1334,C800,AS2:AS1334),IF(AND(AT800=1,M800="F",SUMIF(C2:C1334,C800,AS2:AS1334)&gt;1),1,"")))</f>
        <v>1</v>
      </c>
      <c r="AV800" s="387" t="str">
        <f>IF(AT800=0,"",IF(AND(AT800=3,M800="F",SUMIF(C2:C1334,C800,AS2:AS1334)&lt;=1),SUMIF(C2:C1334,C800,AS2:AS1334),IF(AND(AT800=3,M800="F",SUMIF(C2:C1334,C800,AS2:AS1334)&gt;1),1,"")))</f>
        <v/>
      </c>
      <c r="AW800" s="387">
        <f>SUMIF(C2:C1334,C800,O2:O1334)</f>
        <v>2</v>
      </c>
      <c r="AX800" s="387">
        <f>IF(AND(M800="F",AS800&lt;&gt;0),SUMIF(C2:C1334,C800,W2:W1334),0)</f>
        <v>32614.400000000001</v>
      </c>
      <c r="AY800" s="387">
        <f t="shared" si="557"/>
        <v>32614.400000000001</v>
      </c>
      <c r="AZ800" s="387" t="str">
        <f t="shared" si="558"/>
        <v/>
      </c>
      <c r="BA800" s="387">
        <f t="shared" si="559"/>
        <v>0</v>
      </c>
      <c r="BB800" s="387">
        <f t="shared" si="528"/>
        <v>11650</v>
      </c>
      <c r="BC800" s="387">
        <f t="shared" si="529"/>
        <v>0</v>
      </c>
      <c r="BD800" s="387">
        <f t="shared" si="530"/>
        <v>2022.0928000000001</v>
      </c>
      <c r="BE800" s="387">
        <f t="shared" si="531"/>
        <v>472.90880000000004</v>
      </c>
      <c r="BF800" s="387">
        <f t="shared" si="532"/>
        <v>3894.1593600000006</v>
      </c>
      <c r="BG800" s="387">
        <f t="shared" si="533"/>
        <v>235.14982400000002</v>
      </c>
      <c r="BH800" s="387">
        <f t="shared" si="534"/>
        <v>159.81056000000001</v>
      </c>
      <c r="BI800" s="387">
        <f t="shared" si="535"/>
        <v>180.52070399999999</v>
      </c>
      <c r="BJ800" s="387">
        <f t="shared" si="536"/>
        <v>88.058880000000002</v>
      </c>
      <c r="BK800" s="387">
        <f t="shared" si="537"/>
        <v>0</v>
      </c>
      <c r="BL800" s="387">
        <f t="shared" si="560"/>
        <v>7052.7009280000002</v>
      </c>
      <c r="BM800" s="387">
        <f t="shared" si="561"/>
        <v>0</v>
      </c>
      <c r="BN800" s="387">
        <f t="shared" si="538"/>
        <v>11650</v>
      </c>
      <c r="BO800" s="387">
        <f t="shared" si="539"/>
        <v>0</v>
      </c>
      <c r="BP800" s="387">
        <f t="shared" si="540"/>
        <v>2022.0928000000001</v>
      </c>
      <c r="BQ800" s="387">
        <f t="shared" si="541"/>
        <v>472.90880000000004</v>
      </c>
      <c r="BR800" s="387">
        <f t="shared" si="542"/>
        <v>3894.1593600000006</v>
      </c>
      <c r="BS800" s="387">
        <f t="shared" si="543"/>
        <v>235.14982400000002</v>
      </c>
      <c r="BT800" s="387">
        <f t="shared" si="544"/>
        <v>0</v>
      </c>
      <c r="BU800" s="387">
        <f t="shared" si="545"/>
        <v>180.52070399999999</v>
      </c>
      <c r="BV800" s="387">
        <f t="shared" si="546"/>
        <v>110.88896</v>
      </c>
      <c r="BW800" s="387">
        <f t="shared" si="547"/>
        <v>0</v>
      </c>
      <c r="BX800" s="387">
        <f t="shared" si="562"/>
        <v>6915.7204480000009</v>
      </c>
      <c r="BY800" s="387">
        <f t="shared" si="563"/>
        <v>0</v>
      </c>
      <c r="BZ800" s="387">
        <f t="shared" si="564"/>
        <v>0</v>
      </c>
      <c r="CA800" s="387">
        <f t="shared" si="565"/>
        <v>0</v>
      </c>
      <c r="CB800" s="387">
        <f t="shared" si="566"/>
        <v>0</v>
      </c>
      <c r="CC800" s="387">
        <f t="shared" si="548"/>
        <v>0</v>
      </c>
      <c r="CD800" s="387">
        <f t="shared" si="549"/>
        <v>0</v>
      </c>
      <c r="CE800" s="387">
        <f t="shared" si="550"/>
        <v>0</v>
      </c>
      <c r="CF800" s="387">
        <f t="shared" si="551"/>
        <v>-159.81056000000001</v>
      </c>
      <c r="CG800" s="387">
        <f t="shared" si="552"/>
        <v>0</v>
      </c>
      <c r="CH800" s="387">
        <f t="shared" si="553"/>
        <v>22.830079999999992</v>
      </c>
      <c r="CI800" s="387">
        <f t="shared" si="554"/>
        <v>0</v>
      </c>
      <c r="CJ800" s="387">
        <f t="shared" si="567"/>
        <v>-136.98048000000003</v>
      </c>
      <c r="CK800" s="387" t="str">
        <f t="shared" si="568"/>
        <v/>
      </c>
      <c r="CL800" s="387" t="str">
        <f t="shared" si="569"/>
        <v/>
      </c>
      <c r="CM800" s="387" t="str">
        <f t="shared" si="570"/>
        <v/>
      </c>
      <c r="CN800" s="387" t="str">
        <f t="shared" si="571"/>
        <v>0348-31</v>
      </c>
    </row>
    <row r="801" spans="1:92" ht="15.75" thickBot="1" x14ac:dyDescent="0.3">
      <c r="A801" s="376" t="s">
        <v>161</v>
      </c>
      <c r="B801" s="376" t="s">
        <v>162</v>
      </c>
      <c r="C801" s="376" t="s">
        <v>921</v>
      </c>
      <c r="D801" s="376" t="s">
        <v>792</v>
      </c>
      <c r="E801" s="376" t="s">
        <v>224</v>
      </c>
      <c r="F801" s="382" t="s">
        <v>225</v>
      </c>
      <c r="G801" s="376" t="s">
        <v>1945</v>
      </c>
      <c r="H801" s="378"/>
      <c r="I801" s="378"/>
      <c r="J801" s="376" t="s">
        <v>239</v>
      </c>
      <c r="K801" s="376" t="s">
        <v>793</v>
      </c>
      <c r="L801" s="376" t="s">
        <v>170</v>
      </c>
      <c r="M801" s="376" t="s">
        <v>171</v>
      </c>
      <c r="N801" s="376" t="s">
        <v>172</v>
      </c>
      <c r="O801" s="379">
        <v>1</v>
      </c>
      <c r="P801" s="385">
        <v>0.75</v>
      </c>
      <c r="Q801" s="385">
        <v>0.75</v>
      </c>
      <c r="R801" s="380">
        <v>80</v>
      </c>
      <c r="S801" s="385">
        <v>0.75</v>
      </c>
      <c r="T801" s="380">
        <v>30388.57</v>
      </c>
      <c r="U801" s="380">
        <v>1427.8</v>
      </c>
      <c r="V801" s="380">
        <v>14311.48</v>
      </c>
      <c r="W801" s="380">
        <v>36519.599999999999</v>
      </c>
      <c r="X801" s="380">
        <v>16634.84</v>
      </c>
      <c r="Y801" s="380">
        <v>36519.599999999999</v>
      </c>
      <c r="Z801" s="380">
        <v>16481.46</v>
      </c>
      <c r="AA801" s="376" t="s">
        <v>922</v>
      </c>
      <c r="AB801" s="376" t="s">
        <v>923</v>
      </c>
      <c r="AC801" s="376" t="s">
        <v>278</v>
      </c>
      <c r="AD801" s="376" t="s">
        <v>924</v>
      </c>
      <c r="AE801" s="376" t="s">
        <v>793</v>
      </c>
      <c r="AF801" s="376" t="s">
        <v>177</v>
      </c>
      <c r="AG801" s="376" t="s">
        <v>178</v>
      </c>
      <c r="AH801" s="381">
        <v>23.41</v>
      </c>
      <c r="AI801" s="381">
        <v>12021.7</v>
      </c>
      <c r="AJ801" s="376" t="s">
        <v>179</v>
      </c>
      <c r="AK801" s="376" t="s">
        <v>180</v>
      </c>
      <c r="AL801" s="376" t="s">
        <v>181</v>
      </c>
      <c r="AM801" s="376" t="s">
        <v>182</v>
      </c>
      <c r="AN801" s="376" t="s">
        <v>68</v>
      </c>
      <c r="AO801" s="379">
        <v>80</v>
      </c>
      <c r="AP801" s="385">
        <v>1</v>
      </c>
      <c r="AQ801" s="385">
        <v>0.75</v>
      </c>
      <c r="AR801" s="383" t="s">
        <v>183</v>
      </c>
      <c r="AS801" s="387">
        <f t="shared" si="555"/>
        <v>0.75</v>
      </c>
      <c r="AT801">
        <f t="shared" si="556"/>
        <v>1</v>
      </c>
      <c r="AU801" s="387">
        <f>IF(AT801=0,"",IF(AND(AT801=1,M801="F",SUMIF(C2:C1334,C801,AS2:AS1334)&lt;=1),SUMIF(C2:C1334,C801,AS2:AS1334),IF(AND(AT801=1,M801="F",SUMIF(C2:C1334,C801,AS2:AS1334)&gt;1),1,"")))</f>
        <v>1</v>
      </c>
      <c r="AV801" s="387" t="str">
        <f>IF(AT801=0,"",IF(AND(AT801=3,M801="F",SUMIF(C2:C1334,C801,AS2:AS1334)&lt;=1),SUMIF(C2:C1334,C801,AS2:AS1334),IF(AND(AT801=3,M801="F",SUMIF(C2:C1334,C801,AS2:AS1334)&gt;1),1,"")))</f>
        <v/>
      </c>
      <c r="AW801" s="387">
        <f>SUMIF(C2:C1334,C801,O2:O1334)</f>
        <v>3</v>
      </c>
      <c r="AX801" s="387">
        <f>IF(AND(M801="F",AS801&lt;&gt;0),SUMIF(C2:C1334,C801,W2:W1334),0)</f>
        <v>48692.800000000003</v>
      </c>
      <c r="AY801" s="387">
        <f t="shared" si="557"/>
        <v>36519.599999999999</v>
      </c>
      <c r="AZ801" s="387" t="str">
        <f t="shared" si="558"/>
        <v/>
      </c>
      <c r="BA801" s="387">
        <f t="shared" si="559"/>
        <v>0</v>
      </c>
      <c r="BB801" s="387">
        <f t="shared" si="528"/>
        <v>8737.5</v>
      </c>
      <c r="BC801" s="387">
        <f t="shared" si="529"/>
        <v>0</v>
      </c>
      <c r="BD801" s="387">
        <f t="shared" si="530"/>
        <v>2264.2152000000001</v>
      </c>
      <c r="BE801" s="387">
        <f t="shared" si="531"/>
        <v>529.53420000000006</v>
      </c>
      <c r="BF801" s="387">
        <f t="shared" si="532"/>
        <v>4360.4402399999999</v>
      </c>
      <c r="BG801" s="387">
        <f t="shared" si="533"/>
        <v>263.30631599999998</v>
      </c>
      <c r="BH801" s="387">
        <f t="shared" si="534"/>
        <v>178.94603999999998</v>
      </c>
      <c r="BI801" s="387">
        <f t="shared" si="535"/>
        <v>202.135986</v>
      </c>
      <c r="BJ801" s="387">
        <f t="shared" si="536"/>
        <v>98.602919999999997</v>
      </c>
      <c r="BK801" s="387">
        <f t="shared" si="537"/>
        <v>0</v>
      </c>
      <c r="BL801" s="387">
        <f t="shared" si="560"/>
        <v>7897.180902000001</v>
      </c>
      <c r="BM801" s="387">
        <f t="shared" si="561"/>
        <v>0</v>
      </c>
      <c r="BN801" s="387">
        <f t="shared" si="538"/>
        <v>8737.5</v>
      </c>
      <c r="BO801" s="387">
        <f t="shared" si="539"/>
        <v>0</v>
      </c>
      <c r="BP801" s="387">
        <f t="shared" si="540"/>
        <v>2264.2152000000001</v>
      </c>
      <c r="BQ801" s="387">
        <f t="shared" si="541"/>
        <v>529.53420000000006</v>
      </c>
      <c r="BR801" s="387">
        <f t="shared" si="542"/>
        <v>4360.4402399999999</v>
      </c>
      <c r="BS801" s="387">
        <f t="shared" si="543"/>
        <v>263.30631599999998</v>
      </c>
      <c r="BT801" s="387">
        <f t="shared" si="544"/>
        <v>0</v>
      </c>
      <c r="BU801" s="387">
        <f t="shared" si="545"/>
        <v>202.135986</v>
      </c>
      <c r="BV801" s="387">
        <f t="shared" si="546"/>
        <v>124.16663999999999</v>
      </c>
      <c r="BW801" s="387">
        <f t="shared" si="547"/>
        <v>0</v>
      </c>
      <c r="BX801" s="387">
        <f t="shared" si="562"/>
        <v>7743.7985820000013</v>
      </c>
      <c r="BY801" s="387">
        <f t="shared" si="563"/>
        <v>0</v>
      </c>
      <c r="BZ801" s="387">
        <f t="shared" si="564"/>
        <v>0</v>
      </c>
      <c r="CA801" s="387">
        <f t="shared" si="565"/>
        <v>0</v>
      </c>
      <c r="CB801" s="387">
        <f t="shared" si="566"/>
        <v>0</v>
      </c>
      <c r="CC801" s="387">
        <f t="shared" si="548"/>
        <v>0</v>
      </c>
      <c r="CD801" s="387">
        <f t="shared" si="549"/>
        <v>0</v>
      </c>
      <c r="CE801" s="387">
        <f t="shared" si="550"/>
        <v>0</v>
      </c>
      <c r="CF801" s="387">
        <f t="shared" si="551"/>
        <v>-178.94603999999998</v>
      </c>
      <c r="CG801" s="387">
        <f t="shared" si="552"/>
        <v>0</v>
      </c>
      <c r="CH801" s="387">
        <f t="shared" si="553"/>
        <v>25.563719999999986</v>
      </c>
      <c r="CI801" s="387">
        <f t="shared" si="554"/>
        <v>0</v>
      </c>
      <c r="CJ801" s="387">
        <f t="shared" si="567"/>
        <v>-153.38231999999999</v>
      </c>
      <c r="CK801" s="387" t="str">
        <f t="shared" si="568"/>
        <v/>
      </c>
      <c r="CL801" s="387" t="str">
        <f t="shared" si="569"/>
        <v/>
      </c>
      <c r="CM801" s="387" t="str">
        <f t="shared" si="570"/>
        <v/>
      </c>
      <c r="CN801" s="387" t="str">
        <f t="shared" si="571"/>
        <v>0348-31</v>
      </c>
    </row>
    <row r="802" spans="1:92" ht="15.75" thickBot="1" x14ac:dyDescent="0.3">
      <c r="A802" s="376" t="s">
        <v>161</v>
      </c>
      <c r="B802" s="376" t="s">
        <v>162</v>
      </c>
      <c r="C802" s="376" t="s">
        <v>1983</v>
      </c>
      <c r="D802" s="376" t="s">
        <v>1949</v>
      </c>
      <c r="E802" s="376" t="s">
        <v>224</v>
      </c>
      <c r="F802" s="382" t="s">
        <v>225</v>
      </c>
      <c r="G802" s="376" t="s">
        <v>1945</v>
      </c>
      <c r="H802" s="378"/>
      <c r="I802" s="378"/>
      <c r="J802" s="376" t="s">
        <v>215</v>
      </c>
      <c r="K802" s="376" t="s">
        <v>1950</v>
      </c>
      <c r="L802" s="376" t="s">
        <v>170</v>
      </c>
      <c r="M802" s="376" t="s">
        <v>171</v>
      </c>
      <c r="N802" s="376" t="s">
        <v>172</v>
      </c>
      <c r="O802" s="379">
        <v>1</v>
      </c>
      <c r="P802" s="385">
        <v>1</v>
      </c>
      <c r="Q802" s="385">
        <v>1</v>
      </c>
      <c r="R802" s="380">
        <v>80</v>
      </c>
      <c r="S802" s="385">
        <v>1</v>
      </c>
      <c r="T802" s="380">
        <v>48971.1</v>
      </c>
      <c r="U802" s="380">
        <v>11.67</v>
      </c>
      <c r="V802" s="380">
        <v>21669.37</v>
      </c>
      <c r="W802" s="380">
        <v>51209.599999999999</v>
      </c>
      <c r="X802" s="380">
        <v>22724.04</v>
      </c>
      <c r="Y802" s="380">
        <v>51209.599999999999</v>
      </c>
      <c r="Z802" s="380">
        <v>22508.97</v>
      </c>
      <c r="AA802" s="376" t="s">
        <v>1984</v>
      </c>
      <c r="AB802" s="376" t="s">
        <v>1985</v>
      </c>
      <c r="AC802" s="376" t="s">
        <v>1986</v>
      </c>
      <c r="AD802" s="376" t="s">
        <v>170</v>
      </c>
      <c r="AE802" s="376" t="s">
        <v>1950</v>
      </c>
      <c r="AF802" s="376" t="s">
        <v>177</v>
      </c>
      <c r="AG802" s="376" t="s">
        <v>178</v>
      </c>
      <c r="AH802" s="381">
        <v>24.62</v>
      </c>
      <c r="AI802" s="381">
        <v>25069.200000000001</v>
      </c>
      <c r="AJ802" s="376" t="s">
        <v>179</v>
      </c>
      <c r="AK802" s="376" t="s">
        <v>180</v>
      </c>
      <c r="AL802" s="376" t="s">
        <v>181</v>
      </c>
      <c r="AM802" s="376" t="s">
        <v>182</v>
      </c>
      <c r="AN802" s="376" t="s">
        <v>68</v>
      </c>
      <c r="AO802" s="379">
        <v>80</v>
      </c>
      <c r="AP802" s="385">
        <v>1</v>
      </c>
      <c r="AQ802" s="385">
        <v>1</v>
      </c>
      <c r="AR802" s="383" t="s">
        <v>183</v>
      </c>
      <c r="AS802" s="387">
        <f t="shared" si="555"/>
        <v>1</v>
      </c>
      <c r="AT802">
        <f t="shared" si="556"/>
        <v>1</v>
      </c>
      <c r="AU802" s="387">
        <f>IF(AT802=0,"",IF(AND(AT802=1,M802="F",SUMIF(C2:C1334,C802,AS2:AS1334)&lt;=1),SUMIF(C2:C1334,C802,AS2:AS1334),IF(AND(AT802=1,M802="F",SUMIF(C2:C1334,C802,AS2:AS1334)&gt;1),1,"")))</f>
        <v>1</v>
      </c>
      <c r="AV802" s="387" t="str">
        <f>IF(AT802=0,"",IF(AND(AT802=3,M802="F",SUMIF(C2:C1334,C802,AS2:AS1334)&lt;=1),SUMIF(C2:C1334,C802,AS2:AS1334),IF(AND(AT802=3,M802="F",SUMIF(C2:C1334,C802,AS2:AS1334)&gt;1),1,"")))</f>
        <v/>
      </c>
      <c r="AW802" s="387">
        <f>SUMIF(C2:C1334,C802,O2:O1334)</f>
        <v>1</v>
      </c>
      <c r="AX802" s="387">
        <f>IF(AND(M802="F",AS802&lt;&gt;0),SUMIF(C2:C1334,C802,W2:W1334),0)</f>
        <v>51209.599999999999</v>
      </c>
      <c r="AY802" s="387">
        <f t="shared" si="557"/>
        <v>51209.599999999999</v>
      </c>
      <c r="AZ802" s="387" t="str">
        <f t="shared" si="558"/>
        <v/>
      </c>
      <c r="BA802" s="387">
        <f t="shared" si="559"/>
        <v>0</v>
      </c>
      <c r="BB802" s="387">
        <f t="shared" si="528"/>
        <v>11650</v>
      </c>
      <c r="BC802" s="387">
        <f t="shared" si="529"/>
        <v>0</v>
      </c>
      <c r="BD802" s="387">
        <f t="shared" si="530"/>
        <v>3174.9951999999998</v>
      </c>
      <c r="BE802" s="387">
        <f t="shared" si="531"/>
        <v>742.53920000000005</v>
      </c>
      <c r="BF802" s="387">
        <f t="shared" si="532"/>
        <v>6114.4262399999998</v>
      </c>
      <c r="BG802" s="387">
        <f t="shared" si="533"/>
        <v>369.22121600000003</v>
      </c>
      <c r="BH802" s="387">
        <f t="shared" si="534"/>
        <v>250.92703999999998</v>
      </c>
      <c r="BI802" s="387">
        <f t="shared" si="535"/>
        <v>283.44513599999999</v>
      </c>
      <c r="BJ802" s="387">
        <f t="shared" si="536"/>
        <v>138.26591999999999</v>
      </c>
      <c r="BK802" s="387">
        <f t="shared" si="537"/>
        <v>0</v>
      </c>
      <c r="BL802" s="387">
        <f t="shared" si="560"/>
        <v>11073.819952</v>
      </c>
      <c r="BM802" s="387">
        <f t="shared" si="561"/>
        <v>0</v>
      </c>
      <c r="BN802" s="387">
        <f t="shared" si="538"/>
        <v>11650</v>
      </c>
      <c r="BO802" s="387">
        <f t="shared" si="539"/>
        <v>0</v>
      </c>
      <c r="BP802" s="387">
        <f t="shared" si="540"/>
        <v>3174.9951999999998</v>
      </c>
      <c r="BQ802" s="387">
        <f t="shared" si="541"/>
        <v>742.53920000000005</v>
      </c>
      <c r="BR802" s="387">
        <f t="shared" si="542"/>
        <v>6114.4262399999998</v>
      </c>
      <c r="BS802" s="387">
        <f t="shared" si="543"/>
        <v>369.22121600000003</v>
      </c>
      <c r="BT802" s="387">
        <f t="shared" si="544"/>
        <v>0</v>
      </c>
      <c r="BU802" s="387">
        <f t="shared" si="545"/>
        <v>283.44513599999999</v>
      </c>
      <c r="BV802" s="387">
        <f t="shared" si="546"/>
        <v>174.11264</v>
      </c>
      <c r="BW802" s="387">
        <f t="shared" si="547"/>
        <v>0</v>
      </c>
      <c r="BX802" s="387">
        <f t="shared" si="562"/>
        <v>10858.739631999999</v>
      </c>
      <c r="BY802" s="387">
        <f t="shared" si="563"/>
        <v>0</v>
      </c>
      <c r="BZ802" s="387">
        <f t="shared" si="564"/>
        <v>0</v>
      </c>
      <c r="CA802" s="387">
        <f t="shared" si="565"/>
        <v>0</v>
      </c>
      <c r="CB802" s="387">
        <f t="shared" si="566"/>
        <v>0</v>
      </c>
      <c r="CC802" s="387">
        <f t="shared" si="548"/>
        <v>0</v>
      </c>
      <c r="CD802" s="387">
        <f t="shared" si="549"/>
        <v>0</v>
      </c>
      <c r="CE802" s="387">
        <f t="shared" si="550"/>
        <v>0</v>
      </c>
      <c r="CF802" s="387">
        <f t="shared" si="551"/>
        <v>-250.92703999999998</v>
      </c>
      <c r="CG802" s="387">
        <f t="shared" si="552"/>
        <v>0</v>
      </c>
      <c r="CH802" s="387">
        <f t="shared" si="553"/>
        <v>35.846719999999983</v>
      </c>
      <c r="CI802" s="387">
        <f t="shared" si="554"/>
        <v>0</v>
      </c>
      <c r="CJ802" s="387">
        <f t="shared" si="567"/>
        <v>-215.08032</v>
      </c>
      <c r="CK802" s="387" t="str">
        <f t="shared" si="568"/>
        <v/>
      </c>
      <c r="CL802" s="387" t="str">
        <f t="shared" si="569"/>
        <v/>
      </c>
      <c r="CM802" s="387" t="str">
        <f t="shared" si="570"/>
        <v/>
      </c>
      <c r="CN802" s="387" t="str">
        <f t="shared" si="571"/>
        <v>0348-31</v>
      </c>
    </row>
    <row r="803" spans="1:92" ht="15.75" thickBot="1" x14ac:dyDescent="0.3">
      <c r="A803" s="376" t="s">
        <v>161</v>
      </c>
      <c r="B803" s="376" t="s">
        <v>162</v>
      </c>
      <c r="C803" s="376" t="s">
        <v>1987</v>
      </c>
      <c r="D803" s="376" t="s">
        <v>700</v>
      </c>
      <c r="E803" s="376" t="s">
        <v>224</v>
      </c>
      <c r="F803" s="382" t="s">
        <v>225</v>
      </c>
      <c r="G803" s="376" t="s">
        <v>1945</v>
      </c>
      <c r="H803" s="378"/>
      <c r="I803" s="378"/>
      <c r="J803" s="376" t="s">
        <v>215</v>
      </c>
      <c r="K803" s="376" t="s">
        <v>701</v>
      </c>
      <c r="L803" s="376" t="s">
        <v>170</v>
      </c>
      <c r="M803" s="376" t="s">
        <v>171</v>
      </c>
      <c r="N803" s="376" t="s">
        <v>172</v>
      </c>
      <c r="O803" s="379">
        <v>1</v>
      </c>
      <c r="P803" s="385">
        <v>1</v>
      </c>
      <c r="Q803" s="385">
        <v>1</v>
      </c>
      <c r="R803" s="380">
        <v>80</v>
      </c>
      <c r="S803" s="385">
        <v>1</v>
      </c>
      <c r="T803" s="380">
        <v>79251.61</v>
      </c>
      <c r="U803" s="380">
        <v>3020</v>
      </c>
      <c r="V803" s="380">
        <v>28746.55</v>
      </c>
      <c r="W803" s="380">
        <v>82243.199999999997</v>
      </c>
      <c r="X803" s="380">
        <v>29435.05</v>
      </c>
      <c r="Y803" s="380">
        <v>82243.199999999997</v>
      </c>
      <c r="Z803" s="380">
        <v>29089.63</v>
      </c>
      <c r="AA803" s="376" t="s">
        <v>1988</v>
      </c>
      <c r="AB803" s="376" t="s">
        <v>1989</v>
      </c>
      <c r="AC803" s="376" t="s">
        <v>685</v>
      </c>
      <c r="AD803" s="376" t="s">
        <v>171</v>
      </c>
      <c r="AE803" s="376" t="s">
        <v>701</v>
      </c>
      <c r="AF803" s="376" t="s">
        <v>177</v>
      </c>
      <c r="AG803" s="376" t="s">
        <v>178</v>
      </c>
      <c r="AH803" s="381">
        <v>39.54</v>
      </c>
      <c r="AI803" s="381">
        <v>45702.5</v>
      </c>
      <c r="AJ803" s="376" t="s">
        <v>179</v>
      </c>
      <c r="AK803" s="376" t="s">
        <v>180</v>
      </c>
      <c r="AL803" s="376" t="s">
        <v>181</v>
      </c>
      <c r="AM803" s="376" t="s">
        <v>182</v>
      </c>
      <c r="AN803" s="376" t="s">
        <v>68</v>
      </c>
      <c r="AO803" s="379">
        <v>80</v>
      </c>
      <c r="AP803" s="385">
        <v>1</v>
      </c>
      <c r="AQ803" s="385">
        <v>1</v>
      </c>
      <c r="AR803" s="383" t="s">
        <v>183</v>
      </c>
      <c r="AS803" s="387">
        <f t="shared" si="555"/>
        <v>1</v>
      </c>
      <c r="AT803">
        <f t="shared" si="556"/>
        <v>1</v>
      </c>
      <c r="AU803" s="387">
        <f>IF(AT803=0,"",IF(AND(AT803=1,M803="F",SUMIF(C2:C1334,C803,AS2:AS1334)&lt;=1),SUMIF(C2:C1334,C803,AS2:AS1334),IF(AND(AT803=1,M803="F",SUMIF(C2:C1334,C803,AS2:AS1334)&gt;1),1,"")))</f>
        <v>1</v>
      </c>
      <c r="AV803" s="387" t="str">
        <f>IF(AT803=0,"",IF(AND(AT803=3,M803="F",SUMIF(C2:C1334,C803,AS2:AS1334)&lt;=1),SUMIF(C2:C1334,C803,AS2:AS1334),IF(AND(AT803=3,M803="F",SUMIF(C2:C1334,C803,AS2:AS1334)&gt;1),1,"")))</f>
        <v/>
      </c>
      <c r="AW803" s="387">
        <f>SUMIF(C2:C1334,C803,O2:O1334)</f>
        <v>1</v>
      </c>
      <c r="AX803" s="387">
        <f>IF(AND(M803="F",AS803&lt;&gt;0),SUMIF(C2:C1334,C803,W2:W1334),0)</f>
        <v>82243.199999999997</v>
      </c>
      <c r="AY803" s="387">
        <f t="shared" si="557"/>
        <v>82243.199999999997</v>
      </c>
      <c r="AZ803" s="387" t="str">
        <f t="shared" si="558"/>
        <v/>
      </c>
      <c r="BA803" s="387">
        <f t="shared" si="559"/>
        <v>0</v>
      </c>
      <c r="BB803" s="387">
        <f t="shared" si="528"/>
        <v>11650</v>
      </c>
      <c r="BC803" s="387">
        <f t="shared" si="529"/>
        <v>0</v>
      </c>
      <c r="BD803" s="387">
        <f t="shared" si="530"/>
        <v>5099.0783999999994</v>
      </c>
      <c r="BE803" s="387">
        <f t="shared" si="531"/>
        <v>1192.5264</v>
      </c>
      <c r="BF803" s="387">
        <f t="shared" si="532"/>
        <v>9819.8380799999995</v>
      </c>
      <c r="BG803" s="387">
        <f t="shared" si="533"/>
        <v>592.97347200000002</v>
      </c>
      <c r="BH803" s="387">
        <f t="shared" si="534"/>
        <v>402.99167999999997</v>
      </c>
      <c r="BI803" s="387">
        <f t="shared" si="535"/>
        <v>455.21611200000001</v>
      </c>
      <c r="BJ803" s="387">
        <f t="shared" si="536"/>
        <v>222.05664000000002</v>
      </c>
      <c r="BK803" s="387">
        <f t="shared" si="537"/>
        <v>0</v>
      </c>
      <c r="BL803" s="387">
        <f t="shared" si="560"/>
        <v>17784.680783999996</v>
      </c>
      <c r="BM803" s="387">
        <f t="shared" si="561"/>
        <v>0</v>
      </c>
      <c r="BN803" s="387">
        <f t="shared" si="538"/>
        <v>11650</v>
      </c>
      <c r="BO803" s="387">
        <f t="shared" si="539"/>
        <v>0</v>
      </c>
      <c r="BP803" s="387">
        <f t="shared" si="540"/>
        <v>5099.0783999999994</v>
      </c>
      <c r="BQ803" s="387">
        <f t="shared" si="541"/>
        <v>1192.5264</v>
      </c>
      <c r="BR803" s="387">
        <f t="shared" si="542"/>
        <v>9819.8380799999995</v>
      </c>
      <c r="BS803" s="387">
        <f t="shared" si="543"/>
        <v>592.97347200000002</v>
      </c>
      <c r="BT803" s="387">
        <f t="shared" si="544"/>
        <v>0</v>
      </c>
      <c r="BU803" s="387">
        <f t="shared" si="545"/>
        <v>455.21611200000001</v>
      </c>
      <c r="BV803" s="387">
        <f t="shared" si="546"/>
        <v>279.62687999999997</v>
      </c>
      <c r="BW803" s="387">
        <f t="shared" si="547"/>
        <v>0</v>
      </c>
      <c r="BX803" s="387">
        <f t="shared" si="562"/>
        <v>17439.259343999998</v>
      </c>
      <c r="BY803" s="387">
        <f t="shared" si="563"/>
        <v>0</v>
      </c>
      <c r="BZ803" s="387">
        <f t="shared" si="564"/>
        <v>0</v>
      </c>
      <c r="CA803" s="387">
        <f t="shared" si="565"/>
        <v>0</v>
      </c>
      <c r="CB803" s="387">
        <f t="shared" si="566"/>
        <v>0</v>
      </c>
      <c r="CC803" s="387">
        <f t="shared" si="548"/>
        <v>0</v>
      </c>
      <c r="CD803" s="387">
        <f t="shared" si="549"/>
        <v>0</v>
      </c>
      <c r="CE803" s="387">
        <f t="shared" si="550"/>
        <v>0</v>
      </c>
      <c r="CF803" s="387">
        <f t="shared" si="551"/>
        <v>-402.99167999999997</v>
      </c>
      <c r="CG803" s="387">
        <f t="shared" si="552"/>
        <v>0</v>
      </c>
      <c r="CH803" s="387">
        <f t="shared" si="553"/>
        <v>57.57023999999997</v>
      </c>
      <c r="CI803" s="387">
        <f t="shared" si="554"/>
        <v>0</v>
      </c>
      <c r="CJ803" s="387">
        <f t="shared" si="567"/>
        <v>-345.42144000000002</v>
      </c>
      <c r="CK803" s="387" t="str">
        <f t="shared" si="568"/>
        <v/>
      </c>
      <c r="CL803" s="387" t="str">
        <f t="shared" si="569"/>
        <v/>
      </c>
      <c r="CM803" s="387" t="str">
        <f t="shared" si="570"/>
        <v/>
      </c>
      <c r="CN803" s="387" t="str">
        <f t="shared" si="571"/>
        <v>0348-31</v>
      </c>
    </row>
    <row r="804" spans="1:92" ht="15.75" thickBot="1" x14ac:dyDescent="0.3">
      <c r="A804" s="376" t="s">
        <v>161</v>
      </c>
      <c r="B804" s="376" t="s">
        <v>162</v>
      </c>
      <c r="C804" s="376" t="s">
        <v>1897</v>
      </c>
      <c r="D804" s="376" t="s">
        <v>655</v>
      </c>
      <c r="E804" s="376" t="s">
        <v>224</v>
      </c>
      <c r="F804" s="382" t="s">
        <v>225</v>
      </c>
      <c r="G804" s="376" t="s">
        <v>1945</v>
      </c>
      <c r="H804" s="378"/>
      <c r="I804" s="378"/>
      <c r="J804" s="376" t="s">
        <v>215</v>
      </c>
      <c r="K804" s="376" t="s">
        <v>656</v>
      </c>
      <c r="L804" s="376" t="s">
        <v>210</v>
      </c>
      <c r="M804" s="376" t="s">
        <v>171</v>
      </c>
      <c r="N804" s="376" t="s">
        <v>172</v>
      </c>
      <c r="O804" s="379">
        <v>1</v>
      </c>
      <c r="P804" s="385">
        <v>1</v>
      </c>
      <c r="Q804" s="385">
        <v>1</v>
      </c>
      <c r="R804" s="380">
        <v>80</v>
      </c>
      <c r="S804" s="385">
        <v>1</v>
      </c>
      <c r="T804" s="380">
        <v>67157.820000000007</v>
      </c>
      <c r="U804" s="380">
        <v>198.12</v>
      </c>
      <c r="V804" s="380">
        <v>25266.15</v>
      </c>
      <c r="W804" s="380">
        <v>71780.800000000003</v>
      </c>
      <c r="X804" s="380">
        <v>27172.55</v>
      </c>
      <c r="Y804" s="380">
        <v>71780.800000000003</v>
      </c>
      <c r="Z804" s="380">
        <v>26871.08</v>
      </c>
      <c r="AA804" s="376" t="s">
        <v>1898</v>
      </c>
      <c r="AB804" s="376" t="s">
        <v>1899</v>
      </c>
      <c r="AC804" s="376" t="s">
        <v>618</v>
      </c>
      <c r="AD804" s="376" t="s">
        <v>1900</v>
      </c>
      <c r="AE804" s="376" t="s">
        <v>656</v>
      </c>
      <c r="AF804" s="376" t="s">
        <v>245</v>
      </c>
      <c r="AG804" s="376" t="s">
        <v>178</v>
      </c>
      <c r="AH804" s="381">
        <v>34.51</v>
      </c>
      <c r="AI804" s="381">
        <v>17208.5</v>
      </c>
      <c r="AJ804" s="376" t="s">
        <v>179</v>
      </c>
      <c r="AK804" s="376" t="s">
        <v>180</v>
      </c>
      <c r="AL804" s="376" t="s">
        <v>181</v>
      </c>
      <c r="AM804" s="376" t="s">
        <v>182</v>
      </c>
      <c r="AN804" s="376" t="s">
        <v>68</v>
      </c>
      <c r="AO804" s="379">
        <v>80</v>
      </c>
      <c r="AP804" s="385">
        <v>1</v>
      </c>
      <c r="AQ804" s="385">
        <v>1</v>
      </c>
      <c r="AR804" s="383" t="s">
        <v>183</v>
      </c>
      <c r="AS804" s="387">
        <f t="shared" si="555"/>
        <v>1</v>
      </c>
      <c r="AT804">
        <f t="shared" si="556"/>
        <v>1</v>
      </c>
      <c r="AU804" s="387">
        <f>IF(AT804=0,"",IF(AND(AT804=1,M804="F",SUMIF(C2:C1334,C804,AS2:AS1334)&lt;=1),SUMIF(C2:C1334,C804,AS2:AS1334),IF(AND(AT804=1,M804="F",SUMIF(C2:C1334,C804,AS2:AS1334)&gt;1),1,"")))</f>
        <v>1</v>
      </c>
      <c r="AV804" s="387" t="str">
        <f>IF(AT804=0,"",IF(AND(AT804=3,M804="F",SUMIF(C2:C1334,C804,AS2:AS1334)&lt;=1),SUMIF(C2:C1334,C804,AS2:AS1334),IF(AND(AT804=3,M804="F",SUMIF(C2:C1334,C804,AS2:AS1334)&gt;1),1,"")))</f>
        <v/>
      </c>
      <c r="AW804" s="387">
        <f>SUMIF(C2:C1334,C804,O2:O1334)</f>
        <v>3</v>
      </c>
      <c r="AX804" s="387">
        <f>IF(AND(M804="F",AS804&lt;&gt;0),SUMIF(C2:C1334,C804,W2:W1334),0)</f>
        <v>71780.800000000003</v>
      </c>
      <c r="AY804" s="387">
        <f t="shared" si="557"/>
        <v>71780.800000000003</v>
      </c>
      <c r="AZ804" s="387" t="str">
        <f t="shared" si="558"/>
        <v/>
      </c>
      <c r="BA804" s="387">
        <f t="shared" si="559"/>
        <v>0</v>
      </c>
      <c r="BB804" s="387">
        <f t="shared" si="528"/>
        <v>11650</v>
      </c>
      <c r="BC804" s="387">
        <f t="shared" si="529"/>
        <v>0</v>
      </c>
      <c r="BD804" s="387">
        <f t="shared" si="530"/>
        <v>4450.4096</v>
      </c>
      <c r="BE804" s="387">
        <f t="shared" si="531"/>
        <v>1040.8216</v>
      </c>
      <c r="BF804" s="387">
        <f t="shared" si="532"/>
        <v>8570.62752</v>
      </c>
      <c r="BG804" s="387">
        <f t="shared" si="533"/>
        <v>517.53956800000003</v>
      </c>
      <c r="BH804" s="387">
        <f t="shared" si="534"/>
        <v>351.72592000000003</v>
      </c>
      <c r="BI804" s="387">
        <f t="shared" si="535"/>
        <v>397.30672800000002</v>
      </c>
      <c r="BJ804" s="387">
        <f t="shared" si="536"/>
        <v>193.80816000000002</v>
      </c>
      <c r="BK804" s="387">
        <f t="shared" si="537"/>
        <v>0</v>
      </c>
      <c r="BL804" s="387">
        <f t="shared" si="560"/>
        <v>15522.239096000001</v>
      </c>
      <c r="BM804" s="387">
        <f t="shared" si="561"/>
        <v>0</v>
      </c>
      <c r="BN804" s="387">
        <f t="shared" si="538"/>
        <v>11650</v>
      </c>
      <c r="BO804" s="387">
        <f t="shared" si="539"/>
        <v>0</v>
      </c>
      <c r="BP804" s="387">
        <f t="shared" si="540"/>
        <v>4450.4096</v>
      </c>
      <c r="BQ804" s="387">
        <f t="shared" si="541"/>
        <v>1040.8216</v>
      </c>
      <c r="BR804" s="387">
        <f t="shared" si="542"/>
        <v>8570.62752</v>
      </c>
      <c r="BS804" s="387">
        <f t="shared" si="543"/>
        <v>517.53956800000003</v>
      </c>
      <c r="BT804" s="387">
        <f t="shared" si="544"/>
        <v>0</v>
      </c>
      <c r="BU804" s="387">
        <f t="shared" si="545"/>
        <v>397.30672800000002</v>
      </c>
      <c r="BV804" s="387">
        <f t="shared" si="546"/>
        <v>244.05472</v>
      </c>
      <c r="BW804" s="387">
        <f t="shared" si="547"/>
        <v>0</v>
      </c>
      <c r="BX804" s="387">
        <f t="shared" si="562"/>
        <v>15220.759736</v>
      </c>
      <c r="BY804" s="387">
        <f t="shared" si="563"/>
        <v>0</v>
      </c>
      <c r="BZ804" s="387">
        <f t="shared" si="564"/>
        <v>0</v>
      </c>
      <c r="CA804" s="387">
        <f t="shared" si="565"/>
        <v>0</v>
      </c>
      <c r="CB804" s="387">
        <f t="shared" si="566"/>
        <v>0</v>
      </c>
      <c r="CC804" s="387">
        <f t="shared" si="548"/>
        <v>0</v>
      </c>
      <c r="CD804" s="387">
        <f t="shared" si="549"/>
        <v>0</v>
      </c>
      <c r="CE804" s="387">
        <f t="shared" si="550"/>
        <v>0</v>
      </c>
      <c r="CF804" s="387">
        <f t="shared" si="551"/>
        <v>-351.72592000000003</v>
      </c>
      <c r="CG804" s="387">
        <f t="shared" si="552"/>
        <v>0</v>
      </c>
      <c r="CH804" s="387">
        <f t="shared" si="553"/>
        <v>50.246559999999981</v>
      </c>
      <c r="CI804" s="387">
        <f t="shared" si="554"/>
        <v>0</v>
      </c>
      <c r="CJ804" s="387">
        <f t="shared" si="567"/>
        <v>-301.47936000000004</v>
      </c>
      <c r="CK804" s="387" t="str">
        <f t="shared" si="568"/>
        <v/>
      </c>
      <c r="CL804" s="387" t="str">
        <f t="shared" si="569"/>
        <v/>
      </c>
      <c r="CM804" s="387" t="str">
        <f t="shared" si="570"/>
        <v/>
      </c>
      <c r="CN804" s="387" t="str">
        <f t="shared" si="571"/>
        <v>0348-31</v>
      </c>
    </row>
    <row r="805" spans="1:92" ht="15.75" thickBot="1" x14ac:dyDescent="0.3">
      <c r="A805" s="376" t="s">
        <v>161</v>
      </c>
      <c r="B805" s="376" t="s">
        <v>162</v>
      </c>
      <c r="C805" s="376" t="s">
        <v>269</v>
      </c>
      <c r="D805" s="376" t="s">
        <v>270</v>
      </c>
      <c r="E805" s="376" t="s">
        <v>224</v>
      </c>
      <c r="F805" s="382" t="s">
        <v>225</v>
      </c>
      <c r="G805" s="376" t="s">
        <v>1945</v>
      </c>
      <c r="H805" s="378"/>
      <c r="I805" s="378"/>
      <c r="J805" s="376" t="s">
        <v>239</v>
      </c>
      <c r="K805" s="376" t="s">
        <v>271</v>
      </c>
      <c r="L805" s="376" t="s">
        <v>217</v>
      </c>
      <c r="M805" s="376" t="s">
        <v>272</v>
      </c>
      <c r="N805" s="376" t="s">
        <v>172</v>
      </c>
      <c r="O805" s="379">
        <v>0</v>
      </c>
      <c r="P805" s="385">
        <v>0.1</v>
      </c>
      <c r="Q805" s="385">
        <v>0.1</v>
      </c>
      <c r="R805" s="380">
        <v>80</v>
      </c>
      <c r="S805" s="385">
        <v>0.1</v>
      </c>
      <c r="T805" s="380">
        <v>3678.72</v>
      </c>
      <c r="U805" s="380">
        <v>0</v>
      </c>
      <c r="V805" s="380">
        <v>1971.73</v>
      </c>
      <c r="W805" s="380">
        <v>3750.24</v>
      </c>
      <c r="X805" s="380">
        <v>1642.6</v>
      </c>
      <c r="Y805" s="380">
        <v>3750.24</v>
      </c>
      <c r="Z805" s="380">
        <v>1623.85</v>
      </c>
      <c r="AA805" s="378"/>
      <c r="AB805" s="376" t="s">
        <v>45</v>
      </c>
      <c r="AC805" s="376" t="s">
        <v>45</v>
      </c>
      <c r="AD805" s="378"/>
      <c r="AE805" s="378"/>
      <c r="AF805" s="378"/>
      <c r="AG805" s="378"/>
      <c r="AH805" s="379">
        <v>0</v>
      </c>
      <c r="AI805" s="379">
        <v>0</v>
      </c>
      <c r="AJ805" s="378"/>
      <c r="AK805" s="378"/>
      <c r="AL805" s="376" t="s">
        <v>181</v>
      </c>
      <c r="AM805" s="378"/>
      <c r="AN805" s="378"/>
      <c r="AO805" s="379">
        <v>0</v>
      </c>
      <c r="AP805" s="385">
        <v>0</v>
      </c>
      <c r="AQ805" s="385">
        <v>0</v>
      </c>
      <c r="AR805" s="384"/>
      <c r="AS805" s="387">
        <f t="shared" si="555"/>
        <v>0</v>
      </c>
      <c r="AT805">
        <f t="shared" si="556"/>
        <v>0</v>
      </c>
      <c r="AU805" s="387" t="str">
        <f>IF(AT805=0,"",IF(AND(AT805=1,M805="F",SUMIF(C2:C1334,C805,AS2:AS1334)&lt;=1),SUMIF(C2:C1334,C805,AS2:AS1334),IF(AND(AT805=1,M805="F",SUMIF(C2:C1334,C805,AS2:AS1334)&gt;1),1,"")))</f>
        <v/>
      </c>
      <c r="AV805" s="387" t="str">
        <f>IF(AT805=0,"",IF(AND(AT805=3,M805="F",SUMIF(C2:C1334,C805,AS2:AS1334)&lt;=1),SUMIF(C2:C1334,C805,AS2:AS1334),IF(AND(AT805=3,M805="F",SUMIF(C2:C1334,C805,AS2:AS1334)&gt;1),1,"")))</f>
        <v/>
      </c>
      <c r="AW805" s="387">
        <f>SUMIF(C2:C1334,C805,O2:O1334)</f>
        <v>0</v>
      </c>
      <c r="AX805" s="387">
        <f>IF(AND(M805="F",AS805&lt;&gt;0),SUMIF(C2:C1334,C805,W2:W1334),0)</f>
        <v>0</v>
      </c>
      <c r="AY805" s="387" t="str">
        <f t="shared" si="557"/>
        <v/>
      </c>
      <c r="AZ805" s="387" t="str">
        <f t="shared" si="558"/>
        <v/>
      </c>
      <c r="BA805" s="387">
        <f t="shared" si="559"/>
        <v>0</v>
      </c>
      <c r="BB805" s="387">
        <f t="shared" si="528"/>
        <v>0</v>
      </c>
      <c r="BC805" s="387">
        <f t="shared" si="529"/>
        <v>0</v>
      </c>
      <c r="BD805" s="387">
        <f t="shared" si="530"/>
        <v>0</v>
      </c>
      <c r="BE805" s="387">
        <f t="shared" si="531"/>
        <v>0</v>
      </c>
      <c r="BF805" s="387">
        <f t="shared" si="532"/>
        <v>0</v>
      </c>
      <c r="BG805" s="387">
        <f t="shared" si="533"/>
        <v>0</v>
      </c>
      <c r="BH805" s="387">
        <f t="shared" si="534"/>
        <v>0</v>
      </c>
      <c r="BI805" s="387">
        <f t="shared" si="535"/>
        <v>0</v>
      </c>
      <c r="BJ805" s="387">
        <f t="shared" si="536"/>
        <v>0</v>
      </c>
      <c r="BK805" s="387">
        <f t="shared" si="537"/>
        <v>0</v>
      </c>
      <c r="BL805" s="387">
        <f t="shared" si="560"/>
        <v>0</v>
      </c>
      <c r="BM805" s="387">
        <f t="shared" si="561"/>
        <v>0</v>
      </c>
      <c r="BN805" s="387">
        <f t="shared" si="538"/>
        <v>0</v>
      </c>
      <c r="BO805" s="387">
        <f t="shared" si="539"/>
        <v>0</v>
      </c>
      <c r="BP805" s="387">
        <f t="shared" si="540"/>
        <v>0</v>
      </c>
      <c r="BQ805" s="387">
        <f t="shared" si="541"/>
        <v>0</v>
      </c>
      <c r="BR805" s="387">
        <f t="shared" si="542"/>
        <v>0</v>
      </c>
      <c r="BS805" s="387">
        <f t="shared" si="543"/>
        <v>0</v>
      </c>
      <c r="BT805" s="387">
        <f t="shared" si="544"/>
        <v>0</v>
      </c>
      <c r="BU805" s="387">
        <f t="shared" si="545"/>
        <v>0</v>
      </c>
      <c r="BV805" s="387">
        <f t="shared" si="546"/>
        <v>0</v>
      </c>
      <c r="BW805" s="387">
        <f t="shared" si="547"/>
        <v>0</v>
      </c>
      <c r="BX805" s="387">
        <f t="shared" si="562"/>
        <v>0</v>
      </c>
      <c r="BY805" s="387">
        <f t="shared" si="563"/>
        <v>0</v>
      </c>
      <c r="BZ805" s="387">
        <f t="shared" si="564"/>
        <v>0</v>
      </c>
      <c r="CA805" s="387">
        <f t="shared" si="565"/>
        <v>0</v>
      </c>
      <c r="CB805" s="387">
        <f t="shared" si="566"/>
        <v>0</v>
      </c>
      <c r="CC805" s="387">
        <f t="shared" si="548"/>
        <v>0</v>
      </c>
      <c r="CD805" s="387">
        <f t="shared" si="549"/>
        <v>0</v>
      </c>
      <c r="CE805" s="387">
        <f t="shared" si="550"/>
        <v>0</v>
      </c>
      <c r="CF805" s="387">
        <f t="shared" si="551"/>
        <v>0</v>
      </c>
      <c r="CG805" s="387">
        <f t="shared" si="552"/>
        <v>0</v>
      </c>
      <c r="CH805" s="387">
        <f t="shared" si="553"/>
        <v>0</v>
      </c>
      <c r="CI805" s="387">
        <f t="shared" si="554"/>
        <v>0</v>
      </c>
      <c r="CJ805" s="387">
        <f t="shared" si="567"/>
        <v>0</v>
      </c>
      <c r="CK805" s="387" t="str">
        <f t="shared" si="568"/>
        <v/>
      </c>
      <c r="CL805" s="387" t="str">
        <f t="shared" si="569"/>
        <v/>
      </c>
      <c r="CM805" s="387" t="str">
        <f t="shared" si="570"/>
        <v/>
      </c>
      <c r="CN805" s="387" t="str">
        <f t="shared" si="571"/>
        <v>0348-31</v>
      </c>
    </row>
    <row r="806" spans="1:92" ht="15.75" thickBot="1" x14ac:dyDescent="0.3">
      <c r="A806" s="376" t="s">
        <v>161</v>
      </c>
      <c r="B806" s="376" t="s">
        <v>162</v>
      </c>
      <c r="C806" s="376" t="s">
        <v>1990</v>
      </c>
      <c r="D806" s="376" t="s">
        <v>1991</v>
      </c>
      <c r="E806" s="376" t="s">
        <v>224</v>
      </c>
      <c r="F806" s="382" t="s">
        <v>225</v>
      </c>
      <c r="G806" s="376" t="s">
        <v>1945</v>
      </c>
      <c r="H806" s="378"/>
      <c r="I806" s="378"/>
      <c r="J806" s="376" t="s">
        <v>215</v>
      </c>
      <c r="K806" s="376" t="s">
        <v>1992</v>
      </c>
      <c r="L806" s="376" t="s">
        <v>351</v>
      </c>
      <c r="M806" s="376" t="s">
        <v>171</v>
      </c>
      <c r="N806" s="376" t="s">
        <v>172</v>
      </c>
      <c r="O806" s="379">
        <v>1</v>
      </c>
      <c r="P806" s="385">
        <v>1</v>
      </c>
      <c r="Q806" s="385">
        <v>1</v>
      </c>
      <c r="R806" s="380">
        <v>80</v>
      </c>
      <c r="S806" s="385">
        <v>1</v>
      </c>
      <c r="T806" s="380">
        <v>95855.9</v>
      </c>
      <c r="U806" s="380">
        <v>4118.7</v>
      </c>
      <c r="V806" s="380">
        <v>32524.46</v>
      </c>
      <c r="W806" s="380">
        <v>99174.399999999994</v>
      </c>
      <c r="X806" s="380">
        <v>33096.43</v>
      </c>
      <c r="Y806" s="380">
        <v>99174.399999999994</v>
      </c>
      <c r="Z806" s="380">
        <v>32679.9</v>
      </c>
      <c r="AA806" s="376" t="s">
        <v>1993</v>
      </c>
      <c r="AB806" s="376" t="s">
        <v>1994</v>
      </c>
      <c r="AC806" s="376" t="s">
        <v>1995</v>
      </c>
      <c r="AD806" s="376" t="s">
        <v>210</v>
      </c>
      <c r="AE806" s="376" t="s">
        <v>1992</v>
      </c>
      <c r="AF806" s="376" t="s">
        <v>355</v>
      </c>
      <c r="AG806" s="376" t="s">
        <v>178</v>
      </c>
      <c r="AH806" s="381">
        <v>47.68</v>
      </c>
      <c r="AI806" s="381">
        <v>51294.5</v>
      </c>
      <c r="AJ806" s="376" t="s">
        <v>179</v>
      </c>
      <c r="AK806" s="376" t="s">
        <v>180</v>
      </c>
      <c r="AL806" s="376" t="s">
        <v>181</v>
      </c>
      <c r="AM806" s="376" t="s">
        <v>182</v>
      </c>
      <c r="AN806" s="376" t="s">
        <v>68</v>
      </c>
      <c r="AO806" s="379">
        <v>80</v>
      </c>
      <c r="AP806" s="385">
        <v>1</v>
      </c>
      <c r="AQ806" s="385">
        <v>1</v>
      </c>
      <c r="AR806" s="383" t="s">
        <v>183</v>
      </c>
      <c r="AS806" s="387">
        <f t="shared" si="555"/>
        <v>1</v>
      </c>
      <c r="AT806">
        <f t="shared" si="556"/>
        <v>1</v>
      </c>
      <c r="AU806" s="387">
        <f>IF(AT806=0,"",IF(AND(AT806=1,M806="F",SUMIF(C2:C1334,C806,AS2:AS1334)&lt;=1),SUMIF(C2:C1334,C806,AS2:AS1334),IF(AND(AT806=1,M806="F",SUMIF(C2:C1334,C806,AS2:AS1334)&gt;1),1,"")))</f>
        <v>1</v>
      </c>
      <c r="AV806" s="387" t="str">
        <f>IF(AT806=0,"",IF(AND(AT806=3,M806="F",SUMIF(C2:C1334,C806,AS2:AS1334)&lt;=1),SUMIF(C2:C1334,C806,AS2:AS1334),IF(AND(AT806=3,M806="F",SUMIF(C2:C1334,C806,AS2:AS1334)&gt;1),1,"")))</f>
        <v/>
      </c>
      <c r="AW806" s="387">
        <f>SUMIF(C2:C1334,C806,O2:O1334)</f>
        <v>1</v>
      </c>
      <c r="AX806" s="387">
        <f>IF(AND(M806="F",AS806&lt;&gt;0),SUMIF(C2:C1334,C806,W2:W1334),0)</f>
        <v>99174.399999999994</v>
      </c>
      <c r="AY806" s="387">
        <f t="shared" si="557"/>
        <v>99174.399999999994</v>
      </c>
      <c r="AZ806" s="387" t="str">
        <f t="shared" si="558"/>
        <v/>
      </c>
      <c r="BA806" s="387">
        <f t="shared" si="559"/>
        <v>0</v>
      </c>
      <c r="BB806" s="387">
        <f t="shared" si="528"/>
        <v>11650</v>
      </c>
      <c r="BC806" s="387">
        <f t="shared" si="529"/>
        <v>0</v>
      </c>
      <c r="BD806" s="387">
        <f t="shared" si="530"/>
        <v>6148.8127999999997</v>
      </c>
      <c r="BE806" s="387">
        <f t="shared" si="531"/>
        <v>1438.0288</v>
      </c>
      <c r="BF806" s="387">
        <f t="shared" si="532"/>
        <v>11841.423360000001</v>
      </c>
      <c r="BG806" s="387">
        <f t="shared" si="533"/>
        <v>715.04742399999998</v>
      </c>
      <c r="BH806" s="387">
        <f t="shared" si="534"/>
        <v>485.95455999999996</v>
      </c>
      <c r="BI806" s="387">
        <f t="shared" si="535"/>
        <v>548.93030399999998</v>
      </c>
      <c r="BJ806" s="387">
        <f t="shared" si="536"/>
        <v>267.77087999999998</v>
      </c>
      <c r="BK806" s="387">
        <f t="shared" si="537"/>
        <v>0</v>
      </c>
      <c r="BL806" s="387">
        <f t="shared" si="560"/>
        <v>21445.968128</v>
      </c>
      <c r="BM806" s="387">
        <f t="shared" si="561"/>
        <v>0</v>
      </c>
      <c r="BN806" s="387">
        <f t="shared" si="538"/>
        <v>11650</v>
      </c>
      <c r="BO806" s="387">
        <f t="shared" si="539"/>
        <v>0</v>
      </c>
      <c r="BP806" s="387">
        <f t="shared" si="540"/>
        <v>6148.8127999999997</v>
      </c>
      <c r="BQ806" s="387">
        <f t="shared" si="541"/>
        <v>1438.0288</v>
      </c>
      <c r="BR806" s="387">
        <f t="shared" si="542"/>
        <v>11841.423360000001</v>
      </c>
      <c r="BS806" s="387">
        <f t="shared" si="543"/>
        <v>715.04742399999998</v>
      </c>
      <c r="BT806" s="387">
        <f t="shared" si="544"/>
        <v>0</v>
      </c>
      <c r="BU806" s="387">
        <f t="shared" si="545"/>
        <v>548.93030399999998</v>
      </c>
      <c r="BV806" s="387">
        <f t="shared" si="546"/>
        <v>337.19295999999997</v>
      </c>
      <c r="BW806" s="387">
        <f t="shared" si="547"/>
        <v>0</v>
      </c>
      <c r="BX806" s="387">
        <f t="shared" si="562"/>
        <v>21029.435648000002</v>
      </c>
      <c r="BY806" s="387">
        <f t="shared" si="563"/>
        <v>0</v>
      </c>
      <c r="BZ806" s="387">
        <f t="shared" si="564"/>
        <v>0</v>
      </c>
      <c r="CA806" s="387">
        <f t="shared" si="565"/>
        <v>0</v>
      </c>
      <c r="CB806" s="387">
        <f t="shared" si="566"/>
        <v>0</v>
      </c>
      <c r="CC806" s="387">
        <f t="shared" si="548"/>
        <v>0</v>
      </c>
      <c r="CD806" s="387">
        <f t="shared" si="549"/>
        <v>0</v>
      </c>
      <c r="CE806" s="387">
        <f t="shared" si="550"/>
        <v>0</v>
      </c>
      <c r="CF806" s="387">
        <f t="shared" si="551"/>
        <v>-485.95455999999996</v>
      </c>
      <c r="CG806" s="387">
        <f t="shared" si="552"/>
        <v>0</v>
      </c>
      <c r="CH806" s="387">
        <f t="shared" si="553"/>
        <v>69.422079999999966</v>
      </c>
      <c r="CI806" s="387">
        <f t="shared" si="554"/>
        <v>0</v>
      </c>
      <c r="CJ806" s="387">
        <f t="shared" si="567"/>
        <v>-416.53247999999996</v>
      </c>
      <c r="CK806" s="387" t="str">
        <f t="shared" si="568"/>
        <v/>
      </c>
      <c r="CL806" s="387" t="str">
        <f t="shared" si="569"/>
        <v/>
      </c>
      <c r="CM806" s="387" t="str">
        <f t="shared" si="570"/>
        <v/>
      </c>
      <c r="CN806" s="387" t="str">
        <f t="shared" si="571"/>
        <v>0348-31</v>
      </c>
    </row>
    <row r="807" spans="1:92" ht="15.75" thickBot="1" x14ac:dyDescent="0.3">
      <c r="A807" s="376" t="s">
        <v>161</v>
      </c>
      <c r="B807" s="376" t="s">
        <v>162</v>
      </c>
      <c r="C807" s="376" t="s">
        <v>1996</v>
      </c>
      <c r="D807" s="376" t="s">
        <v>974</v>
      </c>
      <c r="E807" s="376" t="s">
        <v>224</v>
      </c>
      <c r="F807" s="382" t="s">
        <v>225</v>
      </c>
      <c r="G807" s="376" t="s">
        <v>1945</v>
      </c>
      <c r="H807" s="378"/>
      <c r="I807" s="378"/>
      <c r="J807" s="376" t="s">
        <v>215</v>
      </c>
      <c r="K807" s="376" t="s">
        <v>975</v>
      </c>
      <c r="L807" s="376" t="s">
        <v>296</v>
      </c>
      <c r="M807" s="376" t="s">
        <v>171</v>
      </c>
      <c r="N807" s="376" t="s">
        <v>172</v>
      </c>
      <c r="O807" s="379">
        <v>1</v>
      </c>
      <c r="P807" s="385">
        <v>1</v>
      </c>
      <c r="Q807" s="385">
        <v>1</v>
      </c>
      <c r="R807" s="380">
        <v>80</v>
      </c>
      <c r="S807" s="385">
        <v>1</v>
      </c>
      <c r="T807" s="380">
        <v>45180.84</v>
      </c>
      <c r="U807" s="380">
        <v>0</v>
      </c>
      <c r="V807" s="380">
        <v>20875.900000000001</v>
      </c>
      <c r="W807" s="380">
        <v>49753.599999999999</v>
      </c>
      <c r="X807" s="380">
        <v>22409.18</v>
      </c>
      <c r="Y807" s="380">
        <v>49753.599999999999</v>
      </c>
      <c r="Z807" s="380">
        <v>22200.22</v>
      </c>
      <c r="AA807" s="376" t="s">
        <v>1997</v>
      </c>
      <c r="AB807" s="376" t="s">
        <v>1998</v>
      </c>
      <c r="AC807" s="376" t="s">
        <v>1059</v>
      </c>
      <c r="AD807" s="376" t="s">
        <v>1999</v>
      </c>
      <c r="AE807" s="376" t="s">
        <v>975</v>
      </c>
      <c r="AF807" s="376" t="s">
        <v>301</v>
      </c>
      <c r="AG807" s="376" t="s">
        <v>178</v>
      </c>
      <c r="AH807" s="381">
        <v>23.92</v>
      </c>
      <c r="AI807" s="381">
        <v>34756.199999999997</v>
      </c>
      <c r="AJ807" s="376" t="s">
        <v>179</v>
      </c>
      <c r="AK807" s="376" t="s">
        <v>180</v>
      </c>
      <c r="AL807" s="376" t="s">
        <v>181</v>
      </c>
      <c r="AM807" s="376" t="s">
        <v>182</v>
      </c>
      <c r="AN807" s="376" t="s">
        <v>68</v>
      </c>
      <c r="AO807" s="379">
        <v>80</v>
      </c>
      <c r="AP807" s="385">
        <v>1</v>
      </c>
      <c r="AQ807" s="385">
        <v>1</v>
      </c>
      <c r="AR807" s="383" t="s">
        <v>183</v>
      </c>
      <c r="AS807" s="387">
        <f t="shared" si="555"/>
        <v>1</v>
      </c>
      <c r="AT807">
        <f t="shared" si="556"/>
        <v>1</v>
      </c>
      <c r="AU807" s="387">
        <f>IF(AT807=0,"",IF(AND(AT807=1,M807="F",SUMIF(C2:C1334,C807,AS2:AS1334)&lt;=1),SUMIF(C2:C1334,C807,AS2:AS1334),IF(AND(AT807=1,M807="F",SUMIF(C2:C1334,C807,AS2:AS1334)&gt;1),1,"")))</f>
        <v>1</v>
      </c>
      <c r="AV807" s="387" t="str">
        <f>IF(AT807=0,"",IF(AND(AT807=3,M807="F",SUMIF(C2:C1334,C807,AS2:AS1334)&lt;=1),SUMIF(C2:C1334,C807,AS2:AS1334),IF(AND(AT807=3,M807="F",SUMIF(C2:C1334,C807,AS2:AS1334)&gt;1),1,"")))</f>
        <v/>
      </c>
      <c r="AW807" s="387">
        <f>SUMIF(C2:C1334,C807,O2:O1334)</f>
        <v>1</v>
      </c>
      <c r="AX807" s="387">
        <f>IF(AND(M807="F",AS807&lt;&gt;0),SUMIF(C2:C1334,C807,W2:W1334),0)</f>
        <v>49753.599999999999</v>
      </c>
      <c r="AY807" s="387">
        <f t="shared" si="557"/>
        <v>49753.599999999999</v>
      </c>
      <c r="AZ807" s="387" t="str">
        <f t="shared" si="558"/>
        <v/>
      </c>
      <c r="BA807" s="387">
        <f t="shared" si="559"/>
        <v>0</v>
      </c>
      <c r="BB807" s="387">
        <f t="shared" si="528"/>
        <v>11650</v>
      </c>
      <c r="BC807" s="387">
        <f t="shared" si="529"/>
        <v>0</v>
      </c>
      <c r="BD807" s="387">
        <f t="shared" si="530"/>
        <v>3084.7231999999999</v>
      </c>
      <c r="BE807" s="387">
        <f t="shared" si="531"/>
        <v>721.42719999999997</v>
      </c>
      <c r="BF807" s="387">
        <f t="shared" si="532"/>
        <v>5940.5798400000003</v>
      </c>
      <c r="BG807" s="387">
        <f t="shared" si="533"/>
        <v>358.723456</v>
      </c>
      <c r="BH807" s="387">
        <f t="shared" si="534"/>
        <v>243.79263999999998</v>
      </c>
      <c r="BI807" s="387">
        <f t="shared" si="535"/>
        <v>275.38617599999998</v>
      </c>
      <c r="BJ807" s="387">
        <f t="shared" si="536"/>
        <v>134.33472</v>
      </c>
      <c r="BK807" s="387">
        <f t="shared" si="537"/>
        <v>0</v>
      </c>
      <c r="BL807" s="387">
        <f t="shared" si="560"/>
        <v>10758.967232000001</v>
      </c>
      <c r="BM807" s="387">
        <f t="shared" si="561"/>
        <v>0</v>
      </c>
      <c r="BN807" s="387">
        <f t="shared" si="538"/>
        <v>11650</v>
      </c>
      <c r="BO807" s="387">
        <f t="shared" si="539"/>
        <v>0</v>
      </c>
      <c r="BP807" s="387">
        <f t="shared" si="540"/>
        <v>3084.7231999999999</v>
      </c>
      <c r="BQ807" s="387">
        <f t="shared" si="541"/>
        <v>721.42719999999997</v>
      </c>
      <c r="BR807" s="387">
        <f t="shared" si="542"/>
        <v>5940.5798400000003</v>
      </c>
      <c r="BS807" s="387">
        <f t="shared" si="543"/>
        <v>358.723456</v>
      </c>
      <c r="BT807" s="387">
        <f t="shared" si="544"/>
        <v>0</v>
      </c>
      <c r="BU807" s="387">
        <f t="shared" si="545"/>
        <v>275.38617599999998</v>
      </c>
      <c r="BV807" s="387">
        <f t="shared" si="546"/>
        <v>169.16224</v>
      </c>
      <c r="BW807" s="387">
        <f t="shared" si="547"/>
        <v>0</v>
      </c>
      <c r="BX807" s="387">
        <f t="shared" si="562"/>
        <v>10550.002112</v>
      </c>
      <c r="BY807" s="387">
        <f t="shared" si="563"/>
        <v>0</v>
      </c>
      <c r="BZ807" s="387">
        <f t="shared" si="564"/>
        <v>0</v>
      </c>
      <c r="CA807" s="387">
        <f t="shared" si="565"/>
        <v>0</v>
      </c>
      <c r="CB807" s="387">
        <f t="shared" si="566"/>
        <v>0</v>
      </c>
      <c r="CC807" s="387">
        <f t="shared" si="548"/>
        <v>0</v>
      </c>
      <c r="CD807" s="387">
        <f t="shared" si="549"/>
        <v>0</v>
      </c>
      <c r="CE807" s="387">
        <f t="shared" si="550"/>
        <v>0</v>
      </c>
      <c r="CF807" s="387">
        <f t="shared" si="551"/>
        <v>-243.79263999999998</v>
      </c>
      <c r="CG807" s="387">
        <f t="shared" si="552"/>
        <v>0</v>
      </c>
      <c r="CH807" s="387">
        <f t="shared" si="553"/>
        <v>34.827519999999986</v>
      </c>
      <c r="CI807" s="387">
        <f t="shared" si="554"/>
        <v>0</v>
      </c>
      <c r="CJ807" s="387">
        <f t="shared" si="567"/>
        <v>-208.96511999999998</v>
      </c>
      <c r="CK807" s="387" t="str">
        <f t="shared" si="568"/>
        <v/>
      </c>
      <c r="CL807" s="387" t="str">
        <f t="shared" si="569"/>
        <v/>
      </c>
      <c r="CM807" s="387" t="str">
        <f t="shared" si="570"/>
        <v/>
      </c>
      <c r="CN807" s="387" t="str">
        <f t="shared" si="571"/>
        <v>0348-31</v>
      </c>
    </row>
    <row r="808" spans="1:92" ht="15.75" thickBot="1" x14ac:dyDescent="0.3">
      <c r="A808" s="376" t="s">
        <v>161</v>
      </c>
      <c r="B808" s="376" t="s">
        <v>162</v>
      </c>
      <c r="C808" s="376" t="s">
        <v>1128</v>
      </c>
      <c r="D808" s="376" t="s">
        <v>862</v>
      </c>
      <c r="E808" s="376" t="s">
        <v>224</v>
      </c>
      <c r="F808" s="382" t="s">
        <v>225</v>
      </c>
      <c r="G808" s="376" t="s">
        <v>1945</v>
      </c>
      <c r="H808" s="378"/>
      <c r="I808" s="378"/>
      <c r="J808" s="376" t="s">
        <v>239</v>
      </c>
      <c r="K808" s="376" t="s">
        <v>863</v>
      </c>
      <c r="L808" s="376" t="s">
        <v>252</v>
      </c>
      <c r="M808" s="376" t="s">
        <v>171</v>
      </c>
      <c r="N808" s="376" t="s">
        <v>172</v>
      </c>
      <c r="O808" s="379">
        <v>1</v>
      </c>
      <c r="P808" s="385">
        <v>0.7</v>
      </c>
      <c r="Q808" s="385">
        <v>0.7</v>
      </c>
      <c r="R808" s="380">
        <v>80</v>
      </c>
      <c r="S808" s="385">
        <v>0.7</v>
      </c>
      <c r="T808" s="380">
        <v>31499.93</v>
      </c>
      <c r="U808" s="380">
        <v>0</v>
      </c>
      <c r="V808" s="380">
        <v>15471.79</v>
      </c>
      <c r="W808" s="380">
        <v>31464.16</v>
      </c>
      <c r="X808" s="380">
        <v>14959.09</v>
      </c>
      <c r="Y808" s="380">
        <v>31464.16</v>
      </c>
      <c r="Z808" s="380">
        <v>14826.95</v>
      </c>
      <c r="AA808" s="376" t="s">
        <v>1129</v>
      </c>
      <c r="AB808" s="376" t="s">
        <v>1130</v>
      </c>
      <c r="AC808" s="376" t="s">
        <v>840</v>
      </c>
      <c r="AD808" s="376" t="s">
        <v>441</v>
      </c>
      <c r="AE808" s="376" t="s">
        <v>863</v>
      </c>
      <c r="AF808" s="376" t="s">
        <v>393</v>
      </c>
      <c r="AG808" s="376" t="s">
        <v>178</v>
      </c>
      <c r="AH808" s="381">
        <v>21.61</v>
      </c>
      <c r="AI808" s="381">
        <v>25033.5</v>
      </c>
      <c r="AJ808" s="376" t="s">
        <v>179</v>
      </c>
      <c r="AK808" s="376" t="s">
        <v>180</v>
      </c>
      <c r="AL808" s="376" t="s">
        <v>181</v>
      </c>
      <c r="AM808" s="376" t="s">
        <v>182</v>
      </c>
      <c r="AN808" s="376" t="s">
        <v>68</v>
      </c>
      <c r="AO808" s="379">
        <v>80</v>
      </c>
      <c r="AP808" s="385">
        <v>1</v>
      </c>
      <c r="AQ808" s="385">
        <v>0.7</v>
      </c>
      <c r="AR808" s="383" t="s">
        <v>183</v>
      </c>
      <c r="AS808" s="387">
        <f t="shared" si="555"/>
        <v>0.7</v>
      </c>
      <c r="AT808">
        <f t="shared" si="556"/>
        <v>1</v>
      </c>
      <c r="AU808" s="387">
        <f>IF(AT808=0,"",IF(AND(AT808=1,M808="F",SUMIF(C2:C1334,C808,AS2:AS1334)&lt;=1),SUMIF(C2:C1334,C808,AS2:AS1334),IF(AND(AT808=1,M808="F",SUMIF(C2:C1334,C808,AS2:AS1334)&gt;1),1,"")))</f>
        <v>1</v>
      </c>
      <c r="AV808" s="387" t="str">
        <f>IF(AT808=0,"",IF(AND(AT808=3,M808="F",SUMIF(C2:C1334,C808,AS2:AS1334)&lt;=1),SUMIF(C2:C1334,C808,AS2:AS1334),IF(AND(AT808=3,M808="F",SUMIF(C2:C1334,C808,AS2:AS1334)&gt;1),1,"")))</f>
        <v/>
      </c>
      <c r="AW808" s="387">
        <f>SUMIF(C2:C1334,C808,O2:O1334)</f>
        <v>3</v>
      </c>
      <c r="AX808" s="387">
        <f>IF(AND(M808="F",AS808&lt;&gt;0),SUMIF(C2:C1334,C808,W2:W1334),0)</f>
        <v>44948.800000000003</v>
      </c>
      <c r="AY808" s="387">
        <f t="shared" si="557"/>
        <v>31464.16</v>
      </c>
      <c r="AZ808" s="387" t="str">
        <f t="shared" si="558"/>
        <v/>
      </c>
      <c r="BA808" s="387">
        <f t="shared" si="559"/>
        <v>0</v>
      </c>
      <c r="BB808" s="387">
        <f t="shared" si="528"/>
        <v>8154.9999999999991</v>
      </c>
      <c r="BC808" s="387">
        <f t="shared" si="529"/>
        <v>0</v>
      </c>
      <c r="BD808" s="387">
        <f t="shared" si="530"/>
        <v>1950.77792</v>
      </c>
      <c r="BE808" s="387">
        <f t="shared" si="531"/>
        <v>456.23032000000001</v>
      </c>
      <c r="BF808" s="387">
        <f t="shared" si="532"/>
        <v>3756.8207040000002</v>
      </c>
      <c r="BG808" s="387">
        <f t="shared" si="533"/>
        <v>226.8565936</v>
      </c>
      <c r="BH808" s="387">
        <f t="shared" si="534"/>
        <v>154.174384</v>
      </c>
      <c r="BI808" s="387">
        <f t="shared" si="535"/>
        <v>174.15412559999999</v>
      </c>
      <c r="BJ808" s="387">
        <f t="shared" si="536"/>
        <v>84.953232</v>
      </c>
      <c r="BK808" s="387">
        <f t="shared" si="537"/>
        <v>0</v>
      </c>
      <c r="BL808" s="387">
        <f t="shared" si="560"/>
        <v>6803.9672792000001</v>
      </c>
      <c r="BM808" s="387">
        <f t="shared" si="561"/>
        <v>0</v>
      </c>
      <c r="BN808" s="387">
        <f t="shared" si="538"/>
        <v>8154.9999999999991</v>
      </c>
      <c r="BO808" s="387">
        <f t="shared" si="539"/>
        <v>0</v>
      </c>
      <c r="BP808" s="387">
        <f t="shared" si="540"/>
        <v>1950.77792</v>
      </c>
      <c r="BQ808" s="387">
        <f t="shared" si="541"/>
        <v>456.23032000000001</v>
      </c>
      <c r="BR808" s="387">
        <f t="shared" si="542"/>
        <v>3756.8207040000002</v>
      </c>
      <c r="BS808" s="387">
        <f t="shared" si="543"/>
        <v>226.8565936</v>
      </c>
      <c r="BT808" s="387">
        <f t="shared" si="544"/>
        <v>0</v>
      </c>
      <c r="BU808" s="387">
        <f t="shared" si="545"/>
        <v>174.15412559999999</v>
      </c>
      <c r="BV808" s="387">
        <f t="shared" si="546"/>
        <v>106.978144</v>
      </c>
      <c r="BW808" s="387">
        <f t="shared" si="547"/>
        <v>0</v>
      </c>
      <c r="BX808" s="387">
        <f t="shared" si="562"/>
        <v>6671.8178072000001</v>
      </c>
      <c r="BY808" s="387">
        <f t="shared" si="563"/>
        <v>0</v>
      </c>
      <c r="BZ808" s="387">
        <f t="shared" si="564"/>
        <v>0</v>
      </c>
      <c r="CA808" s="387">
        <f t="shared" si="565"/>
        <v>0</v>
      </c>
      <c r="CB808" s="387">
        <f t="shared" si="566"/>
        <v>0</v>
      </c>
      <c r="CC808" s="387">
        <f t="shared" si="548"/>
        <v>0</v>
      </c>
      <c r="CD808" s="387">
        <f t="shared" si="549"/>
        <v>0</v>
      </c>
      <c r="CE808" s="387">
        <f t="shared" si="550"/>
        <v>0</v>
      </c>
      <c r="CF808" s="387">
        <f t="shared" si="551"/>
        <v>-154.174384</v>
      </c>
      <c r="CG808" s="387">
        <f t="shared" si="552"/>
        <v>0</v>
      </c>
      <c r="CH808" s="387">
        <f t="shared" si="553"/>
        <v>22.02491199999999</v>
      </c>
      <c r="CI808" s="387">
        <f t="shared" si="554"/>
        <v>0</v>
      </c>
      <c r="CJ808" s="387">
        <f t="shared" si="567"/>
        <v>-132.149472</v>
      </c>
      <c r="CK808" s="387" t="str">
        <f t="shared" si="568"/>
        <v/>
      </c>
      <c r="CL808" s="387" t="str">
        <f t="shared" si="569"/>
        <v/>
      </c>
      <c r="CM808" s="387" t="str">
        <f t="shared" si="570"/>
        <v/>
      </c>
      <c r="CN808" s="387" t="str">
        <f t="shared" si="571"/>
        <v>0348-31</v>
      </c>
    </row>
    <row r="809" spans="1:92" ht="15.75" thickBot="1" x14ac:dyDescent="0.3">
      <c r="A809" s="376" t="s">
        <v>161</v>
      </c>
      <c r="B809" s="376" t="s">
        <v>162</v>
      </c>
      <c r="C809" s="376" t="s">
        <v>1874</v>
      </c>
      <c r="D809" s="376" t="s">
        <v>868</v>
      </c>
      <c r="E809" s="376" t="s">
        <v>224</v>
      </c>
      <c r="F809" s="382" t="s">
        <v>225</v>
      </c>
      <c r="G809" s="376" t="s">
        <v>1945</v>
      </c>
      <c r="H809" s="378"/>
      <c r="I809" s="378"/>
      <c r="J809" s="376" t="s">
        <v>215</v>
      </c>
      <c r="K809" s="376" t="s">
        <v>869</v>
      </c>
      <c r="L809" s="376" t="s">
        <v>296</v>
      </c>
      <c r="M809" s="376" t="s">
        <v>171</v>
      </c>
      <c r="N809" s="376" t="s">
        <v>172</v>
      </c>
      <c r="O809" s="379">
        <v>1</v>
      </c>
      <c r="P809" s="385">
        <v>1</v>
      </c>
      <c r="Q809" s="385">
        <v>1</v>
      </c>
      <c r="R809" s="380">
        <v>80</v>
      </c>
      <c r="S809" s="385">
        <v>1</v>
      </c>
      <c r="T809" s="380">
        <v>0</v>
      </c>
      <c r="U809" s="380">
        <v>0</v>
      </c>
      <c r="V809" s="380">
        <v>0</v>
      </c>
      <c r="W809" s="380">
        <v>51812.800000000003</v>
      </c>
      <c r="X809" s="380">
        <v>22854.49</v>
      </c>
      <c r="Y809" s="380">
        <v>51812.800000000003</v>
      </c>
      <c r="Z809" s="380">
        <v>22636.880000000001</v>
      </c>
      <c r="AA809" s="376" t="s">
        <v>1875</v>
      </c>
      <c r="AB809" s="376" t="s">
        <v>1876</v>
      </c>
      <c r="AC809" s="376" t="s">
        <v>533</v>
      </c>
      <c r="AD809" s="376" t="s">
        <v>458</v>
      </c>
      <c r="AE809" s="376" t="s">
        <v>869</v>
      </c>
      <c r="AF809" s="376" t="s">
        <v>301</v>
      </c>
      <c r="AG809" s="376" t="s">
        <v>178</v>
      </c>
      <c r="AH809" s="381">
        <v>24.91</v>
      </c>
      <c r="AI809" s="381">
        <v>7865.8</v>
      </c>
      <c r="AJ809" s="376" t="s">
        <v>179</v>
      </c>
      <c r="AK809" s="376" t="s">
        <v>180</v>
      </c>
      <c r="AL809" s="376" t="s">
        <v>181</v>
      </c>
      <c r="AM809" s="376" t="s">
        <v>182</v>
      </c>
      <c r="AN809" s="376" t="s">
        <v>68</v>
      </c>
      <c r="AO809" s="379">
        <v>80</v>
      </c>
      <c r="AP809" s="385">
        <v>1</v>
      </c>
      <c r="AQ809" s="385">
        <v>1</v>
      </c>
      <c r="AR809" s="383" t="s">
        <v>183</v>
      </c>
      <c r="AS809" s="387">
        <f t="shared" si="555"/>
        <v>1</v>
      </c>
      <c r="AT809">
        <f t="shared" si="556"/>
        <v>1</v>
      </c>
      <c r="AU809" s="387">
        <f>IF(AT809=0,"",IF(AND(AT809=1,M809="F",SUMIF(C2:C1334,C809,AS2:AS1334)&lt;=1),SUMIF(C2:C1334,C809,AS2:AS1334),IF(AND(AT809=1,M809="F",SUMIF(C2:C1334,C809,AS2:AS1334)&gt;1),1,"")))</f>
        <v>1</v>
      </c>
      <c r="AV809" s="387" t="str">
        <f>IF(AT809=0,"",IF(AND(AT809=3,M809="F",SUMIF(C2:C1334,C809,AS2:AS1334)&lt;=1),SUMIF(C2:C1334,C809,AS2:AS1334),IF(AND(AT809=3,M809="F",SUMIF(C2:C1334,C809,AS2:AS1334)&gt;1),1,"")))</f>
        <v/>
      </c>
      <c r="AW809" s="387">
        <f>SUMIF(C2:C1334,C809,O2:O1334)</f>
        <v>2</v>
      </c>
      <c r="AX809" s="387">
        <f>IF(AND(M809="F",AS809&lt;&gt;0),SUMIF(C2:C1334,C809,W2:W1334),0)</f>
        <v>51812.800000000003</v>
      </c>
      <c r="AY809" s="387">
        <f t="shared" si="557"/>
        <v>51812.800000000003</v>
      </c>
      <c r="AZ809" s="387" t="str">
        <f t="shared" si="558"/>
        <v/>
      </c>
      <c r="BA809" s="387">
        <f t="shared" si="559"/>
        <v>0</v>
      </c>
      <c r="BB809" s="387">
        <f t="shared" si="528"/>
        <v>11650</v>
      </c>
      <c r="BC809" s="387">
        <f t="shared" si="529"/>
        <v>0</v>
      </c>
      <c r="BD809" s="387">
        <f t="shared" si="530"/>
        <v>3212.3936000000003</v>
      </c>
      <c r="BE809" s="387">
        <f t="shared" si="531"/>
        <v>751.28560000000004</v>
      </c>
      <c r="BF809" s="387">
        <f t="shared" si="532"/>
        <v>6186.4483200000004</v>
      </c>
      <c r="BG809" s="387">
        <f t="shared" si="533"/>
        <v>373.57028800000006</v>
      </c>
      <c r="BH809" s="387">
        <f t="shared" si="534"/>
        <v>253.88272000000001</v>
      </c>
      <c r="BI809" s="387">
        <f t="shared" si="535"/>
        <v>286.78384800000003</v>
      </c>
      <c r="BJ809" s="387">
        <f t="shared" si="536"/>
        <v>139.89456000000001</v>
      </c>
      <c r="BK809" s="387">
        <f t="shared" si="537"/>
        <v>0</v>
      </c>
      <c r="BL809" s="387">
        <f t="shared" si="560"/>
        <v>11204.258936000002</v>
      </c>
      <c r="BM809" s="387">
        <f t="shared" si="561"/>
        <v>0</v>
      </c>
      <c r="BN809" s="387">
        <f t="shared" si="538"/>
        <v>11650</v>
      </c>
      <c r="BO809" s="387">
        <f t="shared" si="539"/>
        <v>0</v>
      </c>
      <c r="BP809" s="387">
        <f t="shared" si="540"/>
        <v>3212.3936000000003</v>
      </c>
      <c r="BQ809" s="387">
        <f t="shared" si="541"/>
        <v>751.28560000000004</v>
      </c>
      <c r="BR809" s="387">
        <f t="shared" si="542"/>
        <v>6186.4483200000004</v>
      </c>
      <c r="BS809" s="387">
        <f t="shared" si="543"/>
        <v>373.57028800000006</v>
      </c>
      <c r="BT809" s="387">
        <f t="shared" si="544"/>
        <v>0</v>
      </c>
      <c r="BU809" s="387">
        <f t="shared" si="545"/>
        <v>286.78384800000003</v>
      </c>
      <c r="BV809" s="387">
        <f t="shared" si="546"/>
        <v>176.16352000000001</v>
      </c>
      <c r="BW809" s="387">
        <f t="shared" si="547"/>
        <v>0</v>
      </c>
      <c r="BX809" s="387">
        <f t="shared" si="562"/>
        <v>10986.645176000004</v>
      </c>
      <c r="BY809" s="387">
        <f t="shared" si="563"/>
        <v>0</v>
      </c>
      <c r="BZ809" s="387">
        <f t="shared" si="564"/>
        <v>0</v>
      </c>
      <c r="CA809" s="387">
        <f t="shared" si="565"/>
        <v>0</v>
      </c>
      <c r="CB809" s="387">
        <f t="shared" si="566"/>
        <v>0</v>
      </c>
      <c r="CC809" s="387">
        <f t="shared" si="548"/>
        <v>0</v>
      </c>
      <c r="CD809" s="387">
        <f t="shared" si="549"/>
        <v>0</v>
      </c>
      <c r="CE809" s="387">
        <f t="shared" si="550"/>
        <v>0</v>
      </c>
      <c r="CF809" s="387">
        <f t="shared" si="551"/>
        <v>-253.88272000000001</v>
      </c>
      <c r="CG809" s="387">
        <f t="shared" si="552"/>
        <v>0</v>
      </c>
      <c r="CH809" s="387">
        <f t="shared" si="553"/>
        <v>36.268959999999986</v>
      </c>
      <c r="CI809" s="387">
        <f t="shared" si="554"/>
        <v>0</v>
      </c>
      <c r="CJ809" s="387">
        <f t="shared" si="567"/>
        <v>-217.61376000000001</v>
      </c>
      <c r="CK809" s="387" t="str">
        <f t="shared" si="568"/>
        <v/>
      </c>
      <c r="CL809" s="387" t="str">
        <f t="shared" si="569"/>
        <v/>
      </c>
      <c r="CM809" s="387" t="str">
        <f t="shared" si="570"/>
        <v/>
      </c>
      <c r="CN809" s="387" t="str">
        <f t="shared" si="571"/>
        <v>0348-31</v>
      </c>
    </row>
    <row r="810" spans="1:92" ht="15.75" thickBot="1" x14ac:dyDescent="0.3">
      <c r="A810" s="376" t="s">
        <v>161</v>
      </c>
      <c r="B810" s="376" t="s">
        <v>162</v>
      </c>
      <c r="C810" s="376" t="s">
        <v>933</v>
      </c>
      <c r="D810" s="376" t="s">
        <v>862</v>
      </c>
      <c r="E810" s="376" t="s">
        <v>224</v>
      </c>
      <c r="F810" s="382" t="s">
        <v>225</v>
      </c>
      <c r="G810" s="376" t="s">
        <v>1945</v>
      </c>
      <c r="H810" s="378"/>
      <c r="I810" s="378"/>
      <c r="J810" s="376" t="s">
        <v>215</v>
      </c>
      <c r="K810" s="376" t="s">
        <v>863</v>
      </c>
      <c r="L810" s="376" t="s">
        <v>252</v>
      </c>
      <c r="M810" s="376" t="s">
        <v>272</v>
      </c>
      <c r="N810" s="376" t="s">
        <v>172</v>
      </c>
      <c r="O810" s="379">
        <v>0</v>
      </c>
      <c r="P810" s="385">
        <v>1</v>
      </c>
      <c r="Q810" s="385">
        <v>1</v>
      </c>
      <c r="R810" s="380">
        <v>80</v>
      </c>
      <c r="S810" s="385">
        <v>1</v>
      </c>
      <c r="T810" s="380">
        <v>10889.61</v>
      </c>
      <c r="U810" s="380">
        <v>65.930000000000007</v>
      </c>
      <c r="V810" s="380">
        <v>5819.62</v>
      </c>
      <c r="W810" s="380">
        <v>42328</v>
      </c>
      <c r="X810" s="380">
        <v>18539.66</v>
      </c>
      <c r="Y810" s="380">
        <v>42328</v>
      </c>
      <c r="Z810" s="380">
        <v>18328.02</v>
      </c>
      <c r="AA810" s="378"/>
      <c r="AB810" s="376" t="s">
        <v>45</v>
      </c>
      <c r="AC810" s="376" t="s">
        <v>45</v>
      </c>
      <c r="AD810" s="378"/>
      <c r="AE810" s="378"/>
      <c r="AF810" s="378"/>
      <c r="AG810" s="378"/>
      <c r="AH810" s="379">
        <v>0</v>
      </c>
      <c r="AI810" s="379">
        <v>0</v>
      </c>
      <c r="AJ810" s="378"/>
      <c r="AK810" s="378"/>
      <c r="AL810" s="376" t="s">
        <v>181</v>
      </c>
      <c r="AM810" s="378"/>
      <c r="AN810" s="378"/>
      <c r="AO810" s="379">
        <v>0</v>
      </c>
      <c r="AP810" s="385">
        <v>0</v>
      </c>
      <c r="AQ810" s="385">
        <v>0</v>
      </c>
      <c r="AR810" s="384"/>
      <c r="AS810" s="387">
        <f t="shared" si="555"/>
        <v>0</v>
      </c>
      <c r="AT810">
        <f t="shared" si="556"/>
        <v>0</v>
      </c>
      <c r="AU810" s="387" t="str">
        <f>IF(AT810=0,"",IF(AND(AT810=1,M810="F",SUMIF(C2:C1334,C810,AS2:AS1334)&lt;=1),SUMIF(C2:C1334,C810,AS2:AS1334),IF(AND(AT810=1,M810="F",SUMIF(C2:C1334,C810,AS2:AS1334)&gt;1),1,"")))</f>
        <v/>
      </c>
      <c r="AV810" s="387" t="str">
        <f>IF(AT810=0,"",IF(AND(AT810=3,M810="F",SUMIF(C2:C1334,C810,AS2:AS1334)&lt;=1),SUMIF(C2:C1334,C810,AS2:AS1334),IF(AND(AT810=3,M810="F",SUMIF(C2:C1334,C810,AS2:AS1334)&gt;1),1,"")))</f>
        <v/>
      </c>
      <c r="AW810" s="387">
        <f>SUMIF(C2:C1334,C810,O2:O1334)</f>
        <v>0</v>
      </c>
      <c r="AX810" s="387">
        <f>IF(AND(M810="F",AS810&lt;&gt;0),SUMIF(C2:C1334,C810,W2:W1334),0)</f>
        <v>0</v>
      </c>
      <c r="AY810" s="387" t="str">
        <f t="shared" si="557"/>
        <v/>
      </c>
      <c r="AZ810" s="387" t="str">
        <f t="shared" si="558"/>
        <v/>
      </c>
      <c r="BA810" s="387">
        <f t="shared" si="559"/>
        <v>0</v>
      </c>
      <c r="BB810" s="387">
        <f t="shared" si="528"/>
        <v>0</v>
      </c>
      <c r="BC810" s="387">
        <f t="shared" si="529"/>
        <v>0</v>
      </c>
      <c r="BD810" s="387">
        <f t="shared" si="530"/>
        <v>0</v>
      </c>
      <c r="BE810" s="387">
        <f t="shared" si="531"/>
        <v>0</v>
      </c>
      <c r="BF810" s="387">
        <f t="shared" si="532"/>
        <v>0</v>
      </c>
      <c r="BG810" s="387">
        <f t="shared" si="533"/>
        <v>0</v>
      </c>
      <c r="BH810" s="387">
        <f t="shared" si="534"/>
        <v>0</v>
      </c>
      <c r="BI810" s="387">
        <f t="shared" si="535"/>
        <v>0</v>
      </c>
      <c r="BJ810" s="387">
        <f t="shared" si="536"/>
        <v>0</v>
      </c>
      <c r="BK810" s="387">
        <f t="shared" si="537"/>
        <v>0</v>
      </c>
      <c r="BL810" s="387">
        <f t="shared" si="560"/>
        <v>0</v>
      </c>
      <c r="BM810" s="387">
        <f t="shared" si="561"/>
        <v>0</v>
      </c>
      <c r="BN810" s="387">
        <f t="shared" si="538"/>
        <v>0</v>
      </c>
      <c r="BO810" s="387">
        <f t="shared" si="539"/>
        <v>0</v>
      </c>
      <c r="BP810" s="387">
        <f t="shared" si="540"/>
        <v>0</v>
      </c>
      <c r="BQ810" s="387">
        <f t="shared" si="541"/>
        <v>0</v>
      </c>
      <c r="BR810" s="387">
        <f t="shared" si="542"/>
        <v>0</v>
      </c>
      <c r="BS810" s="387">
        <f t="shared" si="543"/>
        <v>0</v>
      </c>
      <c r="BT810" s="387">
        <f t="shared" si="544"/>
        <v>0</v>
      </c>
      <c r="BU810" s="387">
        <f t="shared" si="545"/>
        <v>0</v>
      </c>
      <c r="BV810" s="387">
        <f t="shared" si="546"/>
        <v>0</v>
      </c>
      <c r="BW810" s="387">
        <f t="shared" si="547"/>
        <v>0</v>
      </c>
      <c r="BX810" s="387">
        <f t="shared" si="562"/>
        <v>0</v>
      </c>
      <c r="BY810" s="387">
        <f t="shared" si="563"/>
        <v>0</v>
      </c>
      <c r="BZ810" s="387">
        <f t="shared" si="564"/>
        <v>0</v>
      </c>
      <c r="CA810" s="387">
        <f t="shared" si="565"/>
        <v>0</v>
      </c>
      <c r="CB810" s="387">
        <f t="shared" si="566"/>
        <v>0</v>
      </c>
      <c r="CC810" s="387">
        <f t="shared" si="548"/>
        <v>0</v>
      </c>
      <c r="CD810" s="387">
        <f t="shared" si="549"/>
        <v>0</v>
      </c>
      <c r="CE810" s="387">
        <f t="shared" si="550"/>
        <v>0</v>
      </c>
      <c r="CF810" s="387">
        <f t="shared" si="551"/>
        <v>0</v>
      </c>
      <c r="CG810" s="387">
        <f t="shared" si="552"/>
        <v>0</v>
      </c>
      <c r="CH810" s="387">
        <f t="shared" si="553"/>
        <v>0</v>
      </c>
      <c r="CI810" s="387">
        <f t="shared" si="554"/>
        <v>0</v>
      </c>
      <c r="CJ810" s="387">
        <f t="shared" si="567"/>
        <v>0</v>
      </c>
      <c r="CK810" s="387" t="str">
        <f t="shared" si="568"/>
        <v/>
      </c>
      <c r="CL810" s="387" t="str">
        <f t="shared" si="569"/>
        <v/>
      </c>
      <c r="CM810" s="387" t="str">
        <f t="shared" si="570"/>
        <v/>
      </c>
      <c r="CN810" s="387" t="str">
        <f t="shared" si="571"/>
        <v>0348-31</v>
      </c>
    </row>
    <row r="811" spans="1:92" ht="15.75" thickBot="1" x14ac:dyDescent="0.3">
      <c r="A811" s="376" t="s">
        <v>161</v>
      </c>
      <c r="B811" s="376" t="s">
        <v>162</v>
      </c>
      <c r="C811" s="376" t="s">
        <v>1063</v>
      </c>
      <c r="D811" s="376" t="s">
        <v>862</v>
      </c>
      <c r="E811" s="376" t="s">
        <v>224</v>
      </c>
      <c r="F811" s="382" t="s">
        <v>225</v>
      </c>
      <c r="G811" s="376" t="s">
        <v>1945</v>
      </c>
      <c r="H811" s="378"/>
      <c r="I811" s="378"/>
      <c r="J811" s="376" t="s">
        <v>215</v>
      </c>
      <c r="K811" s="376" t="s">
        <v>863</v>
      </c>
      <c r="L811" s="376" t="s">
        <v>252</v>
      </c>
      <c r="M811" s="376" t="s">
        <v>171</v>
      </c>
      <c r="N811" s="376" t="s">
        <v>172</v>
      </c>
      <c r="O811" s="379">
        <v>1</v>
      </c>
      <c r="P811" s="385">
        <v>0</v>
      </c>
      <c r="Q811" s="385">
        <v>0</v>
      </c>
      <c r="R811" s="380">
        <v>80</v>
      </c>
      <c r="S811" s="385">
        <v>0</v>
      </c>
      <c r="T811" s="380">
        <v>4070.52</v>
      </c>
      <c r="U811" s="380">
        <v>0</v>
      </c>
      <c r="V811" s="380">
        <v>2191.0300000000002</v>
      </c>
      <c r="W811" s="380">
        <v>0</v>
      </c>
      <c r="X811" s="380">
        <v>0</v>
      </c>
      <c r="Y811" s="380">
        <v>0</v>
      </c>
      <c r="Z811" s="380">
        <v>0</v>
      </c>
      <c r="AA811" s="376" t="s">
        <v>1064</v>
      </c>
      <c r="AB811" s="376" t="s">
        <v>1065</v>
      </c>
      <c r="AC811" s="376" t="s">
        <v>1066</v>
      </c>
      <c r="AD811" s="376" t="s">
        <v>1067</v>
      </c>
      <c r="AE811" s="376" t="s">
        <v>863</v>
      </c>
      <c r="AF811" s="376" t="s">
        <v>393</v>
      </c>
      <c r="AG811" s="376" t="s">
        <v>178</v>
      </c>
      <c r="AH811" s="381">
        <v>21.33</v>
      </c>
      <c r="AI811" s="379">
        <v>18240</v>
      </c>
      <c r="AJ811" s="376" t="s">
        <v>179</v>
      </c>
      <c r="AK811" s="376" t="s">
        <v>180</v>
      </c>
      <c r="AL811" s="376" t="s">
        <v>181</v>
      </c>
      <c r="AM811" s="376" t="s">
        <v>182</v>
      </c>
      <c r="AN811" s="376" t="s">
        <v>68</v>
      </c>
      <c r="AO811" s="379">
        <v>80</v>
      </c>
      <c r="AP811" s="385">
        <v>1</v>
      </c>
      <c r="AQ811" s="385">
        <v>0</v>
      </c>
      <c r="AR811" s="383" t="s">
        <v>183</v>
      </c>
      <c r="AS811" s="387">
        <f t="shared" si="555"/>
        <v>0</v>
      </c>
      <c r="AT811">
        <f t="shared" si="556"/>
        <v>0</v>
      </c>
      <c r="AU811" s="387" t="str">
        <f>IF(AT811=0,"",IF(AND(AT811=1,M811="F",SUMIF(C2:C1334,C811,AS2:AS1334)&lt;=1),SUMIF(C2:C1334,C811,AS2:AS1334),IF(AND(AT811=1,M811="F",SUMIF(C2:C1334,C811,AS2:AS1334)&gt;1),1,"")))</f>
        <v/>
      </c>
      <c r="AV811" s="387" t="str">
        <f>IF(AT811=0,"",IF(AND(AT811=3,M811="F",SUMIF(C2:C1334,C811,AS2:AS1334)&lt;=1),SUMIF(C2:C1334,C811,AS2:AS1334),IF(AND(AT811=3,M811="F",SUMIF(C2:C1334,C811,AS2:AS1334)&gt;1),1,"")))</f>
        <v/>
      </c>
      <c r="AW811" s="387">
        <f>SUMIF(C2:C1334,C811,O2:O1334)</f>
        <v>3</v>
      </c>
      <c r="AX811" s="387">
        <f>IF(AND(M811="F",AS811&lt;&gt;0),SUMIF(C2:C1334,C811,W2:W1334),0)</f>
        <v>0</v>
      </c>
      <c r="AY811" s="387" t="str">
        <f t="shared" si="557"/>
        <v/>
      </c>
      <c r="AZ811" s="387" t="str">
        <f t="shared" si="558"/>
        <v/>
      </c>
      <c r="BA811" s="387">
        <f t="shared" si="559"/>
        <v>0</v>
      </c>
      <c r="BB811" s="387">
        <f t="shared" si="528"/>
        <v>0</v>
      </c>
      <c r="BC811" s="387">
        <f t="shared" si="529"/>
        <v>0</v>
      </c>
      <c r="BD811" s="387">
        <f t="shared" si="530"/>
        <v>0</v>
      </c>
      <c r="BE811" s="387">
        <f t="shared" si="531"/>
        <v>0</v>
      </c>
      <c r="BF811" s="387">
        <f t="shared" si="532"/>
        <v>0</v>
      </c>
      <c r="BG811" s="387">
        <f t="shared" si="533"/>
        <v>0</v>
      </c>
      <c r="BH811" s="387">
        <f t="shared" si="534"/>
        <v>0</v>
      </c>
      <c r="BI811" s="387">
        <f t="shared" si="535"/>
        <v>0</v>
      </c>
      <c r="BJ811" s="387">
        <f t="shared" si="536"/>
        <v>0</v>
      </c>
      <c r="BK811" s="387">
        <f t="shared" si="537"/>
        <v>0</v>
      </c>
      <c r="BL811" s="387">
        <f t="shared" si="560"/>
        <v>0</v>
      </c>
      <c r="BM811" s="387">
        <f t="shared" si="561"/>
        <v>0</v>
      </c>
      <c r="BN811" s="387">
        <f t="shared" si="538"/>
        <v>0</v>
      </c>
      <c r="BO811" s="387">
        <f t="shared" si="539"/>
        <v>0</v>
      </c>
      <c r="BP811" s="387">
        <f t="shared" si="540"/>
        <v>0</v>
      </c>
      <c r="BQ811" s="387">
        <f t="shared" si="541"/>
        <v>0</v>
      </c>
      <c r="BR811" s="387">
        <f t="shared" si="542"/>
        <v>0</v>
      </c>
      <c r="BS811" s="387">
        <f t="shared" si="543"/>
        <v>0</v>
      </c>
      <c r="BT811" s="387">
        <f t="shared" si="544"/>
        <v>0</v>
      </c>
      <c r="BU811" s="387">
        <f t="shared" si="545"/>
        <v>0</v>
      </c>
      <c r="BV811" s="387">
        <f t="shared" si="546"/>
        <v>0</v>
      </c>
      <c r="BW811" s="387">
        <f t="shared" si="547"/>
        <v>0</v>
      </c>
      <c r="BX811" s="387">
        <f t="shared" si="562"/>
        <v>0</v>
      </c>
      <c r="BY811" s="387">
        <f t="shared" si="563"/>
        <v>0</v>
      </c>
      <c r="BZ811" s="387">
        <f t="shared" si="564"/>
        <v>0</v>
      </c>
      <c r="CA811" s="387">
        <f t="shared" si="565"/>
        <v>0</v>
      </c>
      <c r="CB811" s="387">
        <f t="shared" si="566"/>
        <v>0</v>
      </c>
      <c r="CC811" s="387">
        <f t="shared" si="548"/>
        <v>0</v>
      </c>
      <c r="CD811" s="387">
        <f t="shared" si="549"/>
        <v>0</v>
      </c>
      <c r="CE811" s="387">
        <f t="shared" si="550"/>
        <v>0</v>
      </c>
      <c r="CF811" s="387">
        <f t="shared" si="551"/>
        <v>0</v>
      </c>
      <c r="CG811" s="387">
        <f t="shared" si="552"/>
        <v>0</v>
      </c>
      <c r="CH811" s="387">
        <f t="shared" si="553"/>
        <v>0</v>
      </c>
      <c r="CI811" s="387">
        <f t="shared" si="554"/>
        <v>0</v>
      </c>
      <c r="CJ811" s="387">
        <f t="shared" si="567"/>
        <v>0</v>
      </c>
      <c r="CK811" s="387" t="str">
        <f t="shared" si="568"/>
        <v/>
      </c>
      <c r="CL811" s="387" t="str">
        <f t="shared" si="569"/>
        <v/>
      </c>
      <c r="CM811" s="387" t="str">
        <f t="shared" si="570"/>
        <v/>
      </c>
      <c r="CN811" s="387" t="str">
        <f t="shared" si="571"/>
        <v>0348-31</v>
      </c>
    </row>
    <row r="812" spans="1:92" ht="15.75" thickBot="1" x14ac:dyDescent="0.3">
      <c r="A812" s="376" t="s">
        <v>161</v>
      </c>
      <c r="B812" s="376" t="s">
        <v>162</v>
      </c>
      <c r="C812" s="376" t="s">
        <v>2000</v>
      </c>
      <c r="D812" s="376" t="s">
        <v>862</v>
      </c>
      <c r="E812" s="376" t="s">
        <v>224</v>
      </c>
      <c r="F812" s="382" t="s">
        <v>225</v>
      </c>
      <c r="G812" s="376" t="s">
        <v>1945</v>
      </c>
      <c r="H812" s="378"/>
      <c r="I812" s="378"/>
      <c r="J812" s="376" t="s">
        <v>215</v>
      </c>
      <c r="K812" s="376" t="s">
        <v>863</v>
      </c>
      <c r="L812" s="376" t="s">
        <v>252</v>
      </c>
      <c r="M812" s="376" t="s">
        <v>171</v>
      </c>
      <c r="N812" s="376" t="s">
        <v>172</v>
      </c>
      <c r="O812" s="379">
        <v>1</v>
      </c>
      <c r="P812" s="385">
        <v>1</v>
      </c>
      <c r="Q812" s="385">
        <v>1</v>
      </c>
      <c r="R812" s="380">
        <v>80</v>
      </c>
      <c r="S812" s="385">
        <v>1</v>
      </c>
      <c r="T812" s="380">
        <v>25838.42</v>
      </c>
      <c r="U812" s="380">
        <v>0</v>
      </c>
      <c r="V812" s="380">
        <v>13271.49</v>
      </c>
      <c r="W812" s="380">
        <v>40726.400000000001</v>
      </c>
      <c r="X812" s="380">
        <v>20457.05</v>
      </c>
      <c r="Y812" s="380">
        <v>40726.400000000001</v>
      </c>
      <c r="Z812" s="380">
        <v>20286</v>
      </c>
      <c r="AA812" s="376" t="s">
        <v>2001</v>
      </c>
      <c r="AB812" s="376" t="s">
        <v>2002</v>
      </c>
      <c r="AC812" s="376" t="s">
        <v>1042</v>
      </c>
      <c r="AD812" s="376" t="s">
        <v>685</v>
      </c>
      <c r="AE812" s="376" t="s">
        <v>863</v>
      </c>
      <c r="AF812" s="376" t="s">
        <v>393</v>
      </c>
      <c r="AG812" s="376" t="s">
        <v>178</v>
      </c>
      <c r="AH812" s="381">
        <v>19.579999999999998</v>
      </c>
      <c r="AI812" s="381">
        <v>3849.8</v>
      </c>
      <c r="AJ812" s="376" t="s">
        <v>179</v>
      </c>
      <c r="AK812" s="376" t="s">
        <v>180</v>
      </c>
      <c r="AL812" s="376" t="s">
        <v>181</v>
      </c>
      <c r="AM812" s="376" t="s">
        <v>182</v>
      </c>
      <c r="AN812" s="376" t="s">
        <v>68</v>
      </c>
      <c r="AO812" s="379">
        <v>80</v>
      </c>
      <c r="AP812" s="385">
        <v>1</v>
      </c>
      <c r="AQ812" s="385">
        <v>1</v>
      </c>
      <c r="AR812" s="383" t="s">
        <v>183</v>
      </c>
      <c r="AS812" s="387">
        <f t="shared" si="555"/>
        <v>1</v>
      </c>
      <c r="AT812">
        <f t="shared" si="556"/>
        <v>1</v>
      </c>
      <c r="AU812" s="387">
        <f>IF(AT812=0,"",IF(AND(AT812=1,M812="F",SUMIF(C2:C1334,C812,AS2:AS1334)&lt;=1),SUMIF(C2:C1334,C812,AS2:AS1334),IF(AND(AT812=1,M812="F",SUMIF(C2:C1334,C812,AS2:AS1334)&gt;1),1,"")))</f>
        <v>1</v>
      </c>
      <c r="AV812" s="387" t="str">
        <f>IF(AT812=0,"",IF(AND(AT812=3,M812="F",SUMIF(C2:C1334,C812,AS2:AS1334)&lt;=1),SUMIF(C2:C1334,C812,AS2:AS1334),IF(AND(AT812=3,M812="F",SUMIF(C2:C1334,C812,AS2:AS1334)&gt;1),1,"")))</f>
        <v/>
      </c>
      <c r="AW812" s="387">
        <f>SUMIF(C2:C1334,C812,O2:O1334)</f>
        <v>1</v>
      </c>
      <c r="AX812" s="387">
        <f>IF(AND(M812="F",AS812&lt;&gt;0),SUMIF(C2:C1334,C812,W2:W1334),0)</f>
        <v>40726.400000000001</v>
      </c>
      <c r="AY812" s="387">
        <f t="shared" si="557"/>
        <v>40726.400000000001</v>
      </c>
      <c r="AZ812" s="387" t="str">
        <f t="shared" si="558"/>
        <v/>
      </c>
      <c r="BA812" s="387">
        <f t="shared" si="559"/>
        <v>0</v>
      </c>
      <c r="BB812" s="387">
        <f t="shared" si="528"/>
        <v>11650</v>
      </c>
      <c r="BC812" s="387">
        <f t="shared" si="529"/>
        <v>0</v>
      </c>
      <c r="BD812" s="387">
        <f t="shared" si="530"/>
        <v>2525.0367999999999</v>
      </c>
      <c r="BE812" s="387">
        <f t="shared" si="531"/>
        <v>590.53280000000007</v>
      </c>
      <c r="BF812" s="387">
        <f t="shared" si="532"/>
        <v>4862.7321600000005</v>
      </c>
      <c r="BG812" s="387">
        <f t="shared" si="533"/>
        <v>293.63734400000004</v>
      </c>
      <c r="BH812" s="387">
        <f t="shared" si="534"/>
        <v>199.55936</v>
      </c>
      <c r="BI812" s="387">
        <f t="shared" si="535"/>
        <v>225.420624</v>
      </c>
      <c r="BJ812" s="387">
        <f t="shared" si="536"/>
        <v>109.96128000000002</v>
      </c>
      <c r="BK812" s="387">
        <f t="shared" si="537"/>
        <v>0</v>
      </c>
      <c r="BL812" s="387">
        <f t="shared" si="560"/>
        <v>8806.8803680000001</v>
      </c>
      <c r="BM812" s="387">
        <f t="shared" si="561"/>
        <v>0</v>
      </c>
      <c r="BN812" s="387">
        <f t="shared" si="538"/>
        <v>11650</v>
      </c>
      <c r="BO812" s="387">
        <f t="shared" si="539"/>
        <v>0</v>
      </c>
      <c r="BP812" s="387">
        <f t="shared" si="540"/>
        <v>2525.0367999999999</v>
      </c>
      <c r="BQ812" s="387">
        <f t="shared" si="541"/>
        <v>590.53280000000007</v>
      </c>
      <c r="BR812" s="387">
        <f t="shared" si="542"/>
        <v>4862.7321600000005</v>
      </c>
      <c r="BS812" s="387">
        <f t="shared" si="543"/>
        <v>293.63734400000004</v>
      </c>
      <c r="BT812" s="387">
        <f t="shared" si="544"/>
        <v>0</v>
      </c>
      <c r="BU812" s="387">
        <f t="shared" si="545"/>
        <v>225.420624</v>
      </c>
      <c r="BV812" s="387">
        <f t="shared" si="546"/>
        <v>138.46976000000001</v>
      </c>
      <c r="BW812" s="387">
        <f t="shared" si="547"/>
        <v>0</v>
      </c>
      <c r="BX812" s="387">
        <f t="shared" si="562"/>
        <v>8635.8294880000012</v>
      </c>
      <c r="BY812" s="387">
        <f t="shared" si="563"/>
        <v>0</v>
      </c>
      <c r="BZ812" s="387">
        <f t="shared" si="564"/>
        <v>0</v>
      </c>
      <c r="CA812" s="387">
        <f t="shared" si="565"/>
        <v>0</v>
      </c>
      <c r="CB812" s="387">
        <f t="shared" si="566"/>
        <v>0</v>
      </c>
      <c r="CC812" s="387">
        <f t="shared" si="548"/>
        <v>0</v>
      </c>
      <c r="CD812" s="387">
        <f t="shared" si="549"/>
        <v>0</v>
      </c>
      <c r="CE812" s="387">
        <f t="shared" si="550"/>
        <v>0</v>
      </c>
      <c r="CF812" s="387">
        <f t="shared" si="551"/>
        <v>-199.55936</v>
      </c>
      <c r="CG812" s="387">
        <f t="shared" si="552"/>
        <v>0</v>
      </c>
      <c r="CH812" s="387">
        <f t="shared" si="553"/>
        <v>28.508479999999988</v>
      </c>
      <c r="CI812" s="387">
        <f t="shared" si="554"/>
        <v>0</v>
      </c>
      <c r="CJ812" s="387">
        <f t="shared" si="567"/>
        <v>-171.05088000000001</v>
      </c>
      <c r="CK812" s="387" t="str">
        <f t="shared" si="568"/>
        <v/>
      </c>
      <c r="CL812" s="387" t="str">
        <f t="shared" si="569"/>
        <v/>
      </c>
      <c r="CM812" s="387" t="str">
        <f t="shared" si="570"/>
        <v/>
      </c>
      <c r="CN812" s="387" t="str">
        <f t="shared" si="571"/>
        <v>0348-31</v>
      </c>
    </row>
    <row r="813" spans="1:92" ht="15.75" thickBot="1" x14ac:dyDescent="0.3">
      <c r="A813" s="376" t="s">
        <v>161</v>
      </c>
      <c r="B813" s="376" t="s">
        <v>162</v>
      </c>
      <c r="C813" s="376" t="s">
        <v>1882</v>
      </c>
      <c r="D813" s="376" t="s">
        <v>568</v>
      </c>
      <c r="E813" s="376" t="s">
        <v>224</v>
      </c>
      <c r="F813" s="382" t="s">
        <v>225</v>
      </c>
      <c r="G813" s="376" t="s">
        <v>1945</v>
      </c>
      <c r="H813" s="378"/>
      <c r="I813" s="378"/>
      <c r="J813" s="376" t="s">
        <v>215</v>
      </c>
      <c r="K813" s="376" t="s">
        <v>569</v>
      </c>
      <c r="L813" s="376" t="s">
        <v>210</v>
      </c>
      <c r="M813" s="376" t="s">
        <v>171</v>
      </c>
      <c r="N813" s="376" t="s">
        <v>172</v>
      </c>
      <c r="O813" s="379">
        <v>1</v>
      </c>
      <c r="P813" s="385">
        <v>1</v>
      </c>
      <c r="Q813" s="385">
        <v>1</v>
      </c>
      <c r="R813" s="380">
        <v>80</v>
      </c>
      <c r="S813" s="385">
        <v>1</v>
      </c>
      <c r="T813" s="380">
        <v>0</v>
      </c>
      <c r="U813" s="380">
        <v>0</v>
      </c>
      <c r="V813" s="380">
        <v>0</v>
      </c>
      <c r="W813" s="380">
        <v>93932.800000000003</v>
      </c>
      <c r="X813" s="380">
        <v>31962.93</v>
      </c>
      <c r="Y813" s="380">
        <v>93932.800000000003</v>
      </c>
      <c r="Z813" s="380">
        <v>31568.42</v>
      </c>
      <c r="AA813" s="376" t="s">
        <v>1883</v>
      </c>
      <c r="AB813" s="376" t="s">
        <v>1884</v>
      </c>
      <c r="AC813" s="376" t="s">
        <v>458</v>
      </c>
      <c r="AD813" s="376" t="s">
        <v>296</v>
      </c>
      <c r="AE813" s="376" t="s">
        <v>569</v>
      </c>
      <c r="AF813" s="376" t="s">
        <v>245</v>
      </c>
      <c r="AG813" s="376" t="s">
        <v>178</v>
      </c>
      <c r="AH813" s="381">
        <v>45.16</v>
      </c>
      <c r="AI813" s="381">
        <v>22691.8</v>
      </c>
      <c r="AJ813" s="376" t="s">
        <v>179</v>
      </c>
      <c r="AK813" s="376" t="s">
        <v>180</v>
      </c>
      <c r="AL813" s="376" t="s">
        <v>181</v>
      </c>
      <c r="AM813" s="376" t="s">
        <v>182</v>
      </c>
      <c r="AN813" s="376" t="s">
        <v>68</v>
      </c>
      <c r="AO813" s="379">
        <v>80</v>
      </c>
      <c r="AP813" s="385">
        <v>1</v>
      </c>
      <c r="AQ813" s="385">
        <v>1</v>
      </c>
      <c r="AR813" s="383" t="s">
        <v>183</v>
      </c>
      <c r="AS813" s="387">
        <f t="shared" si="555"/>
        <v>1</v>
      </c>
      <c r="AT813">
        <f t="shared" si="556"/>
        <v>1</v>
      </c>
      <c r="AU813" s="387">
        <f>IF(AT813=0,"",IF(AND(AT813=1,M813="F",SUMIF(C2:C1334,C813,AS2:AS1334)&lt;=1),SUMIF(C2:C1334,C813,AS2:AS1334),IF(AND(AT813=1,M813="F",SUMIF(C2:C1334,C813,AS2:AS1334)&gt;1),1,"")))</f>
        <v>1</v>
      </c>
      <c r="AV813" s="387" t="str">
        <f>IF(AT813=0,"",IF(AND(AT813=3,M813="F",SUMIF(C2:C1334,C813,AS2:AS1334)&lt;=1),SUMIF(C2:C1334,C813,AS2:AS1334),IF(AND(AT813=3,M813="F",SUMIF(C2:C1334,C813,AS2:AS1334)&gt;1),1,"")))</f>
        <v/>
      </c>
      <c r="AW813" s="387">
        <f>SUMIF(C2:C1334,C813,O2:O1334)</f>
        <v>2</v>
      </c>
      <c r="AX813" s="387">
        <f>IF(AND(M813="F",AS813&lt;&gt;0),SUMIF(C2:C1334,C813,W2:W1334),0)</f>
        <v>93932.800000000003</v>
      </c>
      <c r="AY813" s="387">
        <f t="shared" si="557"/>
        <v>93932.800000000003</v>
      </c>
      <c r="AZ813" s="387" t="str">
        <f t="shared" si="558"/>
        <v/>
      </c>
      <c r="BA813" s="387">
        <f t="shared" si="559"/>
        <v>0</v>
      </c>
      <c r="BB813" s="387">
        <f t="shared" si="528"/>
        <v>11650</v>
      </c>
      <c r="BC813" s="387">
        <f t="shared" si="529"/>
        <v>0</v>
      </c>
      <c r="BD813" s="387">
        <f t="shared" si="530"/>
        <v>5823.8335999999999</v>
      </c>
      <c r="BE813" s="387">
        <f t="shared" si="531"/>
        <v>1362.0256000000002</v>
      </c>
      <c r="BF813" s="387">
        <f t="shared" si="532"/>
        <v>11215.57632</v>
      </c>
      <c r="BG813" s="387">
        <f t="shared" si="533"/>
        <v>677.25548800000001</v>
      </c>
      <c r="BH813" s="387">
        <f t="shared" si="534"/>
        <v>460.27071999999998</v>
      </c>
      <c r="BI813" s="387">
        <f t="shared" si="535"/>
        <v>519.918048</v>
      </c>
      <c r="BJ813" s="387">
        <f t="shared" si="536"/>
        <v>253.61856000000003</v>
      </c>
      <c r="BK813" s="387">
        <f t="shared" si="537"/>
        <v>0</v>
      </c>
      <c r="BL813" s="387">
        <f t="shared" si="560"/>
        <v>20312.498335999997</v>
      </c>
      <c r="BM813" s="387">
        <f t="shared" si="561"/>
        <v>0</v>
      </c>
      <c r="BN813" s="387">
        <f t="shared" si="538"/>
        <v>11650</v>
      </c>
      <c r="BO813" s="387">
        <f t="shared" si="539"/>
        <v>0</v>
      </c>
      <c r="BP813" s="387">
        <f t="shared" si="540"/>
        <v>5823.8335999999999</v>
      </c>
      <c r="BQ813" s="387">
        <f t="shared" si="541"/>
        <v>1362.0256000000002</v>
      </c>
      <c r="BR813" s="387">
        <f t="shared" si="542"/>
        <v>11215.57632</v>
      </c>
      <c r="BS813" s="387">
        <f t="shared" si="543"/>
        <v>677.25548800000001</v>
      </c>
      <c r="BT813" s="387">
        <f t="shared" si="544"/>
        <v>0</v>
      </c>
      <c r="BU813" s="387">
        <f t="shared" si="545"/>
        <v>519.918048</v>
      </c>
      <c r="BV813" s="387">
        <f t="shared" si="546"/>
        <v>319.37151999999998</v>
      </c>
      <c r="BW813" s="387">
        <f t="shared" si="547"/>
        <v>0</v>
      </c>
      <c r="BX813" s="387">
        <f t="shared" si="562"/>
        <v>19917.980575999998</v>
      </c>
      <c r="BY813" s="387">
        <f t="shared" si="563"/>
        <v>0</v>
      </c>
      <c r="BZ813" s="387">
        <f t="shared" si="564"/>
        <v>0</v>
      </c>
      <c r="CA813" s="387">
        <f t="shared" si="565"/>
        <v>0</v>
      </c>
      <c r="CB813" s="387">
        <f t="shared" si="566"/>
        <v>0</v>
      </c>
      <c r="CC813" s="387">
        <f t="shared" si="548"/>
        <v>0</v>
      </c>
      <c r="CD813" s="387">
        <f t="shared" si="549"/>
        <v>0</v>
      </c>
      <c r="CE813" s="387">
        <f t="shared" si="550"/>
        <v>0</v>
      </c>
      <c r="CF813" s="387">
        <f t="shared" si="551"/>
        <v>-460.27071999999998</v>
      </c>
      <c r="CG813" s="387">
        <f t="shared" si="552"/>
        <v>0</v>
      </c>
      <c r="CH813" s="387">
        <f t="shared" si="553"/>
        <v>65.752959999999973</v>
      </c>
      <c r="CI813" s="387">
        <f t="shared" si="554"/>
        <v>0</v>
      </c>
      <c r="CJ813" s="387">
        <f t="shared" si="567"/>
        <v>-394.51776000000001</v>
      </c>
      <c r="CK813" s="387" t="str">
        <f t="shared" si="568"/>
        <v/>
      </c>
      <c r="CL813" s="387" t="str">
        <f t="shared" si="569"/>
        <v/>
      </c>
      <c r="CM813" s="387" t="str">
        <f t="shared" si="570"/>
        <v/>
      </c>
      <c r="CN813" s="387" t="str">
        <f t="shared" si="571"/>
        <v>0348-31</v>
      </c>
    </row>
    <row r="814" spans="1:92" ht="15.75" thickBot="1" x14ac:dyDescent="0.3">
      <c r="A814" s="376" t="s">
        <v>161</v>
      </c>
      <c r="B814" s="376" t="s">
        <v>162</v>
      </c>
      <c r="C814" s="376" t="s">
        <v>1868</v>
      </c>
      <c r="D814" s="376" t="s">
        <v>862</v>
      </c>
      <c r="E814" s="376" t="s">
        <v>224</v>
      </c>
      <c r="F814" s="382" t="s">
        <v>225</v>
      </c>
      <c r="G814" s="376" t="s">
        <v>1945</v>
      </c>
      <c r="H814" s="378"/>
      <c r="I814" s="378"/>
      <c r="J814" s="376" t="s">
        <v>239</v>
      </c>
      <c r="K814" s="376" t="s">
        <v>863</v>
      </c>
      <c r="L814" s="376" t="s">
        <v>252</v>
      </c>
      <c r="M814" s="376" t="s">
        <v>171</v>
      </c>
      <c r="N814" s="376" t="s">
        <v>172</v>
      </c>
      <c r="O814" s="379">
        <v>1</v>
      </c>
      <c r="P814" s="385">
        <v>0.15</v>
      </c>
      <c r="Q814" s="385">
        <v>0.15</v>
      </c>
      <c r="R814" s="380">
        <v>80</v>
      </c>
      <c r="S814" s="385">
        <v>0.15</v>
      </c>
      <c r="T814" s="380">
        <v>987.27</v>
      </c>
      <c r="U814" s="380">
        <v>0</v>
      </c>
      <c r="V814" s="380">
        <v>536.46</v>
      </c>
      <c r="W814" s="380">
        <v>5893.68</v>
      </c>
      <c r="X814" s="380">
        <v>3022</v>
      </c>
      <c r="Y814" s="380">
        <v>5893.68</v>
      </c>
      <c r="Z814" s="380">
        <v>2997.25</v>
      </c>
      <c r="AA814" s="376" t="s">
        <v>1869</v>
      </c>
      <c r="AB814" s="376" t="s">
        <v>1870</v>
      </c>
      <c r="AC814" s="376" t="s">
        <v>1007</v>
      </c>
      <c r="AD814" s="376" t="s">
        <v>566</v>
      </c>
      <c r="AE814" s="376" t="s">
        <v>863</v>
      </c>
      <c r="AF814" s="376" t="s">
        <v>393</v>
      </c>
      <c r="AG814" s="376" t="s">
        <v>178</v>
      </c>
      <c r="AH814" s="381">
        <v>18.89</v>
      </c>
      <c r="AI814" s="381">
        <v>15543.8</v>
      </c>
      <c r="AJ814" s="376" t="s">
        <v>179</v>
      </c>
      <c r="AK814" s="376" t="s">
        <v>180</v>
      </c>
      <c r="AL814" s="376" t="s">
        <v>181</v>
      </c>
      <c r="AM814" s="376" t="s">
        <v>182</v>
      </c>
      <c r="AN814" s="376" t="s">
        <v>68</v>
      </c>
      <c r="AO814" s="379">
        <v>80</v>
      </c>
      <c r="AP814" s="385">
        <v>1</v>
      </c>
      <c r="AQ814" s="385">
        <v>0.15</v>
      </c>
      <c r="AR814" s="383" t="s">
        <v>183</v>
      </c>
      <c r="AS814" s="387">
        <f t="shared" si="555"/>
        <v>0.15</v>
      </c>
      <c r="AT814">
        <f t="shared" si="556"/>
        <v>1</v>
      </c>
      <c r="AU814" s="387">
        <f>IF(AT814=0,"",IF(AND(AT814=1,M814="F",SUMIF(C2:C1334,C814,AS2:AS1334)&lt;=1),SUMIF(C2:C1334,C814,AS2:AS1334),IF(AND(AT814=1,M814="F",SUMIF(C2:C1334,C814,AS2:AS1334)&gt;1),1,"")))</f>
        <v>1</v>
      </c>
      <c r="AV814" s="387" t="str">
        <f>IF(AT814=0,"",IF(AND(AT814=3,M814="F",SUMIF(C2:C1334,C814,AS2:AS1334)&lt;=1),SUMIF(C2:C1334,C814,AS2:AS1334),IF(AND(AT814=3,M814="F",SUMIF(C2:C1334,C814,AS2:AS1334)&gt;1),1,"")))</f>
        <v/>
      </c>
      <c r="AW814" s="387">
        <f>SUMIF(C2:C1334,C814,O2:O1334)</f>
        <v>3</v>
      </c>
      <c r="AX814" s="387">
        <f>IF(AND(M814="F",AS814&lt;&gt;0),SUMIF(C2:C1334,C814,W2:W1334),0)</f>
        <v>39291.199999999997</v>
      </c>
      <c r="AY814" s="387">
        <f t="shared" si="557"/>
        <v>5893.68</v>
      </c>
      <c r="AZ814" s="387" t="str">
        <f t="shared" si="558"/>
        <v/>
      </c>
      <c r="BA814" s="387">
        <f t="shared" si="559"/>
        <v>0</v>
      </c>
      <c r="BB814" s="387">
        <f t="shared" si="528"/>
        <v>1747.5</v>
      </c>
      <c r="BC814" s="387">
        <f t="shared" si="529"/>
        <v>0</v>
      </c>
      <c r="BD814" s="387">
        <f t="shared" si="530"/>
        <v>365.40816000000001</v>
      </c>
      <c r="BE814" s="387">
        <f t="shared" si="531"/>
        <v>85.458360000000013</v>
      </c>
      <c r="BF814" s="387">
        <f t="shared" si="532"/>
        <v>703.70539200000007</v>
      </c>
      <c r="BG814" s="387">
        <f t="shared" si="533"/>
        <v>42.493432800000001</v>
      </c>
      <c r="BH814" s="387">
        <f t="shared" si="534"/>
        <v>28.879032000000002</v>
      </c>
      <c r="BI814" s="387">
        <f t="shared" si="535"/>
        <v>32.621518800000004</v>
      </c>
      <c r="BJ814" s="387">
        <f t="shared" si="536"/>
        <v>15.912936000000002</v>
      </c>
      <c r="BK814" s="387">
        <f t="shared" si="537"/>
        <v>0</v>
      </c>
      <c r="BL814" s="387">
        <f t="shared" si="560"/>
        <v>1274.4788316000001</v>
      </c>
      <c r="BM814" s="387">
        <f t="shared" si="561"/>
        <v>0</v>
      </c>
      <c r="BN814" s="387">
        <f t="shared" si="538"/>
        <v>1747.5</v>
      </c>
      <c r="BO814" s="387">
        <f t="shared" si="539"/>
        <v>0</v>
      </c>
      <c r="BP814" s="387">
        <f t="shared" si="540"/>
        <v>365.40816000000001</v>
      </c>
      <c r="BQ814" s="387">
        <f t="shared" si="541"/>
        <v>85.458360000000013</v>
      </c>
      <c r="BR814" s="387">
        <f t="shared" si="542"/>
        <v>703.70539200000007</v>
      </c>
      <c r="BS814" s="387">
        <f t="shared" si="543"/>
        <v>42.493432800000001</v>
      </c>
      <c r="BT814" s="387">
        <f t="shared" si="544"/>
        <v>0</v>
      </c>
      <c r="BU814" s="387">
        <f t="shared" si="545"/>
        <v>32.621518800000004</v>
      </c>
      <c r="BV814" s="387">
        <f t="shared" si="546"/>
        <v>20.038512000000001</v>
      </c>
      <c r="BW814" s="387">
        <f t="shared" si="547"/>
        <v>0</v>
      </c>
      <c r="BX814" s="387">
        <f t="shared" si="562"/>
        <v>1249.7253756000002</v>
      </c>
      <c r="BY814" s="387">
        <f t="shared" si="563"/>
        <v>0</v>
      </c>
      <c r="BZ814" s="387">
        <f t="shared" si="564"/>
        <v>0</v>
      </c>
      <c r="CA814" s="387">
        <f t="shared" si="565"/>
        <v>0</v>
      </c>
      <c r="CB814" s="387">
        <f t="shared" si="566"/>
        <v>0</v>
      </c>
      <c r="CC814" s="387">
        <f t="shared" si="548"/>
        <v>0</v>
      </c>
      <c r="CD814" s="387">
        <f t="shared" si="549"/>
        <v>0</v>
      </c>
      <c r="CE814" s="387">
        <f t="shared" si="550"/>
        <v>0</v>
      </c>
      <c r="CF814" s="387">
        <f t="shared" si="551"/>
        <v>-28.879032000000002</v>
      </c>
      <c r="CG814" s="387">
        <f t="shared" si="552"/>
        <v>0</v>
      </c>
      <c r="CH814" s="387">
        <f t="shared" si="553"/>
        <v>4.1255759999999979</v>
      </c>
      <c r="CI814" s="387">
        <f t="shared" si="554"/>
        <v>0</v>
      </c>
      <c r="CJ814" s="387">
        <f t="shared" si="567"/>
        <v>-24.753456000000003</v>
      </c>
      <c r="CK814" s="387" t="str">
        <f t="shared" si="568"/>
        <v/>
      </c>
      <c r="CL814" s="387" t="str">
        <f t="shared" si="569"/>
        <v/>
      </c>
      <c r="CM814" s="387" t="str">
        <f t="shared" si="570"/>
        <v/>
      </c>
      <c r="CN814" s="387" t="str">
        <f t="shared" si="571"/>
        <v>0348-31</v>
      </c>
    </row>
    <row r="815" spans="1:92" ht="15.75" thickBot="1" x14ac:dyDescent="0.3">
      <c r="A815" s="376" t="s">
        <v>161</v>
      </c>
      <c r="B815" s="376" t="s">
        <v>162</v>
      </c>
      <c r="C815" s="376" t="s">
        <v>1267</v>
      </c>
      <c r="D815" s="376" t="s">
        <v>270</v>
      </c>
      <c r="E815" s="376" t="s">
        <v>224</v>
      </c>
      <c r="F815" s="382" t="s">
        <v>225</v>
      </c>
      <c r="G815" s="376" t="s">
        <v>1945</v>
      </c>
      <c r="H815" s="378"/>
      <c r="I815" s="378"/>
      <c r="J815" s="376" t="s">
        <v>215</v>
      </c>
      <c r="K815" s="376" t="s">
        <v>271</v>
      </c>
      <c r="L815" s="376" t="s">
        <v>217</v>
      </c>
      <c r="M815" s="376" t="s">
        <v>171</v>
      </c>
      <c r="N815" s="376" t="s">
        <v>172</v>
      </c>
      <c r="O815" s="379">
        <v>1</v>
      </c>
      <c r="P815" s="385">
        <v>1</v>
      </c>
      <c r="Q815" s="385">
        <v>1</v>
      </c>
      <c r="R815" s="380">
        <v>80</v>
      </c>
      <c r="S815" s="385">
        <v>1</v>
      </c>
      <c r="T815" s="380">
        <v>24228.22</v>
      </c>
      <c r="U815" s="380">
        <v>89.15</v>
      </c>
      <c r="V815" s="380">
        <v>15174.93</v>
      </c>
      <c r="W815" s="380">
        <v>34382.400000000001</v>
      </c>
      <c r="X815" s="380">
        <v>19085.150000000001</v>
      </c>
      <c r="Y815" s="380">
        <v>34382.400000000001</v>
      </c>
      <c r="Z815" s="380">
        <v>18940.75</v>
      </c>
      <c r="AA815" s="376" t="s">
        <v>1268</v>
      </c>
      <c r="AB815" s="376" t="s">
        <v>1269</v>
      </c>
      <c r="AC815" s="376" t="s">
        <v>366</v>
      </c>
      <c r="AD815" s="376" t="s">
        <v>1270</v>
      </c>
      <c r="AE815" s="376" t="s">
        <v>271</v>
      </c>
      <c r="AF815" s="376" t="s">
        <v>221</v>
      </c>
      <c r="AG815" s="376" t="s">
        <v>178</v>
      </c>
      <c r="AH815" s="381">
        <v>16.53</v>
      </c>
      <c r="AI815" s="381">
        <v>1728.2</v>
      </c>
      <c r="AJ815" s="376" t="s">
        <v>179</v>
      </c>
      <c r="AK815" s="376" t="s">
        <v>180</v>
      </c>
      <c r="AL815" s="376" t="s">
        <v>181</v>
      </c>
      <c r="AM815" s="376" t="s">
        <v>182</v>
      </c>
      <c r="AN815" s="376" t="s">
        <v>68</v>
      </c>
      <c r="AO815" s="379">
        <v>80</v>
      </c>
      <c r="AP815" s="385">
        <v>1</v>
      </c>
      <c r="AQ815" s="385">
        <v>1</v>
      </c>
      <c r="AR815" s="383" t="s">
        <v>183</v>
      </c>
      <c r="AS815" s="387">
        <f t="shared" si="555"/>
        <v>1</v>
      </c>
      <c r="AT815">
        <f t="shared" si="556"/>
        <v>1</v>
      </c>
      <c r="AU815" s="387">
        <f>IF(AT815=0,"",IF(AND(AT815=1,M815="F",SUMIF(C2:C1334,C815,AS2:AS1334)&lt;=1),SUMIF(C2:C1334,C815,AS2:AS1334),IF(AND(AT815=1,M815="F",SUMIF(C2:C1334,C815,AS2:AS1334)&gt;1),1,"")))</f>
        <v>1</v>
      </c>
      <c r="AV815" s="387" t="str">
        <f>IF(AT815=0,"",IF(AND(AT815=3,M815="F",SUMIF(C2:C1334,C815,AS2:AS1334)&lt;=1),SUMIF(C2:C1334,C815,AS2:AS1334),IF(AND(AT815=3,M815="F",SUMIF(C2:C1334,C815,AS2:AS1334)&gt;1),1,"")))</f>
        <v/>
      </c>
      <c r="AW815" s="387">
        <f>SUMIF(C2:C1334,C815,O2:O1334)</f>
        <v>2</v>
      </c>
      <c r="AX815" s="387">
        <f>IF(AND(M815="F",AS815&lt;&gt;0),SUMIF(C2:C1334,C815,W2:W1334),0)</f>
        <v>34382.400000000001</v>
      </c>
      <c r="AY815" s="387">
        <f t="shared" si="557"/>
        <v>34382.400000000001</v>
      </c>
      <c r="AZ815" s="387" t="str">
        <f t="shared" si="558"/>
        <v/>
      </c>
      <c r="BA815" s="387">
        <f t="shared" si="559"/>
        <v>0</v>
      </c>
      <c r="BB815" s="387">
        <f t="shared" si="528"/>
        <v>11650</v>
      </c>
      <c r="BC815" s="387">
        <f t="shared" si="529"/>
        <v>0</v>
      </c>
      <c r="BD815" s="387">
        <f t="shared" si="530"/>
        <v>2131.7087999999999</v>
      </c>
      <c r="BE815" s="387">
        <f t="shared" si="531"/>
        <v>498.54480000000007</v>
      </c>
      <c r="BF815" s="387">
        <f t="shared" si="532"/>
        <v>4105.2585600000002</v>
      </c>
      <c r="BG815" s="387">
        <f t="shared" si="533"/>
        <v>247.89710400000001</v>
      </c>
      <c r="BH815" s="387">
        <f t="shared" si="534"/>
        <v>168.47376</v>
      </c>
      <c r="BI815" s="387">
        <f t="shared" si="535"/>
        <v>190.30658400000002</v>
      </c>
      <c r="BJ815" s="387">
        <f t="shared" si="536"/>
        <v>92.832480000000004</v>
      </c>
      <c r="BK815" s="387">
        <f t="shared" si="537"/>
        <v>0</v>
      </c>
      <c r="BL815" s="387">
        <f t="shared" si="560"/>
        <v>7435.0220879999997</v>
      </c>
      <c r="BM815" s="387">
        <f t="shared" si="561"/>
        <v>0</v>
      </c>
      <c r="BN815" s="387">
        <f t="shared" si="538"/>
        <v>11650</v>
      </c>
      <c r="BO815" s="387">
        <f t="shared" si="539"/>
        <v>0</v>
      </c>
      <c r="BP815" s="387">
        <f t="shared" si="540"/>
        <v>2131.7087999999999</v>
      </c>
      <c r="BQ815" s="387">
        <f t="shared" si="541"/>
        <v>498.54480000000007</v>
      </c>
      <c r="BR815" s="387">
        <f t="shared" si="542"/>
        <v>4105.2585600000002</v>
      </c>
      <c r="BS815" s="387">
        <f t="shared" si="543"/>
        <v>247.89710400000001</v>
      </c>
      <c r="BT815" s="387">
        <f t="shared" si="544"/>
        <v>0</v>
      </c>
      <c r="BU815" s="387">
        <f t="shared" si="545"/>
        <v>190.30658400000002</v>
      </c>
      <c r="BV815" s="387">
        <f t="shared" si="546"/>
        <v>116.90016</v>
      </c>
      <c r="BW815" s="387">
        <f t="shared" si="547"/>
        <v>0</v>
      </c>
      <c r="BX815" s="387">
        <f t="shared" si="562"/>
        <v>7290.616008</v>
      </c>
      <c r="BY815" s="387">
        <f t="shared" si="563"/>
        <v>0</v>
      </c>
      <c r="BZ815" s="387">
        <f t="shared" si="564"/>
        <v>0</v>
      </c>
      <c r="CA815" s="387">
        <f t="shared" si="565"/>
        <v>0</v>
      </c>
      <c r="CB815" s="387">
        <f t="shared" si="566"/>
        <v>0</v>
      </c>
      <c r="CC815" s="387">
        <f t="shared" si="548"/>
        <v>0</v>
      </c>
      <c r="CD815" s="387">
        <f t="shared" si="549"/>
        <v>0</v>
      </c>
      <c r="CE815" s="387">
        <f t="shared" si="550"/>
        <v>0</v>
      </c>
      <c r="CF815" s="387">
        <f t="shared" si="551"/>
        <v>-168.47376</v>
      </c>
      <c r="CG815" s="387">
        <f t="shared" si="552"/>
        <v>0</v>
      </c>
      <c r="CH815" s="387">
        <f t="shared" si="553"/>
        <v>24.067679999999989</v>
      </c>
      <c r="CI815" s="387">
        <f t="shared" si="554"/>
        <v>0</v>
      </c>
      <c r="CJ815" s="387">
        <f t="shared" si="567"/>
        <v>-144.40608</v>
      </c>
      <c r="CK815" s="387" t="str">
        <f t="shared" si="568"/>
        <v/>
      </c>
      <c r="CL815" s="387" t="str">
        <f t="shared" si="569"/>
        <v/>
      </c>
      <c r="CM815" s="387" t="str">
        <f t="shared" si="570"/>
        <v/>
      </c>
      <c r="CN815" s="387" t="str">
        <f t="shared" si="571"/>
        <v>0348-31</v>
      </c>
    </row>
    <row r="816" spans="1:92" ht="15.75" thickBot="1" x14ac:dyDescent="0.3">
      <c r="A816" s="376" t="s">
        <v>161</v>
      </c>
      <c r="B816" s="376" t="s">
        <v>162</v>
      </c>
      <c r="C816" s="376" t="s">
        <v>947</v>
      </c>
      <c r="D816" s="376" t="s">
        <v>792</v>
      </c>
      <c r="E816" s="376" t="s">
        <v>224</v>
      </c>
      <c r="F816" s="382" t="s">
        <v>225</v>
      </c>
      <c r="G816" s="376" t="s">
        <v>1945</v>
      </c>
      <c r="H816" s="378"/>
      <c r="I816" s="378"/>
      <c r="J816" s="376" t="s">
        <v>239</v>
      </c>
      <c r="K816" s="376" t="s">
        <v>793</v>
      </c>
      <c r="L816" s="376" t="s">
        <v>170</v>
      </c>
      <c r="M816" s="376" t="s">
        <v>171</v>
      </c>
      <c r="N816" s="376" t="s">
        <v>172</v>
      </c>
      <c r="O816" s="379">
        <v>1</v>
      </c>
      <c r="P816" s="385">
        <v>0.7</v>
      </c>
      <c r="Q816" s="385">
        <v>0.7</v>
      </c>
      <c r="R816" s="380">
        <v>80</v>
      </c>
      <c r="S816" s="385">
        <v>0.7</v>
      </c>
      <c r="T816" s="380">
        <v>41297.589999999997</v>
      </c>
      <c r="U816" s="380">
        <v>0</v>
      </c>
      <c r="V816" s="380">
        <v>16804.34</v>
      </c>
      <c r="W816" s="380">
        <v>43097.599999999999</v>
      </c>
      <c r="X816" s="380">
        <v>17474.82</v>
      </c>
      <c r="Y816" s="380">
        <v>43097.599999999999</v>
      </c>
      <c r="Z816" s="380">
        <v>17293.82</v>
      </c>
      <c r="AA816" s="376" t="s">
        <v>948</v>
      </c>
      <c r="AB816" s="376" t="s">
        <v>949</v>
      </c>
      <c r="AC816" s="376" t="s">
        <v>950</v>
      </c>
      <c r="AD816" s="376" t="s">
        <v>180</v>
      </c>
      <c r="AE816" s="376" t="s">
        <v>793</v>
      </c>
      <c r="AF816" s="376" t="s">
        <v>177</v>
      </c>
      <c r="AG816" s="376" t="s">
        <v>178</v>
      </c>
      <c r="AH816" s="381">
        <v>29.6</v>
      </c>
      <c r="AI816" s="379">
        <v>44811</v>
      </c>
      <c r="AJ816" s="376" t="s">
        <v>179</v>
      </c>
      <c r="AK816" s="376" t="s">
        <v>180</v>
      </c>
      <c r="AL816" s="376" t="s">
        <v>181</v>
      </c>
      <c r="AM816" s="376" t="s">
        <v>182</v>
      </c>
      <c r="AN816" s="376" t="s">
        <v>68</v>
      </c>
      <c r="AO816" s="379">
        <v>80</v>
      </c>
      <c r="AP816" s="385">
        <v>1</v>
      </c>
      <c r="AQ816" s="385">
        <v>0.7</v>
      </c>
      <c r="AR816" s="383" t="s">
        <v>183</v>
      </c>
      <c r="AS816" s="387">
        <f t="shared" si="555"/>
        <v>0.7</v>
      </c>
      <c r="AT816">
        <f t="shared" si="556"/>
        <v>1</v>
      </c>
      <c r="AU816" s="387">
        <f>IF(AT816=0,"",IF(AND(AT816=1,M816="F",SUMIF(C2:C1334,C816,AS2:AS1334)&lt;=1),SUMIF(C2:C1334,C816,AS2:AS1334),IF(AND(AT816=1,M816="F",SUMIF(C2:C1334,C816,AS2:AS1334)&gt;1),1,"")))</f>
        <v>1</v>
      </c>
      <c r="AV816" s="387" t="str">
        <f>IF(AT816=0,"",IF(AND(AT816=3,M816="F",SUMIF(C2:C1334,C816,AS2:AS1334)&lt;=1),SUMIF(C2:C1334,C816,AS2:AS1334),IF(AND(AT816=3,M816="F",SUMIF(C2:C1334,C816,AS2:AS1334)&gt;1),1,"")))</f>
        <v/>
      </c>
      <c r="AW816" s="387">
        <f>SUMIF(C2:C1334,C816,O2:O1334)</f>
        <v>3</v>
      </c>
      <c r="AX816" s="387">
        <f>IF(AND(M816="F",AS816&lt;&gt;0),SUMIF(C2:C1334,C816,W2:W1334),0)</f>
        <v>61568</v>
      </c>
      <c r="AY816" s="387">
        <f t="shared" si="557"/>
        <v>43097.599999999999</v>
      </c>
      <c r="AZ816" s="387" t="str">
        <f t="shared" si="558"/>
        <v/>
      </c>
      <c r="BA816" s="387">
        <f t="shared" si="559"/>
        <v>0</v>
      </c>
      <c r="BB816" s="387">
        <f t="shared" si="528"/>
        <v>8154.9999999999991</v>
      </c>
      <c r="BC816" s="387">
        <f t="shared" si="529"/>
        <v>0</v>
      </c>
      <c r="BD816" s="387">
        <f t="shared" si="530"/>
        <v>2672.0511999999999</v>
      </c>
      <c r="BE816" s="387">
        <f t="shared" si="531"/>
        <v>624.91520000000003</v>
      </c>
      <c r="BF816" s="387">
        <f t="shared" si="532"/>
        <v>5145.8534399999999</v>
      </c>
      <c r="BG816" s="387">
        <f t="shared" si="533"/>
        <v>310.73369600000001</v>
      </c>
      <c r="BH816" s="387">
        <f t="shared" si="534"/>
        <v>211.17823999999999</v>
      </c>
      <c r="BI816" s="387">
        <f t="shared" si="535"/>
        <v>238.54521599999998</v>
      </c>
      <c r="BJ816" s="387">
        <f t="shared" si="536"/>
        <v>116.36352000000001</v>
      </c>
      <c r="BK816" s="387">
        <f t="shared" si="537"/>
        <v>0</v>
      </c>
      <c r="BL816" s="387">
        <f t="shared" si="560"/>
        <v>9319.6405119999999</v>
      </c>
      <c r="BM816" s="387">
        <f t="shared" si="561"/>
        <v>0</v>
      </c>
      <c r="BN816" s="387">
        <f t="shared" si="538"/>
        <v>8154.9999999999991</v>
      </c>
      <c r="BO816" s="387">
        <f t="shared" si="539"/>
        <v>0</v>
      </c>
      <c r="BP816" s="387">
        <f t="shared" si="540"/>
        <v>2672.0511999999999</v>
      </c>
      <c r="BQ816" s="387">
        <f t="shared" si="541"/>
        <v>624.91520000000003</v>
      </c>
      <c r="BR816" s="387">
        <f t="shared" si="542"/>
        <v>5145.8534399999999</v>
      </c>
      <c r="BS816" s="387">
        <f t="shared" si="543"/>
        <v>310.73369600000001</v>
      </c>
      <c r="BT816" s="387">
        <f t="shared" si="544"/>
        <v>0</v>
      </c>
      <c r="BU816" s="387">
        <f t="shared" si="545"/>
        <v>238.54521599999998</v>
      </c>
      <c r="BV816" s="387">
        <f t="shared" si="546"/>
        <v>146.53183999999999</v>
      </c>
      <c r="BW816" s="387">
        <f t="shared" si="547"/>
        <v>0</v>
      </c>
      <c r="BX816" s="387">
        <f t="shared" si="562"/>
        <v>9138.6305919999995</v>
      </c>
      <c r="BY816" s="387">
        <f t="shared" si="563"/>
        <v>0</v>
      </c>
      <c r="BZ816" s="387">
        <f t="shared" si="564"/>
        <v>0</v>
      </c>
      <c r="CA816" s="387">
        <f t="shared" si="565"/>
        <v>0</v>
      </c>
      <c r="CB816" s="387">
        <f t="shared" si="566"/>
        <v>0</v>
      </c>
      <c r="CC816" s="387">
        <f t="shared" si="548"/>
        <v>0</v>
      </c>
      <c r="CD816" s="387">
        <f t="shared" si="549"/>
        <v>0</v>
      </c>
      <c r="CE816" s="387">
        <f t="shared" si="550"/>
        <v>0</v>
      </c>
      <c r="CF816" s="387">
        <f t="shared" si="551"/>
        <v>-211.17823999999999</v>
      </c>
      <c r="CG816" s="387">
        <f t="shared" si="552"/>
        <v>0</v>
      </c>
      <c r="CH816" s="387">
        <f t="shared" si="553"/>
        <v>30.168319999999984</v>
      </c>
      <c r="CI816" s="387">
        <f t="shared" si="554"/>
        <v>0</v>
      </c>
      <c r="CJ816" s="387">
        <f t="shared" si="567"/>
        <v>-181.00991999999999</v>
      </c>
      <c r="CK816" s="387" t="str">
        <f t="shared" si="568"/>
        <v/>
      </c>
      <c r="CL816" s="387" t="str">
        <f t="shared" si="569"/>
        <v/>
      </c>
      <c r="CM816" s="387" t="str">
        <f t="shared" si="570"/>
        <v/>
      </c>
      <c r="CN816" s="387" t="str">
        <f t="shared" si="571"/>
        <v>0348-31</v>
      </c>
    </row>
    <row r="817" spans="1:92" ht="15.75" thickBot="1" x14ac:dyDescent="0.3">
      <c r="A817" s="376" t="s">
        <v>161</v>
      </c>
      <c r="B817" s="376" t="s">
        <v>162</v>
      </c>
      <c r="C817" s="376" t="s">
        <v>2003</v>
      </c>
      <c r="D817" s="376" t="s">
        <v>792</v>
      </c>
      <c r="E817" s="376" t="s">
        <v>224</v>
      </c>
      <c r="F817" s="382" t="s">
        <v>225</v>
      </c>
      <c r="G817" s="376" t="s">
        <v>1945</v>
      </c>
      <c r="H817" s="378"/>
      <c r="I817" s="378"/>
      <c r="J817" s="376" t="s">
        <v>215</v>
      </c>
      <c r="K817" s="376" t="s">
        <v>793</v>
      </c>
      <c r="L817" s="376" t="s">
        <v>170</v>
      </c>
      <c r="M817" s="376" t="s">
        <v>272</v>
      </c>
      <c r="N817" s="376" t="s">
        <v>172</v>
      </c>
      <c r="O817" s="379">
        <v>0</v>
      </c>
      <c r="P817" s="385">
        <v>1</v>
      </c>
      <c r="Q817" s="385">
        <v>1</v>
      </c>
      <c r="R817" s="380">
        <v>80</v>
      </c>
      <c r="S817" s="385">
        <v>1</v>
      </c>
      <c r="T817" s="380">
        <v>37635.78</v>
      </c>
      <c r="U817" s="380">
        <v>6269.05</v>
      </c>
      <c r="V817" s="380">
        <v>16847.86</v>
      </c>
      <c r="W817" s="380">
        <v>53476.800000000003</v>
      </c>
      <c r="X817" s="380">
        <v>23422.83</v>
      </c>
      <c r="Y817" s="380">
        <v>53476.800000000003</v>
      </c>
      <c r="Z817" s="380">
        <v>23155.45</v>
      </c>
      <c r="AA817" s="378"/>
      <c r="AB817" s="376" t="s">
        <v>45</v>
      </c>
      <c r="AC817" s="376" t="s">
        <v>45</v>
      </c>
      <c r="AD817" s="378"/>
      <c r="AE817" s="378"/>
      <c r="AF817" s="378"/>
      <c r="AG817" s="378"/>
      <c r="AH817" s="379">
        <v>0</v>
      </c>
      <c r="AI817" s="379">
        <v>0</v>
      </c>
      <c r="AJ817" s="378"/>
      <c r="AK817" s="378"/>
      <c r="AL817" s="376" t="s">
        <v>181</v>
      </c>
      <c r="AM817" s="378"/>
      <c r="AN817" s="378"/>
      <c r="AO817" s="379">
        <v>0</v>
      </c>
      <c r="AP817" s="385">
        <v>0</v>
      </c>
      <c r="AQ817" s="385">
        <v>0</v>
      </c>
      <c r="AR817" s="384"/>
      <c r="AS817" s="387">
        <f t="shared" si="555"/>
        <v>0</v>
      </c>
      <c r="AT817">
        <f t="shared" si="556"/>
        <v>0</v>
      </c>
      <c r="AU817" s="387" t="str">
        <f>IF(AT817=0,"",IF(AND(AT817=1,M817="F",SUMIF(C2:C1334,C817,AS2:AS1334)&lt;=1),SUMIF(C2:C1334,C817,AS2:AS1334),IF(AND(AT817=1,M817="F",SUMIF(C2:C1334,C817,AS2:AS1334)&gt;1),1,"")))</f>
        <v/>
      </c>
      <c r="AV817" s="387" t="str">
        <f>IF(AT817=0,"",IF(AND(AT817=3,M817="F",SUMIF(C2:C1334,C817,AS2:AS1334)&lt;=1),SUMIF(C2:C1334,C817,AS2:AS1334),IF(AND(AT817=3,M817="F",SUMIF(C2:C1334,C817,AS2:AS1334)&gt;1),1,"")))</f>
        <v/>
      </c>
      <c r="AW817" s="387">
        <f>SUMIF(C2:C1334,C817,O2:O1334)</f>
        <v>0</v>
      </c>
      <c r="AX817" s="387">
        <f>IF(AND(M817="F",AS817&lt;&gt;0),SUMIF(C2:C1334,C817,W2:W1334),0)</f>
        <v>0</v>
      </c>
      <c r="AY817" s="387" t="str">
        <f t="shared" si="557"/>
        <v/>
      </c>
      <c r="AZ817" s="387" t="str">
        <f t="shared" si="558"/>
        <v/>
      </c>
      <c r="BA817" s="387">
        <f t="shared" si="559"/>
        <v>0</v>
      </c>
      <c r="BB817" s="387">
        <f t="shared" si="528"/>
        <v>0</v>
      </c>
      <c r="BC817" s="387">
        <f t="shared" si="529"/>
        <v>0</v>
      </c>
      <c r="BD817" s="387">
        <f t="shared" si="530"/>
        <v>0</v>
      </c>
      <c r="BE817" s="387">
        <f t="shared" si="531"/>
        <v>0</v>
      </c>
      <c r="BF817" s="387">
        <f t="shared" si="532"/>
        <v>0</v>
      </c>
      <c r="BG817" s="387">
        <f t="shared" si="533"/>
        <v>0</v>
      </c>
      <c r="BH817" s="387">
        <f t="shared" si="534"/>
        <v>0</v>
      </c>
      <c r="BI817" s="387">
        <f t="shared" si="535"/>
        <v>0</v>
      </c>
      <c r="BJ817" s="387">
        <f t="shared" si="536"/>
        <v>0</v>
      </c>
      <c r="BK817" s="387">
        <f t="shared" si="537"/>
        <v>0</v>
      </c>
      <c r="BL817" s="387">
        <f t="shared" si="560"/>
        <v>0</v>
      </c>
      <c r="BM817" s="387">
        <f t="shared" si="561"/>
        <v>0</v>
      </c>
      <c r="BN817" s="387">
        <f t="shared" si="538"/>
        <v>0</v>
      </c>
      <c r="BO817" s="387">
        <f t="shared" si="539"/>
        <v>0</v>
      </c>
      <c r="BP817" s="387">
        <f t="shared" si="540"/>
        <v>0</v>
      </c>
      <c r="BQ817" s="387">
        <f t="shared" si="541"/>
        <v>0</v>
      </c>
      <c r="BR817" s="387">
        <f t="shared" si="542"/>
        <v>0</v>
      </c>
      <c r="BS817" s="387">
        <f t="shared" si="543"/>
        <v>0</v>
      </c>
      <c r="BT817" s="387">
        <f t="shared" si="544"/>
        <v>0</v>
      </c>
      <c r="BU817" s="387">
        <f t="shared" si="545"/>
        <v>0</v>
      </c>
      <c r="BV817" s="387">
        <f t="shared" si="546"/>
        <v>0</v>
      </c>
      <c r="BW817" s="387">
        <f t="shared" si="547"/>
        <v>0</v>
      </c>
      <c r="BX817" s="387">
        <f t="shared" si="562"/>
        <v>0</v>
      </c>
      <c r="BY817" s="387">
        <f t="shared" si="563"/>
        <v>0</v>
      </c>
      <c r="BZ817" s="387">
        <f t="shared" si="564"/>
        <v>0</v>
      </c>
      <c r="CA817" s="387">
        <f t="shared" si="565"/>
        <v>0</v>
      </c>
      <c r="CB817" s="387">
        <f t="shared" si="566"/>
        <v>0</v>
      </c>
      <c r="CC817" s="387">
        <f t="shared" si="548"/>
        <v>0</v>
      </c>
      <c r="CD817" s="387">
        <f t="shared" si="549"/>
        <v>0</v>
      </c>
      <c r="CE817" s="387">
        <f t="shared" si="550"/>
        <v>0</v>
      </c>
      <c r="CF817" s="387">
        <f t="shared" si="551"/>
        <v>0</v>
      </c>
      <c r="CG817" s="387">
        <f t="shared" si="552"/>
        <v>0</v>
      </c>
      <c r="CH817" s="387">
        <f t="shared" si="553"/>
        <v>0</v>
      </c>
      <c r="CI817" s="387">
        <f t="shared" si="554"/>
        <v>0</v>
      </c>
      <c r="CJ817" s="387">
        <f t="shared" si="567"/>
        <v>0</v>
      </c>
      <c r="CK817" s="387" t="str">
        <f t="shared" si="568"/>
        <v/>
      </c>
      <c r="CL817" s="387" t="str">
        <f t="shared" si="569"/>
        <v/>
      </c>
      <c r="CM817" s="387" t="str">
        <f t="shared" si="570"/>
        <v/>
      </c>
      <c r="CN817" s="387" t="str">
        <f t="shared" si="571"/>
        <v>0348-31</v>
      </c>
    </row>
    <row r="818" spans="1:92" ht="15.75" thickBot="1" x14ac:dyDescent="0.3">
      <c r="A818" s="376" t="s">
        <v>161</v>
      </c>
      <c r="B818" s="376" t="s">
        <v>162</v>
      </c>
      <c r="C818" s="376" t="s">
        <v>951</v>
      </c>
      <c r="D818" s="376" t="s">
        <v>868</v>
      </c>
      <c r="E818" s="376" t="s">
        <v>224</v>
      </c>
      <c r="F818" s="382" t="s">
        <v>225</v>
      </c>
      <c r="G818" s="376" t="s">
        <v>1945</v>
      </c>
      <c r="H818" s="378"/>
      <c r="I818" s="378"/>
      <c r="J818" s="376" t="s">
        <v>215</v>
      </c>
      <c r="K818" s="376" t="s">
        <v>894</v>
      </c>
      <c r="L818" s="376" t="s">
        <v>170</v>
      </c>
      <c r="M818" s="376" t="s">
        <v>272</v>
      </c>
      <c r="N818" s="376" t="s">
        <v>172</v>
      </c>
      <c r="O818" s="379">
        <v>0</v>
      </c>
      <c r="P818" s="385">
        <v>1</v>
      </c>
      <c r="Q818" s="385">
        <v>1</v>
      </c>
      <c r="R818" s="380">
        <v>80</v>
      </c>
      <c r="S818" s="385">
        <v>1</v>
      </c>
      <c r="T818" s="380">
        <v>0</v>
      </c>
      <c r="U818" s="380">
        <v>0</v>
      </c>
      <c r="V818" s="380">
        <v>0</v>
      </c>
      <c r="W818" s="380">
        <v>53476.800000000003</v>
      </c>
      <c r="X818" s="380">
        <v>23422.83</v>
      </c>
      <c r="Y818" s="380">
        <v>53476.800000000003</v>
      </c>
      <c r="Z818" s="380">
        <v>23155.45</v>
      </c>
      <c r="AA818" s="378"/>
      <c r="AB818" s="376" t="s">
        <v>45</v>
      </c>
      <c r="AC818" s="376" t="s">
        <v>45</v>
      </c>
      <c r="AD818" s="378"/>
      <c r="AE818" s="378"/>
      <c r="AF818" s="378"/>
      <c r="AG818" s="378"/>
      <c r="AH818" s="379">
        <v>0</v>
      </c>
      <c r="AI818" s="379">
        <v>0</v>
      </c>
      <c r="AJ818" s="378"/>
      <c r="AK818" s="378"/>
      <c r="AL818" s="376" t="s">
        <v>181</v>
      </c>
      <c r="AM818" s="378"/>
      <c r="AN818" s="378"/>
      <c r="AO818" s="379">
        <v>0</v>
      </c>
      <c r="AP818" s="385">
        <v>0</v>
      </c>
      <c r="AQ818" s="385">
        <v>0</v>
      </c>
      <c r="AR818" s="384"/>
      <c r="AS818" s="387">
        <f t="shared" si="555"/>
        <v>0</v>
      </c>
      <c r="AT818">
        <f t="shared" si="556"/>
        <v>0</v>
      </c>
      <c r="AU818" s="387" t="str">
        <f>IF(AT818=0,"",IF(AND(AT818=1,M818="F",SUMIF(C2:C1334,C818,AS2:AS1334)&lt;=1),SUMIF(C2:C1334,C818,AS2:AS1334),IF(AND(AT818=1,M818="F",SUMIF(C2:C1334,C818,AS2:AS1334)&gt;1),1,"")))</f>
        <v/>
      </c>
      <c r="AV818" s="387" t="str">
        <f>IF(AT818=0,"",IF(AND(AT818=3,M818="F",SUMIF(C2:C1334,C818,AS2:AS1334)&lt;=1),SUMIF(C2:C1334,C818,AS2:AS1334),IF(AND(AT818=3,M818="F",SUMIF(C2:C1334,C818,AS2:AS1334)&gt;1),1,"")))</f>
        <v/>
      </c>
      <c r="AW818" s="387">
        <f>SUMIF(C2:C1334,C818,O2:O1334)</f>
        <v>0</v>
      </c>
      <c r="AX818" s="387">
        <f>IF(AND(M818="F",AS818&lt;&gt;0),SUMIF(C2:C1334,C818,W2:W1334),0)</f>
        <v>0</v>
      </c>
      <c r="AY818" s="387" t="str">
        <f t="shared" si="557"/>
        <v/>
      </c>
      <c r="AZ818" s="387" t="str">
        <f t="shared" si="558"/>
        <v/>
      </c>
      <c r="BA818" s="387">
        <f t="shared" si="559"/>
        <v>0</v>
      </c>
      <c r="BB818" s="387">
        <f t="shared" si="528"/>
        <v>0</v>
      </c>
      <c r="BC818" s="387">
        <f t="shared" si="529"/>
        <v>0</v>
      </c>
      <c r="BD818" s="387">
        <f t="shared" si="530"/>
        <v>0</v>
      </c>
      <c r="BE818" s="387">
        <f t="shared" si="531"/>
        <v>0</v>
      </c>
      <c r="BF818" s="387">
        <f t="shared" si="532"/>
        <v>0</v>
      </c>
      <c r="BG818" s="387">
        <f t="shared" si="533"/>
        <v>0</v>
      </c>
      <c r="BH818" s="387">
        <f t="shared" si="534"/>
        <v>0</v>
      </c>
      <c r="BI818" s="387">
        <f t="shared" si="535"/>
        <v>0</v>
      </c>
      <c r="BJ818" s="387">
        <f t="shared" si="536"/>
        <v>0</v>
      </c>
      <c r="BK818" s="387">
        <f t="shared" si="537"/>
        <v>0</v>
      </c>
      <c r="BL818" s="387">
        <f t="shared" si="560"/>
        <v>0</v>
      </c>
      <c r="BM818" s="387">
        <f t="shared" si="561"/>
        <v>0</v>
      </c>
      <c r="BN818" s="387">
        <f t="shared" si="538"/>
        <v>0</v>
      </c>
      <c r="BO818" s="387">
        <f t="shared" si="539"/>
        <v>0</v>
      </c>
      <c r="BP818" s="387">
        <f t="shared" si="540"/>
        <v>0</v>
      </c>
      <c r="BQ818" s="387">
        <f t="shared" si="541"/>
        <v>0</v>
      </c>
      <c r="BR818" s="387">
        <f t="shared" si="542"/>
        <v>0</v>
      </c>
      <c r="BS818" s="387">
        <f t="shared" si="543"/>
        <v>0</v>
      </c>
      <c r="BT818" s="387">
        <f t="shared" si="544"/>
        <v>0</v>
      </c>
      <c r="BU818" s="387">
        <f t="shared" si="545"/>
        <v>0</v>
      </c>
      <c r="BV818" s="387">
        <f t="shared" si="546"/>
        <v>0</v>
      </c>
      <c r="BW818" s="387">
        <f t="shared" si="547"/>
        <v>0</v>
      </c>
      <c r="BX818" s="387">
        <f t="shared" si="562"/>
        <v>0</v>
      </c>
      <c r="BY818" s="387">
        <f t="shared" si="563"/>
        <v>0</v>
      </c>
      <c r="BZ818" s="387">
        <f t="shared" si="564"/>
        <v>0</v>
      </c>
      <c r="CA818" s="387">
        <f t="shared" si="565"/>
        <v>0</v>
      </c>
      <c r="CB818" s="387">
        <f t="shared" si="566"/>
        <v>0</v>
      </c>
      <c r="CC818" s="387">
        <f t="shared" si="548"/>
        <v>0</v>
      </c>
      <c r="CD818" s="387">
        <f t="shared" si="549"/>
        <v>0</v>
      </c>
      <c r="CE818" s="387">
        <f t="shared" si="550"/>
        <v>0</v>
      </c>
      <c r="CF818" s="387">
        <f t="shared" si="551"/>
        <v>0</v>
      </c>
      <c r="CG818" s="387">
        <f t="shared" si="552"/>
        <v>0</v>
      </c>
      <c r="CH818" s="387">
        <f t="shared" si="553"/>
        <v>0</v>
      </c>
      <c r="CI818" s="387">
        <f t="shared" si="554"/>
        <v>0</v>
      </c>
      <c r="CJ818" s="387">
        <f t="shared" si="567"/>
        <v>0</v>
      </c>
      <c r="CK818" s="387" t="str">
        <f t="shared" si="568"/>
        <v/>
      </c>
      <c r="CL818" s="387" t="str">
        <f t="shared" si="569"/>
        <v/>
      </c>
      <c r="CM818" s="387" t="str">
        <f t="shared" si="570"/>
        <v/>
      </c>
      <c r="CN818" s="387" t="str">
        <f t="shared" si="571"/>
        <v>0348-31</v>
      </c>
    </row>
    <row r="819" spans="1:92" ht="15.75" thickBot="1" x14ac:dyDescent="0.3">
      <c r="A819" s="376" t="s">
        <v>161</v>
      </c>
      <c r="B819" s="376" t="s">
        <v>162</v>
      </c>
      <c r="C819" s="376" t="s">
        <v>1113</v>
      </c>
      <c r="D819" s="376" t="s">
        <v>792</v>
      </c>
      <c r="E819" s="376" t="s">
        <v>224</v>
      </c>
      <c r="F819" s="382" t="s">
        <v>225</v>
      </c>
      <c r="G819" s="376" t="s">
        <v>1945</v>
      </c>
      <c r="H819" s="378"/>
      <c r="I819" s="378"/>
      <c r="J819" s="376" t="s">
        <v>239</v>
      </c>
      <c r="K819" s="376" t="s">
        <v>793</v>
      </c>
      <c r="L819" s="376" t="s">
        <v>170</v>
      </c>
      <c r="M819" s="376" t="s">
        <v>171</v>
      </c>
      <c r="N819" s="376" t="s">
        <v>172</v>
      </c>
      <c r="O819" s="379">
        <v>1</v>
      </c>
      <c r="P819" s="385">
        <v>0.75</v>
      </c>
      <c r="Q819" s="385">
        <v>0.75</v>
      </c>
      <c r="R819" s="380">
        <v>80</v>
      </c>
      <c r="S819" s="385">
        <v>0.75</v>
      </c>
      <c r="T819" s="380">
        <v>34437.370000000003</v>
      </c>
      <c r="U819" s="380">
        <v>1465.6</v>
      </c>
      <c r="V819" s="380">
        <v>15851.92</v>
      </c>
      <c r="W819" s="380">
        <v>37689.599999999999</v>
      </c>
      <c r="X819" s="380">
        <v>16887.849999999999</v>
      </c>
      <c r="Y819" s="380">
        <v>37689.599999999999</v>
      </c>
      <c r="Z819" s="380">
        <v>16729.560000000001</v>
      </c>
      <c r="AA819" s="376" t="s">
        <v>1114</v>
      </c>
      <c r="AB819" s="376" t="s">
        <v>1115</v>
      </c>
      <c r="AC819" s="376" t="s">
        <v>260</v>
      </c>
      <c r="AD819" s="376" t="s">
        <v>765</v>
      </c>
      <c r="AE819" s="376" t="s">
        <v>793</v>
      </c>
      <c r="AF819" s="376" t="s">
        <v>177</v>
      </c>
      <c r="AG819" s="376" t="s">
        <v>178</v>
      </c>
      <c r="AH819" s="381">
        <v>24.16</v>
      </c>
      <c r="AI819" s="381">
        <v>24144.5</v>
      </c>
      <c r="AJ819" s="376" t="s">
        <v>179</v>
      </c>
      <c r="AK819" s="376" t="s">
        <v>180</v>
      </c>
      <c r="AL819" s="376" t="s">
        <v>181</v>
      </c>
      <c r="AM819" s="376" t="s">
        <v>182</v>
      </c>
      <c r="AN819" s="376" t="s">
        <v>68</v>
      </c>
      <c r="AO819" s="379">
        <v>80</v>
      </c>
      <c r="AP819" s="385">
        <v>1</v>
      </c>
      <c r="AQ819" s="385">
        <v>0.75</v>
      </c>
      <c r="AR819" s="383" t="s">
        <v>183</v>
      </c>
      <c r="AS819" s="387">
        <f t="shared" si="555"/>
        <v>0.75</v>
      </c>
      <c r="AT819">
        <f t="shared" si="556"/>
        <v>1</v>
      </c>
      <c r="AU819" s="387">
        <f>IF(AT819=0,"",IF(AND(AT819=1,M819="F",SUMIF(C2:C1334,C819,AS2:AS1334)&lt;=1),SUMIF(C2:C1334,C819,AS2:AS1334),IF(AND(AT819=1,M819="F",SUMIF(C2:C1334,C819,AS2:AS1334)&gt;1),1,"")))</f>
        <v>1</v>
      </c>
      <c r="AV819" s="387" t="str">
        <f>IF(AT819=0,"",IF(AND(AT819=3,M819="F",SUMIF(C2:C1334,C819,AS2:AS1334)&lt;=1),SUMIF(C2:C1334,C819,AS2:AS1334),IF(AND(AT819=3,M819="F",SUMIF(C2:C1334,C819,AS2:AS1334)&gt;1),1,"")))</f>
        <v/>
      </c>
      <c r="AW819" s="387">
        <f>SUMIF(C2:C1334,C819,O2:O1334)</f>
        <v>3</v>
      </c>
      <c r="AX819" s="387">
        <f>IF(AND(M819="F",AS819&lt;&gt;0),SUMIF(C2:C1334,C819,W2:W1334),0)</f>
        <v>50252.800000000003</v>
      </c>
      <c r="AY819" s="387">
        <f t="shared" si="557"/>
        <v>37689.599999999999</v>
      </c>
      <c r="AZ819" s="387" t="str">
        <f t="shared" si="558"/>
        <v/>
      </c>
      <c r="BA819" s="387">
        <f t="shared" si="559"/>
        <v>0</v>
      </c>
      <c r="BB819" s="387">
        <f t="shared" si="528"/>
        <v>8737.5</v>
      </c>
      <c r="BC819" s="387">
        <f t="shared" si="529"/>
        <v>0</v>
      </c>
      <c r="BD819" s="387">
        <f t="shared" si="530"/>
        <v>2336.7552000000001</v>
      </c>
      <c r="BE819" s="387">
        <f t="shared" si="531"/>
        <v>546.49919999999997</v>
      </c>
      <c r="BF819" s="387">
        <f t="shared" si="532"/>
        <v>4500.1382400000002</v>
      </c>
      <c r="BG819" s="387">
        <f t="shared" si="533"/>
        <v>271.74201599999998</v>
      </c>
      <c r="BH819" s="387">
        <f t="shared" si="534"/>
        <v>184.67903999999999</v>
      </c>
      <c r="BI819" s="387">
        <f t="shared" si="535"/>
        <v>208.61193599999999</v>
      </c>
      <c r="BJ819" s="387">
        <f t="shared" si="536"/>
        <v>101.76192</v>
      </c>
      <c r="BK819" s="387">
        <f t="shared" si="537"/>
        <v>0</v>
      </c>
      <c r="BL819" s="387">
        <f t="shared" si="560"/>
        <v>8150.1875520000003</v>
      </c>
      <c r="BM819" s="387">
        <f t="shared" si="561"/>
        <v>0</v>
      </c>
      <c r="BN819" s="387">
        <f t="shared" si="538"/>
        <v>8737.5</v>
      </c>
      <c r="BO819" s="387">
        <f t="shared" si="539"/>
        <v>0</v>
      </c>
      <c r="BP819" s="387">
        <f t="shared" si="540"/>
        <v>2336.7552000000001</v>
      </c>
      <c r="BQ819" s="387">
        <f t="shared" si="541"/>
        <v>546.49919999999997</v>
      </c>
      <c r="BR819" s="387">
        <f t="shared" si="542"/>
        <v>4500.1382400000002</v>
      </c>
      <c r="BS819" s="387">
        <f t="shared" si="543"/>
        <v>271.74201599999998</v>
      </c>
      <c r="BT819" s="387">
        <f t="shared" si="544"/>
        <v>0</v>
      </c>
      <c r="BU819" s="387">
        <f t="shared" si="545"/>
        <v>208.61193599999999</v>
      </c>
      <c r="BV819" s="387">
        <f t="shared" si="546"/>
        <v>128.14463999999998</v>
      </c>
      <c r="BW819" s="387">
        <f t="shared" si="547"/>
        <v>0</v>
      </c>
      <c r="BX819" s="387">
        <f t="shared" si="562"/>
        <v>7991.8912319999999</v>
      </c>
      <c r="BY819" s="387">
        <f t="shared" si="563"/>
        <v>0</v>
      </c>
      <c r="BZ819" s="387">
        <f t="shared" si="564"/>
        <v>0</v>
      </c>
      <c r="CA819" s="387">
        <f t="shared" si="565"/>
        <v>0</v>
      </c>
      <c r="CB819" s="387">
        <f t="shared" si="566"/>
        <v>0</v>
      </c>
      <c r="CC819" s="387">
        <f t="shared" si="548"/>
        <v>0</v>
      </c>
      <c r="CD819" s="387">
        <f t="shared" si="549"/>
        <v>0</v>
      </c>
      <c r="CE819" s="387">
        <f t="shared" si="550"/>
        <v>0</v>
      </c>
      <c r="CF819" s="387">
        <f t="shared" si="551"/>
        <v>-184.67903999999999</v>
      </c>
      <c r="CG819" s="387">
        <f t="shared" si="552"/>
        <v>0</v>
      </c>
      <c r="CH819" s="387">
        <f t="shared" si="553"/>
        <v>26.382719999999985</v>
      </c>
      <c r="CI819" s="387">
        <f t="shared" si="554"/>
        <v>0</v>
      </c>
      <c r="CJ819" s="387">
        <f t="shared" si="567"/>
        <v>-158.29632000000001</v>
      </c>
      <c r="CK819" s="387" t="str">
        <f t="shared" si="568"/>
        <v/>
      </c>
      <c r="CL819" s="387" t="str">
        <f t="shared" si="569"/>
        <v/>
      </c>
      <c r="CM819" s="387" t="str">
        <f t="shared" si="570"/>
        <v/>
      </c>
      <c r="CN819" s="387" t="str">
        <f t="shared" si="571"/>
        <v>0348-31</v>
      </c>
    </row>
    <row r="820" spans="1:92" ht="15.75" thickBot="1" x14ac:dyDescent="0.3">
      <c r="A820" s="376" t="s">
        <v>161</v>
      </c>
      <c r="B820" s="376" t="s">
        <v>162</v>
      </c>
      <c r="C820" s="376" t="s">
        <v>2004</v>
      </c>
      <c r="D820" s="376" t="s">
        <v>700</v>
      </c>
      <c r="E820" s="376" t="s">
        <v>224</v>
      </c>
      <c r="F820" s="382" t="s">
        <v>225</v>
      </c>
      <c r="G820" s="376" t="s">
        <v>1945</v>
      </c>
      <c r="H820" s="378"/>
      <c r="I820" s="378"/>
      <c r="J820" s="376" t="s">
        <v>215</v>
      </c>
      <c r="K820" s="376" t="s">
        <v>701</v>
      </c>
      <c r="L820" s="376" t="s">
        <v>170</v>
      </c>
      <c r="M820" s="376" t="s">
        <v>171</v>
      </c>
      <c r="N820" s="376" t="s">
        <v>172</v>
      </c>
      <c r="O820" s="379">
        <v>1</v>
      </c>
      <c r="P820" s="385">
        <v>1</v>
      </c>
      <c r="Q820" s="385">
        <v>1</v>
      </c>
      <c r="R820" s="380">
        <v>80</v>
      </c>
      <c r="S820" s="385">
        <v>1</v>
      </c>
      <c r="T820" s="380">
        <v>58676.01</v>
      </c>
      <c r="U820" s="380">
        <v>44.87</v>
      </c>
      <c r="V820" s="380">
        <v>23834.66</v>
      </c>
      <c r="W820" s="380">
        <v>61380.800000000003</v>
      </c>
      <c r="X820" s="380">
        <v>24923.55</v>
      </c>
      <c r="Y820" s="380">
        <v>61380.800000000003</v>
      </c>
      <c r="Z820" s="380">
        <v>24665.759999999998</v>
      </c>
      <c r="AA820" s="376" t="s">
        <v>2005</v>
      </c>
      <c r="AB820" s="376" t="s">
        <v>2006</v>
      </c>
      <c r="AC820" s="376" t="s">
        <v>1825</v>
      </c>
      <c r="AD820" s="376" t="s">
        <v>1692</v>
      </c>
      <c r="AE820" s="376" t="s">
        <v>701</v>
      </c>
      <c r="AF820" s="376" t="s">
        <v>177</v>
      </c>
      <c r="AG820" s="376" t="s">
        <v>178</v>
      </c>
      <c r="AH820" s="381">
        <v>29.51</v>
      </c>
      <c r="AI820" s="381">
        <v>41423.199999999997</v>
      </c>
      <c r="AJ820" s="376" t="s">
        <v>179</v>
      </c>
      <c r="AK820" s="376" t="s">
        <v>180</v>
      </c>
      <c r="AL820" s="376" t="s">
        <v>181</v>
      </c>
      <c r="AM820" s="376" t="s">
        <v>182</v>
      </c>
      <c r="AN820" s="376" t="s">
        <v>68</v>
      </c>
      <c r="AO820" s="379">
        <v>80</v>
      </c>
      <c r="AP820" s="385">
        <v>1</v>
      </c>
      <c r="AQ820" s="385">
        <v>1</v>
      </c>
      <c r="AR820" s="383" t="s">
        <v>183</v>
      </c>
      <c r="AS820" s="387">
        <f t="shared" si="555"/>
        <v>1</v>
      </c>
      <c r="AT820">
        <f t="shared" si="556"/>
        <v>1</v>
      </c>
      <c r="AU820" s="387">
        <f>IF(AT820=0,"",IF(AND(AT820=1,M820="F",SUMIF(C2:C1334,C820,AS2:AS1334)&lt;=1),SUMIF(C2:C1334,C820,AS2:AS1334),IF(AND(AT820=1,M820="F",SUMIF(C2:C1334,C820,AS2:AS1334)&gt;1),1,"")))</f>
        <v>1</v>
      </c>
      <c r="AV820" s="387" t="str">
        <f>IF(AT820=0,"",IF(AND(AT820=3,M820="F",SUMIF(C2:C1334,C820,AS2:AS1334)&lt;=1),SUMIF(C2:C1334,C820,AS2:AS1334),IF(AND(AT820=3,M820="F",SUMIF(C2:C1334,C820,AS2:AS1334)&gt;1),1,"")))</f>
        <v/>
      </c>
      <c r="AW820" s="387">
        <f>SUMIF(C2:C1334,C820,O2:O1334)</f>
        <v>1</v>
      </c>
      <c r="AX820" s="387">
        <f>IF(AND(M820="F",AS820&lt;&gt;0),SUMIF(C2:C1334,C820,W2:W1334),0)</f>
        <v>61380.800000000003</v>
      </c>
      <c r="AY820" s="387">
        <f t="shared" si="557"/>
        <v>61380.800000000003</v>
      </c>
      <c r="AZ820" s="387" t="str">
        <f t="shared" si="558"/>
        <v/>
      </c>
      <c r="BA820" s="387">
        <f t="shared" si="559"/>
        <v>0</v>
      </c>
      <c r="BB820" s="387">
        <f t="shared" si="528"/>
        <v>11650</v>
      </c>
      <c r="BC820" s="387">
        <f t="shared" si="529"/>
        <v>0</v>
      </c>
      <c r="BD820" s="387">
        <f t="shared" si="530"/>
        <v>3805.6096000000002</v>
      </c>
      <c r="BE820" s="387">
        <f t="shared" si="531"/>
        <v>890.02160000000003</v>
      </c>
      <c r="BF820" s="387">
        <f t="shared" si="532"/>
        <v>7328.8675200000007</v>
      </c>
      <c r="BG820" s="387">
        <f t="shared" si="533"/>
        <v>442.55556800000005</v>
      </c>
      <c r="BH820" s="387">
        <f t="shared" si="534"/>
        <v>300.76591999999999</v>
      </c>
      <c r="BI820" s="387">
        <f t="shared" si="535"/>
        <v>339.742728</v>
      </c>
      <c r="BJ820" s="387">
        <f t="shared" si="536"/>
        <v>165.72816</v>
      </c>
      <c r="BK820" s="387">
        <f t="shared" si="537"/>
        <v>0</v>
      </c>
      <c r="BL820" s="387">
        <f t="shared" si="560"/>
        <v>13273.291095999999</v>
      </c>
      <c r="BM820" s="387">
        <f t="shared" si="561"/>
        <v>0</v>
      </c>
      <c r="BN820" s="387">
        <f t="shared" si="538"/>
        <v>11650</v>
      </c>
      <c r="BO820" s="387">
        <f t="shared" si="539"/>
        <v>0</v>
      </c>
      <c r="BP820" s="387">
        <f t="shared" si="540"/>
        <v>3805.6096000000002</v>
      </c>
      <c r="BQ820" s="387">
        <f t="shared" si="541"/>
        <v>890.02160000000003</v>
      </c>
      <c r="BR820" s="387">
        <f t="shared" si="542"/>
        <v>7328.8675200000007</v>
      </c>
      <c r="BS820" s="387">
        <f t="shared" si="543"/>
        <v>442.55556800000005</v>
      </c>
      <c r="BT820" s="387">
        <f t="shared" si="544"/>
        <v>0</v>
      </c>
      <c r="BU820" s="387">
        <f t="shared" si="545"/>
        <v>339.742728</v>
      </c>
      <c r="BV820" s="387">
        <f t="shared" si="546"/>
        <v>208.69471999999999</v>
      </c>
      <c r="BW820" s="387">
        <f t="shared" si="547"/>
        <v>0</v>
      </c>
      <c r="BX820" s="387">
        <f t="shared" si="562"/>
        <v>13015.491735999998</v>
      </c>
      <c r="BY820" s="387">
        <f t="shared" si="563"/>
        <v>0</v>
      </c>
      <c r="BZ820" s="387">
        <f t="shared" si="564"/>
        <v>0</v>
      </c>
      <c r="CA820" s="387">
        <f t="shared" si="565"/>
        <v>0</v>
      </c>
      <c r="CB820" s="387">
        <f t="shared" si="566"/>
        <v>0</v>
      </c>
      <c r="CC820" s="387">
        <f t="shared" si="548"/>
        <v>0</v>
      </c>
      <c r="CD820" s="387">
        <f t="shared" si="549"/>
        <v>0</v>
      </c>
      <c r="CE820" s="387">
        <f t="shared" si="550"/>
        <v>0</v>
      </c>
      <c r="CF820" s="387">
        <f t="shared" si="551"/>
        <v>-300.76591999999999</v>
      </c>
      <c r="CG820" s="387">
        <f t="shared" si="552"/>
        <v>0</v>
      </c>
      <c r="CH820" s="387">
        <f t="shared" si="553"/>
        <v>42.96655999999998</v>
      </c>
      <c r="CI820" s="387">
        <f t="shared" si="554"/>
        <v>0</v>
      </c>
      <c r="CJ820" s="387">
        <f t="shared" si="567"/>
        <v>-257.79936000000004</v>
      </c>
      <c r="CK820" s="387" t="str">
        <f t="shared" si="568"/>
        <v/>
      </c>
      <c r="CL820" s="387" t="str">
        <f t="shared" si="569"/>
        <v/>
      </c>
      <c r="CM820" s="387" t="str">
        <f t="shared" si="570"/>
        <v/>
      </c>
      <c r="CN820" s="387" t="str">
        <f t="shared" si="571"/>
        <v>0348-31</v>
      </c>
    </row>
    <row r="821" spans="1:92" ht="15.75" thickBot="1" x14ac:dyDescent="0.3">
      <c r="A821" s="376" t="s">
        <v>161</v>
      </c>
      <c r="B821" s="376" t="s">
        <v>162</v>
      </c>
      <c r="C821" s="376" t="s">
        <v>2007</v>
      </c>
      <c r="D821" s="376" t="s">
        <v>655</v>
      </c>
      <c r="E821" s="376" t="s">
        <v>224</v>
      </c>
      <c r="F821" s="382" t="s">
        <v>225</v>
      </c>
      <c r="G821" s="376" t="s">
        <v>1945</v>
      </c>
      <c r="H821" s="378"/>
      <c r="I821" s="378"/>
      <c r="J821" s="376" t="s">
        <v>215</v>
      </c>
      <c r="K821" s="376" t="s">
        <v>656</v>
      </c>
      <c r="L821" s="376" t="s">
        <v>210</v>
      </c>
      <c r="M821" s="376" t="s">
        <v>171</v>
      </c>
      <c r="N821" s="376" t="s">
        <v>172</v>
      </c>
      <c r="O821" s="379">
        <v>1</v>
      </c>
      <c r="P821" s="385">
        <v>1</v>
      </c>
      <c r="Q821" s="385">
        <v>1</v>
      </c>
      <c r="R821" s="380">
        <v>80</v>
      </c>
      <c r="S821" s="385">
        <v>1</v>
      </c>
      <c r="T821" s="380">
        <v>57394.400000000001</v>
      </c>
      <c r="U821" s="380">
        <v>0</v>
      </c>
      <c r="V821" s="380">
        <v>23532.82</v>
      </c>
      <c r="W821" s="380">
        <v>60798.400000000001</v>
      </c>
      <c r="X821" s="380">
        <v>24797.62</v>
      </c>
      <c r="Y821" s="380">
        <v>60798.400000000001</v>
      </c>
      <c r="Z821" s="380">
        <v>24542.27</v>
      </c>
      <c r="AA821" s="376" t="s">
        <v>2008</v>
      </c>
      <c r="AB821" s="376" t="s">
        <v>2009</v>
      </c>
      <c r="AC821" s="376" t="s">
        <v>2010</v>
      </c>
      <c r="AD821" s="376" t="s">
        <v>2011</v>
      </c>
      <c r="AE821" s="376" t="s">
        <v>656</v>
      </c>
      <c r="AF821" s="376" t="s">
        <v>245</v>
      </c>
      <c r="AG821" s="376" t="s">
        <v>178</v>
      </c>
      <c r="AH821" s="381">
        <v>29.23</v>
      </c>
      <c r="AI821" s="381">
        <v>13292.5</v>
      </c>
      <c r="AJ821" s="376" t="s">
        <v>179</v>
      </c>
      <c r="AK821" s="376" t="s">
        <v>180</v>
      </c>
      <c r="AL821" s="376" t="s">
        <v>181</v>
      </c>
      <c r="AM821" s="376" t="s">
        <v>182</v>
      </c>
      <c r="AN821" s="376" t="s">
        <v>68</v>
      </c>
      <c r="AO821" s="379">
        <v>80</v>
      </c>
      <c r="AP821" s="385">
        <v>1</v>
      </c>
      <c r="AQ821" s="385">
        <v>1</v>
      </c>
      <c r="AR821" s="383" t="s">
        <v>183</v>
      </c>
      <c r="AS821" s="387">
        <f t="shared" si="555"/>
        <v>1</v>
      </c>
      <c r="AT821">
        <f t="shared" si="556"/>
        <v>1</v>
      </c>
      <c r="AU821" s="387">
        <f>IF(AT821=0,"",IF(AND(AT821=1,M821="F",SUMIF(C2:C1334,C821,AS2:AS1334)&lt;=1),SUMIF(C2:C1334,C821,AS2:AS1334),IF(AND(AT821=1,M821="F",SUMIF(C2:C1334,C821,AS2:AS1334)&gt;1),1,"")))</f>
        <v>1</v>
      </c>
      <c r="AV821" s="387" t="str">
        <f>IF(AT821=0,"",IF(AND(AT821=3,M821="F",SUMIF(C2:C1334,C821,AS2:AS1334)&lt;=1),SUMIF(C2:C1334,C821,AS2:AS1334),IF(AND(AT821=3,M821="F",SUMIF(C2:C1334,C821,AS2:AS1334)&gt;1),1,"")))</f>
        <v/>
      </c>
      <c r="AW821" s="387">
        <f>SUMIF(C2:C1334,C821,O2:O1334)</f>
        <v>1</v>
      </c>
      <c r="AX821" s="387">
        <f>IF(AND(M821="F",AS821&lt;&gt;0),SUMIF(C2:C1334,C821,W2:W1334),0)</f>
        <v>60798.400000000001</v>
      </c>
      <c r="AY821" s="387">
        <f t="shared" si="557"/>
        <v>60798.400000000001</v>
      </c>
      <c r="AZ821" s="387" t="str">
        <f t="shared" si="558"/>
        <v/>
      </c>
      <c r="BA821" s="387">
        <f t="shared" si="559"/>
        <v>0</v>
      </c>
      <c r="BB821" s="387">
        <f t="shared" si="528"/>
        <v>11650</v>
      </c>
      <c r="BC821" s="387">
        <f t="shared" si="529"/>
        <v>0</v>
      </c>
      <c r="BD821" s="387">
        <f t="shared" si="530"/>
        <v>3769.5008000000003</v>
      </c>
      <c r="BE821" s="387">
        <f t="shared" si="531"/>
        <v>881.57680000000005</v>
      </c>
      <c r="BF821" s="387">
        <f t="shared" si="532"/>
        <v>7259.3289600000007</v>
      </c>
      <c r="BG821" s="387">
        <f t="shared" si="533"/>
        <v>438.35646400000002</v>
      </c>
      <c r="BH821" s="387">
        <f t="shared" si="534"/>
        <v>297.91215999999997</v>
      </c>
      <c r="BI821" s="387">
        <f t="shared" si="535"/>
        <v>336.51914399999998</v>
      </c>
      <c r="BJ821" s="387">
        <f t="shared" si="536"/>
        <v>164.15568000000002</v>
      </c>
      <c r="BK821" s="387">
        <f t="shared" si="537"/>
        <v>0</v>
      </c>
      <c r="BL821" s="387">
        <f t="shared" si="560"/>
        <v>13147.350008000001</v>
      </c>
      <c r="BM821" s="387">
        <f t="shared" si="561"/>
        <v>0</v>
      </c>
      <c r="BN821" s="387">
        <f t="shared" si="538"/>
        <v>11650</v>
      </c>
      <c r="BO821" s="387">
        <f t="shared" si="539"/>
        <v>0</v>
      </c>
      <c r="BP821" s="387">
        <f t="shared" si="540"/>
        <v>3769.5008000000003</v>
      </c>
      <c r="BQ821" s="387">
        <f t="shared" si="541"/>
        <v>881.57680000000005</v>
      </c>
      <c r="BR821" s="387">
        <f t="shared" si="542"/>
        <v>7259.3289600000007</v>
      </c>
      <c r="BS821" s="387">
        <f t="shared" si="543"/>
        <v>438.35646400000002</v>
      </c>
      <c r="BT821" s="387">
        <f t="shared" si="544"/>
        <v>0</v>
      </c>
      <c r="BU821" s="387">
        <f t="shared" si="545"/>
        <v>336.51914399999998</v>
      </c>
      <c r="BV821" s="387">
        <f t="shared" si="546"/>
        <v>206.71456000000001</v>
      </c>
      <c r="BW821" s="387">
        <f t="shared" si="547"/>
        <v>0</v>
      </c>
      <c r="BX821" s="387">
        <f t="shared" si="562"/>
        <v>12891.996728000002</v>
      </c>
      <c r="BY821" s="387">
        <f t="shared" si="563"/>
        <v>0</v>
      </c>
      <c r="BZ821" s="387">
        <f t="shared" si="564"/>
        <v>0</v>
      </c>
      <c r="CA821" s="387">
        <f t="shared" si="565"/>
        <v>0</v>
      </c>
      <c r="CB821" s="387">
        <f t="shared" si="566"/>
        <v>0</v>
      </c>
      <c r="CC821" s="387">
        <f t="shared" si="548"/>
        <v>0</v>
      </c>
      <c r="CD821" s="387">
        <f t="shared" si="549"/>
        <v>0</v>
      </c>
      <c r="CE821" s="387">
        <f t="shared" si="550"/>
        <v>0</v>
      </c>
      <c r="CF821" s="387">
        <f t="shared" si="551"/>
        <v>-297.91215999999997</v>
      </c>
      <c r="CG821" s="387">
        <f t="shared" si="552"/>
        <v>0</v>
      </c>
      <c r="CH821" s="387">
        <f t="shared" si="553"/>
        <v>42.558879999999981</v>
      </c>
      <c r="CI821" s="387">
        <f t="shared" si="554"/>
        <v>0</v>
      </c>
      <c r="CJ821" s="387">
        <f t="shared" si="567"/>
        <v>-255.35327999999998</v>
      </c>
      <c r="CK821" s="387" t="str">
        <f t="shared" si="568"/>
        <v/>
      </c>
      <c r="CL821" s="387" t="str">
        <f t="shared" si="569"/>
        <v/>
      </c>
      <c r="CM821" s="387" t="str">
        <f t="shared" si="570"/>
        <v/>
      </c>
      <c r="CN821" s="387" t="str">
        <f t="shared" si="571"/>
        <v>0348-31</v>
      </c>
    </row>
    <row r="822" spans="1:92" ht="15.75" thickBot="1" x14ac:dyDescent="0.3">
      <c r="A822" s="376" t="s">
        <v>161</v>
      </c>
      <c r="B822" s="376" t="s">
        <v>162</v>
      </c>
      <c r="C822" s="376" t="s">
        <v>1946</v>
      </c>
      <c r="D822" s="376" t="s">
        <v>368</v>
      </c>
      <c r="E822" s="376" t="s">
        <v>224</v>
      </c>
      <c r="F822" s="382" t="s">
        <v>225</v>
      </c>
      <c r="G822" s="376" t="s">
        <v>1945</v>
      </c>
      <c r="H822" s="378"/>
      <c r="I822" s="378"/>
      <c r="J822" s="376" t="s">
        <v>239</v>
      </c>
      <c r="K822" s="376" t="s">
        <v>382</v>
      </c>
      <c r="L822" s="376" t="s">
        <v>296</v>
      </c>
      <c r="M822" s="376" t="s">
        <v>566</v>
      </c>
      <c r="N822" s="376" t="s">
        <v>172</v>
      </c>
      <c r="O822" s="379">
        <v>0</v>
      </c>
      <c r="P822" s="385">
        <v>0</v>
      </c>
      <c r="Q822" s="385">
        <v>0</v>
      </c>
      <c r="R822" s="380">
        <v>80</v>
      </c>
      <c r="S822" s="385">
        <v>0</v>
      </c>
      <c r="T822" s="380">
        <v>13923.07</v>
      </c>
      <c r="U822" s="380">
        <v>4157.3500000000004</v>
      </c>
      <c r="V822" s="380">
        <v>5199.88</v>
      </c>
      <c r="W822" s="380">
        <v>0</v>
      </c>
      <c r="X822" s="380">
        <v>0</v>
      </c>
      <c r="Y822" s="380">
        <v>0</v>
      </c>
      <c r="Z822" s="380">
        <v>0</v>
      </c>
      <c r="AA822" s="378"/>
      <c r="AB822" s="376" t="s">
        <v>45</v>
      </c>
      <c r="AC822" s="376" t="s">
        <v>45</v>
      </c>
      <c r="AD822" s="378"/>
      <c r="AE822" s="378"/>
      <c r="AF822" s="378"/>
      <c r="AG822" s="378"/>
      <c r="AH822" s="379">
        <v>0</v>
      </c>
      <c r="AI822" s="379">
        <v>0</v>
      </c>
      <c r="AJ822" s="378"/>
      <c r="AK822" s="378"/>
      <c r="AL822" s="376" t="s">
        <v>181</v>
      </c>
      <c r="AM822" s="378"/>
      <c r="AN822" s="378"/>
      <c r="AO822" s="379">
        <v>0</v>
      </c>
      <c r="AP822" s="385">
        <v>0</v>
      </c>
      <c r="AQ822" s="385">
        <v>0</v>
      </c>
      <c r="AR822" s="384"/>
      <c r="AS822" s="387">
        <f t="shared" si="555"/>
        <v>0</v>
      </c>
      <c r="AT822">
        <f t="shared" si="556"/>
        <v>0</v>
      </c>
      <c r="AU822" s="387" t="str">
        <f>IF(AT822=0,"",IF(AND(AT822=1,M822="F",SUMIF(C2:C1334,C822,AS2:AS1334)&lt;=1),SUMIF(C2:C1334,C822,AS2:AS1334),IF(AND(AT822=1,M822="F",SUMIF(C2:C1334,C822,AS2:AS1334)&gt;1),1,"")))</f>
        <v/>
      </c>
      <c r="AV822" s="387" t="str">
        <f>IF(AT822=0,"",IF(AND(AT822=3,M822="F",SUMIF(C2:C1334,C822,AS2:AS1334)&lt;=1),SUMIF(C2:C1334,C822,AS2:AS1334),IF(AND(AT822=3,M822="F",SUMIF(C2:C1334,C822,AS2:AS1334)&gt;1),1,"")))</f>
        <v/>
      </c>
      <c r="AW822" s="387">
        <f>SUMIF(C2:C1334,C822,O2:O1334)</f>
        <v>0</v>
      </c>
      <c r="AX822" s="387">
        <f>IF(AND(M822="F",AS822&lt;&gt;0),SUMIF(C2:C1334,C822,W2:W1334),0)</f>
        <v>0</v>
      </c>
      <c r="AY822" s="387" t="str">
        <f t="shared" si="557"/>
        <v/>
      </c>
      <c r="AZ822" s="387" t="str">
        <f t="shared" si="558"/>
        <v/>
      </c>
      <c r="BA822" s="387">
        <f t="shared" si="559"/>
        <v>0</v>
      </c>
      <c r="BB822" s="387">
        <f t="shared" si="528"/>
        <v>0</v>
      </c>
      <c r="BC822" s="387">
        <f t="shared" si="529"/>
        <v>0</v>
      </c>
      <c r="BD822" s="387">
        <f t="shared" si="530"/>
        <v>0</v>
      </c>
      <c r="BE822" s="387">
        <f t="shared" si="531"/>
        <v>0</v>
      </c>
      <c r="BF822" s="387">
        <f t="shared" si="532"/>
        <v>0</v>
      </c>
      <c r="BG822" s="387">
        <f t="shared" si="533"/>
        <v>0</v>
      </c>
      <c r="BH822" s="387">
        <f t="shared" si="534"/>
        <v>0</v>
      </c>
      <c r="BI822" s="387">
        <f t="shared" si="535"/>
        <v>0</v>
      </c>
      <c r="BJ822" s="387">
        <f t="shared" si="536"/>
        <v>0</v>
      </c>
      <c r="BK822" s="387">
        <f t="shared" si="537"/>
        <v>0</v>
      </c>
      <c r="BL822" s="387">
        <f t="shared" si="560"/>
        <v>0</v>
      </c>
      <c r="BM822" s="387">
        <f t="shared" si="561"/>
        <v>0</v>
      </c>
      <c r="BN822" s="387">
        <f t="shared" si="538"/>
        <v>0</v>
      </c>
      <c r="BO822" s="387">
        <f t="shared" si="539"/>
        <v>0</v>
      </c>
      <c r="BP822" s="387">
        <f t="shared" si="540"/>
        <v>0</v>
      </c>
      <c r="BQ822" s="387">
        <f t="shared" si="541"/>
        <v>0</v>
      </c>
      <c r="BR822" s="387">
        <f t="shared" si="542"/>
        <v>0</v>
      </c>
      <c r="BS822" s="387">
        <f t="shared" si="543"/>
        <v>0</v>
      </c>
      <c r="BT822" s="387">
        <f t="shared" si="544"/>
        <v>0</v>
      </c>
      <c r="BU822" s="387">
        <f t="shared" si="545"/>
        <v>0</v>
      </c>
      <c r="BV822" s="387">
        <f t="shared" si="546"/>
        <v>0</v>
      </c>
      <c r="BW822" s="387">
        <f t="shared" si="547"/>
        <v>0</v>
      </c>
      <c r="BX822" s="387">
        <f t="shared" si="562"/>
        <v>0</v>
      </c>
      <c r="BY822" s="387">
        <f t="shared" si="563"/>
        <v>0</v>
      </c>
      <c r="BZ822" s="387">
        <f t="shared" si="564"/>
        <v>0</v>
      </c>
      <c r="CA822" s="387">
        <f t="shared" si="565"/>
        <v>0</v>
      </c>
      <c r="CB822" s="387">
        <f t="shared" si="566"/>
        <v>0</v>
      </c>
      <c r="CC822" s="387">
        <f t="shared" si="548"/>
        <v>0</v>
      </c>
      <c r="CD822" s="387">
        <f t="shared" si="549"/>
        <v>0</v>
      </c>
      <c r="CE822" s="387">
        <f t="shared" si="550"/>
        <v>0</v>
      </c>
      <c r="CF822" s="387">
        <f t="shared" si="551"/>
        <v>0</v>
      </c>
      <c r="CG822" s="387">
        <f t="shared" si="552"/>
        <v>0</v>
      </c>
      <c r="CH822" s="387">
        <f t="shared" si="553"/>
        <v>0</v>
      </c>
      <c r="CI822" s="387">
        <f t="shared" si="554"/>
        <v>0</v>
      </c>
      <c r="CJ822" s="387">
        <f t="shared" si="567"/>
        <v>0</v>
      </c>
      <c r="CK822" s="387" t="str">
        <f t="shared" si="568"/>
        <v/>
      </c>
      <c r="CL822" s="387" t="str">
        <f t="shared" si="569"/>
        <v/>
      </c>
      <c r="CM822" s="387" t="str">
        <f t="shared" si="570"/>
        <v/>
      </c>
      <c r="CN822" s="387" t="str">
        <f t="shared" si="571"/>
        <v>0348-31</v>
      </c>
    </row>
    <row r="823" spans="1:92" ht="15.75" thickBot="1" x14ac:dyDescent="0.3">
      <c r="A823" s="376" t="s">
        <v>161</v>
      </c>
      <c r="B823" s="376" t="s">
        <v>162</v>
      </c>
      <c r="C823" s="376" t="s">
        <v>2012</v>
      </c>
      <c r="D823" s="376" t="s">
        <v>247</v>
      </c>
      <c r="E823" s="376" t="s">
        <v>224</v>
      </c>
      <c r="F823" s="382" t="s">
        <v>225</v>
      </c>
      <c r="G823" s="376" t="s">
        <v>1945</v>
      </c>
      <c r="H823" s="378"/>
      <c r="I823" s="378"/>
      <c r="J823" s="376" t="s">
        <v>215</v>
      </c>
      <c r="K823" s="376" t="s">
        <v>248</v>
      </c>
      <c r="L823" s="376" t="s">
        <v>178</v>
      </c>
      <c r="M823" s="376" t="s">
        <v>171</v>
      </c>
      <c r="N823" s="376" t="s">
        <v>172</v>
      </c>
      <c r="O823" s="379">
        <v>1</v>
      </c>
      <c r="P823" s="385">
        <v>1</v>
      </c>
      <c r="Q823" s="385">
        <v>1</v>
      </c>
      <c r="R823" s="380">
        <v>80</v>
      </c>
      <c r="S823" s="385">
        <v>1</v>
      </c>
      <c r="T823" s="380">
        <v>24993.88</v>
      </c>
      <c r="U823" s="380">
        <v>401.38</v>
      </c>
      <c r="V823" s="380">
        <v>16460.21</v>
      </c>
      <c r="W823" s="380">
        <v>29224</v>
      </c>
      <c r="X823" s="380">
        <v>17969.650000000001</v>
      </c>
      <c r="Y823" s="380">
        <v>29224</v>
      </c>
      <c r="Z823" s="380">
        <v>17846.919999999998</v>
      </c>
      <c r="AA823" s="376" t="s">
        <v>2013</v>
      </c>
      <c r="AB823" s="376" t="s">
        <v>2014</v>
      </c>
      <c r="AC823" s="376" t="s">
        <v>1242</v>
      </c>
      <c r="AD823" s="376" t="s">
        <v>402</v>
      </c>
      <c r="AE823" s="376" t="s">
        <v>248</v>
      </c>
      <c r="AF823" s="376" t="s">
        <v>253</v>
      </c>
      <c r="AG823" s="376" t="s">
        <v>178</v>
      </c>
      <c r="AH823" s="381">
        <v>14.05</v>
      </c>
      <c r="AI823" s="379">
        <v>1800</v>
      </c>
      <c r="AJ823" s="376" t="s">
        <v>179</v>
      </c>
      <c r="AK823" s="376" t="s">
        <v>180</v>
      </c>
      <c r="AL823" s="376" t="s">
        <v>181</v>
      </c>
      <c r="AM823" s="376" t="s">
        <v>182</v>
      </c>
      <c r="AN823" s="376" t="s">
        <v>68</v>
      </c>
      <c r="AO823" s="379">
        <v>80</v>
      </c>
      <c r="AP823" s="385">
        <v>1</v>
      </c>
      <c r="AQ823" s="385">
        <v>1</v>
      </c>
      <c r="AR823" s="383" t="s">
        <v>183</v>
      </c>
      <c r="AS823" s="387">
        <f t="shared" si="555"/>
        <v>1</v>
      </c>
      <c r="AT823">
        <f t="shared" si="556"/>
        <v>1</v>
      </c>
      <c r="AU823" s="387">
        <f>IF(AT823=0,"",IF(AND(AT823=1,M823="F",SUMIF(C2:C1334,C823,AS2:AS1334)&lt;=1),SUMIF(C2:C1334,C823,AS2:AS1334),IF(AND(AT823=1,M823="F",SUMIF(C2:C1334,C823,AS2:AS1334)&gt;1),1,"")))</f>
        <v>1</v>
      </c>
      <c r="AV823" s="387" t="str">
        <f>IF(AT823=0,"",IF(AND(AT823=3,M823="F",SUMIF(C2:C1334,C823,AS2:AS1334)&lt;=1),SUMIF(C2:C1334,C823,AS2:AS1334),IF(AND(AT823=3,M823="F",SUMIF(C2:C1334,C823,AS2:AS1334)&gt;1),1,"")))</f>
        <v/>
      </c>
      <c r="AW823" s="387">
        <f>SUMIF(C2:C1334,C823,O2:O1334)</f>
        <v>1</v>
      </c>
      <c r="AX823" s="387">
        <f>IF(AND(M823="F",AS823&lt;&gt;0),SUMIF(C2:C1334,C823,W2:W1334),0)</f>
        <v>29224</v>
      </c>
      <c r="AY823" s="387">
        <f t="shared" si="557"/>
        <v>29224</v>
      </c>
      <c r="AZ823" s="387" t="str">
        <f t="shared" si="558"/>
        <v/>
      </c>
      <c r="BA823" s="387">
        <f t="shared" si="559"/>
        <v>0</v>
      </c>
      <c r="BB823" s="387">
        <f t="shared" si="528"/>
        <v>11650</v>
      </c>
      <c r="BC823" s="387">
        <f t="shared" si="529"/>
        <v>0</v>
      </c>
      <c r="BD823" s="387">
        <f t="shared" si="530"/>
        <v>1811.8879999999999</v>
      </c>
      <c r="BE823" s="387">
        <f t="shared" si="531"/>
        <v>423.74800000000005</v>
      </c>
      <c r="BF823" s="387">
        <f t="shared" si="532"/>
        <v>3489.3456000000001</v>
      </c>
      <c r="BG823" s="387">
        <f t="shared" si="533"/>
        <v>210.70504</v>
      </c>
      <c r="BH823" s="387">
        <f t="shared" si="534"/>
        <v>143.19759999999999</v>
      </c>
      <c r="BI823" s="387">
        <f t="shared" si="535"/>
        <v>161.75484</v>
      </c>
      <c r="BJ823" s="387">
        <f t="shared" si="536"/>
        <v>78.904800000000009</v>
      </c>
      <c r="BK823" s="387">
        <f t="shared" si="537"/>
        <v>0</v>
      </c>
      <c r="BL823" s="387">
        <f t="shared" si="560"/>
        <v>6319.5438800000002</v>
      </c>
      <c r="BM823" s="387">
        <f t="shared" si="561"/>
        <v>0</v>
      </c>
      <c r="BN823" s="387">
        <f t="shared" si="538"/>
        <v>11650</v>
      </c>
      <c r="BO823" s="387">
        <f t="shared" si="539"/>
        <v>0</v>
      </c>
      <c r="BP823" s="387">
        <f t="shared" si="540"/>
        <v>1811.8879999999999</v>
      </c>
      <c r="BQ823" s="387">
        <f t="shared" si="541"/>
        <v>423.74800000000005</v>
      </c>
      <c r="BR823" s="387">
        <f t="shared" si="542"/>
        <v>3489.3456000000001</v>
      </c>
      <c r="BS823" s="387">
        <f t="shared" si="543"/>
        <v>210.70504</v>
      </c>
      <c r="BT823" s="387">
        <f t="shared" si="544"/>
        <v>0</v>
      </c>
      <c r="BU823" s="387">
        <f t="shared" si="545"/>
        <v>161.75484</v>
      </c>
      <c r="BV823" s="387">
        <f t="shared" si="546"/>
        <v>99.361599999999996</v>
      </c>
      <c r="BW823" s="387">
        <f t="shared" si="547"/>
        <v>0</v>
      </c>
      <c r="BX823" s="387">
        <f t="shared" si="562"/>
        <v>6196.8030799999997</v>
      </c>
      <c r="BY823" s="387">
        <f t="shared" si="563"/>
        <v>0</v>
      </c>
      <c r="BZ823" s="387">
        <f t="shared" si="564"/>
        <v>0</v>
      </c>
      <c r="CA823" s="387">
        <f t="shared" si="565"/>
        <v>0</v>
      </c>
      <c r="CB823" s="387">
        <f t="shared" si="566"/>
        <v>0</v>
      </c>
      <c r="CC823" s="387">
        <f t="shared" si="548"/>
        <v>0</v>
      </c>
      <c r="CD823" s="387">
        <f t="shared" si="549"/>
        <v>0</v>
      </c>
      <c r="CE823" s="387">
        <f t="shared" si="550"/>
        <v>0</v>
      </c>
      <c r="CF823" s="387">
        <f t="shared" si="551"/>
        <v>-143.19759999999999</v>
      </c>
      <c r="CG823" s="387">
        <f t="shared" si="552"/>
        <v>0</v>
      </c>
      <c r="CH823" s="387">
        <f t="shared" si="553"/>
        <v>20.456799999999991</v>
      </c>
      <c r="CI823" s="387">
        <f t="shared" si="554"/>
        <v>0</v>
      </c>
      <c r="CJ823" s="387">
        <f t="shared" si="567"/>
        <v>-122.74080000000001</v>
      </c>
      <c r="CK823" s="387" t="str">
        <f t="shared" si="568"/>
        <v/>
      </c>
      <c r="CL823" s="387" t="str">
        <f t="shared" si="569"/>
        <v/>
      </c>
      <c r="CM823" s="387" t="str">
        <f t="shared" si="570"/>
        <v/>
      </c>
      <c r="CN823" s="387" t="str">
        <f t="shared" si="571"/>
        <v>0348-31</v>
      </c>
    </row>
    <row r="824" spans="1:92" ht="15.75" thickBot="1" x14ac:dyDescent="0.3">
      <c r="A824" s="376" t="s">
        <v>161</v>
      </c>
      <c r="B824" s="376" t="s">
        <v>162</v>
      </c>
      <c r="C824" s="376" t="s">
        <v>2015</v>
      </c>
      <c r="D824" s="376" t="s">
        <v>862</v>
      </c>
      <c r="E824" s="376" t="s">
        <v>224</v>
      </c>
      <c r="F824" s="382" t="s">
        <v>225</v>
      </c>
      <c r="G824" s="376" t="s">
        <v>1945</v>
      </c>
      <c r="H824" s="378"/>
      <c r="I824" s="378"/>
      <c r="J824" s="376" t="s">
        <v>215</v>
      </c>
      <c r="K824" s="376" t="s">
        <v>863</v>
      </c>
      <c r="L824" s="376" t="s">
        <v>252</v>
      </c>
      <c r="M824" s="376" t="s">
        <v>171</v>
      </c>
      <c r="N824" s="376" t="s">
        <v>172</v>
      </c>
      <c r="O824" s="379">
        <v>1</v>
      </c>
      <c r="P824" s="385">
        <v>1</v>
      </c>
      <c r="Q824" s="385">
        <v>1</v>
      </c>
      <c r="R824" s="380">
        <v>80</v>
      </c>
      <c r="S824" s="385">
        <v>1</v>
      </c>
      <c r="T824" s="380">
        <v>36933.82</v>
      </c>
      <c r="U824" s="380">
        <v>3476.98</v>
      </c>
      <c r="V824" s="380">
        <v>19928.36</v>
      </c>
      <c r="W824" s="380">
        <v>39208</v>
      </c>
      <c r="X824" s="380">
        <v>20128.689999999999</v>
      </c>
      <c r="Y824" s="380">
        <v>39208</v>
      </c>
      <c r="Z824" s="380">
        <v>19964.02</v>
      </c>
      <c r="AA824" s="376" t="s">
        <v>2016</v>
      </c>
      <c r="AB824" s="376" t="s">
        <v>2017</v>
      </c>
      <c r="AC824" s="376" t="s">
        <v>2018</v>
      </c>
      <c r="AD824" s="376" t="s">
        <v>324</v>
      </c>
      <c r="AE824" s="376" t="s">
        <v>863</v>
      </c>
      <c r="AF824" s="376" t="s">
        <v>393</v>
      </c>
      <c r="AG824" s="376" t="s">
        <v>178</v>
      </c>
      <c r="AH824" s="381">
        <v>18.850000000000001</v>
      </c>
      <c r="AI824" s="379">
        <v>3099</v>
      </c>
      <c r="AJ824" s="376" t="s">
        <v>179</v>
      </c>
      <c r="AK824" s="376" t="s">
        <v>180</v>
      </c>
      <c r="AL824" s="376" t="s">
        <v>181</v>
      </c>
      <c r="AM824" s="376" t="s">
        <v>182</v>
      </c>
      <c r="AN824" s="376" t="s">
        <v>68</v>
      </c>
      <c r="AO824" s="379">
        <v>80</v>
      </c>
      <c r="AP824" s="385">
        <v>1</v>
      </c>
      <c r="AQ824" s="385">
        <v>1</v>
      </c>
      <c r="AR824" s="383" t="s">
        <v>183</v>
      </c>
      <c r="AS824" s="387">
        <f t="shared" si="555"/>
        <v>1</v>
      </c>
      <c r="AT824">
        <f t="shared" si="556"/>
        <v>1</v>
      </c>
      <c r="AU824" s="387">
        <f>IF(AT824=0,"",IF(AND(AT824=1,M824="F",SUMIF(C2:C1334,C824,AS2:AS1334)&lt;=1),SUMIF(C2:C1334,C824,AS2:AS1334),IF(AND(AT824=1,M824="F",SUMIF(C2:C1334,C824,AS2:AS1334)&gt;1),1,"")))</f>
        <v>1</v>
      </c>
      <c r="AV824" s="387" t="str">
        <f>IF(AT824=0,"",IF(AND(AT824=3,M824="F",SUMIF(C2:C1334,C824,AS2:AS1334)&lt;=1),SUMIF(C2:C1334,C824,AS2:AS1334),IF(AND(AT824=3,M824="F",SUMIF(C2:C1334,C824,AS2:AS1334)&gt;1),1,"")))</f>
        <v/>
      </c>
      <c r="AW824" s="387">
        <f>SUMIF(C2:C1334,C824,O2:O1334)</f>
        <v>1</v>
      </c>
      <c r="AX824" s="387">
        <f>IF(AND(M824="F",AS824&lt;&gt;0),SUMIF(C2:C1334,C824,W2:W1334),0)</f>
        <v>39208</v>
      </c>
      <c r="AY824" s="387">
        <f t="shared" si="557"/>
        <v>39208</v>
      </c>
      <c r="AZ824" s="387" t="str">
        <f t="shared" si="558"/>
        <v/>
      </c>
      <c r="BA824" s="387">
        <f t="shared" si="559"/>
        <v>0</v>
      </c>
      <c r="BB824" s="387">
        <f t="shared" si="528"/>
        <v>11650</v>
      </c>
      <c r="BC824" s="387">
        <f t="shared" si="529"/>
        <v>0</v>
      </c>
      <c r="BD824" s="387">
        <f t="shared" si="530"/>
        <v>2430.8960000000002</v>
      </c>
      <c r="BE824" s="387">
        <f t="shared" si="531"/>
        <v>568.51600000000008</v>
      </c>
      <c r="BF824" s="387">
        <f t="shared" si="532"/>
        <v>4681.4351999999999</v>
      </c>
      <c r="BG824" s="387">
        <f t="shared" si="533"/>
        <v>282.68968000000001</v>
      </c>
      <c r="BH824" s="387">
        <f t="shared" si="534"/>
        <v>192.11920000000001</v>
      </c>
      <c r="BI824" s="387">
        <f t="shared" si="535"/>
        <v>217.01627999999999</v>
      </c>
      <c r="BJ824" s="387">
        <f t="shared" si="536"/>
        <v>105.86160000000001</v>
      </c>
      <c r="BK824" s="387">
        <f t="shared" si="537"/>
        <v>0</v>
      </c>
      <c r="BL824" s="387">
        <f t="shared" si="560"/>
        <v>8478.5339600000007</v>
      </c>
      <c r="BM824" s="387">
        <f t="shared" si="561"/>
        <v>0</v>
      </c>
      <c r="BN824" s="387">
        <f t="shared" si="538"/>
        <v>11650</v>
      </c>
      <c r="BO824" s="387">
        <f t="shared" si="539"/>
        <v>0</v>
      </c>
      <c r="BP824" s="387">
        <f t="shared" si="540"/>
        <v>2430.8960000000002</v>
      </c>
      <c r="BQ824" s="387">
        <f t="shared" si="541"/>
        <v>568.51600000000008</v>
      </c>
      <c r="BR824" s="387">
        <f t="shared" si="542"/>
        <v>4681.4351999999999</v>
      </c>
      <c r="BS824" s="387">
        <f t="shared" si="543"/>
        <v>282.68968000000001</v>
      </c>
      <c r="BT824" s="387">
        <f t="shared" si="544"/>
        <v>0</v>
      </c>
      <c r="BU824" s="387">
        <f t="shared" si="545"/>
        <v>217.01627999999999</v>
      </c>
      <c r="BV824" s="387">
        <f t="shared" si="546"/>
        <v>133.30719999999999</v>
      </c>
      <c r="BW824" s="387">
        <f t="shared" si="547"/>
        <v>0</v>
      </c>
      <c r="BX824" s="387">
        <f t="shared" si="562"/>
        <v>8313.8603600000006</v>
      </c>
      <c r="BY824" s="387">
        <f t="shared" si="563"/>
        <v>0</v>
      </c>
      <c r="BZ824" s="387">
        <f t="shared" si="564"/>
        <v>0</v>
      </c>
      <c r="CA824" s="387">
        <f t="shared" si="565"/>
        <v>0</v>
      </c>
      <c r="CB824" s="387">
        <f t="shared" si="566"/>
        <v>0</v>
      </c>
      <c r="CC824" s="387">
        <f t="shared" si="548"/>
        <v>0</v>
      </c>
      <c r="CD824" s="387">
        <f t="shared" si="549"/>
        <v>0</v>
      </c>
      <c r="CE824" s="387">
        <f t="shared" si="550"/>
        <v>0</v>
      </c>
      <c r="CF824" s="387">
        <f t="shared" si="551"/>
        <v>-192.11920000000001</v>
      </c>
      <c r="CG824" s="387">
        <f t="shared" si="552"/>
        <v>0</v>
      </c>
      <c r="CH824" s="387">
        <f t="shared" si="553"/>
        <v>27.445599999999988</v>
      </c>
      <c r="CI824" s="387">
        <f t="shared" si="554"/>
        <v>0</v>
      </c>
      <c r="CJ824" s="387">
        <f t="shared" si="567"/>
        <v>-164.67360000000002</v>
      </c>
      <c r="CK824" s="387" t="str">
        <f t="shared" si="568"/>
        <v/>
      </c>
      <c r="CL824" s="387" t="str">
        <f t="shared" si="569"/>
        <v/>
      </c>
      <c r="CM824" s="387" t="str">
        <f t="shared" si="570"/>
        <v/>
      </c>
      <c r="CN824" s="387" t="str">
        <f t="shared" si="571"/>
        <v>0348-31</v>
      </c>
    </row>
    <row r="825" spans="1:92" ht="15.75" thickBot="1" x14ac:dyDescent="0.3">
      <c r="A825" s="376" t="s">
        <v>161</v>
      </c>
      <c r="B825" s="376" t="s">
        <v>162</v>
      </c>
      <c r="C825" s="376" t="s">
        <v>1163</v>
      </c>
      <c r="D825" s="376" t="s">
        <v>862</v>
      </c>
      <c r="E825" s="376" t="s">
        <v>224</v>
      </c>
      <c r="F825" s="382" t="s">
        <v>225</v>
      </c>
      <c r="G825" s="376" t="s">
        <v>1945</v>
      </c>
      <c r="H825" s="378"/>
      <c r="I825" s="378"/>
      <c r="J825" s="376" t="s">
        <v>215</v>
      </c>
      <c r="K825" s="376" t="s">
        <v>863</v>
      </c>
      <c r="L825" s="376" t="s">
        <v>252</v>
      </c>
      <c r="M825" s="376" t="s">
        <v>171</v>
      </c>
      <c r="N825" s="376" t="s">
        <v>172</v>
      </c>
      <c r="O825" s="379">
        <v>1</v>
      </c>
      <c r="P825" s="385">
        <v>1</v>
      </c>
      <c r="Q825" s="385">
        <v>1</v>
      </c>
      <c r="R825" s="380">
        <v>80</v>
      </c>
      <c r="S825" s="385">
        <v>1</v>
      </c>
      <c r="T825" s="380">
        <v>9968.4500000000007</v>
      </c>
      <c r="U825" s="380">
        <v>0</v>
      </c>
      <c r="V825" s="380">
        <v>5052.6400000000003</v>
      </c>
      <c r="W825" s="380">
        <v>36816</v>
      </c>
      <c r="X825" s="380">
        <v>19611.439999999999</v>
      </c>
      <c r="Y825" s="380">
        <v>36816</v>
      </c>
      <c r="Z825" s="380">
        <v>19456.82</v>
      </c>
      <c r="AA825" s="376" t="s">
        <v>1164</v>
      </c>
      <c r="AB825" s="376" t="s">
        <v>1165</v>
      </c>
      <c r="AC825" s="376" t="s">
        <v>1166</v>
      </c>
      <c r="AD825" s="376" t="s">
        <v>324</v>
      </c>
      <c r="AE825" s="376" t="s">
        <v>863</v>
      </c>
      <c r="AF825" s="376" t="s">
        <v>393</v>
      </c>
      <c r="AG825" s="376" t="s">
        <v>178</v>
      </c>
      <c r="AH825" s="381">
        <v>17.7</v>
      </c>
      <c r="AI825" s="379">
        <v>9559</v>
      </c>
      <c r="AJ825" s="376" t="s">
        <v>179</v>
      </c>
      <c r="AK825" s="376" t="s">
        <v>180</v>
      </c>
      <c r="AL825" s="376" t="s">
        <v>181</v>
      </c>
      <c r="AM825" s="376" t="s">
        <v>182</v>
      </c>
      <c r="AN825" s="376" t="s">
        <v>68</v>
      </c>
      <c r="AO825" s="379">
        <v>80</v>
      </c>
      <c r="AP825" s="385">
        <v>1</v>
      </c>
      <c r="AQ825" s="385">
        <v>1</v>
      </c>
      <c r="AR825" s="383" t="s">
        <v>183</v>
      </c>
      <c r="AS825" s="387">
        <f t="shared" si="555"/>
        <v>1</v>
      </c>
      <c r="AT825">
        <f t="shared" si="556"/>
        <v>1</v>
      </c>
      <c r="AU825" s="387">
        <f>IF(AT825=0,"",IF(AND(AT825=1,M825="F",SUMIF(C2:C1334,C825,AS2:AS1334)&lt;=1),SUMIF(C2:C1334,C825,AS2:AS1334),IF(AND(AT825=1,M825="F",SUMIF(C2:C1334,C825,AS2:AS1334)&gt;1),1,"")))</f>
        <v>1</v>
      </c>
      <c r="AV825" s="387" t="str">
        <f>IF(AT825=0,"",IF(AND(AT825=3,M825="F",SUMIF(C2:C1334,C825,AS2:AS1334)&lt;=1),SUMIF(C2:C1334,C825,AS2:AS1334),IF(AND(AT825=3,M825="F",SUMIF(C2:C1334,C825,AS2:AS1334)&gt;1),1,"")))</f>
        <v/>
      </c>
      <c r="AW825" s="387">
        <f>SUMIF(C2:C1334,C825,O2:O1334)</f>
        <v>3</v>
      </c>
      <c r="AX825" s="387">
        <f>IF(AND(M825="F",AS825&lt;&gt;0),SUMIF(C2:C1334,C825,W2:W1334),0)</f>
        <v>36816</v>
      </c>
      <c r="AY825" s="387">
        <f t="shared" si="557"/>
        <v>36816</v>
      </c>
      <c r="AZ825" s="387" t="str">
        <f t="shared" si="558"/>
        <v/>
      </c>
      <c r="BA825" s="387">
        <f t="shared" si="559"/>
        <v>0</v>
      </c>
      <c r="BB825" s="387">
        <f t="shared" si="528"/>
        <v>11650</v>
      </c>
      <c r="BC825" s="387">
        <f t="shared" si="529"/>
        <v>0</v>
      </c>
      <c r="BD825" s="387">
        <f t="shared" si="530"/>
        <v>2282.5920000000001</v>
      </c>
      <c r="BE825" s="387">
        <f t="shared" si="531"/>
        <v>533.83199999999999</v>
      </c>
      <c r="BF825" s="387">
        <f t="shared" si="532"/>
        <v>4395.8303999999998</v>
      </c>
      <c r="BG825" s="387">
        <f t="shared" si="533"/>
        <v>265.44335999999998</v>
      </c>
      <c r="BH825" s="387">
        <f t="shared" si="534"/>
        <v>180.39839999999998</v>
      </c>
      <c r="BI825" s="387">
        <f t="shared" si="535"/>
        <v>203.77655999999999</v>
      </c>
      <c r="BJ825" s="387">
        <f t="shared" si="536"/>
        <v>99.403199999999998</v>
      </c>
      <c r="BK825" s="387">
        <f t="shared" si="537"/>
        <v>0</v>
      </c>
      <c r="BL825" s="387">
        <f t="shared" si="560"/>
        <v>7961.27592</v>
      </c>
      <c r="BM825" s="387">
        <f t="shared" si="561"/>
        <v>0</v>
      </c>
      <c r="BN825" s="387">
        <f t="shared" si="538"/>
        <v>11650</v>
      </c>
      <c r="BO825" s="387">
        <f t="shared" si="539"/>
        <v>0</v>
      </c>
      <c r="BP825" s="387">
        <f t="shared" si="540"/>
        <v>2282.5920000000001</v>
      </c>
      <c r="BQ825" s="387">
        <f t="shared" si="541"/>
        <v>533.83199999999999</v>
      </c>
      <c r="BR825" s="387">
        <f t="shared" si="542"/>
        <v>4395.8303999999998</v>
      </c>
      <c r="BS825" s="387">
        <f t="shared" si="543"/>
        <v>265.44335999999998</v>
      </c>
      <c r="BT825" s="387">
        <f t="shared" si="544"/>
        <v>0</v>
      </c>
      <c r="BU825" s="387">
        <f t="shared" si="545"/>
        <v>203.77655999999999</v>
      </c>
      <c r="BV825" s="387">
        <f t="shared" si="546"/>
        <v>125.17439999999999</v>
      </c>
      <c r="BW825" s="387">
        <f t="shared" si="547"/>
        <v>0</v>
      </c>
      <c r="BX825" s="387">
        <f t="shared" si="562"/>
        <v>7806.6487200000001</v>
      </c>
      <c r="BY825" s="387">
        <f t="shared" si="563"/>
        <v>0</v>
      </c>
      <c r="BZ825" s="387">
        <f t="shared" si="564"/>
        <v>0</v>
      </c>
      <c r="CA825" s="387">
        <f t="shared" si="565"/>
        <v>0</v>
      </c>
      <c r="CB825" s="387">
        <f t="shared" si="566"/>
        <v>0</v>
      </c>
      <c r="CC825" s="387">
        <f t="shared" si="548"/>
        <v>0</v>
      </c>
      <c r="CD825" s="387">
        <f t="shared" si="549"/>
        <v>0</v>
      </c>
      <c r="CE825" s="387">
        <f t="shared" si="550"/>
        <v>0</v>
      </c>
      <c r="CF825" s="387">
        <f t="shared" si="551"/>
        <v>-180.39839999999998</v>
      </c>
      <c r="CG825" s="387">
        <f t="shared" si="552"/>
        <v>0</v>
      </c>
      <c r="CH825" s="387">
        <f t="shared" si="553"/>
        <v>25.771199999999986</v>
      </c>
      <c r="CI825" s="387">
        <f t="shared" si="554"/>
        <v>0</v>
      </c>
      <c r="CJ825" s="387">
        <f t="shared" si="567"/>
        <v>-154.62719999999999</v>
      </c>
      <c r="CK825" s="387" t="str">
        <f t="shared" si="568"/>
        <v/>
      </c>
      <c r="CL825" s="387" t="str">
        <f t="shared" si="569"/>
        <v/>
      </c>
      <c r="CM825" s="387" t="str">
        <f t="shared" si="570"/>
        <v/>
      </c>
      <c r="CN825" s="387" t="str">
        <f t="shared" si="571"/>
        <v>0348-31</v>
      </c>
    </row>
    <row r="826" spans="1:92" ht="15.75" thickBot="1" x14ac:dyDescent="0.3">
      <c r="A826" s="376" t="s">
        <v>161</v>
      </c>
      <c r="B826" s="376" t="s">
        <v>162</v>
      </c>
      <c r="C826" s="376" t="s">
        <v>1911</v>
      </c>
      <c r="D826" s="376" t="s">
        <v>868</v>
      </c>
      <c r="E826" s="376" t="s">
        <v>224</v>
      </c>
      <c r="F826" s="382" t="s">
        <v>225</v>
      </c>
      <c r="G826" s="376" t="s">
        <v>1945</v>
      </c>
      <c r="H826" s="378"/>
      <c r="I826" s="378"/>
      <c r="J826" s="376" t="s">
        <v>215</v>
      </c>
      <c r="K826" s="376" t="s">
        <v>869</v>
      </c>
      <c r="L826" s="376" t="s">
        <v>296</v>
      </c>
      <c r="M826" s="376" t="s">
        <v>171</v>
      </c>
      <c r="N826" s="376" t="s">
        <v>172</v>
      </c>
      <c r="O826" s="379">
        <v>1</v>
      </c>
      <c r="P826" s="385">
        <v>1</v>
      </c>
      <c r="Q826" s="385">
        <v>1</v>
      </c>
      <c r="R826" s="380">
        <v>80</v>
      </c>
      <c r="S826" s="385">
        <v>1</v>
      </c>
      <c r="T826" s="380">
        <v>0</v>
      </c>
      <c r="U826" s="380">
        <v>0</v>
      </c>
      <c r="V826" s="380">
        <v>0</v>
      </c>
      <c r="W826" s="380">
        <v>51022.400000000001</v>
      </c>
      <c r="X826" s="380">
        <v>22683.56</v>
      </c>
      <c r="Y826" s="380">
        <v>51022.400000000001</v>
      </c>
      <c r="Z826" s="380">
        <v>22469.27</v>
      </c>
      <c r="AA826" s="376" t="s">
        <v>1912</v>
      </c>
      <c r="AB826" s="376" t="s">
        <v>1913</v>
      </c>
      <c r="AC826" s="376" t="s">
        <v>1914</v>
      </c>
      <c r="AD826" s="376" t="s">
        <v>990</v>
      </c>
      <c r="AE826" s="376" t="s">
        <v>869</v>
      </c>
      <c r="AF826" s="376" t="s">
        <v>301</v>
      </c>
      <c r="AG826" s="376" t="s">
        <v>178</v>
      </c>
      <c r="AH826" s="381">
        <v>24.53</v>
      </c>
      <c r="AI826" s="381">
        <v>11469.1</v>
      </c>
      <c r="AJ826" s="376" t="s">
        <v>179</v>
      </c>
      <c r="AK826" s="376" t="s">
        <v>180</v>
      </c>
      <c r="AL826" s="376" t="s">
        <v>181</v>
      </c>
      <c r="AM826" s="376" t="s">
        <v>182</v>
      </c>
      <c r="AN826" s="376" t="s">
        <v>68</v>
      </c>
      <c r="AO826" s="379">
        <v>80</v>
      </c>
      <c r="AP826" s="385">
        <v>1</v>
      </c>
      <c r="AQ826" s="385">
        <v>1</v>
      </c>
      <c r="AR826" s="383" t="s">
        <v>183</v>
      </c>
      <c r="AS826" s="387">
        <f t="shared" si="555"/>
        <v>1</v>
      </c>
      <c r="AT826">
        <f t="shared" si="556"/>
        <v>1</v>
      </c>
      <c r="AU826" s="387">
        <f>IF(AT826=0,"",IF(AND(AT826=1,M826="F",SUMIF(C2:C1334,C826,AS2:AS1334)&lt;=1),SUMIF(C2:C1334,C826,AS2:AS1334),IF(AND(AT826=1,M826="F",SUMIF(C2:C1334,C826,AS2:AS1334)&gt;1),1,"")))</f>
        <v>1</v>
      </c>
      <c r="AV826" s="387" t="str">
        <f>IF(AT826=0,"",IF(AND(AT826=3,M826="F",SUMIF(C2:C1334,C826,AS2:AS1334)&lt;=1),SUMIF(C2:C1334,C826,AS2:AS1334),IF(AND(AT826=3,M826="F",SUMIF(C2:C1334,C826,AS2:AS1334)&gt;1),1,"")))</f>
        <v/>
      </c>
      <c r="AW826" s="387">
        <f>SUMIF(C2:C1334,C826,O2:O1334)</f>
        <v>2</v>
      </c>
      <c r="AX826" s="387">
        <f>IF(AND(M826="F",AS826&lt;&gt;0),SUMIF(C2:C1334,C826,W2:W1334),0)</f>
        <v>51022.400000000001</v>
      </c>
      <c r="AY826" s="387">
        <f t="shared" si="557"/>
        <v>51022.400000000001</v>
      </c>
      <c r="AZ826" s="387" t="str">
        <f t="shared" si="558"/>
        <v/>
      </c>
      <c r="BA826" s="387">
        <f t="shared" si="559"/>
        <v>0</v>
      </c>
      <c r="BB826" s="387">
        <f t="shared" si="528"/>
        <v>11650</v>
      </c>
      <c r="BC826" s="387">
        <f t="shared" si="529"/>
        <v>0</v>
      </c>
      <c r="BD826" s="387">
        <f t="shared" si="530"/>
        <v>3163.3888000000002</v>
      </c>
      <c r="BE826" s="387">
        <f t="shared" si="531"/>
        <v>739.8248000000001</v>
      </c>
      <c r="BF826" s="387">
        <f t="shared" si="532"/>
        <v>6092.0745600000009</v>
      </c>
      <c r="BG826" s="387">
        <f t="shared" si="533"/>
        <v>367.87150400000002</v>
      </c>
      <c r="BH826" s="387">
        <f t="shared" si="534"/>
        <v>250.00976</v>
      </c>
      <c r="BI826" s="387">
        <f t="shared" si="535"/>
        <v>282.40898400000003</v>
      </c>
      <c r="BJ826" s="387">
        <f t="shared" si="536"/>
        <v>137.76048</v>
      </c>
      <c r="BK826" s="387">
        <f t="shared" si="537"/>
        <v>0</v>
      </c>
      <c r="BL826" s="387">
        <f t="shared" si="560"/>
        <v>11033.338888000002</v>
      </c>
      <c r="BM826" s="387">
        <f t="shared" si="561"/>
        <v>0</v>
      </c>
      <c r="BN826" s="387">
        <f t="shared" si="538"/>
        <v>11650</v>
      </c>
      <c r="BO826" s="387">
        <f t="shared" si="539"/>
        <v>0</v>
      </c>
      <c r="BP826" s="387">
        <f t="shared" si="540"/>
        <v>3163.3888000000002</v>
      </c>
      <c r="BQ826" s="387">
        <f t="shared" si="541"/>
        <v>739.8248000000001</v>
      </c>
      <c r="BR826" s="387">
        <f t="shared" si="542"/>
        <v>6092.0745600000009</v>
      </c>
      <c r="BS826" s="387">
        <f t="shared" si="543"/>
        <v>367.87150400000002</v>
      </c>
      <c r="BT826" s="387">
        <f t="shared" si="544"/>
        <v>0</v>
      </c>
      <c r="BU826" s="387">
        <f t="shared" si="545"/>
        <v>282.40898400000003</v>
      </c>
      <c r="BV826" s="387">
        <f t="shared" si="546"/>
        <v>173.47615999999999</v>
      </c>
      <c r="BW826" s="387">
        <f t="shared" si="547"/>
        <v>0</v>
      </c>
      <c r="BX826" s="387">
        <f t="shared" si="562"/>
        <v>10819.044808000001</v>
      </c>
      <c r="BY826" s="387">
        <f t="shared" si="563"/>
        <v>0</v>
      </c>
      <c r="BZ826" s="387">
        <f t="shared" si="564"/>
        <v>0</v>
      </c>
      <c r="CA826" s="387">
        <f t="shared" si="565"/>
        <v>0</v>
      </c>
      <c r="CB826" s="387">
        <f t="shared" si="566"/>
        <v>0</v>
      </c>
      <c r="CC826" s="387">
        <f t="shared" si="548"/>
        <v>0</v>
      </c>
      <c r="CD826" s="387">
        <f t="shared" si="549"/>
        <v>0</v>
      </c>
      <c r="CE826" s="387">
        <f t="shared" si="550"/>
        <v>0</v>
      </c>
      <c r="CF826" s="387">
        <f t="shared" si="551"/>
        <v>-250.00976</v>
      </c>
      <c r="CG826" s="387">
        <f t="shared" si="552"/>
        <v>0</v>
      </c>
      <c r="CH826" s="387">
        <f t="shared" si="553"/>
        <v>35.715679999999985</v>
      </c>
      <c r="CI826" s="387">
        <f t="shared" si="554"/>
        <v>0</v>
      </c>
      <c r="CJ826" s="387">
        <f t="shared" si="567"/>
        <v>-214.29408000000001</v>
      </c>
      <c r="CK826" s="387" t="str">
        <f t="shared" si="568"/>
        <v/>
      </c>
      <c r="CL826" s="387" t="str">
        <f t="shared" si="569"/>
        <v/>
      </c>
      <c r="CM826" s="387" t="str">
        <f t="shared" si="570"/>
        <v/>
      </c>
      <c r="CN826" s="387" t="str">
        <f t="shared" si="571"/>
        <v>0348-31</v>
      </c>
    </row>
    <row r="827" spans="1:92" ht="15.75" thickBot="1" x14ac:dyDescent="0.3">
      <c r="A827" s="376" t="s">
        <v>161</v>
      </c>
      <c r="B827" s="376" t="s">
        <v>162</v>
      </c>
      <c r="C827" s="376" t="s">
        <v>336</v>
      </c>
      <c r="D827" s="376" t="s">
        <v>337</v>
      </c>
      <c r="E827" s="376" t="s">
        <v>224</v>
      </c>
      <c r="F827" s="382" t="s">
        <v>225</v>
      </c>
      <c r="G827" s="376" t="s">
        <v>1945</v>
      </c>
      <c r="H827" s="378"/>
      <c r="I827" s="378"/>
      <c r="J827" s="376" t="s">
        <v>215</v>
      </c>
      <c r="K827" s="376" t="s">
        <v>338</v>
      </c>
      <c r="L827" s="376" t="s">
        <v>166</v>
      </c>
      <c r="M827" s="376" t="s">
        <v>171</v>
      </c>
      <c r="N827" s="376" t="s">
        <v>257</v>
      </c>
      <c r="O827" s="379">
        <v>1</v>
      </c>
      <c r="P827" s="385">
        <v>0</v>
      </c>
      <c r="Q827" s="385">
        <v>0</v>
      </c>
      <c r="R827" s="380">
        <v>80</v>
      </c>
      <c r="S827" s="385">
        <v>0</v>
      </c>
      <c r="T827" s="380">
        <v>2336.56</v>
      </c>
      <c r="U827" s="380">
        <v>0</v>
      </c>
      <c r="V827" s="380">
        <v>775.88</v>
      </c>
      <c r="W827" s="380">
        <v>0</v>
      </c>
      <c r="X827" s="380">
        <v>0</v>
      </c>
      <c r="Y827" s="380">
        <v>0</v>
      </c>
      <c r="Z827" s="380">
        <v>0</v>
      </c>
      <c r="AA827" s="376" t="s">
        <v>339</v>
      </c>
      <c r="AB827" s="376" t="s">
        <v>340</v>
      </c>
      <c r="AC827" s="376" t="s">
        <v>341</v>
      </c>
      <c r="AD827" s="376" t="s">
        <v>279</v>
      </c>
      <c r="AE827" s="376" t="s">
        <v>338</v>
      </c>
      <c r="AF827" s="376" t="s">
        <v>261</v>
      </c>
      <c r="AG827" s="376" t="s">
        <v>178</v>
      </c>
      <c r="AH827" s="381">
        <v>38.76</v>
      </c>
      <c r="AI827" s="379">
        <v>17897</v>
      </c>
      <c r="AJ827" s="376" t="s">
        <v>179</v>
      </c>
      <c r="AK827" s="376" t="s">
        <v>180</v>
      </c>
      <c r="AL827" s="376" t="s">
        <v>181</v>
      </c>
      <c r="AM827" s="376" t="s">
        <v>182</v>
      </c>
      <c r="AN827" s="376" t="s">
        <v>68</v>
      </c>
      <c r="AO827" s="379">
        <v>80</v>
      </c>
      <c r="AP827" s="385">
        <v>1</v>
      </c>
      <c r="AQ827" s="385">
        <v>0</v>
      </c>
      <c r="AR827" s="383" t="s">
        <v>183</v>
      </c>
      <c r="AS827" s="387">
        <f t="shared" si="555"/>
        <v>0</v>
      </c>
      <c r="AT827">
        <f t="shared" si="556"/>
        <v>0</v>
      </c>
      <c r="AU827" s="387" t="str">
        <f>IF(AT827=0,"",IF(AND(AT827=1,M827="F",SUMIF(C2:C1334,C827,AS2:AS1334)&lt;=1),SUMIF(C2:C1334,C827,AS2:AS1334),IF(AND(AT827=1,M827="F",SUMIF(C2:C1334,C827,AS2:AS1334)&gt;1),1,"")))</f>
        <v/>
      </c>
      <c r="AV827" s="387" t="str">
        <f>IF(AT827=0,"",IF(AND(AT827=3,M827="F",SUMIF(C2:C1334,C827,AS2:AS1334)&lt;=1),SUMIF(C2:C1334,C827,AS2:AS1334),IF(AND(AT827=3,M827="F",SUMIF(C2:C1334,C827,AS2:AS1334)&gt;1),1,"")))</f>
        <v/>
      </c>
      <c r="AW827" s="387">
        <f>SUMIF(C2:C1334,C827,O2:O1334)</f>
        <v>4</v>
      </c>
      <c r="AX827" s="387">
        <f>IF(AND(M827="F",AS827&lt;&gt;0),SUMIF(C2:C1334,C827,W2:W1334),0)</f>
        <v>0</v>
      </c>
      <c r="AY827" s="387" t="str">
        <f t="shared" si="557"/>
        <v/>
      </c>
      <c r="AZ827" s="387" t="str">
        <f t="shared" si="558"/>
        <v/>
      </c>
      <c r="BA827" s="387">
        <f t="shared" si="559"/>
        <v>0</v>
      </c>
      <c r="BB827" s="387">
        <f t="shared" si="528"/>
        <v>0</v>
      </c>
      <c r="BC827" s="387">
        <f t="shared" si="529"/>
        <v>0</v>
      </c>
      <c r="BD827" s="387">
        <f t="shared" si="530"/>
        <v>0</v>
      </c>
      <c r="BE827" s="387">
        <f t="shared" si="531"/>
        <v>0</v>
      </c>
      <c r="BF827" s="387">
        <f t="shared" si="532"/>
        <v>0</v>
      </c>
      <c r="BG827" s="387">
        <f t="shared" si="533"/>
        <v>0</v>
      </c>
      <c r="BH827" s="387">
        <f t="shared" si="534"/>
        <v>0</v>
      </c>
      <c r="BI827" s="387">
        <f t="shared" si="535"/>
        <v>0</v>
      </c>
      <c r="BJ827" s="387">
        <f t="shared" si="536"/>
        <v>0</v>
      </c>
      <c r="BK827" s="387">
        <f t="shared" si="537"/>
        <v>0</v>
      </c>
      <c r="BL827" s="387">
        <f t="shared" si="560"/>
        <v>0</v>
      </c>
      <c r="BM827" s="387">
        <f t="shared" si="561"/>
        <v>0</v>
      </c>
      <c r="BN827" s="387">
        <f t="shared" si="538"/>
        <v>0</v>
      </c>
      <c r="BO827" s="387">
        <f t="shared" si="539"/>
        <v>0</v>
      </c>
      <c r="BP827" s="387">
        <f t="shared" si="540"/>
        <v>0</v>
      </c>
      <c r="BQ827" s="387">
        <f t="shared" si="541"/>
        <v>0</v>
      </c>
      <c r="BR827" s="387">
        <f t="shared" si="542"/>
        <v>0</v>
      </c>
      <c r="BS827" s="387">
        <f t="shared" si="543"/>
        <v>0</v>
      </c>
      <c r="BT827" s="387">
        <f t="shared" si="544"/>
        <v>0</v>
      </c>
      <c r="BU827" s="387">
        <f t="shared" si="545"/>
        <v>0</v>
      </c>
      <c r="BV827" s="387">
        <f t="shared" si="546"/>
        <v>0</v>
      </c>
      <c r="BW827" s="387">
        <f t="shared" si="547"/>
        <v>0</v>
      </c>
      <c r="BX827" s="387">
        <f t="shared" si="562"/>
        <v>0</v>
      </c>
      <c r="BY827" s="387">
        <f t="shared" si="563"/>
        <v>0</v>
      </c>
      <c r="BZ827" s="387">
        <f t="shared" si="564"/>
        <v>0</v>
      </c>
      <c r="CA827" s="387">
        <f t="shared" si="565"/>
        <v>0</v>
      </c>
      <c r="CB827" s="387">
        <f t="shared" si="566"/>
        <v>0</v>
      </c>
      <c r="CC827" s="387">
        <f t="shared" si="548"/>
        <v>0</v>
      </c>
      <c r="CD827" s="387">
        <f t="shared" si="549"/>
        <v>0</v>
      </c>
      <c r="CE827" s="387">
        <f t="shared" si="550"/>
        <v>0</v>
      </c>
      <c r="CF827" s="387">
        <f t="shared" si="551"/>
        <v>0</v>
      </c>
      <c r="CG827" s="387">
        <f t="shared" si="552"/>
        <v>0</v>
      </c>
      <c r="CH827" s="387">
        <f t="shared" si="553"/>
        <v>0</v>
      </c>
      <c r="CI827" s="387">
        <f t="shared" si="554"/>
        <v>0</v>
      </c>
      <c r="CJ827" s="387">
        <f t="shared" si="567"/>
        <v>0</v>
      </c>
      <c r="CK827" s="387" t="str">
        <f t="shared" si="568"/>
        <v/>
      </c>
      <c r="CL827" s="387" t="str">
        <f t="shared" si="569"/>
        <v/>
      </c>
      <c r="CM827" s="387" t="str">
        <f t="shared" si="570"/>
        <v/>
      </c>
      <c r="CN827" s="387" t="str">
        <f t="shared" si="571"/>
        <v>0348-31</v>
      </c>
    </row>
    <row r="828" spans="1:92" ht="15.75" thickBot="1" x14ac:dyDescent="0.3">
      <c r="A828" s="376" t="s">
        <v>161</v>
      </c>
      <c r="B828" s="376" t="s">
        <v>162</v>
      </c>
      <c r="C828" s="376" t="s">
        <v>1099</v>
      </c>
      <c r="D828" s="376" t="s">
        <v>862</v>
      </c>
      <c r="E828" s="376" t="s">
        <v>224</v>
      </c>
      <c r="F828" s="382" t="s">
        <v>225</v>
      </c>
      <c r="G828" s="376" t="s">
        <v>1945</v>
      </c>
      <c r="H828" s="378"/>
      <c r="I828" s="378"/>
      <c r="J828" s="376" t="s">
        <v>168</v>
      </c>
      <c r="K828" s="376" t="s">
        <v>863</v>
      </c>
      <c r="L828" s="376" t="s">
        <v>252</v>
      </c>
      <c r="M828" s="376" t="s">
        <v>171</v>
      </c>
      <c r="N828" s="376" t="s">
        <v>172</v>
      </c>
      <c r="O828" s="379">
        <v>1</v>
      </c>
      <c r="P828" s="385">
        <v>0.1</v>
      </c>
      <c r="Q828" s="385">
        <v>0.1</v>
      </c>
      <c r="R828" s="380">
        <v>80</v>
      </c>
      <c r="S828" s="385">
        <v>0.1</v>
      </c>
      <c r="T828" s="380">
        <v>4056.82</v>
      </c>
      <c r="U828" s="380">
        <v>0</v>
      </c>
      <c r="V828" s="380">
        <v>1673.54</v>
      </c>
      <c r="W828" s="380">
        <v>6069.44</v>
      </c>
      <c r="X828" s="380">
        <v>2477.5100000000002</v>
      </c>
      <c r="Y828" s="380">
        <v>6069.44</v>
      </c>
      <c r="Z828" s="380">
        <v>2452.02</v>
      </c>
      <c r="AA828" s="376" t="s">
        <v>1100</v>
      </c>
      <c r="AB828" s="376" t="s">
        <v>1101</v>
      </c>
      <c r="AC828" s="376" t="s">
        <v>1102</v>
      </c>
      <c r="AD828" s="376" t="s">
        <v>406</v>
      </c>
      <c r="AE828" s="376" t="s">
        <v>863</v>
      </c>
      <c r="AF828" s="376" t="s">
        <v>393</v>
      </c>
      <c r="AG828" s="376" t="s">
        <v>178</v>
      </c>
      <c r="AH828" s="381">
        <v>29.18</v>
      </c>
      <c r="AI828" s="381">
        <v>68274.7</v>
      </c>
      <c r="AJ828" s="376" t="s">
        <v>179</v>
      </c>
      <c r="AK828" s="376" t="s">
        <v>180</v>
      </c>
      <c r="AL828" s="376" t="s">
        <v>181</v>
      </c>
      <c r="AM828" s="376" t="s">
        <v>182</v>
      </c>
      <c r="AN828" s="376" t="s">
        <v>68</v>
      </c>
      <c r="AO828" s="379">
        <v>80</v>
      </c>
      <c r="AP828" s="385">
        <v>1</v>
      </c>
      <c r="AQ828" s="385">
        <v>0.1</v>
      </c>
      <c r="AR828" s="383" t="s">
        <v>183</v>
      </c>
      <c r="AS828" s="387">
        <f t="shared" si="555"/>
        <v>0.1</v>
      </c>
      <c r="AT828">
        <f t="shared" si="556"/>
        <v>1</v>
      </c>
      <c r="AU828" s="387">
        <f>IF(AT828=0,"",IF(AND(AT828=1,M828="F",SUMIF(C2:C1334,C828,AS2:AS1334)&lt;=1),SUMIF(C2:C1334,C828,AS2:AS1334),IF(AND(AT828=1,M828="F",SUMIF(C2:C1334,C828,AS2:AS1334)&gt;1),1,"")))</f>
        <v>1</v>
      </c>
      <c r="AV828" s="387" t="str">
        <f>IF(AT828=0,"",IF(AND(AT828=3,M828="F",SUMIF(C2:C1334,C828,AS2:AS1334)&lt;=1),SUMIF(C2:C1334,C828,AS2:AS1334),IF(AND(AT828=3,M828="F",SUMIF(C2:C1334,C828,AS2:AS1334)&gt;1),1,"")))</f>
        <v/>
      </c>
      <c r="AW828" s="387">
        <f>SUMIF(C2:C1334,C828,O2:O1334)</f>
        <v>3</v>
      </c>
      <c r="AX828" s="387">
        <f>IF(AND(M828="F",AS828&lt;&gt;0),SUMIF(C2:C1334,C828,W2:W1334),0)</f>
        <v>60694.400000000001</v>
      </c>
      <c r="AY828" s="387">
        <f t="shared" si="557"/>
        <v>6069.44</v>
      </c>
      <c r="AZ828" s="387" t="str">
        <f t="shared" si="558"/>
        <v/>
      </c>
      <c r="BA828" s="387">
        <f t="shared" si="559"/>
        <v>0</v>
      </c>
      <c r="BB828" s="387">
        <f t="shared" si="528"/>
        <v>1165</v>
      </c>
      <c r="BC828" s="387">
        <f t="shared" si="529"/>
        <v>0</v>
      </c>
      <c r="BD828" s="387">
        <f t="shared" si="530"/>
        <v>376.30527999999998</v>
      </c>
      <c r="BE828" s="387">
        <f t="shared" si="531"/>
        <v>88.006879999999995</v>
      </c>
      <c r="BF828" s="387">
        <f t="shared" si="532"/>
        <v>724.69113600000003</v>
      </c>
      <c r="BG828" s="387">
        <f t="shared" si="533"/>
        <v>43.760662400000001</v>
      </c>
      <c r="BH828" s="387">
        <f t="shared" si="534"/>
        <v>29.740255999999999</v>
      </c>
      <c r="BI828" s="387">
        <f t="shared" si="535"/>
        <v>33.594350399999996</v>
      </c>
      <c r="BJ828" s="387">
        <f t="shared" si="536"/>
        <v>16.387488000000001</v>
      </c>
      <c r="BK828" s="387">
        <f t="shared" si="537"/>
        <v>0</v>
      </c>
      <c r="BL828" s="387">
        <f t="shared" si="560"/>
        <v>1312.4860527999999</v>
      </c>
      <c r="BM828" s="387">
        <f t="shared" si="561"/>
        <v>0</v>
      </c>
      <c r="BN828" s="387">
        <f t="shared" si="538"/>
        <v>1165</v>
      </c>
      <c r="BO828" s="387">
        <f t="shared" si="539"/>
        <v>0</v>
      </c>
      <c r="BP828" s="387">
        <f t="shared" si="540"/>
        <v>376.30527999999998</v>
      </c>
      <c r="BQ828" s="387">
        <f t="shared" si="541"/>
        <v>88.006879999999995</v>
      </c>
      <c r="BR828" s="387">
        <f t="shared" si="542"/>
        <v>724.69113600000003</v>
      </c>
      <c r="BS828" s="387">
        <f t="shared" si="543"/>
        <v>43.760662400000001</v>
      </c>
      <c r="BT828" s="387">
        <f t="shared" si="544"/>
        <v>0</v>
      </c>
      <c r="BU828" s="387">
        <f t="shared" si="545"/>
        <v>33.594350399999996</v>
      </c>
      <c r="BV828" s="387">
        <f t="shared" si="546"/>
        <v>20.636095999999998</v>
      </c>
      <c r="BW828" s="387">
        <f t="shared" si="547"/>
        <v>0</v>
      </c>
      <c r="BX828" s="387">
        <f t="shared" si="562"/>
        <v>1286.9944047999998</v>
      </c>
      <c r="BY828" s="387">
        <f t="shared" si="563"/>
        <v>0</v>
      </c>
      <c r="BZ828" s="387">
        <f t="shared" si="564"/>
        <v>0</v>
      </c>
      <c r="CA828" s="387">
        <f t="shared" si="565"/>
        <v>0</v>
      </c>
      <c r="CB828" s="387">
        <f t="shared" si="566"/>
        <v>0</v>
      </c>
      <c r="CC828" s="387">
        <f t="shared" si="548"/>
        <v>0</v>
      </c>
      <c r="CD828" s="387">
        <f t="shared" si="549"/>
        <v>0</v>
      </c>
      <c r="CE828" s="387">
        <f t="shared" si="550"/>
        <v>0</v>
      </c>
      <c r="CF828" s="387">
        <f t="shared" si="551"/>
        <v>-29.740255999999999</v>
      </c>
      <c r="CG828" s="387">
        <f t="shared" si="552"/>
        <v>0</v>
      </c>
      <c r="CH828" s="387">
        <f t="shared" si="553"/>
        <v>4.2486079999999973</v>
      </c>
      <c r="CI828" s="387">
        <f t="shared" si="554"/>
        <v>0</v>
      </c>
      <c r="CJ828" s="387">
        <f t="shared" si="567"/>
        <v>-25.491648000000001</v>
      </c>
      <c r="CK828" s="387" t="str">
        <f t="shared" si="568"/>
        <v/>
      </c>
      <c r="CL828" s="387" t="str">
        <f t="shared" si="569"/>
        <v/>
      </c>
      <c r="CM828" s="387" t="str">
        <f t="shared" si="570"/>
        <v/>
      </c>
      <c r="CN828" s="387" t="str">
        <f t="shared" si="571"/>
        <v>0348-31</v>
      </c>
    </row>
    <row r="829" spans="1:92" ht="15.75" thickBot="1" x14ac:dyDescent="0.3">
      <c r="A829" s="376" t="s">
        <v>161</v>
      </c>
      <c r="B829" s="376" t="s">
        <v>162</v>
      </c>
      <c r="C829" s="376" t="s">
        <v>1871</v>
      </c>
      <c r="D829" s="376" t="s">
        <v>862</v>
      </c>
      <c r="E829" s="376" t="s">
        <v>224</v>
      </c>
      <c r="F829" s="382" t="s">
        <v>225</v>
      </c>
      <c r="G829" s="376" t="s">
        <v>1945</v>
      </c>
      <c r="H829" s="378"/>
      <c r="I829" s="378"/>
      <c r="J829" s="376" t="s">
        <v>215</v>
      </c>
      <c r="K829" s="376" t="s">
        <v>863</v>
      </c>
      <c r="L829" s="376" t="s">
        <v>252</v>
      </c>
      <c r="M829" s="376" t="s">
        <v>171</v>
      </c>
      <c r="N829" s="376" t="s">
        <v>172</v>
      </c>
      <c r="O829" s="379">
        <v>1</v>
      </c>
      <c r="P829" s="385">
        <v>1</v>
      </c>
      <c r="Q829" s="385">
        <v>1</v>
      </c>
      <c r="R829" s="380">
        <v>80</v>
      </c>
      <c r="S829" s="385">
        <v>1</v>
      </c>
      <c r="T829" s="380">
        <v>23742.82</v>
      </c>
      <c r="U829" s="380">
        <v>0</v>
      </c>
      <c r="V829" s="380">
        <v>13440.53</v>
      </c>
      <c r="W829" s="380">
        <v>38563.199999999997</v>
      </c>
      <c r="X829" s="380">
        <v>19989.259999999998</v>
      </c>
      <c r="Y829" s="380">
        <v>38563.199999999997</v>
      </c>
      <c r="Z829" s="380">
        <v>19827.3</v>
      </c>
      <c r="AA829" s="376" t="s">
        <v>1872</v>
      </c>
      <c r="AB829" s="376" t="s">
        <v>1873</v>
      </c>
      <c r="AC829" s="376" t="s">
        <v>1626</v>
      </c>
      <c r="AD829" s="376" t="s">
        <v>776</v>
      </c>
      <c r="AE829" s="376" t="s">
        <v>863</v>
      </c>
      <c r="AF829" s="376" t="s">
        <v>393</v>
      </c>
      <c r="AG829" s="376" t="s">
        <v>178</v>
      </c>
      <c r="AH829" s="381">
        <v>18.54</v>
      </c>
      <c r="AI829" s="381">
        <v>1483.7</v>
      </c>
      <c r="AJ829" s="376" t="s">
        <v>179</v>
      </c>
      <c r="AK829" s="376" t="s">
        <v>180</v>
      </c>
      <c r="AL829" s="376" t="s">
        <v>181</v>
      </c>
      <c r="AM829" s="376" t="s">
        <v>182</v>
      </c>
      <c r="AN829" s="376" t="s">
        <v>68</v>
      </c>
      <c r="AO829" s="379">
        <v>80</v>
      </c>
      <c r="AP829" s="385">
        <v>1</v>
      </c>
      <c r="AQ829" s="385">
        <v>1</v>
      </c>
      <c r="AR829" s="383" t="s">
        <v>183</v>
      </c>
      <c r="AS829" s="387">
        <f t="shared" si="555"/>
        <v>1</v>
      </c>
      <c r="AT829">
        <f t="shared" si="556"/>
        <v>1</v>
      </c>
      <c r="AU829" s="387">
        <f>IF(AT829=0,"",IF(AND(AT829=1,M829="F",SUMIF(C2:C1334,C829,AS2:AS1334)&lt;=1),SUMIF(C2:C1334,C829,AS2:AS1334),IF(AND(AT829=1,M829="F",SUMIF(C2:C1334,C829,AS2:AS1334)&gt;1),1,"")))</f>
        <v>1</v>
      </c>
      <c r="AV829" s="387" t="str">
        <f>IF(AT829=0,"",IF(AND(AT829=3,M829="F",SUMIF(C2:C1334,C829,AS2:AS1334)&lt;=1),SUMIF(C2:C1334,C829,AS2:AS1334),IF(AND(AT829=3,M829="F",SUMIF(C2:C1334,C829,AS2:AS1334)&gt;1),1,"")))</f>
        <v/>
      </c>
      <c r="AW829" s="387">
        <f>SUMIF(C2:C1334,C829,O2:O1334)</f>
        <v>2</v>
      </c>
      <c r="AX829" s="387">
        <f>IF(AND(M829="F",AS829&lt;&gt;0),SUMIF(C2:C1334,C829,W2:W1334),0)</f>
        <v>38563.199999999997</v>
      </c>
      <c r="AY829" s="387">
        <f t="shared" si="557"/>
        <v>38563.199999999997</v>
      </c>
      <c r="AZ829" s="387" t="str">
        <f t="shared" si="558"/>
        <v/>
      </c>
      <c r="BA829" s="387">
        <f t="shared" si="559"/>
        <v>0</v>
      </c>
      <c r="BB829" s="387">
        <f t="shared" si="528"/>
        <v>11650</v>
      </c>
      <c r="BC829" s="387">
        <f t="shared" si="529"/>
        <v>0</v>
      </c>
      <c r="BD829" s="387">
        <f t="shared" si="530"/>
        <v>2390.9184</v>
      </c>
      <c r="BE829" s="387">
        <f t="shared" si="531"/>
        <v>559.16639999999995</v>
      </c>
      <c r="BF829" s="387">
        <f t="shared" si="532"/>
        <v>4604.4460799999997</v>
      </c>
      <c r="BG829" s="387">
        <f t="shared" si="533"/>
        <v>278.04067199999997</v>
      </c>
      <c r="BH829" s="387">
        <f t="shared" si="534"/>
        <v>188.95967999999999</v>
      </c>
      <c r="BI829" s="387">
        <f t="shared" si="535"/>
        <v>213.44731199999998</v>
      </c>
      <c r="BJ829" s="387">
        <f t="shared" si="536"/>
        <v>104.12063999999999</v>
      </c>
      <c r="BK829" s="387">
        <f t="shared" si="537"/>
        <v>0</v>
      </c>
      <c r="BL829" s="387">
        <f t="shared" si="560"/>
        <v>8339.0991839999988</v>
      </c>
      <c r="BM829" s="387">
        <f t="shared" si="561"/>
        <v>0</v>
      </c>
      <c r="BN829" s="387">
        <f t="shared" si="538"/>
        <v>11650</v>
      </c>
      <c r="BO829" s="387">
        <f t="shared" si="539"/>
        <v>0</v>
      </c>
      <c r="BP829" s="387">
        <f t="shared" si="540"/>
        <v>2390.9184</v>
      </c>
      <c r="BQ829" s="387">
        <f t="shared" si="541"/>
        <v>559.16639999999995</v>
      </c>
      <c r="BR829" s="387">
        <f t="shared" si="542"/>
        <v>4604.4460799999997</v>
      </c>
      <c r="BS829" s="387">
        <f t="shared" si="543"/>
        <v>278.04067199999997</v>
      </c>
      <c r="BT829" s="387">
        <f t="shared" si="544"/>
        <v>0</v>
      </c>
      <c r="BU829" s="387">
        <f t="shared" si="545"/>
        <v>213.44731199999998</v>
      </c>
      <c r="BV829" s="387">
        <f t="shared" si="546"/>
        <v>131.11487999999997</v>
      </c>
      <c r="BW829" s="387">
        <f t="shared" si="547"/>
        <v>0</v>
      </c>
      <c r="BX829" s="387">
        <f t="shared" si="562"/>
        <v>8177.1337440000007</v>
      </c>
      <c r="BY829" s="387">
        <f t="shared" si="563"/>
        <v>0</v>
      </c>
      <c r="BZ829" s="387">
        <f t="shared" si="564"/>
        <v>0</v>
      </c>
      <c r="CA829" s="387">
        <f t="shared" si="565"/>
        <v>0</v>
      </c>
      <c r="CB829" s="387">
        <f t="shared" si="566"/>
        <v>0</v>
      </c>
      <c r="CC829" s="387">
        <f t="shared" si="548"/>
        <v>0</v>
      </c>
      <c r="CD829" s="387">
        <f t="shared" si="549"/>
        <v>0</v>
      </c>
      <c r="CE829" s="387">
        <f t="shared" si="550"/>
        <v>0</v>
      </c>
      <c r="CF829" s="387">
        <f t="shared" si="551"/>
        <v>-188.95967999999999</v>
      </c>
      <c r="CG829" s="387">
        <f t="shared" si="552"/>
        <v>0</v>
      </c>
      <c r="CH829" s="387">
        <f t="shared" si="553"/>
        <v>26.994239999999984</v>
      </c>
      <c r="CI829" s="387">
        <f t="shared" si="554"/>
        <v>0</v>
      </c>
      <c r="CJ829" s="387">
        <f t="shared" si="567"/>
        <v>-161.96544</v>
      </c>
      <c r="CK829" s="387" t="str">
        <f t="shared" si="568"/>
        <v/>
      </c>
      <c r="CL829" s="387" t="str">
        <f t="shared" si="569"/>
        <v/>
      </c>
      <c r="CM829" s="387" t="str">
        <f t="shared" si="570"/>
        <v/>
      </c>
      <c r="CN829" s="387" t="str">
        <f t="shared" si="571"/>
        <v>0348-31</v>
      </c>
    </row>
    <row r="830" spans="1:92" ht="15.75" thickBot="1" x14ac:dyDescent="0.3">
      <c r="A830" s="376" t="s">
        <v>161</v>
      </c>
      <c r="B830" s="376" t="s">
        <v>162</v>
      </c>
      <c r="C830" s="376" t="s">
        <v>1918</v>
      </c>
      <c r="D830" s="376" t="s">
        <v>868</v>
      </c>
      <c r="E830" s="376" t="s">
        <v>224</v>
      </c>
      <c r="F830" s="382" t="s">
        <v>225</v>
      </c>
      <c r="G830" s="376" t="s">
        <v>1945</v>
      </c>
      <c r="H830" s="378"/>
      <c r="I830" s="378"/>
      <c r="J830" s="376" t="s">
        <v>215</v>
      </c>
      <c r="K830" s="376" t="s">
        <v>869</v>
      </c>
      <c r="L830" s="376" t="s">
        <v>296</v>
      </c>
      <c r="M830" s="376" t="s">
        <v>171</v>
      </c>
      <c r="N830" s="376" t="s">
        <v>172</v>
      </c>
      <c r="O830" s="379">
        <v>1</v>
      </c>
      <c r="P830" s="385">
        <v>1</v>
      </c>
      <c r="Q830" s="385">
        <v>1</v>
      </c>
      <c r="R830" s="380">
        <v>80</v>
      </c>
      <c r="S830" s="385">
        <v>1</v>
      </c>
      <c r="T830" s="380">
        <v>0</v>
      </c>
      <c r="U830" s="380">
        <v>0</v>
      </c>
      <c r="V830" s="380">
        <v>0</v>
      </c>
      <c r="W830" s="380">
        <v>42848</v>
      </c>
      <c r="X830" s="380">
        <v>20915.84</v>
      </c>
      <c r="Y830" s="380">
        <v>42848</v>
      </c>
      <c r="Z830" s="380">
        <v>20735.89</v>
      </c>
      <c r="AA830" s="376" t="s">
        <v>1919</v>
      </c>
      <c r="AB830" s="376" t="s">
        <v>1920</v>
      </c>
      <c r="AC830" s="376" t="s">
        <v>1028</v>
      </c>
      <c r="AD830" s="376" t="s">
        <v>260</v>
      </c>
      <c r="AE830" s="376" t="s">
        <v>873</v>
      </c>
      <c r="AF830" s="376" t="s">
        <v>393</v>
      </c>
      <c r="AG830" s="376" t="s">
        <v>178</v>
      </c>
      <c r="AH830" s="381">
        <v>20.6</v>
      </c>
      <c r="AI830" s="379">
        <v>1440</v>
      </c>
      <c r="AJ830" s="376" t="s">
        <v>179</v>
      </c>
      <c r="AK830" s="376" t="s">
        <v>180</v>
      </c>
      <c r="AL830" s="376" t="s">
        <v>181</v>
      </c>
      <c r="AM830" s="376" t="s">
        <v>182</v>
      </c>
      <c r="AN830" s="376" t="s">
        <v>68</v>
      </c>
      <c r="AO830" s="379">
        <v>80</v>
      </c>
      <c r="AP830" s="385">
        <v>1</v>
      </c>
      <c r="AQ830" s="385">
        <v>1</v>
      </c>
      <c r="AR830" s="383">
        <v>3</v>
      </c>
      <c r="AS830" s="387">
        <f t="shared" si="555"/>
        <v>1</v>
      </c>
      <c r="AT830">
        <f t="shared" si="556"/>
        <v>1</v>
      </c>
      <c r="AU830" s="387">
        <f>IF(AT830=0,"",IF(AND(AT830=1,M830="F",SUMIF(C2:C1334,C830,AS2:AS1334)&lt;=1),SUMIF(C2:C1334,C830,AS2:AS1334),IF(AND(AT830=1,M830="F",SUMIF(C2:C1334,C830,AS2:AS1334)&gt;1),1,"")))</f>
        <v>1</v>
      </c>
      <c r="AV830" s="387" t="str">
        <f>IF(AT830=0,"",IF(AND(AT830=3,M830="F",SUMIF(C2:C1334,C830,AS2:AS1334)&lt;=1),SUMIF(C2:C1334,C830,AS2:AS1334),IF(AND(AT830=3,M830="F",SUMIF(C2:C1334,C830,AS2:AS1334)&gt;1),1,"")))</f>
        <v/>
      </c>
      <c r="AW830" s="387">
        <f>SUMIF(C2:C1334,C830,O2:O1334)</f>
        <v>2</v>
      </c>
      <c r="AX830" s="387">
        <f>IF(AND(M830="F",AS830&lt;&gt;0),SUMIF(C2:C1334,C830,W2:W1334),0)</f>
        <v>42848</v>
      </c>
      <c r="AY830" s="387">
        <f t="shared" si="557"/>
        <v>42848</v>
      </c>
      <c r="AZ830" s="387" t="str">
        <f t="shared" si="558"/>
        <v/>
      </c>
      <c r="BA830" s="387">
        <f t="shared" si="559"/>
        <v>0</v>
      </c>
      <c r="BB830" s="387">
        <f t="shared" si="528"/>
        <v>11650</v>
      </c>
      <c r="BC830" s="387">
        <f t="shared" si="529"/>
        <v>0</v>
      </c>
      <c r="BD830" s="387">
        <f t="shared" si="530"/>
        <v>2656.576</v>
      </c>
      <c r="BE830" s="387">
        <f t="shared" si="531"/>
        <v>621.29600000000005</v>
      </c>
      <c r="BF830" s="387">
        <f t="shared" si="532"/>
        <v>5116.0511999999999</v>
      </c>
      <c r="BG830" s="387">
        <f t="shared" si="533"/>
        <v>308.93407999999999</v>
      </c>
      <c r="BH830" s="387">
        <f t="shared" si="534"/>
        <v>209.95519999999999</v>
      </c>
      <c r="BI830" s="387">
        <f t="shared" si="535"/>
        <v>237.16368</v>
      </c>
      <c r="BJ830" s="387">
        <f t="shared" si="536"/>
        <v>115.68960000000001</v>
      </c>
      <c r="BK830" s="387">
        <f t="shared" si="537"/>
        <v>0</v>
      </c>
      <c r="BL830" s="387">
        <f t="shared" si="560"/>
        <v>9265.6657599999999</v>
      </c>
      <c r="BM830" s="387">
        <f t="shared" si="561"/>
        <v>0</v>
      </c>
      <c r="BN830" s="387">
        <f t="shared" si="538"/>
        <v>11650</v>
      </c>
      <c r="BO830" s="387">
        <f t="shared" si="539"/>
        <v>0</v>
      </c>
      <c r="BP830" s="387">
        <f t="shared" si="540"/>
        <v>2656.576</v>
      </c>
      <c r="BQ830" s="387">
        <f t="shared" si="541"/>
        <v>621.29600000000005</v>
      </c>
      <c r="BR830" s="387">
        <f t="shared" si="542"/>
        <v>5116.0511999999999</v>
      </c>
      <c r="BS830" s="387">
        <f t="shared" si="543"/>
        <v>308.93407999999999</v>
      </c>
      <c r="BT830" s="387">
        <f t="shared" si="544"/>
        <v>0</v>
      </c>
      <c r="BU830" s="387">
        <f t="shared" si="545"/>
        <v>237.16368</v>
      </c>
      <c r="BV830" s="387">
        <f t="shared" si="546"/>
        <v>145.6832</v>
      </c>
      <c r="BW830" s="387">
        <f t="shared" si="547"/>
        <v>0</v>
      </c>
      <c r="BX830" s="387">
        <f t="shared" si="562"/>
        <v>9085.7041599999993</v>
      </c>
      <c r="BY830" s="387">
        <f t="shared" si="563"/>
        <v>0</v>
      </c>
      <c r="BZ830" s="387">
        <f t="shared" si="564"/>
        <v>0</v>
      </c>
      <c r="CA830" s="387">
        <f t="shared" si="565"/>
        <v>0</v>
      </c>
      <c r="CB830" s="387">
        <f t="shared" si="566"/>
        <v>0</v>
      </c>
      <c r="CC830" s="387">
        <f t="shared" si="548"/>
        <v>0</v>
      </c>
      <c r="CD830" s="387">
        <f t="shared" si="549"/>
        <v>0</v>
      </c>
      <c r="CE830" s="387">
        <f t="shared" si="550"/>
        <v>0</v>
      </c>
      <c r="CF830" s="387">
        <f t="shared" si="551"/>
        <v>-209.95519999999999</v>
      </c>
      <c r="CG830" s="387">
        <f t="shared" si="552"/>
        <v>0</v>
      </c>
      <c r="CH830" s="387">
        <f t="shared" si="553"/>
        <v>29.993599999999986</v>
      </c>
      <c r="CI830" s="387">
        <f t="shared" si="554"/>
        <v>0</v>
      </c>
      <c r="CJ830" s="387">
        <f t="shared" si="567"/>
        <v>-179.9616</v>
      </c>
      <c r="CK830" s="387" t="str">
        <f t="shared" si="568"/>
        <v/>
      </c>
      <c r="CL830" s="387" t="str">
        <f t="shared" si="569"/>
        <v/>
      </c>
      <c r="CM830" s="387" t="str">
        <f t="shared" si="570"/>
        <v/>
      </c>
      <c r="CN830" s="387" t="str">
        <f t="shared" si="571"/>
        <v>0348-31</v>
      </c>
    </row>
    <row r="831" spans="1:92" ht="15.75" thickBot="1" x14ac:dyDescent="0.3">
      <c r="A831" s="376" t="s">
        <v>161</v>
      </c>
      <c r="B831" s="376" t="s">
        <v>162</v>
      </c>
      <c r="C831" s="376" t="s">
        <v>1902</v>
      </c>
      <c r="D831" s="376" t="s">
        <v>862</v>
      </c>
      <c r="E831" s="376" t="s">
        <v>224</v>
      </c>
      <c r="F831" s="382" t="s">
        <v>225</v>
      </c>
      <c r="G831" s="376" t="s">
        <v>1945</v>
      </c>
      <c r="H831" s="378"/>
      <c r="I831" s="378"/>
      <c r="J831" s="376" t="s">
        <v>239</v>
      </c>
      <c r="K831" s="376" t="s">
        <v>863</v>
      </c>
      <c r="L831" s="376" t="s">
        <v>252</v>
      </c>
      <c r="M831" s="376" t="s">
        <v>171</v>
      </c>
      <c r="N831" s="376" t="s">
        <v>172</v>
      </c>
      <c r="O831" s="379">
        <v>1</v>
      </c>
      <c r="P831" s="385">
        <v>0.45</v>
      </c>
      <c r="Q831" s="385">
        <v>0.45</v>
      </c>
      <c r="R831" s="380">
        <v>80</v>
      </c>
      <c r="S831" s="385">
        <v>0.45</v>
      </c>
      <c r="T831" s="380">
        <v>16123.9</v>
      </c>
      <c r="U831" s="380">
        <v>0</v>
      </c>
      <c r="V831" s="380">
        <v>8437.3700000000008</v>
      </c>
      <c r="W831" s="380">
        <v>20386.080000000002</v>
      </c>
      <c r="X831" s="380">
        <v>9650.9699999999993</v>
      </c>
      <c r="Y831" s="380">
        <v>20386.080000000002</v>
      </c>
      <c r="Z831" s="380">
        <v>9565.35</v>
      </c>
      <c r="AA831" s="376" t="s">
        <v>1903</v>
      </c>
      <c r="AB831" s="376" t="s">
        <v>1904</v>
      </c>
      <c r="AC831" s="376" t="s">
        <v>1905</v>
      </c>
      <c r="AD831" s="376" t="s">
        <v>324</v>
      </c>
      <c r="AE831" s="376" t="s">
        <v>863</v>
      </c>
      <c r="AF831" s="376" t="s">
        <v>393</v>
      </c>
      <c r="AG831" s="376" t="s">
        <v>178</v>
      </c>
      <c r="AH831" s="381">
        <v>21.78</v>
      </c>
      <c r="AI831" s="381">
        <v>21966.799999999999</v>
      </c>
      <c r="AJ831" s="376" t="s">
        <v>179</v>
      </c>
      <c r="AK831" s="376" t="s">
        <v>180</v>
      </c>
      <c r="AL831" s="376" t="s">
        <v>181</v>
      </c>
      <c r="AM831" s="376" t="s">
        <v>182</v>
      </c>
      <c r="AN831" s="376" t="s">
        <v>68</v>
      </c>
      <c r="AO831" s="379">
        <v>80</v>
      </c>
      <c r="AP831" s="385">
        <v>1</v>
      </c>
      <c r="AQ831" s="385">
        <v>0.45</v>
      </c>
      <c r="AR831" s="383" t="s">
        <v>183</v>
      </c>
      <c r="AS831" s="387">
        <f t="shared" si="555"/>
        <v>0.45</v>
      </c>
      <c r="AT831">
        <f t="shared" si="556"/>
        <v>1</v>
      </c>
      <c r="AU831" s="387">
        <f>IF(AT831=0,"",IF(AND(AT831=1,M831="F",SUMIF(C2:C1334,C831,AS2:AS1334)&lt;=1),SUMIF(C2:C1334,C831,AS2:AS1334),IF(AND(AT831=1,M831="F",SUMIF(C2:C1334,C831,AS2:AS1334)&gt;1),1,"")))</f>
        <v>1</v>
      </c>
      <c r="AV831" s="387" t="str">
        <f>IF(AT831=0,"",IF(AND(AT831=3,M831="F",SUMIF(C2:C1334,C831,AS2:AS1334)&lt;=1),SUMIF(C2:C1334,C831,AS2:AS1334),IF(AND(AT831=3,M831="F",SUMIF(C2:C1334,C831,AS2:AS1334)&gt;1),1,"")))</f>
        <v/>
      </c>
      <c r="AW831" s="387">
        <f>SUMIF(C2:C1334,C831,O2:O1334)</f>
        <v>3</v>
      </c>
      <c r="AX831" s="387">
        <f>IF(AND(M831="F",AS831&lt;&gt;0),SUMIF(C2:C1334,C831,W2:W1334),0)</f>
        <v>45302.400000000001</v>
      </c>
      <c r="AY831" s="387">
        <f t="shared" si="557"/>
        <v>20386.080000000002</v>
      </c>
      <c r="AZ831" s="387" t="str">
        <f t="shared" si="558"/>
        <v/>
      </c>
      <c r="BA831" s="387">
        <f t="shared" si="559"/>
        <v>0</v>
      </c>
      <c r="BB831" s="387">
        <f t="shared" si="528"/>
        <v>5242.5</v>
      </c>
      <c r="BC831" s="387">
        <f t="shared" si="529"/>
        <v>0</v>
      </c>
      <c r="BD831" s="387">
        <f t="shared" si="530"/>
        <v>1263.93696</v>
      </c>
      <c r="BE831" s="387">
        <f t="shared" si="531"/>
        <v>295.59816000000006</v>
      </c>
      <c r="BF831" s="387">
        <f t="shared" si="532"/>
        <v>2434.0979520000005</v>
      </c>
      <c r="BG831" s="387">
        <f t="shared" si="533"/>
        <v>146.98363680000003</v>
      </c>
      <c r="BH831" s="387">
        <f t="shared" si="534"/>
        <v>99.891792000000009</v>
      </c>
      <c r="BI831" s="387">
        <f t="shared" si="535"/>
        <v>112.83695280000001</v>
      </c>
      <c r="BJ831" s="387">
        <f t="shared" si="536"/>
        <v>55.04241600000001</v>
      </c>
      <c r="BK831" s="387">
        <f t="shared" si="537"/>
        <v>0</v>
      </c>
      <c r="BL831" s="387">
        <f t="shared" si="560"/>
        <v>4408.3878696000011</v>
      </c>
      <c r="BM831" s="387">
        <f t="shared" si="561"/>
        <v>0</v>
      </c>
      <c r="BN831" s="387">
        <f t="shared" si="538"/>
        <v>5242.5</v>
      </c>
      <c r="BO831" s="387">
        <f t="shared" si="539"/>
        <v>0</v>
      </c>
      <c r="BP831" s="387">
        <f t="shared" si="540"/>
        <v>1263.93696</v>
      </c>
      <c r="BQ831" s="387">
        <f t="shared" si="541"/>
        <v>295.59816000000006</v>
      </c>
      <c r="BR831" s="387">
        <f t="shared" si="542"/>
        <v>2434.0979520000005</v>
      </c>
      <c r="BS831" s="387">
        <f t="shared" si="543"/>
        <v>146.98363680000003</v>
      </c>
      <c r="BT831" s="387">
        <f t="shared" si="544"/>
        <v>0</v>
      </c>
      <c r="BU831" s="387">
        <f t="shared" si="545"/>
        <v>112.83695280000001</v>
      </c>
      <c r="BV831" s="387">
        <f t="shared" si="546"/>
        <v>69.312672000000006</v>
      </c>
      <c r="BW831" s="387">
        <f t="shared" si="547"/>
        <v>0</v>
      </c>
      <c r="BX831" s="387">
        <f t="shared" si="562"/>
        <v>4322.7663336000005</v>
      </c>
      <c r="BY831" s="387">
        <f t="shared" si="563"/>
        <v>0</v>
      </c>
      <c r="BZ831" s="387">
        <f t="shared" si="564"/>
        <v>0</v>
      </c>
      <c r="CA831" s="387">
        <f t="shared" si="565"/>
        <v>0</v>
      </c>
      <c r="CB831" s="387">
        <f t="shared" si="566"/>
        <v>0</v>
      </c>
      <c r="CC831" s="387">
        <f t="shared" si="548"/>
        <v>0</v>
      </c>
      <c r="CD831" s="387">
        <f t="shared" si="549"/>
        <v>0</v>
      </c>
      <c r="CE831" s="387">
        <f t="shared" si="550"/>
        <v>0</v>
      </c>
      <c r="CF831" s="387">
        <f t="shared" si="551"/>
        <v>-99.891792000000009</v>
      </c>
      <c r="CG831" s="387">
        <f t="shared" si="552"/>
        <v>0</v>
      </c>
      <c r="CH831" s="387">
        <f t="shared" si="553"/>
        <v>14.270255999999995</v>
      </c>
      <c r="CI831" s="387">
        <f t="shared" si="554"/>
        <v>0</v>
      </c>
      <c r="CJ831" s="387">
        <f t="shared" si="567"/>
        <v>-85.62153600000002</v>
      </c>
      <c r="CK831" s="387" t="str">
        <f t="shared" si="568"/>
        <v/>
      </c>
      <c r="CL831" s="387" t="str">
        <f t="shared" si="569"/>
        <v/>
      </c>
      <c r="CM831" s="387" t="str">
        <f t="shared" si="570"/>
        <v/>
      </c>
      <c r="CN831" s="387" t="str">
        <f t="shared" si="571"/>
        <v>0348-31</v>
      </c>
    </row>
    <row r="832" spans="1:92" ht="15.75" thickBot="1" x14ac:dyDescent="0.3">
      <c r="A832" s="376" t="s">
        <v>161</v>
      </c>
      <c r="B832" s="376" t="s">
        <v>162</v>
      </c>
      <c r="C832" s="376" t="s">
        <v>1336</v>
      </c>
      <c r="D832" s="376" t="s">
        <v>700</v>
      </c>
      <c r="E832" s="376" t="s">
        <v>224</v>
      </c>
      <c r="F832" s="382" t="s">
        <v>225</v>
      </c>
      <c r="G832" s="376" t="s">
        <v>1945</v>
      </c>
      <c r="H832" s="378"/>
      <c r="I832" s="378"/>
      <c r="J832" s="376" t="s">
        <v>215</v>
      </c>
      <c r="K832" s="376" t="s">
        <v>701</v>
      </c>
      <c r="L832" s="376" t="s">
        <v>170</v>
      </c>
      <c r="M832" s="376" t="s">
        <v>171</v>
      </c>
      <c r="N832" s="376" t="s">
        <v>172</v>
      </c>
      <c r="O832" s="379">
        <v>1</v>
      </c>
      <c r="P832" s="385">
        <v>1</v>
      </c>
      <c r="Q832" s="385">
        <v>1</v>
      </c>
      <c r="R832" s="380">
        <v>80</v>
      </c>
      <c r="S832" s="385">
        <v>1</v>
      </c>
      <c r="T832" s="380">
        <v>32688.560000000001</v>
      </c>
      <c r="U832" s="380">
        <v>712.41</v>
      </c>
      <c r="V832" s="380">
        <v>16446.560000000001</v>
      </c>
      <c r="W832" s="380">
        <v>49025.599999999999</v>
      </c>
      <c r="X832" s="380">
        <v>22251.75</v>
      </c>
      <c r="Y832" s="380">
        <v>49025.599999999999</v>
      </c>
      <c r="Z832" s="380">
        <v>22045.85</v>
      </c>
      <c r="AA832" s="376" t="s">
        <v>1337</v>
      </c>
      <c r="AB832" s="376" t="s">
        <v>1338</v>
      </c>
      <c r="AC832" s="376" t="s">
        <v>1339</v>
      </c>
      <c r="AD832" s="376" t="s">
        <v>324</v>
      </c>
      <c r="AE832" s="376" t="s">
        <v>701</v>
      </c>
      <c r="AF832" s="376" t="s">
        <v>177</v>
      </c>
      <c r="AG832" s="376" t="s">
        <v>178</v>
      </c>
      <c r="AH832" s="381">
        <v>23.57</v>
      </c>
      <c r="AI832" s="381">
        <v>9719.2000000000007</v>
      </c>
      <c r="AJ832" s="376" t="s">
        <v>179</v>
      </c>
      <c r="AK832" s="376" t="s">
        <v>180</v>
      </c>
      <c r="AL832" s="376" t="s">
        <v>181</v>
      </c>
      <c r="AM832" s="376" t="s">
        <v>182</v>
      </c>
      <c r="AN832" s="376" t="s">
        <v>68</v>
      </c>
      <c r="AO832" s="379">
        <v>80</v>
      </c>
      <c r="AP832" s="385">
        <v>1</v>
      </c>
      <c r="AQ832" s="385">
        <v>1</v>
      </c>
      <c r="AR832" s="383" t="s">
        <v>183</v>
      </c>
      <c r="AS832" s="387">
        <f t="shared" si="555"/>
        <v>1</v>
      </c>
      <c r="AT832">
        <f t="shared" si="556"/>
        <v>1</v>
      </c>
      <c r="AU832" s="387">
        <f>IF(AT832=0,"",IF(AND(AT832=1,M832="F",SUMIF(C2:C1334,C832,AS2:AS1334)&lt;=1),SUMIF(C2:C1334,C832,AS2:AS1334),IF(AND(AT832=1,M832="F",SUMIF(C2:C1334,C832,AS2:AS1334)&gt;1),1,"")))</f>
        <v>1</v>
      </c>
      <c r="AV832" s="387" t="str">
        <f>IF(AT832=0,"",IF(AND(AT832=3,M832="F",SUMIF(C2:C1334,C832,AS2:AS1334)&lt;=1),SUMIF(C2:C1334,C832,AS2:AS1334),IF(AND(AT832=3,M832="F",SUMIF(C2:C1334,C832,AS2:AS1334)&gt;1),1,"")))</f>
        <v/>
      </c>
      <c r="AW832" s="387">
        <f>SUMIF(C2:C1334,C832,O2:O1334)</f>
        <v>2</v>
      </c>
      <c r="AX832" s="387">
        <f>IF(AND(M832="F",AS832&lt;&gt;0),SUMIF(C2:C1334,C832,W2:W1334),0)</f>
        <v>49025.599999999999</v>
      </c>
      <c r="AY832" s="387">
        <f t="shared" si="557"/>
        <v>49025.599999999999</v>
      </c>
      <c r="AZ832" s="387" t="str">
        <f t="shared" si="558"/>
        <v/>
      </c>
      <c r="BA832" s="387">
        <f t="shared" si="559"/>
        <v>0</v>
      </c>
      <c r="BB832" s="387">
        <f t="shared" si="528"/>
        <v>11650</v>
      </c>
      <c r="BC832" s="387">
        <f t="shared" si="529"/>
        <v>0</v>
      </c>
      <c r="BD832" s="387">
        <f t="shared" si="530"/>
        <v>3039.5871999999999</v>
      </c>
      <c r="BE832" s="387">
        <f t="shared" si="531"/>
        <v>710.87120000000004</v>
      </c>
      <c r="BF832" s="387">
        <f t="shared" si="532"/>
        <v>5853.6566400000002</v>
      </c>
      <c r="BG832" s="387">
        <f t="shared" si="533"/>
        <v>353.47457600000001</v>
      </c>
      <c r="BH832" s="387">
        <f t="shared" si="534"/>
        <v>240.22543999999999</v>
      </c>
      <c r="BI832" s="387">
        <f t="shared" si="535"/>
        <v>271.356696</v>
      </c>
      <c r="BJ832" s="387">
        <f t="shared" si="536"/>
        <v>132.36912000000001</v>
      </c>
      <c r="BK832" s="387">
        <f t="shared" si="537"/>
        <v>0</v>
      </c>
      <c r="BL832" s="387">
        <f t="shared" si="560"/>
        <v>10601.540872000001</v>
      </c>
      <c r="BM832" s="387">
        <f t="shared" si="561"/>
        <v>0</v>
      </c>
      <c r="BN832" s="387">
        <f t="shared" si="538"/>
        <v>11650</v>
      </c>
      <c r="BO832" s="387">
        <f t="shared" si="539"/>
        <v>0</v>
      </c>
      <c r="BP832" s="387">
        <f t="shared" si="540"/>
        <v>3039.5871999999999</v>
      </c>
      <c r="BQ832" s="387">
        <f t="shared" si="541"/>
        <v>710.87120000000004</v>
      </c>
      <c r="BR832" s="387">
        <f t="shared" si="542"/>
        <v>5853.6566400000002</v>
      </c>
      <c r="BS832" s="387">
        <f t="shared" si="543"/>
        <v>353.47457600000001</v>
      </c>
      <c r="BT832" s="387">
        <f t="shared" si="544"/>
        <v>0</v>
      </c>
      <c r="BU832" s="387">
        <f t="shared" si="545"/>
        <v>271.356696</v>
      </c>
      <c r="BV832" s="387">
        <f t="shared" si="546"/>
        <v>166.68704</v>
      </c>
      <c r="BW832" s="387">
        <f t="shared" si="547"/>
        <v>0</v>
      </c>
      <c r="BX832" s="387">
        <f t="shared" si="562"/>
        <v>10395.633352000003</v>
      </c>
      <c r="BY832" s="387">
        <f t="shared" si="563"/>
        <v>0</v>
      </c>
      <c r="BZ832" s="387">
        <f t="shared" si="564"/>
        <v>0</v>
      </c>
      <c r="CA832" s="387">
        <f t="shared" si="565"/>
        <v>0</v>
      </c>
      <c r="CB832" s="387">
        <f t="shared" si="566"/>
        <v>0</v>
      </c>
      <c r="CC832" s="387">
        <f t="shared" si="548"/>
        <v>0</v>
      </c>
      <c r="CD832" s="387">
        <f t="shared" si="549"/>
        <v>0</v>
      </c>
      <c r="CE832" s="387">
        <f t="shared" si="550"/>
        <v>0</v>
      </c>
      <c r="CF832" s="387">
        <f t="shared" si="551"/>
        <v>-240.22543999999999</v>
      </c>
      <c r="CG832" s="387">
        <f t="shared" si="552"/>
        <v>0</v>
      </c>
      <c r="CH832" s="387">
        <f t="shared" si="553"/>
        <v>34.31791999999998</v>
      </c>
      <c r="CI832" s="387">
        <f t="shared" si="554"/>
        <v>0</v>
      </c>
      <c r="CJ832" s="387">
        <f t="shared" si="567"/>
        <v>-205.90752000000001</v>
      </c>
      <c r="CK832" s="387" t="str">
        <f t="shared" si="568"/>
        <v/>
      </c>
      <c r="CL832" s="387" t="str">
        <f t="shared" si="569"/>
        <v/>
      </c>
      <c r="CM832" s="387" t="str">
        <f t="shared" si="570"/>
        <v/>
      </c>
      <c r="CN832" s="387" t="str">
        <f t="shared" si="571"/>
        <v>0348-31</v>
      </c>
    </row>
    <row r="833" spans="1:92" ht="15.75" thickBot="1" x14ac:dyDescent="0.3">
      <c r="A833" s="376" t="s">
        <v>161</v>
      </c>
      <c r="B833" s="376" t="s">
        <v>162</v>
      </c>
      <c r="C833" s="376" t="s">
        <v>968</v>
      </c>
      <c r="D833" s="376" t="s">
        <v>792</v>
      </c>
      <c r="E833" s="376" t="s">
        <v>224</v>
      </c>
      <c r="F833" s="382" t="s">
        <v>225</v>
      </c>
      <c r="G833" s="376" t="s">
        <v>1945</v>
      </c>
      <c r="H833" s="378"/>
      <c r="I833" s="378"/>
      <c r="J833" s="376" t="s">
        <v>239</v>
      </c>
      <c r="K833" s="376" t="s">
        <v>793</v>
      </c>
      <c r="L833" s="376" t="s">
        <v>170</v>
      </c>
      <c r="M833" s="376" t="s">
        <v>171</v>
      </c>
      <c r="N833" s="376" t="s">
        <v>172</v>
      </c>
      <c r="O833" s="379">
        <v>1</v>
      </c>
      <c r="P833" s="385">
        <v>0.7</v>
      </c>
      <c r="Q833" s="385">
        <v>0.7</v>
      </c>
      <c r="R833" s="380">
        <v>80</v>
      </c>
      <c r="S833" s="385">
        <v>0.7</v>
      </c>
      <c r="T833" s="380">
        <v>31577.96</v>
      </c>
      <c r="U833" s="380">
        <v>0</v>
      </c>
      <c r="V833" s="380">
        <v>14776.34</v>
      </c>
      <c r="W833" s="380">
        <v>34084.959999999999</v>
      </c>
      <c r="X833" s="380">
        <v>15525.85</v>
      </c>
      <c r="Y833" s="380">
        <v>34084.959999999999</v>
      </c>
      <c r="Z833" s="380">
        <v>15382.69</v>
      </c>
      <c r="AA833" s="376" t="s">
        <v>969</v>
      </c>
      <c r="AB833" s="376" t="s">
        <v>970</v>
      </c>
      <c r="AC833" s="376" t="s">
        <v>971</v>
      </c>
      <c r="AD833" s="376" t="s">
        <v>972</v>
      </c>
      <c r="AE833" s="376" t="s">
        <v>793</v>
      </c>
      <c r="AF833" s="376" t="s">
        <v>177</v>
      </c>
      <c r="AG833" s="376" t="s">
        <v>178</v>
      </c>
      <c r="AH833" s="381">
        <v>23.41</v>
      </c>
      <c r="AI833" s="381">
        <v>29722.5</v>
      </c>
      <c r="AJ833" s="376" t="s">
        <v>179</v>
      </c>
      <c r="AK833" s="376" t="s">
        <v>180</v>
      </c>
      <c r="AL833" s="376" t="s">
        <v>181</v>
      </c>
      <c r="AM833" s="376" t="s">
        <v>182</v>
      </c>
      <c r="AN833" s="376" t="s">
        <v>68</v>
      </c>
      <c r="AO833" s="379">
        <v>80</v>
      </c>
      <c r="AP833" s="385">
        <v>1</v>
      </c>
      <c r="AQ833" s="385">
        <v>0.7</v>
      </c>
      <c r="AR833" s="383" t="s">
        <v>183</v>
      </c>
      <c r="AS833" s="387">
        <f t="shared" si="555"/>
        <v>0.7</v>
      </c>
      <c r="AT833">
        <f t="shared" si="556"/>
        <v>1</v>
      </c>
      <c r="AU833" s="387">
        <f>IF(AT833=0,"",IF(AND(AT833=1,M833="F",SUMIF(C2:C1334,C833,AS2:AS1334)&lt;=1),SUMIF(C2:C1334,C833,AS2:AS1334),IF(AND(AT833=1,M833="F",SUMIF(C2:C1334,C833,AS2:AS1334)&gt;1),1,"")))</f>
        <v>1</v>
      </c>
      <c r="AV833" s="387" t="str">
        <f>IF(AT833=0,"",IF(AND(AT833=3,M833="F",SUMIF(C2:C1334,C833,AS2:AS1334)&lt;=1),SUMIF(C2:C1334,C833,AS2:AS1334),IF(AND(AT833=3,M833="F",SUMIF(C2:C1334,C833,AS2:AS1334)&gt;1),1,"")))</f>
        <v/>
      </c>
      <c r="AW833" s="387">
        <f>SUMIF(C2:C1334,C833,O2:O1334)</f>
        <v>3</v>
      </c>
      <c r="AX833" s="387">
        <f>IF(AND(M833="F",AS833&lt;&gt;0),SUMIF(C2:C1334,C833,W2:W1334),0)</f>
        <v>48692.800000000003</v>
      </c>
      <c r="AY833" s="387">
        <f t="shared" si="557"/>
        <v>34084.959999999999</v>
      </c>
      <c r="AZ833" s="387" t="str">
        <f t="shared" si="558"/>
        <v/>
      </c>
      <c r="BA833" s="387">
        <f t="shared" si="559"/>
        <v>0</v>
      </c>
      <c r="BB833" s="387">
        <f t="shared" si="528"/>
        <v>8154.9999999999991</v>
      </c>
      <c r="BC833" s="387">
        <f t="shared" si="529"/>
        <v>0</v>
      </c>
      <c r="BD833" s="387">
        <f t="shared" si="530"/>
        <v>2113.2675199999999</v>
      </c>
      <c r="BE833" s="387">
        <f t="shared" si="531"/>
        <v>494.23192</v>
      </c>
      <c r="BF833" s="387">
        <f t="shared" si="532"/>
        <v>4069.744224</v>
      </c>
      <c r="BG833" s="387">
        <f t="shared" si="533"/>
        <v>245.75256160000001</v>
      </c>
      <c r="BH833" s="387">
        <f t="shared" si="534"/>
        <v>167.01630399999999</v>
      </c>
      <c r="BI833" s="387">
        <f t="shared" si="535"/>
        <v>188.6602536</v>
      </c>
      <c r="BJ833" s="387">
        <f t="shared" si="536"/>
        <v>92.029392000000001</v>
      </c>
      <c r="BK833" s="387">
        <f t="shared" si="537"/>
        <v>0</v>
      </c>
      <c r="BL833" s="387">
        <f t="shared" si="560"/>
        <v>7370.7021752000001</v>
      </c>
      <c r="BM833" s="387">
        <f t="shared" si="561"/>
        <v>0</v>
      </c>
      <c r="BN833" s="387">
        <f t="shared" si="538"/>
        <v>8154.9999999999991</v>
      </c>
      <c r="BO833" s="387">
        <f t="shared" si="539"/>
        <v>0</v>
      </c>
      <c r="BP833" s="387">
        <f t="shared" si="540"/>
        <v>2113.2675199999999</v>
      </c>
      <c r="BQ833" s="387">
        <f t="shared" si="541"/>
        <v>494.23192</v>
      </c>
      <c r="BR833" s="387">
        <f t="shared" si="542"/>
        <v>4069.744224</v>
      </c>
      <c r="BS833" s="387">
        <f t="shared" si="543"/>
        <v>245.75256160000001</v>
      </c>
      <c r="BT833" s="387">
        <f t="shared" si="544"/>
        <v>0</v>
      </c>
      <c r="BU833" s="387">
        <f t="shared" si="545"/>
        <v>188.6602536</v>
      </c>
      <c r="BV833" s="387">
        <f t="shared" si="546"/>
        <v>115.88886399999998</v>
      </c>
      <c r="BW833" s="387">
        <f t="shared" si="547"/>
        <v>0</v>
      </c>
      <c r="BX833" s="387">
        <f t="shared" si="562"/>
        <v>7227.5453431999995</v>
      </c>
      <c r="BY833" s="387">
        <f t="shared" si="563"/>
        <v>0</v>
      </c>
      <c r="BZ833" s="387">
        <f t="shared" si="564"/>
        <v>0</v>
      </c>
      <c r="CA833" s="387">
        <f t="shared" si="565"/>
        <v>0</v>
      </c>
      <c r="CB833" s="387">
        <f t="shared" si="566"/>
        <v>0</v>
      </c>
      <c r="CC833" s="387">
        <f t="shared" si="548"/>
        <v>0</v>
      </c>
      <c r="CD833" s="387">
        <f t="shared" si="549"/>
        <v>0</v>
      </c>
      <c r="CE833" s="387">
        <f t="shared" si="550"/>
        <v>0</v>
      </c>
      <c r="CF833" s="387">
        <f t="shared" si="551"/>
        <v>-167.01630399999999</v>
      </c>
      <c r="CG833" s="387">
        <f t="shared" si="552"/>
        <v>0</v>
      </c>
      <c r="CH833" s="387">
        <f t="shared" si="553"/>
        <v>23.85947199999999</v>
      </c>
      <c r="CI833" s="387">
        <f t="shared" si="554"/>
        <v>0</v>
      </c>
      <c r="CJ833" s="387">
        <f t="shared" si="567"/>
        <v>-143.15683200000001</v>
      </c>
      <c r="CK833" s="387" t="str">
        <f t="shared" si="568"/>
        <v/>
      </c>
      <c r="CL833" s="387" t="str">
        <f t="shared" si="569"/>
        <v/>
      </c>
      <c r="CM833" s="387" t="str">
        <f t="shared" si="570"/>
        <v/>
      </c>
      <c r="CN833" s="387" t="str">
        <f t="shared" si="571"/>
        <v>0348-31</v>
      </c>
    </row>
    <row r="834" spans="1:92" ht="15.75" thickBot="1" x14ac:dyDescent="0.3">
      <c r="A834" s="376" t="s">
        <v>161</v>
      </c>
      <c r="B834" s="376" t="s">
        <v>162</v>
      </c>
      <c r="C834" s="376" t="s">
        <v>1008</v>
      </c>
      <c r="D834" s="376" t="s">
        <v>862</v>
      </c>
      <c r="E834" s="376" t="s">
        <v>224</v>
      </c>
      <c r="F834" s="382" t="s">
        <v>225</v>
      </c>
      <c r="G834" s="376" t="s">
        <v>1945</v>
      </c>
      <c r="H834" s="378"/>
      <c r="I834" s="378"/>
      <c r="J834" s="376" t="s">
        <v>215</v>
      </c>
      <c r="K834" s="376" t="s">
        <v>863</v>
      </c>
      <c r="L834" s="376" t="s">
        <v>252</v>
      </c>
      <c r="M834" s="376" t="s">
        <v>272</v>
      </c>
      <c r="N834" s="376" t="s">
        <v>172</v>
      </c>
      <c r="O834" s="379">
        <v>0</v>
      </c>
      <c r="P834" s="385">
        <v>0</v>
      </c>
      <c r="Q834" s="385">
        <v>0</v>
      </c>
      <c r="R834" s="380">
        <v>80</v>
      </c>
      <c r="S834" s="385">
        <v>0</v>
      </c>
      <c r="T834" s="380">
        <v>20598.64</v>
      </c>
      <c r="U834" s="380">
        <v>0</v>
      </c>
      <c r="V834" s="380">
        <v>11041.13</v>
      </c>
      <c r="W834" s="380">
        <v>0</v>
      </c>
      <c r="X834" s="380">
        <v>0</v>
      </c>
      <c r="Y834" s="380">
        <v>0</v>
      </c>
      <c r="Z834" s="380">
        <v>0</v>
      </c>
      <c r="AA834" s="378"/>
      <c r="AB834" s="376" t="s">
        <v>45</v>
      </c>
      <c r="AC834" s="376" t="s">
        <v>45</v>
      </c>
      <c r="AD834" s="378"/>
      <c r="AE834" s="378"/>
      <c r="AF834" s="378"/>
      <c r="AG834" s="378"/>
      <c r="AH834" s="379">
        <v>0</v>
      </c>
      <c r="AI834" s="379">
        <v>0</v>
      </c>
      <c r="AJ834" s="378"/>
      <c r="AK834" s="378"/>
      <c r="AL834" s="376" t="s">
        <v>181</v>
      </c>
      <c r="AM834" s="378"/>
      <c r="AN834" s="378"/>
      <c r="AO834" s="379">
        <v>0</v>
      </c>
      <c r="AP834" s="385">
        <v>0</v>
      </c>
      <c r="AQ834" s="385">
        <v>0</v>
      </c>
      <c r="AR834" s="384"/>
      <c r="AS834" s="387">
        <f t="shared" si="555"/>
        <v>0</v>
      </c>
      <c r="AT834">
        <f t="shared" si="556"/>
        <v>0</v>
      </c>
      <c r="AU834" s="387" t="str">
        <f>IF(AT834=0,"",IF(AND(AT834=1,M834="F",SUMIF(C2:C1334,C834,AS2:AS1334)&lt;=1),SUMIF(C2:C1334,C834,AS2:AS1334),IF(AND(AT834=1,M834="F",SUMIF(C2:C1334,C834,AS2:AS1334)&gt;1),1,"")))</f>
        <v/>
      </c>
      <c r="AV834" s="387" t="str">
        <f>IF(AT834=0,"",IF(AND(AT834=3,M834="F",SUMIF(C2:C1334,C834,AS2:AS1334)&lt;=1),SUMIF(C2:C1334,C834,AS2:AS1334),IF(AND(AT834=3,M834="F",SUMIF(C2:C1334,C834,AS2:AS1334)&gt;1),1,"")))</f>
        <v/>
      </c>
      <c r="AW834" s="387">
        <f>SUMIF(C2:C1334,C834,O2:O1334)</f>
        <v>0</v>
      </c>
      <c r="AX834" s="387">
        <f>IF(AND(M834="F",AS834&lt;&gt;0),SUMIF(C2:C1334,C834,W2:W1334),0)</f>
        <v>0</v>
      </c>
      <c r="AY834" s="387" t="str">
        <f t="shared" si="557"/>
        <v/>
      </c>
      <c r="AZ834" s="387" t="str">
        <f t="shared" si="558"/>
        <v/>
      </c>
      <c r="BA834" s="387">
        <f t="shared" si="559"/>
        <v>0</v>
      </c>
      <c r="BB834" s="387">
        <f t="shared" ref="BB834:BB897" si="572">IF(AND(AT834=1,AK834="E",AU834&gt;=0.75,AW834=1),Health,IF(AND(AT834=1,AK834="E",AU834&gt;=0.75),Health*P834,IF(AND(AT834=1,AK834="E",AU834&gt;=0.5,AW834=1),PTHealth,IF(AND(AT834=1,AK834="E",AU834&gt;=0.5),PTHealth*P834,0))))</f>
        <v>0</v>
      </c>
      <c r="BC834" s="387">
        <f t="shared" ref="BC834:BC897" si="573">IF(AND(AT834=3,AK834="E",AV834&gt;=0.75,AW834=1),Health,IF(AND(AT834=3,AK834="E",AV834&gt;=0.75),Health*P834,IF(AND(AT834=3,AK834="E",AV834&gt;=0.5,AW834=1),PTHealth,IF(AND(AT834=3,AK834="E",AV834&gt;=0.5),PTHealth*P834,0))))</f>
        <v>0</v>
      </c>
      <c r="BD834" s="387">
        <f t="shared" ref="BD834:BD897" si="574">IF(AND(AT834&lt;&gt;0,AX834&gt;=MAXSSDI),SSDI*MAXSSDI*P834,IF(AT834&lt;&gt;0,SSDI*W834,0))</f>
        <v>0</v>
      </c>
      <c r="BE834" s="387">
        <f t="shared" ref="BE834:BE897" si="575">IF(AT834&lt;&gt;0,SSHI*W834,0)</f>
        <v>0</v>
      </c>
      <c r="BF834" s="387">
        <f t="shared" ref="BF834:BF897" si="576">IF(AND(AT834&lt;&gt;0,AN834&lt;&gt;"NE"),VLOOKUP(AN834,Retirement_Rates,3,FALSE)*W834,0)</f>
        <v>0</v>
      </c>
      <c r="BG834" s="387">
        <f t="shared" ref="BG834:BG897" si="577">IF(AND(AT834&lt;&gt;0,AJ834&lt;&gt;"PF"),Life*W834,0)</f>
        <v>0</v>
      </c>
      <c r="BH834" s="387">
        <f t="shared" ref="BH834:BH897" si="578">IF(AND(AT834&lt;&gt;0,AM834="Y"),UI*W834,0)</f>
        <v>0</v>
      </c>
      <c r="BI834" s="387">
        <f t="shared" ref="BI834:BI897" si="579">IF(AND(AT834&lt;&gt;0,N834&lt;&gt;"NR"),DHR*W834,0)</f>
        <v>0</v>
      </c>
      <c r="BJ834" s="387">
        <f t="shared" ref="BJ834:BJ897" si="580">IF(AT834&lt;&gt;0,WC*W834,0)</f>
        <v>0</v>
      </c>
      <c r="BK834" s="387">
        <f t="shared" ref="BK834:BK897" si="581">IF(OR(AND(AT834&lt;&gt;0,AJ834&lt;&gt;"PF",AN834&lt;&gt;"NE",AG834&lt;&gt;"A"),AND(AL834="E",OR(AT834=1,AT834=3))),Sick*W834,0)</f>
        <v>0</v>
      </c>
      <c r="BL834" s="387">
        <f t="shared" si="560"/>
        <v>0</v>
      </c>
      <c r="BM834" s="387">
        <f t="shared" si="561"/>
        <v>0</v>
      </c>
      <c r="BN834" s="387">
        <f t="shared" ref="BN834:BN897" si="582">IF(AND(AT834=1,AK834="E",AU834&gt;=0.75,AW834=1),HealthBY,IF(AND(AT834=1,AK834="E",AU834&gt;=0.75),HealthBY*P834,IF(AND(AT834=1,AK834="E",AU834&gt;=0.5,AW834=1),PTHealthBY,IF(AND(AT834=1,AK834="E",AU834&gt;=0.5),PTHealthBY*P834,0))))</f>
        <v>0</v>
      </c>
      <c r="BO834" s="387">
        <f t="shared" ref="BO834:BO897" si="583">IF(AND(AT834=3,AK834="E",AV834&gt;=0.75,AW834=1),HealthBY,IF(AND(AT834=3,AK834="E",AV834&gt;=0.75),HealthBY*P834,IF(AND(AT834=3,AK834="E",AV834&gt;=0.5,AW834=1),PTHealthBY,IF(AND(AT834=3,AK834="E",AV834&gt;=0.5),PTHealthBY*P834,0))))</f>
        <v>0</v>
      </c>
      <c r="BP834" s="387">
        <f t="shared" ref="BP834:BP897" si="584">IF(AND(AT834&lt;&gt;0,(AX834+BA834)&gt;=MAXSSDIBY),SSDIBY*MAXSSDIBY*P834,IF(AT834&lt;&gt;0,SSDIBY*W834,0))</f>
        <v>0</v>
      </c>
      <c r="BQ834" s="387">
        <f t="shared" ref="BQ834:BQ897" si="585">IF(AT834&lt;&gt;0,SSHIBY*W834,0)</f>
        <v>0</v>
      </c>
      <c r="BR834" s="387">
        <f t="shared" ref="BR834:BR897" si="586">IF(AND(AT834&lt;&gt;0,AN834&lt;&gt;"NE"),VLOOKUP(AN834,Retirement_Rates,4,FALSE)*W834,0)</f>
        <v>0</v>
      </c>
      <c r="BS834" s="387">
        <f t="shared" ref="BS834:BS897" si="587">IF(AND(AT834&lt;&gt;0,AJ834&lt;&gt;"PF"),LifeBY*W834,0)</f>
        <v>0</v>
      </c>
      <c r="BT834" s="387">
        <f t="shared" ref="BT834:BT897" si="588">IF(AND(AT834&lt;&gt;0,AM834="Y"),UIBY*W834,0)</f>
        <v>0</v>
      </c>
      <c r="BU834" s="387">
        <f t="shared" ref="BU834:BU897" si="589">IF(AND(AT834&lt;&gt;0,N834&lt;&gt;"NR"),DHRBY*W834,0)</f>
        <v>0</v>
      </c>
      <c r="BV834" s="387">
        <f t="shared" ref="BV834:BV897" si="590">IF(AT834&lt;&gt;0,WCBY*W834,0)</f>
        <v>0</v>
      </c>
      <c r="BW834" s="387">
        <f t="shared" ref="BW834:BW897" si="591">IF(OR(AND(AT834&lt;&gt;0,AJ834&lt;&gt;"PF",AN834&lt;&gt;"NE",AG834&lt;&gt;"A"),AND(AL834="E",OR(AT834=1,AT834=3))),SickBY*W834,0)</f>
        <v>0</v>
      </c>
      <c r="BX834" s="387">
        <f t="shared" si="562"/>
        <v>0</v>
      </c>
      <c r="BY834" s="387">
        <f t="shared" si="563"/>
        <v>0</v>
      </c>
      <c r="BZ834" s="387">
        <f t="shared" si="564"/>
        <v>0</v>
      </c>
      <c r="CA834" s="387">
        <f t="shared" si="565"/>
        <v>0</v>
      </c>
      <c r="CB834" s="387">
        <f t="shared" si="566"/>
        <v>0</v>
      </c>
      <c r="CC834" s="387">
        <f t="shared" ref="CC834:CC897" si="592">IF(AT834&lt;&gt;0,SSHICHG*Y834,0)</f>
        <v>0</v>
      </c>
      <c r="CD834" s="387">
        <f t="shared" ref="CD834:CD897" si="593">IF(AND(AT834&lt;&gt;0,AN834&lt;&gt;"NE"),VLOOKUP(AN834,Retirement_Rates,5,FALSE)*Y834,0)</f>
        <v>0</v>
      </c>
      <c r="CE834" s="387">
        <f t="shared" ref="CE834:CE897" si="594">IF(AND(AT834&lt;&gt;0,AJ834&lt;&gt;"PF"),LifeCHG*Y834,0)</f>
        <v>0</v>
      </c>
      <c r="CF834" s="387">
        <f t="shared" ref="CF834:CF897" si="595">IF(AND(AT834&lt;&gt;0,AM834="Y"),UICHG*Y834,0)</f>
        <v>0</v>
      </c>
      <c r="CG834" s="387">
        <f t="shared" ref="CG834:CG897" si="596">IF(AND(AT834&lt;&gt;0,N834&lt;&gt;"NR"),DHRCHG*Y834,0)</f>
        <v>0</v>
      </c>
      <c r="CH834" s="387">
        <f t="shared" ref="CH834:CH897" si="597">IF(AT834&lt;&gt;0,WCCHG*Y834,0)</f>
        <v>0</v>
      </c>
      <c r="CI834" s="387">
        <f t="shared" ref="CI834:CI897" si="598">IF(OR(AND(AT834&lt;&gt;0,AJ834&lt;&gt;"PF",AN834&lt;&gt;"NE",AG834&lt;&gt;"A"),AND(AL834="E",OR(AT834=1,AT834=3))),SickCHG*Y834,0)</f>
        <v>0</v>
      </c>
      <c r="CJ834" s="387">
        <f t="shared" si="567"/>
        <v>0</v>
      </c>
      <c r="CK834" s="387" t="str">
        <f t="shared" si="568"/>
        <v/>
      </c>
      <c r="CL834" s="387" t="str">
        <f t="shared" si="569"/>
        <v/>
      </c>
      <c r="CM834" s="387" t="str">
        <f t="shared" si="570"/>
        <v/>
      </c>
      <c r="CN834" s="387" t="str">
        <f t="shared" si="571"/>
        <v>0348-31</v>
      </c>
    </row>
    <row r="835" spans="1:92" ht="15.75" thickBot="1" x14ac:dyDescent="0.3">
      <c r="A835" s="376" t="s">
        <v>161</v>
      </c>
      <c r="B835" s="376" t="s">
        <v>162</v>
      </c>
      <c r="C835" s="376" t="s">
        <v>1134</v>
      </c>
      <c r="D835" s="376" t="s">
        <v>862</v>
      </c>
      <c r="E835" s="376" t="s">
        <v>224</v>
      </c>
      <c r="F835" s="382" t="s">
        <v>225</v>
      </c>
      <c r="G835" s="376" t="s">
        <v>1945</v>
      </c>
      <c r="H835" s="378"/>
      <c r="I835" s="378"/>
      <c r="J835" s="376" t="s">
        <v>168</v>
      </c>
      <c r="K835" s="376" t="s">
        <v>863</v>
      </c>
      <c r="L835" s="376" t="s">
        <v>252</v>
      </c>
      <c r="M835" s="376" t="s">
        <v>171</v>
      </c>
      <c r="N835" s="376" t="s">
        <v>172</v>
      </c>
      <c r="O835" s="379">
        <v>1</v>
      </c>
      <c r="P835" s="385">
        <v>0.1</v>
      </c>
      <c r="Q835" s="385">
        <v>0.1</v>
      </c>
      <c r="R835" s="380">
        <v>80</v>
      </c>
      <c r="S835" s="385">
        <v>0.1</v>
      </c>
      <c r="T835" s="380">
        <v>2215.66</v>
      </c>
      <c r="U835" s="380">
        <v>0</v>
      </c>
      <c r="V835" s="380">
        <v>1176.6400000000001</v>
      </c>
      <c r="W835" s="380">
        <v>3889.6</v>
      </c>
      <c r="X835" s="380">
        <v>2006.12</v>
      </c>
      <c r="Y835" s="380">
        <v>3889.6</v>
      </c>
      <c r="Z835" s="380">
        <v>1989.78</v>
      </c>
      <c r="AA835" s="376" t="s">
        <v>1135</v>
      </c>
      <c r="AB835" s="376" t="s">
        <v>1136</v>
      </c>
      <c r="AC835" s="376" t="s">
        <v>1137</v>
      </c>
      <c r="AD835" s="376" t="s">
        <v>268</v>
      </c>
      <c r="AE835" s="376" t="s">
        <v>863</v>
      </c>
      <c r="AF835" s="376" t="s">
        <v>393</v>
      </c>
      <c r="AG835" s="376" t="s">
        <v>178</v>
      </c>
      <c r="AH835" s="381">
        <v>18.7</v>
      </c>
      <c r="AI835" s="381">
        <v>22243.8</v>
      </c>
      <c r="AJ835" s="376" t="s">
        <v>179</v>
      </c>
      <c r="AK835" s="376" t="s">
        <v>180</v>
      </c>
      <c r="AL835" s="376" t="s">
        <v>181</v>
      </c>
      <c r="AM835" s="376" t="s">
        <v>182</v>
      </c>
      <c r="AN835" s="376" t="s">
        <v>68</v>
      </c>
      <c r="AO835" s="379">
        <v>80</v>
      </c>
      <c r="AP835" s="385">
        <v>1</v>
      </c>
      <c r="AQ835" s="385">
        <v>0.1</v>
      </c>
      <c r="AR835" s="383" t="s">
        <v>183</v>
      </c>
      <c r="AS835" s="387">
        <f t="shared" ref="AS835:AS898" si="599">IF(((AO835/80)*AP835*P835)&gt;1,AQ835,((AO835/80)*AP835*P835))</f>
        <v>0.1</v>
      </c>
      <c r="AT835">
        <f t="shared" ref="AT835:AT898" si="600">IF(AND(M835="F",N835&lt;&gt;"NG",AS835&lt;&gt;0,AND(AR835&lt;&gt;6,AR835&lt;&gt;36,AR835&lt;&gt;56),AG835&lt;&gt;"A",OR(AG835="H",AJ835="FS")),1,IF(AND(M835="F",N835&lt;&gt;"NG",AS835&lt;&gt;0,AG835="A"),3,0))</f>
        <v>1</v>
      </c>
      <c r="AU835" s="387">
        <f>IF(AT835=0,"",IF(AND(AT835=1,M835="F",SUMIF(C2:C1334,C835,AS2:AS1334)&lt;=1),SUMIF(C2:C1334,C835,AS2:AS1334),IF(AND(AT835=1,M835="F",SUMIF(C2:C1334,C835,AS2:AS1334)&gt;1),1,"")))</f>
        <v>1</v>
      </c>
      <c r="AV835" s="387" t="str">
        <f>IF(AT835=0,"",IF(AND(AT835=3,M835="F",SUMIF(C2:C1334,C835,AS2:AS1334)&lt;=1),SUMIF(C2:C1334,C835,AS2:AS1334),IF(AND(AT835=3,M835="F",SUMIF(C2:C1334,C835,AS2:AS1334)&gt;1),1,"")))</f>
        <v/>
      </c>
      <c r="AW835" s="387">
        <f>SUMIF(C2:C1334,C835,O2:O1334)</f>
        <v>2</v>
      </c>
      <c r="AX835" s="387">
        <f>IF(AND(M835="F",AS835&lt;&gt;0),SUMIF(C2:C1334,C835,W2:W1334),0)</f>
        <v>38896</v>
      </c>
      <c r="AY835" s="387">
        <f t="shared" ref="AY835:AY898" si="601">IF(AT835=1,W835,"")</f>
        <v>3889.6</v>
      </c>
      <c r="AZ835" s="387" t="str">
        <f t="shared" ref="AZ835:AZ898" si="602">IF(AT835=3,W835,"")</f>
        <v/>
      </c>
      <c r="BA835" s="387">
        <f t="shared" ref="BA835:BA898" si="603">IF(AT835=1,Y835-W835,0)</f>
        <v>0</v>
      </c>
      <c r="BB835" s="387">
        <f t="shared" si="572"/>
        <v>1165</v>
      </c>
      <c r="BC835" s="387">
        <f t="shared" si="573"/>
        <v>0</v>
      </c>
      <c r="BD835" s="387">
        <f t="shared" si="574"/>
        <v>241.15519999999998</v>
      </c>
      <c r="BE835" s="387">
        <f t="shared" si="575"/>
        <v>56.3992</v>
      </c>
      <c r="BF835" s="387">
        <f t="shared" si="576"/>
        <v>464.41824000000003</v>
      </c>
      <c r="BG835" s="387">
        <f t="shared" si="577"/>
        <v>28.044015999999999</v>
      </c>
      <c r="BH835" s="387">
        <f t="shared" si="578"/>
        <v>19.05904</v>
      </c>
      <c r="BI835" s="387">
        <f t="shared" si="579"/>
        <v>21.528935999999998</v>
      </c>
      <c r="BJ835" s="387">
        <f t="shared" si="580"/>
        <v>10.50192</v>
      </c>
      <c r="BK835" s="387">
        <f t="shared" si="581"/>
        <v>0</v>
      </c>
      <c r="BL835" s="387">
        <f t="shared" ref="BL835:BL898" si="604">IF(AT835=1,SUM(BD835:BK835),0)</f>
        <v>841.10655200000008</v>
      </c>
      <c r="BM835" s="387">
        <f t="shared" ref="BM835:BM898" si="605">IF(AT835=3,SUM(BD835:BK835),0)</f>
        <v>0</v>
      </c>
      <c r="BN835" s="387">
        <f t="shared" si="582"/>
        <v>1165</v>
      </c>
      <c r="BO835" s="387">
        <f t="shared" si="583"/>
        <v>0</v>
      </c>
      <c r="BP835" s="387">
        <f t="shared" si="584"/>
        <v>241.15519999999998</v>
      </c>
      <c r="BQ835" s="387">
        <f t="shared" si="585"/>
        <v>56.3992</v>
      </c>
      <c r="BR835" s="387">
        <f t="shared" si="586"/>
        <v>464.41824000000003</v>
      </c>
      <c r="BS835" s="387">
        <f t="shared" si="587"/>
        <v>28.044015999999999</v>
      </c>
      <c r="BT835" s="387">
        <f t="shared" si="588"/>
        <v>0</v>
      </c>
      <c r="BU835" s="387">
        <f t="shared" si="589"/>
        <v>21.528935999999998</v>
      </c>
      <c r="BV835" s="387">
        <f t="shared" si="590"/>
        <v>13.224639999999999</v>
      </c>
      <c r="BW835" s="387">
        <f t="shared" si="591"/>
        <v>0</v>
      </c>
      <c r="BX835" s="387">
        <f t="shared" ref="BX835:BX898" si="606">IF(AT835=1,SUM(BP835:BW835),0)</f>
        <v>824.77023200000008</v>
      </c>
      <c r="BY835" s="387">
        <f t="shared" ref="BY835:BY898" si="607">IF(AT835=3,SUM(BP835:BW835),0)</f>
        <v>0</v>
      </c>
      <c r="BZ835" s="387">
        <f t="shared" ref="BZ835:BZ898" si="608">IF(AT835=1,BN835-BB835,0)</f>
        <v>0</v>
      </c>
      <c r="CA835" s="387">
        <f t="shared" ref="CA835:CA898" si="609">IF(AT835=3,BO835-BC835,0)</f>
        <v>0</v>
      </c>
      <c r="CB835" s="387">
        <f t="shared" ref="CB835:CB898" si="610">BP835-BD835</f>
        <v>0</v>
      </c>
      <c r="CC835" s="387">
        <f t="shared" si="592"/>
        <v>0</v>
      </c>
      <c r="CD835" s="387">
        <f t="shared" si="593"/>
        <v>0</v>
      </c>
      <c r="CE835" s="387">
        <f t="shared" si="594"/>
        <v>0</v>
      </c>
      <c r="CF835" s="387">
        <f t="shared" si="595"/>
        <v>-19.05904</v>
      </c>
      <c r="CG835" s="387">
        <f t="shared" si="596"/>
        <v>0</v>
      </c>
      <c r="CH835" s="387">
        <f t="shared" si="597"/>
        <v>2.7227199999999985</v>
      </c>
      <c r="CI835" s="387">
        <f t="shared" si="598"/>
        <v>0</v>
      </c>
      <c r="CJ835" s="387">
        <f t="shared" ref="CJ835:CJ898" si="611">IF(AT835=1,SUM(CB835:CI835),0)</f>
        <v>-16.336320000000001</v>
      </c>
      <c r="CK835" s="387" t="str">
        <f t="shared" ref="CK835:CK898" si="612">IF(AT835=3,SUM(CB835:CI835),"")</f>
        <v/>
      </c>
      <c r="CL835" s="387" t="str">
        <f t="shared" ref="CL835:CL898" si="613">IF(OR(N835="NG",AG835="D"),(T835+U835),"")</f>
        <v/>
      </c>
      <c r="CM835" s="387" t="str">
        <f t="shared" ref="CM835:CM898" si="614">IF(OR(N835="NG",AG835="D"),V835,"")</f>
        <v/>
      </c>
      <c r="CN835" s="387" t="str">
        <f t="shared" ref="CN835:CN898" si="615">E835 &amp; "-" &amp; F835</f>
        <v>0348-31</v>
      </c>
    </row>
    <row r="836" spans="1:92" ht="15.75" thickBot="1" x14ac:dyDescent="0.3">
      <c r="A836" s="376" t="s">
        <v>161</v>
      </c>
      <c r="B836" s="376" t="s">
        <v>162</v>
      </c>
      <c r="C836" s="376" t="s">
        <v>2019</v>
      </c>
      <c r="D836" s="376" t="s">
        <v>862</v>
      </c>
      <c r="E836" s="376" t="s">
        <v>224</v>
      </c>
      <c r="F836" s="382" t="s">
        <v>225</v>
      </c>
      <c r="G836" s="376" t="s">
        <v>1945</v>
      </c>
      <c r="H836" s="378"/>
      <c r="I836" s="378"/>
      <c r="J836" s="376" t="s">
        <v>215</v>
      </c>
      <c r="K836" s="376" t="s">
        <v>863</v>
      </c>
      <c r="L836" s="376" t="s">
        <v>252</v>
      </c>
      <c r="M836" s="376" t="s">
        <v>171</v>
      </c>
      <c r="N836" s="376" t="s">
        <v>172</v>
      </c>
      <c r="O836" s="379">
        <v>1</v>
      </c>
      <c r="P836" s="385">
        <v>1</v>
      </c>
      <c r="Q836" s="385">
        <v>1</v>
      </c>
      <c r="R836" s="380">
        <v>80</v>
      </c>
      <c r="S836" s="385">
        <v>1</v>
      </c>
      <c r="T836" s="380">
        <v>36438.410000000003</v>
      </c>
      <c r="U836" s="380">
        <v>522.24</v>
      </c>
      <c r="V836" s="380">
        <v>19392.189999999999</v>
      </c>
      <c r="W836" s="380">
        <v>39124.800000000003</v>
      </c>
      <c r="X836" s="380">
        <v>20110.7</v>
      </c>
      <c r="Y836" s="380">
        <v>39124.800000000003</v>
      </c>
      <c r="Z836" s="380">
        <v>19946.38</v>
      </c>
      <c r="AA836" s="376" t="s">
        <v>2020</v>
      </c>
      <c r="AB836" s="376" t="s">
        <v>2021</v>
      </c>
      <c r="AC836" s="376" t="s">
        <v>2022</v>
      </c>
      <c r="AD836" s="376" t="s">
        <v>252</v>
      </c>
      <c r="AE836" s="376" t="s">
        <v>863</v>
      </c>
      <c r="AF836" s="376" t="s">
        <v>393</v>
      </c>
      <c r="AG836" s="376" t="s">
        <v>178</v>
      </c>
      <c r="AH836" s="381">
        <v>18.809999999999999</v>
      </c>
      <c r="AI836" s="381">
        <v>23719.1</v>
      </c>
      <c r="AJ836" s="376" t="s">
        <v>179</v>
      </c>
      <c r="AK836" s="376" t="s">
        <v>180</v>
      </c>
      <c r="AL836" s="376" t="s">
        <v>181</v>
      </c>
      <c r="AM836" s="376" t="s">
        <v>182</v>
      </c>
      <c r="AN836" s="376" t="s">
        <v>68</v>
      </c>
      <c r="AO836" s="379">
        <v>80</v>
      </c>
      <c r="AP836" s="385">
        <v>1</v>
      </c>
      <c r="AQ836" s="385">
        <v>1</v>
      </c>
      <c r="AR836" s="383" t="s">
        <v>183</v>
      </c>
      <c r="AS836" s="387">
        <f t="shared" si="599"/>
        <v>1</v>
      </c>
      <c r="AT836">
        <f t="shared" si="600"/>
        <v>1</v>
      </c>
      <c r="AU836" s="387">
        <f>IF(AT836=0,"",IF(AND(AT836=1,M836="F",SUMIF(C2:C1334,C836,AS2:AS1334)&lt;=1),SUMIF(C2:C1334,C836,AS2:AS1334),IF(AND(AT836=1,M836="F",SUMIF(C2:C1334,C836,AS2:AS1334)&gt;1),1,"")))</f>
        <v>1</v>
      </c>
      <c r="AV836" s="387" t="str">
        <f>IF(AT836=0,"",IF(AND(AT836=3,M836="F",SUMIF(C2:C1334,C836,AS2:AS1334)&lt;=1),SUMIF(C2:C1334,C836,AS2:AS1334),IF(AND(AT836=3,M836="F",SUMIF(C2:C1334,C836,AS2:AS1334)&gt;1),1,"")))</f>
        <v/>
      </c>
      <c r="AW836" s="387">
        <f>SUMIF(C2:C1334,C836,O2:O1334)</f>
        <v>1</v>
      </c>
      <c r="AX836" s="387">
        <f>IF(AND(M836="F",AS836&lt;&gt;0),SUMIF(C2:C1334,C836,W2:W1334),0)</f>
        <v>39124.800000000003</v>
      </c>
      <c r="AY836" s="387">
        <f t="shared" si="601"/>
        <v>39124.800000000003</v>
      </c>
      <c r="AZ836" s="387" t="str">
        <f t="shared" si="602"/>
        <v/>
      </c>
      <c r="BA836" s="387">
        <f t="shared" si="603"/>
        <v>0</v>
      </c>
      <c r="BB836" s="387">
        <f t="shared" si="572"/>
        <v>11650</v>
      </c>
      <c r="BC836" s="387">
        <f t="shared" si="573"/>
        <v>0</v>
      </c>
      <c r="BD836" s="387">
        <f t="shared" si="574"/>
        <v>2425.7376000000004</v>
      </c>
      <c r="BE836" s="387">
        <f t="shared" si="575"/>
        <v>567.30960000000005</v>
      </c>
      <c r="BF836" s="387">
        <f t="shared" si="576"/>
        <v>4671.5011200000008</v>
      </c>
      <c r="BG836" s="387">
        <f t="shared" si="577"/>
        <v>282.089808</v>
      </c>
      <c r="BH836" s="387">
        <f t="shared" si="578"/>
        <v>191.71152000000001</v>
      </c>
      <c r="BI836" s="387">
        <f t="shared" si="579"/>
        <v>216.55576800000003</v>
      </c>
      <c r="BJ836" s="387">
        <f t="shared" si="580"/>
        <v>105.63696000000002</v>
      </c>
      <c r="BK836" s="387">
        <f t="shared" si="581"/>
        <v>0</v>
      </c>
      <c r="BL836" s="387">
        <f t="shared" si="604"/>
        <v>8460.5423760000012</v>
      </c>
      <c r="BM836" s="387">
        <f t="shared" si="605"/>
        <v>0</v>
      </c>
      <c r="BN836" s="387">
        <f t="shared" si="582"/>
        <v>11650</v>
      </c>
      <c r="BO836" s="387">
        <f t="shared" si="583"/>
        <v>0</v>
      </c>
      <c r="BP836" s="387">
        <f t="shared" si="584"/>
        <v>2425.7376000000004</v>
      </c>
      <c r="BQ836" s="387">
        <f t="shared" si="585"/>
        <v>567.30960000000005</v>
      </c>
      <c r="BR836" s="387">
        <f t="shared" si="586"/>
        <v>4671.5011200000008</v>
      </c>
      <c r="BS836" s="387">
        <f t="shared" si="587"/>
        <v>282.089808</v>
      </c>
      <c r="BT836" s="387">
        <f t="shared" si="588"/>
        <v>0</v>
      </c>
      <c r="BU836" s="387">
        <f t="shared" si="589"/>
        <v>216.55576800000003</v>
      </c>
      <c r="BV836" s="387">
        <f t="shared" si="590"/>
        <v>133.02431999999999</v>
      </c>
      <c r="BW836" s="387">
        <f t="shared" si="591"/>
        <v>0</v>
      </c>
      <c r="BX836" s="387">
        <f t="shared" si="606"/>
        <v>8296.2182160000011</v>
      </c>
      <c r="BY836" s="387">
        <f t="shared" si="607"/>
        <v>0</v>
      </c>
      <c r="BZ836" s="387">
        <f t="shared" si="608"/>
        <v>0</v>
      </c>
      <c r="CA836" s="387">
        <f t="shared" si="609"/>
        <v>0</v>
      </c>
      <c r="CB836" s="387">
        <f t="shared" si="610"/>
        <v>0</v>
      </c>
      <c r="CC836" s="387">
        <f t="shared" si="592"/>
        <v>0</v>
      </c>
      <c r="CD836" s="387">
        <f t="shared" si="593"/>
        <v>0</v>
      </c>
      <c r="CE836" s="387">
        <f t="shared" si="594"/>
        <v>0</v>
      </c>
      <c r="CF836" s="387">
        <f t="shared" si="595"/>
        <v>-191.71152000000001</v>
      </c>
      <c r="CG836" s="387">
        <f t="shared" si="596"/>
        <v>0</v>
      </c>
      <c r="CH836" s="387">
        <f t="shared" si="597"/>
        <v>27.38735999999999</v>
      </c>
      <c r="CI836" s="387">
        <f t="shared" si="598"/>
        <v>0</v>
      </c>
      <c r="CJ836" s="387">
        <f t="shared" si="611"/>
        <v>-164.32416000000001</v>
      </c>
      <c r="CK836" s="387" t="str">
        <f t="shared" si="612"/>
        <v/>
      </c>
      <c r="CL836" s="387" t="str">
        <f t="shared" si="613"/>
        <v/>
      </c>
      <c r="CM836" s="387" t="str">
        <f t="shared" si="614"/>
        <v/>
      </c>
      <c r="CN836" s="387" t="str">
        <f t="shared" si="615"/>
        <v>0348-31</v>
      </c>
    </row>
    <row r="837" spans="1:92" ht="15.75" thickBot="1" x14ac:dyDescent="0.3">
      <c r="A837" s="376" t="s">
        <v>161</v>
      </c>
      <c r="B837" s="376" t="s">
        <v>162</v>
      </c>
      <c r="C837" s="376" t="s">
        <v>2023</v>
      </c>
      <c r="D837" s="376" t="s">
        <v>655</v>
      </c>
      <c r="E837" s="376" t="s">
        <v>224</v>
      </c>
      <c r="F837" s="382" t="s">
        <v>225</v>
      </c>
      <c r="G837" s="376" t="s">
        <v>1945</v>
      </c>
      <c r="H837" s="378"/>
      <c r="I837" s="378"/>
      <c r="J837" s="376" t="s">
        <v>215</v>
      </c>
      <c r="K837" s="376" t="s">
        <v>656</v>
      </c>
      <c r="L837" s="376" t="s">
        <v>210</v>
      </c>
      <c r="M837" s="376" t="s">
        <v>171</v>
      </c>
      <c r="N837" s="376" t="s">
        <v>172</v>
      </c>
      <c r="O837" s="379">
        <v>1</v>
      </c>
      <c r="P837" s="385">
        <v>1</v>
      </c>
      <c r="Q837" s="385">
        <v>1</v>
      </c>
      <c r="R837" s="380">
        <v>80</v>
      </c>
      <c r="S837" s="385">
        <v>1</v>
      </c>
      <c r="T837" s="380">
        <v>60702.46</v>
      </c>
      <c r="U837" s="380">
        <v>0</v>
      </c>
      <c r="V837" s="380">
        <v>24202.01</v>
      </c>
      <c r="W837" s="380">
        <v>62836.800000000003</v>
      </c>
      <c r="X837" s="380">
        <v>25238.43</v>
      </c>
      <c r="Y837" s="380">
        <v>62836.800000000003</v>
      </c>
      <c r="Z837" s="380">
        <v>24974.52</v>
      </c>
      <c r="AA837" s="376" t="s">
        <v>2024</v>
      </c>
      <c r="AB837" s="376" t="s">
        <v>1171</v>
      </c>
      <c r="AC837" s="376" t="s">
        <v>260</v>
      </c>
      <c r="AD837" s="376" t="s">
        <v>533</v>
      </c>
      <c r="AE837" s="376" t="s">
        <v>656</v>
      </c>
      <c r="AF837" s="376" t="s">
        <v>245</v>
      </c>
      <c r="AG837" s="376" t="s">
        <v>178</v>
      </c>
      <c r="AH837" s="381">
        <v>30.21</v>
      </c>
      <c r="AI837" s="379">
        <v>9672</v>
      </c>
      <c r="AJ837" s="376" t="s">
        <v>179</v>
      </c>
      <c r="AK837" s="376" t="s">
        <v>180</v>
      </c>
      <c r="AL837" s="376" t="s">
        <v>181</v>
      </c>
      <c r="AM837" s="376" t="s">
        <v>182</v>
      </c>
      <c r="AN837" s="376" t="s">
        <v>68</v>
      </c>
      <c r="AO837" s="379">
        <v>80</v>
      </c>
      <c r="AP837" s="385">
        <v>1</v>
      </c>
      <c r="AQ837" s="385">
        <v>1</v>
      </c>
      <c r="AR837" s="383" t="s">
        <v>183</v>
      </c>
      <c r="AS837" s="387">
        <f t="shared" si="599"/>
        <v>1</v>
      </c>
      <c r="AT837">
        <f t="shared" si="600"/>
        <v>1</v>
      </c>
      <c r="AU837" s="387">
        <f>IF(AT837=0,"",IF(AND(AT837=1,M837="F",SUMIF(C2:C1334,C837,AS2:AS1334)&lt;=1),SUMIF(C2:C1334,C837,AS2:AS1334),IF(AND(AT837=1,M837="F",SUMIF(C2:C1334,C837,AS2:AS1334)&gt;1),1,"")))</f>
        <v>1</v>
      </c>
      <c r="AV837" s="387" t="str">
        <f>IF(AT837=0,"",IF(AND(AT837=3,M837="F",SUMIF(C2:C1334,C837,AS2:AS1334)&lt;=1),SUMIF(C2:C1334,C837,AS2:AS1334),IF(AND(AT837=3,M837="F",SUMIF(C2:C1334,C837,AS2:AS1334)&gt;1),1,"")))</f>
        <v/>
      </c>
      <c r="AW837" s="387">
        <f>SUMIF(C2:C1334,C837,O2:O1334)</f>
        <v>1</v>
      </c>
      <c r="AX837" s="387">
        <f>IF(AND(M837="F",AS837&lt;&gt;0),SUMIF(C2:C1334,C837,W2:W1334),0)</f>
        <v>62836.800000000003</v>
      </c>
      <c r="AY837" s="387">
        <f t="shared" si="601"/>
        <v>62836.800000000003</v>
      </c>
      <c r="AZ837" s="387" t="str">
        <f t="shared" si="602"/>
        <v/>
      </c>
      <c r="BA837" s="387">
        <f t="shared" si="603"/>
        <v>0</v>
      </c>
      <c r="BB837" s="387">
        <f t="shared" si="572"/>
        <v>11650</v>
      </c>
      <c r="BC837" s="387">
        <f t="shared" si="573"/>
        <v>0</v>
      </c>
      <c r="BD837" s="387">
        <f t="shared" si="574"/>
        <v>3895.8816000000002</v>
      </c>
      <c r="BE837" s="387">
        <f t="shared" si="575"/>
        <v>911.13360000000011</v>
      </c>
      <c r="BF837" s="387">
        <f t="shared" si="576"/>
        <v>7502.7139200000011</v>
      </c>
      <c r="BG837" s="387">
        <f t="shared" si="577"/>
        <v>453.05332800000002</v>
      </c>
      <c r="BH837" s="387">
        <f t="shared" si="578"/>
        <v>307.90032000000002</v>
      </c>
      <c r="BI837" s="387">
        <f t="shared" si="579"/>
        <v>347.80168800000001</v>
      </c>
      <c r="BJ837" s="387">
        <f t="shared" si="580"/>
        <v>169.65936000000002</v>
      </c>
      <c r="BK837" s="387">
        <f t="shared" si="581"/>
        <v>0</v>
      </c>
      <c r="BL837" s="387">
        <f t="shared" si="604"/>
        <v>13588.143816</v>
      </c>
      <c r="BM837" s="387">
        <f t="shared" si="605"/>
        <v>0</v>
      </c>
      <c r="BN837" s="387">
        <f t="shared" si="582"/>
        <v>11650</v>
      </c>
      <c r="BO837" s="387">
        <f t="shared" si="583"/>
        <v>0</v>
      </c>
      <c r="BP837" s="387">
        <f t="shared" si="584"/>
        <v>3895.8816000000002</v>
      </c>
      <c r="BQ837" s="387">
        <f t="shared" si="585"/>
        <v>911.13360000000011</v>
      </c>
      <c r="BR837" s="387">
        <f t="shared" si="586"/>
        <v>7502.7139200000011</v>
      </c>
      <c r="BS837" s="387">
        <f t="shared" si="587"/>
        <v>453.05332800000002</v>
      </c>
      <c r="BT837" s="387">
        <f t="shared" si="588"/>
        <v>0</v>
      </c>
      <c r="BU837" s="387">
        <f t="shared" si="589"/>
        <v>347.80168800000001</v>
      </c>
      <c r="BV837" s="387">
        <f t="shared" si="590"/>
        <v>213.64511999999999</v>
      </c>
      <c r="BW837" s="387">
        <f t="shared" si="591"/>
        <v>0</v>
      </c>
      <c r="BX837" s="387">
        <f t="shared" si="606"/>
        <v>13324.229255999999</v>
      </c>
      <c r="BY837" s="387">
        <f t="shared" si="607"/>
        <v>0</v>
      </c>
      <c r="BZ837" s="387">
        <f t="shared" si="608"/>
        <v>0</v>
      </c>
      <c r="CA837" s="387">
        <f t="shared" si="609"/>
        <v>0</v>
      </c>
      <c r="CB837" s="387">
        <f t="shared" si="610"/>
        <v>0</v>
      </c>
      <c r="CC837" s="387">
        <f t="shared" si="592"/>
        <v>0</v>
      </c>
      <c r="CD837" s="387">
        <f t="shared" si="593"/>
        <v>0</v>
      </c>
      <c r="CE837" s="387">
        <f t="shared" si="594"/>
        <v>0</v>
      </c>
      <c r="CF837" s="387">
        <f t="shared" si="595"/>
        <v>-307.90032000000002</v>
      </c>
      <c r="CG837" s="387">
        <f t="shared" si="596"/>
        <v>0</v>
      </c>
      <c r="CH837" s="387">
        <f t="shared" si="597"/>
        <v>43.985759999999978</v>
      </c>
      <c r="CI837" s="387">
        <f t="shared" si="598"/>
        <v>0</v>
      </c>
      <c r="CJ837" s="387">
        <f t="shared" si="611"/>
        <v>-263.91456000000005</v>
      </c>
      <c r="CK837" s="387" t="str">
        <f t="shared" si="612"/>
        <v/>
      </c>
      <c r="CL837" s="387" t="str">
        <f t="shared" si="613"/>
        <v/>
      </c>
      <c r="CM837" s="387" t="str">
        <f t="shared" si="614"/>
        <v/>
      </c>
      <c r="CN837" s="387" t="str">
        <f t="shared" si="615"/>
        <v>0348-31</v>
      </c>
    </row>
    <row r="838" spans="1:92" ht="15.75" thickBot="1" x14ac:dyDescent="0.3">
      <c r="A838" s="376" t="s">
        <v>161</v>
      </c>
      <c r="B838" s="376" t="s">
        <v>162</v>
      </c>
      <c r="C838" s="376" t="s">
        <v>1611</v>
      </c>
      <c r="D838" s="376" t="s">
        <v>375</v>
      </c>
      <c r="E838" s="376" t="s">
        <v>224</v>
      </c>
      <c r="F838" s="382" t="s">
        <v>225</v>
      </c>
      <c r="G838" s="376" t="s">
        <v>1945</v>
      </c>
      <c r="H838" s="378"/>
      <c r="I838" s="378"/>
      <c r="J838" s="376" t="s">
        <v>239</v>
      </c>
      <c r="K838" s="376" t="s">
        <v>376</v>
      </c>
      <c r="L838" s="376" t="s">
        <v>178</v>
      </c>
      <c r="M838" s="376" t="s">
        <v>171</v>
      </c>
      <c r="N838" s="376" t="s">
        <v>172</v>
      </c>
      <c r="O838" s="379">
        <v>1</v>
      </c>
      <c r="P838" s="385">
        <v>0.5</v>
      </c>
      <c r="Q838" s="385">
        <v>0.5</v>
      </c>
      <c r="R838" s="380">
        <v>80</v>
      </c>
      <c r="S838" s="385">
        <v>0.5</v>
      </c>
      <c r="T838" s="380">
        <v>12382.16</v>
      </c>
      <c r="U838" s="380">
        <v>81.650000000000006</v>
      </c>
      <c r="V838" s="380">
        <v>7505.75</v>
      </c>
      <c r="W838" s="380">
        <v>15412.8</v>
      </c>
      <c r="X838" s="380">
        <v>9158</v>
      </c>
      <c r="Y838" s="380">
        <v>15412.8</v>
      </c>
      <c r="Z838" s="380">
        <v>9093.27</v>
      </c>
      <c r="AA838" s="376" t="s">
        <v>1612</v>
      </c>
      <c r="AB838" s="376" t="s">
        <v>1613</v>
      </c>
      <c r="AC838" s="376" t="s">
        <v>451</v>
      </c>
      <c r="AD838" s="376" t="s">
        <v>324</v>
      </c>
      <c r="AE838" s="376" t="s">
        <v>376</v>
      </c>
      <c r="AF838" s="376" t="s">
        <v>253</v>
      </c>
      <c r="AG838" s="376" t="s">
        <v>178</v>
      </c>
      <c r="AH838" s="381">
        <v>14.82</v>
      </c>
      <c r="AI838" s="379">
        <v>10828</v>
      </c>
      <c r="AJ838" s="376" t="s">
        <v>179</v>
      </c>
      <c r="AK838" s="376" t="s">
        <v>180</v>
      </c>
      <c r="AL838" s="376" t="s">
        <v>181</v>
      </c>
      <c r="AM838" s="376" t="s">
        <v>182</v>
      </c>
      <c r="AN838" s="376" t="s">
        <v>68</v>
      </c>
      <c r="AO838" s="379">
        <v>80</v>
      </c>
      <c r="AP838" s="385">
        <v>1</v>
      </c>
      <c r="AQ838" s="385">
        <v>0.5</v>
      </c>
      <c r="AR838" s="383" t="s">
        <v>183</v>
      </c>
      <c r="AS838" s="387">
        <f t="shared" si="599"/>
        <v>0.5</v>
      </c>
      <c r="AT838">
        <f t="shared" si="600"/>
        <v>1</v>
      </c>
      <c r="AU838" s="387">
        <f>IF(AT838=0,"",IF(AND(AT838=1,M838="F",SUMIF(C2:C1334,C838,AS2:AS1334)&lt;=1),SUMIF(C2:C1334,C838,AS2:AS1334),IF(AND(AT838=1,M838="F",SUMIF(C2:C1334,C838,AS2:AS1334)&gt;1),1,"")))</f>
        <v>1</v>
      </c>
      <c r="AV838" s="387" t="str">
        <f>IF(AT838=0,"",IF(AND(AT838=3,M838="F",SUMIF(C2:C1334,C838,AS2:AS1334)&lt;=1),SUMIF(C2:C1334,C838,AS2:AS1334),IF(AND(AT838=3,M838="F",SUMIF(C2:C1334,C838,AS2:AS1334)&gt;1),1,"")))</f>
        <v/>
      </c>
      <c r="AW838" s="387">
        <f>SUMIF(C2:C1334,C838,O2:O1334)</f>
        <v>4</v>
      </c>
      <c r="AX838" s="387">
        <f>IF(AND(M838="F",AS838&lt;&gt;0),SUMIF(C2:C1334,C838,W2:W1334),0)</f>
        <v>30825.599999999999</v>
      </c>
      <c r="AY838" s="387">
        <f t="shared" si="601"/>
        <v>15412.8</v>
      </c>
      <c r="AZ838" s="387" t="str">
        <f t="shared" si="602"/>
        <v/>
      </c>
      <c r="BA838" s="387">
        <f t="shared" si="603"/>
        <v>0</v>
      </c>
      <c r="BB838" s="387">
        <f t="shared" si="572"/>
        <v>5825</v>
      </c>
      <c r="BC838" s="387">
        <f t="shared" si="573"/>
        <v>0</v>
      </c>
      <c r="BD838" s="387">
        <f t="shared" si="574"/>
        <v>955.59359999999992</v>
      </c>
      <c r="BE838" s="387">
        <f t="shared" si="575"/>
        <v>223.48560000000001</v>
      </c>
      <c r="BF838" s="387">
        <f t="shared" si="576"/>
        <v>1840.2883200000001</v>
      </c>
      <c r="BG838" s="387">
        <f t="shared" si="577"/>
        <v>111.126288</v>
      </c>
      <c r="BH838" s="387">
        <f t="shared" si="578"/>
        <v>75.522719999999993</v>
      </c>
      <c r="BI838" s="387">
        <f t="shared" si="579"/>
        <v>85.309848000000002</v>
      </c>
      <c r="BJ838" s="387">
        <f t="shared" si="580"/>
        <v>41.614559999999997</v>
      </c>
      <c r="BK838" s="387">
        <f t="shared" si="581"/>
        <v>0</v>
      </c>
      <c r="BL838" s="387">
        <f t="shared" si="604"/>
        <v>3332.9409359999995</v>
      </c>
      <c r="BM838" s="387">
        <f t="shared" si="605"/>
        <v>0</v>
      </c>
      <c r="BN838" s="387">
        <f t="shared" si="582"/>
        <v>5825</v>
      </c>
      <c r="BO838" s="387">
        <f t="shared" si="583"/>
        <v>0</v>
      </c>
      <c r="BP838" s="387">
        <f t="shared" si="584"/>
        <v>955.59359999999992</v>
      </c>
      <c r="BQ838" s="387">
        <f t="shared" si="585"/>
        <v>223.48560000000001</v>
      </c>
      <c r="BR838" s="387">
        <f t="shared" si="586"/>
        <v>1840.2883200000001</v>
      </c>
      <c r="BS838" s="387">
        <f t="shared" si="587"/>
        <v>111.126288</v>
      </c>
      <c r="BT838" s="387">
        <f t="shared" si="588"/>
        <v>0</v>
      </c>
      <c r="BU838" s="387">
        <f t="shared" si="589"/>
        <v>85.309848000000002</v>
      </c>
      <c r="BV838" s="387">
        <f t="shared" si="590"/>
        <v>52.403519999999993</v>
      </c>
      <c r="BW838" s="387">
        <f t="shared" si="591"/>
        <v>0</v>
      </c>
      <c r="BX838" s="387">
        <f t="shared" si="606"/>
        <v>3268.2071759999994</v>
      </c>
      <c r="BY838" s="387">
        <f t="shared" si="607"/>
        <v>0</v>
      </c>
      <c r="BZ838" s="387">
        <f t="shared" si="608"/>
        <v>0</v>
      </c>
      <c r="CA838" s="387">
        <f t="shared" si="609"/>
        <v>0</v>
      </c>
      <c r="CB838" s="387">
        <f t="shared" si="610"/>
        <v>0</v>
      </c>
      <c r="CC838" s="387">
        <f t="shared" si="592"/>
        <v>0</v>
      </c>
      <c r="CD838" s="387">
        <f t="shared" si="593"/>
        <v>0</v>
      </c>
      <c r="CE838" s="387">
        <f t="shared" si="594"/>
        <v>0</v>
      </c>
      <c r="CF838" s="387">
        <f t="shared" si="595"/>
        <v>-75.522719999999993</v>
      </c>
      <c r="CG838" s="387">
        <f t="shared" si="596"/>
        <v>0</v>
      </c>
      <c r="CH838" s="387">
        <f t="shared" si="597"/>
        <v>10.788959999999994</v>
      </c>
      <c r="CI838" s="387">
        <f t="shared" si="598"/>
        <v>0</v>
      </c>
      <c r="CJ838" s="387">
        <f t="shared" si="611"/>
        <v>-64.733760000000004</v>
      </c>
      <c r="CK838" s="387" t="str">
        <f t="shared" si="612"/>
        <v/>
      </c>
      <c r="CL838" s="387" t="str">
        <f t="shared" si="613"/>
        <v/>
      </c>
      <c r="CM838" s="387" t="str">
        <f t="shared" si="614"/>
        <v/>
      </c>
      <c r="CN838" s="387" t="str">
        <f t="shared" si="615"/>
        <v>0348-31</v>
      </c>
    </row>
    <row r="839" spans="1:92" ht="15.75" thickBot="1" x14ac:dyDescent="0.3">
      <c r="A839" s="376" t="s">
        <v>161</v>
      </c>
      <c r="B839" s="376" t="s">
        <v>162</v>
      </c>
      <c r="C839" s="376" t="s">
        <v>2025</v>
      </c>
      <c r="D839" s="376" t="s">
        <v>974</v>
      </c>
      <c r="E839" s="376" t="s">
        <v>224</v>
      </c>
      <c r="F839" s="382" t="s">
        <v>225</v>
      </c>
      <c r="G839" s="376" t="s">
        <v>1945</v>
      </c>
      <c r="H839" s="378"/>
      <c r="I839" s="378"/>
      <c r="J839" s="376" t="s">
        <v>215</v>
      </c>
      <c r="K839" s="376" t="s">
        <v>975</v>
      </c>
      <c r="L839" s="376" t="s">
        <v>296</v>
      </c>
      <c r="M839" s="376" t="s">
        <v>171</v>
      </c>
      <c r="N839" s="376" t="s">
        <v>172</v>
      </c>
      <c r="O839" s="379">
        <v>1</v>
      </c>
      <c r="P839" s="385">
        <v>1</v>
      </c>
      <c r="Q839" s="385">
        <v>1</v>
      </c>
      <c r="R839" s="380">
        <v>80</v>
      </c>
      <c r="S839" s="385">
        <v>1</v>
      </c>
      <c r="T839" s="380">
        <v>12608.43</v>
      </c>
      <c r="U839" s="380">
        <v>1718.42</v>
      </c>
      <c r="V839" s="380">
        <v>5837.46</v>
      </c>
      <c r="W839" s="380">
        <v>42764.800000000003</v>
      </c>
      <c r="X839" s="380">
        <v>20897.84</v>
      </c>
      <c r="Y839" s="380">
        <v>42764.800000000003</v>
      </c>
      <c r="Z839" s="380">
        <v>20718.240000000002</v>
      </c>
      <c r="AA839" s="376" t="s">
        <v>2026</v>
      </c>
      <c r="AB839" s="376" t="s">
        <v>2027</v>
      </c>
      <c r="AC839" s="376" t="s">
        <v>2028</v>
      </c>
      <c r="AD839" s="376" t="s">
        <v>2029</v>
      </c>
      <c r="AE839" s="376" t="s">
        <v>975</v>
      </c>
      <c r="AF839" s="376" t="s">
        <v>301</v>
      </c>
      <c r="AG839" s="376" t="s">
        <v>178</v>
      </c>
      <c r="AH839" s="381">
        <v>20.56</v>
      </c>
      <c r="AI839" s="381">
        <v>2373.9</v>
      </c>
      <c r="AJ839" s="376" t="s">
        <v>179</v>
      </c>
      <c r="AK839" s="376" t="s">
        <v>180</v>
      </c>
      <c r="AL839" s="376" t="s">
        <v>181</v>
      </c>
      <c r="AM839" s="376" t="s">
        <v>182</v>
      </c>
      <c r="AN839" s="376" t="s">
        <v>68</v>
      </c>
      <c r="AO839" s="379">
        <v>80</v>
      </c>
      <c r="AP839" s="385">
        <v>1</v>
      </c>
      <c r="AQ839" s="385">
        <v>1</v>
      </c>
      <c r="AR839" s="383" t="s">
        <v>183</v>
      </c>
      <c r="AS839" s="387">
        <f t="shared" si="599"/>
        <v>1</v>
      </c>
      <c r="AT839">
        <f t="shared" si="600"/>
        <v>1</v>
      </c>
      <c r="AU839" s="387">
        <f>IF(AT839=0,"",IF(AND(AT839=1,M839="F",SUMIF(C2:C1334,C839,AS2:AS1334)&lt;=1),SUMIF(C2:C1334,C839,AS2:AS1334),IF(AND(AT839=1,M839="F",SUMIF(C2:C1334,C839,AS2:AS1334)&gt;1),1,"")))</f>
        <v>1</v>
      </c>
      <c r="AV839" s="387" t="str">
        <f>IF(AT839=0,"",IF(AND(AT839=3,M839="F",SUMIF(C2:C1334,C839,AS2:AS1334)&lt;=1),SUMIF(C2:C1334,C839,AS2:AS1334),IF(AND(AT839=3,M839="F",SUMIF(C2:C1334,C839,AS2:AS1334)&gt;1),1,"")))</f>
        <v/>
      </c>
      <c r="AW839" s="387">
        <f>SUMIF(C2:C1334,C839,O2:O1334)</f>
        <v>1</v>
      </c>
      <c r="AX839" s="387">
        <f>IF(AND(M839="F",AS839&lt;&gt;0),SUMIF(C2:C1334,C839,W2:W1334),0)</f>
        <v>42764.800000000003</v>
      </c>
      <c r="AY839" s="387">
        <f t="shared" si="601"/>
        <v>42764.800000000003</v>
      </c>
      <c r="AZ839" s="387" t="str">
        <f t="shared" si="602"/>
        <v/>
      </c>
      <c r="BA839" s="387">
        <f t="shared" si="603"/>
        <v>0</v>
      </c>
      <c r="BB839" s="387">
        <f t="shared" si="572"/>
        <v>11650</v>
      </c>
      <c r="BC839" s="387">
        <f t="shared" si="573"/>
        <v>0</v>
      </c>
      <c r="BD839" s="387">
        <f t="shared" si="574"/>
        <v>2651.4176000000002</v>
      </c>
      <c r="BE839" s="387">
        <f t="shared" si="575"/>
        <v>620.08960000000002</v>
      </c>
      <c r="BF839" s="387">
        <f t="shared" si="576"/>
        <v>5106.1171200000008</v>
      </c>
      <c r="BG839" s="387">
        <f t="shared" si="577"/>
        <v>308.33420800000005</v>
      </c>
      <c r="BH839" s="387">
        <f t="shared" si="578"/>
        <v>209.54752000000002</v>
      </c>
      <c r="BI839" s="387">
        <f t="shared" si="579"/>
        <v>236.70316800000001</v>
      </c>
      <c r="BJ839" s="387">
        <f t="shared" si="580"/>
        <v>115.46496000000002</v>
      </c>
      <c r="BK839" s="387">
        <f t="shared" si="581"/>
        <v>0</v>
      </c>
      <c r="BL839" s="387">
        <f t="shared" si="604"/>
        <v>9247.6741760000004</v>
      </c>
      <c r="BM839" s="387">
        <f t="shared" si="605"/>
        <v>0</v>
      </c>
      <c r="BN839" s="387">
        <f t="shared" si="582"/>
        <v>11650</v>
      </c>
      <c r="BO839" s="387">
        <f t="shared" si="583"/>
        <v>0</v>
      </c>
      <c r="BP839" s="387">
        <f t="shared" si="584"/>
        <v>2651.4176000000002</v>
      </c>
      <c r="BQ839" s="387">
        <f t="shared" si="585"/>
        <v>620.08960000000002</v>
      </c>
      <c r="BR839" s="387">
        <f t="shared" si="586"/>
        <v>5106.1171200000008</v>
      </c>
      <c r="BS839" s="387">
        <f t="shared" si="587"/>
        <v>308.33420800000005</v>
      </c>
      <c r="BT839" s="387">
        <f t="shared" si="588"/>
        <v>0</v>
      </c>
      <c r="BU839" s="387">
        <f t="shared" si="589"/>
        <v>236.70316800000001</v>
      </c>
      <c r="BV839" s="387">
        <f t="shared" si="590"/>
        <v>145.40031999999999</v>
      </c>
      <c r="BW839" s="387">
        <f t="shared" si="591"/>
        <v>0</v>
      </c>
      <c r="BX839" s="387">
        <f t="shared" si="606"/>
        <v>9068.0620160000017</v>
      </c>
      <c r="BY839" s="387">
        <f t="shared" si="607"/>
        <v>0</v>
      </c>
      <c r="BZ839" s="387">
        <f t="shared" si="608"/>
        <v>0</v>
      </c>
      <c r="CA839" s="387">
        <f t="shared" si="609"/>
        <v>0</v>
      </c>
      <c r="CB839" s="387">
        <f t="shared" si="610"/>
        <v>0</v>
      </c>
      <c r="CC839" s="387">
        <f t="shared" si="592"/>
        <v>0</v>
      </c>
      <c r="CD839" s="387">
        <f t="shared" si="593"/>
        <v>0</v>
      </c>
      <c r="CE839" s="387">
        <f t="shared" si="594"/>
        <v>0</v>
      </c>
      <c r="CF839" s="387">
        <f t="shared" si="595"/>
        <v>-209.54752000000002</v>
      </c>
      <c r="CG839" s="387">
        <f t="shared" si="596"/>
        <v>0</v>
      </c>
      <c r="CH839" s="387">
        <f t="shared" si="597"/>
        <v>29.935359999999989</v>
      </c>
      <c r="CI839" s="387">
        <f t="shared" si="598"/>
        <v>0</v>
      </c>
      <c r="CJ839" s="387">
        <f t="shared" si="611"/>
        <v>-179.61216000000002</v>
      </c>
      <c r="CK839" s="387" t="str">
        <f t="shared" si="612"/>
        <v/>
      </c>
      <c r="CL839" s="387" t="str">
        <f t="shared" si="613"/>
        <v/>
      </c>
      <c r="CM839" s="387" t="str">
        <f t="shared" si="614"/>
        <v/>
      </c>
      <c r="CN839" s="387" t="str">
        <f t="shared" si="615"/>
        <v>0348-31</v>
      </c>
    </row>
    <row r="840" spans="1:92" ht="15.75" thickBot="1" x14ac:dyDescent="0.3">
      <c r="A840" s="376" t="s">
        <v>161</v>
      </c>
      <c r="B840" s="376" t="s">
        <v>162</v>
      </c>
      <c r="C840" s="376" t="s">
        <v>1208</v>
      </c>
      <c r="D840" s="376" t="s">
        <v>862</v>
      </c>
      <c r="E840" s="376" t="s">
        <v>224</v>
      </c>
      <c r="F840" s="382" t="s">
        <v>225</v>
      </c>
      <c r="G840" s="376" t="s">
        <v>1945</v>
      </c>
      <c r="H840" s="378"/>
      <c r="I840" s="378"/>
      <c r="J840" s="376" t="s">
        <v>168</v>
      </c>
      <c r="K840" s="376" t="s">
        <v>863</v>
      </c>
      <c r="L840" s="376" t="s">
        <v>252</v>
      </c>
      <c r="M840" s="376" t="s">
        <v>171</v>
      </c>
      <c r="N840" s="376" t="s">
        <v>172</v>
      </c>
      <c r="O840" s="379">
        <v>1</v>
      </c>
      <c r="P840" s="385">
        <v>0.3</v>
      </c>
      <c r="Q840" s="385">
        <v>0.3</v>
      </c>
      <c r="R840" s="380">
        <v>80</v>
      </c>
      <c r="S840" s="385">
        <v>0.3</v>
      </c>
      <c r="T840" s="380">
        <v>13933.12</v>
      </c>
      <c r="U840" s="380">
        <v>0</v>
      </c>
      <c r="V840" s="380">
        <v>5958.15</v>
      </c>
      <c r="W840" s="380">
        <v>16997.759999999998</v>
      </c>
      <c r="X840" s="380">
        <v>7170.75</v>
      </c>
      <c r="Y840" s="380">
        <v>16997.759999999998</v>
      </c>
      <c r="Z840" s="380">
        <v>7099.36</v>
      </c>
      <c r="AA840" s="376" t="s">
        <v>1209</v>
      </c>
      <c r="AB840" s="376" t="s">
        <v>1210</v>
      </c>
      <c r="AC840" s="376" t="s">
        <v>1211</v>
      </c>
      <c r="AD840" s="376" t="s">
        <v>198</v>
      </c>
      <c r="AE840" s="376" t="s">
        <v>863</v>
      </c>
      <c r="AF840" s="376" t="s">
        <v>393</v>
      </c>
      <c r="AG840" s="376" t="s">
        <v>178</v>
      </c>
      <c r="AH840" s="381">
        <v>27.24</v>
      </c>
      <c r="AI840" s="381">
        <v>63032.7</v>
      </c>
      <c r="AJ840" s="376" t="s">
        <v>179</v>
      </c>
      <c r="AK840" s="376" t="s">
        <v>180</v>
      </c>
      <c r="AL840" s="376" t="s">
        <v>181</v>
      </c>
      <c r="AM840" s="376" t="s">
        <v>182</v>
      </c>
      <c r="AN840" s="376" t="s">
        <v>68</v>
      </c>
      <c r="AO840" s="379">
        <v>80</v>
      </c>
      <c r="AP840" s="385">
        <v>1</v>
      </c>
      <c r="AQ840" s="385">
        <v>0.3</v>
      </c>
      <c r="AR840" s="383" t="s">
        <v>183</v>
      </c>
      <c r="AS840" s="387">
        <f t="shared" si="599"/>
        <v>0.3</v>
      </c>
      <c r="AT840">
        <f t="shared" si="600"/>
        <v>1</v>
      </c>
      <c r="AU840" s="387">
        <f>IF(AT840=0,"",IF(AND(AT840=1,M840="F",SUMIF(C2:C1334,C840,AS2:AS1334)&lt;=1),SUMIF(C2:C1334,C840,AS2:AS1334),IF(AND(AT840=1,M840="F",SUMIF(C2:C1334,C840,AS2:AS1334)&gt;1),1,"")))</f>
        <v>1</v>
      </c>
      <c r="AV840" s="387" t="str">
        <f>IF(AT840=0,"",IF(AND(AT840=3,M840="F",SUMIF(C2:C1334,C840,AS2:AS1334)&lt;=1),SUMIF(C2:C1334,C840,AS2:AS1334),IF(AND(AT840=3,M840="F",SUMIF(C2:C1334,C840,AS2:AS1334)&gt;1),1,"")))</f>
        <v/>
      </c>
      <c r="AW840" s="387">
        <f>SUMIF(C2:C1334,C840,O2:O1334)</f>
        <v>3</v>
      </c>
      <c r="AX840" s="387">
        <f>IF(AND(M840="F",AS840&lt;&gt;0),SUMIF(C2:C1334,C840,W2:W1334),0)</f>
        <v>56659.199999999997</v>
      </c>
      <c r="AY840" s="387">
        <f t="shared" si="601"/>
        <v>16997.759999999998</v>
      </c>
      <c r="AZ840" s="387" t="str">
        <f t="shared" si="602"/>
        <v/>
      </c>
      <c r="BA840" s="387">
        <f t="shared" si="603"/>
        <v>0</v>
      </c>
      <c r="BB840" s="387">
        <f t="shared" si="572"/>
        <v>3495</v>
      </c>
      <c r="BC840" s="387">
        <f t="shared" si="573"/>
        <v>0</v>
      </c>
      <c r="BD840" s="387">
        <f t="shared" si="574"/>
        <v>1053.8611199999998</v>
      </c>
      <c r="BE840" s="387">
        <f t="shared" si="575"/>
        <v>246.46751999999998</v>
      </c>
      <c r="BF840" s="387">
        <f t="shared" si="576"/>
        <v>2029.5325439999999</v>
      </c>
      <c r="BG840" s="387">
        <f t="shared" si="577"/>
        <v>122.55384959999999</v>
      </c>
      <c r="BH840" s="387">
        <f t="shared" si="578"/>
        <v>83.289023999999984</v>
      </c>
      <c r="BI840" s="387">
        <f t="shared" si="579"/>
        <v>94.08260159999999</v>
      </c>
      <c r="BJ840" s="387">
        <f t="shared" si="580"/>
        <v>45.893951999999999</v>
      </c>
      <c r="BK840" s="387">
        <f t="shared" si="581"/>
        <v>0</v>
      </c>
      <c r="BL840" s="387">
        <f t="shared" si="604"/>
        <v>3675.6806111999995</v>
      </c>
      <c r="BM840" s="387">
        <f t="shared" si="605"/>
        <v>0</v>
      </c>
      <c r="BN840" s="387">
        <f t="shared" si="582"/>
        <v>3495</v>
      </c>
      <c r="BO840" s="387">
        <f t="shared" si="583"/>
        <v>0</v>
      </c>
      <c r="BP840" s="387">
        <f t="shared" si="584"/>
        <v>1053.8611199999998</v>
      </c>
      <c r="BQ840" s="387">
        <f t="shared" si="585"/>
        <v>246.46751999999998</v>
      </c>
      <c r="BR840" s="387">
        <f t="shared" si="586"/>
        <v>2029.5325439999999</v>
      </c>
      <c r="BS840" s="387">
        <f t="shared" si="587"/>
        <v>122.55384959999999</v>
      </c>
      <c r="BT840" s="387">
        <f t="shared" si="588"/>
        <v>0</v>
      </c>
      <c r="BU840" s="387">
        <f t="shared" si="589"/>
        <v>94.08260159999999</v>
      </c>
      <c r="BV840" s="387">
        <f t="shared" si="590"/>
        <v>57.792383999999991</v>
      </c>
      <c r="BW840" s="387">
        <f t="shared" si="591"/>
        <v>0</v>
      </c>
      <c r="BX840" s="387">
        <f t="shared" si="606"/>
        <v>3604.2900191999993</v>
      </c>
      <c r="BY840" s="387">
        <f t="shared" si="607"/>
        <v>0</v>
      </c>
      <c r="BZ840" s="387">
        <f t="shared" si="608"/>
        <v>0</v>
      </c>
      <c r="CA840" s="387">
        <f t="shared" si="609"/>
        <v>0</v>
      </c>
      <c r="CB840" s="387">
        <f t="shared" si="610"/>
        <v>0</v>
      </c>
      <c r="CC840" s="387">
        <f t="shared" si="592"/>
        <v>0</v>
      </c>
      <c r="CD840" s="387">
        <f t="shared" si="593"/>
        <v>0</v>
      </c>
      <c r="CE840" s="387">
        <f t="shared" si="594"/>
        <v>0</v>
      </c>
      <c r="CF840" s="387">
        <f t="shared" si="595"/>
        <v>-83.289023999999984</v>
      </c>
      <c r="CG840" s="387">
        <f t="shared" si="596"/>
        <v>0</v>
      </c>
      <c r="CH840" s="387">
        <f t="shared" si="597"/>
        <v>11.898431999999993</v>
      </c>
      <c r="CI840" s="387">
        <f t="shared" si="598"/>
        <v>0</v>
      </c>
      <c r="CJ840" s="387">
        <f t="shared" si="611"/>
        <v>-71.390591999999998</v>
      </c>
      <c r="CK840" s="387" t="str">
        <f t="shared" si="612"/>
        <v/>
      </c>
      <c r="CL840" s="387" t="str">
        <f t="shared" si="613"/>
        <v/>
      </c>
      <c r="CM840" s="387" t="str">
        <f t="shared" si="614"/>
        <v/>
      </c>
      <c r="CN840" s="387" t="str">
        <f t="shared" si="615"/>
        <v>0348-31</v>
      </c>
    </row>
    <row r="841" spans="1:92" ht="15.75" thickBot="1" x14ac:dyDescent="0.3">
      <c r="A841" s="376" t="s">
        <v>161</v>
      </c>
      <c r="B841" s="376" t="s">
        <v>162</v>
      </c>
      <c r="C841" s="376" t="s">
        <v>1941</v>
      </c>
      <c r="D841" s="376" t="s">
        <v>868</v>
      </c>
      <c r="E841" s="376" t="s">
        <v>224</v>
      </c>
      <c r="F841" s="382" t="s">
        <v>225</v>
      </c>
      <c r="G841" s="376" t="s">
        <v>1945</v>
      </c>
      <c r="H841" s="378"/>
      <c r="I841" s="378"/>
      <c r="J841" s="376" t="s">
        <v>215</v>
      </c>
      <c r="K841" s="376" t="s">
        <v>869</v>
      </c>
      <c r="L841" s="376" t="s">
        <v>296</v>
      </c>
      <c r="M841" s="376" t="s">
        <v>171</v>
      </c>
      <c r="N841" s="376" t="s">
        <v>172</v>
      </c>
      <c r="O841" s="379">
        <v>1</v>
      </c>
      <c r="P841" s="385">
        <v>1</v>
      </c>
      <c r="Q841" s="385">
        <v>1</v>
      </c>
      <c r="R841" s="380">
        <v>80</v>
      </c>
      <c r="S841" s="385">
        <v>1</v>
      </c>
      <c r="T841" s="380">
        <v>0</v>
      </c>
      <c r="U841" s="380">
        <v>0</v>
      </c>
      <c r="V841" s="380">
        <v>0</v>
      </c>
      <c r="W841" s="380">
        <v>58281.599999999999</v>
      </c>
      <c r="X841" s="380">
        <v>24253.37</v>
      </c>
      <c r="Y841" s="380">
        <v>58281.599999999999</v>
      </c>
      <c r="Z841" s="380">
        <v>24008.59</v>
      </c>
      <c r="AA841" s="376" t="s">
        <v>1942</v>
      </c>
      <c r="AB841" s="376" t="s">
        <v>1943</v>
      </c>
      <c r="AC841" s="376" t="s">
        <v>940</v>
      </c>
      <c r="AD841" s="376" t="s">
        <v>210</v>
      </c>
      <c r="AE841" s="376" t="s">
        <v>869</v>
      </c>
      <c r="AF841" s="376" t="s">
        <v>301</v>
      </c>
      <c r="AG841" s="376" t="s">
        <v>178</v>
      </c>
      <c r="AH841" s="381">
        <v>28.02</v>
      </c>
      <c r="AI841" s="381">
        <v>26465.9</v>
      </c>
      <c r="AJ841" s="376" t="s">
        <v>179</v>
      </c>
      <c r="AK841" s="376" t="s">
        <v>180</v>
      </c>
      <c r="AL841" s="376" t="s">
        <v>181</v>
      </c>
      <c r="AM841" s="376" t="s">
        <v>182</v>
      </c>
      <c r="AN841" s="376" t="s">
        <v>68</v>
      </c>
      <c r="AO841" s="379">
        <v>80</v>
      </c>
      <c r="AP841" s="385">
        <v>1</v>
      </c>
      <c r="AQ841" s="385">
        <v>1</v>
      </c>
      <c r="AR841" s="383" t="s">
        <v>183</v>
      </c>
      <c r="AS841" s="387">
        <f t="shared" si="599"/>
        <v>1</v>
      </c>
      <c r="AT841">
        <f t="shared" si="600"/>
        <v>1</v>
      </c>
      <c r="AU841" s="387">
        <f>IF(AT841=0,"",IF(AND(AT841=1,M841="F",SUMIF(C2:C1334,C841,AS2:AS1334)&lt;=1),SUMIF(C2:C1334,C841,AS2:AS1334),IF(AND(AT841=1,M841="F",SUMIF(C2:C1334,C841,AS2:AS1334)&gt;1),1,"")))</f>
        <v>1</v>
      </c>
      <c r="AV841" s="387" t="str">
        <f>IF(AT841=0,"",IF(AND(AT841=3,M841="F",SUMIF(C2:C1334,C841,AS2:AS1334)&lt;=1),SUMIF(C2:C1334,C841,AS2:AS1334),IF(AND(AT841=3,M841="F",SUMIF(C2:C1334,C841,AS2:AS1334)&gt;1),1,"")))</f>
        <v/>
      </c>
      <c r="AW841" s="387">
        <f>SUMIF(C2:C1334,C841,O2:O1334)</f>
        <v>2</v>
      </c>
      <c r="AX841" s="387">
        <f>IF(AND(M841="F",AS841&lt;&gt;0),SUMIF(C2:C1334,C841,W2:W1334),0)</f>
        <v>58281.599999999999</v>
      </c>
      <c r="AY841" s="387">
        <f t="shared" si="601"/>
        <v>58281.599999999999</v>
      </c>
      <c r="AZ841" s="387" t="str">
        <f t="shared" si="602"/>
        <v/>
      </c>
      <c r="BA841" s="387">
        <f t="shared" si="603"/>
        <v>0</v>
      </c>
      <c r="BB841" s="387">
        <f t="shared" si="572"/>
        <v>11650</v>
      </c>
      <c r="BC841" s="387">
        <f t="shared" si="573"/>
        <v>0</v>
      </c>
      <c r="BD841" s="387">
        <f t="shared" si="574"/>
        <v>3613.4591999999998</v>
      </c>
      <c r="BE841" s="387">
        <f t="shared" si="575"/>
        <v>845.08320000000003</v>
      </c>
      <c r="BF841" s="387">
        <f t="shared" si="576"/>
        <v>6958.8230400000002</v>
      </c>
      <c r="BG841" s="387">
        <f t="shared" si="577"/>
        <v>420.21033599999998</v>
      </c>
      <c r="BH841" s="387">
        <f t="shared" si="578"/>
        <v>285.57983999999999</v>
      </c>
      <c r="BI841" s="387">
        <f t="shared" si="579"/>
        <v>322.58865600000001</v>
      </c>
      <c r="BJ841" s="387">
        <f t="shared" si="580"/>
        <v>157.36032</v>
      </c>
      <c r="BK841" s="387">
        <f t="shared" si="581"/>
        <v>0</v>
      </c>
      <c r="BL841" s="387">
        <f t="shared" si="604"/>
        <v>12603.104592000002</v>
      </c>
      <c r="BM841" s="387">
        <f t="shared" si="605"/>
        <v>0</v>
      </c>
      <c r="BN841" s="387">
        <f t="shared" si="582"/>
        <v>11650</v>
      </c>
      <c r="BO841" s="387">
        <f t="shared" si="583"/>
        <v>0</v>
      </c>
      <c r="BP841" s="387">
        <f t="shared" si="584"/>
        <v>3613.4591999999998</v>
      </c>
      <c r="BQ841" s="387">
        <f t="shared" si="585"/>
        <v>845.08320000000003</v>
      </c>
      <c r="BR841" s="387">
        <f t="shared" si="586"/>
        <v>6958.8230400000002</v>
      </c>
      <c r="BS841" s="387">
        <f t="shared" si="587"/>
        <v>420.21033599999998</v>
      </c>
      <c r="BT841" s="387">
        <f t="shared" si="588"/>
        <v>0</v>
      </c>
      <c r="BU841" s="387">
        <f t="shared" si="589"/>
        <v>322.58865600000001</v>
      </c>
      <c r="BV841" s="387">
        <f t="shared" si="590"/>
        <v>198.15743999999998</v>
      </c>
      <c r="BW841" s="387">
        <f t="shared" si="591"/>
        <v>0</v>
      </c>
      <c r="BX841" s="387">
        <f t="shared" si="606"/>
        <v>12358.321872000002</v>
      </c>
      <c r="BY841" s="387">
        <f t="shared" si="607"/>
        <v>0</v>
      </c>
      <c r="BZ841" s="387">
        <f t="shared" si="608"/>
        <v>0</v>
      </c>
      <c r="CA841" s="387">
        <f t="shared" si="609"/>
        <v>0</v>
      </c>
      <c r="CB841" s="387">
        <f t="shared" si="610"/>
        <v>0</v>
      </c>
      <c r="CC841" s="387">
        <f t="shared" si="592"/>
        <v>0</v>
      </c>
      <c r="CD841" s="387">
        <f t="shared" si="593"/>
        <v>0</v>
      </c>
      <c r="CE841" s="387">
        <f t="shared" si="594"/>
        <v>0</v>
      </c>
      <c r="CF841" s="387">
        <f t="shared" si="595"/>
        <v>-285.57983999999999</v>
      </c>
      <c r="CG841" s="387">
        <f t="shared" si="596"/>
        <v>0</v>
      </c>
      <c r="CH841" s="387">
        <f t="shared" si="597"/>
        <v>40.797119999999978</v>
      </c>
      <c r="CI841" s="387">
        <f t="shared" si="598"/>
        <v>0</v>
      </c>
      <c r="CJ841" s="387">
        <f t="shared" si="611"/>
        <v>-244.78272000000001</v>
      </c>
      <c r="CK841" s="387" t="str">
        <f t="shared" si="612"/>
        <v/>
      </c>
      <c r="CL841" s="387" t="str">
        <f t="shared" si="613"/>
        <v/>
      </c>
      <c r="CM841" s="387" t="str">
        <f t="shared" si="614"/>
        <v/>
      </c>
      <c r="CN841" s="387" t="str">
        <f t="shared" si="615"/>
        <v>0348-31</v>
      </c>
    </row>
    <row r="842" spans="1:92" ht="15.75" thickBot="1" x14ac:dyDescent="0.3">
      <c r="A842" s="376" t="s">
        <v>161</v>
      </c>
      <c r="B842" s="376" t="s">
        <v>162</v>
      </c>
      <c r="C842" s="376" t="s">
        <v>986</v>
      </c>
      <c r="D842" s="376" t="s">
        <v>862</v>
      </c>
      <c r="E842" s="376" t="s">
        <v>224</v>
      </c>
      <c r="F842" s="382" t="s">
        <v>225</v>
      </c>
      <c r="G842" s="376" t="s">
        <v>1945</v>
      </c>
      <c r="H842" s="378"/>
      <c r="I842" s="378"/>
      <c r="J842" s="376" t="s">
        <v>215</v>
      </c>
      <c r="K842" s="376" t="s">
        <v>863</v>
      </c>
      <c r="L842" s="376" t="s">
        <v>252</v>
      </c>
      <c r="M842" s="376" t="s">
        <v>272</v>
      </c>
      <c r="N842" s="376" t="s">
        <v>172</v>
      </c>
      <c r="O842" s="379">
        <v>0</v>
      </c>
      <c r="P842" s="385">
        <v>1</v>
      </c>
      <c r="Q842" s="385">
        <v>1</v>
      </c>
      <c r="R842" s="380">
        <v>80</v>
      </c>
      <c r="S842" s="385">
        <v>1</v>
      </c>
      <c r="T842" s="380">
        <v>13880.02</v>
      </c>
      <c r="U842" s="380">
        <v>0</v>
      </c>
      <c r="V842" s="380">
        <v>8742.44</v>
      </c>
      <c r="W842" s="380">
        <v>42328</v>
      </c>
      <c r="X842" s="380">
        <v>18539.66</v>
      </c>
      <c r="Y842" s="380">
        <v>42328</v>
      </c>
      <c r="Z842" s="380">
        <v>18328.02</v>
      </c>
      <c r="AA842" s="378"/>
      <c r="AB842" s="376" t="s">
        <v>45</v>
      </c>
      <c r="AC842" s="376" t="s">
        <v>45</v>
      </c>
      <c r="AD842" s="378"/>
      <c r="AE842" s="378"/>
      <c r="AF842" s="378"/>
      <c r="AG842" s="378"/>
      <c r="AH842" s="379">
        <v>0</v>
      </c>
      <c r="AI842" s="379">
        <v>0</v>
      </c>
      <c r="AJ842" s="378"/>
      <c r="AK842" s="378"/>
      <c r="AL842" s="376" t="s">
        <v>181</v>
      </c>
      <c r="AM842" s="378"/>
      <c r="AN842" s="378"/>
      <c r="AO842" s="379">
        <v>0</v>
      </c>
      <c r="AP842" s="385">
        <v>0</v>
      </c>
      <c r="AQ842" s="385">
        <v>0</v>
      </c>
      <c r="AR842" s="384"/>
      <c r="AS842" s="387">
        <f t="shared" si="599"/>
        <v>0</v>
      </c>
      <c r="AT842">
        <f t="shared" si="600"/>
        <v>0</v>
      </c>
      <c r="AU842" s="387" t="str">
        <f>IF(AT842=0,"",IF(AND(AT842=1,M842="F",SUMIF(C2:C1334,C842,AS2:AS1334)&lt;=1),SUMIF(C2:C1334,C842,AS2:AS1334),IF(AND(AT842=1,M842="F",SUMIF(C2:C1334,C842,AS2:AS1334)&gt;1),1,"")))</f>
        <v/>
      </c>
      <c r="AV842" s="387" t="str">
        <f>IF(AT842=0,"",IF(AND(AT842=3,M842="F",SUMIF(C2:C1334,C842,AS2:AS1334)&lt;=1),SUMIF(C2:C1334,C842,AS2:AS1334),IF(AND(AT842=3,M842="F",SUMIF(C2:C1334,C842,AS2:AS1334)&gt;1),1,"")))</f>
        <v/>
      </c>
      <c r="AW842" s="387">
        <f>SUMIF(C2:C1334,C842,O2:O1334)</f>
        <v>0</v>
      </c>
      <c r="AX842" s="387">
        <f>IF(AND(M842="F",AS842&lt;&gt;0),SUMIF(C2:C1334,C842,W2:W1334),0)</f>
        <v>0</v>
      </c>
      <c r="AY842" s="387" t="str">
        <f t="shared" si="601"/>
        <v/>
      </c>
      <c r="AZ842" s="387" t="str">
        <f t="shared" si="602"/>
        <v/>
      </c>
      <c r="BA842" s="387">
        <f t="shared" si="603"/>
        <v>0</v>
      </c>
      <c r="BB842" s="387">
        <f t="shared" si="572"/>
        <v>0</v>
      </c>
      <c r="BC842" s="387">
        <f t="shared" si="573"/>
        <v>0</v>
      </c>
      <c r="BD842" s="387">
        <f t="shared" si="574"/>
        <v>0</v>
      </c>
      <c r="BE842" s="387">
        <f t="shared" si="575"/>
        <v>0</v>
      </c>
      <c r="BF842" s="387">
        <f t="shared" si="576"/>
        <v>0</v>
      </c>
      <c r="BG842" s="387">
        <f t="shared" si="577"/>
        <v>0</v>
      </c>
      <c r="BH842" s="387">
        <f t="shared" si="578"/>
        <v>0</v>
      </c>
      <c r="BI842" s="387">
        <f t="shared" si="579"/>
        <v>0</v>
      </c>
      <c r="BJ842" s="387">
        <f t="shared" si="580"/>
        <v>0</v>
      </c>
      <c r="BK842" s="387">
        <f t="shared" si="581"/>
        <v>0</v>
      </c>
      <c r="BL842" s="387">
        <f t="shared" si="604"/>
        <v>0</v>
      </c>
      <c r="BM842" s="387">
        <f t="shared" si="605"/>
        <v>0</v>
      </c>
      <c r="BN842" s="387">
        <f t="shared" si="582"/>
        <v>0</v>
      </c>
      <c r="BO842" s="387">
        <f t="shared" si="583"/>
        <v>0</v>
      </c>
      <c r="BP842" s="387">
        <f t="shared" si="584"/>
        <v>0</v>
      </c>
      <c r="BQ842" s="387">
        <f t="shared" si="585"/>
        <v>0</v>
      </c>
      <c r="BR842" s="387">
        <f t="shared" si="586"/>
        <v>0</v>
      </c>
      <c r="BS842" s="387">
        <f t="shared" si="587"/>
        <v>0</v>
      </c>
      <c r="BT842" s="387">
        <f t="shared" si="588"/>
        <v>0</v>
      </c>
      <c r="BU842" s="387">
        <f t="shared" si="589"/>
        <v>0</v>
      </c>
      <c r="BV842" s="387">
        <f t="shared" si="590"/>
        <v>0</v>
      </c>
      <c r="BW842" s="387">
        <f t="shared" si="591"/>
        <v>0</v>
      </c>
      <c r="BX842" s="387">
        <f t="shared" si="606"/>
        <v>0</v>
      </c>
      <c r="BY842" s="387">
        <f t="shared" si="607"/>
        <v>0</v>
      </c>
      <c r="BZ842" s="387">
        <f t="shared" si="608"/>
        <v>0</v>
      </c>
      <c r="CA842" s="387">
        <f t="shared" si="609"/>
        <v>0</v>
      </c>
      <c r="CB842" s="387">
        <f t="shared" si="610"/>
        <v>0</v>
      </c>
      <c r="CC842" s="387">
        <f t="shared" si="592"/>
        <v>0</v>
      </c>
      <c r="CD842" s="387">
        <f t="shared" si="593"/>
        <v>0</v>
      </c>
      <c r="CE842" s="387">
        <f t="shared" si="594"/>
        <v>0</v>
      </c>
      <c r="CF842" s="387">
        <f t="shared" si="595"/>
        <v>0</v>
      </c>
      <c r="CG842" s="387">
        <f t="shared" si="596"/>
        <v>0</v>
      </c>
      <c r="CH842" s="387">
        <f t="shared" si="597"/>
        <v>0</v>
      </c>
      <c r="CI842" s="387">
        <f t="shared" si="598"/>
        <v>0</v>
      </c>
      <c r="CJ842" s="387">
        <f t="shared" si="611"/>
        <v>0</v>
      </c>
      <c r="CK842" s="387" t="str">
        <f t="shared" si="612"/>
        <v/>
      </c>
      <c r="CL842" s="387" t="str">
        <f t="shared" si="613"/>
        <v/>
      </c>
      <c r="CM842" s="387" t="str">
        <f t="shared" si="614"/>
        <v/>
      </c>
      <c r="CN842" s="387" t="str">
        <f t="shared" si="615"/>
        <v>0348-31</v>
      </c>
    </row>
    <row r="843" spans="1:92" ht="15.75" thickBot="1" x14ac:dyDescent="0.3">
      <c r="A843" s="376" t="s">
        <v>161</v>
      </c>
      <c r="B843" s="376" t="s">
        <v>162</v>
      </c>
      <c r="C843" s="376" t="s">
        <v>356</v>
      </c>
      <c r="D843" s="376" t="s">
        <v>357</v>
      </c>
      <c r="E843" s="376" t="s">
        <v>224</v>
      </c>
      <c r="F843" s="382" t="s">
        <v>225</v>
      </c>
      <c r="G843" s="376" t="s">
        <v>1945</v>
      </c>
      <c r="H843" s="378"/>
      <c r="I843" s="378"/>
      <c r="J843" s="376" t="s">
        <v>215</v>
      </c>
      <c r="K843" s="376" t="s">
        <v>358</v>
      </c>
      <c r="L843" s="376" t="s">
        <v>166</v>
      </c>
      <c r="M843" s="376" t="s">
        <v>171</v>
      </c>
      <c r="N843" s="376" t="s">
        <v>257</v>
      </c>
      <c r="O843" s="379">
        <v>1</v>
      </c>
      <c r="P843" s="385">
        <v>0</v>
      </c>
      <c r="Q843" s="385">
        <v>0</v>
      </c>
      <c r="R843" s="380">
        <v>80</v>
      </c>
      <c r="S843" s="385">
        <v>0</v>
      </c>
      <c r="T843" s="380">
        <v>2529.73</v>
      </c>
      <c r="U843" s="380">
        <v>0</v>
      </c>
      <c r="V843" s="380">
        <v>688.24</v>
      </c>
      <c r="W843" s="380">
        <v>0</v>
      </c>
      <c r="X843" s="380">
        <v>0</v>
      </c>
      <c r="Y843" s="380">
        <v>0</v>
      </c>
      <c r="Z843" s="380">
        <v>0</v>
      </c>
      <c r="AA843" s="376" t="s">
        <v>359</v>
      </c>
      <c r="AB843" s="376" t="s">
        <v>360</v>
      </c>
      <c r="AC843" s="376" t="s">
        <v>361</v>
      </c>
      <c r="AD843" s="376" t="s">
        <v>170</v>
      </c>
      <c r="AE843" s="376" t="s">
        <v>358</v>
      </c>
      <c r="AF843" s="376" t="s">
        <v>261</v>
      </c>
      <c r="AG843" s="376" t="s">
        <v>178</v>
      </c>
      <c r="AH843" s="381">
        <v>76.25</v>
      </c>
      <c r="AI843" s="379">
        <v>17696</v>
      </c>
      <c r="AJ843" s="376" t="s">
        <v>179</v>
      </c>
      <c r="AK843" s="376" t="s">
        <v>180</v>
      </c>
      <c r="AL843" s="376" t="s">
        <v>181</v>
      </c>
      <c r="AM843" s="376" t="s">
        <v>181</v>
      </c>
      <c r="AN843" s="376" t="s">
        <v>68</v>
      </c>
      <c r="AO843" s="379">
        <v>80</v>
      </c>
      <c r="AP843" s="385">
        <v>1</v>
      </c>
      <c r="AQ843" s="385">
        <v>0</v>
      </c>
      <c r="AR843" s="383" t="s">
        <v>183</v>
      </c>
      <c r="AS843" s="387">
        <f t="shared" si="599"/>
        <v>0</v>
      </c>
      <c r="AT843">
        <f t="shared" si="600"/>
        <v>0</v>
      </c>
      <c r="AU843" s="387" t="str">
        <f>IF(AT843=0,"",IF(AND(AT843=1,M843="F",SUMIF(C2:C1334,C843,AS2:AS1334)&lt;=1),SUMIF(C2:C1334,C843,AS2:AS1334),IF(AND(AT843=1,M843="F",SUMIF(C2:C1334,C843,AS2:AS1334)&gt;1),1,"")))</f>
        <v/>
      </c>
      <c r="AV843" s="387" t="str">
        <f>IF(AT843=0,"",IF(AND(AT843=3,M843="F",SUMIF(C2:C1334,C843,AS2:AS1334)&lt;=1),SUMIF(C2:C1334,C843,AS2:AS1334),IF(AND(AT843=3,M843="F",SUMIF(C2:C1334,C843,AS2:AS1334)&gt;1),1,"")))</f>
        <v/>
      </c>
      <c r="AW843" s="387">
        <f>SUMIF(C2:C1334,C843,O2:O1334)</f>
        <v>3</v>
      </c>
      <c r="AX843" s="387">
        <f>IF(AND(M843="F",AS843&lt;&gt;0),SUMIF(C2:C1334,C843,W2:W1334),0)</f>
        <v>0</v>
      </c>
      <c r="AY843" s="387" t="str">
        <f t="shared" si="601"/>
        <v/>
      </c>
      <c r="AZ843" s="387" t="str">
        <f t="shared" si="602"/>
        <v/>
      </c>
      <c r="BA843" s="387">
        <f t="shared" si="603"/>
        <v>0</v>
      </c>
      <c r="BB843" s="387">
        <f t="shared" si="572"/>
        <v>0</v>
      </c>
      <c r="BC843" s="387">
        <f t="shared" si="573"/>
        <v>0</v>
      </c>
      <c r="BD843" s="387">
        <f t="shared" si="574"/>
        <v>0</v>
      </c>
      <c r="BE843" s="387">
        <f t="shared" si="575"/>
        <v>0</v>
      </c>
      <c r="BF843" s="387">
        <f t="shared" si="576"/>
        <v>0</v>
      </c>
      <c r="BG843" s="387">
        <f t="shared" si="577"/>
        <v>0</v>
      </c>
      <c r="BH843" s="387">
        <f t="shared" si="578"/>
        <v>0</v>
      </c>
      <c r="BI843" s="387">
        <f t="shared" si="579"/>
        <v>0</v>
      </c>
      <c r="BJ843" s="387">
        <f t="shared" si="580"/>
        <v>0</v>
      </c>
      <c r="BK843" s="387">
        <f t="shared" si="581"/>
        <v>0</v>
      </c>
      <c r="BL843" s="387">
        <f t="shared" si="604"/>
        <v>0</v>
      </c>
      <c r="BM843" s="387">
        <f t="shared" si="605"/>
        <v>0</v>
      </c>
      <c r="BN843" s="387">
        <f t="shared" si="582"/>
        <v>0</v>
      </c>
      <c r="BO843" s="387">
        <f t="shared" si="583"/>
        <v>0</v>
      </c>
      <c r="BP843" s="387">
        <f t="shared" si="584"/>
        <v>0</v>
      </c>
      <c r="BQ843" s="387">
        <f t="shared" si="585"/>
        <v>0</v>
      </c>
      <c r="BR843" s="387">
        <f t="shared" si="586"/>
        <v>0</v>
      </c>
      <c r="BS843" s="387">
        <f t="shared" si="587"/>
        <v>0</v>
      </c>
      <c r="BT843" s="387">
        <f t="shared" si="588"/>
        <v>0</v>
      </c>
      <c r="BU843" s="387">
        <f t="shared" si="589"/>
        <v>0</v>
      </c>
      <c r="BV843" s="387">
        <f t="shared" si="590"/>
        <v>0</v>
      </c>
      <c r="BW843" s="387">
        <f t="shared" si="591"/>
        <v>0</v>
      </c>
      <c r="BX843" s="387">
        <f t="shared" si="606"/>
        <v>0</v>
      </c>
      <c r="BY843" s="387">
        <f t="shared" si="607"/>
        <v>0</v>
      </c>
      <c r="BZ843" s="387">
        <f t="shared" si="608"/>
        <v>0</v>
      </c>
      <c r="CA843" s="387">
        <f t="shared" si="609"/>
        <v>0</v>
      </c>
      <c r="CB843" s="387">
        <f t="shared" si="610"/>
        <v>0</v>
      </c>
      <c r="CC843" s="387">
        <f t="shared" si="592"/>
        <v>0</v>
      </c>
      <c r="CD843" s="387">
        <f t="shared" si="593"/>
        <v>0</v>
      </c>
      <c r="CE843" s="387">
        <f t="shared" si="594"/>
        <v>0</v>
      </c>
      <c r="CF843" s="387">
        <f t="shared" si="595"/>
        <v>0</v>
      </c>
      <c r="CG843" s="387">
        <f t="shared" si="596"/>
        <v>0</v>
      </c>
      <c r="CH843" s="387">
        <f t="shared" si="597"/>
        <v>0</v>
      </c>
      <c r="CI843" s="387">
        <f t="shared" si="598"/>
        <v>0</v>
      </c>
      <c r="CJ843" s="387">
        <f t="shared" si="611"/>
        <v>0</v>
      </c>
      <c r="CK843" s="387" t="str">
        <f t="shared" si="612"/>
        <v/>
      </c>
      <c r="CL843" s="387" t="str">
        <f t="shared" si="613"/>
        <v/>
      </c>
      <c r="CM843" s="387" t="str">
        <f t="shared" si="614"/>
        <v/>
      </c>
      <c r="CN843" s="387" t="str">
        <f t="shared" si="615"/>
        <v>0348-31</v>
      </c>
    </row>
    <row r="844" spans="1:92" ht="15.75" thickBot="1" x14ac:dyDescent="0.3">
      <c r="A844" s="376" t="s">
        <v>161</v>
      </c>
      <c r="B844" s="376" t="s">
        <v>162</v>
      </c>
      <c r="C844" s="376" t="s">
        <v>1906</v>
      </c>
      <c r="D844" s="376" t="s">
        <v>862</v>
      </c>
      <c r="E844" s="376" t="s">
        <v>224</v>
      </c>
      <c r="F844" s="382" t="s">
        <v>225</v>
      </c>
      <c r="G844" s="376" t="s">
        <v>1945</v>
      </c>
      <c r="H844" s="378"/>
      <c r="I844" s="378"/>
      <c r="J844" s="376" t="s">
        <v>215</v>
      </c>
      <c r="K844" s="376" t="s">
        <v>863</v>
      </c>
      <c r="L844" s="376" t="s">
        <v>252</v>
      </c>
      <c r="M844" s="376" t="s">
        <v>171</v>
      </c>
      <c r="N844" s="376" t="s">
        <v>172</v>
      </c>
      <c r="O844" s="379">
        <v>1</v>
      </c>
      <c r="P844" s="385">
        <v>1</v>
      </c>
      <c r="Q844" s="385">
        <v>1</v>
      </c>
      <c r="R844" s="380">
        <v>80</v>
      </c>
      <c r="S844" s="385">
        <v>1</v>
      </c>
      <c r="T844" s="380">
        <v>24480.51</v>
      </c>
      <c r="U844" s="380">
        <v>159.65</v>
      </c>
      <c r="V844" s="380">
        <v>13438.25</v>
      </c>
      <c r="W844" s="380">
        <v>40726.400000000001</v>
      </c>
      <c r="X844" s="380">
        <v>20457.05</v>
      </c>
      <c r="Y844" s="380">
        <v>40726.400000000001</v>
      </c>
      <c r="Z844" s="380">
        <v>20286</v>
      </c>
      <c r="AA844" s="376" t="s">
        <v>1907</v>
      </c>
      <c r="AB844" s="376" t="s">
        <v>1908</v>
      </c>
      <c r="AC844" s="376" t="s">
        <v>1909</v>
      </c>
      <c r="AD844" s="376" t="s">
        <v>1910</v>
      </c>
      <c r="AE844" s="376" t="s">
        <v>863</v>
      </c>
      <c r="AF844" s="376" t="s">
        <v>393</v>
      </c>
      <c r="AG844" s="376" t="s">
        <v>178</v>
      </c>
      <c r="AH844" s="381">
        <v>19.579999999999998</v>
      </c>
      <c r="AI844" s="381">
        <v>1484.8</v>
      </c>
      <c r="AJ844" s="376" t="s">
        <v>179</v>
      </c>
      <c r="AK844" s="376" t="s">
        <v>180</v>
      </c>
      <c r="AL844" s="376" t="s">
        <v>181</v>
      </c>
      <c r="AM844" s="376" t="s">
        <v>182</v>
      </c>
      <c r="AN844" s="376" t="s">
        <v>68</v>
      </c>
      <c r="AO844" s="379">
        <v>80</v>
      </c>
      <c r="AP844" s="385">
        <v>1</v>
      </c>
      <c r="AQ844" s="385">
        <v>1</v>
      </c>
      <c r="AR844" s="383" t="s">
        <v>183</v>
      </c>
      <c r="AS844" s="387">
        <f t="shared" si="599"/>
        <v>1</v>
      </c>
      <c r="AT844">
        <f t="shared" si="600"/>
        <v>1</v>
      </c>
      <c r="AU844" s="387">
        <f>IF(AT844=0,"",IF(AND(AT844=1,M844="F",SUMIF(C2:C1334,C844,AS2:AS1334)&lt;=1),SUMIF(C2:C1334,C844,AS2:AS1334),IF(AND(AT844=1,M844="F",SUMIF(C2:C1334,C844,AS2:AS1334)&gt;1),1,"")))</f>
        <v>1</v>
      </c>
      <c r="AV844" s="387" t="str">
        <f>IF(AT844=0,"",IF(AND(AT844=3,M844="F",SUMIF(C2:C1334,C844,AS2:AS1334)&lt;=1),SUMIF(C2:C1334,C844,AS2:AS1334),IF(AND(AT844=3,M844="F",SUMIF(C2:C1334,C844,AS2:AS1334)&gt;1),1,"")))</f>
        <v/>
      </c>
      <c r="AW844" s="387">
        <f>SUMIF(C2:C1334,C844,O2:O1334)</f>
        <v>2</v>
      </c>
      <c r="AX844" s="387">
        <f>IF(AND(M844="F",AS844&lt;&gt;0),SUMIF(C2:C1334,C844,W2:W1334),0)</f>
        <v>40726.400000000001</v>
      </c>
      <c r="AY844" s="387">
        <f t="shared" si="601"/>
        <v>40726.400000000001</v>
      </c>
      <c r="AZ844" s="387" t="str">
        <f t="shared" si="602"/>
        <v/>
      </c>
      <c r="BA844" s="387">
        <f t="shared" si="603"/>
        <v>0</v>
      </c>
      <c r="BB844" s="387">
        <f t="shared" si="572"/>
        <v>11650</v>
      </c>
      <c r="BC844" s="387">
        <f t="shared" si="573"/>
        <v>0</v>
      </c>
      <c r="BD844" s="387">
        <f t="shared" si="574"/>
        <v>2525.0367999999999</v>
      </c>
      <c r="BE844" s="387">
        <f t="shared" si="575"/>
        <v>590.53280000000007</v>
      </c>
      <c r="BF844" s="387">
        <f t="shared" si="576"/>
        <v>4862.7321600000005</v>
      </c>
      <c r="BG844" s="387">
        <f t="shared" si="577"/>
        <v>293.63734400000004</v>
      </c>
      <c r="BH844" s="387">
        <f t="shared" si="578"/>
        <v>199.55936</v>
      </c>
      <c r="BI844" s="387">
        <f t="shared" si="579"/>
        <v>225.420624</v>
      </c>
      <c r="BJ844" s="387">
        <f t="shared" si="580"/>
        <v>109.96128000000002</v>
      </c>
      <c r="BK844" s="387">
        <f t="shared" si="581"/>
        <v>0</v>
      </c>
      <c r="BL844" s="387">
        <f t="shared" si="604"/>
        <v>8806.8803680000001</v>
      </c>
      <c r="BM844" s="387">
        <f t="shared" si="605"/>
        <v>0</v>
      </c>
      <c r="BN844" s="387">
        <f t="shared" si="582"/>
        <v>11650</v>
      </c>
      <c r="BO844" s="387">
        <f t="shared" si="583"/>
        <v>0</v>
      </c>
      <c r="BP844" s="387">
        <f t="shared" si="584"/>
        <v>2525.0367999999999</v>
      </c>
      <c r="BQ844" s="387">
        <f t="shared" si="585"/>
        <v>590.53280000000007</v>
      </c>
      <c r="BR844" s="387">
        <f t="shared" si="586"/>
        <v>4862.7321600000005</v>
      </c>
      <c r="BS844" s="387">
        <f t="shared" si="587"/>
        <v>293.63734400000004</v>
      </c>
      <c r="BT844" s="387">
        <f t="shared" si="588"/>
        <v>0</v>
      </c>
      <c r="BU844" s="387">
        <f t="shared" si="589"/>
        <v>225.420624</v>
      </c>
      <c r="BV844" s="387">
        <f t="shared" si="590"/>
        <v>138.46976000000001</v>
      </c>
      <c r="BW844" s="387">
        <f t="shared" si="591"/>
        <v>0</v>
      </c>
      <c r="BX844" s="387">
        <f t="shared" si="606"/>
        <v>8635.8294880000012</v>
      </c>
      <c r="BY844" s="387">
        <f t="shared" si="607"/>
        <v>0</v>
      </c>
      <c r="BZ844" s="387">
        <f t="shared" si="608"/>
        <v>0</v>
      </c>
      <c r="CA844" s="387">
        <f t="shared" si="609"/>
        <v>0</v>
      </c>
      <c r="CB844" s="387">
        <f t="shared" si="610"/>
        <v>0</v>
      </c>
      <c r="CC844" s="387">
        <f t="shared" si="592"/>
        <v>0</v>
      </c>
      <c r="CD844" s="387">
        <f t="shared" si="593"/>
        <v>0</v>
      </c>
      <c r="CE844" s="387">
        <f t="shared" si="594"/>
        <v>0</v>
      </c>
      <c r="CF844" s="387">
        <f t="shared" si="595"/>
        <v>-199.55936</v>
      </c>
      <c r="CG844" s="387">
        <f t="shared" si="596"/>
        <v>0</v>
      </c>
      <c r="CH844" s="387">
        <f t="shared" si="597"/>
        <v>28.508479999999988</v>
      </c>
      <c r="CI844" s="387">
        <f t="shared" si="598"/>
        <v>0</v>
      </c>
      <c r="CJ844" s="387">
        <f t="shared" si="611"/>
        <v>-171.05088000000001</v>
      </c>
      <c r="CK844" s="387" t="str">
        <f t="shared" si="612"/>
        <v/>
      </c>
      <c r="CL844" s="387" t="str">
        <f t="shared" si="613"/>
        <v/>
      </c>
      <c r="CM844" s="387" t="str">
        <f t="shared" si="614"/>
        <v/>
      </c>
      <c r="CN844" s="387" t="str">
        <f t="shared" si="615"/>
        <v>0348-31</v>
      </c>
    </row>
    <row r="845" spans="1:92" ht="15.75" thickBot="1" x14ac:dyDescent="0.3">
      <c r="A845" s="376" t="s">
        <v>161</v>
      </c>
      <c r="B845" s="376" t="s">
        <v>162</v>
      </c>
      <c r="C845" s="376" t="s">
        <v>867</v>
      </c>
      <c r="D845" s="376" t="s">
        <v>868</v>
      </c>
      <c r="E845" s="376" t="s">
        <v>224</v>
      </c>
      <c r="F845" s="382" t="s">
        <v>225</v>
      </c>
      <c r="G845" s="376" t="s">
        <v>1945</v>
      </c>
      <c r="H845" s="378"/>
      <c r="I845" s="378"/>
      <c r="J845" s="376" t="s">
        <v>215</v>
      </c>
      <c r="K845" s="376" t="s">
        <v>869</v>
      </c>
      <c r="L845" s="376" t="s">
        <v>296</v>
      </c>
      <c r="M845" s="376" t="s">
        <v>171</v>
      </c>
      <c r="N845" s="376" t="s">
        <v>172</v>
      </c>
      <c r="O845" s="379">
        <v>1</v>
      </c>
      <c r="P845" s="385">
        <v>1</v>
      </c>
      <c r="Q845" s="385">
        <v>1</v>
      </c>
      <c r="R845" s="380">
        <v>80</v>
      </c>
      <c r="S845" s="385">
        <v>1</v>
      </c>
      <c r="T845" s="380">
        <v>0</v>
      </c>
      <c r="U845" s="380">
        <v>0</v>
      </c>
      <c r="V845" s="380">
        <v>0</v>
      </c>
      <c r="W845" s="380">
        <v>42016</v>
      </c>
      <c r="X845" s="380">
        <v>20735.93</v>
      </c>
      <c r="Y845" s="380">
        <v>42016</v>
      </c>
      <c r="Z845" s="380">
        <v>20559.47</v>
      </c>
      <c r="AA845" s="376" t="s">
        <v>870</v>
      </c>
      <c r="AB845" s="376" t="s">
        <v>871</v>
      </c>
      <c r="AC845" s="376" t="s">
        <v>872</v>
      </c>
      <c r="AD845" s="376" t="s">
        <v>587</v>
      </c>
      <c r="AE845" s="376" t="s">
        <v>873</v>
      </c>
      <c r="AF845" s="376" t="s">
        <v>393</v>
      </c>
      <c r="AG845" s="376" t="s">
        <v>178</v>
      </c>
      <c r="AH845" s="381">
        <v>20.2</v>
      </c>
      <c r="AI845" s="379">
        <v>1592</v>
      </c>
      <c r="AJ845" s="376" t="s">
        <v>179</v>
      </c>
      <c r="AK845" s="376" t="s">
        <v>180</v>
      </c>
      <c r="AL845" s="376" t="s">
        <v>181</v>
      </c>
      <c r="AM845" s="376" t="s">
        <v>182</v>
      </c>
      <c r="AN845" s="376" t="s">
        <v>68</v>
      </c>
      <c r="AO845" s="379">
        <v>80</v>
      </c>
      <c r="AP845" s="385">
        <v>1</v>
      </c>
      <c r="AQ845" s="385">
        <v>1</v>
      </c>
      <c r="AR845" s="383">
        <v>3</v>
      </c>
      <c r="AS845" s="387">
        <f t="shared" si="599"/>
        <v>1</v>
      </c>
      <c r="AT845">
        <f t="shared" si="600"/>
        <v>1</v>
      </c>
      <c r="AU845" s="387">
        <f>IF(AT845=0,"",IF(AND(AT845=1,M845="F",SUMIF(C2:C1334,C845,AS2:AS1334)&lt;=1),SUMIF(C2:C1334,C845,AS2:AS1334),IF(AND(AT845=1,M845="F",SUMIF(C2:C1334,C845,AS2:AS1334)&gt;1),1,"")))</f>
        <v>1</v>
      </c>
      <c r="AV845" s="387" t="str">
        <f>IF(AT845=0,"",IF(AND(AT845=3,M845="F",SUMIF(C2:C1334,C845,AS2:AS1334)&lt;=1),SUMIF(C2:C1334,C845,AS2:AS1334),IF(AND(AT845=3,M845="F",SUMIF(C2:C1334,C845,AS2:AS1334)&gt;1),1,"")))</f>
        <v/>
      </c>
      <c r="AW845" s="387">
        <f>SUMIF(C2:C1334,C845,O2:O1334)</f>
        <v>2</v>
      </c>
      <c r="AX845" s="387">
        <f>IF(AND(M845="F",AS845&lt;&gt;0),SUMIF(C2:C1334,C845,W2:W1334),0)</f>
        <v>42016</v>
      </c>
      <c r="AY845" s="387">
        <f t="shared" si="601"/>
        <v>42016</v>
      </c>
      <c r="AZ845" s="387" t="str">
        <f t="shared" si="602"/>
        <v/>
      </c>
      <c r="BA845" s="387">
        <f t="shared" si="603"/>
        <v>0</v>
      </c>
      <c r="BB845" s="387">
        <f t="shared" si="572"/>
        <v>11650</v>
      </c>
      <c r="BC845" s="387">
        <f t="shared" si="573"/>
        <v>0</v>
      </c>
      <c r="BD845" s="387">
        <f t="shared" si="574"/>
        <v>2604.9920000000002</v>
      </c>
      <c r="BE845" s="387">
        <f t="shared" si="575"/>
        <v>609.23200000000008</v>
      </c>
      <c r="BF845" s="387">
        <f t="shared" si="576"/>
        <v>5016.7103999999999</v>
      </c>
      <c r="BG845" s="387">
        <f t="shared" si="577"/>
        <v>302.93536</v>
      </c>
      <c r="BH845" s="387">
        <f t="shared" si="578"/>
        <v>205.8784</v>
      </c>
      <c r="BI845" s="387">
        <f t="shared" si="579"/>
        <v>232.55856</v>
      </c>
      <c r="BJ845" s="387">
        <f t="shared" si="580"/>
        <v>113.4432</v>
      </c>
      <c r="BK845" s="387">
        <f t="shared" si="581"/>
        <v>0</v>
      </c>
      <c r="BL845" s="387">
        <f t="shared" si="604"/>
        <v>9085.7499199999984</v>
      </c>
      <c r="BM845" s="387">
        <f t="shared" si="605"/>
        <v>0</v>
      </c>
      <c r="BN845" s="387">
        <f t="shared" si="582"/>
        <v>11650</v>
      </c>
      <c r="BO845" s="387">
        <f t="shared" si="583"/>
        <v>0</v>
      </c>
      <c r="BP845" s="387">
        <f t="shared" si="584"/>
        <v>2604.9920000000002</v>
      </c>
      <c r="BQ845" s="387">
        <f t="shared" si="585"/>
        <v>609.23200000000008</v>
      </c>
      <c r="BR845" s="387">
        <f t="shared" si="586"/>
        <v>5016.7103999999999</v>
      </c>
      <c r="BS845" s="387">
        <f t="shared" si="587"/>
        <v>302.93536</v>
      </c>
      <c r="BT845" s="387">
        <f t="shared" si="588"/>
        <v>0</v>
      </c>
      <c r="BU845" s="387">
        <f t="shared" si="589"/>
        <v>232.55856</v>
      </c>
      <c r="BV845" s="387">
        <f t="shared" si="590"/>
        <v>142.8544</v>
      </c>
      <c r="BW845" s="387">
        <f t="shared" si="591"/>
        <v>0</v>
      </c>
      <c r="BX845" s="387">
        <f t="shared" si="606"/>
        <v>8909.2827199999992</v>
      </c>
      <c r="BY845" s="387">
        <f t="shared" si="607"/>
        <v>0</v>
      </c>
      <c r="BZ845" s="387">
        <f t="shared" si="608"/>
        <v>0</v>
      </c>
      <c r="CA845" s="387">
        <f t="shared" si="609"/>
        <v>0</v>
      </c>
      <c r="CB845" s="387">
        <f t="shared" si="610"/>
        <v>0</v>
      </c>
      <c r="CC845" s="387">
        <f t="shared" si="592"/>
        <v>0</v>
      </c>
      <c r="CD845" s="387">
        <f t="shared" si="593"/>
        <v>0</v>
      </c>
      <c r="CE845" s="387">
        <f t="shared" si="594"/>
        <v>0</v>
      </c>
      <c r="CF845" s="387">
        <f t="shared" si="595"/>
        <v>-205.8784</v>
      </c>
      <c r="CG845" s="387">
        <f t="shared" si="596"/>
        <v>0</v>
      </c>
      <c r="CH845" s="387">
        <f t="shared" si="597"/>
        <v>29.411199999999987</v>
      </c>
      <c r="CI845" s="387">
        <f t="shared" si="598"/>
        <v>0</v>
      </c>
      <c r="CJ845" s="387">
        <f t="shared" si="611"/>
        <v>-176.46720000000002</v>
      </c>
      <c r="CK845" s="387" t="str">
        <f t="shared" si="612"/>
        <v/>
      </c>
      <c r="CL845" s="387" t="str">
        <f t="shared" si="613"/>
        <v/>
      </c>
      <c r="CM845" s="387" t="str">
        <f t="shared" si="614"/>
        <v/>
      </c>
      <c r="CN845" s="387" t="str">
        <f t="shared" si="615"/>
        <v>0348-31</v>
      </c>
    </row>
    <row r="846" spans="1:92" ht="15.75" thickBot="1" x14ac:dyDescent="0.3">
      <c r="A846" s="376" t="s">
        <v>161</v>
      </c>
      <c r="B846" s="376" t="s">
        <v>162</v>
      </c>
      <c r="C846" s="376" t="s">
        <v>841</v>
      </c>
      <c r="D846" s="376" t="s">
        <v>792</v>
      </c>
      <c r="E846" s="376" t="s">
        <v>224</v>
      </c>
      <c r="F846" s="382" t="s">
        <v>225</v>
      </c>
      <c r="G846" s="376" t="s">
        <v>1945</v>
      </c>
      <c r="H846" s="378"/>
      <c r="I846" s="378"/>
      <c r="J846" s="376" t="s">
        <v>239</v>
      </c>
      <c r="K846" s="376" t="s">
        <v>793</v>
      </c>
      <c r="L846" s="376" t="s">
        <v>170</v>
      </c>
      <c r="M846" s="376" t="s">
        <v>171</v>
      </c>
      <c r="N846" s="376" t="s">
        <v>172</v>
      </c>
      <c r="O846" s="379">
        <v>1</v>
      </c>
      <c r="P846" s="385">
        <v>0</v>
      </c>
      <c r="Q846" s="385">
        <v>0</v>
      </c>
      <c r="R846" s="380">
        <v>80</v>
      </c>
      <c r="S846" s="385">
        <v>0</v>
      </c>
      <c r="T846" s="380">
        <v>77</v>
      </c>
      <c r="U846" s="380">
        <v>0</v>
      </c>
      <c r="V846" s="380">
        <v>35.119999999999997</v>
      </c>
      <c r="W846" s="380">
        <v>0</v>
      </c>
      <c r="X846" s="380">
        <v>0</v>
      </c>
      <c r="Y846" s="380">
        <v>0</v>
      </c>
      <c r="Z846" s="380">
        <v>0</v>
      </c>
      <c r="AA846" s="376" t="s">
        <v>842</v>
      </c>
      <c r="AB846" s="376" t="s">
        <v>843</v>
      </c>
      <c r="AC846" s="376" t="s">
        <v>236</v>
      </c>
      <c r="AD846" s="376" t="s">
        <v>324</v>
      </c>
      <c r="AE846" s="376" t="s">
        <v>793</v>
      </c>
      <c r="AF846" s="376" t="s">
        <v>177</v>
      </c>
      <c r="AG846" s="376" t="s">
        <v>178</v>
      </c>
      <c r="AH846" s="381">
        <v>23.57</v>
      </c>
      <c r="AI846" s="381">
        <v>17414.5</v>
      </c>
      <c r="AJ846" s="376" t="s">
        <v>179</v>
      </c>
      <c r="AK846" s="376" t="s">
        <v>180</v>
      </c>
      <c r="AL846" s="376" t="s">
        <v>181</v>
      </c>
      <c r="AM846" s="376" t="s">
        <v>182</v>
      </c>
      <c r="AN846" s="376" t="s">
        <v>68</v>
      </c>
      <c r="AO846" s="379">
        <v>80</v>
      </c>
      <c r="AP846" s="385">
        <v>1</v>
      </c>
      <c r="AQ846" s="385">
        <v>0</v>
      </c>
      <c r="AR846" s="383" t="s">
        <v>183</v>
      </c>
      <c r="AS846" s="387">
        <f t="shared" si="599"/>
        <v>0</v>
      </c>
      <c r="AT846">
        <f t="shared" si="600"/>
        <v>0</v>
      </c>
      <c r="AU846" s="387" t="str">
        <f>IF(AT846=0,"",IF(AND(AT846=1,M846="F",SUMIF(C2:C1334,C846,AS2:AS1334)&lt;=1),SUMIF(C2:C1334,C846,AS2:AS1334),IF(AND(AT846=1,M846="F",SUMIF(C2:C1334,C846,AS2:AS1334)&gt;1),1,"")))</f>
        <v/>
      </c>
      <c r="AV846" s="387" t="str">
        <f>IF(AT846=0,"",IF(AND(AT846=3,M846="F",SUMIF(C2:C1334,C846,AS2:AS1334)&lt;=1),SUMIF(C2:C1334,C846,AS2:AS1334),IF(AND(AT846=3,M846="F",SUMIF(C2:C1334,C846,AS2:AS1334)&gt;1),1,"")))</f>
        <v/>
      </c>
      <c r="AW846" s="387">
        <f>SUMIF(C2:C1334,C846,O2:O1334)</f>
        <v>4</v>
      </c>
      <c r="AX846" s="387">
        <f>IF(AND(M846="F",AS846&lt;&gt;0),SUMIF(C2:C1334,C846,W2:W1334),0)</f>
        <v>0</v>
      </c>
      <c r="AY846" s="387" t="str">
        <f t="shared" si="601"/>
        <v/>
      </c>
      <c r="AZ846" s="387" t="str">
        <f t="shared" si="602"/>
        <v/>
      </c>
      <c r="BA846" s="387">
        <f t="shared" si="603"/>
        <v>0</v>
      </c>
      <c r="BB846" s="387">
        <f t="shared" si="572"/>
        <v>0</v>
      </c>
      <c r="BC846" s="387">
        <f t="shared" si="573"/>
        <v>0</v>
      </c>
      <c r="BD846" s="387">
        <f t="shared" si="574"/>
        <v>0</v>
      </c>
      <c r="BE846" s="387">
        <f t="shared" si="575"/>
        <v>0</v>
      </c>
      <c r="BF846" s="387">
        <f t="shared" si="576"/>
        <v>0</v>
      </c>
      <c r="BG846" s="387">
        <f t="shared" si="577"/>
        <v>0</v>
      </c>
      <c r="BH846" s="387">
        <f t="shared" si="578"/>
        <v>0</v>
      </c>
      <c r="BI846" s="387">
        <f t="shared" si="579"/>
        <v>0</v>
      </c>
      <c r="BJ846" s="387">
        <f t="shared" si="580"/>
        <v>0</v>
      </c>
      <c r="BK846" s="387">
        <f t="shared" si="581"/>
        <v>0</v>
      </c>
      <c r="BL846" s="387">
        <f t="shared" si="604"/>
        <v>0</v>
      </c>
      <c r="BM846" s="387">
        <f t="shared" si="605"/>
        <v>0</v>
      </c>
      <c r="BN846" s="387">
        <f t="shared" si="582"/>
        <v>0</v>
      </c>
      <c r="BO846" s="387">
        <f t="shared" si="583"/>
        <v>0</v>
      </c>
      <c r="BP846" s="387">
        <f t="shared" si="584"/>
        <v>0</v>
      </c>
      <c r="BQ846" s="387">
        <f t="shared" si="585"/>
        <v>0</v>
      </c>
      <c r="BR846" s="387">
        <f t="shared" si="586"/>
        <v>0</v>
      </c>
      <c r="BS846" s="387">
        <f t="shared" si="587"/>
        <v>0</v>
      </c>
      <c r="BT846" s="387">
        <f t="shared" si="588"/>
        <v>0</v>
      </c>
      <c r="BU846" s="387">
        <f t="shared" si="589"/>
        <v>0</v>
      </c>
      <c r="BV846" s="387">
        <f t="shared" si="590"/>
        <v>0</v>
      </c>
      <c r="BW846" s="387">
        <f t="shared" si="591"/>
        <v>0</v>
      </c>
      <c r="BX846" s="387">
        <f t="shared" si="606"/>
        <v>0</v>
      </c>
      <c r="BY846" s="387">
        <f t="shared" si="607"/>
        <v>0</v>
      </c>
      <c r="BZ846" s="387">
        <f t="shared" si="608"/>
        <v>0</v>
      </c>
      <c r="CA846" s="387">
        <f t="shared" si="609"/>
        <v>0</v>
      </c>
      <c r="CB846" s="387">
        <f t="shared" si="610"/>
        <v>0</v>
      </c>
      <c r="CC846" s="387">
        <f t="shared" si="592"/>
        <v>0</v>
      </c>
      <c r="CD846" s="387">
        <f t="shared" si="593"/>
        <v>0</v>
      </c>
      <c r="CE846" s="387">
        <f t="shared" si="594"/>
        <v>0</v>
      </c>
      <c r="CF846" s="387">
        <f t="shared" si="595"/>
        <v>0</v>
      </c>
      <c r="CG846" s="387">
        <f t="shared" si="596"/>
        <v>0</v>
      </c>
      <c r="CH846" s="387">
        <f t="shared" si="597"/>
        <v>0</v>
      </c>
      <c r="CI846" s="387">
        <f t="shared" si="598"/>
        <v>0</v>
      </c>
      <c r="CJ846" s="387">
        <f t="shared" si="611"/>
        <v>0</v>
      </c>
      <c r="CK846" s="387" t="str">
        <f t="shared" si="612"/>
        <v/>
      </c>
      <c r="CL846" s="387" t="str">
        <f t="shared" si="613"/>
        <v/>
      </c>
      <c r="CM846" s="387" t="str">
        <f t="shared" si="614"/>
        <v/>
      </c>
      <c r="CN846" s="387" t="str">
        <f t="shared" si="615"/>
        <v>0348-31</v>
      </c>
    </row>
    <row r="847" spans="1:92" ht="15.75" thickBot="1" x14ac:dyDescent="0.3">
      <c r="A847" s="376" t="s">
        <v>161</v>
      </c>
      <c r="B847" s="376" t="s">
        <v>162</v>
      </c>
      <c r="C847" s="376" t="s">
        <v>2030</v>
      </c>
      <c r="D847" s="376" t="s">
        <v>700</v>
      </c>
      <c r="E847" s="376" t="s">
        <v>224</v>
      </c>
      <c r="F847" s="382" t="s">
        <v>225</v>
      </c>
      <c r="G847" s="376" t="s">
        <v>1945</v>
      </c>
      <c r="H847" s="378"/>
      <c r="I847" s="378"/>
      <c r="J847" s="376" t="s">
        <v>215</v>
      </c>
      <c r="K847" s="376" t="s">
        <v>701</v>
      </c>
      <c r="L847" s="376" t="s">
        <v>170</v>
      </c>
      <c r="M847" s="376" t="s">
        <v>171</v>
      </c>
      <c r="N847" s="376" t="s">
        <v>172</v>
      </c>
      <c r="O847" s="379">
        <v>1</v>
      </c>
      <c r="P847" s="385">
        <v>1</v>
      </c>
      <c r="Q847" s="385">
        <v>1</v>
      </c>
      <c r="R847" s="380">
        <v>80</v>
      </c>
      <c r="S847" s="385">
        <v>1</v>
      </c>
      <c r="T847" s="380">
        <v>33882.1</v>
      </c>
      <c r="U847" s="380">
        <v>0</v>
      </c>
      <c r="V847" s="380">
        <v>15288.37</v>
      </c>
      <c r="W847" s="380">
        <v>49025.599999999999</v>
      </c>
      <c r="X847" s="380">
        <v>22251.75</v>
      </c>
      <c r="Y847" s="380">
        <v>49025.599999999999</v>
      </c>
      <c r="Z847" s="380">
        <v>22045.85</v>
      </c>
      <c r="AA847" s="376" t="s">
        <v>2031</v>
      </c>
      <c r="AB847" s="376" t="s">
        <v>2032</v>
      </c>
      <c r="AC847" s="376" t="s">
        <v>365</v>
      </c>
      <c r="AD847" s="376" t="s">
        <v>2033</v>
      </c>
      <c r="AE847" s="376" t="s">
        <v>701</v>
      </c>
      <c r="AF847" s="376" t="s">
        <v>177</v>
      </c>
      <c r="AG847" s="376" t="s">
        <v>178</v>
      </c>
      <c r="AH847" s="381">
        <v>23.57</v>
      </c>
      <c r="AI847" s="381">
        <v>5483.5</v>
      </c>
      <c r="AJ847" s="376" t="s">
        <v>179</v>
      </c>
      <c r="AK847" s="376" t="s">
        <v>180</v>
      </c>
      <c r="AL847" s="376" t="s">
        <v>181</v>
      </c>
      <c r="AM847" s="376" t="s">
        <v>182</v>
      </c>
      <c r="AN847" s="376" t="s">
        <v>68</v>
      </c>
      <c r="AO847" s="379">
        <v>80</v>
      </c>
      <c r="AP847" s="385">
        <v>1</v>
      </c>
      <c r="AQ847" s="385">
        <v>1</v>
      </c>
      <c r="AR847" s="383" t="s">
        <v>183</v>
      </c>
      <c r="AS847" s="387">
        <f t="shared" si="599"/>
        <v>1</v>
      </c>
      <c r="AT847">
        <f t="shared" si="600"/>
        <v>1</v>
      </c>
      <c r="AU847" s="387">
        <f>IF(AT847=0,"",IF(AND(AT847=1,M847="F",SUMIF(C2:C1334,C847,AS2:AS1334)&lt;=1),SUMIF(C2:C1334,C847,AS2:AS1334),IF(AND(AT847=1,M847="F",SUMIF(C2:C1334,C847,AS2:AS1334)&gt;1),1,"")))</f>
        <v>1</v>
      </c>
      <c r="AV847" s="387" t="str">
        <f>IF(AT847=0,"",IF(AND(AT847=3,M847="F",SUMIF(C2:C1334,C847,AS2:AS1334)&lt;=1),SUMIF(C2:C1334,C847,AS2:AS1334),IF(AND(AT847=3,M847="F",SUMIF(C2:C1334,C847,AS2:AS1334)&gt;1),1,"")))</f>
        <v/>
      </c>
      <c r="AW847" s="387">
        <f>SUMIF(C2:C1334,C847,O2:O1334)</f>
        <v>1</v>
      </c>
      <c r="AX847" s="387">
        <f>IF(AND(M847="F",AS847&lt;&gt;0),SUMIF(C2:C1334,C847,W2:W1334),0)</f>
        <v>49025.599999999999</v>
      </c>
      <c r="AY847" s="387">
        <f t="shared" si="601"/>
        <v>49025.599999999999</v>
      </c>
      <c r="AZ847" s="387" t="str">
        <f t="shared" si="602"/>
        <v/>
      </c>
      <c r="BA847" s="387">
        <f t="shared" si="603"/>
        <v>0</v>
      </c>
      <c r="BB847" s="387">
        <f t="shared" si="572"/>
        <v>11650</v>
      </c>
      <c r="BC847" s="387">
        <f t="shared" si="573"/>
        <v>0</v>
      </c>
      <c r="BD847" s="387">
        <f t="shared" si="574"/>
        <v>3039.5871999999999</v>
      </c>
      <c r="BE847" s="387">
        <f t="shared" si="575"/>
        <v>710.87120000000004</v>
      </c>
      <c r="BF847" s="387">
        <f t="shared" si="576"/>
        <v>5853.6566400000002</v>
      </c>
      <c r="BG847" s="387">
        <f t="shared" si="577"/>
        <v>353.47457600000001</v>
      </c>
      <c r="BH847" s="387">
        <f t="shared" si="578"/>
        <v>240.22543999999999</v>
      </c>
      <c r="BI847" s="387">
        <f t="shared" si="579"/>
        <v>271.356696</v>
      </c>
      <c r="BJ847" s="387">
        <f t="shared" si="580"/>
        <v>132.36912000000001</v>
      </c>
      <c r="BK847" s="387">
        <f t="shared" si="581"/>
        <v>0</v>
      </c>
      <c r="BL847" s="387">
        <f t="shared" si="604"/>
        <v>10601.540872000001</v>
      </c>
      <c r="BM847" s="387">
        <f t="shared" si="605"/>
        <v>0</v>
      </c>
      <c r="BN847" s="387">
        <f t="shared" si="582"/>
        <v>11650</v>
      </c>
      <c r="BO847" s="387">
        <f t="shared" si="583"/>
        <v>0</v>
      </c>
      <c r="BP847" s="387">
        <f t="shared" si="584"/>
        <v>3039.5871999999999</v>
      </c>
      <c r="BQ847" s="387">
        <f t="shared" si="585"/>
        <v>710.87120000000004</v>
      </c>
      <c r="BR847" s="387">
        <f t="shared" si="586"/>
        <v>5853.6566400000002</v>
      </c>
      <c r="BS847" s="387">
        <f t="shared" si="587"/>
        <v>353.47457600000001</v>
      </c>
      <c r="BT847" s="387">
        <f t="shared" si="588"/>
        <v>0</v>
      </c>
      <c r="BU847" s="387">
        <f t="shared" si="589"/>
        <v>271.356696</v>
      </c>
      <c r="BV847" s="387">
        <f t="shared" si="590"/>
        <v>166.68704</v>
      </c>
      <c r="BW847" s="387">
        <f t="shared" si="591"/>
        <v>0</v>
      </c>
      <c r="BX847" s="387">
        <f t="shared" si="606"/>
        <v>10395.633352000003</v>
      </c>
      <c r="BY847" s="387">
        <f t="shared" si="607"/>
        <v>0</v>
      </c>
      <c r="BZ847" s="387">
        <f t="shared" si="608"/>
        <v>0</v>
      </c>
      <c r="CA847" s="387">
        <f t="shared" si="609"/>
        <v>0</v>
      </c>
      <c r="CB847" s="387">
        <f t="shared" si="610"/>
        <v>0</v>
      </c>
      <c r="CC847" s="387">
        <f t="shared" si="592"/>
        <v>0</v>
      </c>
      <c r="CD847" s="387">
        <f t="shared" si="593"/>
        <v>0</v>
      </c>
      <c r="CE847" s="387">
        <f t="shared" si="594"/>
        <v>0</v>
      </c>
      <c r="CF847" s="387">
        <f t="shared" si="595"/>
        <v>-240.22543999999999</v>
      </c>
      <c r="CG847" s="387">
        <f t="shared" si="596"/>
        <v>0</v>
      </c>
      <c r="CH847" s="387">
        <f t="shared" si="597"/>
        <v>34.31791999999998</v>
      </c>
      <c r="CI847" s="387">
        <f t="shared" si="598"/>
        <v>0</v>
      </c>
      <c r="CJ847" s="387">
        <f t="shared" si="611"/>
        <v>-205.90752000000001</v>
      </c>
      <c r="CK847" s="387" t="str">
        <f t="shared" si="612"/>
        <v/>
      </c>
      <c r="CL847" s="387" t="str">
        <f t="shared" si="613"/>
        <v/>
      </c>
      <c r="CM847" s="387" t="str">
        <f t="shared" si="614"/>
        <v/>
      </c>
      <c r="CN847" s="387" t="str">
        <f t="shared" si="615"/>
        <v>0348-31</v>
      </c>
    </row>
    <row r="848" spans="1:92" ht="15.75" thickBot="1" x14ac:dyDescent="0.3">
      <c r="A848" s="376" t="s">
        <v>161</v>
      </c>
      <c r="B848" s="376" t="s">
        <v>162</v>
      </c>
      <c r="C848" s="376" t="s">
        <v>2034</v>
      </c>
      <c r="D848" s="376" t="s">
        <v>270</v>
      </c>
      <c r="E848" s="376" t="s">
        <v>224</v>
      </c>
      <c r="F848" s="382" t="s">
        <v>225</v>
      </c>
      <c r="G848" s="376" t="s">
        <v>1945</v>
      </c>
      <c r="H848" s="378"/>
      <c r="I848" s="378"/>
      <c r="J848" s="376" t="s">
        <v>215</v>
      </c>
      <c r="K848" s="376" t="s">
        <v>271</v>
      </c>
      <c r="L848" s="376" t="s">
        <v>217</v>
      </c>
      <c r="M848" s="376" t="s">
        <v>171</v>
      </c>
      <c r="N848" s="376" t="s">
        <v>172</v>
      </c>
      <c r="O848" s="379">
        <v>1</v>
      </c>
      <c r="P848" s="385">
        <v>1</v>
      </c>
      <c r="Q848" s="385">
        <v>1</v>
      </c>
      <c r="R848" s="380">
        <v>80</v>
      </c>
      <c r="S848" s="385">
        <v>1</v>
      </c>
      <c r="T848" s="380">
        <v>27983.19</v>
      </c>
      <c r="U848" s="380">
        <v>614.80999999999995</v>
      </c>
      <c r="V848" s="380">
        <v>16634.87</v>
      </c>
      <c r="W848" s="380">
        <v>32614.400000000001</v>
      </c>
      <c r="X848" s="380">
        <v>18702.82</v>
      </c>
      <c r="Y848" s="380">
        <v>32614.400000000001</v>
      </c>
      <c r="Z848" s="380">
        <v>18565.84</v>
      </c>
      <c r="AA848" s="376" t="s">
        <v>2035</v>
      </c>
      <c r="AB848" s="376" t="s">
        <v>2036</v>
      </c>
      <c r="AC848" s="376" t="s">
        <v>2037</v>
      </c>
      <c r="AD848" s="376" t="s">
        <v>268</v>
      </c>
      <c r="AE848" s="376" t="s">
        <v>271</v>
      </c>
      <c r="AF848" s="376" t="s">
        <v>221</v>
      </c>
      <c r="AG848" s="376" t="s">
        <v>178</v>
      </c>
      <c r="AH848" s="381">
        <v>15.68</v>
      </c>
      <c r="AI848" s="381">
        <v>12331.4</v>
      </c>
      <c r="AJ848" s="376" t="s">
        <v>179</v>
      </c>
      <c r="AK848" s="376" t="s">
        <v>180</v>
      </c>
      <c r="AL848" s="376" t="s">
        <v>181</v>
      </c>
      <c r="AM848" s="376" t="s">
        <v>182</v>
      </c>
      <c r="AN848" s="376" t="s">
        <v>68</v>
      </c>
      <c r="AO848" s="379">
        <v>80</v>
      </c>
      <c r="AP848" s="385">
        <v>1</v>
      </c>
      <c r="AQ848" s="385">
        <v>1</v>
      </c>
      <c r="AR848" s="383" t="s">
        <v>183</v>
      </c>
      <c r="AS848" s="387">
        <f t="shared" si="599"/>
        <v>1</v>
      </c>
      <c r="AT848">
        <f t="shared" si="600"/>
        <v>1</v>
      </c>
      <c r="AU848" s="387">
        <f>IF(AT848=0,"",IF(AND(AT848=1,M848="F",SUMIF(C2:C1334,C848,AS2:AS1334)&lt;=1),SUMIF(C2:C1334,C848,AS2:AS1334),IF(AND(AT848=1,M848="F",SUMIF(C2:C1334,C848,AS2:AS1334)&gt;1),1,"")))</f>
        <v>1</v>
      </c>
      <c r="AV848" s="387" t="str">
        <f>IF(AT848=0,"",IF(AND(AT848=3,M848="F",SUMIF(C2:C1334,C848,AS2:AS1334)&lt;=1),SUMIF(C2:C1334,C848,AS2:AS1334),IF(AND(AT848=3,M848="F",SUMIF(C2:C1334,C848,AS2:AS1334)&gt;1),1,"")))</f>
        <v/>
      </c>
      <c r="AW848" s="387">
        <f>SUMIF(C2:C1334,C848,O2:O1334)</f>
        <v>1</v>
      </c>
      <c r="AX848" s="387">
        <f>IF(AND(M848="F",AS848&lt;&gt;0),SUMIF(C2:C1334,C848,W2:W1334),0)</f>
        <v>32614.400000000001</v>
      </c>
      <c r="AY848" s="387">
        <f t="shared" si="601"/>
        <v>32614.400000000001</v>
      </c>
      <c r="AZ848" s="387" t="str">
        <f t="shared" si="602"/>
        <v/>
      </c>
      <c r="BA848" s="387">
        <f t="shared" si="603"/>
        <v>0</v>
      </c>
      <c r="BB848" s="387">
        <f t="shared" si="572"/>
        <v>11650</v>
      </c>
      <c r="BC848" s="387">
        <f t="shared" si="573"/>
        <v>0</v>
      </c>
      <c r="BD848" s="387">
        <f t="shared" si="574"/>
        <v>2022.0928000000001</v>
      </c>
      <c r="BE848" s="387">
        <f t="shared" si="575"/>
        <v>472.90880000000004</v>
      </c>
      <c r="BF848" s="387">
        <f t="shared" si="576"/>
        <v>3894.1593600000006</v>
      </c>
      <c r="BG848" s="387">
        <f t="shared" si="577"/>
        <v>235.14982400000002</v>
      </c>
      <c r="BH848" s="387">
        <f t="shared" si="578"/>
        <v>159.81056000000001</v>
      </c>
      <c r="BI848" s="387">
        <f t="shared" si="579"/>
        <v>180.52070399999999</v>
      </c>
      <c r="BJ848" s="387">
        <f t="shared" si="580"/>
        <v>88.058880000000002</v>
      </c>
      <c r="BK848" s="387">
        <f t="shared" si="581"/>
        <v>0</v>
      </c>
      <c r="BL848" s="387">
        <f t="shared" si="604"/>
        <v>7052.7009280000002</v>
      </c>
      <c r="BM848" s="387">
        <f t="shared" si="605"/>
        <v>0</v>
      </c>
      <c r="BN848" s="387">
        <f t="shared" si="582"/>
        <v>11650</v>
      </c>
      <c r="BO848" s="387">
        <f t="shared" si="583"/>
        <v>0</v>
      </c>
      <c r="BP848" s="387">
        <f t="shared" si="584"/>
        <v>2022.0928000000001</v>
      </c>
      <c r="BQ848" s="387">
        <f t="shared" si="585"/>
        <v>472.90880000000004</v>
      </c>
      <c r="BR848" s="387">
        <f t="shared" si="586"/>
        <v>3894.1593600000006</v>
      </c>
      <c r="BS848" s="387">
        <f t="shared" si="587"/>
        <v>235.14982400000002</v>
      </c>
      <c r="BT848" s="387">
        <f t="shared" si="588"/>
        <v>0</v>
      </c>
      <c r="BU848" s="387">
        <f t="shared" si="589"/>
        <v>180.52070399999999</v>
      </c>
      <c r="BV848" s="387">
        <f t="shared" si="590"/>
        <v>110.88896</v>
      </c>
      <c r="BW848" s="387">
        <f t="shared" si="591"/>
        <v>0</v>
      </c>
      <c r="BX848" s="387">
        <f t="shared" si="606"/>
        <v>6915.7204480000009</v>
      </c>
      <c r="BY848" s="387">
        <f t="shared" si="607"/>
        <v>0</v>
      </c>
      <c r="BZ848" s="387">
        <f t="shared" si="608"/>
        <v>0</v>
      </c>
      <c r="CA848" s="387">
        <f t="shared" si="609"/>
        <v>0</v>
      </c>
      <c r="CB848" s="387">
        <f t="shared" si="610"/>
        <v>0</v>
      </c>
      <c r="CC848" s="387">
        <f t="shared" si="592"/>
        <v>0</v>
      </c>
      <c r="CD848" s="387">
        <f t="shared" si="593"/>
        <v>0</v>
      </c>
      <c r="CE848" s="387">
        <f t="shared" si="594"/>
        <v>0</v>
      </c>
      <c r="CF848" s="387">
        <f t="shared" si="595"/>
        <v>-159.81056000000001</v>
      </c>
      <c r="CG848" s="387">
        <f t="shared" si="596"/>
        <v>0</v>
      </c>
      <c r="CH848" s="387">
        <f t="shared" si="597"/>
        <v>22.830079999999992</v>
      </c>
      <c r="CI848" s="387">
        <f t="shared" si="598"/>
        <v>0</v>
      </c>
      <c r="CJ848" s="387">
        <f t="shared" si="611"/>
        <v>-136.98048000000003</v>
      </c>
      <c r="CK848" s="387" t="str">
        <f t="shared" si="612"/>
        <v/>
      </c>
      <c r="CL848" s="387" t="str">
        <f t="shared" si="613"/>
        <v/>
      </c>
      <c r="CM848" s="387" t="str">
        <f t="shared" si="614"/>
        <v/>
      </c>
      <c r="CN848" s="387" t="str">
        <f t="shared" si="615"/>
        <v>0348-31</v>
      </c>
    </row>
    <row r="849" spans="1:92" ht="15.75" thickBot="1" x14ac:dyDescent="0.3">
      <c r="A849" s="376" t="s">
        <v>161</v>
      </c>
      <c r="B849" s="376" t="s">
        <v>162</v>
      </c>
      <c r="C849" s="376" t="s">
        <v>1009</v>
      </c>
      <c r="D849" s="376" t="s">
        <v>868</v>
      </c>
      <c r="E849" s="376" t="s">
        <v>224</v>
      </c>
      <c r="F849" s="382" t="s">
        <v>225</v>
      </c>
      <c r="G849" s="376" t="s">
        <v>1945</v>
      </c>
      <c r="H849" s="378"/>
      <c r="I849" s="378"/>
      <c r="J849" s="376" t="s">
        <v>215</v>
      </c>
      <c r="K849" s="376" t="s">
        <v>869</v>
      </c>
      <c r="L849" s="376" t="s">
        <v>296</v>
      </c>
      <c r="M849" s="376" t="s">
        <v>272</v>
      </c>
      <c r="N849" s="376" t="s">
        <v>172</v>
      </c>
      <c r="O849" s="379">
        <v>0</v>
      </c>
      <c r="P849" s="385">
        <v>1</v>
      </c>
      <c r="Q849" s="385">
        <v>1</v>
      </c>
      <c r="R849" s="380">
        <v>80</v>
      </c>
      <c r="S849" s="385">
        <v>1</v>
      </c>
      <c r="T849" s="380">
        <v>0</v>
      </c>
      <c r="U849" s="380">
        <v>0</v>
      </c>
      <c r="V849" s="380">
        <v>0</v>
      </c>
      <c r="W849" s="380">
        <v>47403.199999999997</v>
      </c>
      <c r="X849" s="380">
        <v>20762.599999999999</v>
      </c>
      <c r="Y849" s="380">
        <v>47403.199999999997</v>
      </c>
      <c r="Z849" s="380">
        <v>20525.580000000002</v>
      </c>
      <c r="AA849" s="378"/>
      <c r="AB849" s="376" t="s">
        <v>45</v>
      </c>
      <c r="AC849" s="376" t="s">
        <v>45</v>
      </c>
      <c r="AD849" s="378"/>
      <c r="AE849" s="378"/>
      <c r="AF849" s="378"/>
      <c r="AG849" s="378"/>
      <c r="AH849" s="379">
        <v>0</v>
      </c>
      <c r="AI849" s="379">
        <v>0</v>
      </c>
      <c r="AJ849" s="378"/>
      <c r="AK849" s="378"/>
      <c r="AL849" s="376" t="s">
        <v>181</v>
      </c>
      <c r="AM849" s="378"/>
      <c r="AN849" s="378"/>
      <c r="AO849" s="379">
        <v>0</v>
      </c>
      <c r="AP849" s="385">
        <v>0</v>
      </c>
      <c r="AQ849" s="385">
        <v>0</v>
      </c>
      <c r="AR849" s="384"/>
      <c r="AS849" s="387">
        <f t="shared" si="599"/>
        <v>0</v>
      </c>
      <c r="AT849">
        <f t="shared" si="600"/>
        <v>0</v>
      </c>
      <c r="AU849" s="387" t="str">
        <f>IF(AT849=0,"",IF(AND(AT849=1,M849="F",SUMIF(C2:C1334,C849,AS2:AS1334)&lt;=1),SUMIF(C2:C1334,C849,AS2:AS1334),IF(AND(AT849=1,M849="F",SUMIF(C2:C1334,C849,AS2:AS1334)&gt;1),1,"")))</f>
        <v/>
      </c>
      <c r="AV849" s="387" t="str">
        <f>IF(AT849=0,"",IF(AND(AT849=3,M849="F",SUMIF(C2:C1334,C849,AS2:AS1334)&lt;=1),SUMIF(C2:C1334,C849,AS2:AS1334),IF(AND(AT849=3,M849="F",SUMIF(C2:C1334,C849,AS2:AS1334)&gt;1),1,"")))</f>
        <v/>
      </c>
      <c r="AW849" s="387">
        <f>SUMIF(C2:C1334,C849,O2:O1334)</f>
        <v>0</v>
      </c>
      <c r="AX849" s="387">
        <f>IF(AND(M849="F",AS849&lt;&gt;0),SUMIF(C2:C1334,C849,W2:W1334),0)</f>
        <v>0</v>
      </c>
      <c r="AY849" s="387" t="str">
        <f t="shared" si="601"/>
        <v/>
      </c>
      <c r="AZ849" s="387" t="str">
        <f t="shared" si="602"/>
        <v/>
      </c>
      <c r="BA849" s="387">
        <f t="shared" si="603"/>
        <v>0</v>
      </c>
      <c r="BB849" s="387">
        <f t="shared" si="572"/>
        <v>0</v>
      </c>
      <c r="BC849" s="387">
        <f t="shared" si="573"/>
        <v>0</v>
      </c>
      <c r="BD849" s="387">
        <f t="shared" si="574"/>
        <v>0</v>
      </c>
      <c r="BE849" s="387">
        <f t="shared" si="575"/>
        <v>0</v>
      </c>
      <c r="BF849" s="387">
        <f t="shared" si="576"/>
        <v>0</v>
      </c>
      <c r="BG849" s="387">
        <f t="shared" si="577"/>
        <v>0</v>
      </c>
      <c r="BH849" s="387">
        <f t="shared" si="578"/>
        <v>0</v>
      </c>
      <c r="BI849" s="387">
        <f t="shared" si="579"/>
        <v>0</v>
      </c>
      <c r="BJ849" s="387">
        <f t="shared" si="580"/>
        <v>0</v>
      </c>
      <c r="BK849" s="387">
        <f t="shared" si="581"/>
        <v>0</v>
      </c>
      <c r="BL849" s="387">
        <f t="shared" si="604"/>
        <v>0</v>
      </c>
      <c r="BM849" s="387">
        <f t="shared" si="605"/>
        <v>0</v>
      </c>
      <c r="BN849" s="387">
        <f t="shared" si="582"/>
        <v>0</v>
      </c>
      <c r="BO849" s="387">
        <f t="shared" si="583"/>
        <v>0</v>
      </c>
      <c r="BP849" s="387">
        <f t="shared" si="584"/>
        <v>0</v>
      </c>
      <c r="BQ849" s="387">
        <f t="shared" si="585"/>
        <v>0</v>
      </c>
      <c r="BR849" s="387">
        <f t="shared" si="586"/>
        <v>0</v>
      </c>
      <c r="BS849" s="387">
        <f t="shared" si="587"/>
        <v>0</v>
      </c>
      <c r="BT849" s="387">
        <f t="shared" si="588"/>
        <v>0</v>
      </c>
      <c r="BU849" s="387">
        <f t="shared" si="589"/>
        <v>0</v>
      </c>
      <c r="BV849" s="387">
        <f t="shared" si="590"/>
        <v>0</v>
      </c>
      <c r="BW849" s="387">
        <f t="shared" si="591"/>
        <v>0</v>
      </c>
      <c r="BX849" s="387">
        <f t="shared" si="606"/>
        <v>0</v>
      </c>
      <c r="BY849" s="387">
        <f t="shared" si="607"/>
        <v>0</v>
      </c>
      <c r="BZ849" s="387">
        <f t="shared" si="608"/>
        <v>0</v>
      </c>
      <c r="CA849" s="387">
        <f t="shared" si="609"/>
        <v>0</v>
      </c>
      <c r="CB849" s="387">
        <f t="shared" si="610"/>
        <v>0</v>
      </c>
      <c r="CC849" s="387">
        <f t="shared" si="592"/>
        <v>0</v>
      </c>
      <c r="CD849" s="387">
        <f t="shared" si="593"/>
        <v>0</v>
      </c>
      <c r="CE849" s="387">
        <f t="shared" si="594"/>
        <v>0</v>
      </c>
      <c r="CF849" s="387">
        <f t="shared" si="595"/>
        <v>0</v>
      </c>
      <c r="CG849" s="387">
        <f t="shared" si="596"/>
        <v>0</v>
      </c>
      <c r="CH849" s="387">
        <f t="shared" si="597"/>
        <v>0</v>
      </c>
      <c r="CI849" s="387">
        <f t="shared" si="598"/>
        <v>0</v>
      </c>
      <c r="CJ849" s="387">
        <f t="shared" si="611"/>
        <v>0</v>
      </c>
      <c r="CK849" s="387" t="str">
        <f t="shared" si="612"/>
        <v/>
      </c>
      <c r="CL849" s="387" t="str">
        <f t="shared" si="613"/>
        <v/>
      </c>
      <c r="CM849" s="387" t="str">
        <f t="shared" si="614"/>
        <v/>
      </c>
      <c r="CN849" s="387" t="str">
        <f t="shared" si="615"/>
        <v>0348-31</v>
      </c>
    </row>
    <row r="850" spans="1:92" ht="15.75" thickBot="1" x14ac:dyDescent="0.3">
      <c r="A850" s="376" t="s">
        <v>161</v>
      </c>
      <c r="B850" s="376" t="s">
        <v>162</v>
      </c>
      <c r="C850" s="376" t="s">
        <v>1173</v>
      </c>
      <c r="D850" s="376" t="s">
        <v>862</v>
      </c>
      <c r="E850" s="376" t="s">
        <v>224</v>
      </c>
      <c r="F850" s="382" t="s">
        <v>225</v>
      </c>
      <c r="G850" s="376" t="s">
        <v>1945</v>
      </c>
      <c r="H850" s="378"/>
      <c r="I850" s="378"/>
      <c r="J850" s="376" t="s">
        <v>239</v>
      </c>
      <c r="K850" s="376" t="s">
        <v>863</v>
      </c>
      <c r="L850" s="376" t="s">
        <v>252</v>
      </c>
      <c r="M850" s="376" t="s">
        <v>171</v>
      </c>
      <c r="N850" s="376" t="s">
        <v>172</v>
      </c>
      <c r="O850" s="379">
        <v>1</v>
      </c>
      <c r="P850" s="385">
        <v>0</v>
      </c>
      <c r="Q850" s="385">
        <v>0</v>
      </c>
      <c r="R850" s="380">
        <v>80</v>
      </c>
      <c r="S850" s="385">
        <v>0</v>
      </c>
      <c r="T850" s="380">
        <v>2905.66</v>
      </c>
      <c r="U850" s="380">
        <v>0</v>
      </c>
      <c r="V850" s="380">
        <v>1523.89</v>
      </c>
      <c r="W850" s="380">
        <v>0</v>
      </c>
      <c r="X850" s="380">
        <v>0</v>
      </c>
      <c r="Y850" s="380">
        <v>0</v>
      </c>
      <c r="Z850" s="380">
        <v>0</v>
      </c>
      <c r="AA850" s="376" t="s">
        <v>1174</v>
      </c>
      <c r="AB850" s="376" t="s">
        <v>1175</v>
      </c>
      <c r="AC850" s="376" t="s">
        <v>1031</v>
      </c>
      <c r="AD850" s="376" t="s">
        <v>279</v>
      </c>
      <c r="AE850" s="376" t="s">
        <v>863</v>
      </c>
      <c r="AF850" s="376" t="s">
        <v>393</v>
      </c>
      <c r="AG850" s="376" t="s">
        <v>178</v>
      </c>
      <c r="AH850" s="381">
        <v>19.12</v>
      </c>
      <c r="AI850" s="381">
        <v>5037.3</v>
      </c>
      <c r="AJ850" s="376" t="s">
        <v>179</v>
      </c>
      <c r="AK850" s="376" t="s">
        <v>180</v>
      </c>
      <c r="AL850" s="376" t="s">
        <v>181</v>
      </c>
      <c r="AM850" s="376" t="s">
        <v>182</v>
      </c>
      <c r="AN850" s="376" t="s">
        <v>68</v>
      </c>
      <c r="AO850" s="379">
        <v>80</v>
      </c>
      <c r="AP850" s="385">
        <v>1</v>
      </c>
      <c r="AQ850" s="385">
        <v>0</v>
      </c>
      <c r="AR850" s="383" t="s">
        <v>183</v>
      </c>
      <c r="AS850" s="387">
        <f t="shared" si="599"/>
        <v>0</v>
      </c>
      <c r="AT850">
        <f t="shared" si="600"/>
        <v>0</v>
      </c>
      <c r="AU850" s="387" t="str">
        <f>IF(AT850=0,"",IF(AND(AT850=1,M850="F",SUMIF(C2:C1334,C850,AS2:AS1334)&lt;=1),SUMIF(C2:C1334,C850,AS2:AS1334),IF(AND(AT850=1,M850="F",SUMIF(C2:C1334,C850,AS2:AS1334)&gt;1),1,"")))</f>
        <v/>
      </c>
      <c r="AV850" s="387" t="str">
        <f>IF(AT850=0,"",IF(AND(AT850=3,M850="F",SUMIF(C2:C1334,C850,AS2:AS1334)&lt;=1),SUMIF(C2:C1334,C850,AS2:AS1334),IF(AND(AT850=3,M850="F",SUMIF(C2:C1334,C850,AS2:AS1334)&gt;1),1,"")))</f>
        <v/>
      </c>
      <c r="AW850" s="387">
        <f>SUMIF(C2:C1334,C850,O2:O1334)</f>
        <v>3</v>
      </c>
      <c r="AX850" s="387">
        <f>IF(AND(M850="F",AS850&lt;&gt;0),SUMIF(C2:C1334,C850,W2:W1334),0)</f>
        <v>0</v>
      </c>
      <c r="AY850" s="387" t="str">
        <f t="shared" si="601"/>
        <v/>
      </c>
      <c r="AZ850" s="387" t="str">
        <f t="shared" si="602"/>
        <v/>
      </c>
      <c r="BA850" s="387">
        <f t="shared" si="603"/>
        <v>0</v>
      </c>
      <c r="BB850" s="387">
        <f t="shared" si="572"/>
        <v>0</v>
      </c>
      <c r="BC850" s="387">
        <f t="shared" si="573"/>
        <v>0</v>
      </c>
      <c r="BD850" s="387">
        <f t="shared" si="574"/>
        <v>0</v>
      </c>
      <c r="BE850" s="387">
        <f t="shared" si="575"/>
        <v>0</v>
      </c>
      <c r="BF850" s="387">
        <f t="shared" si="576"/>
        <v>0</v>
      </c>
      <c r="BG850" s="387">
        <f t="shared" si="577"/>
        <v>0</v>
      </c>
      <c r="BH850" s="387">
        <f t="shared" si="578"/>
        <v>0</v>
      </c>
      <c r="BI850" s="387">
        <f t="shared" si="579"/>
        <v>0</v>
      </c>
      <c r="BJ850" s="387">
        <f t="shared" si="580"/>
        <v>0</v>
      </c>
      <c r="BK850" s="387">
        <f t="shared" si="581"/>
        <v>0</v>
      </c>
      <c r="BL850" s="387">
        <f t="shared" si="604"/>
        <v>0</v>
      </c>
      <c r="BM850" s="387">
        <f t="shared" si="605"/>
        <v>0</v>
      </c>
      <c r="BN850" s="387">
        <f t="shared" si="582"/>
        <v>0</v>
      </c>
      <c r="BO850" s="387">
        <f t="shared" si="583"/>
        <v>0</v>
      </c>
      <c r="BP850" s="387">
        <f t="shared" si="584"/>
        <v>0</v>
      </c>
      <c r="BQ850" s="387">
        <f t="shared" si="585"/>
        <v>0</v>
      </c>
      <c r="BR850" s="387">
        <f t="shared" si="586"/>
        <v>0</v>
      </c>
      <c r="BS850" s="387">
        <f t="shared" si="587"/>
        <v>0</v>
      </c>
      <c r="BT850" s="387">
        <f t="shared" si="588"/>
        <v>0</v>
      </c>
      <c r="BU850" s="387">
        <f t="shared" si="589"/>
        <v>0</v>
      </c>
      <c r="BV850" s="387">
        <f t="shared" si="590"/>
        <v>0</v>
      </c>
      <c r="BW850" s="387">
        <f t="shared" si="591"/>
        <v>0</v>
      </c>
      <c r="BX850" s="387">
        <f t="shared" si="606"/>
        <v>0</v>
      </c>
      <c r="BY850" s="387">
        <f t="shared" si="607"/>
        <v>0</v>
      </c>
      <c r="BZ850" s="387">
        <f t="shared" si="608"/>
        <v>0</v>
      </c>
      <c r="CA850" s="387">
        <f t="shared" si="609"/>
        <v>0</v>
      </c>
      <c r="CB850" s="387">
        <f t="shared" si="610"/>
        <v>0</v>
      </c>
      <c r="CC850" s="387">
        <f t="shared" si="592"/>
        <v>0</v>
      </c>
      <c r="CD850" s="387">
        <f t="shared" si="593"/>
        <v>0</v>
      </c>
      <c r="CE850" s="387">
        <f t="shared" si="594"/>
        <v>0</v>
      </c>
      <c r="CF850" s="387">
        <f t="shared" si="595"/>
        <v>0</v>
      </c>
      <c r="CG850" s="387">
        <f t="shared" si="596"/>
        <v>0</v>
      </c>
      <c r="CH850" s="387">
        <f t="shared" si="597"/>
        <v>0</v>
      </c>
      <c r="CI850" s="387">
        <f t="shared" si="598"/>
        <v>0</v>
      </c>
      <c r="CJ850" s="387">
        <f t="shared" si="611"/>
        <v>0</v>
      </c>
      <c r="CK850" s="387" t="str">
        <f t="shared" si="612"/>
        <v/>
      </c>
      <c r="CL850" s="387" t="str">
        <f t="shared" si="613"/>
        <v/>
      </c>
      <c r="CM850" s="387" t="str">
        <f t="shared" si="614"/>
        <v/>
      </c>
      <c r="CN850" s="387" t="str">
        <f t="shared" si="615"/>
        <v>0348-31</v>
      </c>
    </row>
    <row r="851" spans="1:92" ht="15.75" thickBot="1" x14ac:dyDescent="0.3">
      <c r="A851" s="376" t="s">
        <v>161</v>
      </c>
      <c r="B851" s="376" t="s">
        <v>162</v>
      </c>
      <c r="C851" s="376" t="s">
        <v>1092</v>
      </c>
      <c r="D851" s="376" t="s">
        <v>862</v>
      </c>
      <c r="E851" s="376" t="s">
        <v>224</v>
      </c>
      <c r="F851" s="382" t="s">
        <v>225</v>
      </c>
      <c r="G851" s="376" t="s">
        <v>1945</v>
      </c>
      <c r="H851" s="378"/>
      <c r="I851" s="378"/>
      <c r="J851" s="376" t="s">
        <v>239</v>
      </c>
      <c r="K851" s="376" t="s">
        <v>863</v>
      </c>
      <c r="L851" s="376" t="s">
        <v>252</v>
      </c>
      <c r="M851" s="376" t="s">
        <v>171</v>
      </c>
      <c r="N851" s="376" t="s">
        <v>172</v>
      </c>
      <c r="O851" s="379">
        <v>1</v>
      </c>
      <c r="P851" s="385">
        <v>0.25</v>
      </c>
      <c r="Q851" s="385">
        <v>0.25</v>
      </c>
      <c r="R851" s="380">
        <v>80</v>
      </c>
      <c r="S851" s="385">
        <v>0.25</v>
      </c>
      <c r="T851" s="380">
        <v>9204.83</v>
      </c>
      <c r="U851" s="380">
        <v>0</v>
      </c>
      <c r="V851" s="380">
        <v>4853.53</v>
      </c>
      <c r="W851" s="380">
        <v>9822.7999999999993</v>
      </c>
      <c r="X851" s="380">
        <v>5036.67</v>
      </c>
      <c r="Y851" s="380">
        <v>9822.7999999999993</v>
      </c>
      <c r="Z851" s="380">
        <v>4995.41</v>
      </c>
      <c r="AA851" s="376" t="s">
        <v>1093</v>
      </c>
      <c r="AB851" s="376" t="s">
        <v>1094</v>
      </c>
      <c r="AC851" s="376" t="s">
        <v>1095</v>
      </c>
      <c r="AD851" s="376" t="s">
        <v>170</v>
      </c>
      <c r="AE851" s="376" t="s">
        <v>863</v>
      </c>
      <c r="AF851" s="376" t="s">
        <v>393</v>
      </c>
      <c r="AG851" s="376" t="s">
        <v>178</v>
      </c>
      <c r="AH851" s="381">
        <v>18.89</v>
      </c>
      <c r="AI851" s="381">
        <v>3928.5</v>
      </c>
      <c r="AJ851" s="376" t="s">
        <v>179</v>
      </c>
      <c r="AK851" s="376" t="s">
        <v>180</v>
      </c>
      <c r="AL851" s="376" t="s">
        <v>181</v>
      </c>
      <c r="AM851" s="376" t="s">
        <v>182</v>
      </c>
      <c r="AN851" s="376" t="s">
        <v>68</v>
      </c>
      <c r="AO851" s="379">
        <v>80</v>
      </c>
      <c r="AP851" s="385">
        <v>1</v>
      </c>
      <c r="AQ851" s="385">
        <v>0.25</v>
      </c>
      <c r="AR851" s="383" t="s">
        <v>183</v>
      </c>
      <c r="AS851" s="387">
        <f t="shared" si="599"/>
        <v>0.25</v>
      </c>
      <c r="AT851">
        <f t="shared" si="600"/>
        <v>1</v>
      </c>
      <c r="AU851" s="387">
        <f>IF(AT851=0,"",IF(AND(AT851=1,M851="F",SUMIF(C2:C1334,C851,AS2:AS1334)&lt;=1),SUMIF(C2:C1334,C851,AS2:AS1334),IF(AND(AT851=1,M851="F",SUMIF(C2:C1334,C851,AS2:AS1334)&gt;1),1,"")))</f>
        <v>1</v>
      </c>
      <c r="AV851" s="387" t="str">
        <f>IF(AT851=0,"",IF(AND(AT851=3,M851="F",SUMIF(C2:C1334,C851,AS2:AS1334)&lt;=1),SUMIF(C2:C1334,C851,AS2:AS1334),IF(AND(AT851=3,M851="F",SUMIF(C2:C1334,C851,AS2:AS1334)&gt;1),1,"")))</f>
        <v/>
      </c>
      <c r="AW851" s="387">
        <f>SUMIF(C2:C1334,C851,O2:O1334)</f>
        <v>3</v>
      </c>
      <c r="AX851" s="387">
        <f>IF(AND(M851="F",AS851&lt;&gt;0),SUMIF(C2:C1334,C851,W2:W1334),0)</f>
        <v>39291.199999999997</v>
      </c>
      <c r="AY851" s="387">
        <f t="shared" si="601"/>
        <v>9822.7999999999993</v>
      </c>
      <c r="AZ851" s="387" t="str">
        <f t="shared" si="602"/>
        <v/>
      </c>
      <c r="BA851" s="387">
        <f t="shared" si="603"/>
        <v>0</v>
      </c>
      <c r="BB851" s="387">
        <f t="shared" si="572"/>
        <v>2912.5</v>
      </c>
      <c r="BC851" s="387">
        <f t="shared" si="573"/>
        <v>0</v>
      </c>
      <c r="BD851" s="387">
        <f t="shared" si="574"/>
        <v>609.0136</v>
      </c>
      <c r="BE851" s="387">
        <f t="shared" si="575"/>
        <v>142.4306</v>
      </c>
      <c r="BF851" s="387">
        <f t="shared" si="576"/>
        <v>1172.84232</v>
      </c>
      <c r="BG851" s="387">
        <f t="shared" si="577"/>
        <v>70.822388000000004</v>
      </c>
      <c r="BH851" s="387">
        <f t="shared" si="578"/>
        <v>48.131719999999994</v>
      </c>
      <c r="BI851" s="387">
        <f t="shared" si="579"/>
        <v>54.369197999999997</v>
      </c>
      <c r="BJ851" s="387">
        <f t="shared" si="580"/>
        <v>26.521560000000001</v>
      </c>
      <c r="BK851" s="387">
        <f t="shared" si="581"/>
        <v>0</v>
      </c>
      <c r="BL851" s="387">
        <f t="shared" si="604"/>
        <v>2124.1313860000005</v>
      </c>
      <c r="BM851" s="387">
        <f t="shared" si="605"/>
        <v>0</v>
      </c>
      <c r="BN851" s="387">
        <f t="shared" si="582"/>
        <v>2912.5</v>
      </c>
      <c r="BO851" s="387">
        <f t="shared" si="583"/>
        <v>0</v>
      </c>
      <c r="BP851" s="387">
        <f t="shared" si="584"/>
        <v>609.0136</v>
      </c>
      <c r="BQ851" s="387">
        <f t="shared" si="585"/>
        <v>142.4306</v>
      </c>
      <c r="BR851" s="387">
        <f t="shared" si="586"/>
        <v>1172.84232</v>
      </c>
      <c r="BS851" s="387">
        <f t="shared" si="587"/>
        <v>70.822388000000004</v>
      </c>
      <c r="BT851" s="387">
        <f t="shared" si="588"/>
        <v>0</v>
      </c>
      <c r="BU851" s="387">
        <f t="shared" si="589"/>
        <v>54.369197999999997</v>
      </c>
      <c r="BV851" s="387">
        <f t="shared" si="590"/>
        <v>33.397519999999993</v>
      </c>
      <c r="BW851" s="387">
        <f t="shared" si="591"/>
        <v>0</v>
      </c>
      <c r="BX851" s="387">
        <f t="shared" si="606"/>
        <v>2082.875626</v>
      </c>
      <c r="BY851" s="387">
        <f t="shared" si="607"/>
        <v>0</v>
      </c>
      <c r="BZ851" s="387">
        <f t="shared" si="608"/>
        <v>0</v>
      </c>
      <c r="CA851" s="387">
        <f t="shared" si="609"/>
        <v>0</v>
      </c>
      <c r="CB851" s="387">
        <f t="shared" si="610"/>
        <v>0</v>
      </c>
      <c r="CC851" s="387">
        <f t="shared" si="592"/>
        <v>0</v>
      </c>
      <c r="CD851" s="387">
        <f t="shared" si="593"/>
        <v>0</v>
      </c>
      <c r="CE851" s="387">
        <f t="shared" si="594"/>
        <v>0</v>
      </c>
      <c r="CF851" s="387">
        <f t="shared" si="595"/>
        <v>-48.131719999999994</v>
      </c>
      <c r="CG851" s="387">
        <f t="shared" si="596"/>
        <v>0</v>
      </c>
      <c r="CH851" s="387">
        <f t="shared" si="597"/>
        <v>6.8759599999999965</v>
      </c>
      <c r="CI851" s="387">
        <f t="shared" si="598"/>
        <v>0</v>
      </c>
      <c r="CJ851" s="387">
        <f t="shared" si="611"/>
        <v>-41.255759999999995</v>
      </c>
      <c r="CK851" s="387" t="str">
        <f t="shared" si="612"/>
        <v/>
      </c>
      <c r="CL851" s="387" t="str">
        <f t="shared" si="613"/>
        <v/>
      </c>
      <c r="CM851" s="387" t="str">
        <f t="shared" si="614"/>
        <v/>
      </c>
      <c r="CN851" s="387" t="str">
        <f t="shared" si="615"/>
        <v>0348-31</v>
      </c>
    </row>
    <row r="852" spans="1:92" ht="15.75" thickBot="1" x14ac:dyDescent="0.3">
      <c r="A852" s="376" t="s">
        <v>161</v>
      </c>
      <c r="B852" s="376" t="s">
        <v>162</v>
      </c>
      <c r="C852" s="376" t="s">
        <v>660</v>
      </c>
      <c r="D852" s="376" t="s">
        <v>368</v>
      </c>
      <c r="E852" s="376" t="s">
        <v>224</v>
      </c>
      <c r="F852" s="382" t="s">
        <v>225</v>
      </c>
      <c r="G852" s="376" t="s">
        <v>1945</v>
      </c>
      <c r="H852" s="378"/>
      <c r="I852" s="378"/>
      <c r="J852" s="376" t="s">
        <v>239</v>
      </c>
      <c r="K852" s="376" t="s">
        <v>424</v>
      </c>
      <c r="L852" s="376" t="s">
        <v>210</v>
      </c>
      <c r="M852" s="376" t="s">
        <v>171</v>
      </c>
      <c r="N852" s="376" t="s">
        <v>172</v>
      </c>
      <c r="O852" s="379">
        <v>1</v>
      </c>
      <c r="P852" s="385">
        <v>0.15</v>
      </c>
      <c r="Q852" s="385">
        <v>0.15</v>
      </c>
      <c r="R852" s="380">
        <v>80</v>
      </c>
      <c r="S852" s="385">
        <v>0.15</v>
      </c>
      <c r="T852" s="380">
        <v>19374.689999999999</v>
      </c>
      <c r="U852" s="380">
        <v>0</v>
      </c>
      <c r="V852" s="380">
        <v>6919.58</v>
      </c>
      <c r="W852" s="380">
        <v>12186.72</v>
      </c>
      <c r="X852" s="380">
        <v>4382.87</v>
      </c>
      <c r="Y852" s="380">
        <v>12186.72</v>
      </c>
      <c r="Z852" s="380">
        <v>4331.68</v>
      </c>
      <c r="AA852" s="376" t="s">
        <v>661</v>
      </c>
      <c r="AB852" s="376" t="s">
        <v>662</v>
      </c>
      <c r="AC852" s="376" t="s">
        <v>663</v>
      </c>
      <c r="AD852" s="376" t="s">
        <v>252</v>
      </c>
      <c r="AE852" s="376" t="s">
        <v>424</v>
      </c>
      <c r="AF852" s="376" t="s">
        <v>245</v>
      </c>
      <c r="AG852" s="376" t="s">
        <v>178</v>
      </c>
      <c r="AH852" s="381">
        <v>39.06</v>
      </c>
      <c r="AI852" s="379">
        <v>49880</v>
      </c>
      <c r="AJ852" s="376" t="s">
        <v>179</v>
      </c>
      <c r="AK852" s="376" t="s">
        <v>180</v>
      </c>
      <c r="AL852" s="376" t="s">
        <v>181</v>
      </c>
      <c r="AM852" s="376" t="s">
        <v>182</v>
      </c>
      <c r="AN852" s="376" t="s">
        <v>68</v>
      </c>
      <c r="AO852" s="379">
        <v>80</v>
      </c>
      <c r="AP852" s="385">
        <v>1</v>
      </c>
      <c r="AQ852" s="385">
        <v>0.15</v>
      </c>
      <c r="AR852" s="383" t="s">
        <v>183</v>
      </c>
      <c r="AS852" s="387">
        <f t="shared" si="599"/>
        <v>0.15</v>
      </c>
      <c r="AT852">
        <f t="shared" si="600"/>
        <v>1</v>
      </c>
      <c r="AU852" s="387">
        <f>IF(AT852=0,"",IF(AND(AT852=1,M852="F",SUMIF(C2:C1334,C852,AS2:AS1334)&lt;=1),SUMIF(C2:C1334,C852,AS2:AS1334),IF(AND(AT852=1,M852="F",SUMIF(C2:C1334,C852,AS2:AS1334)&gt;1),1,"")))</f>
        <v>1</v>
      </c>
      <c r="AV852" s="387" t="str">
        <f>IF(AT852=0,"",IF(AND(AT852=3,M852="F",SUMIF(C2:C1334,C852,AS2:AS1334)&lt;=1),SUMIF(C2:C1334,C852,AS2:AS1334),IF(AND(AT852=3,M852="F",SUMIF(C2:C1334,C852,AS2:AS1334)&gt;1),1,"")))</f>
        <v/>
      </c>
      <c r="AW852" s="387">
        <f>SUMIF(C2:C1334,C852,O2:O1334)</f>
        <v>3</v>
      </c>
      <c r="AX852" s="387">
        <f>IF(AND(M852="F",AS852&lt;&gt;0),SUMIF(C2:C1334,C852,W2:W1334),0)</f>
        <v>81244.800000000003</v>
      </c>
      <c r="AY852" s="387">
        <f t="shared" si="601"/>
        <v>12186.72</v>
      </c>
      <c r="AZ852" s="387" t="str">
        <f t="shared" si="602"/>
        <v/>
      </c>
      <c r="BA852" s="387">
        <f t="shared" si="603"/>
        <v>0</v>
      </c>
      <c r="BB852" s="387">
        <f t="shared" si="572"/>
        <v>1747.5</v>
      </c>
      <c r="BC852" s="387">
        <f t="shared" si="573"/>
        <v>0</v>
      </c>
      <c r="BD852" s="387">
        <f t="shared" si="574"/>
        <v>755.57664</v>
      </c>
      <c r="BE852" s="387">
        <f t="shared" si="575"/>
        <v>176.70743999999999</v>
      </c>
      <c r="BF852" s="387">
        <f t="shared" si="576"/>
        <v>1455.094368</v>
      </c>
      <c r="BG852" s="387">
        <f t="shared" si="577"/>
        <v>87.866251199999994</v>
      </c>
      <c r="BH852" s="387">
        <f t="shared" si="578"/>
        <v>59.714927999999993</v>
      </c>
      <c r="BI852" s="387">
        <f t="shared" si="579"/>
        <v>67.453495199999992</v>
      </c>
      <c r="BJ852" s="387">
        <f t="shared" si="580"/>
        <v>32.904144000000002</v>
      </c>
      <c r="BK852" s="387">
        <f t="shared" si="581"/>
        <v>0</v>
      </c>
      <c r="BL852" s="387">
        <f t="shared" si="604"/>
        <v>2635.3172663999999</v>
      </c>
      <c r="BM852" s="387">
        <f t="shared" si="605"/>
        <v>0</v>
      </c>
      <c r="BN852" s="387">
        <f t="shared" si="582"/>
        <v>1747.5</v>
      </c>
      <c r="BO852" s="387">
        <f t="shared" si="583"/>
        <v>0</v>
      </c>
      <c r="BP852" s="387">
        <f t="shared" si="584"/>
        <v>755.57664</v>
      </c>
      <c r="BQ852" s="387">
        <f t="shared" si="585"/>
        <v>176.70743999999999</v>
      </c>
      <c r="BR852" s="387">
        <f t="shared" si="586"/>
        <v>1455.094368</v>
      </c>
      <c r="BS852" s="387">
        <f t="shared" si="587"/>
        <v>87.866251199999994</v>
      </c>
      <c r="BT852" s="387">
        <f t="shared" si="588"/>
        <v>0</v>
      </c>
      <c r="BU852" s="387">
        <f t="shared" si="589"/>
        <v>67.453495199999992</v>
      </c>
      <c r="BV852" s="387">
        <f t="shared" si="590"/>
        <v>41.434847999999995</v>
      </c>
      <c r="BW852" s="387">
        <f t="shared" si="591"/>
        <v>0</v>
      </c>
      <c r="BX852" s="387">
        <f t="shared" si="606"/>
        <v>2584.1330423999998</v>
      </c>
      <c r="BY852" s="387">
        <f t="shared" si="607"/>
        <v>0</v>
      </c>
      <c r="BZ852" s="387">
        <f t="shared" si="608"/>
        <v>0</v>
      </c>
      <c r="CA852" s="387">
        <f t="shared" si="609"/>
        <v>0</v>
      </c>
      <c r="CB852" s="387">
        <f t="shared" si="610"/>
        <v>0</v>
      </c>
      <c r="CC852" s="387">
        <f t="shared" si="592"/>
        <v>0</v>
      </c>
      <c r="CD852" s="387">
        <f t="shared" si="593"/>
        <v>0</v>
      </c>
      <c r="CE852" s="387">
        <f t="shared" si="594"/>
        <v>0</v>
      </c>
      <c r="CF852" s="387">
        <f t="shared" si="595"/>
        <v>-59.714927999999993</v>
      </c>
      <c r="CG852" s="387">
        <f t="shared" si="596"/>
        <v>0</v>
      </c>
      <c r="CH852" s="387">
        <f t="shared" si="597"/>
        <v>8.5307039999999947</v>
      </c>
      <c r="CI852" s="387">
        <f t="shared" si="598"/>
        <v>0</v>
      </c>
      <c r="CJ852" s="387">
        <f t="shared" si="611"/>
        <v>-51.184224</v>
      </c>
      <c r="CK852" s="387" t="str">
        <f t="shared" si="612"/>
        <v/>
      </c>
      <c r="CL852" s="387" t="str">
        <f t="shared" si="613"/>
        <v/>
      </c>
      <c r="CM852" s="387" t="str">
        <f t="shared" si="614"/>
        <v/>
      </c>
      <c r="CN852" s="387" t="str">
        <f t="shared" si="615"/>
        <v>0348-31</v>
      </c>
    </row>
    <row r="853" spans="1:92" ht="15.75" thickBot="1" x14ac:dyDescent="0.3">
      <c r="A853" s="376" t="s">
        <v>161</v>
      </c>
      <c r="B853" s="376" t="s">
        <v>162</v>
      </c>
      <c r="C853" s="376" t="s">
        <v>2038</v>
      </c>
      <c r="D853" s="376" t="s">
        <v>238</v>
      </c>
      <c r="E853" s="376" t="s">
        <v>224</v>
      </c>
      <c r="F853" s="382" t="s">
        <v>225</v>
      </c>
      <c r="G853" s="376" t="s">
        <v>1945</v>
      </c>
      <c r="H853" s="378"/>
      <c r="I853" s="378"/>
      <c r="J853" s="376" t="s">
        <v>215</v>
      </c>
      <c r="K853" s="376" t="s">
        <v>285</v>
      </c>
      <c r="L853" s="376" t="s">
        <v>170</v>
      </c>
      <c r="M853" s="376" t="s">
        <v>272</v>
      </c>
      <c r="N853" s="376" t="s">
        <v>172</v>
      </c>
      <c r="O853" s="379">
        <v>0</v>
      </c>
      <c r="P853" s="385">
        <v>1</v>
      </c>
      <c r="Q853" s="385">
        <v>1</v>
      </c>
      <c r="R853" s="380">
        <v>80</v>
      </c>
      <c r="S853" s="385">
        <v>1</v>
      </c>
      <c r="T853" s="380">
        <v>54693.72</v>
      </c>
      <c r="U853" s="380">
        <v>1976.76</v>
      </c>
      <c r="V853" s="380">
        <v>23466.38</v>
      </c>
      <c r="W853" s="380">
        <v>53476.800000000003</v>
      </c>
      <c r="X853" s="380">
        <v>23422.83</v>
      </c>
      <c r="Y853" s="380">
        <v>53476.800000000003</v>
      </c>
      <c r="Z853" s="380">
        <v>23155.45</v>
      </c>
      <c r="AA853" s="378"/>
      <c r="AB853" s="376" t="s">
        <v>45</v>
      </c>
      <c r="AC853" s="376" t="s">
        <v>45</v>
      </c>
      <c r="AD853" s="378"/>
      <c r="AE853" s="378"/>
      <c r="AF853" s="378"/>
      <c r="AG853" s="378"/>
      <c r="AH853" s="379">
        <v>0</v>
      </c>
      <c r="AI853" s="379">
        <v>0</v>
      </c>
      <c r="AJ853" s="378"/>
      <c r="AK853" s="378"/>
      <c r="AL853" s="376" t="s">
        <v>181</v>
      </c>
      <c r="AM853" s="378"/>
      <c r="AN853" s="378"/>
      <c r="AO853" s="379">
        <v>0</v>
      </c>
      <c r="AP853" s="385">
        <v>0</v>
      </c>
      <c r="AQ853" s="385">
        <v>0</v>
      </c>
      <c r="AR853" s="384"/>
      <c r="AS853" s="387">
        <f t="shared" si="599"/>
        <v>0</v>
      </c>
      <c r="AT853">
        <f t="shared" si="600"/>
        <v>0</v>
      </c>
      <c r="AU853" s="387" t="str">
        <f>IF(AT853=0,"",IF(AND(AT853=1,M853="F",SUMIF(C2:C1334,C853,AS2:AS1334)&lt;=1),SUMIF(C2:C1334,C853,AS2:AS1334),IF(AND(AT853=1,M853="F",SUMIF(C2:C1334,C853,AS2:AS1334)&gt;1),1,"")))</f>
        <v/>
      </c>
      <c r="AV853" s="387" t="str">
        <f>IF(AT853=0,"",IF(AND(AT853=3,M853="F",SUMIF(C2:C1334,C853,AS2:AS1334)&lt;=1),SUMIF(C2:C1334,C853,AS2:AS1334),IF(AND(AT853=3,M853="F",SUMIF(C2:C1334,C853,AS2:AS1334)&gt;1),1,"")))</f>
        <v/>
      </c>
      <c r="AW853" s="387">
        <f>SUMIF(C2:C1334,C853,O2:O1334)</f>
        <v>0</v>
      </c>
      <c r="AX853" s="387">
        <f>IF(AND(M853="F",AS853&lt;&gt;0),SUMIF(C2:C1334,C853,W2:W1334),0)</f>
        <v>0</v>
      </c>
      <c r="AY853" s="387" t="str">
        <f t="shared" si="601"/>
        <v/>
      </c>
      <c r="AZ853" s="387" t="str">
        <f t="shared" si="602"/>
        <v/>
      </c>
      <c r="BA853" s="387">
        <f t="shared" si="603"/>
        <v>0</v>
      </c>
      <c r="BB853" s="387">
        <f t="shared" si="572"/>
        <v>0</v>
      </c>
      <c r="BC853" s="387">
        <f t="shared" si="573"/>
        <v>0</v>
      </c>
      <c r="BD853" s="387">
        <f t="shared" si="574"/>
        <v>0</v>
      </c>
      <c r="BE853" s="387">
        <f t="shared" si="575"/>
        <v>0</v>
      </c>
      <c r="BF853" s="387">
        <f t="shared" si="576"/>
        <v>0</v>
      </c>
      <c r="BG853" s="387">
        <f t="shared" si="577"/>
        <v>0</v>
      </c>
      <c r="BH853" s="387">
        <f t="shared" si="578"/>
        <v>0</v>
      </c>
      <c r="BI853" s="387">
        <f t="shared" si="579"/>
        <v>0</v>
      </c>
      <c r="BJ853" s="387">
        <f t="shared" si="580"/>
        <v>0</v>
      </c>
      <c r="BK853" s="387">
        <f t="shared" si="581"/>
        <v>0</v>
      </c>
      <c r="BL853" s="387">
        <f t="shared" si="604"/>
        <v>0</v>
      </c>
      <c r="BM853" s="387">
        <f t="shared" si="605"/>
        <v>0</v>
      </c>
      <c r="BN853" s="387">
        <f t="shared" si="582"/>
        <v>0</v>
      </c>
      <c r="BO853" s="387">
        <f t="shared" si="583"/>
        <v>0</v>
      </c>
      <c r="BP853" s="387">
        <f t="shared" si="584"/>
        <v>0</v>
      </c>
      <c r="BQ853" s="387">
        <f t="shared" si="585"/>
        <v>0</v>
      </c>
      <c r="BR853" s="387">
        <f t="shared" si="586"/>
        <v>0</v>
      </c>
      <c r="BS853" s="387">
        <f t="shared" si="587"/>
        <v>0</v>
      </c>
      <c r="BT853" s="387">
        <f t="shared" si="588"/>
        <v>0</v>
      </c>
      <c r="BU853" s="387">
        <f t="shared" si="589"/>
        <v>0</v>
      </c>
      <c r="BV853" s="387">
        <f t="shared" si="590"/>
        <v>0</v>
      </c>
      <c r="BW853" s="387">
        <f t="shared" si="591"/>
        <v>0</v>
      </c>
      <c r="BX853" s="387">
        <f t="shared" si="606"/>
        <v>0</v>
      </c>
      <c r="BY853" s="387">
        <f t="shared" si="607"/>
        <v>0</v>
      </c>
      <c r="BZ853" s="387">
        <f t="shared" si="608"/>
        <v>0</v>
      </c>
      <c r="CA853" s="387">
        <f t="shared" si="609"/>
        <v>0</v>
      </c>
      <c r="CB853" s="387">
        <f t="shared" si="610"/>
        <v>0</v>
      </c>
      <c r="CC853" s="387">
        <f t="shared" si="592"/>
        <v>0</v>
      </c>
      <c r="CD853" s="387">
        <f t="shared" si="593"/>
        <v>0</v>
      </c>
      <c r="CE853" s="387">
        <f t="shared" si="594"/>
        <v>0</v>
      </c>
      <c r="CF853" s="387">
        <f t="shared" si="595"/>
        <v>0</v>
      </c>
      <c r="CG853" s="387">
        <f t="shared" si="596"/>
        <v>0</v>
      </c>
      <c r="CH853" s="387">
        <f t="shared" si="597"/>
        <v>0</v>
      </c>
      <c r="CI853" s="387">
        <f t="shared" si="598"/>
        <v>0</v>
      </c>
      <c r="CJ853" s="387">
        <f t="shared" si="611"/>
        <v>0</v>
      </c>
      <c r="CK853" s="387" t="str">
        <f t="shared" si="612"/>
        <v/>
      </c>
      <c r="CL853" s="387" t="str">
        <f t="shared" si="613"/>
        <v/>
      </c>
      <c r="CM853" s="387" t="str">
        <f t="shared" si="614"/>
        <v/>
      </c>
      <c r="CN853" s="387" t="str">
        <f t="shared" si="615"/>
        <v>0348-31</v>
      </c>
    </row>
    <row r="854" spans="1:92" ht="15.75" thickBot="1" x14ac:dyDescent="0.3">
      <c r="A854" s="376" t="s">
        <v>161</v>
      </c>
      <c r="B854" s="376" t="s">
        <v>162</v>
      </c>
      <c r="C854" s="376" t="s">
        <v>2039</v>
      </c>
      <c r="D854" s="376" t="s">
        <v>238</v>
      </c>
      <c r="E854" s="376" t="s">
        <v>224</v>
      </c>
      <c r="F854" s="382" t="s">
        <v>225</v>
      </c>
      <c r="G854" s="376" t="s">
        <v>1945</v>
      </c>
      <c r="H854" s="378"/>
      <c r="I854" s="378"/>
      <c r="J854" s="376" t="s">
        <v>215</v>
      </c>
      <c r="K854" s="376" t="s">
        <v>285</v>
      </c>
      <c r="L854" s="376" t="s">
        <v>170</v>
      </c>
      <c r="M854" s="376" t="s">
        <v>272</v>
      </c>
      <c r="N854" s="376" t="s">
        <v>172</v>
      </c>
      <c r="O854" s="379">
        <v>0</v>
      </c>
      <c r="P854" s="385">
        <v>1</v>
      </c>
      <c r="Q854" s="385">
        <v>1</v>
      </c>
      <c r="R854" s="380">
        <v>80</v>
      </c>
      <c r="S854" s="385">
        <v>1</v>
      </c>
      <c r="T854" s="380">
        <v>36836.29</v>
      </c>
      <c r="U854" s="380">
        <v>4045.32</v>
      </c>
      <c r="V854" s="380">
        <v>16164.17</v>
      </c>
      <c r="W854" s="380">
        <v>53476.800000000003</v>
      </c>
      <c r="X854" s="380">
        <v>23422.83</v>
      </c>
      <c r="Y854" s="380">
        <v>53476.800000000003</v>
      </c>
      <c r="Z854" s="380">
        <v>23155.45</v>
      </c>
      <c r="AA854" s="378"/>
      <c r="AB854" s="376" t="s">
        <v>45</v>
      </c>
      <c r="AC854" s="376" t="s">
        <v>45</v>
      </c>
      <c r="AD854" s="378"/>
      <c r="AE854" s="378"/>
      <c r="AF854" s="378"/>
      <c r="AG854" s="378"/>
      <c r="AH854" s="379">
        <v>0</v>
      </c>
      <c r="AI854" s="379">
        <v>0</v>
      </c>
      <c r="AJ854" s="378"/>
      <c r="AK854" s="378"/>
      <c r="AL854" s="376" t="s">
        <v>181</v>
      </c>
      <c r="AM854" s="378"/>
      <c r="AN854" s="378"/>
      <c r="AO854" s="379">
        <v>0</v>
      </c>
      <c r="AP854" s="385">
        <v>0</v>
      </c>
      <c r="AQ854" s="385">
        <v>0</v>
      </c>
      <c r="AR854" s="384"/>
      <c r="AS854" s="387">
        <f t="shared" si="599"/>
        <v>0</v>
      </c>
      <c r="AT854">
        <f t="shared" si="600"/>
        <v>0</v>
      </c>
      <c r="AU854" s="387" t="str">
        <f>IF(AT854=0,"",IF(AND(AT854=1,M854="F",SUMIF(C2:C1334,C854,AS2:AS1334)&lt;=1),SUMIF(C2:C1334,C854,AS2:AS1334),IF(AND(AT854=1,M854="F",SUMIF(C2:C1334,C854,AS2:AS1334)&gt;1),1,"")))</f>
        <v/>
      </c>
      <c r="AV854" s="387" t="str">
        <f>IF(AT854=0,"",IF(AND(AT854=3,M854="F",SUMIF(C2:C1334,C854,AS2:AS1334)&lt;=1),SUMIF(C2:C1334,C854,AS2:AS1334),IF(AND(AT854=3,M854="F",SUMIF(C2:C1334,C854,AS2:AS1334)&gt;1),1,"")))</f>
        <v/>
      </c>
      <c r="AW854" s="387">
        <f>SUMIF(C2:C1334,C854,O2:O1334)</f>
        <v>0</v>
      </c>
      <c r="AX854" s="387">
        <f>IF(AND(M854="F",AS854&lt;&gt;0),SUMIF(C2:C1334,C854,W2:W1334),0)</f>
        <v>0</v>
      </c>
      <c r="AY854" s="387" t="str">
        <f t="shared" si="601"/>
        <v/>
      </c>
      <c r="AZ854" s="387" t="str">
        <f t="shared" si="602"/>
        <v/>
      </c>
      <c r="BA854" s="387">
        <f t="shared" si="603"/>
        <v>0</v>
      </c>
      <c r="BB854" s="387">
        <f t="shared" si="572"/>
        <v>0</v>
      </c>
      <c r="BC854" s="387">
        <f t="shared" si="573"/>
        <v>0</v>
      </c>
      <c r="BD854" s="387">
        <f t="shared" si="574"/>
        <v>0</v>
      </c>
      <c r="BE854" s="387">
        <f t="shared" si="575"/>
        <v>0</v>
      </c>
      <c r="BF854" s="387">
        <f t="shared" si="576"/>
        <v>0</v>
      </c>
      <c r="BG854" s="387">
        <f t="shared" si="577"/>
        <v>0</v>
      </c>
      <c r="BH854" s="387">
        <f t="shared" si="578"/>
        <v>0</v>
      </c>
      <c r="BI854" s="387">
        <f t="shared" si="579"/>
        <v>0</v>
      </c>
      <c r="BJ854" s="387">
        <f t="shared" si="580"/>
        <v>0</v>
      </c>
      <c r="BK854" s="387">
        <f t="shared" si="581"/>
        <v>0</v>
      </c>
      <c r="BL854" s="387">
        <f t="shared" si="604"/>
        <v>0</v>
      </c>
      <c r="BM854" s="387">
        <f t="shared" si="605"/>
        <v>0</v>
      </c>
      <c r="BN854" s="387">
        <f t="shared" si="582"/>
        <v>0</v>
      </c>
      <c r="BO854" s="387">
        <f t="shared" si="583"/>
        <v>0</v>
      </c>
      <c r="BP854" s="387">
        <f t="shared" si="584"/>
        <v>0</v>
      </c>
      <c r="BQ854" s="387">
        <f t="shared" si="585"/>
        <v>0</v>
      </c>
      <c r="BR854" s="387">
        <f t="shared" si="586"/>
        <v>0</v>
      </c>
      <c r="BS854" s="387">
        <f t="shared" si="587"/>
        <v>0</v>
      </c>
      <c r="BT854" s="387">
        <f t="shared" si="588"/>
        <v>0</v>
      </c>
      <c r="BU854" s="387">
        <f t="shared" si="589"/>
        <v>0</v>
      </c>
      <c r="BV854" s="387">
        <f t="shared" si="590"/>
        <v>0</v>
      </c>
      <c r="BW854" s="387">
        <f t="shared" si="591"/>
        <v>0</v>
      </c>
      <c r="BX854" s="387">
        <f t="shared" si="606"/>
        <v>0</v>
      </c>
      <c r="BY854" s="387">
        <f t="shared" si="607"/>
        <v>0</v>
      </c>
      <c r="BZ854" s="387">
        <f t="shared" si="608"/>
        <v>0</v>
      </c>
      <c r="CA854" s="387">
        <f t="shared" si="609"/>
        <v>0</v>
      </c>
      <c r="CB854" s="387">
        <f t="shared" si="610"/>
        <v>0</v>
      </c>
      <c r="CC854" s="387">
        <f t="shared" si="592"/>
        <v>0</v>
      </c>
      <c r="CD854" s="387">
        <f t="shared" si="593"/>
        <v>0</v>
      </c>
      <c r="CE854" s="387">
        <f t="shared" si="594"/>
        <v>0</v>
      </c>
      <c r="CF854" s="387">
        <f t="shared" si="595"/>
        <v>0</v>
      </c>
      <c r="CG854" s="387">
        <f t="shared" si="596"/>
        <v>0</v>
      </c>
      <c r="CH854" s="387">
        <f t="shared" si="597"/>
        <v>0</v>
      </c>
      <c r="CI854" s="387">
        <f t="shared" si="598"/>
        <v>0</v>
      </c>
      <c r="CJ854" s="387">
        <f t="shared" si="611"/>
        <v>0</v>
      </c>
      <c r="CK854" s="387" t="str">
        <f t="shared" si="612"/>
        <v/>
      </c>
      <c r="CL854" s="387" t="str">
        <f t="shared" si="613"/>
        <v/>
      </c>
      <c r="CM854" s="387" t="str">
        <f t="shared" si="614"/>
        <v/>
      </c>
      <c r="CN854" s="387" t="str">
        <f t="shared" si="615"/>
        <v>0348-31</v>
      </c>
    </row>
    <row r="855" spans="1:92" ht="15.75" thickBot="1" x14ac:dyDescent="0.3">
      <c r="A855" s="376" t="s">
        <v>161</v>
      </c>
      <c r="B855" s="376" t="s">
        <v>162</v>
      </c>
      <c r="C855" s="376" t="s">
        <v>2040</v>
      </c>
      <c r="D855" s="376" t="s">
        <v>1326</v>
      </c>
      <c r="E855" s="376" t="s">
        <v>224</v>
      </c>
      <c r="F855" s="382" t="s">
        <v>225</v>
      </c>
      <c r="G855" s="376" t="s">
        <v>1945</v>
      </c>
      <c r="H855" s="378"/>
      <c r="I855" s="378"/>
      <c r="J855" s="376" t="s">
        <v>215</v>
      </c>
      <c r="K855" s="376" t="s">
        <v>1327</v>
      </c>
      <c r="L855" s="376" t="s">
        <v>296</v>
      </c>
      <c r="M855" s="376" t="s">
        <v>171</v>
      </c>
      <c r="N855" s="376" t="s">
        <v>172</v>
      </c>
      <c r="O855" s="379">
        <v>1</v>
      </c>
      <c r="P855" s="385">
        <v>1</v>
      </c>
      <c r="Q855" s="385">
        <v>1</v>
      </c>
      <c r="R855" s="380">
        <v>80</v>
      </c>
      <c r="S855" s="385">
        <v>1</v>
      </c>
      <c r="T855" s="380">
        <v>48924</v>
      </c>
      <c r="U855" s="380">
        <v>0</v>
      </c>
      <c r="V855" s="380">
        <v>21875.91</v>
      </c>
      <c r="W855" s="380">
        <v>50856</v>
      </c>
      <c r="X855" s="380">
        <v>22647.59</v>
      </c>
      <c r="Y855" s="380">
        <v>50856</v>
      </c>
      <c r="Z855" s="380">
        <v>22434</v>
      </c>
      <c r="AA855" s="376" t="s">
        <v>2041</v>
      </c>
      <c r="AB855" s="376" t="s">
        <v>2042</v>
      </c>
      <c r="AC855" s="376" t="s">
        <v>451</v>
      </c>
      <c r="AD855" s="376" t="s">
        <v>2043</v>
      </c>
      <c r="AE855" s="376" t="s">
        <v>1327</v>
      </c>
      <c r="AF855" s="376" t="s">
        <v>301</v>
      </c>
      <c r="AG855" s="376" t="s">
        <v>178</v>
      </c>
      <c r="AH855" s="381">
        <v>24.45</v>
      </c>
      <c r="AI855" s="379">
        <v>29880</v>
      </c>
      <c r="AJ855" s="376" t="s">
        <v>179</v>
      </c>
      <c r="AK855" s="376" t="s">
        <v>180</v>
      </c>
      <c r="AL855" s="376" t="s">
        <v>181</v>
      </c>
      <c r="AM855" s="376" t="s">
        <v>182</v>
      </c>
      <c r="AN855" s="376" t="s">
        <v>68</v>
      </c>
      <c r="AO855" s="379">
        <v>80</v>
      </c>
      <c r="AP855" s="385">
        <v>1</v>
      </c>
      <c r="AQ855" s="385">
        <v>1</v>
      </c>
      <c r="AR855" s="383" t="s">
        <v>183</v>
      </c>
      <c r="AS855" s="387">
        <f t="shared" si="599"/>
        <v>1</v>
      </c>
      <c r="AT855">
        <f t="shared" si="600"/>
        <v>1</v>
      </c>
      <c r="AU855" s="387">
        <f>IF(AT855=0,"",IF(AND(AT855=1,M855="F",SUMIF(C2:C1334,C855,AS2:AS1334)&lt;=1),SUMIF(C2:C1334,C855,AS2:AS1334),IF(AND(AT855=1,M855="F",SUMIF(C2:C1334,C855,AS2:AS1334)&gt;1),1,"")))</f>
        <v>1</v>
      </c>
      <c r="AV855" s="387" t="str">
        <f>IF(AT855=0,"",IF(AND(AT855=3,M855="F",SUMIF(C2:C1334,C855,AS2:AS1334)&lt;=1),SUMIF(C2:C1334,C855,AS2:AS1334),IF(AND(AT855=3,M855="F",SUMIF(C2:C1334,C855,AS2:AS1334)&gt;1),1,"")))</f>
        <v/>
      </c>
      <c r="AW855" s="387">
        <f>SUMIF(C2:C1334,C855,O2:O1334)</f>
        <v>1</v>
      </c>
      <c r="AX855" s="387">
        <f>IF(AND(M855="F",AS855&lt;&gt;0),SUMIF(C2:C1334,C855,W2:W1334),0)</f>
        <v>50856</v>
      </c>
      <c r="AY855" s="387">
        <f t="shared" si="601"/>
        <v>50856</v>
      </c>
      <c r="AZ855" s="387" t="str">
        <f t="shared" si="602"/>
        <v/>
      </c>
      <c r="BA855" s="387">
        <f t="shared" si="603"/>
        <v>0</v>
      </c>
      <c r="BB855" s="387">
        <f t="shared" si="572"/>
        <v>11650</v>
      </c>
      <c r="BC855" s="387">
        <f t="shared" si="573"/>
        <v>0</v>
      </c>
      <c r="BD855" s="387">
        <f t="shared" si="574"/>
        <v>3153.0720000000001</v>
      </c>
      <c r="BE855" s="387">
        <f t="shared" si="575"/>
        <v>737.41200000000003</v>
      </c>
      <c r="BF855" s="387">
        <f t="shared" si="576"/>
        <v>6072.2064</v>
      </c>
      <c r="BG855" s="387">
        <f t="shared" si="577"/>
        <v>366.67176000000001</v>
      </c>
      <c r="BH855" s="387">
        <f t="shared" si="578"/>
        <v>249.1944</v>
      </c>
      <c r="BI855" s="387">
        <f t="shared" si="579"/>
        <v>281.48795999999999</v>
      </c>
      <c r="BJ855" s="387">
        <f t="shared" si="580"/>
        <v>137.31120000000001</v>
      </c>
      <c r="BK855" s="387">
        <f t="shared" si="581"/>
        <v>0</v>
      </c>
      <c r="BL855" s="387">
        <f t="shared" si="604"/>
        <v>10997.35572</v>
      </c>
      <c r="BM855" s="387">
        <f t="shared" si="605"/>
        <v>0</v>
      </c>
      <c r="BN855" s="387">
        <f t="shared" si="582"/>
        <v>11650</v>
      </c>
      <c r="BO855" s="387">
        <f t="shared" si="583"/>
        <v>0</v>
      </c>
      <c r="BP855" s="387">
        <f t="shared" si="584"/>
        <v>3153.0720000000001</v>
      </c>
      <c r="BQ855" s="387">
        <f t="shared" si="585"/>
        <v>737.41200000000003</v>
      </c>
      <c r="BR855" s="387">
        <f t="shared" si="586"/>
        <v>6072.2064</v>
      </c>
      <c r="BS855" s="387">
        <f t="shared" si="587"/>
        <v>366.67176000000001</v>
      </c>
      <c r="BT855" s="387">
        <f t="shared" si="588"/>
        <v>0</v>
      </c>
      <c r="BU855" s="387">
        <f t="shared" si="589"/>
        <v>281.48795999999999</v>
      </c>
      <c r="BV855" s="387">
        <f t="shared" si="590"/>
        <v>172.91039999999998</v>
      </c>
      <c r="BW855" s="387">
        <f t="shared" si="591"/>
        <v>0</v>
      </c>
      <c r="BX855" s="387">
        <f t="shared" si="606"/>
        <v>10783.76052</v>
      </c>
      <c r="BY855" s="387">
        <f t="shared" si="607"/>
        <v>0</v>
      </c>
      <c r="BZ855" s="387">
        <f t="shared" si="608"/>
        <v>0</v>
      </c>
      <c r="CA855" s="387">
        <f t="shared" si="609"/>
        <v>0</v>
      </c>
      <c r="CB855" s="387">
        <f t="shared" si="610"/>
        <v>0</v>
      </c>
      <c r="CC855" s="387">
        <f t="shared" si="592"/>
        <v>0</v>
      </c>
      <c r="CD855" s="387">
        <f t="shared" si="593"/>
        <v>0</v>
      </c>
      <c r="CE855" s="387">
        <f t="shared" si="594"/>
        <v>0</v>
      </c>
      <c r="CF855" s="387">
        <f t="shared" si="595"/>
        <v>-249.1944</v>
      </c>
      <c r="CG855" s="387">
        <f t="shared" si="596"/>
        <v>0</v>
      </c>
      <c r="CH855" s="387">
        <f t="shared" si="597"/>
        <v>35.599199999999982</v>
      </c>
      <c r="CI855" s="387">
        <f t="shared" si="598"/>
        <v>0</v>
      </c>
      <c r="CJ855" s="387">
        <f t="shared" si="611"/>
        <v>-213.59520000000003</v>
      </c>
      <c r="CK855" s="387" t="str">
        <f t="shared" si="612"/>
        <v/>
      </c>
      <c r="CL855" s="387" t="str">
        <f t="shared" si="613"/>
        <v/>
      </c>
      <c r="CM855" s="387" t="str">
        <f t="shared" si="614"/>
        <v/>
      </c>
      <c r="CN855" s="387" t="str">
        <f t="shared" si="615"/>
        <v>0348-31</v>
      </c>
    </row>
    <row r="856" spans="1:92" ht="15.75" thickBot="1" x14ac:dyDescent="0.3">
      <c r="A856" s="376" t="s">
        <v>161</v>
      </c>
      <c r="B856" s="376" t="s">
        <v>162</v>
      </c>
      <c r="C856" s="376" t="s">
        <v>1623</v>
      </c>
      <c r="D856" s="376" t="s">
        <v>862</v>
      </c>
      <c r="E856" s="376" t="s">
        <v>224</v>
      </c>
      <c r="F856" s="382" t="s">
        <v>225</v>
      </c>
      <c r="G856" s="376" t="s">
        <v>1945</v>
      </c>
      <c r="H856" s="378"/>
      <c r="I856" s="378"/>
      <c r="J856" s="376" t="s">
        <v>239</v>
      </c>
      <c r="K856" s="376" t="s">
        <v>863</v>
      </c>
      <c r="L856" s="376" t="s">
        <v>252</v>
      </c>
      <c r="M856" s="376" t="s">
        <v>171</v>
      </c>
      <c r="N856" s="376" t="s">
        <v>172</v>
      </c>
      <c r="O856" s="379">
        <v>1</v>
      </c>
      <c r="P856" s="385">
        <v>0</v>
      </c>
      <c r="Q856" s="385">
        <v>0</v>
      </c>
      <c r="R856" s="380">
        <v>80</v>
      </c>
      <c r="S856" s="385">
        <v>0</v>
      </c>
      <c r="T856" s="380">
        <v>6594.53</v>
      </c>
      <c r="U856" s="380">
        <v>0</v>
      </c>
      <c r="V856" s="380">
        <v>3269</v>
      </c>
      <c r="W856" s="380">
        <v>0</v>
      </c>
      <c r="X856" s="380">
        <v>0</v>
      </c>
      <c r="Y856" s="380">
        <v>0</v>
      </c>
      <c r="Z856" s="380">
        <v>0</v>
      </c>
      <c r="AA856" s="376" t="s">
        <v>1624</v>
      </c>
      <c r="AB856" s="376" t="s">
        <v>1625</v>
      </c>
      <c r="AC856" s="376" t="s">
        <v>1626</v>
      </c>
      <c r="AD856" s="376" t="s">
        <v>324</v>
      </c>
      <c r="AE856" s="376" t="s">
        <v>863</v>
      </c>
      <c r="AF856" s="376" t="s">
        <v>393</v>
      </c>
      <c r="AG856" s="376" t="s">
        <v>178</v>
      </c>
      <c r="AH856" s="381">
        <v>18.53</v>
      </c>
      <c r="AI856" s="381">
        <v>3682.5</v>
      </c>
      <c r="AJ856" s="376" t="s">
        <v>179</v>
      </c>
      <c r="AK856" s="376" t="s">
        <v>180</v>
      </c>
      <c r="AL856" s="376" t="s">
        <v>181</v>
      </c>
      <c r="AM856" s="376" t="s">
        <v>182</v>
      </c>
      <c r="AN856" s="376" t="s">
        <v>68</v>
      </c>
      <c r="AO856" s="379">
        <v>80</v>
      </c>
      <c r="AP856" s="385">
        <v>1</v>
      </c>
      <c r="AQ856" s="385">
        <v>0</v>
      </c>
      <c r="AR856" s="383" t="s">
        <v>183</v>
      </c>
      <c r="AS856" s="387">
        <f t="shared" si="599"/>
        <v>0</v>
      </c>
      <c r="AT856">
        <f t="shared" si="600"/>
        <v>0</v>
      </c>
      <c r="AU856" s="387" t="str">
        <f>IF(AT856=0,"",IF(AND(AT856=1,M856="F",SUMIF(C2:C1334,C856,AS2:AS1334)&lt;=1),SUMIF(C2:C1334,C856,AS2:AS1334),IF(AND(AT856=1,M856="F",SUMIF(C2:C1334,C856,AS2:AS1334)&gt;1),1,"")))</f>
        <v/>
      </c>
      <c r="AV856" s="387" t="str">
        <f>IF(AT856=0,"",IF(AND(AT856=3,M856="F",SUMIF(C2:C1334,C856,AS2:AS1334)&lt;=1),SUMIF(C2:C1334,C856,AS2:AS1334),IF(AND(AT856=3,M856="F",SUMIF(C2:C1334,C856,AS2:AS1334)&gt;1),1,"")))</f>
        <v/>
      </c>
      <c r="AW856" s="387">
        <f>SUMIF(C2:C1334,C856,O2:O1334)</f>
        <v>3</v>
      </c>
      <c r="AX856" s="387">
        <f>IF(AND(M856="F",AS856&lt;&gt;0),SUMIF(C2:C1334,C856,W2:W1334),0)</f>
        <v>0</v>
      </c>
      <c r="AY856" s="387" t="str">
        <f t="shared" si="601"/>
        <v/>
      </c>
      <c r="AZ856" s="387" t="str">
        <f t="shared" si="602"/>
        <v/>
      </c>
      <c r="BA856" s="387">
        <f t="shared" si="603"/>
        <v>0</v>
      </c>
      <c r="BB856" s="387">
        <f t="shared" si="572"/>
        <v>0</v>
      </c>
      <c r="BC856" s="387">
        <f t="shared" si="573"/>
        <v>0</v>
      </c>
      <c r="BD856" s="387">
        <f t="shared" si="574"/>
        <v>0</v>
      </c>
      <c r="BE856" s="387">
        <f t="shared" si="575"/>
        <v>0</v>
      </c>
      <c r="BF856" s="387">
        <f t="shared" si="576"/>
        <v>0</v>
      </c>
      <c r="BG856" s="387">
        <f t="shared" si="577"/>
        <v>0</v>
      </c>
      <c r="BH856" s="387">
        <f t="shared" si="578"/>
        <v>0</v>
      </c>
      <c r="BI856" s="387">
        <f t="shared" si="579"/>
        <v>0</v>
      </c>
      <c r="BJ856" s="387">
        <f t="shared" si="580"/>
        <v>0</v>
      </c>
      <c r="BK856" s="387">
        <f t="shared" si="581"/>
        <v>0</v>
      </c>
      <c r="BL856" s="387">
        <f t="shared" si="604"/>
        <v>0</v>
      </c>
      <c r="BM856" s="387">
        <f t="shared" si="605"/>
        <v>0</v>
      </c>
      <c r="BN856" s="387">
        <f t="shared" si="582"/>
        <v>0</v>
      </c>
      <c r="BO856" s="387">
        <f t="shared" si="583"/>
        <v>0</v>
      </c>
      <c r="BP856" s="387">
        <f t="shared" si="584"/>
        <v>0</v>
      </c>
      <c r="BQ856" s="387">
        <f t="shared" si="585"/>
        <v>0</v>
      </c>
      <c r="BR856" s="387">
        <f t="shared" si="586"/>
        <v>0</v>
      </c>
      <c r="BS856" s="387">
        <f t="shared" si="587"/>
        <v>0</v>
      </c>
      <c r="BT856" s="387">
        <f t="shared" si="588"/>
        <v>0</v>
      </c>
      <c r="BU856" s="387">
        <f t="shared" si="589"/>
        <v>0</v>
      </c>
      <c r="BV856" s="387">
        <f t="shared" si="590"/>
        <v>0</v>
      </c>
      <c r="BW856" s="387">
        <f t="shared" si="591"/>
        <v>0</v>
      </c>
      <c r="BX856" s="387">
        <f t="shared" si="606"/>
        <v>0</v>
      </c>
      <c r="BY856" s="387">
        <f t="shared" si="607"/>
        <v>0</v>
      </c>
      <c r="BZ856" s="387">
        <f t="shared" si="608"/>
        <v>0</v>
      </c>
      <c r="CA856" s="387">
        <f t="shared" si="609"/>
        <v>0</v>
      </c>
      <c r="CB856" s="387">
        <f t="shared" si="610"/>
        <v>0</v>
      </c>
      <c r="CC856" s="387">
        <f t="shared" si="592"/>
        <v>0</v>
      </c>
      <c r="CD856" s="387">
        <f t="shared" si="593"/>
        <v>0</v>
      </c>
      <c r="CE856" s="387">
        <f t="shared" si="594"/>
        <v>0</v>
      </c>
      <c r="CF856" s="387">
        <f t="shared" si="595"/>
        <v>0</v>
      </c>
      <c r="CG856" s="387">
        <f t="shared" si="596"/>
        <v>0</v>
      </c>
      <c r="CH856" s="387">
        <f t="shared" si="597"/>
        <v>0</v>
      </c>
      <c r="CI856" s="387">
        <f t="shared" si="598"/>
        <v>0</v>
      </c>
      <c r="CJ856" s="387">
        <f t="shared" si="611"/>
        <v>0</v>
      </c>
      <c r="CK856" s="387" t="str">
        <f t="shared" si="612"/>
        <v/>
      </c>
      <c r="CL856" s="387" t="str">
        <f t="shared" si="613"/>
        <v/>
      </c>
      <c r="CM856" s="387" t="str">
        <f t="shared" si="614"/>
        <v/>
      </c>
      <c r="CN856" s="387" t="str">
        <f t="shared" si="615"/>
        <v>0348-31</v>
      </c>
    </row>
    <row r="857" spans="1:92" ht="15.75" thickBot="1" x14ac:dyDescent="0.3">
      <c r="A857" s="376" t="s">
        <v>161</v>
      </c>
      <c r="B857" s="376" t="s">
        <v>162</v>
      </c>
      <c r="C857" s="376" t="s">
        <v>1254</v>
      </c>
      <c r="D857" s="376" t="s">
        <v>862</v>
      </c>
      <c r="E857" s="376" t="s">
        <v>224</v>
      </c>
      <c r="F857" s="382" t="s">
        <v>225</v>
      </c>
      <c r="G857" s="376" t="s">
        <v>1945</v>
      </c>
      <c r="H857" s="378"/>
      <c r="I857" s="378"/>
      <c r="J857" s="376" t="s">
        <v>168</v>
      </c>
      <c r="K857" s="376" t="s">
        <v>863</v>
      </c>
      <c r="L857" s="376" t="s">
        <v>252</v>
      </c>
      <c r="M857" s="376" t="s">
        <v>171</v>
      </c>
      <c r="N857" s="376" t="s">
        <v>172</v>
      </c>
      <c r="O857" s="379">
        <v>1</v>
      </c>
      <c r="P857" s="385">
        <v>0.15</v>
      </c>
      <c r="Q857" s="385">
        <v>0.15</v>
      </c>
      <c r="R857" s="380">
        <v>80</v>
      </c>
      <c r="S857" s="385">
        <v>0.15</v>
      </c>
      <c r="T857" s="380">
        <v>5800</v>
      </c>
      <c r="U857" s="380">
        <v>0</v>
      </c>
      <c r="V857" s="380">
        <v>2769.6</v>
      </c>
      <c r="W857" s="380">
        <v>7079.28</v>
      </c>
      <c r="X857" s="380">
        <v>3278.38</v>
      </c>
      <c r="Y857" s="380">
        <v>7079.28</v>
      </c>
      <c r="Z857" s="380">
        <v>3248.65</v>
      </c>
      <c r="AA857" s="376" t="s">
        <v>1255</v>
      </c>
      <c r="AB857" s="376" t="s">
        <v>1256</v>
      </c>
      <c r="AC857" s="376" t="s">
        <v>1257</v>
      </c>
      <c r="AD857" s="376" t="s">
        <v>324</v>
      </c>
      <c r="AE857" s="376" t="s">
        <v>863</v>
      </c>
      <c r="AF857" s="376" t="s">
        <v>393</v>
      </c>
      <c r="AG857" s="376" t="s">
        <v>178</v>
      </c>
      <c r="AH857" s="381">
        <v>22.69</v>
      </c>
      <c r="AI857" s="381">
        <v>26839.5</v>
      </c>
      <c r="AJ857" s="376" t="s">
        <v>179</v>
      </c>
      <c r="AK857" s="376" t="s">
        <v>180</v>
      </c>
      <c r="AL857" s="376" t="s">
        <v>181</v>
      </c>
      <c r="AM857" s="376" t="s">
        <v>182</v>
      </c>
      <c r="AN857" s="376" t="s">
        <v>68</v>
      </c>
      <c r="AO857" s="379">
        <v>80</v>
      </c>
      <c r="AP857" s="385">
        <v>1</v>
      </c>
      <c r="AQ857" s="385">
        <v>0.15</v>
      </c>
      <c r="AR857" s="383" t="s">
        <v>183</v>
      </c>
      <c r="AS857" s="387">
        <f t="shared" si="599"/>
        <v>0.15</v>
      </c>
      <c r="AT857">
        <f t="shared" si="600"/>
        <v>1</v>
      </c>
      <c r="AU857" s="387">
        <f>IF(AT857=0,"",IF(AND(AT857=1,M857="F",SUMIF(C2:C1334,C857,AS2:AS1334)&lt;=1),SUMIF(C2:C1334,C857,AS2:AS1334),IF(AND(AT857=1,M857="F",SUMIF(C2:C1334,C857,AS2:AS1334)&gt;1),1,"")))</f>
        <v>1</v>
      </c>
      <c r="AV857" s="387" t="str">
        <f>IF(AT857=0,"",IF(AND(AT857=3,M857="F",SUMIF(C2:C1334,C857,AS2:AS1334)&lt;=1),SUMIF(C2:C1334,C857,AS2:AS1334),IF(AND(AT857=3,M857="F",SUMIF(C2:C1334,C857,AS2:AS1334)&gt;1),1,"")))</f>
        <v/>
      </c>
      <c r="AW857" s="387">
        <f>SUMIF(C2:C1334,C857,O2:O1334)</f>
        <v>3</v>
      </c>
      <c r="AX857" s="387">
        <f>IF(AND(M857="F",AS857&lt;&gt;0),SUMIF(C2:C1334,C857,W2:W1334),0)</f>
        <v>47195.199999999997</v>
      </c>
      <c r="AY857" s="387">
        <f t="shared" si="601"/>
        <v>7079.28</v>
      </c>
      <c r="AZ857" s="387" t="str">
        <f t="shared" si="602"/>
        <v/>
      </c>
      <c r="BA857" s="387">
        <f t="shared" si="603"/>
        <v>0</v>
      </c>
      <c r="BB857" s="387">
        <f t="shared" si="572"/>
        <v>1747.5</v>
      </c>
      <c r="BC857" s="387">
        <f t="shared" si="573"/>
        <v>0</v>
      </c>
      <c r="BD857" s="387">
        <f t="shared" si="574"/>
        <v>438.91535999999996</v>
      </c>
      <c r="BE857" s="387">
        <f t="shared" si="575"/>
        <v>102.64956000000001</v>
      </c>
      <c r="BF857" s="387">
        <f t="shared" si="576"/>
        <v>845.266032</v>
      </c>
      <c r="BG857" s="387">
        <f t="shared" si="577"/>
        <v>51.041608799999999</v>
      </c>
      <c r="BH857" s="387">
        <f t="shared" si="578"/>
        <v>34.688471999999997</v>
      </c>
      <c r="BI857" s="387">
        <f t="shared" si="579"/>
        <v>39.1838148</v>
      </c>
      <c r="BJ857" s="387">
        <f t="shared" si="580"/>
        <v>19.114056000000001</v>
      </c>
      <c r="BK857" s="387">
        <f t="shared" si="581"/>
        <v>0</v>
      </c>
      <c r="BL857" s="387">
        <f t="shared" si="604"/>
        <v>1530.8589035999998</v>
      </c>
      <c r="BM857" s="387">
        <f t="shared" si="605"/>
        <v>0</v>
      </c>
      <c r="BN857" s="387">
        <f t="shared" si="582"/>
        <v>1747.5</v>
      </c>
      <c r="BO857" s="387">
        <f t="shared" si="583"/>
        <v>0</v>
      </c>
      <c r="BP857" s="387">
        <f t="shared" si="584"/>
        <v>438.91535999999996</v>
      </c>
      <c r="BQ857" s="387">
        <f t="shared" si="585"/>
        <v>102.64956000000001</v>
      </c>
      <c r="BR857" s="387">
        <f t="shared" si="586"/>
        <v>845.266032</v>
      </c>
      <c r="BS857" s="387">
        <f t="shared" si="587"/>
        <v>51.041608799999999</v>
      </c>
      <c r="BT857" s="387">
        <f t="shared" si="588"/>
        <v>0</v>
      </c>
      <c r="BU857" s="387">
        <f t="shared" si="589"/>
        <v>39.1838148</v>
      </c>
      <c r="BV857" s="387">
        <f t="shared" si="590"/>
        <v>24.069551999999998</v>
      </c>
      <c r="BW857" s="387">
        <f t="shared" si="591"/>
        <v>0</v>
      </c>
      <c r="BX857" s="387">
        <f t="shared" si="606"/>
        <v>1501.1259275999998</v>
      </c>
      <c r="BY857" s="387">
        <f t="shared" si="607"/>
        <v>0</v>
      </c>
      <c r="BZ857" s="387">
        <f t="shared" si="608"/>
        <v>0</v>
      </c>
      <c r="CA857" s="387">
        <f t="shared" si="609"/>
        <v>0</v>
      </c>
      <c r="CB857" s="387">
        <f t="shared" si="610"/>
        <v>0</v>
      </c>
      <c r="CC857" s="387">
        <f t="shared" si="592"/>
        <v>0</v>
      </c>
      <c r="CD857" s="387">
        <f t="shared" si="593"/>
        <v>0</v>
      </c>
      <c r="CE857" s="387">
        <f t="shared" si="594"/>
        <v>0</v>
      </c>
      <c r="CF857" s="387">
        <f t="shared" si="595"/>
        <v>-34.688471999999997</v>
      </c>
      <c r="CG857" s="387">
        <f t="shared" si="596"/>
        <v>0</v>
      </c>
      <c r="CH857" s="387">
        <f t="shared" si="597"/>
        <v>4.9554959999999975</v>
      </c>
      <c r="CI857" s="387">
        <f t="shared" si="598"/>
        <v>0</v>
      </c>
      <c r="CJ857" s="387">
        <f t="shared" si="611"/>
        <v>-29.732976000000001</v>
      </c>
      <c r="CK857" s="387" t="str">
        <f t="shared" si="612"/>
        <v/>
      </c>
      <c r="CL857" s="387" t="str">
        <f t="shared" si="613"/>
        <v/>
      </c>
      <c r="CM857" s="387" t="str">
        <f t="shared" si="614"/>
        <v/>
      </c>
      <c r="CN857" s="387" t="str">
        <f t="shared" si="615"/>
        <v>0348-31</v>
      </c>
    </row>
    <row r="858" spans="1:92" ht="15.75" thickBot="1" x14ac:dyDescent="0.3">
      <c r="A858" s="376" t="s">
        <v>161</v>
      </c>
      <c r="B858" s="376" t="s">
        <v>162</v>
      </c>
      <c r="C858" s="376" t="s">
        <v>905</v>
      </c>
      <c r="D858" s="376" t="s">
        <v>270</v>
      </c>
      <c r="E858" s="376" t="s">
        <v>224</v>
      </c>
      <c r="F858" s="382" t="s">
        <v>225</v>
      </c>
      <c r="G858" s="376" t="s">
        <v>1945</v>
      </c>
      <c r="H858" s="378"/>
      <c r="I858" s="378"/>
      <c r="J858" s="376" t="s">
        <v>215</v>
      </c>
      <c r="K858" s="376" t="s">
        <v>271</v>
      </c>
      <c r="L858" s="376" t="s">
        <v>217</v>
      </c>
      <c r="M858" s="376" t="s">
        <v>171</v>
      </c>
      <c r="N858" s="376" t="s">
        <v>172</v>
      </c>
      <c r="O858" s="379">
        <v>1</v>
      </c>
      <c r="P858" s="385">
        <v>1</v>
      </c>
      <c r="Q858" s="385">
        <v>1</v>
      </c>
      <c r="R858" s="380">
        <v>80</v>
      </c>
      <c r="S858" s="385">
        <v>1</v>
      </c>
      <c r="T858" s="380">
        <v>0</v>
      </c>
      <c r="U858" s="380">
        <v>0</v>
      </c>
      <c r="V858" s="380">
        <v>0</v>
      </c>
      <c r="W858" s="380">
        <v>35464</v>
      </c>
      <c r="X858" s="380">
        <v>19319.060000000001</v>
      </c>
      <c r="Y858" s="380">
        <v>35464</v>
      </c>
      <c r="Z858" s="380">
        <v>19170.11</v>
      </c>
      <c r="AA858" s="376" t="s">
        <v>906</v>
      </c>
      <c r="AB858" s="376" t="s">
        <v>907</v>
      </c>
      <c r="AC858" s="376" t="s">
        <v>908</v>
      </c>
      <c r="AD858" s="376" t="s">
        <v>566</v>
      </c>
      <c r="AE858" s="376" t="s">
        <v>271</v>
      </c>
      <c r="AF858" s="376" t="s">
        <v>221</v>
      </c>
      <c r="AG858" s="376" t="s">
        <v>178</v>
      </c>
      <c r="AH858" s="381">
        <v>17.05</v>
      </c>
      <c r="AI858" s="381">
        <v>8602.7000000000007</v>
      </c>
      <c r="AJ858" s="376" t="s">
        <v>179</v>
      </c>
      <c r="AK858" s="376" t="s">
        <v>180</v>
      </c>
      <c r="AL858" s="376" t="s">
        <v>181</v>
      </c>
      <c r="AM858" s="376" t="s">
        <v>182</v>
      </c>
      <c r="AN858" s="376" t="s">
        <v>68</v>
      </c>
      <c r="AO858" s="379">
        <v>80</v>
      </c>
      <c r="AP858" s="385">
        <v>1</v>
      </c>
      <c r="AQ858" s="385">
        <v>1</v>
      </c>
      <c r="AR858" s="383" t="s">
        <v>183</v>
      </c>
      <c r="AS858" s="387">
        <f t="shared" si="599"/>
        <v>1</v>
      </c>
      <c r="AT858">
        <f t="shared" si="600"/>
        <v>1</v>
      </c>
      <c r="AU858" s="387">
        <f>IF(AT858=0,"",IF(AND(AT858=1,M858="F",SUMIF(C2:C1334,C858,AS2:AS1334)&lt;=1),SUMIF(C2:C1334,C858,AS2:AS1334),IF(AND(AT858=1,M858="F",SUMIF(C2:C1334,C858,AS2:AS1334)&gt;1),1,"")))</f>
        <v>1</v>
      </c>
      <c r="AV858" s="387" t="str">
        <f>IF(AT858=0,"",IF(AND(AT858=3,M858="F",SUMIF(C2:C1334,C858,AS2:AS1334)&lt;=1),SUMIF(C2:C1334,C858,AS2:AS1334),IF(AND(AT858=3,M858="F",SUMIF(C2:C1334,C858,AS2:AS1334)&gt;1),1,"")))</f>
        <v/>
      </c>
      <c r="AW858" s="387">
        <f>SUMIF(C2:C1334,C858,O2:O1334)</f>
        <v>2</v>
      </c>
      <c r="AX858" s="387">
        <f>IF(AND(M858="F",AS858&lt;&gt;0),SUMIF(C2:C1334,C858,W2:W1334),0)</f>
        <v>35464</v>
      </c>
      <c r="AY858" s="387">
        <f t="shared" si="601"/>
        <v>35464</v>
      </c>
      <c r="AZ858" s="387" t="str">
        <f t="shared" si="602"/>
        <v/>
      </c>
      <c r="BA858" s="387">
        <f t="shared" si="603"/>
        <v>0</v>
      </c>
      <c r="BB858" s="387">
        <f t="shared" si="572"/>
        <v>11650</v>
      </c>
      <c r="BC858" s="387">
        <f t="shared" si="573"/>
        <v>0</v>
      </c>
      <c r="BD858" s="387">
        <f t="shared" si="574"/>
        <v>2198.768</v>
      </c>
      <c r="BE858" s="387">
        <f t="shared" si="575"/>
        <v>514.22800000000007</v>
      </c>
      <c r="BF858" s="387">
        <f t="shared" si="576"/>
        <v>4234.4016000000001</v>
      </c>
      <c r="BG858" s="387">
        <f t="shared" si="577"/>
        <v>255.69544000000002</v>
      </c>
      <c r="BH858" s="387">
        <f t="shared" si="578"/>
        <v>173.77359999999999</v>
      </c>
      <c r="BI858" s="387">
        <f t="shared" si="579"/>
        <v>196.29324</v>
      </c>
      <c r="BJ858" s="387">
        <f t="shared" si="580"/>
        <v>95.752800000000008</v>
      </c>
      <c r="BK858" s="387">
        <f t="shared" si="581"/>
        <v>0</v>
      </c>
      <c r="BL858" s="387">
        <f t="shared" si="604"/>
        <v>7668.9126800000004</v>
      </c>
      <c r="BM858" s="387">
        <f t="shared" si="605"/>
        <v>0</v>
      </c>
      <c r="BN858" s="387">
        <f t="shared" si="582"/>
        <v>11650</v>
      </c>
      <c r="BO858" s="387">
        <f t="shared" si="583"/>
        <v>0</v>
      </c>
      <c r="BP858" s="387">
        <f t="shared" si="584"/>
        <v>2198.768</v>
      </c>
      <c r="BQ858" s="387">
        <f t="shared" si="585"/>
        <v>514.22800000000007</v>
      </c>
      <c r="BR858" s="387">
        <f t="shared" si="586"/>
        <v>4234.4016000000001</v>
      </c>
      <c r="BS858" s="387">
        <f t="shared" si="587"/>
        <v>255.69544000000002</v>
      </c>
      <c r="BT858" s="387">
        <f t="shared" si="588"/>
        <v>0</v>
      </c>
      <c r="BU858" s="387">
        <f t="shared" si="589"/>
        <v>196.29324</v>
      </c>
      <c r="BV858" s="387">
        <f t="shared" si="590"/>
        <v>120.57759999999999</v>
      </c>
      <c r="BW858" s="387">
        <f t="shared" si="591"/>
        <v>0</v>
      </c>
      <c r="BX858" s="387">
        <f t="shared" si="606"/>
        <v>7519.9638800000002</v>
      </c>
      <c r="BY858" s="387">
        <f t="shared" si="607"/>
        <v>0</v>
      </c>
      <c r="BZ858" s="387">
        <f t="shared" si="608"/>
        <v>0</v>
      </c>
      <c r="CA858" s="387">
        <f t="shared" si="609"/>
        <v>0</v>
      </c>
      <c r="CB858" s="387">
        <f t="shared" si="610"/>
        <v>0</v>
      </c>
      <c r="CC858" s="387">
        <f t="shared" si="592"/>
        <v>0</v>
      </c>
      <c r="CD858" s="387">
        <f t="shared" si="593"/>
        <v>0</v>
      </c>
      <c r="CE858" s="387">
        <f t="shared" si="594"/>
        <v>0</v>
      </c>
      <c r="CF858" s="387">
        <f t="shared" si="595"/>
        <v>-173.77359999999999</v>
      </c>
      <c r="CG858" s="387">
        <f t="shared" si="596"/>
        <v>0</v>
      </c>
      <c r="CH858" s="387">
        <f t="shared" si="597"/>
        <v>24.824799999999989</v>
      </c>
      <c r="CI858" s="387">
        <f t="shared" si="598"/>
        <v>0</v>
      </c>
      <c r="CJ858" s="387">
        <f t="shared" si="611"/>
        <v>-148.94880000000001</v>
      </c>
      <c r="CK858" s="387" t="str">
        <f t="shared" si="612"/>
        <v/>
      </c>
      <c r="CL858" s="387" t="str">
        <f t="shared" si="613"/>
        <v/>
      </c>
      <c r="CM858" s="387" t="str">
        <f t="shared" si="614"/>
        <v/>
      </c>
      <c r="CN858" s="387" t="str">
        <f t="shared" si="615"/>
        <v>0348-31</v>
      </c>
    </row>
    <row r="859" spans="1:92" ht="15.75" thickBot="1" x14ac:dyDescent="0.3">
      <c r="A859" s="376" t="s">
        <v>161</v>
      </c>
      <c r="B859" s="376" t="s">
        <v>162</v>
      </c>
      <c r="C859" s="376" t="s">
        <v>2044</v>
      </c>
      <c r="D859" s="376" t="s">
        <v>862</v>
      </c>
      <c r="E859" s="376" t="s">
        <v>224</v>
      </c>
      <c r="F859" s="382" t="s">
        <v>225</v>
      </c>
      <c r="G859" s="376" t="s">
        <v>1945</v>
      </c>
      <c r="H859" s="378"/>
      <c r="I859" s="378"/>
      <c r="J859" s="376" t="s">
        <v>215</v>
      </c>
      <c r="K859" s="376" t="s">
        <v>863</v>
      </c>
      <c r="L859" s="376" t="s">
        <v>252</v>
      </c>
      <c r="M859" s="376" t="s">
        <v>171</v>
      </c>
      <c r="N859" s="376" t="s">
        <v>877</v>
      </c>
      <c r="O859" s="379">
        <v>1</v>
      </c>
      <c r="P859" s="385">
        <v>1</v>
      </c>
      <c r="Q859" s="385">
        <v>1</v>
      </c>
      <c r="R859" s="380">
        <v>80</v>
      </c>
      <c r="S859" s="385">
        <v>1</v>
      </c>
      <c r="T859" s="380">
        <v>3540</v>
      </c>
      <c r="U859" s="380">
        <v>0</v>
      </c>
      <c r="V859" s="380">
        <v>2218.81</v>
      </c>
      <c r="W859" s="380">
        <v>36816</v>
      </c>
      <c r="X859" s="380">
        <v>19611.439999999999</v>
      </c>
      <c r="Y859" s="380">
        <v>36816</v>
      </c>
      <c r="Z859" s="380">
        <v>19456.82</v>
      </c>
      <c r="AA859" s="376" t="s">
        <v>2045</v>
      </c>
      <c r="AB859" s="376" t="s">
        <v>2046</v>
      </c>
      <c r="AC859" s="376" t="s">
        <v>629</v>
      </c>
      <c r="AD859" s="376" t="s">
        <v>2047</v>
      </c>
      <c r="AE859" s="376" t="s">
        <v>863</v>
      </c>
      <c r="AF859" s="376" t="s">
        <v>393</v>
      </c>
      <c r="AG859" s="376" t="s">
        <v>178</v>
      </c>
      <c r="AH859" s="381">
        <v>17.7</v>
      </c>
      <c r="AI859" s="379">
        <v>280</v>
      </c>
      <c r="AJ859" s="376" t="s">
        <v>179</v>
      </c>
      <c r="AK859" s="376" t="s">
        <v>180</v>
      </c>
      <c r="AL859" s="376" t="s">
        <v>181</v>
      </c>
      <c r="AM859" s="376" t="s">
        <v>182</v>
      </c>
      <c r="AN859" s="376" t="s">
        <v>68</v>
      </c>
      <c r="AO859" s="379">
        <v>80</v>
      </c>
      <c r="AP859" s="385">
        <v>1</v>
      </c>
      <c r="AQ859" s="385">
        <v>1</v>
      </c>
      <c r="AR859" s="383" t="s">
        <v>183</v>
      </c>
      <c r="AS859" s="387">
        <f t="shared" si="599"/>
        <v>1</v>
      </c>
      <c r="AT859">
        <f t="shared" si="600"/>
        <v>1</v>
      </c>
      <c r="AU859" s="387">
        <f>IF(AT859=0,"",IF(AND(AT859=1,M859="F",SUMIF(C2:C1334,C859,AS2:AS1334)&lt;=1),SUMIF(C2:C1334,C859,AS2:AS1334),IF(AND(AT859=1,M859="F",SUMIF(C2:C1334,C859,AS2:AS1334)&gt;1),1,"")))</f>
        <v>1</v>
      </c>
      <c r="AV859" s="387" t="str">
        <f>IF(AT859=0,"",IF(AND(AT859=3,M859="F",SUMIF(C2:C1334,C859,AS2:AS1334)&lt;=1),SUMIF(C2:C1334,C859,AS2:AS1334),IF(AND(AT859=3,M859="F",SUMIF(C2:C1334,C859,AS2:AS1334)&gt;1),1,"")))</f>
        <v/>
      </c>
      <c r="AW859" s="387">
        <f>SUMIF(C2:C1334,C859,O2:O1334)</f>
        <v>1</v>
      </c>
      <c r="AX859" s="387">
        <f>IF(AND(M859="F",AS859&lt;&gt;0),SUMIF(C2:C1334,C859,W2:W1334),0)</f>
        <v>36816</v>
      </c>
      <c r="AY859" s="387">
        <f t="shared" si="601"/>
        <v>36816</v>
      </c>
      <c r="AZ859" s="387" t="str">
        <f t="shared" si="602"/>
        <v/>
      </c>
      <c r="BA859" s="387">
        <f t="shared" si="603"/>
        <v>0</v>
      </c>
      <c r="BB859" s="387">
        <f t="shared" si="572"/>
        <v>11650</v>
      </c>
      <c r="BC859" s="387">
        <f t="shared" si="573"/>
        <v>0</v>
      </c>
      <c r="BD859" s="387">
        <f t="shared" si="574"/>
        <v>2282.5920000000001</v>
      </c>
      <c r="BE859" s="387">
        <f t="shared" si="575"/>
        <v>533.83199999999999</v>
      </c>
      <c r="BF859" s="387">
        <f t="shared" si="576"/>
        <v>4395.8303999999998</v>
      </c>
      <c r="BG859" s="387">
        <f t="shared" si="577"/>
        <v>265.44335999999998</v>
      </c>
      <c r="BH859" s="387">
        <f t="shared" si="578"/>
        <v>180.39839999999998</v>
      </c>
      <c r="BI859" s="387">
        <f t="shared" si="579"/>
        <v>203.77655999999999</v>
      </c>
      <c r="BJ859" s="387">
        <f t="shared" si="580"/>
        <v>99.403199999999998</v>
      </c>
      <c r="BK859" s="387">
        <f t="shared" si="581"/>
        <v>0</v>
      </c>
      <c r="BL859" s="387">
        <f t="shared" si="604"/>
        <v>7961.27592</v>
      </c>
      <c r="BM859" s="387">
        <f t="shared" si="605"/>
        <v>0</v>
      </c>
      <c r="BN859" s="387">
        <f t="shared" si="582"/>
        <v>11650</v>
      </c>
      <c r="BO859" s="387">
        <f t="shared" si="583"/>
        <v>0</v>
      </c>
      <c r="BP859" s="387">
        <f t="shared" si="584"/>
        <v>2282.5920000000001</v>
      </c>
      <c r="BQ859" s="387">
        <f t="shared" si="585"/>
        <v>533.83199999999999</v>
      </c>
      <c r="BR859" s="387">
        <f t="shared" si="586"/>
        <v>4395.8303999999998</v>
      </c>
      <c r="BS859" s="387">
        <f t="shared" si="587"/>
        <v>265.44335999999998</v>
      </c>
      <c r="BT859" s="387">
        <f t="shared" si="588"/>
        <v>0</v>
      </c>
      <c r="BU859" s="387">
        <f t="shared" si="589"/>
        <v>203.77655999999999</v>
      </c>
      <c r="BV859" s="387">
        <f t="shared" si="590"/>
        <v>125.17439999999999</v>
      </c>
      <c r="BW859" s="387">
        <f t="shared" si="591"/>
        <v>0</v>
      </c>
      <c r="BX859" s="387">
        <f t="shared" si="606"/>
        <v>7806.6487200000001</v>
      </c>
      <c r="BY859" s="387">
        <f t="shared" si="607"/>
        <v>0</v>
      </c>
      <c r="BZ859" s="387">
        <f t="shared" si="608"/>
        <v>0</v>
      </c>
      <c r="CA859" s="387">
        <f t="shared" si="609"/>
        <v>0</v>
      </c>
      <c r="CB859" s="387">
        <f t="shared" si="610"/>
        <v>0</v>
      </c>
      <c r="CC859" s="387">
        <f t="shared" si="592"/>
        <v>0</v>
      </c>
      <c r="CD859" s="387">
        <f t="shared" si="593"/>
        <v>0</v>
      </c>
      <c r="CE859" s="387">
        <f t="shared" si="594"/>
        <v>0</v>
      </c>
      <c r="CF859" s="387">
        <f t="shared" si="595"/>
        <v>-180.39839999999998</v>
      </c>
      <c r="CG859" s="387">
        <f t="shared" si="596"/>
        <v>0</v>
      </c>
      <c r="CH859" s="387">
        <f t="shared" si="597"/>
        <v>25.771199999999986</v>
      </c>
      <c r="CI859" s="387">
        <f t="shared" si="598"/>
        <v>0</v>
      </c>
      <c r="CJ859" s="387">
        <f t="shared" si="611"/>
        <v>-154.62719999999999</v>
      </c>
      <c r="CK859" s="387" t="str">
        <f t="shared" si="612"/>
        <v/>
      </c>
      <c r="CL859" s="387" t="str">
        <f t="shared" si="613"/>
        <v/>
      </c>
      <c r="CM859" s="387" t="str">
        <f t="shared" si="614"/>
        <v/>
      </c>
      <c r="CN859" s="387" t="str">
        <f t="shared" si="615"/>
        <v>0348-31</v>
      </c>
    </row>
    <row r="860" spans="1:92" ht="15.75" thickBot="1" x14ac:dyDescent="0.3">
      <c r="A860" s="376" t="s">
        <v>161</v>
      </c>
      <c r="B860" s="376" t="s">
        <v>162</v>
      </c>
      <c r="C860" s="376" t="s">
        <v>809</v>
      </c>
      <c r="D860" s="376" t="s">
        <v>786</v>
      </c>
      <c r="E860" s="376" t="s">
        <v>224</v>
      </c>
      <c r="F860" s="382" t="s">
        <v>225</v>
      </c>
      <c r="G860" s="376" t="s">
        <v>1945</v>
      </c>
      <c r="H860" s="378"/>
      <c r="I860" s="378"/>
      <c r="J860" s="376" t="s">
        <v>239</v>
      </c>
      <c r="K860" s="376" t="s">
        <v>787</v>
      </c>
      <c r="L860" s="376" t="s">
        <v>181</v>
      </c>
      <c r="M860" s="376" t="s">
        <v>171</v>
      </c>
      <c r="N860" s="376" t="s">
        <v>172</v>
      </c>
      <c r="O860" s="379">
        <v>1</v>
      </c>
      <c r="P860" s="385">
        <v>0.05</v>
      </c>
      <c r="Q860" s="385">
        <v>0.05</v>
      </c>
      <c r="R860" s="380">
        <v>80</v>
      </c>
      <c r="S860" s="385">
        <v>0.05</v>
      </c>
      <c r="T860" s="380">
        <v>2429.59</v>
      </c>
      <c r="U860" s="380">
        <v>0</v>
      </c>
      <c r="V860" s="380">
        <v>924.46</v>
      </c>
      <c r="W860" s="380">
        <v>3678.48</v>
      </c>
      <c r="X860" s="380">
        <v>1377.96</v>
      </c>
      <c r="Y860" s="380">
        <v>3678.48</v>
      </c>
      <c r="Z860" s="380">
        <v>1362.52</v>
      </c>
      <c r="AA860" s="376" t="s">
        <v>810</v>
      </c>
      <c r="AB860" s="376" t="s">
        <v>811</v>
      </c>
      <c r="AC860" s="376" t="s">
        <v>812</v>
      </c>
      <c r="AD860" s="376" t="s">
        <v>268</v>
      </c>
      <c r="AE860" s="376" t="s">
        <v>787</v>
      </c>
      <c r="AF860" s="376" t="s">
        <v>211</v>
      </c>
      <c r="AG860" s="376" t="s">
        <v>178</v>
      </c>
      <c r="AH860" s="381">
        <v>35.369999999999997</v>
      </c>
      <c r="AI860" s="381">
        <v>63356.7</v>
      </c>
      <c r="AJ860" s="376" t="s">
        <v>179</v>
      </c>
      <c r="AK860" s="376" t="s">
        <v>180</v>
      </c>
      <c r="AL860" s="376" t="s">
        <v>181</v>
      </c>
      <c r="AM860" s="376" t="s">
        <v>182</v>
      </c>
      <c r="AN860" s="376" t="s">
        <v>68</v>
      </c>
      <c r="AO860" s="379">
        <v>80</v>
      </c>
      <c r="AP860" s="385">
        <v>1</v>
      </c>
      <c r="AQ860" s="385">
        <v>0.05</v>
      </c>
      <c r="AR860" s="383" t="s">
        <v>183</v>
      </c>
      <c r="AS860" s="387">
        <f t="shared" si="599"/>
        <v>0.05</v>
      </c>
      <c r="AT860">
        <f t="shared" si="600"/>
        <v>1</v>
      </c>
      <c r="AU860" s="387">
        <f>IF(AT860=0,"",IF(AND(AT860=1,M860="F",SUMIF(C2:C1334,C860,AS2:AS1334)&lt;=1),SUMIF(C2:C1334,C860,AS2:AS1334),IF(AND(AT860=1,M860="F",SUMIF(C2:C1334,C860,AS2:AS1334)&gt;1),1,"")))</f>
        <v>1</v>
      </c>
      <c r="AV860" s="387" t="str">
        <f>IF(AT860=0,"",IF(AND(AT860=3,M860="F",SUMIF(C2:C1334,C860,AS2:AS1334)&lt;=1),SUMIF(C2:C1334,C860,AS2:AS1334),IF(AND(AT860=3,M860="F",SUMIF(C2:C1334,C860,AS2:AS1334)&gt;1),1,"")))</f>
        <v/>
      </c>
      <c r="AW860" s="387">
        <f>SUMIF(C2:C1334,C860,O2:O1334)</f>
        <v>4</v>
      </c>
      <c r="AX860" s="387">
        <f>IF(AND(M860="F",AS860&lt;&gt;0),SUMIF(C2:C1334,C860,W2:W1334),0)</f>
        <v>73569.599999999991</v>
      </c>
      <c r="AY860" s="387">
        <f t="shared" si="601"/>
        <v>3678.48</v>
      </c>
      <c r="AZ860" s="387" t="str">
        <f t="shared" si="602"/>
        <v/>
      </c>
      <c r="BA860" s="387">
        <f t="shared" si="603"/>
        <v>0</v>
      </c>
      <c r="BB860" s="387">
        <f t="shared" si="572"/>
        <v>582.5</v>
      </c>
      <c r="BC860" s="387">
        <f t="shared" si="573"/>
        <v>0</v>
      </c>
      <c r="BD860" s="387">
        <f t="shared" si="574"/>
        <v>228.06576000000001</v>
      </c>
      <c r="BE860" s="387">
        <f t="shared" si="575"/>
        <v>53.337960000000002</v>
      </c>
      <c r="BF860" s="387">
        <f t="shared" si="576"/>
        <v>439.21051200000005</v>
      </c>
      <c r="BG860" s="387">
        <f t="shared" si="577"/>
        <v>26.5218408</v>
      </c>
      <c r="BH860" s="387">
        <f t="shared" si="578"/>
        <v>18.024552</v>
      </c>
      <c r="BI860" s="387">
        <f t="shared" si="579"/>
        <v>20.360386800000001</v>
      </c>
      <c r="BJ860" s="387">
        <f t="shared" si="580"/>
        <v>9.9318960000000001</v>
      </c>
      <c r="BK860" s="387">
        <f t="shared" si="581"/>
        <v>0</v>
      </c>
      <c r="BL860" s="387">
        <f t="shared" si="604"/>
        <v>795.45290760000012</v>
      </c>
      <c r="BM860" s="387">
        <f t="shared" si="605"/>
        <v>0</v>
      </c>
      <c r="BN860" s="387">
        <f t="shared" si="582"/>
        <v>582.5</v>
      </c>
      <c r="BO860" s="387">
        <f t="shared" si="583"/>
        <v>0</v>
      </c>
      <c r="BP860" s="387">
        <f t="shared" si="584"/>
        <v>228.06576000000001</v>
      </c>
      <c r="BQ860" s="387">
        <f t="shared" si="585"/>
        <v>53.337960000000002</v>
      </c>
      <c r="BR860" s="387">
        <f t="shared" si="586"/>
        <v>439.21051200000005</v>
      </c>
      <c r="BS860" s="387">
        <f t="shared" si="587"/>
        <v>26.5218408</v>
      </c>
      <c r="BT860" s="387">
        <f t="shared" si="588"/>
        <v>0</v>
      </c>
      <c r="BU860" s="387">
        <f t="shared" si="589"/>
        <v>20.360386800000001</v>
      </c>
      <c r="BV860" s="387">
        <f t="shared" si="590"/>
        <v>12.506831999999999</v>
      </c>
      <c r="BW860" s="387">
        <f t="shared" si="591"/>
        <v>0</v>
      </c>
      <c r="BX860" s="387">
        <f t="shared" si="606"/>
        <v>780.00329160000013</v>
      </c>
      <c r="BY860" s="387">
        <f t="shared" si="607"/>
        <v>0</v>
      </c>
      <c r="BZ860" s="387">
        <f t="shared" si="608"/>
        <v>0</v>
      </c>
      <c r="CA860" s="387">
        <f t="shared" si="609"/>
        <v>0</v>
      </c>
      <c r="CB860" s="387">
        <f t="shared" si="610"/>
        <v>0</v>
      </c>
      <c r="CC860" s="387">
        <f t="shared" si="592"/>
        <v>0</v>
      </c>
      <c r="CD860" s="387">
        <f t="shared" si="593"/>
        <v>0</v>
      </c>
      <c r="CE860" s="387">
        <f t="shared" si="594"/>
        <v>0</v>
      </c>
      <c r="CF860" s="387">
        <f t="shared" si="595"/>
        <v>-18.024552</v>
      </c>
      <c r="CG860" s="387">
        <f t="shared" si="596"/>
        <v>0</v>
      </c>
      <c r="CH860" s="387">
        <f t="shared" si="597"/>
        <v>2.5749359999999988</v>
      </c>
      <c r="CI860" s="387">
        <f t="shared" si="598"/>
        <v>0</v>
      </c>
      <c r="CJ860" s="387">
        <f t="shared" si="611"/>
        <v>-15.449616000000001</v>
      </c>
      <c r="CK860" s="387" t="str">
        <f t="shared" si="612"/>
        <v/>
      </c>
      <c r="CL860" s="387" t="str">
        <f t="shared" si="613"/>
        <v/>
      </c>
      <c r="CM860" s="387" t="str">
        <f t="shared" si="614"/>
        <v/>
      </c>
      <c r="CN860" s="387" t="str">
        <f t="shared" si="615"/>
        <v>0348-31</v>
      </c>
    </row>
    <row r="861" spans="1:92" ht="15.75" thickBot="1" x14ac:dyDescent="0.3">
      <c r="A861" s="376" t="s">
        <v>161</v>
      </c>
      <c r="B861" s="376" t="s">
        <v>162</v>
      </c>
      <c r="C861" s="376" t="s">
        <v>2048</v>
      </c>
      <c r="D861" s="376" t="s">
        <v>862</v>
      </c>
      <c r="E861" s="376" t="s">
        <v>224</v>
      </c>
      <c r="F861" s="382" t="s">
        <v>225</v>
      </c>
      <c r="G861" s="376" t="s">
        <v>1945</v>
      </c>
      <c r="H861" s="378"/>
      <c r="I861" s="378"/>
      <c r="J861" s="376" t="s">
        <v>215</v>
      </c>
      <c r="K861" s="376" t="s">
        <v>863</v>
      </c>
      <c r="L861" s="376" t="s">
        <v>252</v>
      </c>
      <c r="M861" s="376" t="s">
        <v>171</v>
      </c>
      <c r="N861" s="376" t="s">
        <v>172</v>
      </c>
      <c r="O861" s="379">
        <v>1</v>
      </c>
      <c r="P861" s="385">
        <v>1</v>
      </c>
      <c r="Q861" s="385">
        <v>1</v>
      </c>
      <c r="R861" s="380">
        <v>80</v>
      </c>
      <c r="S861" s="385">
        <v>1</v>
      </c>
      <c r="T861" s="380">
        <v>23910.44</v>
      </c>
      <c r="U861" s="380">
        <v>0</v>
      </c>
      <c r="V861" s="380">
        <v>12847.02</v>
      </c>
      <c r="W861" s="380">
        <v>38812.800000000003</v>
      </c>
      <c r="X861" s="380">
        <v>20043.240000000002</v>
      </c>
      <c r="Y861" s="380">
        <v>38812.800000000003</v>
      </c>
      <c r="Z861" s="380">
        <v>19880.23</v>
      </c>
      <c r="AA861" s="376" t="s">
        <v>2049</v>
      </c>
      <c r="AB861" s="376" t="s">
        <v>2050</v>
      </c>
      <c r="AC861" s="376" t="s">
        <v>2051</v>
      </c>
      <c r="AD861" s="376" t="s">
        <v>324</v>
      </c>
      <c r="AE861" s="376" t="s">
        <v>863</v>
      </c>
      <c r="AF861" s="376" t="s">
        <v>393</v>
      </c>
      <c r="AG861" s="376" t="s">
        <v>178</v>
      </c>
      <c r="AH861" s="381">
        <v>18.66</v>
      </c>
      <c r="AI861" s="379">
        <v>1440</v>
      </c>
      <c r="AJ861" s="376" t="s">
        <v>179</v>
      </c>
      <c r="AK861" s="376" t="s">
        <v>180</v>
      </c>
      <c r="AL861" s="376" t="s">
        <v>181</v>
      </c>
      <c r="AM861" s="376" t="s">
        <v>182</v>
      </c>
      <c r="AN861" s="376" t="s">
        <v>68</v>
      </c>
      <c r="AO861" s="379">
        <v>80</v>
      </c>
      <c r="AP861" s="385">
        <v>1</v>
      </c>
      <c r="AQ861" s="385">
        <v>1</v>
      </c>
      <c r="AR861" s="383" t="s">
        <v>183</v>
      </c>
      <c r="AS861" s="387">
        <f t="shared" si="599"/>
        <v>1</v>
      </c>
      <c r="AT861">
        <f t="shared" si="600"/>
        <v>1</v>
      </c>
      <c r="AU861" s="387">
        <f>IF(AT861=0,"",IF(AND(AT861=1,M861="F",SUMIF(C2:C1334,C861,AS2:AS1334)&lt;=1),SUMIF(C2:C1334,C861,AS2:AS1334),IF(AND(AT861=1,M861="F",SUMIF(C2:C1334,C861,AS2:AS1334)&gt;1),1,"")))</f>
        <v>1</v>
      </c>
      <c r="AV861" s="387" t="str">
        <f>IF(AT861=0,"",IF(AND(AT861=3,M861="F",SUMIF(C2:C1334,C861,AS2:AS1334)&lt;=1),SUMIF(C2:C1334,C861,AS2:AS1334),IF(AND(AT861=3,M861="F",SUMIF(C2:C1334,C861,AS2:AS1334)&gt;1),1,"")))</f>
        <v/>
      </c>
      <c r="AW861" s="387">
        <f>SUMIF(C2:C1334,C861,O2:O1334)</f>
        <v>1</v>
      </c>
      <c r="AX861" s="387">
        <f>IF(AND(M861="F",AS861&lt;&gt;0),SUMIF(C2:C1334,C861,W2:W1334),0)</f>
        <v>38812.800000000003</v>
      </c>
      <c r="AY861" s="387">
        <f t="shared" si="601"/>
        <v>38812.800000000003</v>
      </c>
      <c r="AZ861" s="387" t="str">
        <f t="shared" si="602"/>
        <v/>
      </c>
      <c r="BA861" s="387">
        <f t="shared" si="603"/>
        <v>0</v>
      </c>
      <c r="BB861" s="387">
        <f t="shared" si="572"/>
        <v>11650</v>
      </c>
      <c r="BC861" s="387">
        <f t="shared" si="573"/>
        <v>0</v>
      </c>
      <c r="BD861" s="387">
        <f t="shared" si="574"/>
        <v>2406.3936000000003</v>
      </c>
      <c r="BE861" s="387">
        <f t="shared" si="575"/>
        <v>562.78560000000004</v>
      </c>
      <c r="BF861" s="387">
        <f t="shared" si="576"/>
        <v>4634.2483200000006</v>
      </c>
      <c r="BG861" s="387">
        <f t="shared" si="577"/>
        <v>279.84028800000004</v>
      </c>
      <c r="BH861" s="387">
        <f t="shared" si="578"/>
        <v>190.18272000000002</v>
      </c>
      <c r="BI861" s="387">
        <f t="shared" si="579"/>
        <v>214.82884800000002</v>
      </c>
      <c r="BJ861" s="387">
        <f t="shared" si="580"/>
        <v>104.79456000000002</v>
      </c>
      <c r="BK861" s="387">
        <f t="shared" si="581"/>
        <v>0</v>
      </c>
      <c r="BL861" s="387">
        <f t="shared" si="604"/>
        <v>8393.0739360000007</v>
      </c>
      <c r="BM861" s="387">
        <f t="shared" si="605"/>
        <v>0</v>
      </c>
      <c r="BN861" s="387">
        <f t="shared" si="582"/>
        <v>11650</v>
      </c>
      <c r="BO861" s="387">
        <f t="shared" si="583"/>
        <v>0</v>
      </c>
      <c r="BP861" s="387">
        <f t="shared" si="584"/>
        <v>2406.3936000000003</v>
      </c>
      <c r="BQ861" s="387">
        <f t="shared" si="585"/>
        <v>562.78560000000004</v>
      </c>
      <c r="BR861" s="387">
        <f t="shared" si="586"/>
        <v>4634.2483200000006</v>
      </c>
      <c r="BS861" s="387">
        <f t="shared" si="587"/>
        <v>279.84028800000004</v>
      </c>
      <c r="BT861" s="387">
        <f t="shared" si="588"/>
        <v>0</v>
      </c>
      <c r="BU861" s="387">
        <f t="shared" si="589"/>
        <v>214.82884800000002</v>
      </c>
      <c r="BV861" s="387">
        <f t="shared" si="590"/>
        <v>131.96351999999999</v>
      </c>
      <c r="BW861" s="387">
        <f t="shared" si="591"/>
        <v>0</v>
      </c>
      <c r="BX861" s="387">
        <f t="shared" si="606"/>
        <v>8230.0601760000009</v>
      </c>
      <c r="BY861" s="387">
        <f t="shared" si="607"/>
        <v>0</v>
      </c>
      <c r="BZ861" s="387">
        <f t="shared" si="608"/>
        <v>0</v>
      </c>
      <c r="CA861" s="387">
        <f t="shared" si="609"/>
        <v>0</v>
      </c>
      <c r="CB861" s="387">
        <f t="shared" si="610"/>
        <v>0</v>
      </c>
      <c r="CC861" s="387">
        <f t="shared" si="592"/>
        <v>0</v>
      </c>
      <c r="CD861" s="387">
        <f t="shared" si="593"/>
        <v>0</v>
      </c>
      <c r="CE861" s="387">
        <f t="shared" si="594"/>
        <v>0</v>
      </c>
      <c r="CF861" s="387">
        <f t="shared" si="595"/>
        <v>-190.18272000000002</v>
      </c>
      <c r="CG861" s="387">
        <f t="shared" si="596"/>
        <v>0</v>
      </c>
      <c r="CH861" s="387">
        <f t="shared" si="597"/>
        <v>27.168959999999988</v>
      </c>
      <c r="CI861" s="387">
        <f t="shared" si="598"/>
        <v>0</v>
      </c>
      <c r="CJ861" s="387">
        <f t="shared" si="611"/>
        <v>-163.01376000000002</v>
      </c>
      <c r="CK861" s="387" t="str">
        <f t="shared" si="612"/>
        <v/>
      </c>
      <c r="CL861" s="387" t="str">
        <f t="shared" si="613"/>
        <v/>
      </c>
      <c r="CM861" s="387" t="str">
        <f t="shared" si="614"/>
        <v/>
      </c>
      <c r="CN861" s="387" t="str">
        <f t="shared" si="615"/>
        <v>0348-31</v>
      </c>
    </row>
    <row r="862" spans="1:92" ht="15.75" thickBot="1" x14ac:dyDescent="0.3">
      <c r="A862" s="376" t="s">
        <v>161</v>
      </c>
      <c r="B862" s="376" t="s">
        <v>162</v>
      </c>
      <c r="C862" s="376" t="s">
        <v>913</v>
      </c>
      <c r="D862" s="376" t="s">
        <v>868</v>
      </c>
      <c r="E862" s="376" t="s">
        <v>224</v>
      </c>
      <c r="F862" s="382" t="s">
        <v>225</v>
      </c>
      <c r="G862" s="376" t="s">
        <v>1945</v>
      </c>
      <c r="H862" s="378"/>
      <c r="I862" s="378"/>
      <c r="J862" s="376" t="s">
        <v>215</v>
      </c>
      <c r="K862" s="376" t="s">
        <v>869</v>
      </c>
      <c r="L862" s="376" t="s">
        <v>296</v>
      </c>
      <c r="M862" s="376" t="s">
        <v>171</v>
      </c>
      <c r="N862" s="376" t="s">
        <v>172</v>
      </c>
      <c r="O862" s="379">
        <v>1</v>
      </c>
      <c r="P862" s="385">
        <v>1</v>
      </c>
      <c r="Q862" s="385">
        <v>1</v>
      </c>
      <c r="R862" s="380">
        <v>80</v>
      </c>
      <c r="S862" s="385">
        <v>1</v>
      </c>
      <c r="T862" s="380">
        <v>0</v>
      </c>
      <c r="U862" s="380">
        <v>0</v>
      </c>
      <c r="V862" s="380">
        <v>0</v>
      </c>
      <c r="W862" s="380">
        <v>42848</v>
      </c>
      <c r="X862" s="380">
        <v>20915.84</v>
      </c>
      <c r="Y862" s="380">
        <v>42848</v>
      </c>
      <c r="Z862" s="380">
        <v>20735.89</v>
      </c>
      <c r="AA862" s="376" t="s">
        <v>914</v>
      </c>
      <c r="AB862" s="376" t="s">
        <v>915</v>
      </c>
      <c r="AC862" s="376" t="s">
        <v>916</v>
      </c>
      <c r="AD862" s="376" t="s">
        <v>441</v>
      </c>
      <c r="AE862" s="376" t="s">
        <v>873</v>
      </c>
      <c r="AF862" s="376" t="s">
        <v>393</v>
      </c>
      <c r="AG862" s="376" t="s">
        <v>178</v>
      </c>
      <c r="AH862" s="381">
        <v>20.6</v>
      </c>
      <c r="AI862" s="379">
        <v>1008</v>
      </c>
      <c r="AJ862" s="376" t="s">
        <v>179</v>
      </c>
      <c r="AK862" s="376" t="s">
        <v>180</v>
      </c>
      <c r="AL862" s="376" t="s">
        <v>181</v>
      </c>
      <c r="AM862" s="376" t="s">
        <v>182</v>
      </c>
      <c r="AN862" s="376" t="s">
        <v>68</v>
      </c>
      <c r="AO862" s="379">
        <v>80</v>
      </c>
      <c r="AP862" s="385">
        <v>1</v>
      </c>
      <c r="AQ862" s="385">
        <v>1</v>
      </c>
      <c r="AR862" s="383">
        <v>3</v>
      </c>
      <c r="AS862" s="387">
        <f t="shared" si="599"/>
        <v>1</v>
      </c>
      <c r="AT862">
        <f t="shared" si="600"/>
        <v>1</v>
      </c>
      <c r="AU862" s="387">
        <f>IF(AT862=0,"",IF(AND(AT862=1,M862="F",SUMIF(C2:C1334,C862,AS2:AS1334)&lt;=1),SUMIF(C2:C1334,C862,AS2:AS1334),IF(AND(AT862=1,M862="F",SUMIF(C2:C1334,C862,AS2:AS1334)&gt;1),1,"")))</f>
        <v>1</v>
      </c>
      <c r="AV862" s="387" t="str">
        <f>IF(AT862=0,"",IF(AND(AT862=3,M862="F",SUMIF(C2:C1334,C862,AS2:AS1334)&lt;=1),SUMIF(C2:C1334,C862,AS2:AS1334),IF(AND(AT862=3,M862="F",SUMIF(C2:C1334,C862,AS2:AS1334)&gt;1),1,"")))</f>
        <v/>
      </c>
      <c r="AW862" s="387">
        <f>SUMIF(C2:C1334,C862,O2:O1334)</f>
        <v>2</v>
      </c>
      <c r="AX862" s="387">
        <f>IF(AND(M862="F",AS862&lt;&gt;0),SUMIF(C2:C1334,C862,W2:W1334),0)</f>
        <v>42848</v>
      </c>
      <c r="AY862" s="387">
        <f t="shared" si="601"/>
        <v>42848</v>
      </c>
      <c r="AZ862" s="387" t="str">
        <f t="shared" si="602"/>
        <v/>
      </c>
      <c r="BA862" s="387">
        <f t="shared" si="603"/>
        <v>0</v>
      </c>
      <c r="BB862" s="387">
        <f t="shared" si="572"/>
        <v>11650</v>
      </c>
      <c r="BC862" s="387">
        <f t="shared" si="573"/>
        <v>0</v>
      </c>
      <c r="BD862" s="387">
        <f t="shared" si="574"/>
        <v>2656.576</v>
      </c>
      <c r="BE862" s="387">
        <f t="shared" si="575"/>
        <v>621.29600000000005</v>
      </c>
      <c r="BF862" s="387">
        <f t="shared" si="576"/>
        <v>5116.0511999999999</v>
      </c>
      <c r="BG862" s="387">
        <f t="shared" si="577"/>
        <v>308.93407999999999</v>
      </c>
      <c r="BH862" s="387">
        <f t="shared" si="578"/>
        <v>209.95519999999999</v>
      </c>
      <c r="BI862" s="387">
        <f t="shared" si="579"/>
        <v>237.16368</v>
      </c>
      <c r="BJ862" s="387">
        <f t="shared" si="580"/>
        <v>115.68960000000001</v>
      </c>
      <c r="BK862" s="387">
        <f t="shared" si="581"/>
        <v>0</v>
      </c>
      <c r="BL862" s="387">
        <f t="shared" si="604"/>
        <v>9265.6657599999999</v>
      </c>
      <c r="BM862" s="387">
        <f t="shared" si="605"/>
        <v>0</v>
      </c>
      <c r="BN862" s="387">
        <f t="shared" si="582"/>
        <v>11650</v>
      </c>
      <c r="BO862" s="387">
        <f t="shared" si="583"/>
        <v>0</v>
      </c>
      <c r="BP862" s="387">
        <f t="shared" si="584"/>
        <v>2656.576</v>
      </c>
      <c r="BQ862" s="387">
        <f t="shared" si="585"/>
        <v>621.29600000000005</v>
      </c>
      <c r="BR862" s="387">
        <f t="shared" si="586"/>
        <v>5116.0511999999999</v>
      </c>
      <c r="BS862" s="387">
        <f t="shared" si="587"/>
        <v>308.93407999999999</v>
      </c>
      <c r="BT862" s="387">
        <f t="shared" si="588"/>
        <v>0</v>
      </c>
      <c r="BU862" s="387">
        <f t="shared" si="589"/>
        <v>237.16368</v>
      </c>
      <c r="BV862" s="387">
        <f t="shared" si="590"/>
        <v>145.6832</v>
      </c>
      <c r="BW862" s="387">
        <f t="shared" si="591"/>
        <v>0</v>
      </c>
      <c r="BX862" s="387">
        <f t="shared" si="606"/>
        <v>9085.7041599999993</v>
      </c>
      <c r="BY862" s="387">
        <f t="shared" si="607"/>
        <v>0</v>
      </c>
      <c r="BZ862" s="387">
        <f t="shared" si="608"/>
        <v>0</v>
      </c>
      <c r="CA862" s="387">
        <f t="shared" si="609"/>
        <v>0</v>
      </c>
      <c r="CB862" s="387">
        <f t="shared" si="610"/>
        <v>0</v>
      </c>
      <c r="CC862" s="387">
        <f t="shared" si="592"/>
        <v>0</v>
      </c>
      <c r="CD862" s="387">
        <f t="shared" si="593"/>
        <v>0</v>
      </c>
      <c r="CE862" s="387">
        <f t="shared" si="594"/>
        <v>0</v>
      </c>
      <c r="CF862" s="387">
        <f t="shared" si="595"/>
        <v>-209.95519999999999</v>
      </c>
      <c r="CG862" s="387">
        <f t="shared" si="596"/>
        <v>0</v>
      </c>
      <c r="CH862" s="387">
        <f t="shared" si="597"/>
        <v>29.993599999999986</v>
      </c>
      <c r="CI862" s="387">
        <f t="shared" si="598"/>
        <v>0</v>
      </c>
      <c r="CJ862" s="387">
        <f t="shared" si="611"/>
        <v>-179.9616</v>
      </c>
      <c r="CK862" s="387" t="str">
        <f t="shared" si="612"/>
        <v/>
      </c>
      <c r="CL862" s="387" t="str">
        <f t="shared" si="613"/>
        <v/>
      </c>
      <c r="CM862" s="387" t="str">
        <f t="shared" si="614"/>
        <v/>
      </c>
      <c r="CN862" s="387" t="str">
        <f t="shared" si="615"/>
        <v>0348-31</v>
      </c>
    </row>
    <row r="863" spans="1:92" ht="15.75" thickBot="1" x14ac:dyDescent="0.3">
      <c r="A863" s="376" t="s">
        <v>161</v>
      </c>
      <c r="B863" s="376" t="s">
        <v>162</v>
      </c>
      <c r="C863" s="376" t="s">
        <v>897</v>
      </c>
      <c r="D863" s="376" t="s">
        <v>862</v>
      </c>
      <c r="E863" s="376" t="s">
        <v>224</v>
      </c>
      <c r="F863" s="382" t="s">
        <v>225</v>
      </c>
      <c r="G863" s="376" t="s">
        <v>1945</v>
      </c>
      <c r="H863" s="378"/>
      <c r="I863" s="378"/>
      <c r="J863" s="376" t="s">
        <v>239</v>
      </c>
      <c r="K863" s="376" t="s">
        <v>863</v>
      </c>
      <c r="L863" s="376" t="s">
        <v>252</v>
      </c>
      <c r="M863" s="376" t="s">
        <v>171</v>
      </c>
      <c r="N863" s="376" t="s">
        <v>172</v>
      </c>
      <c r="O863" s="379">
        <v>1</v>
      </c>
      <c r="P863" s="385">
        <v>0.4</v>
      </c>
      <c r="Q863" s="385">
        <v>0.4</v>
      </c>
      <c r="R863" s="380">
        <v>80</v>
      </c>
      <c r="S863" s="385">
        <v>0.4</v>
      </c>
      <c r="T863" s="380">
        <v>22332.17</v>
      </c>
      <c r="U863" s="380">
        <v>0</v>
      </c>
      <c r="V863" s="380">
        <v>12113.5</v>
      </c>
      <c r="W863" s="380">
        <v>16623.36</v>
      </c>
      <c r="X863" s="380">
        <v>8254.7800000000007</v>
      </c>
      <c r="Y863" s="380">
        <v>16623.36</v>
      </c>
      <c r="Z863" s="380">
        <v>8184.97</v>
      </c>
      <c r="AA863" s="376" t="s">
        <v>898</v>
      </c>
      <c r="AB863" s="376" t="s">
        <v>899</v>
      </c>
      <c r="AC863" s="376" t="s">
        <v>900</v>
      </c>
      <c r="AD863" s="376" t="s">
        <v>628</v>
      </c>
      <c r="AE863" s="376" t="s">
        <v>863</v>
      </c>
      <c r="AF863" s="376" t="s">
        <v>393</v>
      </c>
      <c r="AG863" s="376" t="s">
        <v>178</v>
      </c>
      <c r="AH863" s="381">
        <v>19.98</v>
      </c>
      <c r="AI863" s="381">
        <v>7552.2</v>
      </c>
      <c r="AJ863" s="376" t="s">
        <v>179</v>
      </c>
      <c r="AK863" s="376" t="s">
        <v>180</v>
      </c>
      <c r="AL863" s="376" t="s">
        <v>181</v>
      </c>
      <c r="AM863" s="376" t="s">
        <v>182</v>
      </c>
      <c r="AN863" s="376" t="s">
        <v>68</v>
      </c>
      <c r="AO863" s="379">
        <v>80</v>
      </c>
      <c r="AP863" s="385">
        <v>1</v>
      </c>
      <c r="AQ863" s="385">
        <v>0.4</v>
      </c>
      <c r="AR863" s="383" t="s">
        <v>183</v>
      </c>
      <c r="AS863" s="387">
        <f t="shared" si="599"/>
        <v>0.4</v>
      </c>
      <c r="AT863">
        <f t="shared" si="600"/>
        <v>1</v>
      </c>
      <c r="AU863" s="387">
        <f>IF(AT863=0,"",IF(AND(AT863=1,M863="F",SUMIF(C2:C1334,C863,AS2:AS1334)&lt;=1),SUMIF(C2:C1334,C863,AS2:AS1334),IF(AND(AT863=1,M863="F",SUMIF(C2:C1334,C863,AS2:AS1334)&gt;1),1,"")))</f>
        <v>1</v>
      </c>
      <c r="AV863" s="387" t="str">
        <f>IF(AT863=0,"",IF(AND(AT863=3,M863="F",SUMIF(C2:C1334,C863,AS2:AS1334)&lt;=1),SUMIF(C2:C1334,C863,AS2:AS1334),IF(AND(AT863=3,M863="F",SUMIF(C2:C1334,C863,AS2:AS1334)&gt;1),1,"")))</f>
        <v/>
      </c>
      <c r="AW863" s="387">
        <f>SUMIF(C2:C1334,C863,O2:O1334)</f>
        <v>3</v>
      </c>
      <c r="AX863" s="387">
        <f>IF(AND(M863="F",AS863&lt;&gt;0),SUMIF(C2:C1334,C863,W2:W1334),0)</f>
        <v>41558.400000000001</v>
      </c>
      <c r="AY863" s="387">
        <f t="shared" si="601"/>
        <v>16623.36</v>
      </c>
      <c r="AZ863" s="387" t="str">
        <f t="shared" si="602"/>
        <v/>
      </c>
      <c r="BA863" s="387">
        <f t="shared" si="603"/>
        <v>0</v>
      </c>
      <c r="BB863" s="387">
        <f t="shared" si="572"/>
        <v>4660</v>
      </c>
      <c r="BC863" s="387">
        <f t="shared" si="573"/>
        <v>0</v>
      </c>
      <c r="BD863" s="387">
        <f t="shared" si="574"/>
        <v>1030.64832</v>
      </c>
      <c r="BE863" s="387">
        <f t="shared" si="575"/>
        <v>241.03872000000001</v>
      </c>
      <c r="BF863" s="387">
        <f t="shared" si="576"/>
        <v>1984.8291840000002</v>
      </c>
      <c r="BG863" s="387">
        <f t="shared" si="577"/>
        <v>119.85442560000001</v>
      </c>
      <c r="BH863" s="387">
        <f t="shared" si="578"/>
        <v>81.454464000000002</v>
      </c>
      <c r="BI863" s="387">
        <f t="shared" si="579"/>
        <v>92.010297600000001</v>
      </c>
      <c r="BJ863" s="387">
        <f t="shared" si="580"/>
        <v>44.883072000000006</v>
      </c>
      <c r="BK863" s="387">
        <f t="shared" si="581"/>
        <v>0</v>
      </c>
      <c r="BL863" s="387">
        <f t="shared" si="604"/>
        <v>3594.7184831999998</v>
      </c>
      <c r="BM863" s="387">
        <f t="shared" si="605"/>
        <v>0</v>
      </c>
      <c r="BN863" s="387">
        <f t="shared" si="582"/>
        <v>4660</v>
      </c>
      <c r="BO863" s="387">
        <f t="shared" si="583"/>
        <v>0</v>
      </c>
      <c r="BP863" s="387">
        <f t="shared" si="584"/>
        <v>1030.64832</v>
      </c>
      <c r="BQ863" s="387">
        <f t="shared" si="585"/>
        <v>241.03872000000001</v>
      </c>
      <c r="BR863" s="387">
        <f t="shared" si="586"/>
        <v>1984.8291840000002</v>
      </c>
      <c r="BS863" s="387">
        <f t="shared" si="587"/>
        <v>119.85442560000001</v>
      </c>
      <c r="BT863" s="387">
        <f t="shared" si="588"/>
        <v>0</v>
      </c>
      <c r="BU863" s="387">
        <f t="shared" si="589"/>
        <v>92.010297600000001</v>
      </c>
      <c r="BV863" s="387">
        <f t="shared" si="590"/>
        <v>56.519424000000001</v>
      </c>
      <c r="BW863" s="387">
        <f t="shared" si="591"/>
        <v>0</v>
      </c>
      <c r="BX863" s="387">
        <f t="shared" si="606"/>
        <v>3524.9003711999999</v>
      </c>
      <c r="BY863" s="387">
        <f t="shared" si="607"/>
        <v>0</v>
      </c>
      <c r="BZ863" s="387">
        <f t="shared" si="608"/>
        <v>0</v>
      </c>
      <c r="CA863" s="387">
        <f t="shared" si="609"/>
        <v>0</v>
      </c>
      <c r="CB863" s="387">
        <f t="shared" si="610"/>
        <v>0</v>
      </c>
      <c r="CC863" s="387">
        <f t="shared" si="592"/>
        <v>0</v>
      </c>
      <c r="CD863" s="387">
        <f t="shared" si="593"/>
        <v>0</v>
      </c>
      <c r="CE863" s="387">
        <f t="shared" si="594"/>
        <v>0</v>
      </c>
      <c r="CF863" s="387">
        <f t="shared" si="595"/>
        <v>-81.454464000000002</v>
      </c>
      <c r="CG863" s="387">
        <f t="shared" si="596"/>
        <v>0</v>
      </c>
      <c r="CH863" s="387">
        <f t="shared" si="597"/>
        <v>11.636351999999995</v>
      </c>
      <c r="CI863" s="387">
        <f t="shared" si="598"/>
        <v>0</v>
      </c>
      <c r="CJ863" s="387">
        <f t="shared" si="611"/>
        <v>-69.818112000000013</v>
      </c>
      <c r="CK863" s="387" t="str">
        <f t="shared" si="612"/>
        <v/>
      </c>
      <c r="CL863" s="387" t="str">
        <f t="shared" si="613"/>
        <v/>
      </c>
      <c r="CM863" s="387" t="str">
        <f t="shared" si="614"/>
        <v/>
      </c>
      <c r="CN863" s="387" t="str">
        <f t="shared" si="615"/>
        <v>0348-31</v>
      </c>
    </row>
    <row r="864" spans="1:92" ht="15.75" thickBot="1" x14ac:dyDescent="0.3">
      <c r="A864" s="376" t="s">
        <v>161</v>
      </c>
      <c r="B864" s="376" t="s">
        <v>162</v>
      </c>
      <c r="C864" s="376" t="s">
        <v>2052</v>
      </c>
      <c r="D864" s="376" t="s">
        <v>700</v>
      </c>
      <c r="E864" s="376" t="s">
        <v>224</v>
      </c>
      <c r="F864" s="382" t="s">
        <v>225</v>
      </c>
      <c r="G864" s="376" t="s">
        <v>1945</v>
      </c>
      <c r="H864" s="378"/>
      <c r="I864" s="378"/>
      <c r="J864" s="376" t="s">
        <v>215</v>
      </c>
      <c r="K864" s="376" t="s">
        <v>701</v>
      </c>
      <c r="L864" s="376" t="s">
        <v>170</v>
      </c>
      <c r="M864" s="376" t="s">
        <v>171</v>
      </c>
      <c r="N864" s="376" t="s">
        <v>172</v>
      </c>
      <c r="O864" s="379">
        <v>1</v>
      </c>
      <c r="P864" s="385">
        <v>1</v>
      </c>
      <c r="Q864" s="385">
        <v>1</v>
      </c>
      <c r="R864" s="380">
        <v>80</v>
      </c>
      <c r="S864" s="385">
        <v>1</v>
      </c>
      <c r="T864" s="380">
        <v>33985.65</v>
      </c>
      <c r="U864" s="380">
        <v>883.38</v>
      </c>
      <c r="V864" s="380">
        <v>15531.93</v>
      </c>
      <c r="W864" s="380">
        <v>49025.599999999999</v>
      </c>
      <c r="X864" s="380">
        <v>22251.75</v>
      </c>
      <c r="Y864" s="380">
        <v>49025.599999999999</v>
      </c>
      <c r="Z864" s="380">
        <v>22045.85</v>
      </c>
      <c r="AA864" s="376" t="s">
        <v>2053</v>
      </c>
      <c r="AB864" s="376" t="s">
        <v>2054</v>
      </c>
      <c r="AC864" s="376" t="s">
        <v>2055</v>
      </c>
      <c r="AD864" s="376" t="s">
        <v>279</v>
      </c>
      <c r="AE864" s="376" t="s">
        <v>701</v>
      </c>
      <c r="AF864" s="376" t="s">
        <v>177</v>
      </c>
      <c r="AG864" s="376" t="s">
        <v>178</v>
      </c>
      <c r="AH864" s="381">
        <v>23.57</v>
      </c>
      <c r="AI864" s="381">
        <v>17740.8</v>
      </c>
      <c r="AJ864" s="376" t="s">
        <v>179</v>
      </c>
      <c r="AK864" s="376" t="s">
        <v>180</v>
      </c>
      <c r="AL864" s="376" t="s">
        <v>181</v>
      </c>
      <c r="AM864" s="376" t="s">
        <v>182</v>
      </c>
      <c r="AN864" s="376" t="s">
        <v>68</v>
      </c>
      <c r="AO864" s="379">
        <v>80</v>
      </c>
      <c r="AP864" s="385">
        <v>1</v>
      </c>
      <c r="AQ864" s="385">
        <v>1</v>
      </c>
      <c r="AR864" s="383" t="s">
        <v>183</v>
      </c>
      <c r="AS864" s="387">
        <f t="shared" si="599"/>
        <v>1</v>
      </c>
      <c r="AT864">
        <f t="shared" si="600"/>
        <v>1</v>
      </c>
      <c r="AU864" s="387">
        <f>IF(AT864=0,"",IF(AND(AT864=1,M864="F",SUMIF(C2:C1334,C864,AS2:AS1334)&lt;=1),SUMIF(C2:C1334,C864,AS2:AS1334),IF(AND(AT864=1,M864="F",SUMIF(C2:C1334,C864,AS2:AS1334)&gt;1),1,"")))</f>
        <v>1</v>
      </c>
      <c r="AV864" s="387" t="str">
        <f>IF(AT864=0,"",IF(AND(AT864=3,M864="F",SUMIF(C2:C1334,C864,AS2:AS1334)&lt;=1),SUMIF(C2:C1334,C864,AS2:AS1334),IF(AND(AT864=3,M864="F",SUMIF(C2:C1334,C864,AS2:AS1334)&gt;1),1,"")))</f>
        <v/>
      </c>
      <c r="AW864" s="387">
        <f>SUMIF(C2:C1334,C864,O2:O1334)</f>
        <v>1</v>
      </c>
      <c r="AX864" s="387">
        <f>IF(AND(M864="F",AS864&lt;&gt;0),SUMIF(C2:C1334,C864,W2:W1334),0)</f>
        <v>49025.599999999999</v>
      </c>
      <c r="AY864" s="387">
        <f t="shared" si="601"/>
        <v>49025.599999999999</v>
      </c>
      <c r="AZ864" s="387" t="str">
        <f t="shared" si="602"/>
        <v/>
      </c>
      <c r="BA864" s="387">
        <f t="shared" si="603"/>
        <v>0</v>
      </c>
      <c r="BB864" s="387">
        <f t="shared" si="572"/>
        <v>11650</v>
      </c>
      <c r="BC864" s="387">
        <f t="shared" si="573"/>
        <v>0</v>
      </c>
      <c r="BD864" s="387">
        <f t="shared" si="574"/>
        <v>3039.5871999999999</v>
      </c>
      <c r="BE864" s="387">
        <f t="shared" si="575"/>
        <v>710.87120000000004</v>
      </c>
      <c r="BF864" s="387">
        <f t="shared" si="576"/>
        <v>5853.6566400000002</v>
      </c>
      <c r="BG864" s="387">
        <f t="shared" si="577"/>
        <v>353.47457600000001</v>
      </c>
      <c r="BH864" s="387">
        <f t="shared" si="578"/>
        <v>240.22543999999999</v>
      </c>
      <c r="BI864" s="387">
        <f t="shared" si="579"/>
        <v>271.356696</v>
      </c>
      <c r="BJ864" s="387">
        <f t="shared" si="580"/>
        <v>132.36912000000001</v>
      </c>
      <c r="BK864" s="387">
        <f t="shared" si="581"/>
        <v>0</v>
      </c>
      <c r="BL864" s="387">
        <f t="shared" si="604"/>
        <v>10601.540872000001</v>
      </c>
      <c r="BM864" s="387">
        <f t="shared" si="605"/>
        <v>0</v>
      </c>
      <c r="BN864" s="387">
        <f t="shared" si="582"/>
        <v>11650</v>
      </c>
      <c r="BO864" s="387">
        <f t="shared" si="583"/>
        <v>0</v>
      </c>
      <c r="BP864" s="387">
        <f t="shared" si="584"/>
        <v>3039.5871999999999</v>
      </c>
      <c r="BQ864" s="387">
        <f t="shared" si="585"/>
        <v>710.87120000000004</v>
      </c>
      <c r="BR864" s="387">
        <f t="shared" si="586"/>
        <v>5853.6566400000002</v>
      </c>
      <c r="BS864" s="387">
        <f t="shared" si="587"/>
        <v>353.47457600000001</v>
      </c>
      <c r="BT864" s="387">
        <f t="shared" si="588"/>
        <v>0</v>
      </c>
      <c r="BU864" s="387">
        <f t="shared" si="589"/>
        <v>271.356696</v>
      </c>
      <c r="BV864" s="387">
        <f t="shared" si="590"/>
        <v>166.68704</v>
      </c>
      <c r="BW864" s="387">
        <f t="shared" si="591"/>
        <v>0</v>
      </c>
      <c r="BX864" s="387">
        <f t="shared" si="606"/>
        <v>10395.633352000003</v>
      </c>
      <c r="BY864" s="387">
        <f t="shared" si="607"/>
        <v>0</v>
      </c>
      <c r="BZ864" s="387">
        <f t="shared" si="608"/>
        <v>0</v>
      </c>
      <c r="CA864" s="387">
        <f t="shared" si="609"/>
        <v>0</v>
      </c>
      <c r="CB864" s="387">
        <f t="shared" si="610"/>
        <v>0</v>
      </c>
      <c r="CC864" s="387">
        <f t="shared" si="592"/>
        <v>0</v>
      </c>
      <c r="CD864" s="387">
        <f t="shared" si="593"/>
        <v>0</v>
      </c>
      <c r="CE864" s="387">
        <f t="shared" si="594"/>
        <v>0</v>
      </c>
      <c r="CF864" s="387">
        <f t="shared" si="595"/>
        <v>-240.22543999999999</v>
      </c>
      <c r="CG864" s="387">
        <f t="shared" si="596"/>
        <v>0</v>
      </c>
      <c r="CH864" s="387">
        <f t="shared" si="597"/>
        <v>34.31791999999998</v>
      </c>
      <c r="CI864" s="387">
        <f t="shared" si="598"/>
        <v>0</v>
      </c>
      <c r="CJ864" s="387">
        <f t="shared" si="611"/>
        <v>-205.90752000000001</v>
      </c>
      <c r="CK864" s="387" t="str">
        <f t="shared" si="612"/>
        <v/>
      </c>
      <c r="CL864" s="387" t="str">
        <f t="shared" si="613"/>
        <v/>
      </c>
      <c r="CM864" s="387" t="str">
        <f t="shared" si="614"/>
        <v/>
      </c>
      <c r="CN864" s="387" t="str">
        <f t="shared" si="615"/>
        <v>0348-31</v>
      </c>
    </row>
    <row r="865" spans="1:92" ht="15.75" thickBot="1" x14ac:dyDescent="0.3">
      <c r="A865" s="376" t="s">
        <v>161</v>
      </c>
      <c r="B865" s="376" t="s">
        <v>162</v>
      </c>
      <c r="C865" s="376" t="s">
        <v>563</v>
      </c>
      <c r="D865" s="376" t="s">
        <v>238</v>
      </c>
      <c r="E865" s="376" t="s">
        <v>224</v>
      </c>
      <c r="F865" s="382" t="s">
        <v>225</v>
      </c>
      <c r="G865" s="376" t="s">
        <v>1945</v>
      </c>
      <c r="H865" s="378"/>
      <c r="I865" s="378"/>
      <c r="J865" s="376" t="s">
        <v>239</v>
      </c>
      <c r="K865" s="376" t="s">
        <v>343</v>
      </c>
      <c r="L865" s="376" t="s">
        <v>296</v>
      </c>
      <c r="M865" s="376" t="s">
        <v>171</v>
      </c>
      <c r="N865" s="376" t="s">
        <v>172</v>
      </c>
      <c r="O865" s="379">
        <v>1</v>
      </c>
      <c r="P865" s="385">
        <v>0.05</v>
      </c>
      <c r="Q865" s="385">
        <v>0.05</v>
      </c>
      <c r="R865" s="380">
        <v>80</v>
      </c>
      <c r="S865" s="385">
        <v>0.05</v>
      </c>
      <c r="T865" s="380">
        <v>3395.33</v>
      </c>
      <c r="U865" s="380">
        <v>0</v>
      </c>
      <c r="V865" s="380">
        <v>1457.61</v>
      </c>
      <c r="W865" s="380">
        <v>2830.88</v>
      </c>
      <c r="X865" s="380">
        <v>1194.67</v>
      </c>
      <c r="Y865" s="380">
        <v>2830.88</v>
      </c>
      <c r="Z865" s="380">
        <v>1182.78</v>
      </c>
      <c r="AA865" s="376" t="s">
        <v>564</v>
      </c>
      <c r="AB865" s="376" t="s">
        <v>565</v>
      </c>
      <c r="AC865" s="376" t="s">
        <v>260</v>
      </c>
      <c r="AD865" s="376" t="s">
        <v>566</v>
      </c>
      <c r="AE865" s="376" t="s">
        <v>343</v>
      </c>
      <c r="AF865" s="376" t="s">
        <v>301</v>
      </c>
      <c r="AG865" s="376" t="s">
        <v>178</v>
      </c>
      <c r="AH865" s="381">
        <v>27.22</v>
      </c>
      <c r="AI865" s="381">
        <v>46199.6</v>
      </c>
      <c r="AJ865" s="376" t="s">
        <v>179</v>
      </c>
      <c r="AK865" s="376" t="s">
        <v>180</v>
      </c>
      <c r="AL865" s="376" t="s">
        <v>181</v>
      </c>
      <c r="AM865" s="376" t="s">
        <v>182</v>
      </c>
      <c r="AN865" s="376" t="s">
        <v>68</v>
      </c>
      <c r="AO865" s="379">
        <v>80</v>
      </c>
      <c r="AP865" s="385">
        <v>1</v>
      </c>
      <c r="AQ865" s="385">
        <v>0.05</v>
      </c>
      <c r="AR865" s="383" t="s">
        <v>183</v>
      </c>
      <c r="AS865" s="387">
        <f t="shared" si="599"/>
        <v>0.05</v>
      </c>
      <c r="AT865">
        <f t="shared" si="600"/>
        <v>1</v>
      </c>
      <c r="AU865" s="387">
        <f>IF(AT865=0,"",IF(AND(AT865=1,M865="F",SUMIF(C2:C1334,C865,AS2:AS1334)&lt;=1),SUMIF(C2:C1334,C865,AS2:AS1334),IF(AND(AT865=1,M865="F",SUMIF(C2:C1334,C865,AS2:AS1334)&gt;1),1,"")))</f>
        <v>1</v>
      </c>
      <c r="AV865" s="387" t="str">
        <f>IF(AT865=0,"",IF(AND(AT865=3,M865="F",SUMIF(C2:C1334,C865,AS2:AS1334)&lt;=1),SUMIF(C2:C1334,C865,AS2:AS1334),IF(AND(AT865=3,M865="F",SUMIF(C2:C1334,C865,AS2:AS1334)&gt;1),1,"")))</f>
        <v/>
      </c>
      <c r="AW865" s="387">
        <f>SUMIF(C2:C1334,C865,O2:O1334)</f>
        <v>3</v>
      </c>
      <c r="AX865" s="387">
        <f>IF(AND(M865="F",AS865&lt;&gt;0),SUMIF(C2:C1334,C865,W2:W1334),0)</f>
        <v>56617.599999999999</v>
      </c>
      <c r="AY865" s="387">
        <f t="shared" si="601"/>
        <v>2830.88</v>
      </c>
      <c r="AZ865" s="387" t="str">
        <f t="shared" si="602"/>
        <v/>
      </c>
      <c r="BA865" s="387">
        <f t="shared" si="603"/>
        <v>0</v>
      </c>
      <c r="BB865" s="387">
        <f t="shared" si="572"/>
        <v>582.5</v>
      </c>
      <c r="BC865" s="387">
        <f t="shared" si="573"/>
        <v>0</v>
      </c>
      <c r="BD865" s="387">
        <f t="shared" si="574"/>
        <v>175.51456000000002</v>
      </c>
      <c r="BE865" s="387">
        <f t="shared" si="575"/>
        <v>41.047760000000004</v>
      </c>
      <c r="BF865" s="387">
        <f t="shared" si="576"/>
        <v>338.00707200000005</v>
      </c>
      <c r="BG865" s="387">
        <f t="shared" si="577"/>
        <v>20.4106448</v>
      </c>
      <c r="BH865" s="387">
        <f t="shared" si="578"/>
        <v>13.871312</v>
      </c>
      <c r="BI865" s="387">
        <f t="shared" si="579"/>
        <v>15.6689208</v>
      </c>
      <c r="BJ865" s="387">
        <f t="shared" si="580"/>
        <v>7.6433760000000008</v>
      </c>
      <c r="BK865" s="387">
        <f t="shared" si="581"/>
        <v>0</v>
      </c>
      <c r="BL865" s="387">
        <f t="shared" si="604"/>
        <v>612.16364560000011</v>
      </c>
      <c r="BM865" s="387">
        <f t="shared" si="605"/>
        <v>0</v>
      </c>
      <c r="BN865" s="387">
        <f t="shared" si="582"/>
        <v>582.5</v>
      </c>
      <c r="BO865" s="387">
        <f t="shared" si="583"/>
        <v>0</v>
      </c>
      <c r="BP865" s="387">
        <f t="shared" si="584"/>
        <v>175.51456000000002</v>
      </c>
      <c r="BQ865" s="387">
        <f t="shared" si="585"/>
        <v>41.047760000000004</v>
      </c>
      <c r="BR865" s="387">
        <f t="shared" si="586"/>
        <v>338.00707200000005</v>
      </c>
      <c r="BS865" s="387">
        <f t="shared" si="587"/>
        <v>20.4106448</v>
      </c>
      <c r="BT865" s="387">
        <f t="shared" si="588"/>
        <v>0</v>
      </c>
      <c r="BU865" s="387">
        <f t="shared" si="589"/>
        <v>15.6689208</v>
      </c>
      <c r="BV865" s="387">
        <f t="shared" si="590"/>
        <v>9.6249920000000007</v>
      </c>
      <c r="BW865" s="387">
        <f t="shared" si="591"/>
        <v>0</v>
      </c>
      <c r="BX865" s="387">
        <f t="shared" si="606"/>
        <v>600.27394960000015</v>
      </c>
      <c r="BY865" s="387">
        <f t="shared" si="607"/>
        <v>0</v>
      </c>
      <c r="BZ865" s="387">
        <f t="shared" si="608"/>
        <v>0</v>
      </c>
      <c r="CA865" s="387">
        <f t="shared" si="609"/>
        <v>0</v>
      </c>
      <c r="CB865" s="387">
        <f t="shared" si="610"/>
        <v>0</v>
      </c>
      <c r="CC865" s="387">
        <f t="shared" si="592"/>
        <v>0</v>
      </c>
      <c r="CD865" s="387">
        <f t="shared" si="593"/>
        <v>0</v>
      </c>
      <c r="CE865" s="387">
        <f t="shared" si="594"/>
        <v>0</v>
      </c>
      <c r="CF865" s="387">
        <f t="shared" si="595"/>
        <v>-13.871312</v>
      </c>
      <c r="CG865" s="387">
        <f t="shared" si="596"/>
        <v>0</v>
      </c>
      <c r="CH865" s="387">
        <f t="shared" si="597"/>
        <v>1.9816159999999992</v>
      </c>
      <c r="CI865" s="387">
        <f t="shared" si="598"/>
        <v>0</v>
      </c>
      <c r="CJ865" s="387">
        <f t="shared" si="611"/>
        <v>-11.889696000000001</v>
      </c>
      <c r="CK865" s="387" t="str">
        <f t="shared" si="612"/>
        <v/>
      </c>
      <c r="CL865" s="387" t="str">
        <f t="shared" si="613"/>
        <v/>
      </c>
      <c r="CM865" s="387" t="str">
        <f t="shared" si="614"/>
        <v/>
      </c>
      <c r="CN865" s="387" t="str">
        <f t="shared" si="615"/>
        <v>0348-31</v>
      </c>
    </row>
    <row r="866" spans="1:92" ht="15.75" thickBot="1" x14ac:dyDescent="0.3">
      <c r="A866" s="376" t="s">
        <v>161</v>
      </c>
      <c r="B866" s="376" t="s">
        <v>162</v>
      </c>
      <c r="C866" s="376" t="s">
        <v>1263</v>
      </c>
      <c r="D866" s="376" t="s">
        <v>862</v>
      </c>
      <c r="E866" s="376" t="s">
        <v>224</v>
      </c>
      <c r="F866" s="382" t="s">
        <v>225</v>
      </c>
      <c r="G866" s="376" t="s">
        <v>1945</v>
      </c>
      <c r="H866" s="378"/>
      <c r="I866" s="378"/>
      <c r="J866" s="376" t="s">
        <v>239</v>
      </c>
      <c r="K866" s="376" t="s">
        <v>863</v>
      </c>
      <c r="L866" s="376" t="s">
        <v>252</v>
      </c>
      <c r="M866" s="376" t="s">
        <v>171</v>
      </c>
      <c r="N866" s="376" t="s">
        <v>172</v>
      </c>
      <c r="O866" s="379">
        <v>1</v>
      </c>
      <c r="P866" s="385">
        <v>0.3</v>
      </c>
      <c r="Q866" s="385">
        <v>0.3</v>
      </c>
      <c r="R866" s="380">
        <v>80</v>
      </c>
      <c r="S866" s="385">
        <v>0.3</v>
      </c>
      <c r="T866" s="380">
        <v>11470.16</v>
      </c>
      <c r="U866" s="380">
        <v>0</v>
      </c>
      <c r="V866" s="380">
        <v>6392.85</v>
      </c>
      <c r="W866" s="380">
        <v>11612.64</v>
      </c>
      <c r="X866" s="380">
        <v>6006.22</v>
      </c>
      <c r="Y866" s="380">
        <v>11612.64</v>
      </c>
      <c r="Z866" s="380">
        <v>5957.45</v>
      </c>
      <c r="AA866" s="376" t="s">
        <v>1264</v>
      </c>
      <c r="AB866" s="376" t="s">
        <v>1265</v>
      </c>
      <c r="AC866" s="376" t="s">
        <v>1266</v>
      </c>
      <c r="AD866" s="376" t="s">
        <v>296</v>
      </c>
      <c r="AE866" s="376" t="s">
        <v>863</v>
      </c>
      <c r="AF866" s="376" t="s">
        <v>393</v>
      </c>
      <c r="AG866" s="376" t="s">
        <v>178</v>
      </c>
      <c r="AH866" s="381">
        <v>18.61</v>
      </c>
      <c r="AI866" s="381">
        <v>2054.3000000000002</v>
      </c>
      <c r="AJ866" s="376" t="s">
        <v>179</v>
      </c>
      <c r="AK866" s="376" t="s">
        <v>180</v>
      </c>
      <c r="AL866" s="376" t="s">
        <v>181</v>
      </c>
      <c r="AM866" s="376" t="s">
        <v>182</v>
      </c>
      <c r="AN866" s="376" t="s">
        <v>68</v>
      </c>
      <c r="AO866" s="379">
        <v>80</v>
      </c>
      <c r="AP866" s="385">
        <v>1</v>
      </c>
      <c r="AQ866" s="385">
        <v>0.3</v>
      </c>
      <c r="AR866" s="383" t="s">
        <v>183</v>
      </c>
      <c r="AS866" s="387">
        <f t="shared" si="599"/>
        <v>0.3</v>
      </c>
      <c r="AT866">
        <f t="shared" si="600"/>
        <v>1</v>
      </c>
      <c r="AU866" s="387">
        <f>IF(AT866=0,"",IF(AND(AT866=1,M866="F",SUMIF(C2:C1334,C866,AS2:AS1334)&lt;=1),SUMIF(C2:C1334,C866,AS2:AS1334),IF(AND(AT866=1,M866="F",SUMIF(C2:C1334,C866,AS2:AS1334)&gt;1),1,"")))</f>
        <v>1</v>
      </c>
      <c r="AV866" s="387" t="str">
        <f>IF(AT866=0,"",IF(AND(AT866=3,M866="F",SUMIF(C2:C1334,C866,AS2:AS1334)&lt;=1),SUMIF(C2:C1334,C866,AS2:AS1334),IF(AND(AT866=3,M866="F",SUMIF(C2:C1334,C866,AS2:AS1334)&gt;1),1,"")))</f>
        <v/>
      </c>
      <c r="AW866" s="387">
        <f>SUMIF(C2:C1334,C866,O2:O1334)</f>
        <v>2</v>
      </c>
      <c r="AX866" s="387">
        <f>IF(AND(M866="F",AS866&lt;&gt;0),SUMIF(C2:C1334,C866,W2:W1334),0)</f>
        <v>38708.800000000003</v>
      </c>
      <c r="AY866" s="387">
        <f t="shared" si="601"/>
        <v>11612.64</v>
      </c>
      <c r="AZ866" s="387" t="str">
        <f t="shared" si="602"/>
        <v/>
      </c>
      <c r="BA866" s="387">
        <f t="shared" si="603"/>
        <v>0</v>
      </c>
      <c r="BB866" s="387">
        <f t="shared" si="572"/>
        <v>3495</v>
      </c>
      <c r="BC866" s="387">
        <f t="shared" si="573"/>
        <v>0</v>
      </c>
      <c r="BD866" s="387">
        <f t="shared" si="574"/>
        <v>719.98367999999994</v>
      </c>
      <c r="BE866" s="387">
        <f t="shared" si="575"/>
        <v>168.38328000000001</v>
      </c>
      <c r="BF866" s="387">
        <f t="shared" si="576"/>
        <v>1386.5492160000001</v>
      </c>
      <c r="BG866" s="387">
        <f t="shared" si="577"/>
        <v>83.727134399999997</v>
      </c>
      <c r="BH866" s="387">
        <f t="shared" si="578"/>
        <v>56.901935999999992</v>
      </c>
      <c r="BI866" s="387">
        <f t="shared" si="579"/>
        <v>64.275962399999997</v>
      </c>
      <c r="BJ866" s="387">
        <f t="shared" si="580"/>
        <v>31.354127999999999</v>
      </c>
      <c r="BK866" s="387">
        <f t="shared" si="581"/>
        <v>0</v>
      </c>
      <c r="BL866" s="387">
        <f t="shared" si="604"/>
        <v>2511.1753368000004</v>
      </c>
      <c r="BM866" s="387">
        <f t="shared" si="605"/>
        <v>0</v>
      </c>
      <c r="BN866" s="387">
        <f t="shared" si="582"/>
        <v>3495</v>
      </c>
      <c r="BO866" s="387">
        <f t="shared" si="583"/>
        <v>0</v>
      </c>
      <c r="BP866" s="387">
        <f t="shared" si="584"/>
        <v>719.98367999999994</v>
      </c>
      <c r="BQ866" s="387">
        <f t="shared" si="585"/>
        <v>168.38328000000001</v>
      </c>
      <c r="BR866" s="387">
        <f t="shared" si="586"/>
        <v>1386.5492160000001</v>
      </c>
      <c r="BS866" s="387">
        <f t="shared" si="587"/>
        <v>83.727134399999997</v>
      </c>
      <c r="BT866" s="387">
        <f t="shared" si="588"/>
        <v>0</v>
      </c>
      <c r="BU866" s="387">
        <f t="shared" si="589"/>
        <v>64.275962399999997</v>
      </c>
      <c r="BV866" s="387">
        <f t="shared" si="590"/>
        <v>39.482975999999994</v>
      </c>
      <c r="BW866" s="387">
        <f t="shared" si="591"/>
        <v>0</v>
      </c>
      <c r="BX866" s="387">
        <f t="shared" si="606"/>
        <v>2462.4022488000001</v>
      </c>
      <c r="BY866" s="387">
        <f t="shared" si="607"/>
        <v>0</v>
      </c>
      <c r="BZ866" s="387">
        <f t="shared" si="608"/>
        <v>0</v>
      </c>
      <c r="CA866" s="387">
        <f t="shared" si="609"/>
        <v>0</v>
      </c>
      <c r="CB866" s="387">
        <f t="shared" si="610"/>
        <v>0</v>
      </c>
      <c r="CC866" s="387">
        <f t="shared" si="592"/>
        <v>0</v>
      </c>
      <c r="CD866" s="387">
        <f t="shared" si="593"/>
        <v>0</v>
      </c>
      <c r="CE866" s="387">
        <f t="shared" si="594"/>
        <v>0</v>
      </c>
      <c r="CF866" s="387">
        <f t="shared" si="595"/>
        <v>-56.901935999999992</v>
      </c>
      <c r="CG866" s="387">
        <f t="shared" si="596"/>
        <v>0</v>
      </c>
      <c r="CH866" s="387">
        <f t="shared" si="597"/>
        <v>8.1288479999999961</v>
      </c>
      <c r="CI866" s="387">
        <f t="shared" si="598"/>
        <v>0</v>
      </c>
      <c r="CJ866" s="387">
        <f t="shared" si="611"/>
        <v>-48.773087999999994</v>
      </c>
      <c r="CK866" s="387" t="str">
        <f t="shared" si="612"/>
        <v/>
      </c>
      <c r="CL866" s="387" t="str">
        <f t="shared" si="613"/>
        <v/>
      </c>
      <c r="CM866" s="387" t="str">
        <f t="shared" si="614"/>
        <v/>
      </c>
      <c r="CN866" s="387" t="str">
        <f t="shared" si="615"/>
        <v>0348-31</v>
      </c>
    </row>
    <row r="867" spans="1:92" ht="15.75" thickBot="1" x14ac:dyDescent="0.3">
      <c r="A867" s="376" t="s">
        <v>161</v>
      </c>
      <c r="B867" s="376" t="s">
        <v>162</v>
      </c>
      <c r="C867" s="376" t="s">
        <v>1146</v>
      </c>
      <c r="D867" s="376" t="s">
        <v>862</v>
      </c>
      <c r="E867" s="376" t="s">
        <v>224</v>
      </c>
      <c r="F867" s="382" t="s">
        <v>225</v>
      </c>
      <c r="G867" s="376" t="s">
        <v>1945</v>
      </c>
      <c r="H867" s="378"/>
      <c r="I867" s="378"/>
      <c r="J867" s="376" t="s">
        <v>239</v>
      </c>
      <c r="K867" s="376" t="s">
        <v>863</v>
      </c>
      <c r="L867" s="376" t="s">
        <v>252</v>
      </c>
      <c r="M867" s="376" t="s">
        <v>171</v>
      </c>
      <c r="N867" s="376" t="s">
        <v>172</v>
      </c>
      <c r="O867" s="379">
        <v>1</v>
      </c>
      <c r="P867" s="385">
        <v>0.35</v>
      </c>
      <c r="Q867" s="385">
        <v>0.35</v>
      </c>
      <c r="R867" s="380">
        <v>80</v>
      </c>
      <c r="S867" s="385">
        <v>0.35</v>
      </c>
      <c r="T867" s="380">
        <v>11613.64</v>
      </c>
      <c r="U867" s="380">
        <v>0</v>
      </c>
      <c r="V867" s="380">
        <v>6145.55</v>
      </c>
      <c r="W867" s="380">
        <v>13788.32</v>
      </c>
      <c r="X867" s="380">
        <v>7059.2</v>
      </c>
      <c r="Y867" s="380">
        <v>13788.32</v>
      </c>
      <c r="Z867" s="380">
        <v>7001.3</v>
      </c>
      <c r="AA867" s="376" t="s">
        <v>1147</v>
      </c>
      <c r="AB867" s="376" t="s">
        <v>1148</v>
      </c>
      <c r="AC867" s="376" t="s">
        <v>889</v>
      </c>
      <c r="AD867" s="376" t="s">
        <v>1149</v>
      </c>
      <c r="AE867" s="376" t="s">
        <v>863</v>
      </c>
      <c r="AF867" s="376" t="s">
        <v>393</v>
      </c>
      <c r="AG867" s="376" t="s">
        <v>178</v>
      </c>
      <c r="AH867" s="381">
        <v>18.940000000000001</v>
      </c>
      <c r="AI867" s="379">
        <v>3600</v>
      </c>
      <c r="AJ867" s="376" t="s">
        <v>179</v>
      </c>
      <c r="AK867" s="376" t="s">
        <v>180</v>
      </c>
      <c r="AL867" s="376" t="s">
        <v>181</v>
      </c>
      <c r="AM867" s="376" t="s">
        <v>182</v>
      </c>
      <c r="AN867" s="376" t="s">
        <v>68</v>
      </c>
      <c r="AO867" s="379">
        <v>80</v>
      </c>
      <c r="AP867" s="385">
        <v>1</v>
      </c>
      <c r="AQ867" s="385">
        <v>0.35</v>
      </c>
      <c r="AR867" s="383" t="s">
        <v>183</v>
      </c>
      <c r="AS867" s="387">
        <f t="shared" si="599"/>
        <v>0.35</v>
      </c>
      <c r="AT867">
        <f t="shared" si="600"/>
        <v>1</v>
      </c>
      <c r="AU867" s="387">
        <f>IF(AT867=0,"",IF(AND(AT867=1,M867="F",SUMIF(C2:C1334,C867,AS2:AS1334)&lt;=1),SUMIF(C2:C1334,C867,AS2:AS1334),IF(AND(AT867=1,M867="F",SUMIF(C2:C1334,C867,AS2:AS1334)&gt;1),1,"")))</f>
        <v>1</v>
      </c>
      <c r="AV867" s="387" t="str">
        <f>IF(AT867=0,"",IF(AND(AT867=3,M867="F",SUMIF(C2:C1334,C867,AS2:AS1334)&lt;=1),SUMIF(C2:C1334,C867,AS2:AS1334),IF(AND(AT867=3,M867="F",SUMIF(C2:C1334,C867,AS2:AS1334)&gt;1),1,"")))</f>
        <v/>
      </c>
      <c r="AW867" s="387">
        <f>SUMIF(C2:C1334,C867,O2:O1334)</f>
        <v>3</v>
      </c>
      <c r="AX867" s="387">
        <f>IF(AND(M867="F",AS867&lt;&gt;0),SUMIF(C2:C1334,C867,W2:W1334),0)</f>
        <v>39395.199999999997</v>
      </c>
      <c r="AY867" s="387">
        <f t="shared" si="601"/>
        <v>13788.32</v>
      </c>
      <c r="AZ867" s="387" t="str">
        <f t="shared" si="602"/>
        <v/>
      </c>
      <c r="BA867" s="387">
        <f t="shared" si="603"/>
        <v>0</v>
      </c>
      <c r="BB867" s="387">
        <f t="shared" si="572"/>
        <v>4077.4999999999995</v>
      </c>
      <c r="BC867" s="387">
        <f t="shared" si="573"/>
        <v>0</v>
      </c>
      <c r="BD867" s="387">
        <f t="shared" si="574"/>
        <v>854.87583999999993</v>
      </c>
      <c r="BE867" s="387">
        <f t="shared" si="575"/>
        <v>199.93064000000001</v>
      </c>
      <c r="BF867" s="387">
        <f t="shared" si="576"/>
        <v>1646.3254080000002</v>
      </c>
      <c r="BG867" s="387">
        <f t="shared" si="577"/>
        <v>99.413787200000002</v>
      </c>
      <c r="BH867" s="387">
        <f t="shared" si="578"/>
        <v>67.562767999999991</v>
      </c>
      <c r="BI867" s="387">
        <f t="shared" si="579"/>
        <v>76.318351199999995</v>
      </c>
      <c r="BJ867" s="387">
        <f t="shared" si="580"/>
        <v>37.228464000000002</v>
      </c>
      <c r="BK867" s="387">
        <f t="shared" si="581"/>
        <v>0</v>
      </c>
      <c r="BL867" s="387">
        <f t="shared" si="604"/>
        <v>2981.6552583999996</v>
      </c>
      <c r="BM867" s="387">
        <f t="shared" si="605"/>
        <v>0</v>
      </c>
      <c r="BN867" s="387">
        <f t="shared" si="582"/>
        <v>4077.4999999999995</v>
      </c>
      <c r="BO867" s="387">
        <f t="shared" si="583"/>
        <v>0</v>
      </c>
      <c r="BP867" s="387">
        <f t="shared" si="584"/>
        <v>854.87583999999993</v>
      </c>
      <c r="BQ867" s="387">
        <f t="shared" si="585"/>
        <v>199.93064000000001</v>
      </c>
      <c r="BR867" s="387">
        <f t="shared" si="586"/>
        <v>1646.3254080000002</v>
      </c>
      <c r="BS867" s="387">
        <f t="shared" si="587"/>
        <v>99.413787200000002</v>
      </c>
      <c r="BT867" s="387">
        <f t="shared" si="588"/>
        <v>0</v>
      </c>
      <c r="BU867" s="387">
        <f t="shared" si="589"/>
        <v>76.318351199999995</v>
      </c>
      <c r="BV867" s="387">
        <f t="shared" si="590"/>
        <v>46.880287999999993</v>
      </c>
      <c r="BW867" s="387">
        <f t="shared" si="591"/>
        <v>0</v>
      </c>
      <c r="BX867" s="387">
        <f t="shared" si="606"/>
        <v>2923.7443143999999</v>
      </c>
      <c r="BY867" s="387">
        <f t="shared" si="607"/>
        <v>0</v>
      </c>
      <c r="BZ867" s="387">
        <f t="shared" si="608"/>
        <v>0</v>
      </c>
      <c r="CA867" s="387">
        <f t="shared" si="609"/>
        <v>0</v>
      </c>
      <c r="CB867" s="387">
        <f t="shared" si="610"/>
        <v>0</v>
      </c>
      <c r="CC867" s="387">
        <f t="shared" si="592"/>
        <v>0</v>
      </c>
      <c r="CD867" s="387">
        <f t="shared" si="593"/>
        <v>0</v>
      </c>
      <c r="CE867" s="387">
        <f t="shared" si="594"/>
        <v>0</v>
      </c>
      <c r="CF867" s="387">
        <f t="shared" si="595"/>
        <v>-67.562767999999991</v>
      </c>
      <c r="CG867" s="387">
        <f t="shared" si="596"/>
        <v>0</v>
      </c>
      <c r="CH867" s="387">
        <f t="shared" si="597"/>
        <v>9.651823999999996</v>
      </c>
      <c r="CI867" s="387">
        <f t="shared" si="598"/>
        <v>0</v>
      </c>
      <c r="CJ867" s="387">
        <f t="shared" si="611"/>
        <v>-57.910943999999994</v>
      </c>
      <c r="CK867" s="387" t="str">
        <f t="shared" si="612"/>
        <v/>
      </c>
      <c r="CL867" s="387" t="str">
        <f t="shared" si="613"/>
        <v/>
      </c>
      <c r="CM867" s="387" t="str">
        <f t="shared" si="614"/>
        <v/>
      </c>
      <c r="CN867" s="387" t="str">
        <f t="shared" si="615"/>
        <v>0348-31</v>
      </c>
    </row>
    <row r="868" spans="1:92" ht="15.75" thickBot="1" x14ac:dyDescent="0.3">
      <c r="A868" s="376" t="s">
        <v>161</v>
      </c>
      <c r="B868" s="376" t="s">
        <v>162</v>
      </c>
      <c r="C868" s="376" t="s">
        <v>222</v>
      </c>
      <c r="D868" s="376" t="s">
        <v>223</v>
      </c>
      <c r="E868" s="376" t="s">
        <v>224</v>
      </c>
      <c r="F868" s="382" t="s">
        <v>225</v>
      </c>
      <c r="G868" s="376" t="s">
        <v>1945</v>
      </c>
      <c r="H868" s="378"/>
      <c r="I868" s="378"/>
      <c r="J868" s="376" t="s">
        <v>215</v>
      </c>
      <c r="K868" s="376" t="s">
        <v>226</v>
      </c>
      <c r="L868" s="376" t="s">
        <v>170</v>
      </c>
      <c r="M868" s="376" t="s">
        <v>171</v>
      </c>
      <c r="N868" s="376" t="s">
        <v>172</v>
      </c>
      <c r="O868" s="379">
        <v>1</v>
      </c>
      <c r="P868" s="385">
        <v>0</v>
      </c>
      <c r="Q868" s="385">
        <v>0</v>
      </c>
      <c r="R868" s="380">
        <v>80</v>
      </c>
      <c r="S868" s="385">
        <v>0</v>
      </c>
      <c r="T868" s="380">
        <v>802.16</v>
      </c>
      <c r="U868" s="380">
        <v>293.35000000000002</v>
      </c>
      <c r="V868" s="380">
        <v>449.83</v>
      </c>
      <c r="W868" s="380">
        <v>0</v>
      </c>
      <c r="X868" s="380">
        <v>0</v>
      </c>
      <c r="Y868" s="380">
        <v>0</v>
      </c>
      <c r="Z868" s="380">
        <v>0</v>
      </c>
      <c r="AA868" s="376" t="s">
        <v>227</v>
      </c>
      <c r="AB868" s="376" t="s">
        <v>228</v>
      </c>
      <c r="AC868" s="376" t="s">
        <v>229</v>
      </c>
      <c r="AD868" s="376" t="s">
        <v>180</v>
      </c>
      <c r="AE868" s="376" t="s">
        <v>226</v>
      </c>
      <c r="AF868" s="376" t="s">
        <v>177</v>
      </c>
      <c r="AG868" s="376" t="s">
        <v>178</v>
      </c>
      <c r="AH868" s="381">
        <v>27.13</v>
      </c>
      <c r="AI868" s="381">
        <v>51706.6</v>
      </c>
      <c r="AJ868" s="376" t="s">
        <v>179</v>
      </c>
      <c r="AK868" s="376" t="s">
        <v>180</v>
      </c>
      <c r="AL868" s="376" t="s">
        <v>181</v>
      </c>
      <c r="AM868" s="376" t="s">
        <v>182</v>
      </c>
      <c r="AN868" s="376" t="s">
        <v>68</v>
      </c>
      <c r="AO868" s="379">
        <v>80</v>
      </c>
      <c r="AP868" s="385">
        <v>1</v>
      </c>
      <c r="AQ868" s="385">
        <v>0</v>
      </c>
      <c r="AR868" s="383" t="s">
        <v>183</v>
      </c>
      <c r="AS868" s="387">
        <f t="shared" si="599"/>
        <v>0</v>
      </c>
      <c r="AT868">
        <f t="shared" si="600"/>
        <v>0</v>
      </c>
      <c r="AU868" s="387" t="str">
        <f>IF(AT868=0,"",IF(AND(AT868=1,M868="F",SUMIF(C2:C1334,C868,AS2:AS1334)&lt;=1),SUMIF(C2:C1334,C868,AS2:AS1334),IF(AND(AT868=1,M868="F",SUMIF(C2:C1334,C868,AS2:AS1334)&gt;1),1,"")))</f>
        <v/>
      </c>
      <c r="AV868" s="387" t="str">
        <f>IF(AT868=0,"",IF(AND(AT868=3,M868="F",SUMIF(C2:C1334,C868,AS2:AS1334)&lt;=1),SUMIF(C2:C1334,C868,AS2:AS1334),IF(AND(AT868=3,M868="F",SUMIF(C2:C1334,C868,AS2:AS1334)&gt;1),1,"")))</f>
        <v/>
      </c>
      <c r="AW868" s="387">
        <f>SUMIF(C2:C1334,C868,O2:O1334)</f>
        <v>3</v>
      </c>
      <c r="AX868" s="387">
        <f>IF(AND(M868="F",AS868&lt;&gt;0),SUMIF(C2:C1334,C868,W2:W1334),0)</f>
        <v>0</v>
      </c>
      <c r="AY868" s="387" t="str">
        <f t="shared" si="601"/>
        <v/>
      </c>
      <c r="AZ868" s="387" t="str">
        <f t="shared" si="602"/>
        <v/>
      </c>
      <c r="BA868" s="387">
        <f t="shared" si="603"/>
        <v>0</v>
      </c>
      <c r="BB868" s="387">
        <f t="shared" si="572"/>
        <v>0</v>
      </c>
      <c r="BC868" s="387">
        <f t="shared" si="573"/>
        <v>0</v>
      </c>
      <c r="BD868" s="387">
        <f t="shared" si="574"/>
        <v>0</v>
      </c>
      <c r="BE868" s="387">
        <f t="shared" si="575"/>
        <v>0</v>
      </c>
      <c r="BF868" s="387">
        <f t="shared" si="576"/>
        <v>0</v>
      </c>
      <c r="BG868" s="387">
        <f t="shared" si="577"/>
        <v>0</v>
      </c>
      <c r="BH868" s="387">
        <f t="shared" si="578"/>
        <v>0</v>
      </c>
      <c r="BI868" s="387">
        <f t="shared" si="579"/>
        <v>0</v>
      </c>
      <c r="BJ868" s="387">
        <f t="shared" si="580"/>
        <v>0</v>
      </c>
      <c r="BK868" s="387">
        <f t="shared" si="581"/>
        <v>0</v>
      </c>
      <c r="BL868" s="387">
        <f t="shared" si="604"/>
        <v>0</v>
      </c>
      <c r="BM868" s="387">
        <f t="shared" si="605"/>
        <v>0</v>
      </c>
      <c r="BN868" s="387">
        <f t="shared" si="582"/>
        <v>0</v>
      </c>
      <c r="BO868" s="387">
        <f t="shared" si="583"/>
        <v>0</v>
      </c>
      <c r="BP868" s="387">
        <f t="shared" si="584"/>
        <v>0</v>
      </c>
      <c r="BQ868" s="387">
        <f t="shared" si="585"/>
        <v>0</v>
      </c>
      <c r="BR868" s="387">
        <f t="shared" si="586"/>
        <v>0</v>
      </c>
      <c r="BS868" s="387">
        <f t="shared" si="587"/>
        <v>0</v>
      </c>
      <c r="BT868" s="387">
        <f t="shared" si="588"/>
        <v>0</v>
      </c>
      <c r="BU868" s="387">
        <f t="shared" si="589"/>
        <v>0</v>
      </c>
      <c r="BV868" s="387">
        <f t="shared" si="590"/>
        <v>0</v>
      </c>
      <c r="BW868" s="387">
        <f t="shared" si="591"/>
        <v>0</v>
      </c>
      <c r="BX868" s="387">
        <f t="shared" si="606"/>
        <v>0</v>
      </c>
      <c r="BY868" s="387">
        <f t="shared" si="607"/>
        <v>0</v>
      </c>
      <c r="BZ868" s="387">
        <f t="shared" si="608"/>
        <v>0</v>
      </c>
      <c r="CA868" s="387">
        <f t="shared" si="609"/>
        <v>0</v>
      </c>
      <c r="CB868" s="387">
        <f t="shared" si="610"/>
        <v>0</v>
      </c>
      <c r="CC868" s="387">
        <f t="shared" si="592"/>
        <v>0</v>
      </c>
      <c r="CD868" s="387">
        <f t="shared" si="593"/>
        <v>0</v>
      </c>
      <c r="CE868" s="387">
        <f t="shared" si="594"/>
        <v>0</v>
      </c>
      <c r="CF868" s="387">
        <f t="shared" si="595"/>
        <v>0</v>
      </c>
      <c r="CG868" s="387">
        <f t="shared" si="596"/>
        <v>0</v>
      </c>
      <c r="CH868" s="387">
        <f t="shared" si="597"/>
        <v>0</v>
      </c>
      <c r="CI868" s="387">
        <f t="shared" si="598"/>
        <v>0</v>
      </c>
      <c r="CJ868" s="387">
        <f t="shared" si="611"/>
        <v>0</v>
      </c>
      <c r="CK868" s="387" t="str">
        <f t="shared" si="612"/>
        <v/>
      </c>
      <c r="CL868" s="387" t="str">
        <f t="shared" si="613"/>
        <v/>
      </c>
      <c r="CM868" s="387" t="str">
        <f t="shared" si="614"/>
        <v/>
      </c>
      <c r="CN868" s="387" t="str">
        <f t="shared" si="615"/>
        <v>0348-31</v>
      </c>
    </row>
    <row r="869" spans="1:92" ht="15.75" thickBot="1" x14ac:dyDescent="0.3">
      <c r="A869" s="376" t="s">
        <v>161</v>
      </c>
      <c r="B869" s="376" t="s">
        <v>162</v>
      </c>
      <c r="C869" s="376" t="s">
        <v>1038</v>
      </c>
      <c r="D869" s="376" t="s">
        <v>862</v>
      </c>
      <c r="E869" s="376" t="s">
        <v>224</v>
      </c>
      <c r="F869" s="382" t="s">
        <v>225</v>
      </c>
      <c r="G869" s="376" t="s">
        <v>1945</v>
      </c>
      <c r="H869" s="378"/>
      <c r="I869" s="378"/>
      <c r="J869" s="376" t="s">
        <v>215</v>
      </c>
      <c r="K869" s="376" t="s">
        <v>863</v>
      </c>
      <c r="L869" s="376" t="s">
        <v>252</v>
      </c>
      <c r="M869" s="376" t="s">
        <v>272</v>
      </c>
      <c r="N869" s="376" t="s">
        <v>172</v>
      </c>
      <c r="O869" s="379">
        <v>0</v>
      </c>
      <c r="P869" s="385">
        <v>1</v>
      </c>
      <c r="Q869" s="385">
        <v>1</v>
      </c>
      <c r="R869" s="380">
        <v>80</v>
      </c>
      <c r="S869" s="385">
        <v>1</v>
      </c>
      <c r="T869" s="380">
        <v>5234.05</v>
      </c>
      <c r="U869" s="380">
        <v>0</v>
      </c>
      <c r="V869" s="380">
        <v>2775.39</v>
      </c>
      <c r="W869" s="380">
        <v>42328</v>
      </c>
      <c r="X869" s="380">
        <v>18539.66</v>
      </c>
      <c r="Y869" s="380">
        <v>42328</v>
      </c>
      <c r="Z869" s="380">
        <v>18328.02</v>
      </c>
      <c r="AA869" s="378"/>
      <c r="AB869" s="376" t="s">
        <v>45</v>
      </c>
      <c r="AC869" s="376" t="s">
        <v>45</v>
      </c>
      <c r="AD869" s="378"/>
      <c r="AE869" s="378"/>
      <c r="AF869" s="378"/>
      <c r="AG869" s="378"/>
      <c r="AH869" s="379">
        <v>0</v>
      </c>
      <c r="AI869" s="379">
        <v>0</v>
      </c>
      <c r="AJ869" s="378"/>
      <c r="AK869" s="378"/>
      <c r="AL869" s="376" t="s">
        <v>181</v>
      </c>
      <c r="AM869" s="378"/>
      <c r="AN869" s="378"/>
      <c r="AO869" s="379">
        <v>0</v>
      </c>
      <c r="AP869" s="385">
        <v>0</v>
      </c>
      <c r="AQ869" s="385">
        <v>0</v>
      </c>
      <c r="AR869" s="384"/>
      <c r="AS869" s="387">
        <f t="shared" si="599"/>
        <v>0</v>
      </c>
      <c r="AT869">
        <f t="shared" si="600"/>
        <v>0</v>
      </c>
      <c r="AU869" s="387" t="str">
        <f>IF(AT869=0,"",IF(AND(AT869=1,M869="F",SUMIF(C2:C1334,C869,AS2:AS1334)&lt;=1),SUMIF(C2:C1334,C869,AS2:AS1334),IF(AND(AT869=1,M869="F",SUMIF(C2:C1334,C869,AS2:AS1334)&gt;1),1,"")))</f>
        <v/>
      </c>
      <c r="AV869" s="387" t="str">
        <f>IF(AT869=0,"",IF(AND(AT869=3,M869="F",SUMIF(C2:C1334,C869,AS2:AS1334)&lt;=1),SUMIF(C2:C1334,C869,AS2:AS1334),IF(AND(AT869=3,M869="F",SUMIF(C2:C1334,C869,AS2:AS1334)&gt;1),1,"")))</f>
        <v/>
      </c>
      <c r="AW869" s="387">
        <f>SUMIF(C2:C1334,C869,O2:O1334)</f>
        <v>0</v>
      </c>
      <c r="AX869" s="387">
        <f>IF(AND(M869="F",AS869&lt;&gt;0),SUMIF(C2:C1334,C869,W2:W1334),0)</f>
        <v>0</v>
      </c>
      <c r="AY869" s="387" t="str">
        <f t="shared" si="601"/>
        <v/>
      </c>
      <c r="AZ869" s="387" t="str">
        <f t="shared" si="602"/>
        <v/>
      </c>
      <c r="BA869" s="387">
        <f t="shared" si="603"/>
        <v>0</v>
      </c>
      <c r="BB869" s="387">
        <f t="shared" si="572"/>
        <v>0</v>
      </c>
      <c r="BC869" s="387">
        <f t="shared" si="573"/>
        <v>0</v>
      </c>
      <c r="BD869" s="387">
        <f t="shared" si="574"/>
        <v>0</v>
      </c>
      <c r="BE869" s="387">
        <f t="shared" si="575"/>
        <v>0</v>
      </c>
      <c r="BF869" s="387">
        <f t="shared" si="576"/>
        <v>0</v>
      </c>
      <c r="BG869" s="387">
        <f t="shared" si="577"/>
        <v>0</v>
      </c>
      <c r="BH869" s="387">
        <f t="shared" si="578"/>
        <v>0</v>
      </c>
      <c r="BI869" s="387">
        <f t="shared" si="579"/>
        <v>0</v>
      </c>
      <c r="BJ869" s="387">
        <f t="shared" si="580"/>
        <v>0</v>
      </c>
      <c r="BK869" s="387">
        <f t="shared" si="581"/>
        <v>0</v>
      </c>
      <c r="BL869" s="387">
        <f t="shared" si="604"/>
        <v>0</v>
      </c>
      <c r="BM869" s="387">
        <f t="shared" si="605"/>
        <v>0</v>
      </c>
      <c r="BN869" s="387">
        <f t="shared" si="582"/>
        <v>0</v>
      </c>
      <c r="BO869" s="387">
        <f t="shared" si="583"/>
        <v>0</v>
      </c>
      <c r="BP869" s="387">
        <f t="shared" si="584"/>
        <v>0</v>
      </c>
      <c r="BQ869" s="387">
        <f t="shared" si="585"/>
        <v>0</v>
      </c>
      <c r="BR869" s="387">
        <f t="shared" si="586"/>
        <v>0</v>
      </c>
      <c r="BS869" s="387">
        <f t="shared" si="587"/>
        <v>0</v>
      </c>
      <c r="BT869" s="387">
        <f t="shared" si="588"/>
        <v>0</v>
      </c>
      <c r="BU869" s="387">
        <f t="shared" si="589"/>
        <v>0</v>
      </c>
      <c r="BV869" s="387">
        <f t="shared" si="590"/>
        <v>0</v>
      </c>
      <c r="BW869" s="387">
        <f t="shared" si="591"/>
        <v>0</v>
      </c>
      <c r="BX869" s="387">
        <f t="shared" si="606"/>
        <v>0</v>
      </c>
      <c r="BY869" s="387">
        <f t="shared" si="607"/>
        <v>0</v>
      </c>
      <c r="BZ869" s="387">
        <f t="shared" si="608"/>
        <v>0</v>
      </c>
      <c r="CA869" s="387">
        <f t="shared" si="609"/>
        <v>0</v>
      </c>
      <c r="CB869" s="387">
        <f t="shared" si="610"/>
        <v>0</v>
      </c>
      <c r="CC869" s="387">
        <f t="shared" si="592"/>
        <v>0</v>
      </c>
      <c r="CD869" s="387">
        <f t="shared" si="593"/>
        <v>0</v>
      </c>
      <c r="CE869" s="387">
        <f t="shared" si="594"/>
        <v>0</v>
      </c>
      <c r="CF869" s="387">
        <f t="shared" si="595"/>
        <v>0</v>
      </c>
      <c r="CG869" s="387">
        <f t="shared" si="596"/>
        <v>0</v>
      </c>
      <c r="CH869" s="387">
        <f t="shared" si="597"/>
        <v>0</v>
      </c>
      <c r="CI869" s="387">
        <f t="shared" si="598"/>
        <v>0</v>
      </c>
      <c r="CJ869" s="387">
        <f t="shared" si="611"/>
        <v>0</v>
      </c>
      <c r="CK869" s="387" t="str">
        <f t="shared" si="612"/>
        <v/>
      </c>
      <c r="CL869" s="387" t="str">
        <f t="shared" si="613"/>
        <v/>
      </c>
      <c r="CM869" s="387" t="str">
        <f t="shared" si="614"/>
        <v/>
      </c>
      <c r="CN869" s="387" t="str">
        <f t="shared" si="615"/>
        <v>0348-31</v>
      </c>
    </row>
    <row r="870" spans="1:92" ht="15.75" thickBot="1" x14ac:dyDescent="0.3">
      <c r="A870" s="376" t="s">
        <v>161</v>
      </c>
      <c r="B870" s="376" t="s">
        <v>162</v>
      </c>
      <c r="C870" s="376" t="s">
        <v>2056</v>
      </c>
      <c r="D870" s="376" t="s">
        <v>238</v>
      </c>
      <c r="E870" s="376" t="s">
        <v>224</v>
      </c>
      <c r="F870" s="382" t="s">
        <v>225</v>
      </c>
      <c r="G870" s="376" t="s">
        <v>1945</v>
      </c>
      <c r="H870" s="378"/>
      <c r="I870" s="378"/>
      <c r="J870" s="376" t="s">
        <v>215</v>
      </c>
      <c r="K870" s="376" t="s">
        <v>285</v>
      </c>
      <c r="L870" s="376" t="s">
        <v>170</v>
      </c>
      <c r="M870" s="376" t="s">
        <v>171</v>
      </c>
      <c r="N870" s="376" t="s">
        <v>172</v>
      </c>
      <c r="O870" s="379">
        <v>1</v>
      </c>
      <c r="P870" s="385">
        <v>1</v>
      </c>
      <c r="Q870" s="385">
        <v>1</v>
      </c>
      <c r="R870" s="380">
        <v>80</v>
      </c>
      <c r="S870" s="385">
        <v>1</v>
      </c>
      <c r="T870" s="380">
        <v>48866.879999999997</v>
      </c>
      <c r="U870" s="380">
        <v>437.86</v>
      </c>
      <c r="V870" s="380">
        <v>21640.61</v>
      </c>
      <c r="W870" s="380">
        <v>51105.599999999999</v>
      </c>
      <c r="X870" s="380">
        <v>22701.55</v>
      </c>
      <c r="Y870" s="380">
        <v>51105.599999999999</v>
      </c>
      <c r="Z870" s="380">
        <v>22486.91</v>
      </c>
      <c r="AA870" s="376" t="s">
        <v>2057</v>
      </c>
      <c r="AB870" s="376" t="s">
        <v>2058</v>
      </c>
      <c r="AC870" s="376" t="s">
        <v>2059</v>
      </c>
      <c r="AD870" s="376" t="s">
        <v>236</v>
      </c>
      <c r="AE870" s="376" t="s">
        <v>285</v>
      </c>
      <c r="AF870" s="376" t="s">
        <v>177</v>
      </c>
      <c r="AG870" s="376" t="s">
        <v>178</v>
      </c>
      <c r="AH870" s="381">
        <v>24.57</v>
      </c>
      <c r="AI870" s="381">
        <v>58072.4</v>
      </c>
      <c r="AJ870" s="376" t="s">
        <v>179</v>
      </c>
      <c r="AK870" s="376" t="s">
        <v>180</v>
      </c>
      <c r="AL870" s="376" t="s">
        <v>181</v>
      </c>
      <c r="AM870" s="376" t="s">
        <v>182</v>
      </c>
      <c r="AN870" s="376" t="s">
        <v>68</v>
      </c>
      <c r="AO870" s="379">
        <v>80</v>
      </c>
      <c r="AP870" s="385">
        <v>1</v>
      </c>
      <c r="AQ870" s="385">
        <v>1</v>
      </c>
      <c r="AR870" s="383" t="s">
        <v>183</v>
      </c>
      <c r="AS870" s="387">
        <f t="shared" si="599"/>
        <v>1</v>
      </c>
      <c r="AT870">
        <f t="shared" si="600"/>
        <v>1</v>
      </c>
      <c r="AU870" s="387">
        <f>IF(AT870=0,"",IF(AND(AT870=1,M870="F",SUMIF(C2:C1334,C870,AS2:AS1334)&lt;=1),SUMIF(C2:C1334,C870,AS2:AS1334),IF(AND(AT870=1,M870="F",SUMIF(C2:C1334,C870,AS2:AS1334)&gt;1),1,"")))</f>
        <v>1</v>
      </c>
      <c r="AV870" s="387" t="str">
        <f>IF(AT870=0,"",IF(AND(AT870=3,M870="F",SUMIF(C2:C1334,C870,AS2:AS1334)&lt;=1),SUMIF(C2:C1334,C870,AS2:AS1334),IF(AND(AT870=3,M870="F",SUMIF(C2:C1334,C870,AS2:AS1334)&gt;1),1,"")))</f>
        <v/>
      </c>
      <c r="AW870" s="387">
        <f>SUMIF(C2:C1334,C870,O2:O1334)</f>
        <v>1</v>
      </c>
      <c r="AX870" s="387">
        <f>IF(AND(M870="F",AS870&lt;&gt;0),SUMIF(C2:C1334,C870,W2:W1334),0)</f>
        <v>51105.599999999999</v>
      </c>
      <c r="AY870" s="387">
        <f t="shared" si="601"/>
        <v>51105.599999999999</v>
      </c>
      <c r="AZ870" s="387" t="str">
        <f t="shared" si="602"/>
        <v/>
      </c>
      <c r="BA870" s="387">
        <f t="shared" si="603"/>
        <v>0</v>
      </c>
      <c r="BB870" s="387">
        <f t="shared" si="572"/>
        <v>11650</v>
      </c>
      <c r="BC870" s="387">
        <f t="shared" si="573"/>
        <v>0</v>
      </c>
      <c r="BD870" s="387">
        <f t="shared" si="574"/>
        <v>3168.5472</v>
      </c>
      <c r="BE870" s="387">
        <f t="shared" si="575"/>
        <v>741.03120000000001</v>
      </c>
      <c r="BF870" s="387">
        <f t="shared" si="576"/>
        <v>6102.00864</v>
      </c>
      <c r="BG870" s="387">
        <f t="shared" si="577"/>
        <v>368.47137600000002</v>
      </c>
      <c r="BH870" s="387">
        <f t="shared" si="578"/>
        <v>250.41743999999997</v>
      </c>
      <c r="BI870" s="387">
        <f t="shared" si="579"/>
        <v>282.86949599999997</v>
      </c>
      <c r="BJ870" s="387">
        <f t="shared" si="580"/>
        <v>137.98511999999999</v>
      </c>
      <c r="BK870" s="387">
        <f t="shared" si="581"/>
        <v>0</v>
      </c>
      <c r="BL870" s="387">
        <f t="shared" si="604"/>
        <v>11051.330471999998</v>
      </c>
      <c r="BM870" s="387">
        <f t="shared" si="605"/>
        <v>0</v>
      </c>
      <c r="BN870" s="387">
        <f t="shared" si="582"/>
        <v>11650</v>
      </c>
      <c r="BO870" s="387">
        <f t="shared" si="583"/>
        <v>0</v>
      </c>
      <c r="BP870" s="387">
        <f t="shared" si="584"/>
        <v>3168.5472</v>
      </c>
      <c r="BQ870" s="387">
        <f t="shared" si="585"/>
        <v>741.03120000000001</v>
      </c>
      <c r="BR870" s="387">
        <f t="shared" si="586"/>
        <v>6102.00864</v>
      </c>
      <c r="BS870" s="387">
        <f t="shared" si="587"/>
        <v>368.47137600000002</v>
      </c>
      <c r="BT870" s="387">
        <f t="shared" si="588"/>
        <v>0</v>
      </c>
      <c r="BU870" s="387">
        <f t="shared" si="589"/>
        <v>282.86949599999997</v>
      </c>
      <c r="BV870" s="387">
        <f t="shared" si="590"/>
        <v>173.75904</v>
      </c>
      <c r="BW870" s="387">
        <f t="shared" si="591"/>
        <v>0</v>
      </c>
      <c r="BX870" s="387">
        <f t="shared" si="606"/>
        <v>10836.686952</v>
      </c>
      <c r="BY870" s="387">
        <f t="shared" si="607"/>
        <v>0</v>
      </c>
      <c r="BZ870" s="387">
        <f t="shared" si="608"/>
        <v>0</v>
      </c>
      <c r="CA870" s="387">
        <f t="shared" si="609"/>
        <v>0</v>
      </c>
      <c r="CB870" s="387">
        <f t="shared" si="610"/>
        <v>0</v>
      </c>
      <c r="CC870" s="387">
        <f t="shared" si="592"/>
        <v>0</v>
      </c>
      <c r="CD870" s="387">
        <f t="shared" si="593"/>
        <v>0</v>
      </c>
      <c r="CE870" s="387">
        <f t="shared" si="594"/>
        <v>0</v>
      </c>
      <c r="CF870" s="387">
        <f t="shared" si="595"/>
        <v>-250.41743999999997</v>
      </c>
      <c r="CG870" s="387">
        <f t="shared" si="596"/>
        <v>0</v>
      </c>
      <c r="CH870" s="387">
        <f t="shared" si="597"/>
        <v>35.773919999999983</v>
      </c>
      <c r="CI870" s="387">
        <f t="shared" si="598"/>
        <v>0</v>
      </c>
      <c r="CJ870" s="387">
        <f t="shared" si="611"/>
        <v>-214.64352</v>
      </c>
      <c r="CK870" s="387" t="str">
        <f t="shared" si="612"/>
        <v/>
      </c>
      <c r="CL870" s="387" t="str">
        <f t="shared" si="613"/>
        <v/>
      </c>
      <c r="CM870" s="387" t="str">
        <f t="shared" si="614"/>
        <v/>
      </c>
      <c r="CN870" s="387" t="str">
        <f t="shared" si="615"/>
        <v>0348-31</v>
      </c>
    </row>
    <row r="871" spans="1:92" ht="15.75" thickBot="1" x14ac:dyDescent="0.3">
      <c r="A871" s="376" t="s">
        <v>161</v>
      </c>
      <c r="B871" s="376" t="s">
        <v>162</v>
      </c>
      <c r="C871" s="376" t="s">
        <v>2060</v>
      </c>
      <c r="D871" s="376" t="s">
        <v>862</v>
      </c>
      <c r="E871" s="376" t="s">
        <v>224</v>
      </c>
      <c r="F871" s="382" t="s">
        <v>225</v>
      </c>
      <c r="G871" s="376" t="s">
        <v>1945</v>
      </c>
      <c r="H871" s="378"/>
      <c r="I871" s="378"/>
      <c r="J871" s="376" t="s">
        <v>215</v>
      </c>
      <c r="K871" s="376" t="s">
        <v>863</v>
      </c>
      <c r="L871" s="376" t="s">
        <v>252</v>
      </c>
      <c r="M871" s="376" t="s">
        <v>171</v>
      </c>
      <c r="N871" s="376" t="s">
        <v>172</v>
      </c>
      <c r="O871" s="379">
        <v>1</v>
      </c>
      <c r="P871" s="385">
        <v>1</v>
      </c>
      <c r="Q871" s="385">
        <v>1</v>
      </c>
      <c r="R871" s="380">
        <v>80</v>
      </c>
      <c r="S871" s="385">
        <v>1</v>
      </c>
      <c r="T871" s="380">
        <v>37434.400000000001</v>
      </c>
      <c r="U871" s="380">
        <v>2684.73</v>
      </c>
      <c r="V871" s="380">
        <v>20063.919999999998</v>
      </c>
      <c r="W871" s="380">
        <v>39062.400000000001</v>
      </c>
      <c r="X871" s="380">
        <v>20097.2</v>
      </c>
      <c r="Y871" s="380">
        <v>39062.400000000001</v>
      </c>
      <c r="Z871" s="380">
        <v>19933.150000000001</v>
      </c>
      <c r="AA871" s="376" t="s">
        <v>2061</v>
      </c>
      <c r="AB871" s="376" t="s">
        <v>1551</v>
      </c>
      <c r="AC871" s="376" t="s">
        <v>2062</v>
      </c>
      <c r="AD871" s="376" t="s">
        <v>180</v>
      </c>
      <c r="AE871" s="376" t="s">
        <v>863</v>
      </c>
      <c r="AF871" s="376" t="s">
        <v>393</v>
      </c>
      <c r="AG871" s="376" t="s">
        <v>178</v>
      </c>
      <c r="AH871" s="381">
        <v>18.78</v>
      </c>
      <c r="AI871" s="381">
        <v>2506.1</v>
      </c>
      <c r="AJ871" s="376" t="s">
        <v>179</v>
      </c>
      <c r="AK871" s="376" t="s">
        <v>180</v>
      </c>
      <c r="AL871" s="376" t="s">
        <v>181</v>
      </c>
      <c r="AM871" s="376" t="s">
        <v>182</v>
      </c>
      <c r="AN871" s="376" t="s">
        <v>68</v>
      </c>
      <c r="AO871" s="379">
        <v>80</v>
      </c>
      <c r="AP871" s="385">
        <v>1</v>
      </c>
      <c r="AQ871" s="385">
        <v>1</v>
      </c>
      <c r="AR871" s="383" t="s">
        <v>183</v>
      </c>
      <c r="AS871" s="387">
        <f t="shared" si="599"/>
        <v>1</v>
      </c>
      <c r="AT871">
        <f t="shared" si="600"/>
        <v>1</v>
      </c>
      <c r="AU871" s="387">
        <f>IF(AT871=0,"",IF(AND(AT871=1,M871="F",SUMIF(C2:C1334,C871,AS2:AS1334)&lt;=1),SUMIF(C2:C1334,C871,AS2:AS1334),IF(AND(AT871=1,M871="F",SUMIF(C2:C1334,C871,AS2:AS1334)&gt;1),1,"")))</f>
        <v>1</v>
      </c>
      <c r="AV871" s="387" t="str">
        <f>IF(AT871=0,"",IF(AND(AT871=3,M871="F",SUMIF(C2:C1334,C871,AS2:AS1334)&lt;=1),SUMIF(C2:C1334,C871,AS2:AS1334),IF(AND(AT871=3,M871="F",SUMIF(C2:C1334,C871,AS2:AS1334)&gt;1),1,"")))</f>
        <v/>
      </c>
      <c r="AW871" s="387">
        <f>SUMIF(C2:C1334,C871,O2:O1334)</f>
        <v>1</v>
      </c>
      <c r="AX871" s="387">
        <f>IF(AND(M871="F",AS871&lt;&gt;0),SUMIF(C2:C1334,C871,W2:W1334),0)</f>
        <v>39062.400000000001</v>
      </c>
      <c r="AY871" s="387">
        <f t="shared" si="601"/>
        <v>39062.400000000001</v>
      </c>
      <c r="AZ871" s="387" t="str">
        <f t="shared" si="602"/>
        <v/>
      </c>
      <c r="BA871" s="387">
        <f t="shared" si="603"/>
        <v>0</v>
      </c>
      <c r="BB871" s="387">
        <f t="shared" si="572"/>
        <v>11650</v>
      </c>
      <c r="BC871" s="387">
        <f t="shared" si="573"/>
        <v>0</v>
      </c>
      <c r="BD871" s="387">
        <f t="shared" si="574"/>
        <v>2421.8688000000002</v>
      </c>
      <c r="BE871" s="387">
        <f t="shared" si="575"/>
        <v>566.40480000000002</v>
      </c>
      <c r="BF871" s="387">
        <f t="shared" si="576"/>
        <v>4664.0505600000006</v>
      </c>
      <c r="BG871" s="387">
        <f t="shared" si="577"/>
        <v>281.639904</v>
      </c>
      <c r="BH871" s="387">
        <f t="shared" si="578"/>
        <v>191.40576000000001</v>
      </c>
      <c r="BI871" s="387">
        <f t="shared" si="579"/>
        <v>216.210384</v>
      </c>
      <c r="BJ871" s="387">
        <f t="shared" si="580"/>
        <v>105.46848000000001</v>
      </c>
      <c r="BK871" s="387">
        <f t="shared" si="581"/>
        <v>0</v>
      </c>
      <c r="BL871" s="387">
        <f t="shared" si="604"/>
        <v>8447.0486880000008</v>
      </c>
      <c r="BM871" s="387">
        <f t="shared" si="605"/>
        <v>0</v>
      </c>
      <c r="BN871" s="387">
        <f t="shared" si="582"/>
        <v>11650</v>
      </c>
      <c r="BO871" s="387">
        <f t="shared" si="583"/>
        <v>0</v>
      </c>
      <c r="BP871" s="387">
        <f t="shared" si="584"/>
        <v>2421.8688000000002</v>
      </c>
      <c r="BQ871" s="387">
        <f t="shared" si="585"/>
        <v>566.40480000000002</v>
      </c>
      <c r="BR871" s="387">
        <f t="shared" si="586"/>
        <v>4664.0505600000006</v>
      </c>
      <c r="BS871" s="387">
        <f t="shared" si="587"/>
        <v>281.639904</v>
      </c>
      <c r="BT871" s="387">
        <f t="shared" si="588"/>
        <v>0</v>
      </c>
      <c r="BU871" s="387">
        <f t="shared" si="589"/>
        <v>216.210384</v>
      </c>
      <c r="BV871" s="387">
        <f t="shared" si="590"/>
        <v>132.81216000000001</v>
      </c>
      <c r="BW871" s="387">
        <f t="shared" si="591"/>
        <v>0</v>
      </c>
      <c r="BX871" s="387">
        <f t="shared" si="606"/>
        <v>8282.9866080000011</v>
      </c>
      <c r="BY871" s="387">
        <f t="shared" si="607"/>
        <v>0</v>
      </c>
      <c r="BZ871" s="387">
        <f t="shared" si="608"/>
        <v>0</v>
      </c>
      <c r="CA871" s="387">
        <f t="shared" si="609"/>
        <v>0</v>
      </c>
      <c r="CB871" s="387">
        <f t="shared" si="610"/>
        <v>0</v>
      </c>
      <c r="CC871" s="387">
        <f t="shared" si="592"/>
        <v>0</v>
      </c>
      <c r="CD871" s="387">
        <f t="shared" si="593"/>
        <v>0</v>
      </c>
      <c r="CE871" s="387">
        <f t="shared" si="594"/>
        <v>0</v>
      </c>
      <c r="CF871" s="387">
        <f t="shared" si="595"/>
        <v>-191.40576000000001</v>
      </c>
      <c r="CG871" s="387">
        <f t="shared" si="596"/>
        <v>0</v>
      </c>
      <c r="CH871" s="387">
        <f t="shared" si="597"/>
        <v>27.343679999999988</v>
      </c>
      <c r="CI871" s="387">
        <f t="shared" si="598"/>
        <v>0</v>
      </c>
      <c r="CJ871" s="387">
        <f t="shared" si="611"/>
        <v>-164.06208000000004</v>
      </c>
      <c r="CK871" s="387" t="str">
        <f t="shared" si="612"/>
        <v/>
      </c>
      <c r="CL871" s="387" t="str">
        <f t="shared" si="613"/>
        <v/>
      </c>
      <c r="CM871" s="387" t="str">
        <f t="shared" si="614"/>
        <v/>
      </c>
      <c r="CN871" s="387" t="str">
        <f t="shared" si="615"/>
        <v>0348-31</v>
      </c>
    </row>
    <row r="872" spans="1:92" ht="15.75" thickBot="1" x14ac:dyDescent="0.3">
      <c r="A872" s="376" t="s">
        <v>161</v>
      </c>
      <c r="B872" s="376" t="s">
        <v>162</v>
      </c>
      <c r="C872" s="376" t="s">
        <v>1295</v>
      </c>
      <c r="D872" s="376" t="s">
        <v>862</v>
      </c>
      <c r="E872" s="376" t="s">
        <v>224</v>
      </c>
      <c r="F872" s="382" t="s">
        <v>225</v>
      </c>
      <c r="G872" s="376" t="s">
        <v>1945</v>
      </c>
      <c r="H872" s="378"/>
      <c r="I872" s="378"/>
      <c r="J872" s="376" t="s">
        <v>168</v>
      </c>
      <c r="K872" s="376" t="s">
        <v>863</v>
      </c>
      <c r="L872" s="376" t="s">
        <v>252</v>
      </c>
      <c r="M872" s="376" t="s">
        <v>171</v>
      </c>
      <c r="N872" s="376" t="s">
        <v>172</v>
      </c>
      <c r="O872" s="379">
        <v>1</v>
      </c>
      <c r="P872" s="385">
        <v>0.15</v>
      </c>
      <c r="Q872" s="385">
        <v>0.15</v>
      </c>
      <c r="R872" s="380">
        <v>80</v>
      </c>
      <c r="S872" s="385">
        <v>0.15</v>
      </c>
      <c r="T872" s="380">
        <v>5627.78</v>
      </c>
      <c r="U872" s="380">
        <v>0</v>
      </c>
      <c r="V872" s="380">
        <v>2543.2600000000002</v>
      </c>
      <c r="W872" s="380">
        <v>7447.44</v>
      </c>
      <c r="X872" s="380">
        <v>3358</v>
      </c>
      <c r="Y872" s="380">
        <v>7447.44</v>
      </c>
      <c r="Z872" s="380">
        <v>3326.72</v>
      </c>
      <c r="AA872" s="376" t="s">
        <v>1296</v>
      </c>
      <c r="AB872" s="376" t="s">
        <v>1297</v>
      </c>
      <c r="AC872" s="376" t="s">
        <v>1298</v>
      </c>
      <c r="AD872" s="376" t="s">
        <v>324</v>
      </c>
      <c r="AE872" s="376" t="s">
        <v>863</v>
      </c>
      <c r="AF872" s="376" t="s">
        <v>393</v>
      </c>
      <c r="AG872" s="376" t="s">
        <v>178</v>
      </c>
      <c r="AH872" s="381">
        <v>23.87</v>
      </c>
      <c r="AI872" s="381">
        <v>23276.5</v>
      </c>
      <c r="AJ872" s="376" t="s">
        <v>179</v>
      </c>
      <c r="AK872" s="376" t="s">
        <v>180</v>
      </c>
      <c r="AL872" s="376" t="s">
        <v>181</v>
      </c>
      <c r="AM872" s="376" t="s">
        <v>182</v>
      </c>
      <c r="AN872" s="376" t="s">
        <v>68</v>
      </c>
      <c r="AO872" s="379">
        <v>80</v>
      </c>
      <c r="AP872" s="385">
        <v>1</v>
      </c>
      <c r="AQ872" s="385">
        <v>0.15</v>
      </c>
      <c r="AR872" s="383" t="s">
        <v>183</v>
      </c>
      <c r="AS872" s="387">
        <f t="shared" si="599"/>
        <v>0.15</v>
      </c>
      <c r="AT872">
        <f t="shared" si="600"/>
        <v>1</v>
      </c>
      <c r="AU872" s="387">
        <f>IF(AT872=0,"",IF(AND(AT872=1,M872="F",SUMIF(C2:C1334,C872,AS2:AS1334)&lt;=1),SUMIF(C2:C1334,C872,AS2:AS1334),IF(AND(AT872=1,M872="F",SUMIF(C2:C1334,C872,AS2:AS1334)&gt;1),1,"")))</f>
        <v>1</v>
      </c>
      <c r="AV872" s="387" t="str">
        <f>IF(AT872=0,"",IF(AND(AT872=3,M872="F",SUMIF(C2:C1334,C872,AS2:AS1334)&lt;=1),SUMIF(C2:C1334,C872,AS2:AS1334),IF(AND(AT872=3,M872="F",SUMIF(C2:C1334,C872,AS2:AS1334)&gt;1),1,"")))</f>
        <v/>
      </c>
      <c r="AW872" s="387">
        <f>SUMIF(C2:C1334,C872,O2:O1334)</f>
        <v>3</v>
      </c>
      <c r="AX872" s="387">
        <f>IF(AND(M872="F",AS872&lt;&gt;0),SUMIF(C2:C1334,C872,W2:W1334),0)</f>
        <v>49649.600000000006</v>
      </c>
      <c r="AY872" s="387">
        <f t="shared" si="601"/>
        <v>7447.44</v>
      </c>
      <c r="AZ872" s="387" t="str">
        <f t="shared" si="602"/>
        <v/>
      </c>
      <c r="BA872" s="387">
        <f t="shared" si="603"/>
        <v>0</v>
      </c>
      <c r="BB872" s="387">
        <f t="shared" si="572"/>
        <v>1747.5</v>
      </c>
      <c r="BC872" s="387">
        <f t="shared" si="573"/>
        <v>0</v>
      </c>
      <c r="BD872" s="387">
        <f t="shared" si="574"/>
        <v>461.74127999999996</v>
      </c>
      <c r="BE872" s="387">
        <f t="shared" si="575"/>
        <v>107.98788</v>
      </c>
      <c r="BF872" s="387">
        <f t="shared" si="576"/>
        <v>889.22433599999999</v>
      </c>
      <c r="BG872" s="387">
        <f t="shared" si="577"/>
        <v>53.696042399999996</v>
      </c>
      <c r="BH872" s="387">
        <f t="shared" si="578"/>
        <v>36.492455999999997</v>
      </c>
      <c r="BI872" s="387">
        <f t="shared" si="579"/>
        <v>41.221580400000001</v>
      </c>
      <c r="BJ872" s="387">
        <f t="shared" si="580"/>
        <v>20.108087999999999</v>
      </c>
      <c r="BK872" s="387">
        <f t="shared" si="581"/>
        <v>0</v>
      </c>
      <c r="BL872" s="387">
        <f t="shared" si="604"/>
        <v>1610.4716627999999</v>
      </c>
      <c r="BM872" s="387">
        <f t="shared" si="605"/>
        <v>0</v>
      </c>
      <c r="BN872" s="387">
        <f t="shared" si="582"/>
        <v>1747.5</v>
      </c>
      <c r="BO872" s="387">
        <f t="shared" si="583"/>
        <v>0</v>
      </c>
      <c r="BP872" s="387">
        <f t="shared" si="584"/>
        <v>461.74127999999996</v>
      </c>
      <c r="BQ872" s="387">
        <f t="shared" si="585"/>
        <v>107.98788</v>
      </c>
      <c r="BR872" s="387">
        <f t="shared" si="586"/>
        <v>889.22433599999999</v>
      </c>
      <c r="BS872" s="387">
        <f t="shared" si="587"/>
        <v>53.696042399999996</v>
      </c>
      <c r="BT872" s="387">
        <f t="shared" si="588"/>
        <v>0</v>
      </c>
      <c r="BU872" s="387">
        <f t="shared" si="589"/>
        <v>41.221580400000001</v>
      </c>
      <c r="BV872" s="387">
        <f t="shared" si="590"/>
        <v>25.321295999999997</v>
      </c>
      <c r="BW872" s="387">
        <f t="shared" si="591"/>
        <v>0</v>
      </c>
      <c r="BX872" s="387">
        <f t="shared" si="606"/>
        <v>1579.1924148000001</v>
      </c>
      <c r="BY872" s="387">
        <f t="shared" si="607"/>
        <v>0</v>
      </c>
      <c r="BZ872" s="387">
        <f t="shared" si="608"/>
        <v>0</v>
      </c>
      <c r="CA872" s="387">
        <f t="shared" si="609"/>
        <v>0</v>
      </c>
      <c r="CB872" s="387">
        <f t="shared" si="610"/>
        <v>0</v>
      </c>
      <c r="CC872" s="387">
        <f t="shared" si="592"/>
        <v>0</v>
      </c>
      <c r="CD872" s="387">
        <f t="shared" si="593"/>
        <v>0</v>
      </c>
      <c r="CE872" s="387">
        <f t="shared" si="594"/>
        <v>0</v>
      </c>
      <c r="CF872" s="387">
        <f t="shared" si="595"/>
        <v>-36.492455999999997</v>
      </c>
      <c r="CG872" s="387">
        <f t="shared" si="596"/>
        <v>0</v>
      </c>
      <c r="CH872" s="387">
        <f t="shared" si="597"/>
        <v>5.2132079999999972</v>
      </c>
      <c r="CI872" s="387">
        <f t="shared" si="598"/>
        <v>0</v>
      </c>
      <c r="CJ872" s="387">
        <f t="shared" si="611"/>
        <v>-31.279247999999999</v>
      </c>
      <c r="CK872" s="387" t="str">
        <f t="shared" si="612"/>
        <v/>
      </c>
      <c r="CL872" s="387" t="str">
        <f t="shared" si="613"/>
        <v/>
      </c>
      <c r="CM872" s="387" t="str">
        <f t="shared" si="614"/>
        <v/>
      </c>
      <c r="CN872" s="387" t="str">
        <f t="shared" si="615"/>
        <v>0348-31</v>
      </c>
    </row>
    <row r="873" spans="1:92" ht="15.75" thickBot="1" x14ac:dyDescent="0.3">
      <c r="A873" s="376" t="s">
        <v>161</v>
      </c>
      <c r="B873" s="376" t="s">
        <v>162</v>
      </c>
      <c r="C873" s="376" t="s">
        <v>928</v>
      </c>
      <c r="D873" s="376" t="s">
        <v>868</v>
      </c>
      <c r="E873" s="376" t="s">
        <v>224</v>
      </c>
      <c r="F873" s="382" t="s">
        <v>225</v>
      </c>
      <c r="G873" s="376" t="s">
        <v>1945</v>
      </c>
      <c r="H873" s="378"/>
      <c r="I873" s="378"/>
      <c r="J873" s="376" t="s">
        <v>215</v>
      </c>
      <c r="K873" s="376" t="s">
        <v>894</v>
      </c>
      <c r="L873" s="376" t="s">
        <v>170</v>
      </c>
      <c r="M873" s="376" t="s">
        <v>171</v>
      </c>
      <c r="N873" s="376" t="s">
        <v>172</v>
      </c>
      <c r="O873" s="379">
        <v>1</v>
      </c>
      <c r="P873" s="385">
        <v>1</v>
      </c>
      <c r="Q873" s="385">
        <v>1</v>
      </c>
      <c r="R873" s="380">
        <v>80</v>
      </c>
      <c r="S873" s="385">
        <v>1</v>
      </c>
      <c r="T873" s="380">
        <v>0</v>
      </c>
      <c r="U873" s="380">
        <v>0</v>
      </c>
      <c r="V873" s="380">
        <v>0</v>
      </c>
      <c r="W873" s="380">
        <v>61214.400000000001</v>
      </c>
      <c r="X873" s="380">
        <v>24887.57</v>
      </c>
      <c r="Y873" s="380">
        <v>61214.400000000001</v>
      </c>
      <c r="Z873" s="380">
        <v>24630.47</v>
      </c>
      <c r="AA873" s="376" t="s">
        <v>929</v>
      </c>
      <c r="AB873" s="376" t="s">
        <v>930</v>
      </c>
      <c r="AC873" s="376" t="s">
        <v>931</v>
      </c>
      <c r="AD873" s="376" t="s">
        <v>932</v>
      </c>
      <c r="AE873" s="376" t="s">
        <v>894</v>
      </c>
      <c r="AF873" s="376" t="s">
        <v>177</v>
      </c>
      <c r="AG873" s="376" t="s">
        <v>178</v>
      </c>
      <c r="AH873" s="381">
        <v>29.43</v>
      </c>
      <c r="AI873" s="381">
        <v>15367.2</v>
      </c>
      <c r="AJ873" s="376" t="s">
        <v>179</v>
      </c>
      <c r="AK873" s="376" t="s">
        <v>180</v>
      </c>
      <c r="AL873" s="376" t="s">
        <v>181</v>
      </c>
      <c r="AM873" s="376" t="s">
        <v>182</v>
      </c>
      <c r="AN873" s="376" t="s">
        <v>68</v>
      </c>
      <c r="AO873" s="379">
        <v>80</v>
      </c>
      <c r="AP873" s="385">
        <v>1</v>
      </c>
      <c r="AQ873" s="385">
        <v>1</v>
      </c>
      <c r="AR873" s="383" t="s">
        <v>183</v>
      </c>
      <c r="AS873" s="387">
        <f t="shared" si="599"/>
        <v>1</v>
      </c>
      <c r="AT873">
        <f t="shared" si="600"/>
        <v>1</v>
      </c>
      <c r="AU873" s="387">
        <f>IF(AT873=0,"",IF(AND(AT873=1,M873="F",SUMIF(C2:C1334,C873,AS2:AS1334)&lt;=1),SUMIF(C2:C1334,C873,AS2:AS1334),IF(AND(AT873=1,M873="F",SUMIF(C2:C1334,C873,AS2:AS1334)&gt;1),1,"")))</f>
        <v>1</v>
      </c>
      <c r="AV873" s="387" t="str">
        <f>IF(AT873=0,"",IF(AND(AT873=3,M873="F",SUMIF(C2:C1334,C873,AS2:AS1334)&lt;=1),SUMIF(C2:C1334,C873,AS2:AS1334),IF(AND(AT873=3,M873="F",SUMIF(C2:C1334,C873,AS2:AS1334)&gt;1),1,"")))</f>
        <v/>
      </c>
      <c r="AW873" s="387">
        <f>SUMIF(C2:C1334,C873,O2:O1334)</f>
        <v>2</v>
      </c>
      <c r="AX873" s="387">
        <f>IF(AND(M873="F",AS873&lt;&gt;0),SUMIF(C2:C1334,C873,W2:W1334),0)</f>
        <v>61214.400000000001</v>
      </c>
      <c r="AY873" s="387">
        <f t="shared" si="601"/>
        <v>61214.400000000001</v>
      </c>
      <c r="AZ873" s="387" t="str">
        <f t="shared" si="602"/>
        <v/>
      </c>
      <c r="BA873" s="387">
        <f t="shared" si="603"/>
        <v>0</v>
      </c>
      <c r="BB873" s="387">
        <f t="shared" si="572"/>
        <v>11650</v>
      </c>
      <c r="BC873" s="387">
        <f t="shared" si="573"/>
        <v>0</v>
      </c>
      <c r="BD873" s="387">
        <f t="shared" si="574"/>
        <v>3795.2928000000002</v>
      </c>
      <c r="BE873" s="387">
        <f t="shared" si="575"/>
        <v>887.60880000000009</v>
      </c>
      <c r="BF873" s="387">
        <f t="shared" si="576"/>
        <v>7308.9993600000007</v>
      </c>
      <c r="BG873" s="387">
        <f t="shared" si="577"/>
        <v>441.35582400000004</v>
      </c>
      <c r="BH873" s="387">
        <f t="shared" si="578"/>
        <v>299.95056</v>
      </c>
      <c r="BI873" s="387">
        <f t="shared" si="579"/>
        <v>338.82170400000001</v>
      </c>
      <c r="BJ873" s="387">
        <f t="shared" si="580"/>
        <v>165.27888000000002</v>
      </c>
      <c r="BK873" s="387">
        <f t="shared" si="581"/>
        <v>0</v>
      </c>
      <c r="BL873" s="387">
        <f t="shared" si="604"/>
        <v>13237.307928</v>
      </c>
      <c r="BM873" s="387">
        <f t="shared" si="605"/>
        <v>0</v>
      </c>
      <c r="BN873" s="387">
        <f t="shared" si="582"/>
        <v>11650</v>
      </c>
      <c r="BO873" s="387">
        <f t="shared" si="583"/>
        <v>0</v>
      </c>
      <c r="BP873" s="387">
        <f t="shared" si="584"/>
        <v>3795.2928000000002</v>
      </c>
      <c r="BQ873" s="387">
        <f t="shared" si="585"/>
        <v>887.60880000000009</v>
      </c>
      <c r="BR873" s="387">
        <f t="shared" si="586"/>
        <v>7308.9993600000007</v>
      </c>
      <c r="BS873" s="387">
        <f t="shared" si="587"/>
        <v>441.35582400000004</v>
      </c>
      <c r="BT873" s="387">
        <f t="shared" si="588"/>
        <v>0</v>
      </c>
      <c r="BU873" s="387">
        <f t="shared" si="589"/>
        <v>338.82170400000001</v>
      </c>
      <c r="BV873" s="387">
        <f t="shared" si="590"/>
        <v>208.12896000000001</v>
      </c>
      <c r="BW873" s="387">
        <f t="shared" si="591"/>
        <v>0</v>
      </c>
      <c r="BX873" s="387">
        <f t="shared" si="606"/>
        <v>12980.207448000001</v>
      </c>
      <c r="BY873" s="387">
        <f t="shared" si="607"/>
        <v>0</v>
      </c>
      <c r="BZ873" s="387">
        <f t="shared" si="608"/>
        <v>0</v>
      </c>
      <c r="CA873" s="387">
        <f t="shared" si="609"/>
        <v>0</v>
      </c>
      <c r="CB873" s="387">
        <f t="shared" si="610"/>
        <v>0</v>
      </c>
      <c r="CC873" s="387">
        <f t="shared" si="592"/>
        <v>0</v>
      </c>
      <c r="CD873" s="387">
        <f t="shared" si="593"/>
        <v>0</v>
      </c>
      <c r="CE873" s="387">
        <f t="shared" si="594"/>
        <v>0</v>
      </c>
      <c r="CF873" s="387">
        <f t="shared" si="595"/>
        <v>-299.95056</v>
      </c>
      <c r="CG873" s="387">
        <f t="shared" si="596"/>
        <v>0</v>
      </c>
      <c r="CH873" s="387">
        <f t="shared" si="597"/>
        <v>42.850079999999984</v>
      </c>
      <c r="CI873" s="387">
        <f t="shared" si="598"/>
        <v>0</v>
      </c>
      <c r="CJ873" s="387">
        <f t="shared" si="611"/>
        <v>-257.10048</v>
      </c>
      <c r="CK873" s="387" t="str">
        <f t="shared" si="612"/>
        <v/>
      </c>
      <c r="CL873" s="387" t="str">
        <f t="shared" si="613"/>
        <v/>
      </c>
      <c r="CM873" s="387" t="str">
        <f t="shared" si="614"/>
        <v/>
      </c>
      <c r="CN873" s="387" t="str">
        <f t="shared" si="615"/>
        <v>0348-31</v>
      </c>
    </row>
    <row r="874" spans="1:92" ht="15.75" thickBot="1" x14ac:dyDescent="0.3">
      <c r="A874" s="376" t="s">
        <v>161</v>
      </c>
      <c r="B874" s="376" t="s">
        <v>162</v>
      </c>
      <c r="C874" s="376" t="s">
        <v>1050</v>
      </c>
      <c r="D874" s="376" t="s">
        <v>862</v>
      </c>
      <c r="E874" s="376" t="s">
        <v>224</v>
      </c>
      <c r="F874" s="382" t="s">
        <v>225</v>
      </c>
      <c r="G874" s="376" t="s">
        <v>1945</v>
      </c>
      <c r="H874" s="378"/>
      <c r="I874" s="378"/>
      <c r="J874" s="376" t="s">
        <v>215</v>
      </c>
      <c r="K874" s="376" t="s">
        <v>863</v>
      </c>
      <c r="L874" s="376" t="s">
        <v>252</v>
      </c>
      <c r="M874" s="376" t="s">
        <v>272</v>
      </c>
      <c r="N874" s="376" t="s">
        <v>172</v>
      </c>
      <c r="O874" s="379">
        <v>0</v>
      </c>
      <c r="P874" s="385">
        <v>1</v>
      </c>
      <c r="Q874" s="385">
        <v>1</v>
      </c>
      <c r="R874" s="380">
        <v>80</v>
      </c>
      <c r="S874" s="385">
        <v>1</v>
      </c>
      <c r="T874" s="380">
        <v>28402</v>
      </c>
      <c r="U874" s="380">
        <v>527.45000000000005</v>
      </c>
      <c r="V874" s="380">
        <v>14656.04</v>
      </c>
      <c r="W874" s="380">
        <v>42328</v>
      </c>
      <c r="X874" s="380">
        <v>18539.66</v>
      </c>
      <c r="Y874" s="380">
        <v>42328</v>
      </c>
      <c r="Z874" s="380">
        <v>18328.02</v>
      </c>
      <c r="AA874" s="378"/>
      <c r="AB874" s="376" t="s">
        <v>45</v>
      </c>
      <c r="AC874" s="376" t="s">
        <v>45</v>
      </c>
      <c r="AD874" s="378"/>
      <c r="AE874" s="378"/>
      <c r="AF874" s="378"/>
      <c r="AG874" s="378"/>
      <c r="AH874" s="379">
        <v>0</v>
      </c>
      <c r="AI874" s="379">
        <v>0</v>
      </c>
      <c r="AJ874" s="378"/>
      <c r="AK874" s="378"/>
      <c r="AL874" s="376" t="s">
        <v>181</v>
      </c>
      <c r="AM874" s="378"/>
      <c r="AN874" s="378"/>
      <c r="AO874" s="379">
        <v>0</v>
      </c>
      <c r="AP874" s="385">
        <v>0</v>
      </c>
      <c r="AQ874" s="385">
        <v>0</v>
      </c>
      <c r="AR874" s="384"/>
      <c r="AS874" s="387">
        <f t="shared" si="599"/>
        <v>0</v>
      </c>
      <c r="AT874">
        <f t="shared" si="600"/>
        <v>0</v>
      </c>
      <c r="AU874" s="387" t="str">
        <f>IF(AT874=0,"",IF(AND(AT874=1,M874="F",SUMIF(C2:C1334,C874,AS2:AS1334)&lt;=1),SUMIF(C2:C1334,C874,AS2:AS1334),IF(AND(AT874=1,M874="F",SUMIF(C2:C1334,C874,AS2:AS1334)&gt;1),1,"")))</f>
        <v/>
      </c>
      <c r="AV874" s="387" t="str">
        <f>IF(AT874=0,"",IF(AND(AT874=3,M874="F",SUMIF(C2:C1334,C874,AS2:AS1334)&lt;=1),SUMIF(C2:C1334,C874,AS2:AS1334),IF(AND(AT874=3,M874="F",SUMIF(C2:C1334,C874,AS2:AS1334)&gt;1),1,"")))</f>
        <v/>
      </c>
      <c r="AW874" s="387">
        <f>SUMIF(C2:C1334,C874,O2:O1334)</f>
        <v>0</v>
      </c>
      <c r="AX874" s="387">
        <f>IF(AND(M874="F",AS874&lt;&gt;0),SUMIF(C2:C1334,C874,W2:W1334),0)</f>
        <v>0</v>
      </c>
      <c r="AY874" s="387" t="str">
        <f t="shared" si="601"/>
        <v/>
      </c>
      <c r="AZ874" s="387" t="str">
        <f t="shared" si="602"/>
        <v/>
      </c>
      <c r="BA874" s="387">
        <f t="shared" si="603"/>
        <v>0</v>
      </c>
      <c r="BB874" s="387">
        <f t="shared" si="572"/>
        <v>0</v>
      </c>
      <c r="BC874" s="387">
        <f t="shared" si="573"/>
        <v>0</v>
      </c>
      <c r="BD874" s="387">
        <f t="shared" si="574"/>
        <v>0</v>
      </c>
      <c r="BE874" s="387">
        <f t="shared" si="575"/>
        <v>0</v>
      </c>
      <c r="BF874" s="387">
        <f t="shared" si="576"/>
        <v>0</v>
      </c>
      <c r="BG874" s="387">
        <f t="shared" si="577"/>
        <v>0</v>
      </c>
      <c r="BH874" s="387">
        <f t="shared" si="578"/>
        <v>0</v>
      </c>
      <c r="BI874" s="387">
        <f t="shared" si="579"/>
        <v>0</v>
      </c>
      <c r="BJ874" s="387">
        <f t="shared" si="580"/>
        <v>0</v>
      </c>
      <c r="BK874" s="387">
        <f t="shared" si="581"/>
        <v>0</v>
      </c>
      <c r="BL874" s="387">
        <f t="shared" si="604"/>
        <v>0</v>
      </c>
      <c r="BM874" s="387">
        <f t="shared" si="605"/>
        <v>0</v>
      </c>
      <c r="BN874" s="387">
        <f t="shared" si="582"/>
        <v>0</v>
      </c>
      <c r="BO874" s="387">
        <f t="shared" si="583"/>
        <v>0</v>
      </c>
      <c r="BP874" s="387">
        <f t="shared" si="584"/>
        <v>0</v>
      </c>
      <c r="BQ874" s="387">
        <f t="shared" si="585"/>
        <v>0</v>
      </c>
      <c r="BR874" s="387">
        <f t="shared" si="586"/>
        <v>0</v>
      </c>
      <c r="BS874" s="387">
        <f t="shared" si="587"/>
        <v>0</v>
      </c>
      <c r="BT874" s="387">
        <f t="shared" si="588"/>
        <v>0</v>
      </c>
      <c r="BU874" s="387">
        <f t="shared" si="589"/>
        <v>0</v>
      </c>
      <c r="BV874" s="387">
        <f t="shared" si="590"/>
        <v>0</v>
      </c>
      <c r="BW874" s="387">
        <f t="shared" si="591"/>
        <v>0</v>
      </c>
      <c r="BX874" s="387">
        <f t="shared" si="606"/>
        <v>0</v>
      </c>
      <c r="BY874" s="387">
        <f t="shared" si="607"/>
        <v>0</v>
      </c>
      <c r="BZ874" s="387">
        <f t="shared" si="608"/>
        <v>0</v>
      </c>
      <c r="CA874" s="387">
        <f t="shared" si="609"/>
        <v>0</v>
      </c>
      <c r="CB874" s="387">
        <f t="shared" si="610"/>
        <v>0</v>
      </c>
      <c r="CC874" s="387">
        <f t="shared" si="592"/>
        <v>0</v>
      </c>
      <c r="CD874" s="387">
        <f t="shared" si="593"/>
        <v>0</v>
      </c>
      <c r="CE874" s="387">
        <f t="shared" si="594"/>
        <v>0</v>
      </c>
      <c r="CF874" s="387">
        <f t="shared" si="595"/>
        <v>0</v>
      </c>
      <c r="CG874" s="387">
        <f t="shared" si="596"/>
        <v>0</v>
      </c>
      <c r="CH874" s="387">
        <f t="shared" si="597"/>
        <v>0</v>
      </c>
      <c r="CI874" s="387">
        <f t="shared" si="598"/>
        <v>0</v>
      </c>
      <c r="CJ874" s="387">
        <f t="shared" si="611"/>
        <v>0</v>
      </c>
      <c r="CK874" s="387" t="str">
        <f t="shared" si="612"/>
        <v/>
      </c>
      <c r="CL874" s="387" t="str">
        <f t="shared" si="613"/>
        <v/>
      </c>
      <c r="CM874" s="387" t="str">
        <f t="shared" si="614"/>
        <v/>
      </c>
      <c r="CN874" s="387" t="str">
        <f t="shared" si="615"/>
        <v>0348-31</v>
      </c>
    </row>
    <row r="875" spans="1:92" ht="15.75" thickBot="1" x14ac:dyDescent="0.3">
      <c r="A875" s="376" t="s">
        <v>161</v>
      </c>
      <c r="B875" s="376" t="s">
        <v>162</v>
      </c>
      <c r="C875" s="376" t="s">
        <v>2063</v>
      </c>
      <c r="D875" s="376" t="s">
        <v>862</v>
      </c>
      <c r="E875" s="376" t="s">
        <v>224</v>
      </c>
      <c r="F875" s="382" t="s">
        <v>225</v>
      </c>
      <c r="G875" s="376" t="s">
        <v>1945</v>
      </c>
      <c r="H875" s="378"/>
      <c r="I875" s="378"/>
      <c r="J875" s="376" t="s">
        <v>215</v>
      </c>
      <c r="K875" s="376" t="s">
        <v>863</v>
      </c>
      <c r="L875" s="376" t="s">
        <v>252</v>
      </c>
      <c r="M875" s="376" t="s">
        <v>171</v>
      </c>
      <c r="N875" s="376" t="s">
        <v>877</v>
      </c>
      <c r="O875" s="379">
        <v>1</v>
      </c>
      <c r="P875" s="385">
        <v>1</v>
      </c>
      <c r="Q875" s="385">
        <v>1</v>
      </c>
      <c r="R875" s="380">
        <v>80</v>
      </c>
      <c r="S875" s="385">
        <v>1</v>
      </c>
      <c r="T875" s="380">
        <v>3540</v>
      </c>
      <c r="U875" s="380">
        <v>0</v>
      </c>
      <c r="V875" s="380">
        <v>2208.11</v>
      </c>
      <c r="W875" s="380">
        <v>36816</v>
      </c>
      <c r="X875" s="380">
        <v>19611.439999999999</v>
      </c>
      <c r="Y875" s="380">
        <v>36816</v>
      </c>
      <c r="Z875" s="380">
        <v>19456.82</v>
      </c>
      <c r="AA875" s="376" t="s">
        <v>2064</v>
      </c>
      <c r="AB875" s="376" t="s">
        <v>2065</v>
      </c>
      <c r="AC875" s="376" t="s">
        <v>305</v>
      </c>
      <c r="AD875" s="376" t="s">
        <v>2066</v>
      </c>
      <c r="AE875" s="376" t="s">
        <v>863</v>
      </c>
      <c r="AF875" s="376" t="s">
        <v>393</v>
      </c>
      <c r="AG875" s="376" t="s">
        <v>178</v>
      </c>
      <c r="AH875" s="381">
        <v>17.7</v>
      </c>
      <c r="AI875" s="381">
        <v>13947.4</v>
      </c>
      <c r="AJ875" s="376" t="s">
        <v>179</v>
      </c>
      <c r="AK875" s="376" t="s">
        <v>180</v>
      </c>
      <c r="AL875" s="376" t="s">
        <v>181</v>
      </c>
      <c r="AM875" s="376" t="s">
        <v>182</v>
      </c>
      <c r="AN875" s="376" t="s">
        <v>68</v>
      </c>
      <c r="AO875" s="379">
        <v>80</v>
      </c>
      <c r="AP875" s="385">
        <v>1</v>
      </c>
      <c r="AQ875" s="385">
        <v>1</v>
      </c>
      <c r="AR875" s="383" t="s">
        <v>183</v>
      </c>
      <c r="AS875" s="387">
        <f t="shared" si="599"/>
        <v>1</v>
      </c>
      <c r="AT875">
        <f t="shared" si="600"/>
        <v>1</v>
      </c>
      <c r="AU875" s="387">
        <f>IF(AT875=0,"",IF(AND(AT875=1,M875="F",SUMIF(C2:C1334,C875,AS2:AS1334)&lt;=1),SUMIF(C2:C1334,C875,AS2:AS1334),IF(AND(AT875=1,M875="F",SUMIF(C2:C1334,C875,AS2:AS1334)&gt;1),1,"")))</f>
        <v>1</v>
      </c>
      <c r="AV875" s="387" t="str">
        <f>IF(AT875=0,"",IF(AND(AT875=3,M875="F",SUMIF(C2:C1334,C875,AS2:AS1334)&lt;=1),SUMIF(C2:C1334,C875,AS2:AS1334),IF(AND(AT875=3,M875="F",SUMIF(C2:C1334,C875,AS2:AS1334)&gt;1),1,"")))</f>
        <v/>
      </c>
      <c r="AW875" s="387">
        <f>SUMIF(C2:C1334,C875,O2:O1334)</f>
        <v>1</v>
      </c>
      <c r="AX875" s="387">
        <f>IF(AND(M875="F",AS875&lt;&gt;0),SUMIF(C2:C1334,C875,W2:W1334),0)</f>
        <v>36816</v>
      </c>
      <c r="AY875" s="387">
        <f t="shared" si="601"/>
        <v>36816</v>
      </c>
      <c r="AZ875" s="387" t="str">
        <f t="shared" si="602"/>
        <v/>
      </c>
      <c r="BA875" s="387">
        <f t="shared" si="603"/>
        <v>0</v>
      </c>
      <c r="BB875" s="387">
        <f t="shared" si="572"/>
        <v>11650</v>
      </c>
      <c r="BC875" s="387">
        <f t="shared" si="573"/>
        <v>0</v>
      </c>
      <c r="BD875" s="387">
        <f t="shared" si="574"/>
        <v>2282.5920000000001</v>
      </c>
      <c r="BE875" s="387">
        <f t="shared" si="575"/>
        <v>533.83199999999999</v>
      </c>
      <c r="BF875" s="387">
        <f t="shared" si="576"/>
        <v>4395.8303999999998</v>
      </c>
      <c r="BG875" s="387">
        <f t="shared" si="577"/>
        <v>265.44335999999998</v>
      </c>
      <c r="BH875" s="387">
        <f t="shared" si="578"/>
        <v>180.39839999999998</v>
      </c>
      <c r="BI875" s="387">
        <f t="shared" si="579"/>
        <v>203.77655999999999</v>
      </c>
      <c r="BJ875" s="387">
        <f t="shared" si="580"/>
        <v>99.403199999999998</v>
      </c>
      <c r="BK875" s="387">
        <f t="shared" si="581"/>
        <v>0</v>
      </c>
      <c r="BL875" s="387">
        <f t="shared" si="604"/>
        <v>7961.27592</v>
      </c>
      <c r="BM875" s="387">
        <f t="shared" si="605"/>
        <v>0</v>
      </c>
      <c r="BN875" s="387">
        <f t="shared" si="582"/>
        <v>11650</v>
      </c>
      <c r="BO875" s="387">
        <f t="shared" si="583"/>
        <v>0</v>
      </c>
      <c r="BP875" s="387">
        <f t="shared" si="584"/>
        <v>2282.5920000000001</v>
      </c>
      <c r="BQ875" s="387">
        <f t="shared" si="585"/>
        <v>533.83199999999999</v>
      </c>
      <c r="BR875" s="387">
        <f t="shared" si="586"/>
        <v>4395.8303999999998</v>
      </c>
      <c r="BS875" s="387">
        <f t="shared" si="587"/>
        <v>265.44335999999998</v>
      </c>
      <c r="BT875" s="387">
        <f t="shared" si="588"/>
        <v>0</v>
      </c>
      <c r="BU875" s="387">
        <f t="shared" si="589"/>
        <v>203.77655999999999</v>
      </c>
      <c r="BV875" s="387">
        <f t="shared" si="590"/>
        <v>125.17439999999999</v>
      </c>
      <c r="BW875" s="387">
        <f t="shared" si="591"/>
        <v>0</v>
      </c>
      <c r="BX875" s="387">
        <f t="shared" si="606"/>
        <v>7806.6487200000001</v>
      </c>
      <c r="BY875" s="387">
        <f t="shared" si="607"/>
        <v>0</v>
      </c>
      <c r="BZ875" s="387">
        <f t="shared" si="608"/>
        <v>0</v>
      </c>
      <c r="CA875" s="387">
        <f t="shared" si="609"/>
        <v>0</v>
      </c>
      <c r="CB875" s="387">
        <f t="shared" si="610"/>
        <v>0</v>
      </c>
      <c r="CC875" s="387">
        <f t="shared" si="592"/>
        <v>0</v>
      </c>
      <c r="CD875" s="387">
        <f t="shared" si="593"/>
        <v>0</v>
      </c>
      <c r="CE875" s="387">
        <f t="shared" si="594"/>
        <v>0</v>
      </c>
      <c r="CF875" s="387">
        <f t="shared" si="595"/>
        <v>-180.39839999999998</v>
      </c>
      <c r="CG875" s="387">
        <f t="shared" si="596"/>
        <v>0</v>
      </c>
      <c r="CH875" s="387">
        <f t="shared" si="597"/>
        <v>25.771199999999986</v>
      </c>
      <c r="CI875" s="387">
        <f t="shared" si="598"/>
        <v>0</v>
      </c>
      <c r="CJ875" s="387">
        <f t="shared" si="611"/>
        <v>-154.62719999999999</v>
      </c>
      <c r="CK875" s="387" t="str">
        <f t="shared" si="612"/>
        <v/>
      </c>
      <c r="CL875" s="387" t="str">
        <f t="shared" si="613"/>
        <v/>
      </c>
      <c r="CM875" s="387" t="str">
        <f t="shared" si="614"/>
        <v/>
      </c>
      <c r="CN875" s="387" t="str">
        <f t="shared" si="615"/>
        <v>0348-31</v>
      </c>
    </row>
    <row r="876" spans="1:92" ht="15.75" thickBot="1" x14ac:dyDescent="0.3">
      <c r="A876" s="376" t="s">
        <v>161</v>
      </c>
      <c r="B876" s="376" t="s">
        <v>162</v>
      </c>
      <c r="C876" s="376" t="s">
        <v>1154</v>
      </c>
      <c r="D876" s="376" t="s">
        <v>862</v>
      </c>
      <c r="E876" s="376" t="s">
        <v>224</v>
      </c>
      <c r="F876" s="382" t="s">
        <v>225</v>
      </c>
      <c r="G876" s="376" t="s">
        <v>1945</v>
      </c>
      <c r="H876" s="378"/>
      <c r="I876" s="378"/>
      <c r="J876" s="376" t="s">
        <v>239</v>
      </c>
      <c r="K876" s="376" t="s">
        <v>863</v>
      </c>
      <c r="L876" s="376" t="s">
        <v>252</v>
      </c>
      <c r="M876" s="376" t="s">
        <v>171</v>
      </c>
      <c r="N876" s="376" t="s">
        <v>172</v>
      </c>
      <c r="O876" s="379">
        <v>1</v>
      </c>
      <c r="P876" s="385">
        <v>0.25</v>
      </c>
      <c r="Q876" s="385">
        <v>0.25</v>
      </c>
      <c r="R876" s="380">
        <v>80</v>
      </c>
      <c r="S876" s="385">
        <v>0.25</v>
      </c>
      <c r="T876" s="380">
        <v>7480.17</v>
      </c>
      <c r="U876" s="380">
        <v>0</v>
      </c>
      <c r="V876" s="380">
        <v>3449.29</v>
      </c>
      <c r="W876" s="380">
        <v>12922</v>
      </c>
      <c r="X876" s="380">
        <v>5706.87</v>
      </c>
      <c r="Y876" s="380">
        <v>12922</v>
      </c>
      <c r="Z876" s="380">
        <v>5652.6</v>
      </c>
      <c r="AA876" s="376" t="s">
        <v>1155</v>
      </c>
      <c r="AB876" s="376" t="s">
        <v>1156</v>
      </c>
      <c r="AC876" s="376" t="s">
        <v>1157</v>
      </c>
      <c r="AD876" s="376" t="s">
        <v>324</v>
      </c>
      <c r="AE876" s="376" t="s">
        <v>863</v>
      </c>
      <c r="AF876" s="376" t="s">
        <v>393</v>
      </c>
      <c r="AG876" s="376" t="s">
        <v>178</v>
      </c>
      <c r="AH876" s="381">
        <v>24.85</v>
      </c>
      <c r="AI876" s="381">
        <v>47177.9</v>
      </c>
      <c r="AJ876" s="376" t="s">
        <v>179</v>
      </c>
      <c r="AK876" s="376" t="s">
        <v>180</v>
      </c>
      <c r="AL876" s="376" t="s">
        <v>181</v>
      </c>
      <c r="AM876" s="376" t="s">
        <v>182</v>
      </c>
      <c r="AN876" s="376" t="s">
        <v>68</v>
      </c>
      <c r="AO876" s="379">
        <v>80</v>
      </c>
      <c r="AP876" s="385">
        <v>1</v>
      </c>
      <c r="AQ876" s="385">
        <v>0.25</v>
      </c>
      <c r="AR876" s="383" t="s">
        <v>183</v>
      </c>
      <c r="AS876" s="387">
        <f t="shared" si="599"/>
        <v>0.25</v>
      </c>
      <c r="AT876">
        <f t="shared" si="600"/>
        <v>1</v>
      </c>
      <c r="AU876" s="387">
        <f>IF(AT876=0,"",IF(AND(AT876=1,M876="F",SUMIF(C2:C1334,C876,AS2:AS1334)&lt;=1),SUMIF(C2:C1334,C876,AS2:AS1334),IF(AND(AT876=1,M876="F",SUMIF(C2:C1334,C876,AS2:AS1334)&gt;1),1,"")))</f>
        <v>1</v>
      </c>
      <c r="AV876" s="387" t="str">
        <f>IF(AT876=0,"",IF(AND(AT876=3,M876="F",SUMIF(C2:C1334,C876,AS2:AS1334)&lt;=1),SUMIF(C2:C1334,C876,AS2:AS1334),IF(AND(AT876=3,M876="F",SUMIF(C2:C1334,C876,AS2:AS1334)&gt;1),1,"")))</f>
        <v/>
      </c>
      <c r="AW876" s="387">
        <f>SUMIF(C2:C1334,C876,O2:O1334)</f>
        <v>3</v>
      </c>
      <c r="AX876" s="387">
        <f>IF(AND(M876="F",AS876&lt;&gt;0),SUMIF(C2:C1334,C876,W2:W1334),0)</f>
        <v>51688</v>
      </c>
      <c r="AY876" s="387">
        <f t="shared" si="601"/>
        <v>12922</v>
      </c>
      <c r="AZ876" s="387" t="str">
        <f t="shared" si="602"/>
        <v/>
      </c>
      <c r="BA876" s="387">
        <f t="shared" si="603"/>
        <v>0</v>
      </c>
      <c r="BB876" s="387">
        <f t="shared" si="572"/>
        <v>2912.5</v>
      </c>
      <c r="BC876" s="387">
        <f t="shared" si="573"/>
        <v>0</v>
      </c>
      <c r="BD876" s="387">
        <f t="shared" si="574"/>
        <v>801.16399999999999</v>
      </c>
      <c r="BE876" s="387">
        <f t="shared" si="575"/>
        <v>187.369</v>
      </c>
      <c r="BF876" s="387">
        <f t="shared" si="576"/>
        <v>1542.8868</v>
      </c>
      <c r="BG876" s="387">
        <f t="shared" si="577"/>
        <v>93.167619999999999</v>
      </c>
      <c r="BH876" s="387">
        <f t="shared" si="578"/>
        <v>63.317799999999998</v>
      </c>
      <c r="BI876" s="387">
        <f t="shared" si="579"/>
        <v>71.523269999999997</v>
      </c>
      <c r="BJ876" s="387">
        <f t="shared" si="580"/>
        <v>34.889400000000002</v>
      </c>
      <c r="BK876" s="387">
        <f t="shared" si="581"/>
        <v>0</v>
      </c>
      <c r="BL876" s="387">
        <f t="shared" si="604"/>
        <v>2794.3178900000003</v>
      </c>
      <c r="BM876" s="387">
        <f t="shared" si="605"/>
        <v>0</v>
      </c>
      <c r="BN876" s="387">
        <f t="shared" si="582"/>
        <v>2912.5</v>
      </c>
      <c r="BO876" s="387">
        <f t="shared" si="583"/>
        <v>0</v>
      </c>
      <c r="BP876" s="387">
        <f t="shared" si="584"/>
        <v>801.16399999999999</v>
      </c>
      <c r="BQ876" s="387">
        <f t="shared" si="585"/>
        <v>187.369</v>
      </c>
      <c r="BR876" s="387">
        <f t="shared" si="586"/>
        <v>1542.8868</v>
      </c>
      <c r="BS876" s="387">
        <f t="shared" si="587"/>
        <v>93.167619999999999</v>
      </c>
      <c r="BT876" s="387">
        <f t="shared" si="588"/>
        <v>0</v>
      </c>
      <c r="BU876" s="387">
        <f t="shared" si="589"/>
        <v>71.523269999999997</v>
      </c>
      <c r="BV876" s="387">
        <f t="shared" si="590"/>
        <v>43.934799999999996</v>
      </c>
      <c r="BW876" s="387">
        <f t="shared" si="591"/>
        <v>0</v>
      </c>
      <c r="BX876" s="387">
        <f t="shared" si="606"/>
        <v>2740.0454900000004</v>
      </c>
      <c r="BY876" s="387">
        <f t="shared" si="607"/>
        <v>0</v>
      </c>
      <c r="BZ876" s="387">
        <f t="shared" si="608"/>
        <v>0</v>
      </c>
      <c r="CA876" s="387">
        <f t="shared" si="609"/>
        <v>0</v>
      </c>
      <c r="CB876" s="387">
        <f t="shared" si="610"/>
        <v>0</v>
      </c>
      <c r="CC876" s="387">
        <f t="shared" si="592"/>
        <v>0</v>
      </c>
      <c r="CD876" s="387">
        <f t="shared" si="593"/>
        <v>0</v>
      </c>
      <c r="CE876" s="387">
        <f t="shared" si="594"/>
        <v>0</v>
      </c>
      <c r="CF876" s="387">
        <f t="shared" si="595"/>
        <v>-63.317799999999998</v>
      </c>
      <c r="CG876" s="387">
        <f t="shared" si="596"/>
        <v>0</v>
      </c>
      <c r="CH876" s="387">
        <f t="shared" si="597"/>
        <v>9.0453999999999954</v>
      </c>
      <c r="CI876" s="387">
        <f t="shared" si="598"/>
        <v>0</v>
      </c>
      <c r="CJ876" s="387">
        <f t="shared" si="611"/>
        <v>-54.272400000000005</v>
      </c>
      <c r="CK876" s="387" t="str">
        <f t="shared" si="612"/>
        <v/>
      </c>
      <c r="CL876" s="387" t="str">
        <f t="shared" si="613"/>
        <v/>
      </c>
      <c r="CM876" s="387" t="str">
        <f t="shared" si="614"/>
        <v/>
      </c>
      <c r="CN876" s="387" t="str">
        <f t="shared" si="615"/>
        <v>0348-31</v>
      </c>
    </row>
    <row r="877" spans="1:92" ht="15.75" thickBot="1" x14ac:dyDescent="0.3">
      <c r="A877" s="376" t="s">
        <v>161</v>
      </c>
      <c r="B877" s="376" t="s">
        <v>162</v>
      </c>
      <c r="C877" s="376" t="s">
        <v>937</v>
      </c>
      <c r="D877" s="376" t="s">
        <v>270</v>
      </c>
      <c r="E877" s="376" t="s">
        <v>224</v>
      </c>
      <c r="F877" s="382" t="s">
        <v>225</v>
      </c>
      <c r="G877" s="376" t="s">
        <v>1945</v>
      </c>
      <c r="H877" s="378"/>
      <c r="I877" s="378"/>
      <c r="J877" s="376" t="s">
        <v>215</v>
      </c>
      <c r="K877" s="376" t="s">
        <v>271</v>
      </c>
      <c r="L877" s="376" t="s">
        <v>217</v>
      </c>
      <c r="M877" s="376" t="s">
        <v>171</v>
      </c>
      <c r="N877" s="376" t="s">
        <v>172</v>
      </c>
      <c r="O877" s="379">
        <v>1</v>
      </c>
      <c r="P877" s="385">
        <v>1</v>
      </c>
      <c r="Q877" s="385">
        <v>1</v>
      </c>
      <c r="R877" s="380">
        <v>80</v>
      </c>
      <c r="S877" s="385">
        <v>1</v>
      </c>
      <c r="T877" s="380">
        <v>0</v>
      </c>
      <c r="U877" s="380">
        <v>0</v>
      </c>
      <c r="V877" s="380">
        <v>0</v>
      </c>
      <c r="W877" s="380">
        <v>35422.400000000001</v>
      </c>
      <c r="X877" s="380">
        <v>19310.060000000001</v>
      </c>
      <c r="Y877" s="380">
        <v>35422.400000000001</v>
      </c>
      <c r="Z877" s="380">
        <v>19161.29</v>
      </c>
      <c r="AA877" s="376" t="s">
        <v>938</v>
      </c>
      <c r="AB877" s="376" t="s">
        <v>939</v>
      </c>
      <c r="AC877" s="376" t="s">
        <v>940</v>
      </c>
      <c r="AD877" s="376" t="s">
        <v>941</v>
      </c>
      <c r="AE877" s="376" t="s">
        <v>271</v>
      </c>
      <c r="AF877" s="376" t="s">
        <v>221</v>
      </c>
      <c r="AG877" s="376" t="s">
        <v>178</v>
      </c>
      <c r="AH877" s="381">
        <v>17.03</v>
      </c>
      <c r="AI877" s="381">
        <v>10056.799999999999</v>
      </c>
      <c r="AJ877" s="376" t="s">
        <v>179</v>
      </c>
      <c r="AK877" s="376" t="s">
        <v>180</v>
      </c>
      <c r="AL877" s="376" t="s">
        <v>181</v>
      </c>
      <c r="AM877" s="376" t="s">
        <v>182</v>
      </c>
      <c r="AN877" s="376" t="s">
        <v>68</v>
      </c>
      <c r="AO877" s="379">
        <v>80</v>
      </c>
      <c r="AP877" s="385">
        <v>1</v>
      </c>
      <c r="AQ877" s="385">
        <v>1</v>
      </c>
      <c r="AR877" s="383" t="s">
        <v>183</v>
      </c>
      <c r="AS877" s="387">
        <f t="shared" si="599"/>
        <v>1</v>
      </c>
      <c r="AT877">
        <f t="shared" si="600"/>
        <v>1</v>
      </c>
      <c r="AU877" s="387">
        <f>IF(AT877=0,"",IF(AND(AT877=1,M877="F",SUMIF(C2:C1334,C877,AS2:AS1334)&lt;=1),SUMIF(C2:C1334,C877,AS2:AS1334),IF(AND(AT877=1,M877="F",SUMIF(C2:C1334,C877,AS2:AS1334)&gt;1),1,"")))</f>
        <v>1</v>
      </c>
      <c r="AV877" s="387" t="str">
        <f>IF(AT877=0,"",IF(AND(AT877=3,M877="F",SUMIF(C2:C1334,C877,AS2:AS1334)&lt;=1),SUMIF(C2:C1334,C877,AS2:AS1334),IF(AND(AT877=3,M877="F",SUMIF(C2:C1334,C877,AS2:AS1334)&gt;1),1,"")))</f>
        <v/>
      </c>
      <c r="AW877" s="387">
        <f>SUMIF(C2:C1334,C877,O2:O1334)</f>
        <v>2</v>
      </c>
      <c r="AX877" s="387">
        <f>IF(AND(M877="F",AS877&lt;&gt;0),SUMIF(C2:C1334,C877,W2:W1334),0)</f>
        <v>35422.400000000001</v>
      </c>
      <c r="AY877" s="387">
        <f t="shared" si="601"/>
        <v>35422.400000000001</v>
      </c>
      <c r="AZ877" s="387" t="str">
        <f t="shared" si="602"/>
        <v/>
      </c>
      <c r="BA877" s="387">
        <f t="shared" si="603"/>
        <v>0</v>
      </c>
      <c r="BB877" s="387">
        <f t="shared" si="572"/>
        <v>11650</v>
      </c>
      <c r="BC877" s="387">
        <f t="shared" si="573"/>
        <v>0</v>
      </c>
      <c r="BD877" s="387">
        <f t="shared" si="574"/>
        <v>2196.1887999999999</v>
      </c>
      <c r="BE877" s="387">
        <f t="shared" si="575"/>
        <v>513.62480000000005</v>
      </c>
      <c r="BF877" s="387">
        <f t="shared" si="576"/>
        <v>4229.4345600000006</v>
      </c>
      <c r="BG877" s="387">
        <f t="shared" si="577"/>
        <v>255.39550400000002</v>
      </c>
      <c r="BH877" s="387">
        <f t="shared" si="578"/>
        <v>173.56976</v>
      </c>
      <c r="BI877" s="387">
        <f t="shared" si="579"/>
        <v>196.062984</v>
      </c>
      <c r="BJ877" s="387">
        <f t="shared" si="580"/>
        <v>95.640480000000011</v>
      </c>
      <c r="BK877" s="387">
        <f t="shared" si="581"/>
        <v>0</v>
      </c>
      <c r="BL877" s="387">
        <f t="shared" si="604"/>
        <v>7659.9168880000016</v>
      </c>
      <c r="BM877" s="387">
        <f t="shared" si="605"/>
        <v>0</v>
      </c>
      <c r="BN877" s="387">
        <f t="shared" si="582"/>
        <v>11650</v>
      </c>
      <c r="BO877" s="387">
        <f t="shared" si="583"/>
        <v>0</v>
      </c>
      <c r="BP877" s="387">
        <f t="shared" si="584"/>
        <v>2196.1887999999999</v>
      </c>
      <c r="BQ877" s="387">
        <f t="shared" si="585"/>
        <v>513.62480000000005</v>
      </c>
      <c r="BR877" s="387">
        <f t="shared" si="586"/>
        <v>4229.4345600000006</v>
      </c>
      <c r="BS877" s="387">
        <f t="shared" si="587"/>
        <v>255.39550400000002</v>
      </c>
      <c r="BT877" s="387">
        <f t="shared" si="588"/>
        <v>0</v>
      </c>
      <c r="BU877" s="387">
        <f t="shared" si="589"/>
        <v>196.062984</v>
      </c>
      <c r="BV877" s="387">
        <f t="shared" si="590"/>
        <v>120.43616</v>
      </c>
      <c r="BW877" s="387">
        <f t="shared" si="591"/>
        <v>0</v>
      </c>
      <c r="BX877" s="387">
        <f t="shared" si="606"/>
        <v>7511.1428080000014</v>
      </c>
      <c r="BY877" s="387">
        <f t="shared" si="607"/>
        <v>0</v>
      </c>
      <c r="BZ877" s="387">
        <f t="shared" si="608"/>
        <v>0</v>
      </c>
      <c r="CA877" s="387">
        <f t="shared" si="609"/>
        <v>0</v>
      </c>
      <c r="CB877" s="387">
        <f t="shared" si="610"/>
        <v>0</v>
      </c>
      <c r="CC877" s="387">
        <f t="shared" si="592"/>
        <v>0</v>
      </c>
      <c r="CD877" s="387">
        <f t="shared" si="593"/>
        <v>0</v>
      </c>
      <c r="CE877" s="387">
        <f t="shared" si="594"/>
        <v>0</v>
      </c>
      <c r="CF877" s="387">
        <f t="shared" si="595"/>
        <v>-173.56976</v>
      </c>
      <c r="CG877" s="387">
        <f t="shared" si="596"/>
        <v>0</v>
      </c>
      <c r="CH877" s="387">
        <f t="shared" si="597"/>
        <v>24.79567999999999</v>
      </c>
      <c r="CI877" s="387">
        <f t="shared" si="598"/>
        <v>0</v>
      </c>
      <c r="CJ877" s="387">
        <f t="shared" si="611"/>
        <v>-148.77408000000003</v>
      </c>
      <c r="CK877" s="387" t="str">
        <f t="shared" si="612"/>
        <v/>
      </c>
      <c r="CL877" s="387" t="str">
        <f t="shared" si="613"/>
        <v/>
      </c>
      <c r="CM877" s="387" t="str">
        <f t="shared" si="614"/>
        <v/>
      </c>
      <c r="CN877" s="387" t="str">
        <f t="shared" si="615"/>
        <v>0348-31</v>
      </c>
    </row>
    <row r="878" spans="1:92" ht="15.75" thickBot="1" x14ac:dyDescent="0.3">
      <c r="A878" s="376" t="s">
        <v>161</v>
      </c>
      <c r="B878" s="376" t="s">
        <v>162</v>
      </c>
      <c r="C878" s="376" t="s">
        <v>711</v>
      </c>
      <c r="D878" s="376" t="s">
        <v>270</v>
      </c>
      <c r="E878" s="376" t="s">
        <v>224</v>
      </c>
      <c r="F878" s="382" t="s">
        <v>225</v>
      </c>
      <c r="G878" s="376" t="s">
        <v>1945</v>
      </c>
      <c r="H878" s="378"/>
      <c r="I878" s="378"/>
      <c r="J878" s="376" t="s">
        <v>215</v>
      </c>
      <c r="K878" s="376" t="s">
        <v>271</v>
      </c>
      <c r="L878" s="376" t="s">
        <v>217</v>
      </c>
      <c r="M878" s="376" t="s">
        <v>272</v>
      </c>
      <c r="N878" s="376" t="s">
        <v>172</v>
      </c>
      <c r="O878" s="379">
        <v>0</v>
      </c>
      <c r="P878" s="385">
        <v>1</v>
      </c>
      <c r="Q878" s="385">
        <v>1</v>
      </c>
      <c r="R878" s="380">
        <v>80</v>
      </c>
      <c r="S878" s="385">
        <v>1</v>
      </c>
      <c r="T878" s="380">
        <v>24362.85</v>
      </c>
      <c r="U878" s="380">
        <v>0</v>
      </c>
      <c r="V878" s="380">
        <v>15718.14</v>
      </c>
      <c r="W878" s="380">
        <v>37502.400000000001</v>
      </c>
      <c r="X878" s="380">
        <v>16426.05</v>
      </c>
      <c r="Y878" s="380">
        <v>37502.400000000001</v>
      </c>
      <c r="Z878" s="380">
        <v>16238.53</v>
      </c>
      <c r="AA878" s="378"/>
      <c r="AB878" s="376" t="s">
        <v>45</v>
      </c>
      <c r="AC878" s="376" t="s">
        <v>45</v>
      </c>
      <c r="AD878" s="378"/>
      <c r="AE878" s="378"/>
      <c r="AF878" s="378"/>
      <c r="AG878" s="378"/>
      <c r="AH878" s="379">
        <v>0</v>
      </c>
      <c r="AI878" s="379">
        <v>0</v>
      </c>
      <c r="AJ878" s="378"/>
      <c r="AK878" s="378"/>
      <c r="AL878" s="376" t="s">
        <v>181</v>
      </c>
      <c r="AM878" s="378"/>
      <c r="AN878" s="378"/>
      <c r="AO878" s="379">
        <v>0</v>
      </c>
      <c r="AP878" s="385">
        <v>0</v>
      </c>
      <c r="AQ878" s="385">
        <v>0</v>
      </c>
      <c r="AR878" s="384"/>
      <c r="AS878" s="387">
        <f t="shared" si="599"/>
        <v>0</v>
      </c>
      <c r="AT878">
        <f t="shared" si="600"/>
        <v>0</v>
      </c>
      <c r="AU878" s="387" t="str">
        <f>IF(AT878=0,"",IF(AND(AT878=1,M878="F",SUMIF(C2:C1334,C878,AS2:AS1334)&lt;=1),SUMIF(C2:C1334,C878,AS2:AS1334),IF(AND(AT878=1,M878="F",SUMIF(C2:C1334,C878,AS2:AS1334)&gt;1),1,"")))</f>
        <v/>
      </c>
      <c r="AV878" s="387" t="str">
        <f>IF(AT878=0,"",IF(AND(AT878=3,M878="F",SUMIF(C2:C1334,C878,AS2:AS1334)&lt;=1),SUMIF(C2:C1334,C878,AS2:AS1334),IF(AND(AT878=3,M878="F",SUMIF(C2:C1334,C878,AS2:AS1334)&gt;1),1,"")))</f>
        <v/>
      </c>
      <c r="AW878" s="387">
        <f>SUMIF(C2:C1334,C878,O2:O1334)</f>
        <v>0</v>
      </c>
      <c r="AX878" s="387">
        <f>IF(AND(M878="F",AS878&lt;&gt;0),SUMIF(C2:C1334,C878,W2:W1334),0)</f>
        <v>0</v>
      </c>
      <c r="AY878" s="387" t="str">
        <f t="shared" si="601"/>
        <v/>
      </c>
      <c r="AZ878" s="387" t="str">
        <f t="shared" si="602"/>
        <v/>
      </c>
      <c r="BA878" s="387">
        <f t="shared" si="603"/>
        <v>0</v>
      </c>
      <c r="BB878" s="387">
        <f t="shared" si="572"/>
        <v>0</v>
      </c>
      <c r="BC878" s="387">
        <f t="shared" si="573"/>
        <v>0</v>
      </c>
      <c r="BD878" s="387">
        <f t="shared" si="574"/>
        <v>0</v>
      </c>
      <c r="BE878" s="387">
        <f t="shared" si="575"/>
        <v>0</v>
      </c>
      <c r="BF878" s="387">
        <f t="shared" si="576"/>
        <v>0</v>
      </c>
      <c r="BG878" s="387">
        <f t="shared" si="577"/>
        <v>0</v>
      </c>
      <c r="BH878" s="387">
        <f t="shared" si="578"/>
        <v>0</v>
      </c>
      <c r="BI878" s="387">
        <f t="shared" si="579"/>
        <v>0</v>
      </c>
      <c r="BJ878" s="387">
        <f t="shared" si="580"/>
        <v>0</v>
      </c>
      <c r="BK878" s="387">
        <f t="shared" si="581"/>
        <v>0</v>
      </c>
      <c r="BL878" s="387">
        <f t="shared" si="604"/>
        <v>0</v>
      </c>
      <c r="BM878" s="387">
        <f t="shared" si="605"/>
        <v>0</v>
      </c>
      <c r="BN878" s="387">
        <f t="shared" si="582"/>
        <v>0</v>
      </c>
      <c r="BO878" s="387">
        <f t="shared" si="583"/>
        <v>0</v>
      </c>
      <c r="BP878" s="387">
        <f t="shared" si="584"/>
        <v>0</v>
      </c>
      <c r="BQ878" s="387">
        <f t="shared" si="585"/>
        <v>0</v>
      </c>
      <c r="BR878" s="387">
        <f t="shared" si="586"/>
        <v>0</v>
      </c>
      <c r="BS878" s="387">
        <f t="shared" si="587"/>
        <v>0</v>
      </c>
      <c r="BT878" s="387">
        <f t="shared" si="588"/>
        <v>0</v>
      </c>
      <c r="BU878" s="387">
        <f t="shared" si="589"/>
        <v>0</v>
      </c>
      <c r="BV878" s="387">
        <f t="shared" si="590"/>
        <v>0</v>
      </c>
      <c r="BW878" s="387">
        <f t="shared" si="591"/>
        <v>0</v>
      </c>
      <c r="BX878" s="387">
        <f t="shared" si="606"/>
        <v>0</v>
      </c>
      <c r="BY878" s="387">
        <f t="shared" si="607"/>
        <v>0</v>
      </c>
      <c r="BZ878" s="387">
        <f t="shared" si="608"/>
        <v>0</v>
      </c>
      <c r="CA878" s="387">
        <f t="shared" si="609"/>
        <v>0</v>
      </c>
      <c r="CB878" s="387">
        <f t="shared" si="610"/>
        <v>0</v>
      </c>
      <c r="CC878" s="387">
        <f t="shared" si="592"/>
        <v>0</v>
      </c>
      <c r="CD878" s="387">
        <f t="shared" si="593"/>
        <v>0</v>
      </c>
      <c r="CE878" s="387">
        <f t="shared" si="594"/>
        <v>0</v>
      </c>
      <c r="CF878" s="387">
        <f t="shared" si="595"/>
        <v>0</v>
      </c>
      <c r="CG878" s="387">
        <f t="shared" si="596"/>
        <v>0</v>
      </c>
      <c r="CH878" s="387">
        <f t="shared" si="597"/>
        <v>0</v>
      </c>
      <c r="CI878" s="387">
        <f t="shared" si="598"/>
        <v>0</v>
      </c>
      <c r="CJ878" s="387">
        <f t="shared" si="611"/>
        <v>0</v>
      </c>
      <c r="CK878" s="387" t="str">
        <f t="shared" si="612"/>
        <v/>
      </c>
      <c r="CL878" s="387" t="str">
        <f t="shared" si="613"/>
        <v/>
      </c>
      <c r="CM878" s="387" t="str">
        <f t="shared" si="614"/>
        <v/>
      </c>
      <c r="CN878" s="387" t="str">
        <f t="shared" si="615"/>
        <v>0348-31</v>
      </c>
    </row>
    <row r="879" spans="1:92" ht="15.75" thickBot="1" x14ac:dyDescent="0.3">
      <c r="A879" s="376" t="s">
        <v>161</v>
      </c>
      <c r="B879" s="376" t="s">
        <v>162</v>
      </c>
      <c r="C879" s="376" t="s">
        <v>979</v>
      </c>
      <c r="D879" s="376" t="s">
        <v>862</v>
      </c>
      <c r="E879" s="376" t="s">
        <v>224</v>
      </c>
      <c r="F879" s="382" t="s">
        <v>225</v>
      </c>
      <c r="G879" s="376" t="s">
        <v>1945</v>
      </c>
      <c r="H879" s="378"/>
      <c r="I879" s="378"/>
      <c r="J879" s="376" t="s">
        <v>215</v>
      </c>
      <c r="K879" s="376" t="s">
        <v>863</v>
      </c>
      <c r="L879" s="376" t="s">
        <v>252</v>
      </c>
      <c r="M879" s="376" t="s">
        <v>171</v>
      </c>
      <c r="N879" s="376" t="s">
        <v>172</v>
      </c>
      <c r="O879" s="379">
        <v>1</v>
      </c>
      <c r="P879" s="385">
        <v>1</v>
      </c>
      <c r="Q879" s="385">
        <v>1</v>
      </c>
      <c r="R879" s="380">
        <v>80</v>
      </c>
      <c r="S879" s="385">
        <v>1</v>
      </c>
      <c r="T879" s="380">
        <v>36794.53</v>
      </c>
      <c r="U879" s="380">
        <v>1625.11</v>
      </c>
      <c r="V879" s="380">
        <v>19521.78</v>
      </c>
      <c r="W879" s="380">
        <v>39062.400000000001</v>
      </c>
      <c r="X879" s="380">
        <v>20097.2</v>
      </c>
      <c r="Y879" s="380">
        <v>39062.400000000001</v>
      </c>
      <c r="Z879" s="380">
        <v>19933.150000000001</v>
      </c>
      <c r="AA879" s="376" t="s">
        <v>980</v>
      </c>
      <c r="AB879" s="376" t="s">
        <v>981</v>
      </c>
      <c r="AC879" s="376" t="s">
        <v>673</v>
      </c>
      <c r="AD879" s="376" t="s">
        <v>170</v>
      </c>
      <c r="AE879" s="376" t="s">
        <v>863</v>
      </c>
      <c r="AF879" s="376" t="s">
        <v>393</v>
      </c>
      <c r="AG879" s="376" t="s">
        <v>178</v>
      </c>
      <c r="AH879" s="381">
        <v>18.78</v>
      </c>
      <c r="AI879" s="379">
        <v>2471</v>
      </c>
      <c r="AJ879" s="376" t="s">
        <v>179</v>
      </c>
      <c r="AK879" s="376" t="s">
        <v>180</v>
      </c>
      <c r="AL879" s="376" t="s">
        <v>181</v>
      </c>
      <c r="AM879" s="376" t="s">
        <v>182</v>
      </c>
      <c r="AN879" s="376" t="s">
        <v>68</v>
      </c>
      <c r="AO879" s="379">
        <v>80</v>
      </c>
      <c r="AP879" s="385">
        <v>1</v>
      </c>
      <c r="AQ879" s="385">
        <v>1</v>
      </c>
      <c r="AR879" s="383" t="s">
        <v>183</v>
      </c>
      <c r="AS879" s="387">
        <f t="shared" si="599"/>
        <v>1</v>
      </c>
      <c r="AT879">
        <f t="shared" si="600"/>
        <v>1</v>
      </c>
      <c r="AU879" s="387">
        <f>IF(AT879=0,"",IF(AND(AT879=1,M879="F",SUMIF(C2:C1334,C879,AS2:AS1334)&lt;=1),SUMIF(C2:C1334,C879,AS2:AS1334),IF(AND(AT879=1,M879="F",SUMIF(C2:C1334,C879,AS2:AS1334)&gt;1),1,"")))</f>
        <v>1</v>
      </c>
      <c r="AV879" s="387" t="str">
        <f>IF(AT879=0,"",IF(AND(AT879=3,M879="F",SUMIF(C2:C1334,C879,AS2:AS1334)&lt;=1),SUMIF(C2:C1334,C879,AS2:AS1334),IF(AND(AT879=3,M879="F",SUMIF(C2:C1334,C879,AS2:AS1334)&gt;1),1,"")))</f>
        <v/>
      </c>
      <c r="AW879" s="387">
        <f>SUMIF(C2:C1334,C879,O2:O1334)</f>
        <v>2</v>
      </c>
      <c r="AX879" s="387">
        <f>IF(AND(M879="F",AS879&lt;&gt;0),SUMIF(C2:C1334,C879,W2:W1334),0)</f>
        <v>39062.400000000001</v>
      </c>
      <c r="AY879" s="387">
        <f t="shared" si="601"/>
        <v>39062.400000000001</v>
      </c>
      <c r="AZ879" s="387" t="str">
        <f t="shared" si="602"/>
        <v/>
      </c>
      <c r="BA879" s="387">
        <f t="shared" si="603"/>
        <v>0</v>
      </c>
      <c r="BB879" s="387">
        <f t="shared" si="572"/>
        <v>11650</v>
      </c>
      <c r="BC879" s="387">
        <f t="shared" si="573"/>
        <v>0</v>
      </c>
      <c r="BD879" s="387">
        <f t="shared" si="574"/>
        <v>2421.8688000000002</v>
      </c>
      <c r="BE879" s="387">
        <f t="shared" si="575"/>
        <v>566.40480000000002</v>
      </c>
      <c r="BF879" s="387">
        <f t="shared" si="576"/>
        <v>4664.0505600000006</v>
      </c>
      <c r="BG879" s="387">
        <f t="shared" si="577"/>
        <v>281.639904</v>
      </c>
      <c r="BH879" s="387">
        <f t="shared" si="578"/>
        <v>191.40576000000001</v>
      </c>
      <c r="BI879" s="387">
        <f t="shared" si="579"/>
        <v>216.210384</v>
      </c>
      <c r="BJ879" s="387">
        <f t="shared" si="580"/>
        <v>105.46848000000001</v>
      </c>
      <c r="BK879" s="387">
        <f t="shared" si="581"/>
        <v>0</v>
      </c>
      <c r="BL879" s="387">
        <f t="shared" si="604"/>
        <v>8447.0486880000008</v>
      </c>
      <c r="BM879" s="387">
        <f t="shared" si="605"/>
        <v>0</v>
      </c>
      <c r="BN879" s="387">
        <f t="shared" si="582"/>
        <v>11650</v>
      </c>
      <c r="BO879" s="387">
        <f t="shared" si="583"/>
        <v>0</v>
      </c>
      <c r="BP879" s="387">
        <f t="shared" si="584"/>
        <v>2421.8688000000002</v>
      </c>
      <c r="BQ879" s="387">
        <f t="shared" si="585"/>
        <v>566.40480000000002</v>
      </c>
      <c r="BR879" s="387">
        <f t="shared" si="586"/>
        <v>4664.0505600000006</v>
      </c>
      <c r="BS879" s="387">
        <f t="shared" si="587"/>
        <v>281.639904</v>
      </c>
      <c r="BT879" s="387">
        <f t="shared" si="588"/>
        <v>0</v>
      </c>
      <c r="BU879" s="387">
        <f t="shared" si="589"/>
        <v>216.210384</v>
      </c>
      <c r="BV879" s="387">
        <f t="shared" si="590"/>
        <v>132.81216000000001</v>
      </c>
      <c r="BW879" s="387">
        <f t="shared" si="591"/>
        <v>0</v>
      </c>
      <c r="BX879" s="387">
        <f t="shared" si="606"/>
        <v>8282.9866080000011</v>
      </c>
      <c r="BY879" s="387">
        <f t="shared" si="607"/>
        <v>0</v>
      </c>
      <c r="BZ879" s="387">
        <f t="shared" si="608"/>
        <v>0</v>
      </c>
      <c r="CA879" s="387">
        <f t="shared" si="609"/>
        <v>0</v>
      </c>
      <c r="CB879" s="387">
        <f t="shared" si="610"/>
        <v>0</v>
      </c>
      <c r="CC879" s="387">
        <f t="shared" si="592"/>
        <v>0</v>
      </c>
      <c r="CD879" s="387">
        <f t="shared" si="593"/>
        <v>0</v>
      </c>
      <c r="CE879" s="387">
        <f t="shared" si="594"/>
        <v>0</v>
      </c>
      <c r="CF879" s="387">
        <f t="shared" si="595"/>
        <v>-191.40576000000001</v>
      </c>
      <c r="CG879" s="387">
        <f t="shared" si="596"/>
        <v>0</v>
      </c>
      <c r="CH879" s="387">
        <f t="shared" si="597"/>
        <v>27.343679999999988</v>
      </c>
      <c r="CI879" s="387">
        <f t="shared" si="598"/>
        <v>0</v>
      </c>
      <c r="CJ879" s="387">
        <f t="shared" si="611"/>
        <v>-164.06208000000004</v>
      </c>
      <c r="CK879" s="387" t="str">
        <f t="shared" si="612"/>
        <v/>
      </c>
      <c r="CL879" s="387" t="str">
        <f t="shared" si="613"/>
        <v/>
      </c>
      <c r="CM879" s="387" t="str">
        <f t="shared" si="614"/>
        <v/>
      </c>
      <c r="CN879" s="387" t="str">
        <f t="shared" si="615"/>
        <v>0348-31</v>
      </c>
    </row>
    <row r="880" spans="1:92" ht="15.75" thickBot="1" x14ac:dyDescent="0.3">
      <c r="A880" s="376" t="s">
        <v>161</v>
      </c>
      <c r="B880" s="376" t="s">
        <v>162</v>
      </c>
      <c r="C880" s="376" t="s">
        <v>1425</v>
      </c>
      <c r="D880" s="376" t="s">
        <v>270</v>
      </c>
      <c r="E880" s="376" t="s">
        <v>224</v>
      </c>
      <c r="F880" s="382" t="s">
        <v>225</v>
      </c>
      <c r="G880" s="376" t="s">
        <v>1945</v>
      </c>
      <c r="H880" s="378"/>
      <c r="I880" s="378"/>
      <c r="J880" s="376" t="s">
        <v>215</v>
      </c>
      <c r="K880" s="376" t="s">
        <v>271</v>
      </c>
      <c r="L880" s="376" t="s">
        <v>217</v>
      </c>
      <c r="M880" s="376" t="s">
        <v>171</v>
      </c>
      <c r="N880" s="376" t="s">
        <v>172</v>
      </c>
      <c r="O880" s="379">
        <v>1</v>
      </c>
      <c r="P880" s="385">
        <v>1</v>
      </c>
      <c r="Q880" s="385">
        <v>1</v>
      </c>
      <c r="R880" s="380">
        <v>80</v>
      </c>
      <c r="S880" s="385">
        <v>1</v>
      </c>
      <c r="T880" s="380">
        <v>19923.22</v>
      </c>
      <c r="U880" s="380">
        <v>0</v>
      </c>
      <c r="V880" s="380">
        <v>12481.64</v>
      </c>
      <c r="W880" s="380">
        <v>34132.800000000003</v>
      </c>
      <c r="X880" s="380">
        <v>19031.18</v>
      </c>
      <c r="Y880" s="380">
        <v>34132.800000000003</v>
      </c>
      <c r="Z880" s="380">
        <v>18887.830000000002</v>
      </c>
      <c r="AA880" s="376" t="s">
        <v>1426</v>
      </c>
      <c r="AB880" s="376" t="s">
        <v>1427</v>
      </c>
      <c r="AC880" s="376" t="s">
        <v>392</v>
      </c>
      <c r="AD880" s="376" t="s">
        <v>279</v>
      </c>
      <c r="AE880" s="376" t="s">
        <v>271</v>
      </c>
      <c r="AF880" s="376" t="s">
        <v>221</v>
      </c>
      <c r="AG880" s="376" t="s">
        <v>178</v>
      </c>
      <c r="AH880" s="381">
        <v>16.41</v>
      </c>
      <c r="AI880" s="379">
        <v>1400</v>
      </c>
      <c r="AJ880" s="376" t="s">
        <v>179</v>
      </c>
      <c r="AK880" s="376" t="s">
        <v>180</v>
      </c>
      <c r="AL880" s="376" t="s">
        <v>181</v>
      </c>
      <c r="AM880" s="376" t="s">
        <v>182</v>
      </c>
      <c r="AN880" s="376" t="s">
        <v>68</v>
      </c>
      <c r="AO880" s="379">
        <v>80</v>
      </c>
      <c r="AP880" s="385">
        <v>1</v>
      </c>
      <c r="AQ880" s="385">
        <v>1</v>
      </c>
      <c r="AR880" s="383" t="s">
        <v>183</v>
      </c>
      <c r="AS880" s="387">
        <f t="shared" si="599"/>
        <v>1</v>
      </c>
      <c r="AT880">
        <f t="shared" si="600"/>
        <v>1</v>
      </c>
      <c r="AU880" s="387">
        <f>IF(AT880=0,"",IF(AND(AT880=1,M880="F",SUMIF(C2:C1334,C880,AS2:AS1334)&lt;=1),SUMIF(C2:C1334,C880,AS2:AS1334),IF(AND(AT880=1,M880="F",SUMIF(C2:C1334,C880,AS2:AS1334)&gt;1),1,"")))</f>
        <v>1</v>
      </c>
      <c r="AV880" s="387" t="str">
        <f>IF(AT880=0,"",IF(AND(AT880=3,M880="F",SUMIF(C2:C1334,C880,AS2:AS1334)&lt;=1),SUMIF(C2:C1334,C880,AS2:AS1334),IF(AND(AT880=3,M880="F",SUMIF(C2:C1334,C880,AS2:AS1334)&gt;1),1,"")))</f>
        <v/>
      </c>
      <c r="AW880" s="387">
        <f>SUMIF(C2:C1334,C880,O2:O1334)</f>
        <v>2</v>
      </c>
      <c r="AX880" s="387">
        <f>IF(AND(M880="F",AS880&lt;&gt;0),SUMIF(C2:C1334,C880,W2:W1334),0)</f>
        <v>34132.800000000003</v>
      </c>
      <c r="AY880" s="387">
        <f t="shared" si="601"/>
        <v>34132.800000000003</v>
      </c>
      <c r="AZ880" s="387" t="str">
        <f t="shared" si="602"/>
        <v/>
      </c>
      <c r="BA880" s="387">
        <f t="shared" si="603"/>
        <v>0</v>
      </c>
      <c r="BB880" s="387">
        <f t="shared" si="572"/>
        <v>11650</v>
      </c>
      <c r="BC880" s="387">
        <f t="shared" si="573"/>
        <v>0</v>
      </c>
      <c r="BD880" s="387">
        <f t="shared" si="574"/>
        <v>2116.2336</v>
      </c>
      <c r="BE880" s="387">
        <f t="shared" si="575"/>
        <v>494.92560000000009</v>
      </c>
      <c r="BF880" s="387">
        <f t="shared" si="576"/>
        <v>4075.4563200000007</v>
      </c>
      <c r="BG880" s="387">
        <f t="shared" si="577"/>
        <v>246.09748800000003</v>
      </c>
      <c r="BH880" s="387">
        <f t="shared" si="578"/>
        <v>167.25072</v>
      </c>
      <c r="BI880" s="387">
        <f t="shared" si="579"/>
        <v>188.925048</v>
      </c>
      <c r="BJ880" s="387">
        <f t="shared" si="580"/>
        <v>92.158560000000008</v>
      </c>
      <c r="BK880" s="387">
        <f t="shared" si="581"/>
        <v>0</v>
      </c>
      <c r="BL880" s="387">
        <f t="shared" si="604"/>
        <v>7381.0473360000015</v>
      </c>
      <c r="BM880" s="387">
        <f t="shared" si="605"/>
        <v>0</v>
      </c>
      <c r="BN880" s="387">
        <f t="shared" si="582"/>
        <v>11650</v>
      </c>
      <c r="BO880" s="387">
        <f t="shared" si="583"/>
        <v>0</v>
      </c>
      <c r="BP880" s="387">
        <f t="shared" si="584"/>
        <v>2116.2336</v>
      </c>
      <c r="BQ880" s="387">
        <f t="shared" si="585"/>
        <v>494.92560000000009</v>
      </c>
      <c r="BR880" s="387">
        <f t="shared" si="586"/>
        <v>4075.4563200000007</v>
      </c>
      <c r="BS880" s="387">
        <f t="shared" si="587"/>
        <v>246.09748800000003</v>
      </c>
      <c r="BT880" s="387">
        <f t="shared" si="588"/>
        <v>0</v>
      </c>
      <c r="BU880" s="387">
        <f t="shared" si="589"/>
        <v>188.925048</v>
      </c>
      <c r="BV880" s="387">
        <f t="shared" si="590"/>
        <v>116.05152</v>
      </c>
      <c r="BW880" s="387">
        <f t="shared" si="591"/>
        <v>0</v>
      </c>
      <c r="BX880" s="387">
        <f t="shared" si="606"/>
        <v>7237.6895760000016</v>
      </c>
      <c r="BY880" s="387">
        <f t="shared" si="607"/>
        <v>0</v>
      </c>
      <c r="BZ880" s="387">
        <f t="shared" si="608"/>
        <v>0</v>
      </c>
      <c r="CA880" s="387">
        <f t="shared" si="609"/>
        <v>0</v>
      </c>
      <c r="CB880" s="387">
        <f t="shared" si="610"/>
        <v>0</v>
      </c>
      <c r="CC880" s="387">
        <f t="shared" si="592"/>
        <v>0</v>
      </c>
      <c r="CD880" s="387">
        <f t="shared" si="593"/>
        <v>0</v>
      </c>
      <c r="CE880" s="387">
        <f t="shared" si="594"/>
        <v>0</v>
      </c>
      <c r="CF880" s="387">
        <f t="shared" si="595"/>
        <v>-167.25072</v>
      </c>
      <c r="CG880" s="387">
        <f t="shared" si="596"/>
        <v>0</v>
      </c>
      <c r="CH880" s="387">
        <f t="shared" si="597"/>
        <v>23.892959999999992</v>
      </c>
      <c r="CI880" s="387">
        <f t="shared" si="598"/>
        <v>0</v>
      </c>
      <c r="CJ880" s="387">
        <f t="shared" si="611"/>
        <v>-143.35776000000001</v>
      </c>
      <c r="CK880" s="387" t="str">
        <f t="shared" si="612"/>
        <v/>
      </c>
      <c r="CL880" s="387" t="str">
        <f t="shared" si="613"/>
        <v/>
      </c>
      <c r="CM880" s="387" t="str">
        <f t="shared" si="614"/>
        <v/>
      </c>
      <c r="CN880" s="387" t="str">
        <f t="shared" si="615"/>
        <v>0348-31</v>
      </c>
    </row>
    <row r="881" spans="1:92" ht="15.75" thickBot="1" x14ac:dyDescent="0.3">
      <c r="A881" s="376" t="s">
        <v>161</v>
      </c>
      <c r="B881" s="376" t="s">
        <v>162</v>
      </c>
      <c r="C881" s="376" t="s">
        <v>1096</v>
      </c>
      <c r="D881" s="376" t="s">
        <v>238</v>
      </c>
      <c r="E881" s="376" t="s">
        <v>224</v>
      </c>
      <c r="F881" s="382" t="s">
        <v>225</v>
      </c>
      <c r="G881" s="376" t="s">
        <v>1945</v>
      </c>
      <c r="H881" s="378"/>
      <c r="I881" s="378"/>
      <c r="J881" s="376" t="s">
        <v>215</v>
      </c>
      <c r="K881" s="376" t="s">
        <v>343</v>
      </c>
      <c r="L881" s="376" t="s">
        <v>296</v>
      </c>
      <c r="M881" s="376" t="s">
        <v>171</v>
      </c>
      <c r="N881" s="376" t="s">
        <v>172</v>
      </c>
      <c r="O881" s="379">
        <v>1</v>
      </c>
      <c r="P881" s="385">
        <v>1</v>
      </c>
      <c r="Q881" s="385">
        <v>1</v>
      </c>
      <c r="R881" s="380">
        <v>80</v>
      </c>
      <c r="S881" s="385">
        <v>1</v>
      </c>
      <c r="T881" s="380">
        <v>34405.17</v>
      </c>
      <c r="U881" s="380">
        <v>0</v>
      </c>
      <c r="V881" s="380">
        <v>13000.75</v>
      </c>
      <c r="W881" s="380">
        <v>41641.599999999999</v>
      </c>
      <c r="X881" s="380">
        <v>20654.96</v>
      </c>
      <c r="Y881" s="380">
        <v>41641.599999999999</v>
      </c>
      <c r="Z881" s="380">
        <v>20480.07</v>
      </c>
      <c r="AA881" s="376" t="s">
        <v>1097</v>
      </c>
      <c r="AB881" s="376" t="s">
        <v>915</v>
      </c>
      <c r="AC881" s="376" t="s">
        <v>1098</v>
      </c>
      <c r="AD881" s="376" t="s">
        <v>170</v>
      </c>
      <c r="AE881" s="376" t="s">
        <v>343</v>
      </c>
      <c r="AF881" s="376" t="s">
        <v>301</v>
      </c>
      <c r="AG881" s="376" t="s">
        <v>178</v>
      </c>
      <c r="AH881" s="381">
        <v>20.02</v>
      </c>
      <c r="AI881" s="381">
        <v>4155.6000000000004</v>
      </c>
      <c r="AJ881" s="376" t="s">
        <v>179</v>
      </c>
      <c r="AK881" s="376" t="s">
        <v>180</v>
      </c>
      <c r="AL881" s="376" t="s">
        <v>181</v>
      </c>
      <c r="AM881" s="376" t="s">
        <v>182</v>
      </c>
      <c r="AN881" s="376" t="s">
        <v>68</v>
      </c>
      <c r="AO881" s="379">
        <v>80</v>
      </c>
      <c r="AP881" s="385">
        <v>1</v>
      </c>
      <c r="AQ881" s="385">
        <v>1</v>
      </c>
      <c r="AR881" s="383" t="s">
        <v>183</v>
      </c>
      <c r="AS881" s="387">
        <f t="shared" si="599"/>
        <v>1</v>
      </c>
      <c r="AT881">
        <f t="shared" si="600"/>
        <v>1</v>
      </c>
      <c r="AU881" s="387">
        <f>IF(AT881=0,"",IF(AND(AT881=1,M881="F",SUMIF(C2:C1334,C881,AS2:AS1334)&lt;=1),SUMIF(C2:C1334,C881,AS2:AS1334),IF(AND(AT881=1,M881="F",SUMIF(C2:C1334,C881,AS2:AS1334)&gt;1),1,"")))</f>
        <v>1</v>
      </c>
      <c r="AV881" s="387" t="str">
        <f>IF(AT881=0,"",IF(AND(AT881=3,M881="F",SUMIF(C2:C1334,C881,AS2:AS1334)&lt;=1),SUMIF(C2:C1334,C881,AS2:AS1334),IF(AND(AT881=3,M881="F",SUMIF(C2:C1334,C881,AS2:AS1334)&gt;1),1,"")))</f>
        <v/>
      </c>
      <c r="AW881" s="387">
        <f>SUMIF(C2:C1334,C881,O2:O1334)</f>
        <v>2</v>
      </c>
      <c r="AX881" s="387">
        <f>IF(AND(M881="F",AS881&lt;&gt;0),SUMIF(C2:C1334,C881,W2:W1334),0)</f>
        <v>41641.599999999999</v>
      </c>
      <c r="AY881" s="387">
        <f t="shared" si="601"/>
        <v>41641.599999999999</v>
      </c>
      <c r="AZ881" s="387" t="str">
        <f t="shared" si="602"/>
        <v/>
      </c>
      <c r="BA881" s="387">
        <f t="shared" si="603"/>
        <v>0</v>
      </c>
      <c r="BB881" s="387">
        <f t="shared" si="572"/>
        <v>11650</v>
      </c>
      <c r="BC881" s="387">
        <f t="shared" si="573"/>
        <v>0</v>
      </c>
      <c r="BD881" s="387">
        <f t="shared" si="574"/>
        <v>2581.7791999999999</v>
      </c>
      <c r="BE881" s="387">
        <f t="shared" si="575"/>
        <v>603.80320000000006</v>
      </c>
      <c r="BF881" s="387">
        <f t="shared" si="576"/>
        <v>4972.0070400000004</v>
      </c>
      <c r="BG881" s="387">
        <f t="shared" si="577"/>
        <v>300.23593599999998</v>
      </c>
      <c r="BH881" s="387">
        <f t="shared" si="578"/>
        <v>204.04383999999999</v>
      </c>
      <c r="BI881" s="387">
        <f t="shared" si="579"/>
        <v>230.486256</v>
      </c>
      <c r="BJ881" s="387">
        <f t="shared" si="580"/>
        <v>112.43232</v>
      </c>
      <c r="BK881" s="387">
        <f t="shared" si="581"/>
        <v>0</v>
      </c>
      <c r="BL881" s="387">
        <f t="shared" si="604"/>
        <v>9004.787792000001</v>
      </c>
      <c r="BM881" s="387">
        <f t="shared" si="605"/>
        <v>0</v>
      </c>
      <c r="BN881" s="387">
        <f t="shared" si="582"/>
        <v>11650</v>
      </c>
      <c r="BO881" s="387">
        <f t="shared" si="583"/>
        <v>0</v>
      </c>
      <c r="BP881" s="387">
        <f t="shared" si="584"/>
        <v>2581.7791999999999</v>
      </c>
      <c r="BQ881" s="387">
        <f t="shared" si="585"/>
        <v>603.80320000000006</v>
      </c>
      <c r="BR881" s="387">
        <f t="shared" si="586"/>
        <v>4972.0070400000004</v>
      </c>
      <c r="BS881" s="387">
        <f t="shared" si="587"/>
        <v>300.23593599999998</v>
      </c>
      <c r="BT881" s="387">
        <f t="shared" si="588"/>
        <v>0</v>
      </c>
      <c r="BU881" s="387">
        <f t="shared" si="589"/>
        <v>230.486256</v>
      </c>
      <c r="BV881" s="387">
        <f t="shared" si="590"/>
        <v>141.58143999999999</v>
      </c>
      <c r="BW881" s="387">
        <f t="shared" si="591"/>
        <v>0</v>
      </c>
      <c r="BX881" s="387">
        <f t="shared" si="606"/>
        <v>8829.8930720000008</v>
      </c>
      <c r="BY881" s="387">
        <f t="shared" si="607"/>
        <v>0</v>
      </c>
      <c r="BZ881" s="387">
        <f t="shared" si="608"/>
        <v>0</v>
      </c>
      <c r="CA881" s="387">
        <f t="shared" si="609"/>
        <v>0</v>
      </c>
      <c r="CB881" s="387">
        <f t="shared" si="610"/>
        <v>0</v>
      </c>
      <c r="CC881" s="387">
        <f t="shared" si="592"/>
        <v>0</v>
      </c>
      <c r="CD881" s="387">
        <f t="shared" si="593"/>
        <v>0</v>
      </c>
      <c r="CE881" s="387">
        <f t="shared" si="594"/>
        <v>0</v>
      </c>
      <c r="CF881" s="387">
        <f t="shared" si="595"/>
        <v>-204.04383999999999</v>
      </c>
      <c r="CG881" s="387">
        <f t="shared" si="596"/>
        <v>0</v>
      </c>
      <c r="CH881" s="387">
        <f t="shared" si="597"/>
        <v>29.149119999999986</v>
      </c>
      <c r="CI881" s="387">
        <f t="shared" si="598"/>
        <v>0</v>
      </c>
      <c r="CJ881" s="387">
        <f t="shared" si="611"/>
        <v>-174.89472000000001</v>
      </c>
      <c r="CK881" s="387" t="str">
        <f t="shared" si="612"/>
        <v/>
      </c>
      <c r="CL881" s="387" t="str">
        <f t="shared" si="613"/>
        <v/>
      </c>
      <c r="CM881" s="387" t="str">
        <f t="shared" si="614"/>
        <v/>
      </c>
      <c r="CN881" s="387" t="str">
        <f t="shared" si="615"/>
        <v>0348-31</v>
      </c>
    </row>
    <row r="882" spans="1:92" ht="15.75" thickBot="1" x14ac:dyDescent="0.3">
      <c r="A882" s="376" t="s">
        <v>161</v>
      </c>
      <c r="B882" s="376" t="s">
        <v>162</v>
      </c>
      <c r="C882" s="376" t="s">
        <v>2067</v>
      </c>
      <c r="D882" s="376" t="s">
        <v>974</v>
      </c>
      <c r="E882" s="376" t="s">
        <v>224</v>
      </c>
      <c r="F882" s="382" t="s">
        <v>225</v>
      </c>
      <c r="G882" s="376" t="s">
        <v>1945</v>
      </c>
      <c r="H882" s="378"/>
      <c r="I882" s="378"/>
      <c r="J882" s="376" t="s">
        <v>215</v>
      </c>
      <c r="K882" s="376" t="s">
        <v>975</v>
      </c>
      <c r="L882" s="376" t="s">
        <v>296</v>
      </c>
      <c r="M882" s="376" t="s">
        <v>272</v>
      </c>
      <c r="N882" s="376" t="s">
        <v>172</v>
      </c>
      <c r="O882" s="379">
        <v>0</v>
      </c>
      <c r="P882" s="385">
        <v>1</v>
      </c>
      <c r="Q882" s="385">
        <v>1</v>
      </c>
      <c r="R882" s="380">
        <v>80</v>
      </c>
      <c r="S882" s="385">
        <v>1</v>
      </c>
      <c r="T882" s="380">
        <v>34361.97</v>
      </c>
      <c r="U882" s="380">
        <v>2143.13</v>
      </c>
      <c r="V882" s="380">
        <v>17791.68</v>
      </c>
      <c r="W882" s="380">
        <v>47403.199999999997</v>
      </c>
      <c r="X882" s="380">
        <v>20762.599999999999</v>
      </c>
      <c r="Y882" s="380">
        <v>47403.199999999997</v>
      </c>
      <c r="Z882" s="380">
        <v>20525.580000000002</v>
      </c>
      <c r="AA882" s="378"/>
      <c r="AB882" s="376" t="s">
        <v>45</v>
      </c>
      <c r="AC882" s="376" t="s">
        <v>45</v>
      </c>
      <c r="AD882" s="378"/>
      <c r="AE882" s="378"/>
      <c r="AF882" s="378"/>
      <c r="AG882" s="378"/>
      <c r="AH882" s="379">
        <v>0</v>
      </c>
      <c r="AI882" s="379">
        <v>0</v>
      </c>
      <c r="AJ882" s="378"/>
      <c r="AK882" s="378"/>
      <c r="AL882" s="376" t="s">
        <v>181</v>
      </c>
      <c r="AM882" s="378"/>
      <c r="AN882" s="378"/>
      <c r="AO882" s="379">
        <v>0</v>
      </c>
      <c r="AP882" s="385">
        <v>0</v>
      </c>
      <c r="AQ882" s="385">
        <v>0</v>
      </c>
      <c r="AR882" s="384"/>
      <c r="AS882" s="387">
        <f t="shared" si="599"/>
        <v>0</v>
      </c>
      <c r="AT882">
        <f t="shared" si="600"/>
        <v>0</v>
      </c>
      <c r="AU882" s="387" t="str">
        <f>IF(AT882=0,"",IF(AND(AT882=1,M882="F",SUMIF(C2:C1334,C882,AS2:AS1334)&lt;=1),SUMIF(C2:C1334,C882,AS2:AS1334),IF(AND(AT882=1,M882="F",SUMIF(C2:C1334,C882,AS2:AS1334)&gt;1),1,"")))</f>
        <v/>
      </c>
      <c r="AV882" s="387" t="str">
        <f>IF(AT882=0,"",IF(AND(AT882=3,M882="F",SUMIF(C2:C1334,C882,AS2:AS1334)&lt;=1),SUMIF(C2:C1334,C882,AS2:AS1334),IF(AND(AT882=3,M882="F",SUMIF(C2:C1334,C882,AS2:AS1334)&gt;1),1,"")))</f>
        <v/>
      </c>
      <c r="AW882" s="387">
        <f>SUMIF(C2:C1334,C882,O2:O1334)</f>
        <v>0</v>
      </c>
      <c r="AX882" s="387">
        <f>IF(AND(M882="F",AS882&lt;&gt;0),SUMIF(C2:C1334,C882,W2:W1334),0)</f>
        <v>0</v>
      </c>
      <c r="AY882" s="387" t="str">
        <f t="shared" si="601"/>
        <v/>
      </c>
      <c r="AZ882" s="387" t="str">
        <f t="shared" si="602"/>
        <v/>
      </c>
      <c r="BA882" s="387">
        <f t="shared" si="603"/>
        <v>0</v>
      </c>
      <c r="BB882" s="387">
        <f t="shared" si="572"/>
        <v>0</v>
      </c>
      <c r="BC882" s="387">
        <f t="shared" si="573"/>
        <v>0</v>
      </c>
      <c r="BD882" s="387">
        <f t="shared" si="574"/>
        <v>0</v>
      </c>
      <c r="BE882" s="387">
        <f t="shared" si="575"/>
        <v>0</v>
      </c>
      <c r="BF882" s="387">
        <f t="shared" si="576"/>
        <v>0</v>
      </c>
      <c r="BG882" s="387">
        <f t="shared" si="577"/>
        <v>0</v>
      </c>
      <c r="BH882" s="387">
        <f t="shared" si="578"/>
        <v>0</v>
      </c>
      <c r="BI882" s="387">
        <f t="shared" si="579"/>
        <v>0</v>
      </c>
      <c r="BJ882" s="387">
        <f t="shared" si="580"/>
        <v>0</v>
      </c>
      <c r="BK882" s="387">
        <f t="shared" si="581"/>
        <v>0</v>
      </c>
      <c r="BL882" s="387">
        <f t="shared" si="604"/>
        <v>0</v>
      </c>
      <c r="BM882" s="387">
        <f t="shared" si="605"/>
        <v>0</v>
      </c>
      <c r="BN882" s="387">
        <f t="shared" si="582"/>
        <v>0</v>
      </c>
      <c r="BO882" s="387">
        <f t="shared" si="583"/>
        <v>0</v>
      </c>
      <c r="BP882" s="387">
        <f t="shared" si="584"/>
        <v>0</v>
      </c>
      <c r="BQ882" s="387">
        <f t="shared" si="585"/>
        <v>0</v>
      </c>
      <c r="BR882" s="387">
        <f t="shared" si="586"/>
        <v>0</v>
      </c>
      <c r="BS882" s="387">
        <f t="shared" si="587"/>
        <v>0</v>
      </c>
      <c r="BT882" s="387">
        <f t="shared" si="588"/>
        <v>0</v>
      </c>
      <c r="BU882" s="387">
        <f t="shared" si="589"/>
        <v>0</v>
      </c>
      <c r="BV882" s="387">
        <f t="shared" si="590"/>
        <v>0</v>
      </c>
      <c r="BW882" s="387">
        <f t="shared" si="591"/>
        <v>0</v>
      </c>
      <c r="BX882" s="387">
        <f t="shared" si="606"/>
        <v>0</v>
      </c>
      <c r="BY882" s="387">
        <f t="shared" si="607"/>
        <v>0</v>
      </c>
      <c r="BZ882" s="387">
        <f t="shared" si="608"/>
        <v>0</v>
      </c>
      <c r="CA882" s="387">
        <f t="shared" si="609"/>
        <v>0</v>
      </c>
      <c r="CB882" s="387">
        <f t="shared" si="610"/>
        <v>0</v>
      </c>
      <c r="CC882" s="387">
        <f t="shared" si="592"/>
        <v>0</v>
      </c>
      <c r="CD882" s="387">
        <f t="shared" si="593"/>
        <v>0</v>
      </c>
      <c r="CE882" s="387">
        <f t="shared" si="594"/>
        <v>0</v>
      </c>
      <c r="CF882" s="387">
        <f t="shared" si="595"/>
        <v>0</v>
      </c>
      <c r="CG882" s="387">
        <f t="shared" si="596"/>
        <v>0</v>
      </c>
      <c r="CH882" s="387">
        <f t="shared" si="597"/>
        <v>0</v>
      </c>
      <c r="CI882" s="387">
        <f t="shared" si="598"/>
        <v>0</v>
      </c>
      <c r="CJ882" s="387">
        <f t="shared" si="611"/>
        <v>0</v>
      </c>
      <c r="CK882" s="387" t="str">
        <f t="shared" si="612"/>
        <v/>
      </c>
      <c r="CL882" s="387" t="str">
        <f t="shared" si="613"/>
        <v/>
      </c>
      <c r="CM882" s="387" t="str">
        <f t="shared" si="614"/>
        <v/>
      </c>
      <c r="CN882" s="387" t="str">
        <f t="shared" si="615"/>
        <v>0348-31</v>
      </c>
    </row>
    <row r="883" spans="1:92" ht="15.75" thickBot="1" x14ac:dyDescent="0.3">
      <c r="A883" s="376" t="s">
        <v>161</v>
      </c>
      <c r="B883" s="376" t="s">
        <v>162</v>
      </c>
      <c r="C883" s="376" t="s">
        <v>1060</v>
      </c>
      <c r="D883" s="376" t="s">
        <v>1061</v>
      </c>
      <c r="E883" s="376" t="s">
        <v>224</v>
      </c>
      <c r="F883" s="382" t="s">
        <v>225</v>
      </c>
      <c r="G883" s="376" t="s">
        <v>1945</v>
      </c>
      <c r="H883" s="378"/>
      <c r="I883" s="378"/>
      <c r="J883" s="376" t="s">
        <v>215</v>
      </c>
      <c r="K883" s="376" t="s">
        <v>1062</v>
      </c>
      <c r="L883" s="376" t="s">
        <v>217</v>
      </c>
      <c r="M883" s="376" t="s">
        <v>272</v>
      </c>
      <c r="N883" s="376" t="s">
        <v>172</v>
      </c>
      <c r="O883" s="379">
        <v>0</v>
      </c>
      <c r="P883" s="385">
        <v>1</v>
      </c>
      <c r="Q883" s="385">
        <v>1</v>
      </c>
      <c r="R883" s="380">
        <v>80</v>
      </c>
      <c r="S883" s="385">
        <v>1</v>
      </c>
      <c r="T883" s="380">
        <v>0</v>
      </c>
      <c r="U883" s="380">
        <v>0</v>
      </c>
      <c r="V883" s="380">
        <v>0</v>
      </c>
      <c r="W883" s="380">
        <v>37502.400000000001</v>
      </c>
      <c r="X883" s="380">
        <v>16426.05</v>
      </c>
      <c r="Y883" s="380">
        <v>37502.400000000001</v>
      </c>
      <c r="Z883" s="380">
        <v>16238.53</v>
      </c>
      <c r="AA883" s="378"/>
      <c r="AB883" s="376" t="s">
        <v>45</v>
      </c>
      <c r="AC883" s="376" t="s">
        <v>45</v>
      </c>
      <c r="AD883" s="378"/>
      <c r="AE883" s="378"/>
      <c r="AF883" s="378"/>
      <c r="AG883" s="378"/>
      <c r="AH883" s="379">
        <v>0</v>
      </c>
      <c r="AI883" s="379">
        <v>0</v>
      </c>
      <c r="AJ883" s="378"/>
      <c r="AK883" s="378"/>
      <c r="AL883" s="376" t="s">
        <v>181</v>
      </c>
      <c r="AM883" s="378"/>
      <c r="AN883" s="378"/>
      <c r="AO883" s="379">
        <v>0</v>
      </c>
      <c r="AP883" s="385">
        <v>0</v>
      </c>
      <c r="AQ883" s="385">
        <v>0</v>
      </c>
      <c r="AR883" s="384"/>
      <c r="AS883" s="387">
        <f t="shared" si="599"/>
        <v>0</v>
      </c>
      <c r="AT883">
        <f t="shared" si="600"/>
        <v>0</v>
      </c>
      <c r="AU883" s="387" t="str">
        <f>IF(AT883=0,"",IF(AND(AT883=1,M883="F",SUMIF(C2:C1334,C883,AS2:AS1334)&lt;=1),SUMIF(C2:C1334,C883,AS2:AS1334),IF(AND(AT883=1,M883="F",SUMIF(C2:C1334,C883,AS2:AS1334)&gt;1),1,"")))</f>
        <v/>
      </c>
      <c r="AV883" s="387" t="str">
        <f>IF(AT883=0,"",IF(AND(AT883=3,M883="F",SUMIF(C2:C1334,C883,AS2:AS1334)&lt;=1),SUMIF(C2:C1334,C883,AS2:AS1334),IF(AND(AT883=3,M883="F",SUMIF(C2:C1334,C883,AS2:AS1334)&gt;1),1,"")))</f>
        <v/>
      </c>
      <c r="AW883" s="387">
        <f>SUMIF(C2:C1334,C883,O2:O1334)</f>
        <v>0</v>
      </c>
      <c r="AX883" s="387">
        <f>IF(AND(M883="F",AS883&lt;&gt;0),SUMIF(C2:C1334,C883,W2:W1334),0)</f>
        <v>0</v>
      </c>
      <c r="AY883" s="387" t="str">
        <f t="shared" si="601"/>
        <v/>
      </c>
      <c r="AZ883" s="387" t="str">
        <f t="shared" si="602"/>
        <v/>
      </c>
      <c r="BA883" s="387">
        <f t="shared" si="603"/>
        <v>0</v>
      </c>
      <c r="BB883" s="387">
        <f t="shared" si="572"/>
        <v>0</v>
      </c>
      <c r="BC883" s="387">
        <f t="shared" si="573"/>
        <v>0</v>
      </c>
      <c r="BD883" s="387">
        <f t="shared" si="574"/>
        <v>0</v>
      </c>
      <c r="BE883" s="387">
        <f t="shared" si="575"/>
        <v>0</v>
      </c>
      <c r="BF883" s="387">
        <f t="shared" si="576"/>
        <v>0</v>
      </c>
      <c r="BG883" s="387">
        <f t="shared" si="577"/>
        <v>0</v>
      </c>
      <c r="BH883" s="387">
        <f t="shared" si="578"/>
        <v>0</v>
      </c>
      <c r="BI883" s="387">
        <f t="shared" si="579"/>
        <v>0</v>
      </c>
      <c r="BJ883" s="387">
        <f t="shared" si="580"/>
        <v>0</v>
      </c>
      <c r="BK883" s="387">
        <f t="shared" si="581"/>
        <v>0</v>
      </c>
      <c r="BL883" s="387">
        <f t="shared" si="604"/>
        <v>0</v>
      </c>
      <c r="BM883" s="387">
        <f t="shared" si="605"/>
        <v>0</v>
      </c>
      <c r="BN883" s="387">
        <f t="shared" si="582"/>
        <v>0</v>
      </c>
      <c r="BO883" s="387">
        <f t="shared" si="583"/>
        <v>0</v>
      </c>
      <c r="BP883" s="387">
        <f t="shared" si="584"/>
        <v>0</v>
      </c>
      <c r="BQ883" s="387">
        <f t="shared" si="585"/>
        <v>0</v>
      </c>
      <c r="BR883" s="387">
        <f t="shared" si="586"/>
        <v>0</v>
      </c>
      <c r="BS883" s="387">
        <f t="shared" si="587"/>
        <v>0</v>
      </c>
      <c r="BT883" s="387">
        <f t="shared" si="588"/>
        <v>0</v>
      </c>
      <c r="BU883" s="387">
        <f t="shared" si="589"/>
        <v>0</v>
      </c>
      <c r="BV883" s="387">
        <f t="shared" si="590"/>
        <v>0</v>
      </c>
      <c r="BW883" s="387">
        <f t="shared" si="591"/>
        <v>0</v>
      </c>
      <c r="BX883" s="387">
        <f t="shared" si="606"/>
        <v>0</v>
      </c>
      <c r="BY883" s="387">
        <f t="shared" si="607"/>
        <v>0</v>
      </c>
      <c r="BZ883" s="387">
        <f t="shared" si="608"/>
        <v>0</v>
      </c>
      <c r="CA883" s="387">
        <f t="shared" si="609"/>
        <v>0</v>
      </c>
      <c r="CB883" s="387">
        <f t="shared" si="610"/>
        <v>0</v>
      </c>
      <c r="CC883" s="387">
        <f t="shared" si="592"/>
        <v>0</v>
      </c>
      <c r="CD883" s="387">
        <f t="shared" si="593"/>
        <v>0</v>
      </c>
      <c r="CE883" s="387">
        <f t="shared" si="594"/>
        <v>0</v>
      </c>
      <c r="CF883" s="387">
        <f t="shared" si="595"/>
        <v>0</v>
      </c>
      <c r="CG883" s="387">
        <f t="shared" si="596"/>
        <v>0</v>
      </c>
      <c r="CH883" s="387">
        <f t="shared" si="597"/>
        <v>0</v>
      </c>
      <c r="CI883" s="387">
        <f t="shared" si="598"/>
        <v>0</v>
      </c>
      <c r="CJ883" s="387">
        <f t="shared" si="611"/>
        <v>0</v>
      </c>
      <c r="CK883" s="387" t="str">
        <f t="shared" si="612"/>
        <v/>
      </c>
      <c r="CL883" s="387" t="str">
        <f t="shared" si="613"/>
        <v/>
      </c>
      <c r="CM883" s="387" t="str">
        <f t="shared" si="614"/>
        <v/>
      </c>
      <c r="CN883" s="387" t="str">
        <f t="shared" si="615"/>
        <v>0348-31</v>
      </c>
    </row>
    <row r="884" spans="1:92" ht="15.75" thickBot="1" x14ac:dyDescent="0.3">
      <c r="A884" s="376" t="s">
        <v>161</v>
      </c>
      <c r="B884" s="376" t="s">
        <v>162</v>
      </c>
      <c r="C884" s="376" t="s">
        <v>1301</v>
      </c>
      <c r="D884" s="376" t="s">
        <v>862</v>
      </c>
      <c r="E884" s="376" t="s">
        <v>224</v>
      </c>
      <c r="F884" s="382" t="s">
        <v>225</v>
      </c>
      <c r="G884" s="376" t="s">
        <v>1945</v>
      </c>
      <c r="H884" s="378"/>
      <c r="I884" s="378"/>
      <c r="J884" s="376" t="s">
        <v>239</v>
      </c>
      <c r="K884" s="376" t="s">
        <v>863</v>
      </c>
      <c r="L884" s="376" t="s">
        <v>252</v>
      </c>
      <c r="M884" s="376" t="s">
        <v>171</v>
      </c>
      <c r="N884" s="376" t="s">
        <v>172</v>
      </c>
      <c r="O884" s="379">
        <v>1</v>
      </c>
      <c r="P884" s="385">
        <v>0.35</v>
      </c>
      <c r="Q884" s="385">
        <v>0.35</v>
      </c>
      <c r="R884" s="380">
        <v>80</v>
      </c>
      <c r="S884" s="385">
        <v>0.35</v>
      </c>
      <c r="T884" s="380">
        <v>10400.77</v>
      </c>
      <c r="U884" s="380">
        <v>0</v>
      </c>
      <c r="V884" s="380">
        <v>5526.04</v>
      </c>
      <c r="W884" s="380">
        <v>13686.4</v>
      </c>
      <c r="X884" s="380">
        <v>7037.16</v>
      </c>
      <c r="Y884" s="380">
        <v>13686.4</v>
      </c>
      <c r="Z884" s="380">
        <v>6979.68</v>
      </c>
      <c r="AA884" s="376" t="s">
        <v>1302</v>
      </c>
      <c r="AB884" s="376" t="s">
        <v>259</v>
      </c>
      <c r="AC884" s="376" t="s">
        <v>1303</v>
      </c>
      <c r="AD884" s="376" t="s">
        <v>198</v>
      </c>
      <c r="AE884" s="376" t="s">
        <v>863</v>
      </c>
      <c r="AF884" s="376" t="s">
        <v>393</v>
      </c>
      <c r="AG884" s="376" t="s">
        <v>178</v>
      </c>
      <c r="AH884" s="381">
        <v>18.8</v>
      </c>
      <c r="AI884" s="379">
        <v>3520</v>
      </c>
      <c r="AJ884" s="376" t="s">
        <v>179</v>
      </c>
      <c r="AK884" s="376" t="s">
        <v>180</v>
      </c>
      <c r="AL884" s="376" t="s">
        <v>181</v>
      </c>
      <c r="AM884" s="376" t="s">
        <v>182</v>
      </c>
      <c r="AN884" s="376" t="s">
        <v>68</v>
      </c>
      <c r="AO884" s="379">
        <v>80</v>
      </c>
      <c r="AP884" s="385">
        <v>1</v>
      </c>
      <c r="AQ884" s="385">
        <v>0.35</v>
      </c>
      <c r="AR884" s="383" t="s">
        <v>183</v>
      </c>
      <c r="AS884" s="387">
        <f t="shared" si="599"/>
        <v>0.35</v>
      </c>
      <c r="AT884">
        <f t="shared" si="600"/>
        <v>1</v>
      </c>
      <c r="AU884" s="387">
        <f>IF(AT884=0,"",IF(AND(AT884=1,M884="F",SUMIF(C2:C1334,C884,AS2:AS1334)&lt;=1),SUMIF(C2:C1334,C884,AS2:AS1334),IF(AND(AT884=1,M884="F",SUMIF(C2:C1334,C884,AS2:AS1334)&gt;1),1,"")))</f>
        <v>1</v>
      </c>
      <c r="AV884" s="387" t="str">
        <f>IF(AT884=0,"",IF(AND(AT884=3,M884="F",SUMIF(C2:C1334,C884,AS2:AS1334)&lt;=1),SUMIF(C2:C1334,C884,AS2:AS1334),IF(AND(AT884=3,M884="F",SUMIF(C2:C1334,C884,AS2:AS1334)&gt;1),1,"")))</f>
        <v/>
      </c>
      <c r="AW884" s="387">
        <f>SUMIF(C2:C1334,C884,O2:O1334)</f>
        <v>3</v>
      </c>
      <c r="AX884" s="387">
        <f>IF(AND(M884="F",AS884&lt;&gt;0),SUMIF(C2:C1334,C884,W2:W1334),0)</f>
        <v>39104</v>
      </c>
      <c r="AY884" s="387">
        <f t="shared" si="601"/>
        <v>13686.4</v>
      </c>
      <c r="AZ884" s="387" t="str">
        <f t="shared" si="602"/>
        <v/>
      </c>
      <c r="BA884" s="387">
        <f t="shared" si="603"/>
        <v>0</v>
      </c>
      <c r="BB884" s="387">
        <f t="shared" si="572"/>
        <v>4077.4999999999995</v>
      </c>
      <c r="BC884" s="387">
        <f t="shared" si="573"/>
        <v>0</v>
      </c>
      <c r="BD884" s="387">
        <f t="shared" si="574"/>
        <v>848.55679999999995</v>
      </c>
      <c r="BE884" s="387">
        <f t="shared" si="575"/>
        <v>198.4528</v>
      </c>
      <c r="BF884" s="387">
        <f t="shared" si="576"/>
        <v>1634.15616</v>
      </c>
      <c r="BG884" s="387">
        <f t="shared" si="577"/>
        <v>98.678944000000001</v>
      </c>
      <c r="BH884" s="387">
        <f t="shared" si="578"/>
        <v>67.063360000000003</v>
      </c>
      <c r="BI884" s="387">
        <f t="shared" si="579"/>
        <v>75.754223999999994</v>
      </c>
      <c r="BJ884" s="387">
        <f t="shared" si="580"/>
        <v>36.953279999999999</v>
      </c>
      <c r="BK884" s="387">
        <f t="shared" si="581"/>
        <v>0</v>
      </c>
      <c r="BL884" s="387">
        <f t="shared" si="604"/>
        <v>2959.6155680000002</v>
      </c>
      <c r="BM884" s="387">
        <f t="shared" si="605"/>
        <v>0</v>
      </c>
      <c r="BN884" s="387">
        <f t="shared" si="582"/>
        <v>4077.4999999999995</v>
      </c>
      <c r="BO884" s="387">
        <f t="shared" si="583"/>
        <v>0</v>
      </c>
      <c r="BP884" s="387">
        <f t="shared" si="584"/>
        <v>848.55679999999995</v>
      </c>
      <c r="BQ884" s="387">
        <f t="shared" si="585"/>
        <v>198.4528</v>
      </c>
      <c r="BR884" s="387">
        <f t="shared" si="586"/>
        <v>1634.15616</v>
      </c>
      <c r="BS884" s="387">
        <f t="shared" si="587"/>
        <v>98.678944000000001</v>
      </c>
      <c r="BT884" s="387">
        <f t="shared" si="588"/>
        <v>0</v>
      </c>
      <c r="BU884" s="387">
        <f t="shared" si="589"/>
        <v>75.754223999999994</v>
      </c>
      <c r="BV884" s="387">
        <f t="shared" si="590"/>
        <v>46.533759999999994</v>
      </c>
      <c r="BW884" s="387">
        <f t="shared" si="591"/>
        <v>0</v>
      </c>
      <c r="BX884" s="387">
        <f t="shared" si="606"/>
        <v>2902.1326879999997</v>
      </c>
      <c r="BY884" s="387">
        <f t="shared" si="607"/>
        <v>0</v>
      </c>
      <c r="BZ884" s="387">
        <f t="shared" si="608"/>
        <v>0</v>
      </c>
      <c r="CA884" s="387">
        <f t="shared" si="609"/>
        <v>0</v>
      </c>
      <c r="CB884" s="387">
        <f t="shared" si="610"/>
        <v>0</v>
      </c>
      <c r="CC884" s="387">
        <f t="shared" si="592"/>
        <v>0</v>
      </c>
      <c r="CD884" s="387">
        <f t="shared" si="593"/>
        <v>0</v>
      </c>
      <c r="CE884" s="387">
        <f t="shared" si="594"/>
        <v>0</v>
      </c>
      <c r="CF884" s="387">
        <f t="shared" si="595"/>
        <v>-67.063360000000003</v>
      </c>
      <c r="CG884" s="387">
        <f t="shared" si="596"/>
        <v>0</v>
      </c>
      <c r="CH884" s="387">
        <f t="shared" si="597"/>
        <v>9.5804799999999943</v>
      </c>
      <c r="CI884" s="387">
        <f t="shared" si="598"/>
        <v>0</v>
      </c>
      <c r="CJ884" s="387">
        <f t="shared" si="611"/>
        <v>-57.482880000000009</v>
      </c>
      <c r="CK884" s="387" t="str">
        <f t="shared" si="612"/>
        <v/>
      </c>
      <c r="CL884" s="387" t="str">
        <f t="shared" si="613"/>
        <v/>
      </c>
      <c r="CM884" s="387" t="str">
        <f t="shared" si="614"/>
        <v/>
      </c>
      <c r="CN884" s="387" t="str">
        <f t="shared" si="615"/>
        <v>0348-31</v>
      </c>
    </row>
    <row r="885" spans="1:92" ht="15.75" thickBot="1" x14ac:dyDescent="0.3">
      <c r="A885" s="376" t="s">
        <v>161</v>
      </c>
      <c r="B885" s="376" t="s">
        <v>162</v>
      </c>
      <c r="C885" s="376" t="s">
        <v>2068</v>
      </c>
      <c r="D885" s="376" t="s">
        <v>238</v>
      </c>
      <c r="E885" s="376" t="s">
        <v>224</v>
      </c>
      <c r="F885" s="382" t="s">
        <v>225</v>
      </c>
      <c r="G885" s="376" t="s">
        <v>1945</v>
      </c>
      <c r="H885" s="378"/>
      <c r="I885" s="378"/>
      <c r="J885" s="376" t="s">
        <v>215</v>
      </c>
      <c r="K885" s="376" t="s">
        <v>285</v>
      </c>
      <c r="L885" s="376" t="s">
        <v>170</v>
      </c>
      <c r="M885" s="376" t="s">
        <v>171</v>
      </c>
      <c r="N885" s="376" t="s">
        <v>172</v>
      </c>
      <c r="O885" s="379">
        <v>1</v>
      </c>
      <c r="P885" s="385">
        <v>1</v>
      </c>
      <c r="Q885" s="385">
        <v>1</v>
      </c>
      <c r="R885" s="380">
        <v>80</v>
      </c>
      <c r="S885" s="385">
        <v>1</v>
      </c>
      <c r="T885" s="380">
        <v>66990.3</v>
      </c>
      <c r="U885" s="380">
        <v>271.75</v>
      </c>
      <c r="V885" s="380">
        <v>25795.57</v>
      </c>
      <c r="W885" s="380">
        <v>69659.199999999997</v>
      </c>
      <c r="X885" s="380">
        <v>26713.77</v>
      </c>
      <c r="Y885" s="380">
        <v>69659.199999999997</v>
      </c>
      <c r="Z885" s="380">
        <v>26421.21</v>
      </c>
      <c r="AA885" s="376" t="s">
        <v>2069</v>
      </c>
      <c r="AB885" s="376" t="s">
        <v>2070</v>
      </c>
      <c r="AC885" s="376" t="s">
        <v>2022</v>
      </c>
      <c r="AD885" s="376" t="s">
        <v>292</v>
      </c>
      <c r="AE885" s="376" t="s">
        <v>285</v>
      </c>
      <c r="AF885" s="376" t="s">
        <v>177</v>
      </c>
      <c r="AG885" s="376" t="s">
        <v>178</v>
      </c>
      <c r="AH885" s="381">
        <v>33.49</v>
      </c>
      <c r="AI885" s="381">
        <v>40269.199999999997</v>
      </c>
      <c r="AJ885" s="376" t="s">
        <v>179</v>
      </c>
      <c r="AK885" s="376" t="s">
        <v>180</v>
      </c>
      <c r="AL885" s="376" t="s">
        <v>181</v>
      </c>
      <c r="AM885" s="376" t="s">
        <v>182</v>
      </c>
      <c r="AN885" s="376" t="s">
        <v>68</v>
      </c>
      <c r="AO885" s="379">
        <v>80</v>
      </c>
      <c r="AP885" s="385">
        <v>1</v>
      </c>
      <c r="AQ885" s="385">
        <v>1</v>
      </c>
      <c r="AR885" s="383" t="s">
        <v>183</v>
      </c>
      <c r="AS885" s="387">
        <f t="shared" si="599"/>
        <v>1</v>
      </c>
      <c r="AT885">
        <f t="shared" si="600"/>
        <v>1</v>
      </c>
      <c r="AU885" s="387">
        <f>IF(AT885=0,"",IF(AND(AT885=1,M885="F",SUMIF(C2:C1334,C885,AS2:AS1334)&lt;=1),SUMIF(C2:C1334,C885,AS2:AS1334),IF(AND(AT885=1,M885="F",SUMIF(C2:C1334,C885,AS2:AS1334)&gt;1),1,"")))</f>
        <v>1</v>
      </c>
      <c r="AV885" s="387" t="str">
        <f>IF(AT885=0,"",IF(AND(AT885=3,M885="F",SUMIF(C2:C1334,C885,AS2:AS1334)&lt;=1),SUMIF(C2:C1334,C885,AS2:AS1334),IF(AND(AT885=3,M885="F",SUMIF(C2:C1334,C885,AS2:AS1334)&gt;1),1,"")))</f>
        <v/>
      </c>
      <c r="AW885" s="387">
        <f>SUMIF(C2:C1334,C885,O2:O1334)</f>
        <v>1</v>
      </c>
      <c r="AX885" s="387">
        <f>IF(AND(M885="F",AS885&lt;&gt;0),SUMIF(C2:C1334,C885,W2:W1334),0)</f>
        <v>69659.199999999997</v>
      </c>
      <c r="AY885" s="387">
        <f t="shared" si="601"/>
        <v>69659.199999999997</v>
      </c>
      <c r="AZ885" s="387" t="str">
        <f t="shared" si="602"/>
        <v/>
      </c>
      <c r="BA885" s="387">
        <f t="shared" si="603"/>
        <v>0</v>
      </c>
      <c r="BB885" s="387">
        <f t="shared" si="572"/>
        <v>11650</v>
      </c>
      <c r="BC885" s="387">
        <f t="shared" si="573"/>
        <v>0</v>
      </c>
      <c r="BD885" s="387">
        <f t="shared" si="574"/>
        <v>4318.8703999999998</v>
      </c>
      <c r="BE885" s="387">
        <f t="shared" si="575"/>
        <v>1010.0584</v>
      </c>
      <c r="BF885" s="387">
        <f t="shared" si="576"/>
        <v>8317.3084799999997</v>
      </c>
      <c r="BG885" s="387">
        <f t="shared" si="577"/>
        <v>502.24283200000002</v>
      </c>
      <c r="BH885" s="387">
        <f t="shared" si="578"/>
        <v>341.33007999999995</v>
      </c>
      <c r="BI885" s="387">
        <f t="shared" si="579"/>
        <v>385.563672</v>
      </c>
      <c r="BJ885" s="387">
        <f t="shared" si="580"/>
        <v>188.07983999999999</v>
      </c>
      <c r="BK885" s="387">
        <f t="shared" si="581"/>
        <v>0</v>
      </c>
      <c r="BL885" s="387">
        <f t="shared" si="604"/>
        <v>15063.453704</v>
      </c>
      <c r="BM885" s="387">
        <f t="shared" si="605"/>
        <v>0</v>
      </c>
      <c r="BN885" s="387">
        <f t="shared" si="582"/>
        <v>11650</v>
      </c>
      <c r="BO885" s="387">
        <f t="shared" si="583"/>
        <v>0</v>
      </c>
      <c r="BP885" s="387">
        <f t="shared" si="584"/>
        <v>4318.8703999999998</v>
      </c>
      <c r="BQ885" s="387">
        <f t="shared" si="585"/>
        <v>1010.0584</v>
      </c>
      <c r="BR885" s="387">
        <f t="shared" si="586"/>
        <v>8317.3084799999997</v>
      </c>
      <c r="BS885" s="387">
        <f t="shared" si="587"/>
        <v>502.24283200000002</v>
      </c>
      <c r="BT885" s="387">
        <f t="shared" si="588"/>
        <v>0</v>
      </c>
      <c r="BU885" s="387">
        <f t="shared" si="589"/>
        <v>385.563672</v>
      </c>
      <c r="BV885" s="387">
        <f t="shared" si="590"/>
        <v>236.84127999999998</v>
      </c>
      <c r="BW885" s="387">
        <f t="shared" si="591"/>
        <v>0</v>
      </c>
      <c r="BX885" s="387">
        <f t="shared" si="606"/>
        <v>14770.885064</v>
      </c>
      <c r="BY885" s="387">
        <f t="shared" si="607"/>
        <v>0</v>
      </c>
      <c r="BZ885" s="387">
        <f t="shared" si="608"/>
        <v>0</v>
      </c>
      <c r="CA885" s="387">
        <f t="shared" si="609"/>
        <v>0</v>
      </c>
      <c r="CB885" s="387">
        <f t="shared" si="610"/>
        <v>0</v>
      </c>
      <c r="CC885" s="387">
        <f t="shared" si="592"/>
        <v>0</v>
      </c>
      <c r="CD885" s="387">
        <f t="shared" si="593"/>
        <v>0</v>
      </c>
      <c r="CE885" s="387">
        <f t="shared" si="594"/>
        <v>0</v>
      </c>
      <c r="CF885" s="387">
        <f t="shared" si="595"/>
        <v>-341.33007999999995</v>
      </c>
      <c r="CG885" s="387">
        <f t="shared" si="596"/>
        <v>0</v>
      </c>
      <c r="CH885" s="387">
        <f t="shared" si="597"/>
        <v>48.761439999999972</v>
      </c>
      <c r="CI885" s="387">
        <f t="shared" si="598"/>
        <v>0</v>
      </c>
      <c r="CJ885" s="387">
        <f t="shared" si="611"/>
        <v>-292.56863999999996</v>
      </c>
      <c r="CK885" s="387" t="str">
        <f t="shared" si="612"/>
        <v/>
      </c>
      <c r="CL885" s="387" t="str">
        <f t="shared" si="613"/>
        <v/>
      </c>
      <c r="CM885" s="387" t="str">
        <f t="shared" si="614"/>
        <v/>
      </c>
      <c r="CN885" s="387" t="str">
        <f t="shared" si="615"/>
        <v>0348-31</v>
      </c>
    </row>
    <row r="886" spans="1:92" ht="15.75" thickBot="1" x14ac:dyDescent="0.3">
      <c r="A886" s="376" t="s">
        <v>161</v>
      </c>
      <c r="B886" s="376" t="s">
        <v>162</v>
      </c>
      <c r="C886" s="376" t="s">
        <v>952</v>
      </c>
      <c r="D886" s="376" t="s">
        <v>326</v>
      </c>
      <c r="E886" s="376" t="s">
        <v>224</v>
      </c>
      <c r="F886" s="382" t="s">
        <v>225</v>
      </c>
      <c r="G886" s="376" t="s">
        <v>1945</v>
      </c>
      <c r="H886" s="378"/>
      <c r="I886" s="378"/>
      <c r="J886" s="376" t="s">
        <v>215</v>
      </c>
      <c r="K886" s="376" t="s">
        <v>953</v>
      </c>
      <c r="L886" s="376" t="s">
        <v>181</v>
      </c>
      <c r="M886" s="376" t="s">
        <v>171</v>
      </c>
      <c r="N886" s="376" t="s">
        <v>172</v>
      </c>
      <c r="O886" s="379">
        <v>1</v>
      </c>
      <c r="P886" s="385">
        <v>1</v>
      </c>
      <c r="Q886" s="385">
        <v>1</v>
      </c>
      <c r="R886" s="380">
        <v>80</v>
      </c>
      <c r="S886" s="385">
        <v>1</v>
      </c>
      <c r="T886" s="380">
        <v>0</v>
      </c>
      <c r="U886" s="380">
        <v>0</v>
      </c>
      <c r="V886" s="380">
        <v>0</v>
      </c>
      <c r="W886" s="380">
        <v>103729.60000000001</v>
      </c>
      <c r="X886" s="380">
        <v>34081.49</v>
      </c>
      <c r="Y886" s="380">
        <v>103729.60000000001</v>
      </c>
      <c r="Z886" s="380">
        <v>33645.839999999997</v>
      </c>
      <c r="AA886" s="376" t="s">
        <v>954</v>
      </c>
      <c r="AB886" s="376" t="s">
        <v>955</v>
      </c>
      <c r="AC886" s="376" t="s">
        <v>956</v>
      </c>
      <c r="AD886" s="376" t="s">
        <v>583</v>
      </c>
      <c r="AE886" s="376" t="s">
        <v>953</v>
      </c>
      <c r="AF886" s="376" t="s">
        <v>211</v>
      </c>
      <c r="AG886" s="376" t="s">
        <v>178</v>
      </c>
      <c r="AH886" s="381">
        <v>49.87</v>
      </c>
      <c r="AI886" s="381">
        <v>28914.3</v>
      </c>
      <c r="AJ886" s="376" t="s">
        <v>179</v>
      </c>
      <c r="AK886" s="376" t="s">
        <v>180</v>
      </c>
      <c r="AL886" s="376" t="s">
        <v>181</v>
      </c>
      <c r="AM886" s="376" t="s">
        <v>182</v>
      </c>
      <c r="AN886" s="376" t="s">
        <v>68</v>
      </c>
      <c r="AO886" s="379">
        <v>80</v>
      </c>
      <c r="AP886" s="385">
        <v>1</v>
      </c>
      <c r="AQ886" s="385">
        <v>1</v>
      </c>
      <c r="AR886" s="383" t="s">
        <v>183</v>
      </c>
      <c r="AS886" s="387">
        <f t="shared" si="599"/>
        <v>1</v>
      </c>
      <c r="AT886">
        <f t="shared" si="600"/>
        <v>1</v>
      </c>
      <c r="AU886" s="387">
        <f>IF(AT886=0,"",IF(AND(AT886=1,M886="F",SUMIF(C2:C1334,C886,AS2:AS1334)&lt;=1),SUMIF(C2:C1334,C886,AS2:AS1334),IF(AND(AT886=1,M886="F",SUMIF(C2:C1334,C886,AS2:AS1334)&gt;1),1,"")))</f>
        <v>1</v>
      </c>
      <c r="AV886" s="387" t="str">
        <f>IF(AT886=0,"",IF(AND(AT886=3,M886="F",SUMIF(C2:C1334,C886,AS2:AS1334)&lt;=1),SUMIF(C2:C1334,C886,AS2:AS1334),IF(AND(AT886=3,M886="F",SUMIF(C2:C1334,C886,AS2:AS1334)&gt;1),1,"")))</f>
        <v/>
      </c>
      <c r="AW886" s="387">
        <f>SUMIF(C2:C1334,C886,O2:O1334)</f>
        <v>2</v>
      </c>
      <c r="AX886" s="387">
        <f>IF(AND(M886="F",AS886&lt;&gt;0),SUMIF(C2:C1334,C886,W2:W1334),0)</f>
        <v>103729.60000000001</v>
      </c>
      <c r="AY886" s="387">
        <f t="shared" si="601"/>
        <v>103729.60000000001</v>
      </c>
      <c r="AZ886" s="387" t="str">
        <f t="shared" si="602"/>
        <v/>
      </c>
      <c r="BA886" s="387">
        <f t="shared" si="603"/>
        <v>0</v>
      </c>
      <c r="BB886" s="387">
        <f t="shared" si="572"/>
        <v>11650</v>
      </c>
      <c r="BC886" s="387">
        <f t="shared" si="573"/>
        <v>0</v>
      </c>
      <c r="BD886" s="387">
        <f t="shared" si="574"/>
        <v>6431.2352000000001</v>
      </c>
      <c r="BE886" s="387">
        <f t="shared" si="575"/>
        <v>1504.0792000000001</v>
      </c>
      <c r="BF886" s="387">
        <f t="shared" si="576"/>
        <v>12385.314240000002</v>
      </c>
      <c r="BG886" s="387">
        <f t="shared" si="577"/>
        <v>747.89041600000007</v>
      </c>
      <c r="BH886" s="387">
        <f t="shared" si="578"/>
        <v>508.27503999999999</v>
      </c>
      <c r="BI886" s="387">
        <f t="shared" si="579"/>
        <v>574.14333599999998</v>
      </c>
      <c r="BJ886" s="387">
        <f t="shared" si="580"/>
        <v>280.06992000000002</v>
      </c>
      <c r="BK886" s="387">
        <f t="shared" si="581"/>
        <v>0</v>
      </c>
      <c r="BL886" s="387">
        <f t="shared" si="604"/>
        <v>22431.007352000004</v>
      </c>
      <c r="BM886" s="387">
        <f t="shared" si="605"/>
        <v>0</v>
      </c>
      <c r="BN886" s="387">
        <f t="shared" si="582"/>
        <v>11650</v>
      </c>
      <c r="BO886" s="387">
        <f t="shared" si="583"/>
        <v>0</v>
      </c>
      <c r="BP886" s="387">
        <f t="shared" si="584"/>
        <v>6431.2352000000001</v>
      </c>
      <c r="BQ886" s="387">
        <f t="shared" si="585"/>
        <v>1504.0792000000001</v>
      </c>
      <c r="BR886" s="387">
        <f t="shared" si="586"/>
        <v>12385.314240000002</v>
      </c>
      <c r="BS886" s="387">
        <f t="shared" si="587"/>
        <v>747.89041600000007</v>
      </c>
      <c r="BT886" s="387">
        <f t="shared" si="588"/>
        <v>0</v>
      </c>
      <c r="BU886" s="387">
        <f t="shared" si="589"/>
        <v>574.14333599999998</v>
      </c>
      <c r="BV886" s="387">
        <f t="shared" si="590"/>
        <v>352.68063999999998</v>
      </c>
      <c r="BW886" s="387">
        <f t="shared" si="591"/>
        <v>0</v>
      </c>
      <c r="BX886" s="387">
        <f t="shared" si="606"/>
        <v>21995.343032000001</v>
      </c>
      <c r="BY886" s="387">
        <f t="shared" si="607"/>
        <v>0</v>
      </c>
      <c r="BZ886" s="387">
        <f t="shared" si="608"/>
        <v>0</v>
      </c>
      <c r="CA886" s="387">
        <f t="shared" si="609"/>
        <v>0</v>
      </c>
      <c r="CB886" s="387">
        <f t="shared" si="610"/>
        <v>0</v>
      </c>
      <c r="CC886" s="387">
        <f t="shared" si="592"/>
        <v>0</v>
      </c>
      <c r="CD886" s="387">
        <f t="shared" si="593"/>
        <v>0</v>
      </c>
      <c r="CE886" s="387">
        <f t="shared" si="594"/>
        <v>0</v>
      </c>
      <c r="CF886" s="387">
        <f t="shared" si="595"/>
        <v>-508.27503999999999</v>
      </c>
      <c r="CG886" s="387">
        <f t="shared" si="596"/>
        <v>0</v>
      </c>
      <c r="CH886" s="387">
        <f t="shared" si="597"/>
        <v>72.610719999999972</v>
      </c>
      <c r="CI886" s="387">
        <f t="shared" si="598"/>
        <v>0</v>
      </c>
      <c r="CJ886" s="387">
        <f t="shared" si="611"/>
        <v>-435.66432000000003</v>
      </c>
      <c r="CK886" s="387" t="str">
        <f t="shared" si="612"/>
        <v/>
      </c>
      <c r="CL886" s="387" t="str">
        <f t="shared" si="613"/>
        <v/>
      </c>
      <c r="CM886" s="387" t="str">
        <f t="shared" si="614"/>
        <v/>
      </c>
      <c r="CN886" s="387" t="str">
        <f t="shared" si="615"/>
        <v>0348-31</v>
      </c>
    </row>
    <row r="887" spans="1:92" ht="15.75" thickBot="1" x14ac:dyDescent="0.3">
      <c r="A887" s="376" t="s">
        <v>161</v>
      </c>
      <c r="B887" s="376" t="s">
        <v>162</v>
      </c>
      <c r="C887" s="376" t="s">
        <v>2071</v>
      </c>
      <c r="D887" s="376" t="s">
        <v>1957</v>
      </c>
      <c r="E887" s="376" t="s">
        <v>224</v>
      </c>
      <c r="F887" s="382" t="s">
        <v>225</v>
      </c>
      <c r="G887" s="376" t="s">
        <v>1945</v>
      </c>
      <c r="H887" s="378"/>
      <c r="I887" s="378"/>
      <c r="J887" s="376" t="s">
        <v>215</v>
      </c>
      <c r="K887" s="376" t="s">
        <v>1958</v>
      </c>
      <c r="L887" s="376" t="s">
        <v>181</v>
      </c>
      <c r="M887" s="376" t="s">
        <v>171</v>
      </c>
      <c r="N887" s="376" t="s">
        <v>172</v>
      </c>
      <c r="O887" s="379">
        <v>1</v>
      </c>
      <c r="P887" s="385">
        <v>1</v>
      </c>
      <c r="Q887" s="385">
        <v>1</v>
      </c>
      <c r="R887" s="380">
        <v>80</v>
      </c>
      <c r="S887" s="385">
        <v>1</v>
      </c>
      <c r="T887" s="380">
        <v>65443.75</v>
      </c>
      <c r="U887" s="380">
        <v>49017.74</v>
      </c>
      <c r="V887" s="380">
        <v>33996.46</v>
      </c>
      <c r="W887" s="380">
        <v>65187.199999999997</v>
      </c>
      <c r="X887" s="380">
        <v>25746.69</v>
      </c>
      <c r="Y887" s="380">
        <v>65187.199999999997</v>
      </c>
      <c r="Z887" s="380">
        <v>25472.91</v>
      </c>
      <c r="AA887" s="376" t="s">
        <v>2072</v>
      </c>
      <c r="AB887" s="376" t="s">
        <v>1824</v>
      </c>
      <c r="AC887" s="376" t="s">
        <v>251</v>
      </c>
      <c r="AD887" s="376" t="s">
        <v>441</v>
      </c>
      <c r="AE887" s="376" t="s">
        <v>1958</v>
      </c>
      <c r="AF887" s="376" t="s">
        <v>211</v>
      </c>
      <c r="AG887" s="376" t="s">
        <v>178</v>
      </c>
      <c r="AH887" s="381">
        <v>31.34</v>
      </c>
      <c r="AI887" s="381">
        <v>33902.699999999997</v>
      </c>
      <c r="AJ887" s="376" t="s">
        <v>179</v>
      </c>
      <c r="AK887" s="376" t="s">
        <v>180</v>
      </c>
      <c r="AL887" s="376" t="s">
        <v>181</v>
      </c>
      <c r="AM887" s="376" t="s">
        <v>182</v>
      </c>
      <c r="AN887" s="376" t="s">
        <v>68</v>
      </c>
      <c r="AO887" s="379">
        <v>80</v>
      </c>
      <c r="AP887" s="385">
        <v>1</v>
      </c>
      <c r="AQ887" s="385">
        <v>1</v>
      </c>
      <c r="AR887" s="383" t="s">
        <v>183</v>
      </c>
      <c r="AS887" s="387">
        <f t="shared" si="599"/>
        <v>1</v>
      </c>
      <c r="AT887">
        <f t="shared" si="600"/>
        <v>1</v>
      </c>
      <c r="AU887" s="387">
        <f>IF(AT887=0,"",IF(AND(AT887=1,M887="F",SUMIF(C2:C1334,C887,AS2:AS1334)&lt;=1),SUMIF(C2:C1334,C887,AS2:AS1334),IF(AND(AT887=1,M887="F",SUMIF(C2:C1334,C887,AS2:AS1334)&gt;1),1,"")))</f>
        <v>1</v>
      </c>
      <c r="AV887" s="387" t="str">
        <f>IF(AT887=0,"",IF(AND(AT887=3,M887="F",SUMIF(C2:C1334,C887,AS2:AS1334)&lt;=1),SUMIF(C2:C1334,C887,AS2:AS1334),IF(AND(AT887=3,M887="F",SUMIF(C2:C1334,C887,AS2:AS1334)&gt;1),1,"")))</f>
        <v/>
      </c>
      <c r="AW887" s="387">
        <f>SUMIF(C2:C1334,C887,O2:O1334)</f>
        <v>1</v>
      </c>
      <c r="AX887" s="387">
        <f>IF(AND(M887="F",AS887&lt;&gt;0),SUMIF(C2:C1334,C887,W2:W1334),0)</f>
        <v>65187.199999999997</v>
      </c>
      <c r="AY887" s="387">
        <f t="shared" si="601"/>
        <v>65187.199999999997</v>
      </c>
      <c r="AZ887" s="387" t="str">
        <f t="shared" si="602"/>
        <v/>
      </c>
      <c r="BA887" s="387">
        <f t="shared" si="603"/>
        <v>0</v>
      </c>
      <c r="BB887" s="387">
        <f t="shared" si="572"/>
        <v>11650</v>
      </c>
      <c r="BC887" s="387">
        <f t="shared" si="573"/>
        <v>0</v>
      </c>
      <c r="BD887" s="387">
        <f t="shared" si="574"/>
        <v>4041.6063999999997</v>
      </c>
      <c r="BE887" s="387">
        <f t="shared" si="575"/>
        <v>945.21439999999996</v>
      </c>
      <c r="BF887" s="387">
        <f t="shared" si="576"/>
        <v>7783.3516799999998</v>
      </c>
      <c r="BG887" s="387">
        <f t="shared" si="577"/>
        <v>469.99971199999999</v>
      </c>
      <c r="BH887" s="387">
        <f t="shared" si="578"/>
        <v>319.41727999999995</v>
      </c>
      <c r="BI887" s="387">
        <f t="shared" si="579"/>
        <v>360.81115199999999</v>
      </c>
      <c r="BJ887" s="387">
        <f t="shared" si="580"/>
        <v>176.00543999999999</v>
      </c>
      <c r="BK887" s="387">
        <f t="shared" si="581"/>
        <v>0</v>
      </c>
      <c r="BL887" s="387">
        <f t="shared" si="604"/>
        <v>14096.406064000001</v>
      </c>
      <c r="BM887" s="387">
        <f t="shared" si="605"/>
        <v>0</v>
      </c>
      <c r="BN887" s="387">
        <f t="shared" si="582"/>
        <v>11650</v>
      </c>
      <c r="BO887" s="387">
        <f t="shared" si="583"/>
        <v>0</v>
      </c>
      <c r="BP887" s="387">
        <f t="shared" si="584"/>
        <v>4041.6063999999997</v>
      </c>
      <c r="BQ887" s="387">
        <f t="shared" si="585"/>
        <v>945.21439999999996</v>
      </c>
      <c r="BR887" s="387">
        <f t="shared" si="586"/>
        <v>7783.3516799999998</v>
      </c>
      <c r="BS887" s="387">
        <f t="shared" si="587"/>
        <v>469.99971199999999</v>
      </c>
      <c r="BT887" s="387">
        <f t="shared" si="588"/>
        <v>0</v>
      </c>
      <c r="BU887" s="387">
        <f t="shared" si="589"/>
        <v>360.81115199999999</v>
      </c>
      <c r="BV887" s="387">
        <f t="shared" si="590"/>
        <v>221.63647999999998</v>
      </c>
      <c r="BW887" s="387">
        <f t="shared" si="591"/>
        <v>0</v>
      </c>
      <c r="BX887" s="387">
        <f t="shared" si="606"/>
        <v>13822.619823999999</v>
      </c>
      <c r="BY887" s="387">
        <f t="shared" si="607"/>
        <v>0</v>
      </c>
      <c r="BZ887" s="387">
        <f t="shared" si="608"/>
        <v>0</v>
      </c>
      <c r="CA887" s="387">
        <f t="shared" si="609"/>
        <v>0</v>
      </c>
      <c r="CB887" s="387">
        <f t="shared" si="610"/>
        <v>0</v>
      </c>
      <c r="CC887" s="387">
        <f t="shared" si="592"/>
        <v>0</v>
      </c>
      <c r="CD887" s="387">
        <f t="shared" si="593"/>
        <v>0</v>
      </c>
      <c r="CE887" s="387">
        <f t="shared" si="594"/>
        <v>0</v>
      </c>
      <c r="CF887" s="387">
        <f t="shared" si="595"/>
        <v>-319.41727999999995</v>
      </c>
      <c r="CG887" s="387">
        <f t="shared" si="596"/>
        <v>0</v>
      </c>
      <c r="CH887" s="387">
        <f t="shared" si="597"/>
        <v>45.631039999999977</v>
      </c>
      <c r="CI887" s="387">
        <f t="shared" si="598"/>
        <v>0</v>
      </c>
      <c r="CJ887" s="387">
        <f t="shared" si="611"/>
        <v>-273.78623999999996</v>
      </c>
      <c r="CK887" s="387" t="str">
        <f t="shared" si="612"/>
        <v/>
      </c>
      <c r="CL887" s="387" t="str">
        <f t="shared" si="613"/>
        <v/>
      </c>
      <c r="CM887" s="387" t="str">
        <f t="shared" si="614"/>
        <v/>
      </c>
      <c r="CN887" s="387" t="str">
        <f t="shared" si="615"/>
        <v>0348-31</v>
      </c>
    </row>
    <row r="888" spans="1:92" ht="15.75" thickBot="1" x14ac:dyDescent="0.3">
      <c r="A888" s="376" t="s">
        <v>161</v>
      </c>
      <c r="B888" s="376" t="s">
        <v>162</v>
      </c>
      <c r="C888" s="376" t="s">
        <v>2073</v>
      </c>
      <c r="D888" s="376" t="s">
        <v>974</v>
      </c>
      <c r="E888" s="376" t="s">
        <v>224</v>
      </c>
      <c r="F888" s="382" t="s">
        <v>225</v>
      </c>
      <c r="G888" s="376" t="s">
        <v>1945</v>
      </c>
      <c r="H888" s="378"/>
      <c r="I888" s="378"/>
      <c r="J888" s="376" t="s">
        <v>215</v>
      </c>
      <c r="K888" s="376" t="s">
        <v>975</v>
      </c>
      <c r="L888" s="376" t="s">
        <v>296</v>
      </c>
      <c r="M888" s="376" t="s">
        <v>171</v>
      </c>
      <c r="N888" s="376" t="s">
        <v>172</v>
      </c>
      <c r="O888" s="379">
        <v>1</v>
      </c>
      <c r="P888" s="385">
        <v>1</v>
      </c>
      <c r="Q888" s="385">
        <v>1</v>
      </c>
      <c r="R888" s="380">
        <v>80</v>
      </c>
      <c r="S888" s="385">
        <v>1</v>
      </c>
      <c r="T888" s="380">
        <v>43477.67</v>
      </c>
      <c r="U888" s="380">
        <v>2336.4699999999998</v>
      </c>
      <c r="V888" s="380">
        <v>20980.09</v>
      </c>
      <c r="W888" s="380">
        <v>50606.400000000001</v>
      </c>
      <c r="X888" s="380">
        <v>22593.599999999999</v>
      </c>
      <c r="Y888" s="380">
        <v>50606.400000000001</v>
      </c>
      <c r="Z888" s="380">
        <v>22381.06</v>
      </c>
      <c r="AA888" s="376" t="s">
        <v>2074</v>
      </c>
      <c r="AB888" s="376" t="s">
        <v>2075</v>
      </c>
      <c r="AC888" s="376" t="s">
        <v>2076</v>
      </c>
      <c r="AD888" s="376" t="s">
        <v>324</v>
      </c>
      <c r="AE888" s="376" t="s">
        <v>975</v>
      </c>
      <c r="AF888" s="376" t="s">
        <v>301</v>
      </c>
      <c r="AG888" s="376" t="s">
        <v>178</v>
      </c>
      <c r="AH888" s="381">
        <v>24.33</v>
      </c>
      <c r="AI888" s="381">
        <v>22409.1</v>
      </c>
      <c r="AJ888" s="376" t="s">
        <v>179</v>
      </c>
      <c r="AK888" s="376" t="s">
        <v>180</v>
      </c>
      <c r="AL888" s="376" t="s">
        <v>181</v>
      </c>
      <c r="AM888" s="376" t="s">
        <v>182</v>
      </c>
      <c r="AN888" s="376" t="s">
        <v>68</v>
      </c>
      <c r="AO888" s="379">
        <v>80</v>
      </c>
      <c r="AP888" s="385">
        <v>1</v>
      </c>
      <c r="AQ888" s="385">
        <v>1</v>
      </c>
      <c r="AR888" s="383" t="s">
        <v>183</v>
      </c>
      <c r="AS888" s="387">
        <f t="shared" si="599"/>
        <v>1</v>
      </c>
      <c r="AT888">
        <f t="shared" si="600"/>
        <v>1</v>
      </c>
      <c r="AU888" s="387">
        <f>IF(AT888=0,"",IF(AND(AT888=1,M888="F",SUMIF(C2:C1334,C888,AS2:AS1334)&lt;=1),SUMIF(C2:C1334,C888,AS2:AS1334),IF(AND(AT888=1,M888="F",SUMIF(C2:C1334,C888,AS2:AS1334)&gt;1),1,"")))</f>
        <v>1</v>
      </c>
      <c r="AV888" s="387" t="str">
        <f>IF(AT888=0,"",IF(AND(AT888=3,M888="F",SUMIF(C2:C1334,C888,AS2:AS1334)&lt;=1),SUMIF(C2:C1334,C888,AS2:AS1334),IF(AND(AT888=3,M888="F",SUMIF(C2:C1334,C888,AS2:AS1334)&gt;1),1,"")))</f>
        <v/>
      </c>
      <c r="AW888" s="387">
        <f>SUMIF(C2:C1334,C888,O2:O1334)</f>
        <v>1</v>
      </c>
      <c r="AX888" s="387">
        <f>IF(AND(M888="F",AS888&lt;&gt;0),SUMIF(C2:C1334,C888,W2:W1334),0)</f>
        <v>50606.400000000001</v>
      </c>
      <c r="AY888" s="387">
        <f t="shared" si="601"/>
        <v>50606.400000000001</v>
      </c>
      <c r="AZ888" s="387" t="str">
        <f t="shared" si="602"/>
        <v/>
      </c>
      <c r="BA888" s="387">
        <f t="shared" si="603"/>
        <v>0</v>
      </c>
      <c r="BB888" s="387">
        <f t="shared" si="572"/>
        <v>11650</v>
      </c>
      <c r="BC888" s="387">
        <f t="shared" si="573"/>
        <v>0</v>
      </c>
      <c r="BD888" s="387">
        <f t="shared" si="574"/>
        <v>3137.5968000000003</v>
      </c>
      <c r="BE888" s="387">
        <f t="shared" si="575"/>
        <v>733.79280000000006</v>
      </c>
      <c r="BF888" s="387">
        <f t="shared" si="576"/>
        <v>6042.40416</v>
      </c>
      <c r="BG888" s="387">
        <f t="shared" si="577"/>
        <v>364.87214400000005</v>
      </c>
      <c r="BH888" s="387">
        <f t="shared" si="578"/>
        <v>247.97136</v>
      </c>
      <c r="BI888" s="387">
        <f t="shared" si="579"/>
        <v>280.106424</v>
      </c>
      <c r="BJ888" s="387">
        <f t="shared" si="580"/>
        <v>136.63728</v>
      </c>
      <c r="BK888" s="387">
        <f t="shared" si="581"/>
        <v>0</v>
      </c>
      <c r="BL888" s="387">
        <f t="shared" si="604"/>
        <v>10943.380968000001</v>
      </c>
      <c r="BM888" s="387">
        <f t="shared" si="605"/>
        <v>0</v>
      </c>
      <c r="BN888" s="387">
        <f t="shared" si="582"/>
        <v>11650</v>
      </c>
      <c r="BO888" s="387">
        <f t="shared" si="583"/>
        <v>0</v>
      </c>
      <c r="BP888" s="387">
        <f t="shared" si="584"/>
        <v>3137.5968000000003</v>
      </c>
      <c r="BQ888" s="387">
        <f t="shared" si="585"/>
        <v>733.79280000000006</v>
      </c>
      <c r="BR888" s="387">
        <f t="shared" si="586"/>
        <v>6042.40416</v>
      </c>
      <c r="BS888" s="387">
        <f t="shared" si="587"/>
        <v>364.87214400000005</v>
      </c>
      <c r="BT888" s="387">
        <f t="shared" si="588"/>
        <v>0</v>
      </c>
      <c r="BU888" s="387">
        <f t="shared" si="589"/>
        <v>280.106424</v>
      </c>
      <c r="BV888" s="387">
        <f t="shared" si="590"/>
        <v>172.06175999999999</v>
      </c>
      <c r="BW888" s="387">
        <f t="shared" si="591"/>
        <v>0</v>
      </c>
      <c r="BX888" s="387">
        <f t="shared" si="606"/>
        <v>10730.834088000001</v>
      </c>
      <c r="BY888" s="387">
        <f t="shared" si="607"/>
        <v>0</v>
      </c>
      <c r="BZ888" s="387">
        <f t="shared" si="608"/>
        <v>0</v>
      </c>
      <c r="CA888" s="387">
        <f t="shared" si="609"/>
        <v>0</v>
      </c>
      <c r="CB888" s="387">
        <f t="shared" si="610"/>
        <v>0</v>
      </c>
      <c r="CC888" s="387">
        <f t="shared" si="592"/>
        <v>0</v>
      </c>
      <c r="CD888" s="387">
        <f t="shared" si="593"/>
        <v>0</v>
      </c>
      <c r="CE888" s="387">
        <f t="shared" si="594"/>
        <v>0</v>
      </c>
      <c r="CF888" s="387">
        <f t="shared" si="595"/>
        <v>-247.97136</v>
      </c>
      <c r="CG888" s="387">
        <f t="shared" si="596"/>
        <v>0</v>
      </c>
      <c r="CH888" s="387">
        <f t="shared" si="597"/>
        <v>35.424479999999981</v>
      </c>
      <c r="CI888" s="387">
        <f t="shared" si="598"/>
        <v>0</v>
      </c>
      <c r="CJ888" s="387">
        <f t="shared" si="611"/>
        <v>-212.54688000000002</v>
      </c>
      <c r="CK888" s="387" t="str">
        <f t="shared" si="612"/>
        <v/>
      </c>
      <c r="CL888" s="387" t="str">
        <f t="shared" si="613"/>
        <v/>
      </c>
      <c r="CM888" s="387" t="str">
        <f t="shared" si="614"/>
        <v/>
      </c>
      <c r="CN888" s="387" t="str">
        <f t="shared" si="615"/>
        <v>0348-31</v>
      </c>
    </row>
    <row r="889" spans="1:92" ht="15.75" thickBot="1" x14ac:dyDescent="0.3">
      <c r="A889" s="376" t="s">
        <v>161</v>
      </c>
      <c r="B889" s="376" t="s">
        <v>162</v>
      </c>
      <c r="C889" s="376" t="s">
        <v>1332</v>
      </c>
      <c r="D889" s="376" t="s">
        <v>862</v>
      </c>
      <c r="E889" s="376" t="s">
        <v>224</v>
      </c>
      <c r="F889" s="382" t="s">
        <v>225</v>
      </c>
      <c r="G889" s="376" t="s">
        <v>1945</v>
      </c>
      <c r="H889" s="378"/>
      <c r="I889" s="378"/>
      <c r="J889" s="376" t="s">
        <v>215</v>
      </c>
      <c r="K889" s="376" t="s">
        <v>863</v>
      </c>
      <c r="L889" s="376" t="s">
        <v>252</v>
      </c>
      <c r="M889" s="376" t="s">
        <v>171</v>
      </c>
      <c r="N889" s="376" t="s">
        <v>172</v>
      </c>
      <c r="O889" s="379">
        <v>1</v>
      </c>
      <c r="P889" s="385">
        <v>1</v>
      </c>
      <c r="Q889" s="385">
        <v>1</v>
      </c>
      <c r="R889" s="380">
        <v>80</v>
      </c>
      <c r="S889" s="385">
        <v>1</v>
      </c>
      <c r="T889" s="380">
        <v>36630.32</v>
      </c>
      <c r="U889" s="380">
        <v>1121.07</v>
      </c>
      <c r="V889" s="380">
        <v>20261.900000000001</v>
      </c>
      <c r="W889" s="380">
        <v>41059.199999999997</v>
      </c>
      <c r="X889" s="380">
        <v>20529.009999999998</v>
      </c>
      <c r="Y889" s="380">
        <v>41059.199999999997</v>
      </c>
      <c r="Z889" s="380">
        <v>20356.57</v>
      </c>
      <c r="AA889" s="376" t="s">
        <v>1333</v>
      </c>
      <c r="AB889" s="376" t="s">
        <v>1334</v>
      </c>
      <c r="AC889" s="376" t="s">
        <v>1335</v>
      </c>
      <c r="AD889" s="376" t="s">
        <v>210</v>
      </c>
      <c r="AE889" s="376" t="s">
        <v>863</v>
      </c>
      <c r="AF889" s="376" t="s">
        <v>393</v>
      </c>
      <c r="AG889" s="376" t="s">
        <v>178</v>
      </c>
      <c r="AH889" s="381">
        <v>19.739999999999998</v>
      </c>
      <c r="AI889" s="379">
        <v>1671</v>
      </c>
      <c r="AJ889" s="376" t="s">
        <v>179</v>
      </c>
      <c r="AK889" s="376" t="s">
        <v>180</v>
      </c>
      <c r="AL889" s="376" t="s">
        <v>181</v>
      </c>
      <c r="AM889" s="376" t="s">
        <v>182</v>
      </c>
      <c r="AN889" s="376" t="s">
        <v>68</v>
      </c>
      <c r="AO889" s="379">
        <v>80</v>
      </c>
      <c r="AP889" s="385">
        <v>1</v>
      </c>
      <c r="AQ889" s="385">
        <v>1</v>
      </c>
      <c r="AR889" s="383" t="s">
        <v>183</v>
      </c>
      <c r="AS889" s="387">
        <f t="shared" si="599"/>
        <v>1</v>
      </c>
      <c r="AT889">
        <f t="shared" si="600"/>
        <v>1</v>
      </c>
      <c r="AU889" s="387">
        <f>IF(AT889=0,"",IF(AND(AT889=1,M889="F",SUMIF(C2:C1334,C889,AS2:AS1334)&lt;=1),SUMIF(C2:C1334,C889,AS2:AS1334),IF(AND(AT889=1,M889="F",SUMIF(C2:C1334,C889,AS2:AS1334)&gt;1),1,"")))</f>
        <v>1</v>
      </c>
      <c r="AV889" s="387" t="str">
        <f>IF(AT889=0,"",IF(AND(AT889=3,M889="F",SUMIF(C2:C1334,C889,AS2:AS1334)&lt;=1),SUMIF(C2:C1334,C889,AS2:AS1334),IF(AND(AT889=3,M889="F",SUMIF(C2:C1334,C889,AS2:AS1334)&gt;1),1,"")))</f>
        <v/>
      </c>
      <c r="AW889" s="387">
        <f>SUMIF(C2:C1334,C889,O2:O1334)</f>
        <v>2</v>
      </c>
      <c r="AX889" s="387">
        <f>IF(AND(M889="F",AS889&lt;&gt;0),SUMIF(C2:C1334,C889,W2:W1334),0)</f>
        <v>41059.199999999997</v>
      </c>
      <c r="AY889" s="387">
        <f t="shared" si="601"/>
        <v>41059.199999999997</v>
      </c>
      <c r="AZ889" s="387" t="str">
        <f t="shared" si="602"/>
        <v/>
      </c>
      <c r="BA889" s="387">
        <f t="shared" si="603"/>
        <v>0</v>
      </c>
      <c r="BB889" s="387">
        <f t="shared" si="572"/>
        <v>11650</v>
      </c>
      <c r="BC889" s="387">
        <f t="shared" si="573"/>
        <v>0</v>
      </c>
      <c r="BD889" s="387">
        <f t="shared" si="574"/>
        <v>2545.6704</v>
      </c>
      <c r="BE889" s="387">
        <f t="shared" si="575"/>
        <v>595.35839999999996</v>
      </c>
      <c r="BF889" s="387">
        <f t="shared" si="576"/>
        <v>4902.4684799999995</v>
      </c>
      <c r="BG889" s="387">
        <f t="shared" si="577"/>
        <v>296.036832</v>
      </c>
      <c r="BH889" s="387">
        <f t="shared" si="578"/>
        <v>201.19007999999997</v>
      </c>
      <c r="BI889" s="387">
        <f t="shared" si="579"/>
        <v>227.26267199999998</v>
      </c>
      <c r="BJ889" s="387">
        <f t="shared" si="580"/>
        <v>110.85983999999999</v>
      </c>
      <c r="BK889" s="387">
        <f t="shared" si="581"/>
        <v>0</v>
      </c>
      <c r="BL889" s="387">
        <f t="shared" si="604"/>
        <v>8878.8467039999996</v>
      </c>
      <c r="BM889" s="387">
        <f t="shared" si="605"/>
        <v>0</v>
      </c>
      <c r="BN889" s="387">
        <f t="shared" si="582"/>
        <v>11650</v>
      </c>
      <c r="BO889" s="387">
        <f t="shared" si="583"/>
        <v>0</v>
      </c>
      <c r="BP889" s="387">
        <f t="shared" si="584"/>
        <v>2545.6704</v>
      </c>
      <c r="BQ889" s="387">
        <f t="shared" si="585"/>
        <v>595.35839999999996</v>
      </c>
      <c r="BR889" s="387">
        <f t="shared" si="586"/>
        <v>4902.4684799999995</v>
      </c>
      <c r="BS889" s="387">
        <f t="shared" si="587"/>
        <v>296.036832</v>
      </c>
      <c r="BT889" s="387">
        <f t="shared" si="588"/>
        <v>0</v>
      </c>
      <c r="BU889" s="387">
        <f t="shared" si="589"/>
        <v>227.26267199999998</v>
      </c>
      <c r="BV889" s="387">
        <f t="shared" si="590"/>
        <v>139.60127999999997</v>
      </c>
      <c r="BW889" s="387">
        <f t="shared" si="591"/>
        <v>0</v>
      </c>
      <c r="BX889" s="387">
        <f t="shared" si="606"/>
        <v>8706.3980640000009</v>
      </c>
      <c r="BY889" s="387">
        <f t="shared" si="607"/>
        <v>0</v>
      </c>
      <c r="BZ889" s="387">
        <f t="shared" si="608"/>
        <v>0</v>
      </c>
      <c r="CA889" s="387">
        <f t="shared" si="609"/>
        <v>0</v>
      </c>
      <c r="CB889" s="387">
        <f t="shared" si="610"/>
        <v>0</v>
      </c>
      <c r="CC889" s="387">
        <f t="shared" si="592"/>
        <v>0</v>
      </c>
      <c r="CD889" s="387">
        <f t="shared" si="593"/>
        <v>0</v>
      </c>
      <c r="CE889" s="387">
        <f t="shared" si="594"/>
        <v>0</v>
      </c>
      <c r="CF889" s="387">
        <f t="shared" si="595"/>
        <v>-201.19007999999997</v>
      </c>
      <c r="CG889" s="387">
        <f t="shared" si="596"/>
        <v>0</v>
      </c>
      <c r="CH889" s="387">
        <f t="shared" si="597"/>
        <v>28.741439999999983</v>
      </c>
      <c r="CI889" s="387">
        <f t="shared" si="598"/>
        <v>0</v>
      </c>
      <c r="CJ889" s="387">
        <f t="shared" si="611"/>
        <v>-172.44863999999998</v>
      </c>
      <c r="CK889" s="387" t="str">
        <f t="shared" si="612"/>
        <v/>
      </c>
      <c r="CL889" s="387" t="str">
        <f t="shared" si="613"/>
        <v/>
      </c>
      <c r="CM889" s="387" t="str">
        <f t="shared" si="614"/>
        <v/>
      </c>
      <c r="CN889" s="387" t="str">
        <f t="shared" si="615"/>
        <v>0348-31</v>
      </c>
    </row>
    <row r="890" spans="1:92" ht="15.75" thickBot="1" x14ac:dyDescent="0.3">
      <c r="A890" s="376" t="s">
        <v>161</v>
      </c>
      <c r="B890" s="376" t="s">
        <v>162</v>
      </c>
      <c r="C890" s="376" t="s">
        <v>961</v>
      </c>
      <c r="D890" s="376" t="s">
        <v>868</v>
      </c>
      <c r="E890" s="376" t="s">
        <v>224</v>
      </c>
      <c r="F890" s="382" t="s">
        <v>225</v>
      </c>
      <c r="G890" s="376" t="s">
        <v>1945</v>
      </c>
      <c r="H890" s="378"/>
      <c r="I890" s="378"/>
      <c r="J890" s="376" t="s">
        <v>215</v>
      </c>
      <c r="K890" s="376" t="s">
        <v>869</v>
      </c>
      <c r="L890" s="376" t="s">
        <v>296</v>
      </c>
      <c r="M890" s="376" t="s">
        <v>171</v>
      </c>
      <c r="N890" s="376" t="s">
        <v>172</v>
      </c>
      <c r="O890" s="379">
        <v>1</v>
      </c>
      <c r="P890" s="385">
        <v>1</v>
      </c>
      <c r="Q890" s="385">
        <v>1</v>
      </c>
      <c r="R890" s="380">
        <v>80</v>
      </c>
      <c r="S890" s="385">
        <v>1</v>
      </c>
      <c r="T890" s="380">
        <v>0</v>
      </c>
      <c r="U890" s="380">
        <v>0</v>
      </c>
      <c r="V890" s="380">
        <v>0</v>
      </c>
      <c r="W890" s="380">
        <v>42016</v>
      </c>
      <c r="X890" s="380">
        <v>20735.93</v>
      </c>
      <c r="Y890" s="380">
        <v>42016</v>
      </c>
      <c r="Z890" s="380">
        <v>20559.47</v>
      </c>
      <c r="AA890" s="376" t="s">
        <v>962</v>
      </c>
      <c r="AB890" s="376" t="s">
        <v>310</v>
      </c>
      <c r="AC890" s="376" t="s">
        <v>963</v>
      </c>
      <c r="AD890" s="376" t="s">
        <v>964</v>
      </c>
      <c r="AE890" s="376" t="s">
        <v>873</v>
      </c>
      <c r="AF890" s="376" t="s">
        <v>393</v>
      </c>
      <c r="AG890" s="376" t="s">
        <v>178</v>
      </c>
      <c r="AH890" s="381">
        <v>20.2</v>
      </c>
      <c r="AI890" s="379">
        <v>1600</v>
      </c>
      <c r="AJ890" s="376" t="s">
        <v>179</v>
      </c>
      <c r="AK890" s="376" t="s">
        <v>180</v>
      </c>
      <c r="AL890" s="376" t="s">
        <v>181</v>
      </c>
      <c r="AM890" s="376" t="s">
        <v>182</v>
      </c>
      <c r="AN890" s="376" t="s">
        <v>68</v>
      </c>
      <c r="AO890" s="379">
        <v>80</v>
      </c>
      <c r="AP890" s="385">
        <v>1</v>
      </c>
      <c r="AQ890" s="385">
        <v>1</v>
      </c>
      <c r="AR890" s="383">
        <v>3</v>
      </c>
      <c r="AS890" s="387">
        <f t="shared" si="599"/>
        <v>1</v>
      </c>
      <c r="AT890">
        <f t="shared" si="600"/>
        <v>1</v>
      </c>
      <c r="AU890" s="387">
        <f>IF(AT890=0,"",IF(AND(AT890=1,M890="F",SUMIF(C2:C1334,C890,AS2:AS1334)&lt;=1),SUMIF(C2:C1334,C890,AS2:AS1334),IF(AND(AT890=1,M890="F",SUMIF(C2:C1334,C890,AS2:AS1334)&gt;1),1,"")))</f>
        <v>1</v>
      </c>
      <c r="AV890" s="387" t="str">
        <f>IF(AT890=0,"",IF(AND(AT890=3,M890="F",SUMIF(C2:C1334,C890,AS2:AS1334)&lt;=1),SUMIF(C2:C1334,C890,AS2:AS1334),IF(AND(AT890=3,M890="F",SUMIF(C2:C1334,C890,AS2:AS1334)&gt;1),1,"")))</f>
        <v/>
      </c>
      <c r="AW890" s="387">
        <f>SUMIF(C2:C1334,C890,O2:O1334)</f>
        <v>2</v>
      </c>
      <c r="AX890" s="387">
        <f>IF(AND(M890="F",AS890&lt;&gt;0),SUMIF(C2:C1334,C890,W2:W1334),0)</f>
        <v>42016</v>
      </c>
      <c r="AY890" s="387">
        <f t="shared" si="601"/>
        <v>42016</v>
      </c>
      <c r="AZ890" s="387" t="str">
        <f t="shared" si="602"/>
        <v/>
      </c>
      <c r="BA890" s="387">
        <f t="shared" si="603"/>
        <v>0</v>
      </c>
      <c r="BB890" s="387">
        <f t="shared" si="572"/>
        <v>11650</v>
      </c>
      <c r="BC890" s="387">
        <f t="shared" si="573"/>
        <v>0</v>
      </c>
      <c r="BD890" s="387">
        <f t="shared" si="574"/>
        <v>2604.9920000000002</v>
      </c>
      <c r="BE890" s="387">
        <f t="shared" si="575"/>
        <v>609.23200000000008</v>
      </c>
      <c r="BF890" s="387">
        <f t="shared" si="576"/>
        <v>5016.7103999999999</v>
      </c>
      <c r="BG890" s="387">
        <f t="shared" si="577"/>
        <v>302.93536</v>
      </c>
      <c r="BH890" s="387">
        <f t="shared" si="578"/>
        <v>205.8784</v>
      </c>
      <c r="BI890" s="387">
        <f t="shared" si="579"/>
        <v>232.55856</v>
      </c>
      <c r="BJ890" s="387">
        <f t="shared" si="580"/>
        <v>113.4432</v>
      </c>
      <c r="BK890" s="387">
        <f t="shared" si="581"/>
        <v>0</v>
      </c>
      <c r="BL890" s="387">
        <f t="shared" si="604"/>
        <v>9085.7499199999984</v>
      </c>
      <c r="BM890" s="387">
        <f t="shared" si="605"/>
        <v>0</v>
      </c>
      <c r="BN890" s="387">
        <f t="shared" si="582"/>
        <v>11650</v>
      </c>
      <c r="BO890" s="387">
        <f t="shared" si="583"/>
        <v>0</v>
      </c>
      <c r="BP890" s="387">
        <f t="shared" si="584"/>
        <v>2604.9920000000002</v>
      </c>
      <c r="BQ890" s="387">
        <f t="shared" si="585"/>
        <v>609.23200000000008</v>
      </c>
      <c r="BR890" s="387">
        <f t="shared" si="586"/>
        <v>5016.7103999999999</v>
      </c>
      <c r="BS890" s="387">
        <f t="shared" si="587"/>
        <v>302.93536</v>
      </c>
      <c r="BT890" s="387">
        <f t="shared" si="588"/>
        <v>0</v>
      </c>
      <c r="BU890" s="387">
        <f t="shared" si="589"/>
        <v>232.55856</v>
      </c>
      <c r="BV890" s="387">
        <f t="shared" si="590"/>
        <v>142.8544</v>
      </c>
      <c r="BW890" s="387">
        <f t="shared" si="591"/>
        <v>0</v>
      </c>
      <c r="BX890" s="387">
        <f t="shared" si="606"/>
        <v>8909.2827199999992</v>
      </c>
      <c r="BY890" s="387">
        <f t="shared" si="607"/>
        <v>0</v>
      </c>
      <c r="BZ890" s="387">
        <f t="shared" si="608"/>
        <v>0</v>
      </c>
      <c r="CA890" s="387">
        <f t="shared" si="609"/>
        <v>0</v>
      </c>
      <c r="CB890" s="387">
        <f t="shared" si="610"/>
        <v>0</v>
      </c>
      <c r="CC890" s="387">
        <f t="shared" si="592"/>
        <v>0</v>
      </c>
      <c r="CD890" s="387">
        <f t="shared" si="593"/>
        <v>0</v>
      </c>
      <c r="CE890" s="387">
        <f t="shared" si="594"/>
        <v>0</v>
      </c>
      <c r="CF890" s="387">
        <f t="shared" si="595"/>
        <v>-205.8784</v>
      </c>
      <c r="CG890" s="387">
        <f t="shared" si="596"/>
        <v>0</v>
      </c>
      <c r="CH890" s="387">
        <f t="shared" si="597"/>
        <v>29.411199999999987</v>
      </c>
      <c r="CI890" s="387">
        <f t="shared" si="598"/>
        <v>0</v>
      </c>
      <c r="CJ890" s="387">
        <f t="shared" si="611"/>
        <v>-176.46720000000002</v>
      </c>
      <c r="CK890" s="387" t="str">
        <f t="shared" si="612"/>
        <v/>
      </c>
      <c r="CL890" s="387" t="str">
        <f t="shared" si="613"/>
        <v/>
      </c>
      <c r="CM890" s="387" t="str">
        <f t="shared" si="614"/>
        <v/>
      </c>
      <c r="CN890" s="387" t="str">
        <f t="shared" si="615"/>
        <v>0348-31</v>
      </c>
    </row>
    <row r="891" spans="1:92" ht="15.75" thickBot="1" x14ac:dyDescent="0.3">
      <c r="A891" s="376" t="s">
        <v>161</v>
      </c>
      <c r="B891" s="376" t="s">
        <v>162</v>
      </c>
      <c r="C891" s="376" t="s">
        <v>942</v>
      </c>
      <c r="D891" s="376" t="s">
        <v>247</v>
      </c>
      <c r="E891" s="376" t="s">
        <v>224</v>
      </c>
      <c r="F891" s="382" t="s">
        <v>225</v>
      </c>
      <c r="G891" s="376" t="s">
        <v>1945</v>
      </c>
      <c r="H891" s="378"/>
      <c r="I891" s="378"/>
      <c r="J891" s="376" t="s">
        <v>215</v>
      </c>
      <c r="K891" s="376" t="s">
        <v>248</v>
      </c>
      <c r="L891" s="376" t="s">
        <v>178</v>
      </c>
      <c r="M891" s="376" t="s">
        <v>171</v>
      </c>
      <c r="N891" s="376" t="s">
        <v>877</v>
      </c>
      <c r="O891" s="379">
        <v>1</v>
      </c>
      <c r="P891" s="385">
        <v>1</v>
      </c>
      <c r="Q891" s="385">
        <v>1</v>
      </c>
      <c r="R891" s="380">
        <v>80</v>
      </c>
      <c r="S891" s="385">
        <v>1</v>
      </c>
      <c r="T891" s="380">
        <v>0</v>
      </c>
      <c r="U891" s="380">
        <v>0</v>
      </c>
      <c r="V891" s="380">
        <v>0</v>
      </c>
      <c r="W891" s="380">
        <v>31200</v>
      </c>
      <c r="X891" s="380">
        <v>18396.990000000002</v>
      </c>
      <c r="Y891" s="380">
        <v>31200</v>
      </c>
      <c r="Z891" s="380">
        <v>18265.95</v>
      </c>
      <c r="AA891" s="376" t="s">
        <v>943</v>
      </c>
      <c r="AB891" s="376" t="s">
        <v>944</v>
      </c>
      <c r="AC891" s="376" t="s">
        <v>945</v>
      </c>
      <c r="AD891" s="376" t="s">
        <v>946</v>
      </c>
      <c r="AE891" s="376" t="s">
        <v>248</v>
      </c>
      <c r="AF891" s="376" t="s">
        <v>253</v>
      </c>
      <c r="AG891" s="376" t="s">
        <v>178</v>
      </c>
      <c r="AH891" s="379">
        <v>15</v>
      </c>
      <c r="AI891" s="381">
        <v>16276.6</v>
      </c>
      <c r="AJ891" s="376" t="s">
        <v>179</v>
      </c>
      <c r="AK891" s="376" t="s">
        <v>180</v>
      </c>
      <c r="AL891" s="376" t="s">
        <v>181</v>
      </c>
      <c r="AM891" s="376" t="s">
        <v>182</v>
      </c>
      <c r="AN891" s="376" t="s">
        <v>68</v>
      </c>
      <c r="AO891" s="379">
        <v>80</v>
      </c>
      <c r="AP891" s="385">
        <v>1</v>
      </c>
      <c r="AQ891" s="385">
        <v>1</v>
      </c>
      <c r="AR891" s="383" t="s">
        <v>183</v>
      </c>
      <c r="AS891" s="387">
        <f t="shared" si="599"/>
        <v>1</v>
      </c>
      <c r="AT891">
        <f t="shared" si="600"/>
        <v>1</v>
      </c>
      <c r="AU891" s="387">
        <f>IF(AT891=0,"",IF(AND(AT891=1,M891="F",SUMIF(C2:C1334,C891,AS2:AS1334)&lt;=1),SUMIF(C2:C1334,C891,AS2:AS1334),IF(AND(AT891=1,M891="F",SUMIF(C2:C1334,C891,AS2:AS1334)&gt;1),1,"")))</f>
        <v>1</v>
      </c>
      <c r="AV891" s="387" t="str">
        <f>IF(AT891=0,"",IF(AND(AT891=3,M891="F",SUMIF(C2:C1334,C891,AS2:AS1334)&lt;=1),SUMIF(C2:C1334,C891,AS2:AS1334),IF(AND(AT891=3,M891="F",SUMIF(C2:C1334,C891,AS2:AS1334)&gt;1),1,"")))</f>
        <v/>
      </c>
      <c r="AW891" s="387">
        <f>SUMIF(C2:C1334,C891,O2:O1334)</f>
        <v>2</v>
      </c>
      <c r="AX891" s="387">
        <f>IF(AND(M891="F",AS891&lt;&gt;0),SUMIF(C2:C1334,C891,W2:W1334),0)</f>
        <v>31200</v>
      </c>
      <c r="AY891" s="387">
        <f t="shared" si="601"/>
        <v>31200</v>
      </c>
      <c r="AZ891" s="387" t="str">
        <f t="shared" si="602"/>
        <v/>
      </c>
      <c r="BA891" s="387">
        <f t="shared" si="603"/>
        <v>0</v>
      </c>
      <c r="BB891" s="387">
        <f t="shared" si="572"/>
        <v>11650</v>
      </c>
      <c r="BC891" s="387">
        <f t="shared" si="573"/>
        <v>0</v>
      </c>
      <c r="BD891" s="387">
        <f t="shared" si="574"/>
        <v>1934.4</v>
      </c>
      <c r="BE891" s="387">
        <f t="shared" si="575"/>
        <v>452.40000000000003</v>
      </c>
      <c r="BF891" s="387">
        <f t="shared" si="576"/>
        <v>3725.28</v>
      </c>
      <c r="BG891" s="387">
        <f t="shared" si="577"/>
        <v>224.952</v>
      </c>
      <c r="BH891" s="387">
        <f t="shared" si="578"/>
        <v>152.88</v>
      </c>
      <c r="BI891" s="387">
        <f t="shared" si="579"/>
        <v>172.69200000000001</v>
      </c>
      <c r="BJ891" s="387">
        <f t="shared" si="580"/>
        <v>84.240000000000009</v>
      </c>
      <c r="BK891" s="387">
        <f t="shared" si="581"/>
        <v>0</v>
      </c>
      <c r="BL891" s="387">
        <f t="shared" si="604"/>
        <v>6746.8440000000001</v>
      </c>
      <c r="BM891" s="387">
        <f t="shared" si="605"/>
        <v>0</v>
      </c>
      <c r="BN891" s="387">
        <f t="shared" si="582"/>
        <v>11650</v>
      </c>
      <c r="BO891" s="387">
        <f t="shared" si="583"/>
        <v>0</v>
      </c>
      <c r="BP891" s="387">
        <f t="shared" si="584"/>
        <v>1934.4</v>
      </c>
      <c r="BQ891" s="387">
        <f t="shared" si="585"/>
        <v>452.40000000000003</v>
      </c>
      <c r="BR891" s="387">
        <f t="shared" si="586"/>
        <v>3725.28</v>
      </c>
      <c r="BS891" s="387">
        <f t="shared" si="587"/>
        <v>224.952</v>
      </c>
      <c r="BT891" s="387">
        <f t="shared" si="588"/>
        <v>0</v>
      </c>
      <c r="BU891" s="387">
        <f t="shared" si="589"/>
        <v>172.69200000000001</v>
      </c>
      <c r="BV891" s="387">
        <f t="shared" si="590"/>
        <v>106.08</v>
      </c>
      <c r="BW891" s="387">
        <f t="shared" si="591"/>
        <v>0</v>
      </c>
      <c r="BX891" s="387">
        <f t="shared" si="606"/>
        <v>6615.8040000000001</v>
      </c>
      <c r="BY891" s="387">
        <f t="shared" si="607"/>
        <v>0</v>
      </c>
      <c r="BZ891" s="387">
        <f t="shared" si="608"/>
        <v>0</v>
      </c>
      <c r="CA891" s="387">
        <f t="shared" si="609"/>
        <v>0</v>
      </c>
      <c r="CB891" s="387">
        <f t="shared" si="610"/>
        <v>0</v>
      </c>
      <c r="CC891" s="387">
        <f t="shared" si="592"/>
        <v>0</v>
      </c>
      <c r="CD891" s="387">
        <f t="shared" si="593"/>
        <v>0</v>
      </c>
      <c r="CE891" s="387">
        <f t="shared" si="594"/>
        <v>0</v>
      </c>
      <c r="CF891" s="387">
        <f t="shared" si="595"/>
        <v>-152.88</v>
      </c>
      <c r="CG891" s="387">
        <f t="shared" si="596"/>
        <v>0</v>
      </c>
      <c r="CH891" s="387">
        <f t="shared" si="597"/>
        <v>21.839999999999989</v>
      </c>
      <c r="CI891" s="387">
        <f t="shared" si="598"/>
        <v>0</v>
      </c>
      <c r="CJ891" s="387">
        <f t="shared" si="611"/>
        <v>-131.04000000000002</v>
      </c>
      <c r="CK891" s="387" t="str">
        <f t="shared" si="612"/>
        <v/>
      </c>
      <c r="CL891" s="387" t="str">
        <f t="shared" si="613"/>
        <v/>
      </c>
      <c r="CM891" s="387" t="str">
        <f t="shared" si="614"/>
        <v/>
      </c>
      <c r="CN891" s="387" t="str">
        <f t="shared" si="615"/>
        <v>0348-31</v>
      </c>
    </row>
    <row r="892" spans="1:92" ht="15.75" thickBot="1" x14ac:dyDescent="0.3">
      <c r="A892" s="376" t="s">
        <v>161</v>
      </c>
      <c r="B892" s="376" t="s">
        <v>162</v>
      </c>
      <c r="C892" s="376" t="s">
        <v>1198</v>
      </c>
      <c r="D892" s="376" t="s">
        <v>862</v>
      </c>
      <c r="E892" s="376" t="s">
        <v>224</v>
      </c>
      <c r="F892" s="382" t="s">
        <v>225</v>
      </c>
      <c r="G892" s="376" t="s">
        <v>1945</v>
      </c>
      <c r="H892" s="378"/>
      <c r="I892" s="378"/>
      <c r="J892" s="376" t="s">
        <v>239</v>
      </c>
      <c r="K892" s="376" t="s">
        <v>863</v>
      </c>
      <c r="L892" s="376" t="s">
        <v>252</v>
      </c>
      <c r="M892" s="376" t="s">
        <v>171</v>
      </c>
      <c r="N892" s="376" t="s">
        <v>172</v>
      </c>
      <c r="O892" s="379">
        <v>1</v>
      </c>
      <c r="P892" s="385">
        <v>0.4</v>
      </c>
      <c r="Q892" s="385">
        <v>0.4</v>
      </c>
      <c r="R892" s="380">
        <v>80</v>
      </c>
      <c r="S892" s="385">
        <v>0.4</v>
      </c>
      <c r="T892" s="380">
        <v>12768.44</v>
      </c>
      <c r="U892" s="380">
        <v>0</v>
      </c>
      <c r="V892" s="380">
        <v>6572.14</v>
      </c>
      <c r="W892" s="380">
        <v>17771.52</v>
      </c>
      <c r="X892" s="380">
        <v>8503.07</v>
      </c>
      <c r="Y892" s="380">
        <v>17771.52</v>
      </c>
      <c r="Z892" s="380">
        <v>8428.43</v>
      </c>
      <c r="AA892" s="376" t="s">
        <v>1199</v>
      </c>
      <c r="AB892" s="376" t="s">
        <v>457</v>
      </c>
      <c r="AC892" s="376" t="s">
        <v>1200</v>
      </c>
      <c r="AD892" s="376" t="s">
        <v>1201</v>
      </c>
      <c r="AE892" s="376" t="s">
        <v>863</v>
      </c>
      <c r="AF892" s="376" t="s">
        <v>393</v>
      </c>
      <c r="AG892" s="376" t="s">
        <v>178</v>
      </c>
      <c r="AH892" s="381">
        <v>21.36</v>
      </c>
      <c r="AI892" s="379">
        <v>18438</v>
      </c>
      <c r="AJ892" s="376" t="s">
        <v>179</v>
      </c>
      <c r="AK892" s="376" t="s">
        <v>180</v>
      </c>
      <c r="AL892" s="376" t="s">
        <v>181</v>
      </c>
      <c r="AM892" s="376" t="s">
        <v>182</v>
      </c>
      <c r="AN892" s="376" t="s">
        <v>68</v>
      </c>
      <c r="AO892" s="379">
        <v>80</v>
      </c>
      <c r="AP892" s="385">
        <v>1</v>
      </c>
      <c r="AQ892" s="385">
        <v>0.4</v>
      </c>
      <c r="AR892" s="383" t="s">
        <v>183</v>
      </c>
      <c r="AS892" s="387">
        <f t="shared" si="599"/>
        <v>0.4</v>
      </c>
      <c r="AT892">
        <f t="shared" si="600"/>
        <v>1</v>
      </c>
      <c r="AU892" s="387">
        <f>IF(AT892=0,"",IF(AND(AT892=1,M892="F",SUMIF(C2:C1334,C892,AS2:AS1334)&lt;=1),SUMIF(C2:C1334,C892,AS2:AS1334),IF(AND(AT892=1,M892="F",SUMIF(C2:C1334,C892,AS2:AS1334)&gt;1),1,"")))</f>
        <v>1</v>
      </c>
      <c r="AV892" s="387" t="str">
        <f>IF(AT892=0,"",IF(AND(AT892=3,M892="F",SUMIF(C2:C1334,C892,AS2:AS1334)&lt;=1),SUMIF(C2:C1334,C892,AS2:AS1334),IF(AND(AT892=3,M892="F",SUMIF(C2:C1334,C892,AS2:AS1334)&gt;1),1,"")))</f>
        <v/>
      </c>
      <c r="AW892" s="387">
        <f>SUMIF(C2:C1334,C892,O2:O1334)</f>
        <v>3</v>
      </c>
      <c r="AX892" s="387">
        <f>IF(AND(M892="F",AS892&lt;&gt;0),SUMIF(C2:C1334,C892,W2:W1334),0)</f>
        <v>44428.800000000003</v>
      </c>
      <c r="AY892" s="387">
        <f t="shared" si="601"/>
        <v>17771.52</v>
      </c>
      <c r="AZ892" s="387" t="str">
        <f t="shared" si="602"/>
        <v/>
      </c>
      <c r="BA892" s="387">
        <f t="shared" si="603"/>
        <v>0</v>
      </c>
      <c r="BB892" s="387">
        <f t="shared" si="572"/>
        <v>4660</v>
      </c>
      <c r="BC892" s="387">
        <f t="shared" si="573"/>
        <v>0</v>
      </c>
      <c r="BD892" s="387">
        <f t="shared" si="574"/>
        <v>1101.8342399999999</v>
      </c>
      <c r="BE892" s="387">
        <f t="shared" si="575"/>
        <v>257.68704000000002</v>
      </c>
      <c r="BF892" s="387">
        <f t="shared" si="576"/>
        <v>2121.919488</v>
      </c>
      <c r="BG892" s="387">
        <f t="shared" si="577"/>
        <v>128.13265920000001</v>
      </c>
      <c r="BH892" s="387">
        <f t="shared" si="578"/>
        <v>87.080448000000004</v>
      </c>
      <c r="BI892" s="387">
        <f t="shared" si="579"/>
        <v>98.365363200000004</v>
      </c>
      <c r="BJ892" s="387">
        <f t="shared" si="580"/>
        <v>47.983104000000004</v>
      </c>
      <c r="BK892" s="387">
        <f t="shared" si="581"/>
        <v>0</v>
      </c>
      <c r="BL892" s="387">
        <f t="shared" si="604"/>
        <v>3843.0023424000001</v>
      </c>
      <c r="BM892" s="387">
        <f t="shared" si="605"/>
        <v>0</v>
      </c>
      <c r="BN892" s="387">
        <f t="shared" si="582"/>
        <v>4660</v>
      </c>
      <c r="BO892" s="387">
        <f t="shared" si="583"/>
        <v>0</v>
      </c>
      <c r="BP892" s="387">
        <f t="shared" si="584"/>
        <v>1101.8342399999999</v>
      </c>
      <c r="BQ892" s="387">
        <f t="shared" si="585"/>
        <v>257.68704000000002</v>
      </c>
      <c r="BR892" s="387">
        <f t="shared" si="586"/>
        <v>2121.919488</v>
      </c>
      <c r="BS892" s="387">
        <f t="shared" si="587"/>
        <v>128.13265920000001</v>
      </c>
      <c r="BT892" s="387">
        <f t="shared" si="588"/>
        <v>0</v>
      </c>
      <c r="BU892" s="387">
        <f t="shared" si="589"/>
        <v>98.365363200000004</v>
      </c>
      <c r="BV892" s="387">
        <f t="shared" si="590"/>
        <v>60.423167999999997</v>
      </c>
      <c r="BW892" s="387">
        <f t="shared" si="591"/>
        <v>0</v>
      </c>
      <c r="BX892" s="387">
        <f t="shared" si="606"/>
        <v>3768.3619583999998</v>
      </c>
      <c r="BY892" s="387">
        <f t="shared" si="607"/>
        <v>0</v>
      </c>
      <c r="BZ892" s="387">
        <f t="shared" si="608"/>
        <v>0</v>
      </c>
      <c r="CA892" s="387">
        <f t="shared" si="609"/>
        <v>0</v>
      </c>
      <c r="CB892" s="387">
        <f t="shared" si="610"/>
        <v>0</v>
      </c>
      <c r="CC892" s="387">
        <f t="shared" si="592"/>
        <v>0</v>
      </c>
      <c r="CD892" s="387">
        <f t="shared" si="593"/>
        <v>0</v>
      </c>
      <c r="CE892" s="387">
        <f t="shared" si="594"/>
        <v>0</v>
      </c>
      <c r="CF892" s="387">
        <f t="shared" si="595"/>
        <v>-87.080448000000004</v>
      </c>
      <c r="CG892" s="387">
        <f t="shared" si="596"/>
        <v>0</v>
      </c>
      <c r="CH892" s="387">
        <f t="shared" si="597"/>
        <v>12.440063999999994</v>
      </c>
      <c r="CI892" s="387">
        <f t="shared" si="598"/>
        <v>0</v>
      </c>
      <c r="CJ892" s="387">
        <f t="shared" si="611"/>
        <v>-74.640384000000012</v>
      </c>
      <c r="CK892" s="387" t="str">
        <f t="shared" si="612"/>
        <v/>
      </c>
      <c r="CL892" s="387" t="str">
        <f t="shared" si="613"/>
        <v/>
      </c>
      <c r="CM892" s="387" t="str">
        <f t="shared" si="614"/>
        <v/>
      </c>
      <c r="CN892" s="387" t="str">
        <f t="shared" si="615"/>
        <v>0348-31</v>
      </c>
    </row>
    <row r="893" spans="1:92" ht="15.75" thickBot="1" x14ac:dyDescent="0.3">
      <c r="A893" s="376" t="s">
        <v>161</v>
      </c>
      <c r="B893" s="376" t="s">
        <v>162</v>
      </c>
      <c r="C893" s="376" t="s">
        <v>1938</v>
      </c>
      <c r="D893" s="376" t="s">
        <v>862</v>
      </c>
      <c r="E893" s="376" t="s">
        <v>224</v>
      </c>
      <c r="F893" s="382" t="s">
        <v>225</v>
      </c>
      <c r="G893" s="376" t="s">
        <v>1945</v>
      </c>
      <c r="H893" s="378"/>
      <c r="I893" s="378"/>
      <c r="J893" s="376" t="s">
        <v>215</v>
      </c>
      <c r="K893" s="376" t="s">
        <v>863</v>
      </c>
      <c r="L893" s="376" t="s">
        <v>252</v>
      </c>
      <c r="M893" s="376" t="s">
        <v>171</v>
      </c>
      <c r="N893" s="376" t="s">
        <v>172</v>
      </c>
      <c r="O893" s="379">
        <v>1</v>
      </c>
      <c r="P893" s="385">
        <v>1</v>
      </c>
      <c r="Q893" s="385">
        <v>1</v>
      </c>
      <c r="R893" s="380">
        <v>80</v>
      </c>
      <c r="S893" s="385">
        <v>1</v>
      </c>
      <c r="T893" s="380">
        <v>26357.08</v>
      </c>
      <c r="U893" s="380">
        <v>22.56</v>
      </c>
      <c r="V893" s="380">
        <v>14675.74</v>
      </c>
      <c r="W893" s="380">
        <v>38604.800000000003</v>
      </c>
      <c r="X893" s="380">
        <v>19998.259999999998</v>
      </c>
      <c r="Y893" s="380">
        <v>38604.800000000003</v>
      </c>
      <c r="Z893" s="380">
        <v>19836.12</v>
      </c>
      <c r="AA893" s="376" t="s">
        <v>1939</v>
      </c>
      <c r="AB893" s="376" t="s">
        <v>1940</v>
      </c>
      <c r="AC893" s="376" t="s">
        <v>730</v>
      </c>
      <c r="AD893" s="376" t="s">
        <v>1270</v>
      </c>
      <c r="AE893" s="376" t="s">
        <v>863</v>
      </c>
      <c r="AF893" s="376" t="s">
        <v>393</v>
      </c>
      <c r="AG893" s="376" t="s">
        <v>178</v>
      </c>
      <c r="AH893" s="381">
        <v>18.559999999999999</v>
      </c>
      <c r="AI893" s="379">
        <v>1623</v>
      </c>
      <c r="AJ893" s="376" t="s">
        <v>179</v>
      </c>
      <c r="AK893" s="376" t="s">
        <v>180</v>
      </c>
      <c r="AL893" s="376" t="s">
        <v>181</v>
      </c>
      <c r="AM893" s="376" t="s">
        <v>182</v>
      </c>
      <c r="AN893" s="376" t="s">
        <v>68</v>
      </c>
      <c r="AO893" s="379">
        <v>80</v>
      </c>
      <c r="AP893" s="385">
        <v>1</v>
      </c>
      <c r="AQ893" s="385">
        <v>1</v>
      </c>
      <c r="AR893" s="383" t="s">
        <v>183</v>
      </c>
      <c r="AS893" s="387">
        <f t="shared" si="599"/>
        <v>1</v>
      </c>
      <c r="AT893">
        <f t="shared" si="600"/>
        <v>1</v>
      </c>
      <c r="AU893" s="387">
        <f>IF(AT893=0,"",IF(AND(AT893=1,M893="F",SUMIF(C2:C1334,C893,AS2:AS1334)&lt;=1),SUMIF(C2:C1334,C893,AS2:AS1334),IF(AND(AT893=1,M893="F",SUMIF(C2:C1334,C893,AS2:AS1334)&gt;1),1,"")))</f>
        <v>1</v>
      </c>
      <c r="AV893" s="387" t="str">
        <f>IF(AT893=0,"",IF(AND(AT893=3,M893="F",SUMIF(C2:C1334,C893,AS2:AS1334)&lt;=1),SUMIF(C2:C1334,C893,AS2:AS1334),IF(AND(AT893=3,M893="F",SUMIF(C2:C1334,C893,AS2:AS1334)&gt;1),1,"")))</f>
        <v/>
      </c>
      <c r="AW893" s="387">
        <f>SUMIF(C2:C1334,C893,O2:O1334)</f>
        <v>2</v>
      </c>
      <c r="AX893" s="387">
        <f>IF(AND(M893="F",AS893&lt;&gt;0),SUMIF(C2:C1334,C893,W2:W1334),0)</f>
        <v>38604.800000000003</v>
      </c>
      <c r="AY893" s="387">
        <f t="shared" si="601"/>
        <v>38604.800000000003</v>
      </c>
      <c r="AZ893" s="387" t="str">
        <f t="shared" si="602"/>
        <v/>
      </c>
      <c r="BA893" s="387">
        <f t="shared" si="603"/>
        <v>0</v>
      </c>
      <c r="BB893" s="387">
        <f t="shared" si="572"/>
        <v>11650</v>
      </c>
      <c r="BC893" s="387">
        <f t="shared" si="573"/>
        <v>0</v>
      </c>
      <c r="BD893" s="387">
        <f t="shared" si="574"/>
        <v>2393.4976000000001</v>
      </c>
      <c r="BE893" s="387">
        <f t="shared" si="575"/>
        <v>559.76960000000008</v>
      </c>
      <c r="BF893" s="387">
        <f t="shared" si="576"/>
        <v>4609.4131200000002</v>
      </c>
      <c r="BG893" s="387">
        <f t="shared" si="577"/>
        <v>278.34060800000003</v>
      </c>
      <c r="BH893" s="387">
        <f t="shared" si="578"/>
        <v>189.16352000000001</v>
      </c>
      <c r="BI893" s="387">
        <f t="shared" si="579"/>
        <v>213.67756800000001</v>
      </c>
      <c r="BJ893" s="387">
        <f t="shared" si="580"/>
        <v>104.23296000000002</v>
      </c>
      <c r="BK893" s="387">
        <f t="shared" si="581"/>
        <v>0</v>
      </c>
      <c r="BL893" s="387">
        <f t="shared" si="604"/>
        <v>8348.0949760000003</v>
      </c>
      <c r="BM893" s="387">
        <f t="shared" si="605"/>
        <v>0</v>
      </c>
      <c r="BN893" s="387">
        <f t="shared" si="582"/>
        <v>11650</v>
      </c>
      <c r="BO893" s="387">
        <f t="shared" si="583"/>
        <v>0</v>
      </c>
      <c r="BP893" s="387">
        <f t="shared" si="584"/>
        <v>2393.4976000000001</v>
      </c>
      <c r="BQ893" s="387">
        <f t="shared" si="585"/>
        <v>559.76960000000008</v>
      </c>
      <c r="BR893" s="387">
        <f t="shared" si="586"/>
        <v>4609.4131200000002</v>
      </c>
      <c r="BS893" s="387">
        <f t="shared" si="587"/>
        <v>278.34060800000003</v>
      </c>
      <c r="BT893" s="387">
        <f t="shared" si="588"/>
        <v>0</v>
      </c>
      <c r="BU893" s="387">
        <f t="shared" si="589"/>
        <v>213.67756800000001</v>
      </c>
      <c r="BV893" s="387">
        <f t="shared" si="590"/>
        <v>131.25632000000002</v>
      </c>
      <c r="BW893" s="387">
        <f t="shared" si="591"/>
        <v>0</v>
      </c>
      <c r="BX893" s="387">
        <f t="shared" si="606"/>
        <v>8185.9548160000013</v>
      </c>
      <c r="BY893" s="387">
        <f t="shared" si="607"/>
        <v>0</v>
      </c>
      <c r="BZ893" s="387">
        <f t="shared" si="608"/>
        <v>0</v>
      </c>
      <c r="CA893" s="387">
        <f t="shared" si="609"/>
        <v>0</v>
      </c>
      <c r="CB893" s="387">
        <f t="shared" si="610"/>
        <v>0</v>
      </c>
      <c r="CC893" s="387">
        <f t="shared" si="592"/>
        <v>0</v>
      </c>
      <c r="CD893" s="387">
        <f t="shared" si="593"/>
        <v>0</v>
      </c>
      <c r="CE893" s="387">
        <f t="shared" si="594"/>
        <v>0</v>
      </c>
      <c r="CF893" s="387">
        <f t="shared" si="595"/>
        <v>-189.16352000000001</v>
      </c>
      <c r="CG893" s="387">
        <f t="shared" si="596"/>
        <v>0</v>
      </c>
      <c r="CH893" s="387">
        <f t="shared" si="597"/>
        <v>27.02335999999999</v>
      </c>
      <c r="CI893" s="387">
        <f t="shared" si="598"/>
        <v>0</v>
      </c>
      <c r="CJ893" s="387">
        <f t="shared" si="611"/>
        <v>-162.14016000000001</v>
      </c>
      <c r="CK893" s="387" t="str">
        <f t="shared" si="612"/>
        <v/>
      </c>
      <c r="CL893" s="387" t="str">
        <f t="shared" si="613"/>
        <v/>
      </c>
      <c r="CM893" s="387" t="str">
        <f t="shared" si="614"/>
        <v/>
      </c>
      <c r="CN893" s="387" t="str">
        <f t="shared" si="615"/>
        <v>0348-31</v>
      </c>
    </row>
    <row r="894" spans="1:92" ht="15.75" thickBot="1" x14ac:dyDescent="0.3">
      <c r="A894" s="376" t="s">
        <v>161</v>
      </c>
      <c r="B894" s="376" t="s">
        <v>162</v>
      </c>
      <c r="C894" s="376" t="s">
        <v>965</v>
      </c>
      <c r="D894" s="376" t="s">
        <v>868</v>
      </c>
      <c r="E894" s="376" t="s">
        <v>224</v>
      </c>
      <c r="F894" s="382" t="s">
        <v>225</v>
      </c>
      <c r="G894" s="376" t="s">
        <v>1945</v>
      </c>
      <c r="H894" s="378"/>
      <c r="I894" s="378"/>
      <c r="J894" s="376" t="s">
        <v>215</v>
      </c>
      <c r="K894" s="376" t="s">
        <v>869</v>
      </c>
      <c r="L894" s="376" t="s">
        <v>296</v>
      </c>
      <c r="M894" s="376" t="s">
        <v>171</v>
      </c>
      <c r="N894" s="376" t="s">
        <v>172</v>
      </c>
      <c r="O894" s="379">
        <v>1</v>
      </c>
      <c r="P894" s="385">
        <v>1</v>
      </c>
      <c r="Q894" s="385">
        <v>1</v>
      </c>
      <c r="R894" s="380">
        <v>80</v>
      </c>
      <c r="S894" s="385">
        <v>1</v>
      </c>
      <c r="T894" s="380">
        <v>0</v>
      </c>
      <c r="U894" s="380">
        <v>0</v>
      </c>
      <c r="V894" s="380">
        <v>0</v>
      </c>
      <c r="W894" s="380">
        <v>42848</v>
      </c>
      <c r="X894" s="380">
        <v>20915.84</v>
      </c>
      <c r="Y894" s="380">
        <v>42848</v>
      </c>
      <c r="Z894" s="380">
        <v>20735.89</v>
      </c>
      <c r="AA894" s="376" t="s">
        <v>966</v>
      </c>
      <c r="AB894" s="376" t="s">
        <v>967</v>
      </c>
      <c r="AC894" s="376" t="s">
        <v>730</v>
      </c>
      <c r="AD894" s="376" t="s">
        <v>198</v>
      </c>
      <c r="AE894" s="376" t="s">
        <v>873</v>
      </c>
      <c r="AF894" s="376" t="s">
        <v>393</v>
      </c>
      <c r="AG894" s="376" t="s">
        <v>178</v>
      </c>
      <c r="AH894" s="381">
        <v>20.6</v>
      </c>
      <c r="AI894" s="381">
        <v>36964.800000000003</v>
      </c>
      <c r="AJ894" s="376" t="s">
        <v>179</v>
      </c>
      <c r="AK894" s="376" t="s">
        <v>180</v>
      </c>
      <c r="AL894" s="376" t="s">
        <v>181</v>
      </c>
      <c r="AM894" s="376" t="s">
        <v>182</v>
      </c>
      <c r="AN894" s="376" t="s">
        <v>68</v>
      </c>
      <c r="AO894" s="379">
        <v>80</v>
      </c>
      <c r="AP894" s="385">
        <v>1</v>
      </c>
      <c r="AQ894" s="385">
        <v>1</v>
      </c>
      <c r="AR894" s="383">
        <v>3</v>
      </c>
      <c r="AS894" s="387">
        <f t="shared" si="599"/>
        <v>1</v>
      </c>
      <c r="AT894">
        <f t="shared" si="600"/>
        <v>1</v>
      </c>
      <c r="AU894" s="387">
        <f>IF(AT894=0,"",IF(AND(AT894=1,M894="F",SUMIF(C2:C1334,C894,AS2:AS1334)&lt;=1),SUMIF(C2:C1334,C894,AS2:AS1334),IF(AND(AT894=1,M894="F",SUMIF(C2:C1334,C894,AS2:AS1334)&gt;1),1,"")))</f>
        <v>1</v>
      </c>
      <c r="AV894" s="387" t="str">
        <f>IF(AT894=0,"",IF(AND(AT894=3,M894="F",SUMIF(C2:C1334,C894,AS2:AS1334)&lt;=1),SUMIF(C2:C1334,C894,AS2:AS1334),IF(AND(AT894=3,M894="F",SUMIF(C2:C1334,C894,AS2:AS1334)&gt;1),1,"")))</f>
        <v/>
      </c>
      <c r="AW894" s="387">
        <f>SUMIF(C2:C1334,C894,O2:O1334)</f>
        <v>2</v>
      </c>
      <c r="AX894" s="387">
        <f>IF(AND(M894="F",AS894&lt;&gt;0),SUMIF(C2:C1334,C894,W2:W1334),0)</f>
        <v>42848</v>
      </c>
      <c r="AY894" s="387">
        <f t="shared" si="601"/>
        <v>42848</v>
      </c>
      <c r="AZ894" s="387" t="str">
        <f t="shared" si="602"/>
        <v/>
      </c>
      <c r="BA894" s="387">
        <f t="shared" si="603"/>
        <v>0</v>
      </c>
      <c r="BB894" s="387">
        <f t="shared" si="572"/>
        <v>11650</v>
      </c>
      <c r="BC894" s="387">
        <f t="shared" si="573"/>
        <v>0</v>
      </c>
      <c r="BD894" s="387">
        <f t="shared" si="574"/>
        <v>2656.576</v>
      </c>
      <c r="BE894" s="387">
        <f t="shared" si="575"/>
        <v>621.29600000000005</v>
      </c>
      <c r="BF894" s="387">
        <f t="shared" si="576"/>
        <v>5116.0511999999999</v>
      </c>
      <c r="BG894" s="387">
        <f t="shared" si="577"/>
        <v>308.93407999999999</v>
      </c>
      <c r="BH894" s="387">
        <f t="shared" si="578"/>
        <v>209.95519999999999</v>
      </c>
      <c r="BI894" s="387">
        <f t="shared" si="579"/>
        <v>237.16368</v>
      </c>
      <c r="BJ894" s="387">
        <f t="shared" si="580"/>
        <v>115.68960000000001</v>
      </c>
      <c r="BK894" s="387">
        <f t="shared" si="581"/>
        <v>0</v>
      </c>
      <c r="BL894" s="387">
        <f t="shared" si="604"/>
        <v>9265.6657599999999</v>
      </c>
      <c r="BM894" s="387">
        <f t="shared" si="605"/>
        <v>0</v>
      </c>
      <c r="BN894" s="387">
        <f t="shared" si="582"/>
        <v>11650</v>
      </c>
      <c r="BO894" s="387">
        <f t="shared" si="583"/>
        <v>0</v>
      </c>
      <c r="BP894" s="387">
        <f t="shared" si="584"/>
        <v>2656.576</v>
      </c>
      <c r="BQ894" s="387">
        <f t="shared" si="585"/>
        <v>621.29600000000005</v>
      </c>
      <c r="BR894" s="387">
        <f t="shared" si="586"/>
        <v>5116.0511999999999</v>
      </c>
      <c r="BS894" s="387">
        <f t="shared" si="587"/>
        <v>308.93407999999999</v>
      </c>
      <c r="BT894" s="387">
        <f t="shared" si="588"/>
        <v>0</v>
      </c>
      <c r="BU894" s="387">
        <f t="shared" si="589"/>
        <v>237.16368</v>
      </c>
      <c r="BV894" s="387">
        <f t="shared" si="590"/>
        <v>145.6832</v>
      </c>
      <c r="BW894" s="387">
        <f t="shared" si="591"/>
        <v>0</v>
      </c>
      <c r="BX894" s="387">
        <f t="shared" si="606"/>
        <v>9085.7041599999993</v>
      </c>
      <c r="BY894" s="387">
        <f t="shared" si="607"/>
        <v>0</v>
      </c>
      <c r="BZ894" s="387">
        <f t="shared" si="608"/>
        <v>0</v>
      </c>
      <c r="CA894" s="387">
        <f t="shared" si="609"/>
        <v>0</v>
      </c>
      <c r="CB894" s="387">
        <f t="shared" si="610"/>
        <v>0</v>
      </c>
      <c r="CC894" s="387">
        <f t="shared" si="592"/>
        <v>0</v>
      </c>
      <c r="CD894" s="387">
        <f t="shared" si="593"/>
        <v>0</v>
      </c>
      <c r="CE894" s="387">
        <f t="shared" si="594"/>
        <v>0</v>
      </c>
      <c r="CF894" s="387">
        <f t="shared" si="595"/>
        <v>-209.95519999999999</v>
      </c>
      <c r="CG894" s="387">
        <f t="shared" si="596"/>
        <v>0</v>
      </c>
      <c r="CH894" s="387">
        <f t="shared" si="597"/>
        <v>29.993599999999986</v>
      </c>
      <c r="CI894" s="387">
        <f t="shared" si="598"/>
        <v>0</v>
      </c>
      <c r="CJ894" s="387">
        <f t="shared" si="611"/>
        <v>-179.9616</v>
      </c>
      <c r="CK894" s="387" t="str">
        <f t="shared" si="612"/>
        <v/>
      </c>
      <c r="CL894" s="387" t="str">
        <f t="shared" si="613"/>
        <v/>
      </c>
      <c r="CM894" s="387" t="str">
        <f t="shared" si="614"/>
        <v/>
      </c>
      <c r="CN894" s="387" t="str">
        <f t="shared" si="615"/>
        <v>0348-31</v>
      </c>
    </row>
    <row r="895" spans="1:92" ht="15.75" thickBot="1" x14ac:dyDescent="0.3">
      <c r="A895" s="376" t="s">
        <v>161</v>
      </c>
      <c r="B895" s="376" t="s">
        <v>162</v>
      </c>
      <c r="C895" s="376" t="s">
        <v>1014</v>
      </c>
      <c r="D895" s="376" t="s">
        <v>862</v>
      </c>
      <c r="E895" s="376" t="s">
        <v>224</v>
      </c>
      <c r="F895" s="382" t="s">
        <v>225</v>
      </c>
      <c r="G895" s="376" t="s">
        <v>1945</v>
      </c>
      <c r="H895" s="378"/>
      <c r="I895" s="378"/>
      <c r="J895" s="376" t="s">
        <v>239</v>
      </c>
      <c r="K895" s="376" t="s">
        <v>863</v>
      </c>
      <c r="L895" s="376" t="s">
        <v>252</v>
      </c>
      <c r="M895" s="376" t="s">
        <v>171</v>
      </c>
      <c r="N895" s="376" t="s">
        <v>172</v>
      </c>
      <c r="O895" s="379">
        <v>1</v>
      </c>
      <c r="P895" s="385">
        <v>0.45</v>
      </c>
      <c r="Q895" s="385">
        <v>0.45</v>
      </c>
      <c r="R895" s="380">
        <v>80</v>
      </c>
      <c r="S895" s="385">
        <v>0.45</v>
      </c>
      <c r="T895" s="380">
        <v>14922.36</v>
      </c>
      <c r="U895" s="380">
        <v>0</v>
      </c>
      <c r="V895" s="380">
        <v>7904.08</v>
      </c>
      <c r="W895" s="380">
        <v>17568.72</v>
      </c>
      <c r="X895" s="380">
        <v>9041.7099999999991</v>
      </c>
      <c r="Y895" s="380">
        <v>17568.72</v>
      </c>
      <c r="Z895" s="380">
        <v>8967.93</v>
      </c>
      <c r="AA895" s="376" t="s">
        <v>1015</v>
      </c>
      <c r="AB895" s="376" t="s">
        <v>1016</v>
      </c>
      <c r="AC895" s="376" t="s">
        <v>1017</v>
      </c>
      <c r="AD895" s="376" t="s">
        <v>1018</v>
      </c>
      <c r="AE895" s="376" t="s">
        <v>863</v>
      </c>
      <c r="AF895" s="376" t="s">
        <v>393</v>
      </c>
      <c r="AG895" s="376" t="s">
        <v>178</v>
      </c>
      <c r="AH895" s="381">
        <v>18.77</v>
      </c>
      <c r="AI895" s="379">
        <v>3280</v>
      </c>
      <c r="AJ895" s="376" t="s">
        <v>179</v>
      </c>
      <c r="AK895" s="376" t="s">
        <v>180</v>
      </c>
      <c r="AL895" s="376" t="s">
        <v>181</v>
      </c>
      <c r="AM895" s="376" t="s">
        <v>182</v>
      </c>
      <c r="AN895" s="376" t="s">
        <v>68</v>
      </c>
      <c r="AO895" s="379">
        <v>80</v>
      </c>
      <c r="AP895" s="385">
        <v>1</v>
      </c>
      <c r="AQ895" s="385">
        <v>0.45</v>
      </c>
      <c r="AR895" s="383" t="s">
        <v>183</v>
      </c>
      <c r="AS895" s="387">
        <f t="shared" si="599"/>
        <v>0.45</v>
      </c>
      <c r="AT895">
        <f t="shared" si="600"/>
        <v>1</v>
      </c>
      <c r="AU895" s="387">
        <f>IF(AT895=0,"",IF(AND(AT895=1,M895="F",SUMIF(C2:C1334,C895,AS2:AS1334)&lt;=1),SUMIF(C2:C1334,C895,AS2:AS1334),IF(AND(AT895=1,M895="F",SUMIF(C2:C1334,C895,AS2:AS1334)&gt;1),1,"")))</f>
        <v>1</v>
      </c>
      <c r="AV895" s="387" t="str">
        <f>IF(AT895=0,"",IF(AND(AT895=3,M895="F",SUMIF(C2:C1334,C895,AS2:AS1334)&lt;=1),SUMIF(C2:C1334,C895,AS2:AS1334),IF(AND(AT895=3,M895="F",SUMIF(C2:C1334,C895,AS2:AS1334)&gt;1),1,"")))</f>
        <v/>
      </c>
      <c r="AW895" s="387">
        <f>SUMIF(C2:C1334,C895,O2:O1334)</f>
        <v>3</v>
      </c>
      <c r="AX895" s="387">
        <f>IF(AND(M895="F",AS895&lt;&gt;0),SUMIF(C2:C1334,C895,W2:W1334),0)</f>
        <v>39041.600000000006</v>
      </c>
      <c r="AY895" s="387">
        <f t="shared" si="601"/>
        <v>17568.72</v>
      </c>
      <c r="AZ895" s="387" t="str">
        <f t="shared" si="602"/>
        <v/>
      </c>
      <c r="BA895" s="387">
        <f t="shared" si="603"/>
        <v>0</v>
      </c>
      <c r="BB895" s="387">
        <f t="shared" si="572"/>
        <v>5242.5</v>
      </c>
      <c r="BC895" s="387">
        <f t="shared" si="573"/>
        <v>0</v>
      </c>
      <c r="BD895" s="387">
        <f t="shared" si="574"/>
        <v>1089.26064</v>
      </c>
      <c r="BE895" s="387">
        <f t="shared" si="575"/>
        <v>254.74644000000004</v>
      </c>
      <c r="BF895" s="387">
        <f t="shared" si="576"/>
        <v>2097.7051680000004</v>
      </c>
      <c r="BG895" s="387">
        <f t="shared" si="577"/>
        <v>126.67047120000001</v>
      </c>
      <c r="BH895" s="387">
        <f t="shared" si="578"/>
        <v>86.086728000000008</v>
      </c>
      <c r="BI895" s="387">
        <f t="shared" si="579"/>
        <v>97.242865200000011</v>
      </c>
      <c r="BJ895" s="387">
        <f t="shared" si="580"/>
        <v>47.435544000000007</v>
      </c>
      <c r="BK895" s="387">
        <f t="shared" si="581"/>
        <v>0</v>
      </c>
      <c r="BL895" s="387">
        <f t="shared" si="604"/>
        <v>3799.1478564000008</v>
      </c>
      <c r="BM895" s="387">
        <f t="shared" si="605"/>
        <v>0</v>
      </c>
      <c r="BN895" s="387">
        <f t="shared" si="582"/>
        <v>5242.5</v>
      </c>
      <c r="BO895" s="387">
        <f t="shared" si="583"/>
        <v>0</v>
      </c>
      <c r="BP895" s="387">
        <f t="shared" si="584"/>
        <v>1089.26064</v>
      </c>
      <c r="BQ895" s="387">
        <f t="shared" si="585"/>
        <v>254.74644000000004</v>
      </c>
      <c r="BR895" s="387">
        <f t="shared" si="586"/>
        <v>2097.7051680000004</v>
      </c>
      <c r="BS895" s="387">
        <f t="shared" si="587"/>
        <v>126.67047120000001</v>
      </c>
      <c r="BT895" s="387">
        <f t="shared" si="588"/>
        <v>0</v>
      </c>
      <c r="BU895" s="387">
        <f t="shared" si="589"/>
        <v>97.242865200000011</v>
      </c>
      <c r="BV895" s="387">
        <f t="shared" si="590"/>
        <v>59.733648000000002</v>
      </c>
      <c r="BW895" s="387">
        <f t="shared" si="591"/>
        <v>0</v>
      </c>
      <c r="BX895" s="387">
        <f t="shared" si="606"/>
        <v>3725.3592324000006</v>
      </c>
      <c r="BY895" s="387">
        <f t="shared" si="607"/>
        <v>0</v>
      </c>
      <c r="BZ895" s="387">
        <f t="shared" si="608"/>
        <v>0</v>
      </c>
      <c r="CA895" s="387">
        <f t="shared" si="609"/>
        <v>0</v>
      </c>
      <c r="CB895" s="387">
        <f t="shared" si="610"/>
        <v>0</v>
      </c>
      <c r="CC895" s="387">
        <f t="shared" si="592"/>
        <v>0</v>
      </c>
      <c r="CD895" s="387">
        <f t="shared" si="593"/>
        <v>0</v>
      </c>
      <c r="CE895" s="387">
        <f t="shared" si="594"/>
        <v>0</v>
      </c>
      <c r="CF895" s="387">
        <f t="shared" si="595"/>
        <v>-86.086728000000008</v>
      </c>
      <c r="CG895" s="387">
        <f t="shared" si="596"/>
        <v>0</v>
      </c>
      <c r="CH895" s="387">
        <f t="shared" si="597"/>
        <v>12.298103999999995</v>
      </c>
      <c r="CI895" s="387">
        <f t="shared" si="598"/>
        <v>0</v>
      </c>
      <c r="CJ895" s="387">
        <f t="shared" si="611"/>
        <v>-73.788624000000013</v>
      </c>
      <c r="CK895" s="387" t="str">
        <f t="shared" si="612"/>
        <v/>
      </c>
      <c r="CL895" s="387" t="str">
        <f t="shared" si="613"/>
        <v/>
      </c>
      <c r="CM895" s="387" t="str">
        <f t="shared" si="614"/>
        <v/>
      </c>
      <c r="CN895" s="387" t="str">
        <f t="shared" si="615"/>
        <v>0348-31</v>
      </c>
    </row>
    <row r="896" spans="1:92" ht="15.75" thickBot="1" x14ac:dyDescent="0.3">
      <c r="A896" s="376" t="s">
        <v>161</v>
      </c>
      <c r="B896" s="376" t="s">
        <v>162</v>
      </c>
      <c r="C896" s="376" t="s">
        <v>1462</v>
      </c>
      <c r="D896" s="376" t="s">
        <v>270</v>
      </c>
      <c r="E896" s="376" t="s">
        <v>224</v>
      </c>
      <c r="F896" s="382" t="s">
        <v>225</v>
      </c>
      <c r="G896" s="376" t="s">
        <v>1945</v>
      </c>
      <c r="H896" s="378"/>
      <c r="I896" s="378"/>
      <c r="J896" s="376" t="s">
        <v>215</v>
      </c>
      <c r="K896" s="376" t="s">
        <v>271</v>
      </c>
      <c r="L896" s="376" t="s">
        <v>217</v>
      </c>
      <c r="M896" s="376" t="s">
        <v>171</v>
      </c>
      <c r="N896" s="376" t="s">
        <v>172</v>
      </c>
      <c r="O896" s="379">
        <v>1</v>
      </c>
      <c r="P896" s="385">
        <v>1</v>
      </c>
      <c r="Q896" s="385">
        <v>1</v>
      </c>
      <c r="R896" s="380">
        <v>80</v>
      </c>
      <c r="S896" s="385">
        <v>1</v>
      </c>
      <c r="T896" s="380">
        <v>13112.15</v>
      </c>
      <c r="U896" s="380">
        <v>1902.82</v>
      </c>
      <c r="V896" s="380">
        <v>9376.24</v>
      </c>
      <c r="W896" s="380">
        <v>32614.400000000001</v>
      </c>
      <c r="X896" s="380">
        <v>18702.82</v>
      </c>
      <c r="Y896" s="380">
        <v>32614.400000000001</v>
      </c>
      <c r="Z896" s="380">
        <v>18565.84</v>
      </c>
      <c r="AA896" s="376" t="s">
        <v>1463</v>
      </c>
      <c r="AB896" s="376" t="s">
        <v>1464</v>
      </c>
      <c r="AC896" s="376" t="s">
        <v>1465</v>
      </c>
      <c r="AD896" s="376" t="s">
        <v>279</v>
      </c>
      <c r="AE896" s="376" t="s">
        <v>271</v>
      </c>
      <c r="AF896" s="376" t="s">
        <v>221</v>
      </c>
      <c r="AG896" s="376" t="s">
        <v>178</v>
      </c>
      <c r="AH896" s="381">
        <v>15.68</v>
      </c>
      <c r="AI896" s="381">
        <v>268.3</v>
      </c>
      <c r="AJ896" s="376" t="s">
        <v>179</v>
      </c>
      <c r="AK896" s="376" t="s">
        <v>180</v>
      </c>
      <c r="AL896" s="376" t="s">
        <v>181</v>
      </c>
      <c r="AM896" s="376" t="s">
        <v>182</v>
      </c>
      <c r="AN896" s="376" t="s">
        <v>68</v>
      </c>
      <c r="AO896" s="379">
        <v>80</v>
      </c>
      <c r="AP896" s="385">
        <v>1</v>
      </c>
      <c r="AQ896" s="385">
        <v>1</v>
      </c>
      <c r="AR896" s="383" t="s">
        <v>183</v>
      </c>
      <c r="AS896" s="387">
        <f t="shared" si="599"/>
        <v>1</v>
      </c>
      <c r="AT896">
        <f t="shared" si="600"/>
        <v>1</v>
      </c>
      <c r="AU896" s="387">
        <f>IF(AT896=0,"",IF(AND(AT896=1,M896="F",SUMIF(C2:C1334,C896,AS2:AS1334)&lt;=1),SUMIF(C2:C1334,C896,AS2:AS1334),IF(AND(AT896=1,M896="F",SUMIF(C2:C1334,C896,AS2:AS1334)&gt;1),1,"")))</f>
        <v>1</v>
      </c>
      <c r="AV896" s="387" t="str">
        <f>IF(AT896=0,"",IF(AND(AT896=3,M896="F",SUMIF(C2:C1334,C896,AS2:AS1334)&lt;=1),SUMIF(C2:C1334,C896,AS2:AS1334),IF(AND(AT896=3,M896="F",SUMIF(C2:C1334,C896,AS2:AS1334)&gt;1),1,"")))</f>
        <v/>
      </c>
      <c r="AW896" s="387">
        <f>SUMIF(C2:C1334,C896,O2:O1334)</f>
        <v>2</v>
      </c>
      <c r="AX896" s="387">
        <f>IF(AND(M896="F",AS896&lt;&gt;0),SUMIF(C2:C1334,C896,W2:W1334),0)</f>
        <v>32614.400000000001</v>
      </c>
      <c r="AY896" s="387">
        <f t="shared" si="601"/>
        <v>32614.400000000001</v>
      </c>
      <c r="AZ896" s="387" t="str">
        <f t="shared" si="602"/>
        <v/>
      </c>
      <c r="BA896" s="387">
        <f t="shared" si="603"/>
        <v>0</v>
      </c>
      <c r="BB896" s="387">
        <f t="shared" si="572"/>
        <v>11650</v>
      </c>
      <c r="BC896" s="387">
        <f t="shared" si="573"/>
        <v>0</v>
      </c>
      <c r="BD896" s="387">
        <f t="shared" si="574"/>
        <v>2022.0928000000001</v>
      </c>
      <c r="BE896" s="387">
        <f t="shared" si="575"/>
        <v>472.90880000000004</v>
      </c>
      <c r="BF896" s="387">
        <f t="shared" si="576"/>
        <v>3894.1593600000006</v>
      </c>
      <c r="BG896" s="387">
        <f t="shared" si="577"/>
        <v>235.14982400000002</v>
      </c>
      <c r="BH896" s="387">
        <f t="shared" si="578"/>
        <v>159.81056000000001</v>
      </c>
      <c r="BI896" s="387">
        <f t="shared" si="579"/>
        <v>180.52070399999999</v>
      </c>
      <c r="BJ896" s="387">
        <f t="shared" si="580"/>
        <v>88.058880000000002</v>
      </c>
      <c r="BK896" s="387">
        <f t="shared" si="581"/>
        <v>0</v>
      </c>
      <c r="BL896" s="387">
        <f t="shared" si="604"/>
        <v>7052.7009280000002</v>
      </c>
      <c r="BM896" s="387">
        <f t="shared" si="605"/>
        <v>0</v>
      </c>
      <c r="BN896" s="387">
        <f t="shared" si="582"/>
        <v>11650</v>
      </c>
      <c r="BO896" s="387">
        <f t="shared" si="583"/>
        <v>0</v>
      </c>
      <c r="BP896" s="387">
        <f t="shared" si="584"/>
        <v>2022.0928000000001</v>
      </c>
      <c r="BQ896" s="387">
        <f t="shared" si="585"/>
        <v>472.90880000000004</v>
      </c>
      <c r="BR896" s="387">
        <f t="shared" si="586"/>
        <v>3894.1593600000006</v>
      </c>
      <c r="BS896" s="387">
        <f t="shared" si="587"/>
        <v>235.14982400000002</v>
      </c>
      <c r="BT896" s="387">
        <f t="shared" si="588"/>
        <v>0</v>
      </c>
      <c r="BU896" s="387">
        <f t="shared" si="589"/>
        <v>180.52070399999999</v>
      </c>
      <c r="BV896" s="387">
        <f t="shared" si="590"/>
        <v>110.88896</v>
      </c>
      <c r="BW896" s="387">
        <f t="shared" si="591"/>
        <v>0</v>
      </c>
      <c r="BX896" s="387">
        <f t="shared" si="606"/>
        <v>6915.7204480000009</v>
      </c>
      <c r="BY896" s="387">
        <f t="shared" si="607"/>
        <v>0</v>
      </c>
      <c r="BZ896" s="387">
        <f t="shared" si="608"/>
        <v>0</v>
      </c>
      <c r="CA896" s="387">
        <f t="shared" si="609"/>
        <v>0</v>
      </c>
      <c r="CB896" s="387">
        <f t="shared" si="610"/>
        <v>0</v>
      </c>
      <c r="CC896" s="387">
        <f t="shared" si="592"/>
        <v>0</v>
      </c>
      <c r="CD896" s="387">
        <f t="shared" si="593"/>
        <v>0</v>
      </c>
      <c r="CE896" s="387">
        <f t="shared" si="594"/>
        <v>0</v>
      </c>
      <c r="CF896" s="387">
        <f t="shared" si="595"/>
        <v>-159.81056000000001</v>
      </c>
      <c r="CG896" s="387">
        <f t="shared" si="596"/>
        <v>0</v>
      </c>
      <c r="CH896" s="387">
        <f t="shared" si="597"/>
        <v>22.830079999999992</v>
      </c>
      <c r="CI896" s="387">
        <f t="shared" si="598"/>
        <v>0</v>
      </c>
      <c r="CJ896" s="387">
        <f t="shared" si="611"/>
        <v>-136.98048000000003</v>
      </c>
      <c r="CK896" s="387" t="str">
        <f t="shared" si="612"/>
        <v/>
      </c>
      <c r="CL896" s="387" t="str">
        <f t="shared" si="613"/>
        <v/>
      </c>
      <c r="CM896" s="387" t="str">
        <f t="shared" si="614"/>
        <v/>
      </c>
      <c r="CN896" s="387" t="str">
        <f t="shared" si="615"/>
        <v>0348-31</v>
      </c>
    </row>
    <row r="897" spans="1:92" ht="15.75" thickBot="1" x14ac:dyDescent="0.3">
      <c r="A897" s="376" t="s">
        <v>161</v>
      </c>
      <c r="B897" s="376" t="s">
        <v>162</v>
      </c>
      <c r="C897" s="376" t="s">
        <v>2077</v>
      </c>
      <c r="D897" s="376" t="s">
        <v>270</v>
      </c>
      <c r="E897" s="376" t="s">
        <v>224</v>
      </c>
      <c r="F897" s="382" t="s">
        <v>225</v>
      </c>
      <c r="G897" s="376" t="s">
        <v>1945</v>
      </c>
      <c r="H897" s="378"/>
      <c r="I897" s="378"/>
      <c r="J897" s="376" t="s">
        <v>215</v>
      </c>
      <c r="K897" s="376" t="s">
        <v>271</v>
      </c>
      <c r="L897" s="376" t="s">
        <v>217</v>
      </c>
      <c r="M897" s="376" t="s">
        <v>171</v>
      </c>
      <c r="N897" s="376" t="s">
        <v>172</v>
      </c>
      <c r="O897" s="379">
        <v>1</v>
      </c>
      <c r="P897" s="385">
        <v>1</v>
      </c>
      <c r="Q897" s="385">
        <v>1</v>
      </c>
      <c r="R897" s="380">
        <v>80</v>
      </c>
      <c r="S897" s="385">
        <v>1</v>
      </c>
      <c r="T897" s="380">
        <v>24284.62</v>
      </c>
      <c r="U897" s="380">
        <v>138.33000000000001</v>
      </c>
      <c r="V897" s="380">
        <v>14761.59</v>
      </c>
      <c r="W897" s="380">
        <v>32614.400000000001</v>
      </c>
      <c r="X897" s="380">
        <v>18702.82</v>
      </c>
      <c r="Y897" s="380">
        <v>32614.400000000001</v>
      </c>
      <c r="Z897" s="380">
        <v>18565.84</v>
      </c>
      <c r="AA897" s="376" t="s">
        <v>2078</v>
      </c>
      <c r="AB897" s="376" t="s">
        <v>915</v>
      </c>
      <c r="AC897" s="376" t="s">
        <v>457</v>
      </c>
      <c r="AD897" s="376" t="s">
        <v>300</v>
      </c>
      <c r="AE897" s="376" t="s">
        <v>271</v>
      </c>
      <c r="AF897" s="376" t="s">
        <v>221</v>
      </c>
      <c r="AG897" s="376" t="s">
        <v>178</v>
      </c>
      <c r="AH897" s="381">
        <v>15.68</v>
      </c>
      <c r="AI897" s="381">
        <v>1011.4</v>
      </c>
      <c r="AJ897" s="376" t="s">
        <v>179</v>
      </c>
      <c r="AK897" s="376" t="s">
        <v>180</v>
      </c>
      <c r="AL897" s="376" t="s">
        <v>181</v>
      </c>
      <c r="AM897" s="376" t="s">
        <v>182</v>
      </c>
      <c r="AN897" s="376" t="s">
        <v>68</v>
      </c>
      <c r="AO897" s="379">
        <v>80</v>
      </c>
      <c r="AP897" s="385">
        <v>1</v>
      </c>
      <c r="AQ897" s="385">
        <v>1</v>
      </c>
      <c r="AR897" s="383" t="s">
        <v>183</v>
      </c>
      <c r="AS897" s="387">
        <f t="shared" si="599"/>
        <v>1</v>
      </c>
      <c r="AT897">
        <f t="shared" si="600"/>
        <v>1</v>
      </c>
      <c r="AU897" s="387">
        <f>IF(AT897=0,"",IF(AND(AT897=1,M897="F",SUMIF(C2:C1334,C897,AS2:AS1334)&lt;=1),SUMIF(C2:C1334,C897,AS2:AS1334),IF(AND(AT897=1,M897="F",SUMIF(C2:C1334,C897,AS2:AS1334)&gt;1),1,"")))</f>
        <v>1</v>
      </c>
      <c r="AV897" s="387" t="str">
        <f>IF(AT897=0,"",IF(AND(AT897=3,M897="F",SUMIF(C2:C1334,C897,AS2:AS1334)&lt;=1),SUMIF(C2:C1334,C897,AS2:AS1334),IF(AND(AT897=3,M897="F",SUMIF(C2:C1334,C897,AS2:AS1334)&gt;1),1,"")))</f>
        <v/>
      </c>
      <c r="AW897" s="387">
        <f>SUMIF(C2:C1334,C897,O2:O1334)</f>
        <v>1</v>
      </c>
      <c r="AX897" s="387">
        <f>IF(AND(M897="F",AS897&lt;&gt;0),SUMIF(C2:C1334,C897,W2:W1334),0)</f>
        <v>32614.400000000001</v>
      </c>
      <c r="AY897" s="387">
        <f t="shared" si="601"/>
        <v>32614.400000000001</v>
      </c>
      <c r="AZ897" s="387" t="str">
        <f t="shared" si="602"/>
        <v/>
      </c>
      <c r="BA897" s="387">
        <f t="shared" si="603"/>
        <v>0</v>
      </c>
      <c r="BB897" s="387">
        <f t="shared" si="572"/>
        <v>11650</v>
      </c>
      <c r="BC897" s="387">
        <f t="shared" si="573"/>
        <v>0</v>
      </c>
      <c r="BD897" s="387">
        <f t="shared" si="574"/>
        <v>2022.0928000000001</v>
      </c>
      <c r="BE897" s="387">
        <f t="shared" si="575"/>
        <v>472.90880000000004</v>
      </c>
      <c r="BF897" s="387">
        <f t="shared" si="576"/>
        <v>3894.1593600000006</v>
      </c>
      <c r="BG897" s="387">
        <f t="shared" si="577"/>
        <v>235.14982400000002</v>
      </c>
      <c r="BH897" s="387">
        <f t="shared" si="578"/>
        <v>159.81056000000001</v>
      </c>
      <c r="BI897" s="387">
        <f t="shared" si="579"/>
        <v>180.52070399999999</v>
      </c>
      <c r="BJ897" s="387">
        <f t="shared" si="580"/>
        <v>88.058880000000002</v>
      </c>
      <c r="BK897" s="387">
        <f t="shared" si="581"/>
        <v>0</v>
      </c>
      <c r="BL897" s="387">
        <f t="shared" si="604"/>
        <v>7052.7009280000002</v>
      </c>
      <c r="BM897" s="387">
        <f t="shared" si="605"/>
        <v>0</v>
      </c>
      <c r="BN897" s="387">
        <f t="shared" si="582"/>
        <v>11650</v>
      </c>
      <c r="BO897" s="387">
        <f t="shared" si="583"/>
        <v>0</v>
      </c>
      <c r="BP897" s="387">
        <f t="shared" si="584"/>
        <v>2022.0928000000001</v>
      </c>
      <c r="BQ897" s="387">
        <f t="shared" si="585"/>
        <v>472.90880000000004</v>
      </c>
      <c r="BR897" s="387">
        <f t="shared" si="586"/>
        <v>3894.1593600000006</v>
      </c>
      <c r="BS897" s="387">
        <f t="shared" si="587"/>
        <v>235.14982400000002</v>
      </c>
      <c r="BT897" s="387">
        <f t="shared" si="588"/>
        <v>0</v>
      </c>
      <c r="BU897" s="387">
        <f t="shared" si="589"/>
        <v>180.52070399999999</v>
      </c>
      <c r="BV897" s="387">
        <f t="shared" si="590"/>
        <v>110.88896</v>
      </c>
      <c r="BW897" s="387">
        <f t="shared" si="591"/>
        <v>0</v>
      </c>
      <c r="BX897" s="387">
        <f t="shared" si="606"/>
        <v>6915.7204480000009</v>
      </c>
      <c r="BY897" s="387">
        <f t="shared" si="607"/>
        <v>0</v>
      </c>
      <c r="BZ897" s="387">
        <f t="shared" si="608"/>
        <v>0</v>
      </c>
      <c r="CA897" s="387">
        <f t="shared" si="609"/>
        <v>0</v>
      </c>
      <c r="CB897" s="387">
        <f t="shared" si="610"/>
        <v>0</v>
      </c>
      <c r="CC897" s="387">
        <f t="shared" si="592"/>
        <v>0</v>
      </c>
      <c r="CD897" s="387">
        <f t="shared" si="593"/>
        <v>0</v>
      </c>
      <c r="CE897" s="387">
        <f t="shared" si="594"/>
        <v>0</v>
      </c>
      <c r="CF897" s="387">
        <f t="shared" si="595"/>
        <v>-159.81056000000001</v>
      </c>
      <c r="CG897" s="387">
        <f t="shared" si="596"/>
        <v>0</v>
      </c>
      <c r="CH897" s="387">
        <f t="shared" si="597"/>
        <v>22.830079999999992</v>
      </c>
      <c r="CI897" s="387">
        <f t="shared" si="598"/>
        <v>0</v>
      </c>
      <c r="CJ897" s="387">
        <f t="shared" si="611"/>
        <v>-136.98048000000003</v>
      </c>
      <c r="CK897" s="387" t="str">
        <f t="shared" si="612"/>
        <v/>
      </c>
      <c r="CL897" s="387" t="str">
        <f t="shared" si="613"/>
        <v/>
      </c>
      <c r="CM897" s="387" t="str">
        <f t="shared" si="614"/>
        <v/>
      </c>
      <c r="CN897" s="387" t="str">
        <f t="shared" si="615"/>
        <v>0348-31</v>
      </c>
    </row>
    <row r="898" spans="1:92" ht="15.75" thickBot="1" x14ac:dyDescent="0.3">
      <c r="A898" s="376" t="s">
        <v>161</v>
      </c>
      <c r="B898" s="376" t="s">
        <v>162</v>
      </c>
      <c r="C898" s="376" t="s">
        <v>2079</v>
      </c>
      <c r="D898" s="376" t="s">
        <v>974</v>
      </c>
      <c r="E898" s="376" t="s">
        <v>224</v>
      </c>
      <c r="F898" s="382" t="s">
        <v>225</v>
      </c>
      <c r="G898" s="376" t="s">
        <v>1945</v>
      </c>
      <c r="H898" s="378"/>
      <c r="I898" s="378"/>
      <c r="J898" s="376" t="s">
        <v>215</v>
      </c>
      <c r="K898" s="376" t="s">
        <v>975</v>
      </c>
      <c r="L898" s="376" t="s">
        <v>296</v>
      </c>
      <c r="M898" s="376" t="s">
        <v>272</v>
      </c>
      <c r="N898" s="376" t="s">
        <v>172</v>
      </c>
      <c r="O898" s="379">
        <v>0</v>
      </c>
      <c r="P898" s="385">
        <v>1</v>
      </c>
      <c r="Q898" s="385">
        <v>1</v>
      </c>
      <c r="R898" s="380">
        <v>80</v>
      </c>
      <c r="S898" s="385">
        <v>1</v>
      </c>
      <c r="T898" s="380">
        <v>39880.050000000003</v>
      </c>
      <c r="U898" s="380">
        <v>914.3</v>
      </c>
      <c r="V898" s="380">
        <v>18994.439999999999</v>
      </c>
      <c r="W898" s="380">
        <v>47403.199999999997</v>
      </c>
      <c r="X898" s="380">
        <v>20762.599999999999</v>
      </c>
      <c r="Y898" s="380">
        <v>47403.199999999997</v>
      </c>
      <c r="Z898" s="380">
        <v>20525.580000000002</v>
      </c>
      <c r="AA898" s="378"/>
      <c r="AB898" s="376" t="s">
        <v>45</v>
      </c>
      <c r="AC898" s="376" t="s">
        <v>45</v>
      </c>
      <c r="AD898" s="378"/>
      <c r="AE898" s="378"/>
      <c r="AF898" s="378"/>
      <c r="AG898" s="378"/>
      <c r="AH898" s="379">
        <v>0</v>
      </c>
      <c r="AI898" s="379">
        <v>0</v>
      </c>
      <c r="AJ898" s="378"/>
      <c r="AK898" s="378"/>
      <c r="AL898" s="376" t="s">
        <v>181</v>
      </c>
      <c r="AM898" s="378"/>
      <c r="AN898" s="378"/>
      <c r="AO898" s="379">
        <v>0</v>
      </c>
      <c r="AP898" s="385">
        <v>0</v>
      </c>
      <c r="AQ898" s="385">
        <v>0</v>
      </c>
      <c r="AR898" s="384"/>
      <c r="AS898" s="387">
        <f t="shared" si="599"/>
        <v>0</v>
      </c>
      <c r="AT898">
        <f t="shared" si="600"/>
        <v>0</v>
      </c>
      <c r="AU898" s="387" t="str">
        <f>IF(AT898=0,"",IF(AND(AT898=1,M898="F",SUMIF(C2:C1334,C898,AS2:AS1334)&lt;=1),SUMIF(C2:C1334,C898,AS2:AS1334),IF(AND(AT898=1,M898="F",SUMIF(C2:C1334,C898,AS2:AS1334)&gt;1),1,"")))</f>
        <v/>
      </c>
      <c r="AV898" s="387" t="str">
        <f>IF(AT898=0,"",IF(AND(AT898=3,M898="F",SUMIF(C2:C1334,C898,AS2:AS1334)&lt;=1),SUMIF(C2:C1334,C898,AS2:AS1334),IF(AND(AT898=3,M898="F",SUMIF(C2:C1334,C898,AS2:AS1334)&gt;1),1,"")))</f>
        <v/>
      </c>
      <c r="AW898" s="387">
        <f>SUMIF(C2:C1334,C898,O2:O1334)</f>
        <v>0</v>
      </c>
      <c r="AX898" s="387">
        <f>IF(AND(M898="F",AS898&lt;&gt;0),SUMIF(C2:C1334,C898,W2:W1334),0)</f>
        <v>0</v>
      </c>
      <c r="AY898" s="387" t="str">
        <f t="shared" si="601"/>
        <v/>
      </c>
      <c r="AZ898" s="387" t="str">
        <f t="shared" si="602"/>
        <v/>
      </c>
      <c r="BA898" s="387">
        <f t="shared" si="603"/>
        <v>0</v>
      </c>
      <c r="BB898" s="387">
        <f t="shared" ref="BB898:BB961" si="616">IF(AND(AT898=1,AK898="E",AU898&gt;=0.75,AW898=1),Health,IF(AND(AT898=1,AK898="E",AU898&gt;=0.75),Health*P898,IF(AND(AT898=1,AK898="E",AU898&gt;=0.5,AW898=1),PTHealth,IF(AND(AT898=1,AK898="E",AU898&gt;=0.5),PTHealth*P898,0))))</f>
        <v>0</v>
      </c>
      <c r="BC898" s="387">
        <f t="shared" ref="BC898:BC961" si="617">IF(AND(AT898=3,AK898="E",AV898&gt;=0.75,AW898=1),Health,IF(AND(AT898=3,AK898="E",AV898&gt;=0.75),Health*P898,IF(AND(AT898=3,AK898="E",AV898&gt;=0.5,AW898=1),PTHealth,IF(AND(AT898=3,AK898="E",AV898&gt;=0.5),PTHealth*P898,0))))</f>
        <v>0</v>
      </c>
      <c r="BD898" s="387">
        <f t="shared" ref="BD898:BD961" si="618">IF(AND(AT898&lt;&gt;0,AX898&gt;=MAXSSDI),SSDI*MAXSSDI*P898,IF(AT898&lt;&gt;0,SSDI*W898,0))</f>
        <v>0</v>
      </c>
      <c r="BE898" s="387">
        <f t="shared" ref="BE898:BE961" si="619">IF(AT898&lt;&gt;0,SSHI*W898,0)</f>
        <v>0</v>
      </c>
      <c r="BF898" s="387">
        <f t="shared" ref="BF898:BF961" si="620">IF(AND(AT898&lt;&gt;0,AN898&lt;&gt;"NE"),VLOOKUP(AN898,Retirement_Rates,3,FALSE)*W898,0)</f>
        <v>0</v>
      </c>
      <c r="BG898" s="387">
        <f t="shared" ref="BG898:BG961" si="621">IF(AND(AT898&lt;&gt;0,AJ898&lt;&gt;"PF"),Life*W898,0)</f>
        <v>0</v>
      </c>
      <c r="BH898" s="387">
        <f t="shared" ref="BH898:BH961" si="622">IF(AND(AT898&lt;&gt;0,AM898="Y"),UI*W898,0)</f>
        <v>0</v>
      </c>
      <c r="BI898" s="387">
        <f t="shared" ref="BI898:BI961" si="623">IF(AND(AT898&lt;&gt;0,N898&lt;&gt;"NR"),DHR*W898,0)</f>
        <v>0</v>
      </c>
      <c r="BJ898" s="387">
        <f t="shared" ref="BJ898:BJ961" si="624">IF(AT898&lt;&gt;0,WC*W898,0)</f>
        <v>0</v>
      </c>
      <c r="BK898" s="387">
        <f t="shared" ref="BK898:BK961" si="625">IF(OR(AND(AT898&lt;&gt;0,AJ898&lt;&gt;"PF",AN898&lt;&gt;"NE",AG898&lt;&gt;"A"),AND(AL898="E",OR(AT898=1,AT898=3))),Sick*W898,0)</f>
        <v>0</v>
      </c>
      <c r="BL898" s="387">
        <f t="shared" si="604"/>
        <v>0</v>
      </c>
      <c r="BM898" s="387">
        <f t="shared" si="605"/>
        <v>0</v>
      </c>
      <c r="BN898" s="387">
        <f t="shared" ref="BN898:BN961" si="626">IF(AND(AT898=1,AK898="E",AU898&gt;=0.75,AW898=1),HealthBY,IF(AND(AT898=1,AK898="E",AU898&gt;=0.75),HealthBY*P898,IF(AND(AT898=1,AK898="E",AU898&gt;=0.5,AW898=1),PTHealthBY,IF(AND(AT898=1,AK898="E",AU898&gt;=0.5),PTHealthBY*P898,0))))</f>
        <v>0</v>
      </c>
      <c r="BO898" s="387">
        <f t="shared" ref="BO898:BO961" si="627">IF(AND(AT898=3,AK898="E",AV898&gt;=0.75,AW898=1),HealthBY,IF(AND(AT898=3,AK898="E",AV898&gt;=0.75),HealthBY*P898,IF(AND(AT898=3,AK898="E",AV898&gt;=0.5,AW898=1),PTHealthBY,IF(AND(AT898=3,AK898="E",AV898&gt;=0.5),PTHealthBY*P898,0))))</f>
        <v>0</v>
      </c>
      <c r="BP898" s="387">
        <f t="shared" ref="BP898:BP961" si="628">IF(AND(AT898&lt;&gt;0,(AX898+BA898)&gt;=MAXSSDIBY),SSDIBY*MAXSSDIBY*P898,IF(AT898&lt;&gt;0,SSDIBY*W898,0))</f>
        <v>0</v>
      </c>
      <c r="BQ898" s="387">
        <f t="shared" ref="BQ898:BQ961" si="629">IF(AT898&lt;&gt;0,SSHIBY*W898,0)</f>
        <v>0</v>
      </c>
      <c r="BR898" s="387">
        <f t="shared" ref="BR898:BR961" si="630">IF(AND(AT898&lt;&gt;0,AN898&lt;&gt;"NE"),VLOOKUP(AN898,Retirement_Rates,4,FALSE)*W898,0)</f>
        <v>0</v>
      </c>
      <c r="BS898" s="387">
        <f t="shared" ref="BS898:BS961" si="631">IF(AND(AT898&lt;&gt;0,AJ898&lt;&gt;"PF"),LifeBY*W898,0)</f>
        <v>0</v>
      </c>
      <c r="BT898" s="387">
        <f t="shared" ref="BT898:BT961" si="632">IF(AND(AT898&lt;&gt;0,AM898="Y"),UIBY*W898,0)</f>
        <v>0</v>
      </c>
      <c r="BU898" s="387">
        <f t="shared" ref="BU898:BU961" si="633">IF(AND(AT898&lt;&gt;0,N898&lt;&gt;"NR"),DHRBY*W898,0)</f>
        <v>0</v>
      </c>
      <c r="BV898" s="387">
        <f t="shared" ref="BV898:BV961" si="634">IF(AT898&lt;&gt;0,WCBY*W898,0)</f>
        <v>0</v>
      </c>
      <c r="BW898" s="387">
        <f t="shared" ref="BW898:BW961" si="635">IF(OR(AND(AT898&lt;&gt;0,AJ898&lt;&gt;"PF",AN898&lt;&gt;"NE",AG898&lt;&gt;"A"),AND(AL898="E",OR(AT898=1,AT898=3))),SickBY*W898,0)</f>
        <v>0</v>
      </c>
      <c r="BX898" s="387">
        <f t="shared" si="606"/>
        <v>0</v>
      </c>
      <c r="BY898" s="387">
        <f t="shared" si="607"/>
        <v>0</v>
      </c>
      <c r="BZ898" s="387">
        <f t="shared" si="608"/>
        <v>0</v>
      </c>
      <c r="CA898" s="387">
        <f t="shared" si="609"/>
        <v>0</v>
      </c>
      <c r="CB898" s="387">
        <f t="shared" si="610"/>
        <v>0</v>
      </c>
      <c r="CC898" s="387">
        <f t="shared" ref="CC898:CC961" si="636">IF(AT898&lt;&gt;0,SSHICHG*Y898,0)</f>
        <v>0</v>
      </c>
      <c r="CD898" s="387">
        <f t="shared" ref="CD898:CD961" si="637">IF(AND(AT898&lt;&gt;0,AN898&lt;&gt;"NE"),VLOOKUP(AN898,Retirement_Rates,5,FALSE)*Y898,0)</f>
        <v>0</v>
      </c>
      <c r="CE898" s="387">
        <f t="shared" ref="CE898:CE961" si="638">IF(AND(AT898&lt;&gt;0,AJ898&lt;&gt;"PF"),LifeCHG*Y898,0)</f>
        <v>0</v>
      </c>
      <c r="CF898" s="387">
        <f t="shared" ref="CF898:CF961" si="639">IF(AND(AT898&lt;&gt;0,AM898="Y"),UICHG*Y898,0)</f>
        <v>0</v>
      </c>
      <c r="CG898" s="387">
        <f t="shared" ref="CG898:CG961" si="640">IF(AND(AT898&lt;&gt;0,N898&lt;&gt;"NR"),DHRCHG*Y898,0)</f>
        <v>0</v>
      </c>
      <c r="CH898" s="387">
        <f t="shared" ref="CH898:CH961" si="641">IF(AT898&lt;&gt;0,WCCHG*Y898,0)</f>
        <v>0</v>
      </c>
      <c r="CI898" s="387">
        <f t="shared" ref="CI898:CI961" si="642">IF(OR(AND(AT898&lt;&gt;0,AJ898&lt;&gt;"PF",AN898&lt;&gt;"NE",AG898&lt;&gt;"A"),AND(AL898="E",OR(AT898=1,AT898=3))),SickCHG*Y898,0)</f>
        <v>0</v>
      </c>
      <c r="CJ898" s="387">
        <f t="shared" si="611"/>
        <v>0</v>
      </c>
      <c r="CK898" s="387" t="str">
        <f t="shared" si="612"/>
        <v/>
      </c>
      <c r="CL898" s="387" t="str">
        <f t="shared" si="613"/>
        <v/>
      </c>
      <c r="CM898" s="387" t="str">
        <f t="shared" si="614"/>
        <v/>
      </c>
      <c r="CN898" s="387" t="str">
        <f t="shared" si="615"/>
        <v>0348-31</v>
      </c>
    </row>
    <row r="899" spans="1:92" ht="15.75" thickBot="1" x14ac:dyDescent="0.3">
      <c r="A899" s="376" t="s">
        <v>161</v>
      </c>
      <c r="B899" s="376" t="s">
        <v>162</v>
      </c>
      <c r="C899" s="376" t="s">
        <v>837</v>
      </c>
      <c r="D899" s="376" t="s">
        <v>786</v>
      </c>
      <c r="E899" s="376" t="s">
        <v>224</v>
      </c>
      <c r="F899" s="382" t="s">
        <v>225</v>
      </c>
      <c r="G899" s="376" t="s">
        <v>1945</v>
      </c>
      <c r="H899" s="378"/>
      <c r="I899" s="378"/>
      <c r="J899" s="376" t="s">
        <v>239</v>
      </c>
      <c r="K899" s="376" t="s">
        <v>787</v>
      </c>
      <c r="L899" s="376" t="s">
        <v>181</v>
      </c>
      <c r="M899" s="376" t="s">
        <v>171</v>
      </c>
      <c r="N899" s="376" t="s">
        <v>172</v>
      </c>
      <c r="O899" s="379">
        <v>1</v>
      </c>
      <c r="P899" s="385">
        <v>0</v>
      </c>
      <c r="Q899" s="385">
        <v>0</v>
      </c>
      <c r="R899" s="380">
        <v>80</v>
      </c>
      <c r="S899" s="385">
        <v>0</v>
      </c>
      <c r="T899" s="380">
        <v>160.6</v>
      </c>
      <c r="U899" s="380">
        <v>0</v>
      </c>
      <c r="V899" s="380">
        <v>68.260000000000005</v>
      </c>
      <c r="W899" s="380">
        <v>0</v>
      </c>
      <c r="X899" s="380">
        <v>0</v>
      </c>
      <c r="Y899" s="380">
        <v>0</v>
      </c>
      <c r="Z899" s="380">
        <v>0</v>
      </c>
      <c r="AA899" s="376" t="s">
        <v>838</v>
      </c>
      <c r="AB899" s="376" t="s">
        <v>839</v>
      </c>
      <c r="AC899" s="376" t="s">
        <v>840</v>
      </c>
      <c r="AD899" s="376" t="s">
        <v>198</v>
      </c>
      <c r="AE899" s="376" t="s">
        <v>787</v>
      </c>
      <c r="AF899" s="376" t="s">
        <v>211</v>
      </c>
      <c r="AG899" s="376" t="s">
        <v>178</v>
      </c>
      <c r="AH899" s="381">
        <v>29.42</v>
      </c>
      <c r="AI899" s="379">
        <v>45062</v>
      </c>
      <c r="AJ899" s="376" t="s">
        <v>179</v>
      </c>
      <c r="AK899" s="376" t="s">
        <v>180</v>
      </c>
      <c r="AL899" s="376" t="s">
        <v>181</v>
      </c>
      <c r="AM899" s="376" t="s">
        <v>182</v>
      </c>
      <c r="AN899" s="376" t="s">
        <v>68</v>
      </c>
      <c r="AO899" s="379">
        <v>80</v>
      </c>
      <c r="AP899" s="385">
        <v>1</v>
      </c>
      <c r="AQ899" s="385">
        <v>0</v>
      </c>
      <c r="AR899" s="383" t="s">
        <v>183</v>
      </c>
      <c r="AS899" s="387">
        <f t="shared" ref="AS899:AS962" si="643">IF(((AO899/80)*AP899*P899)&gt;1,AQ899,((AO899/80)*AP899*P899))</f>
        <v>0</v>
      </c>
      <c r="AT899">
        <f t="shared" ref="AT899:AT962" si="644">IF(AND(M899="F",N899&lt;&gt;"NG",AS899&lt;&gt;0,AND(AR899&lt;&gt;6,AR899&lt;&gt;36,AR899&lt;&gt;56),AG899&lt;&gt;"A",OR(AG899="H",AJ899="FS")),1,IF(AND(M899="F",N899&lt;&gt;"NG",AS899&lt;&gt;0,AG899="A"),3,0))</f>
        <v>0</v>
      </c>
      <c r="AU899" s="387" t="str">
        <f>IF(AT899=0,"",IF(AND(AT899=1,M899="F",SUMIF(C2:C1334,C899,AS2:AS1334)&lt;=1),SUMIF(C2:C1334,C899,AS2:AS1334),IF(AND(AT899=1,M899="F",SUMIF(C2:C1334,C899,AS2:AS1334)&gt;1),1,"")))</f>
        <v/>
      </c>
      <c r="AV899" s="387" t="str">
        <f>IF(AT899=0,"",IF(AND(AT899=3,M899="F",SUMIF(C2:C1334,C899,AS2:AS1334)&lt;=1),SUMIF(C2:C1334,C899,AS2:AS1334),IF(AND(AT899=3,M899="F",SUMIF(C2:C1334,C899,AS2:AS1334)&gt;1),1,"")))</f>
        <v/>
      </c>
      <c r="AW899" s="387">
        <f>SUMIF(C2:C1334,C899,O2:O1334)</f>
        <v>4</v>
      </c>
      <c r="AX899" s="387">
        <f>IF(AND(M899="F",AS899&lt;&gt;0),SUMIF(C2:C1334,C899,W2:W1334),0)</f>
        <v>0</v>
      </c>
      <c r="AY899" s="387" t="str">
        <f t="shared" ref="AY899:AY962" si="645">IF(AT899=1,W899,"")</f>
        <v/>
      </c>
      <c r="AZ899" s="387" t="str">
        <f t="shared" ref="AZ899:AZ962" si="646">IF(AT899=3,W899,"")</f>
        <v/>
      </c>
      <c r="BA899" s="387">
        <f t="shared" ref="BA899:BA962" si="647">IF(AT899=1,Y899-W899,0)</f>
        <v>0</v>
      </c>
      <c r="BB899" s="387">
        <f t="shared" si="616"/>
        <v>0</v>
      </c>
      <c r="BC899" s="387">
        <f t="shared" si="617"/>
        <v>0</v>
      </c>
      <c r="BD899" s="387">
        <f t="shared" si="618"/>
        <v>0</v>
      </c>
      <c r="BE899" s="387">
        <f t="shared" si="619"/>
        <v>0</v>
      </c>
      <c r="BF899" s="387">
        <f t="shared" si="620"/>
        <v>0</v>
      </c>
      <c r="BG899" s="387">
        <f t="shared" si="621"/>
        <v>0</v>
      </c>
      <c r="BH899" s="387">
        <f t="shared" si="622"/>
        <v>0</v>
      </c>
      <c r="BI899" s="387">
        <f t="shared" si="623"/>
        <v>0</v>
      </c>
      <c r="BJ899" s="387">
        <f t="shared" si="624"/>
        <v>0</v>
      </c>
      <c r="BK899" s="387">
        <f t="shared" si="625"/>
        <v>0</v>
      </c>
      <c r="BL899" s="387">
        <f t="shared" ref="BL899:BL962" si="648">IF(AT899=1,SUM(BD899:BK899),0)</f>
        <v>0</v>
      </c>
      <c r="BM899" s="387">
        <f t="shared" ref="BM899:BM962" si="649">IF(AT899=3,SUM(BD899:BK899),0)</f>
        <v>0</v>
      </c>
      <c r="BN899" s="387">
        <f t="shared" si="626"/>
        <v>0</v>
      </c>
      <c r="BO899" s="387">
        <f t="shared" si="627"/>
        <v>0</v>
      </c>
      <c r="BP899" s="387">
        <f t="shared" si="628"/>
        <v>0</v>
      </c>
      <c r="BQ899" s="387">
        <f t="shared" si="629"/>
        <v>0</v>
      </c>
      <c r="BR899" s="387">
        <f t="shared" si="630"/>
        <v>0</v>
      </c>
      <c r="BS899" s="387">
        <f t="shared" si="631"/>
        <v>0</v>
      </c>
      <c r="BT899" s="387">
        <f t="shared" si="632"/>
        <v>0</v>
      </c>
      <c r="BU899" s="387">
        <f t="shared" si="633"/>
        <v>0</v>
      </c>
      <c r="BV899" s="387">
        <f t="shared" si="634"/>
        <v>0</v>
      </c>
      <c r="BW899" s="387">
        <f t="shared" si="635"/>
        <v>0</v>
      </c>
      <c r="BX899" s="387">
        <f t="shared" ref="BX899:BX962" si="650">IF(AT899=1,SUM(BP899:BW899),0)</f>
        <v>0</v>
      </c>
      <c r="BY899" s="387">
        <f t="shared" ref="BY899:BY962" si="651">IF(AT899=3,SUM(BP899:BW899),0)</f>
        <v>0</v>
      </c>
      <c r="BZ899" s="387">
        <f t="shared" ref="BZ899:BZ962" si="652">IF(AT899=1,BN899-BB899,0)</f>
        <v>0</v>
      </c>
      <c r="CA899" s="387">
        <f t="shared" ref="CA899:CA962" si="653">IF(AT899=3,BO899-BC899,0)</f>
        <v>0</v>
      </c>
      <c r="CB899" s="387">
        <f t="shared" ref="CB899:CB962" si="654">BP899-BD899</f>
        <v>0</v>
      </c>
      <c r="CC899" s="387">
        <f t="shared" si="636"/>
        <v>0</v>
      </c>
      <c r="CD899" s="387">
        <f t="shared" si="637"/>
        <v>0</v>
      </c>
      <c r="CE899" s="387">
        <f t="shared" si="638"/>
        <v>0</v>
      </c>
      <c r="CF899" s="387">
        <f t="shared" si="639"/>
        <v>0</v>
      </c>
      <c r="CG899" s="387">
        <f t="shared" si="640"/>
        <v>0</v>
      </c>
      <c r="CH899" s="387">
        <f t="shared" si="641"/>
        <v>0</v>
      </c>
      <c r="CI899" s="387">
        <f t="shared" si="642"/>
        <v>0</v>
      </c>
      <c r="CJ899" s="387">
        <f t="shared" ref="CJ899:CJ962" si="655">IF(AT899=1,SUM(CB899:CI899),0)</f>
        <v>0</v>
      </c>
      <c r="CK899" s="387" t="str">
        <f t="shared" ref="CK899:CK962" si="656">IF(AT899=3,SUM(CB899:CI899),"")</f>
        <v/>
      </c>
      <c r="CL899" s="387" t="str">
        <f t="shared" ref="CL899:CL962" si="657">IF(OR(N899="NG",AG899="D"),(T899+U899),"")</f>
        <v/>
      </c>
      <c r="CM899" s="387" t="str">
        <f t="shared" ref="CM899:CM962" si="658">IF(OR(N899="NG",AG899="D"),V899,"")</f>
        <v/>
      </c>
      <c r="CN899" s="387" t="str">
        <f t="shared" ref="CN899:CN962" si="659">E899 &amp; "-" &amp; F899</f>
        <v>0348-31</v>
      </c>
    </row>
    <row r="900" spans="1:92" ht="15.75" thickBot="1" x14ac:dyDescent="0.3">
      <c r="A900" s="376" t="s">
        <v>161</v>
      </c>
      <c r="B900" s="376" t="s">
        <v>162</v>
      </c>
      <c r="C900" s="376" t="s">
        <v>2080</v>
      </c>
      <c r="D900" s="376" t="s">
        <v>1957</v>
      </c>
      <c r="E900" s="376" t="s">
        <v>224</v>
      </c>
      <c r="F900" s="382" t="s">
        <v>225</v>
      </c>
      <c r="G900" s="376" t="s">
        <v>1945</v>
      </c>
      <c r="H900" s="378"/>
      <c r="I900" s="378"/>
      <c r="J900" s="376" t="s">
        <v>215</v>
      </c>
      <c r="K900" s="376" t="s">
        <v>1958</v>
      </c>
      <c r="L900" s="376" t="s">
        <v>181</v>
      </c>
      <c r="M900" s="376" t="s">
        <v>171</v>
      </c>
      <c r="N900" s="376" t="s">
        <v>172</v>
      </c>
      <c r="O900" s="379">
        <v>1</v>
      </c>
      <c r="P900" s="385">
        <v>1</v>
      </c>
      <c r="Q900" s="385">
        <v>1</v>
      </c>
      <c r="R900" s="380">
        <v>80</v>
      </c>
      <c r="S900" s="385">
        <v>1</v>
      </c>
      <c r="T900" s="380">
        <v>63130.97</v>
      </c>
      <c r="U900" s="380">
        <v>6194.59</v>
      </c>
      <c r="V900" s="380">
        <v>25974.98</v>
      </c>
      <c r="W900" s="380">
        <v>65228.800000000003</v>
      </c>
      <c r="X900" s="380">
        <v>25755.68</v>
      </c>
      <c r="Y900" s="380">
        <v>65228.800000000003</v>
      </c>
      <c r="Z900" s="380">
        <v>25481.72</v>
      </c>
      <c r="AA900" s="376" t="s">
        <v>2081</v>
      </c>
      <c r="AB900" s="376" t="s">
        <v>2082</v>
      </c>
      <c r="AC900" s="376" t="s">
        <v>1335</v>
      </c>
      <c r="AD900" s="376" t="s">
        <v>198</v>
      </c>
      <c r="AE900" s="376" t="s">
        <v>1958</v>
      </c>
      <c r="AF900" s="376" t="s">
        <v>211</v>
      </c>
      <c r="AG900" s="376" t="s">
        <v>178</v>
      </c>
      <c r="AH900" s="381">
        <v>31.36</v>
      </c>
      <c r="AI900" s="379">
        <v>32485</v>
      </c>
      <c r="AJ900" s="376" t="s">
        <v>179</v>
      </c>
      <c r="AK900" s="376" t="s">
        <v>180</v>
      </c>
      <c r="AL900" s="376" t="s">
        <v>181</v>
      </c>
      <c r="AM900" s="376" t="s">
        <v>182</v>
      </c>
      <c r="AN900" s="376" t="s">
        <v>68</v>
      </c>
      <c r="AO900" s="379">
        <v>80</v>
      </c>
      <c r="AP900" s="385">
        <v>1</v>
      </c>
      <c r="AQ900" s="385">
        <v>1</v>
      </c>
      <c r="AR900" s="383" t="s">
        <v>183</v>
      </c>
      <c r="AS900" s="387">
        <f t="shared" si="643"/>
        <v>1</v>
      </c>
      <c r="AT900">
        <f t="shared" si="644"/>
        <v>1</v>
      </c>
      <c r="AU900" s="387">
        <f>IF(AT900=0,"",IF(AND(AT900=1,M900="F",SUMIF(C2:C1334,C900,AS2:AS1334)&lt;=1),SUMIF(C2:C1334,C900,AS2:AS1334),IF(AND(AT900=1,M900="F",SUMIF(C2:C1334,C900,AS2:AS1334)&gt;1),1,"")))</f>
        <v>1</v>
      </c>
      <c r="AV900" s="387" t="str">
        <f>IF(AT900=0,"",IF(AND(AT900=3,M900="F",SUMIF(C2:C1334,C900,AS2:AS1334)&lt;=1),SUMIF(C2:C1334,C900,AS2:AS1334),IF(AND(AT900=3,M900="F",SUMIF(C2:C1334,C900,AS2:AS1334)&gt;1),1,"")))</f>
        <v/>
      </c>
      <c r="AW900" s="387">
        <f>SUMIF(C2:C1334,C900,O2:O1334)</f>
        <v>1</v>
      </c>
      <c r="AX900" s="387">
        <f>IF(AND(M900="F",AS900&lt;&gt;0),SUMIF(C2:C1334,C900,W2:W1334),0)</f>
        <v>65228.800000000003</v>
      </c>
      <c r="AY900" s="387">
        <f t="shared" si="645"/>
        <v>65228.800000000003</v>
      </c>
      <c r="AZ900" s="387" t="str">
        <f t="shared" si="646"/>
        <v/>
      </c>
      <c r="BA900" s="387">
        <f t="shared" si="647"/>
        <v>0</v>
      </c>
      <c r="BB900" s="387">
        <f t="shared" si="616"/>
        <v>11650</v>
      </c>
      <c r="BC900" s="387">
        <f t="shared" si="617"/>
        <v>0</v>
      </c>
      <c r="BD900" s="387">
        <f t="shared" si="618"/>
        <v>4044.1856000000002</v>
      </c>
      <c r="BE900" s="387">
        <f t="shared" si="619"/>
        <v>945.81760000000008</v>
      </c>
      <c r="BF900" s="387">
        <f t="shared" si="620"/>
        <v>7788.3187200000011</v>
      </c>
      <c r="BG900" s="387">
        <f t="shared" si="621"/>
        <v>470.29964800000005</v>
      </c>
      <c r="BH900" s="387">
        <f t="shared" si="622"/>
        <v>319.62112000000002</v>
      </c>
      <c r="BI900" s="387">
        <f t="shared" si="623"/>
        <v>361.04140799999999</v>
      </c>
      <c r="BJ900" s="387">
        <f t="shared" si="624"/>
        <v>176.11776</v>
      </c>
      <c r="BK900" s="387">
        <f t="shared" si="625"/>
        <v>0</v>
      </c>
      <c r="BL900" s="387">
        <f t="shared" si="648"/>
        <v>14105.401856</v>
      </c>
      <c r="BM900" s="387">
        <f t="shared" si="649"/>
        <v>0</v>
      </c>
      <c r="BN900" s="387">
        <f t="shared" si="626"/>
        <v>11650</v>
      </c>
      <c r="BO900" s="387">
        <f t="shared" si="627"/>
        <v>0</v>
      </c>
      <c r="BP900" s="387">
        <f t="shared" si="628"/>
        <v>4044.1856000000002</v>
      </c>
      <c r="BQ900" s="387">
        <f t="shared" si="629"/>
        <v>945.81760000000008</v>
      </c>
      <c r="BR900" s="387">
        <f t="shared" si="630"/>
        <v>7788.3187200000011</v>
      </c>
      <c r="BS900" s="387">
        <f t="shared" si="631"/>
        <v>470.29964800000005</v>
      </c>
      <c r="BT900" s="387">
        <f t="shared" si="632"/>
        <v>0</v>
      </c>
      <c r="BU900" s="387">
        <f t="shared" si="633"/>
        <v>361.04140799999999</v>
      </c>
      <c r="BV900" s="387">
        <f t="shared" si="634"/>
        <v>221.77791999999999</v>
      </c>
      <c r="BW900" s="387">
        <f t="shared" si="635"/>
        <v>0</v>
      </c>
      <c r="BX900" s="387">
        <f t="shared" si="650"/>
        <v>13831.440896000002</v>
      </c>
      <c r="BY900" s="387">
        <f t="shared" si="651"/>
        <v>0</v>
      </c>
      <c r="BZ900" s="387">
        <f t="shared" si="652"/>
        <v>0</v>
      </c>
      <c r="CA900" s="387">
        <f t="shared" si="653"/>
        <v>0</v>
      </c>
      <c r="CB900" s="387">
        <f t="shared" si="654"/>
        <v>0</v>
      </c>
      <c r="CC900" s="387">
        <f t="shared" si="636"/>
        <v>0</v>
      </c>
      <c r="CD900" s="387">
        <f t="shared" si="637"/>
        <v>0</v>
      </c>
      <c r="CE900" s="387">
        <f t="shared" si="638"/>
        <v>0</v>
      </c>
      <c r="CF900" s="387">
        <f t="shared" si="639"/>
        <v>-319.62112000000002</v>
      </c>
      <c r="CG900" s="387">
        <f t="shared" si="640"/>
        <v>0</v>
      </c>
      <c r="CH900" s="387">
        <f t="shared" si="641"/>
        <v>45.660159999999983</v>
      </c>
      <c r="CI900" s="387">
        <f t="shared" si="642"/>
        <v>0</v>
      </c>
      <c r="CJ900" s="387">
        <f t="shared" si="655"/>
        <v>-273.96096000000006</v>
      </c>
      <c r="CK900" s="387" t="str">
        <f t="shared" si="656"/>
        <v/>
      </c>
      <c r="CL900" s="387" t="str">
        <f t="shared" si="657"/>
        <v/>
      </c>
      <c r="CM900" s="387" t="str">
        <f t="shared" si="658"/>
        <v/>
      </c>
      <c r="CN900" s="387" t="str">
        <f t="shared" si="659"/>
        <v>0348-31</v>
      </c>
    </row>
    <row r="901" spans="1:92" ht="15.75" thickBot="1" x14ac:dyDescent="0.3">
      <c r="A901" s="376" t="s">
        <v>161</v>
      </c>
      <c r="B901" s="376" t="s">
        <v>162</v>
      </c>
      <c r="C901" s="376" t="s">
        <v>973</v>
      </c>
      <c r="D901" s="376" t="s">
        <v>974</v>
      </c>
      <c r="E901" s="376" t="s">
        <v>224</v>
      </c>
      <c r="F901" s="382" t="s">
        <v>225</v>
      </c>
      <c r="G901" s="376" t="s">
        <v>1945</v>
      </c>
      <c r="H901" s="378"/>
      <c r="I901" s="378"/>
      <c r="J901" s="376" t="s">
        <v>215</v>
      </c>
      <c r="K901" s="376" t="s">
        <v>975</v>
      </c>
      <c r="L901" s="376" t="s">
        <v>296</v>
      </c>
      <c r="M901" s="376" t="s">
        <v>171</v>
      </c>
      <c r="N901" s="376" t="s">
        <v>172</v>
      </c>
      <c r="O901" s="379">
        <v>1</v>
      </c>
      <c r="P901" s="385">
        <v>1</v>
      </c>
      <c r="Q901" s="385">
        <v>1</v>
      </c>
      <c r="R901" s="380">
        <v>80</v>
      </c>
      <c r="S901" s="385">
        <v>1</v>
      </c>
      <c r="T901" s="380">
        <v>41455.26</v>
      </c>
      <c r="U901" s="380">
        <v>488.01</v>
      </c>
      <c r="V901" s="380">
        <v>20526.099999999999</v>
      </c>
      <c r="W901" s="380">
        <v>45988.800000000003</v>
      </c>
      <c r="X901" s="380">
        <v>21595.03</v>
      </c>
      <c r="Y901" s="380">
        <v>45988.800000000003</v>
      </c>
      <c r="Z901" s="380">
        <v>21401.89</v>
      </c>
      <c r="AA901" s="376" t="s">
        <v>976</v>
      </c>
      <c r="AB901" s="376" t="s">
        <v>977</v>
      </c>
      <c r="AC901" s="376" t="s">
        <v>889</v>
      </c>
      <c r="AD901" s="376" t="s">
        <v>978</v>
      </c>
      <c r="AE901" s="376" t="s">
        <v>975</v>
      </c>
      <c r="AF901" s="376" t="s">
        <v>301</v>
      </c>
      <c r="AG901" s="376" t="s">
        <v>178</v>
      </c>
      <c r="AH901" s="381">
        <v>22.11</v>
      </c>
      <c r="AI901" s="381">
        <v>2866.7</v>
      </c>
      <c r="AJ901" s="376" t="s">
        <v>179</v>
      </c>
      <c r="AK901" s="376" t="s">
        <v>180</v>
      </c>
      <c r="AL901" s="376" t="s">
        <v>181</v>
      </c>
      <c r="AM901" s="376" t="s">
        <v>182</v>
      </c>
      <c r="AN901" s="376" t="s">
        <v>68</v>
      </c>
      <c r="AO901" s="379">
        <v>80</v>
      </c>
      <c r="AP901" s="385">
        <v>1</v>
      </c>
      <c r="AQ901" s="385">
        <v>1</v>
      </c>
      <c r="AR901" s="383" t="s">
        <v>183</v>
      </c>
      <c r="AS901" s="387">
        <f t="shared" si="643"/>
        <v>1</v>
      </c>
      <c r="AT901">
        <f t="shared" si="644"/>
        <v>1</v>
      </c>
      <c r="AU901" s="387">
        <f>IF(AT901=0,"",IF(AND(AT901=1,M901="F",SUMIF(C2:C1334,C901,AS2:AS1334)&lt;=1),SUMIF(C2:C1334,C901,AS2:AS1334),IF(AND(AT901=1,M901="F",SUMIF(C2:C1334,C901,AS2:AS1334)&gt;1),1,"")))</f>
        <v>1</v>
      </c>
      <c r="AV901" s="387" t="str">
        <f>IF(AT901=0,"",IF(AND(AT901=3,M901="F",SUMIF(C2:C1334,C901,AS2:AS1334)&lt;=1),SUMIF(C2:C1334,C901,AS2:AS1334),IF(AND(AT901=3,M901="F",SUMIF(C2:C1334,C901,AS2:AS1334)&gt;1),1,"")))</f>
        <v/>
      </c>
      <c r="AW901" s="387">
        <f>SUMIF(C2:C1334,C901,O2:O1334)</f>
        <v>2</v>
      </c>
      <c r="AX901" s="387">
        <f>IF(AND(M901="F",AS901&lt;&gt;0),SUMIF(C2:C1334,C901,W2:W1334),0)</f>
        <v>45988.800000000003</v>
      </c>
      <c r="AY901" s="387">
        <f t="shared" si="645"/>
        <v>45988.800000000003</v>
      </c>
      <c r="AZ901" s="387" t="str">
        <f t="shared" si="646"/>
        <v/>
      </c>
      <c r="BA901" s="387">
        <f t="shared" si="647"/>
        <v>0</v>
      </c>
      <c r="BB901" s="387">
        <f t="shared" si="616"/>
        <v>11650</v>
      </c>
      <c r="BC901" s="387">
        <f t="shared" si="617"/>
        <v>0</v>
      </c>
      <c r="BD901" s="387">
        <f t="shared" si="618"/>
        <v>2851.3056000000001</v>
      </c>
      <c r="BE901" s="387">
        <f t="shared" si="619"/>
        <v>666.83760000000007</v>
      </c>
      <c r="BF901" s="387">
        <f t="shared" si="620"/>
        <v>5491.0627200000008</v>
      </c>
      <c r="BG901" s="387">
        <f t="shared" si="621"/>
        <v>331.57924800000001</v>
      </c>
      <c r="BH901" s="387">
        <f t="shared" si="622"/>
        <v>225.34512000000001</v>
      </c>
      <c r="BI901" s="387">
        <f t="shared" si="623"/>
        <v>254.54800800000001</v>
      </c>
      <c r="BJ901" s="387">
        <f t="shared" si="624"/>
        <v>124.16976000000001</v>
      </c>
      <c r="BK901" s="387">
        <f t="shared" si="625"/>
        <v>0</v>
      </c>
      <c r="BL901" s="387">
        <f t="shared" si="648"/>
        <v>9944.8480560000007</v>
      </c>
      <c r="BM901" s="387">
        <f t="shared" si="649"/>
        <v>0</v>
      </c>
      <c r="BN901" s="387">
        <f t="shared" si="626"/>
        <v>11650</v>
      </c>
      <c r="BO901" s="387">
        <f t="shared" si="627"/>
        <v>0</v>
      </c>
      <c r="BP901" s="387">
        <f t="shared" si="628"/>
        <v>2851.3056000000001</v>
      </c>
      <c r="BQ901" s="387">
        <f t="shared" si="629"/>
        <v>666.83760000000007</v>
      </c>
      <c r="BR901" s="387">
        <f t="shared" si="630"/>
        <v>5491.0627200000008</v>
      </c>
      <c r="BS901" s="387">
        <f t="shared" si="631"/>
        <v>331.57924800000001</v>
      </c>
      <c r="BT901" s="387">
        <f t="shared" si="632"/>
        <v>0</v>
      </c>
      <c r="BU901" s="387">
        <f t="shared" si="633"/>
        <v>254.54800800000001</v>
      </c>
      <c r="BV901" s="387">
        <f t="shared" si="634"/>
        <v>156.36192</v>
      </c>
      <c r="BW901" s="387">
        <f t="shared" si="635"/>
        <v>0</v>
      </c>
      <c r="BX901" s="387">
        <f t="shared" si="650"/>
        <v>9751.6950959999995</v>
      </c>
      <c r="BY901" s="387">
        <f t="shared" si="651"/>
        <v>0</v>
      </c>
      <c r="BZ901" s="387">
        <f t="shared" si="652"/>
        <v>0</v>
      </c>
      <c r="CA901" s="387">
        <f t="shared" si="653"/>
        <v>0</v>
      </c>
      <c r="CB901" s="387">
        <f t="shared" si="654"/>
        <v>0</v>
      </c>
      <c r="CC901" s="387">
        <f t="shared" si="636"/>
        <v>0</v>
      </c>
      <c r="CD901" s="387">
        <f t="shared" si="637"/>
        <v>0</v>
      </c>
      <c r="CE901" s="387">
        <f t="shared" si="638"/>
        <v>0</v>
      </c>
      <c r="CF901" s="387">
        <f t="shared" si="639"/>
        <v>-225.34512000000001</v>
      </c>
      <c r="CG901" s="387">
        <f t="shared" si="640"/>
        <v>0</v>
      </c>
      <c r="CH901" s="387">
        <f t="shared" si="641"/>
        <v>32.192159999999987</v>
      </c>
      <c r="CI901" s="387">
        <f t="shared" si="642"/>
        <v>0</v>
      </c>
      <c r="CJ901" s="387">
        <f t="shared" si="655"/>
        <v>-193.15296000000001</v>
      </c>
      <c r="CK901" s="387" t="str">
        <f t="shared" si="656"/>
        <v/>
      </c>
      <c r="CL901" s="387" t="str">
        <f t="shared" si="657"/>
        <v/>
      </c>
      <c r="CM901" s="387" t="str">
        <f t="shared" si="658"/>
        <v/>
      </c>
      <c r="CN901" s="387" t="str">
        <f t="shared" si="659"/>
        <v>0348-31</v>
      </c>
    </row>
    <row r="902" spans="1:92" ht="15.75" thickBot="1" x14ac:dyDescent="0.3">
      <c r="A902" s="376" t="s">
        <v>161</v>
      </c>
      <c r="B902" s="376" t="s">
        <v>162</v>
      </c>
      <c r="C902" s="376" t="s">
        <v>2083</v>
      </c>
      <c r="D902" s="376" t="s">
        <v>862</v>
      </c>
      <c r="E902" s="376" t="s">
        <v>224</v>
      </c>
      <c r="F902" s="382" t="s">
        <v>225</v>
      </c>
      <c r="G902" s="376" t="s">
        <v>1945</v>
      </c>
      <c r="H902" s="378"/>
      <c r="I902" s="378"/>
      <c r="J902" s="376" t="s">
        <v>215</v>
      </c>
      <c r="K902" s="376" t="s">
        <v>863</v>
      </c>
      <c r="L902" s="376" t="s">
        <v>252</v>
      </c>
      <c r="M902" s="376" t="s">
        <v>272</v>
      </c>
      <c r="N902" s="376" t="s">
        <v>172</v>
      </c>
      <c r="O902" s="379">
        <v>0</v>
      </c>
      <c r="P902" s="385">
        <v>1</v>
      </c>
      <c r="Q902" s="385">
        <v>1</v>
      </c>
      <c r="R902" s="380">
        <v>80</v>
      </c>
      <c r="S902" s="385">
        <v>1</v>
      </c>
      <c r="T902" s="380">
        <v>28596.66</v>
      </c>
      <c r="U902" s="380">
        <v>0</v>
      </c>
      <c r="V902" s="380">
        <v>14648.2</v>
      </c>
      <c r="W902" s="380">
        <v>42328</v>
      </c>
      <c r="X902" s="380">
        <v>18539.66</v>
      </c>
      <c r="Y902" s="380">
        <v>42328</v>
      </c>
      <c r="Z902" s="380">
        <v>18328.02</v>
      </c>
      <c r="AA902" s="378"/>
      <c r="AB902" s="376" t="s">
        <v>45</v>
      </c>
      <c r="AC902" s="376" t="s">
        <v>45</v>
      </c>
      <c r="AD902" s="378"/>
      <c r="AE902" s="378"/>
      <c r="AF902" s="378"/>
      <c r="AG902" s="378"/>
      <c r="AH902" s="379">
        <v>0</v>
      </c>
      <c r="AI902" s="379">
        <v>0</v>
      </c>
      <c r="AJ902" s="378"/>
      <c r="AK902" s="378"/>
      <c r="AL902" s="376" t="s">
        <v>181</v>
      </c>
      <c r="AM902" s="378"/>
      <c r="AN902" s="378"/>
      <c r="AO902" s="379">
        <v>0</v>
      </c>
      <c r="AP902" s="385">
        <v>0</v>
      </c>
      <c r="AQ902" s="385">
        <v>0</v>
      </c>
      <c r="AR902" s="384"/>
      <c r="AS902" s="387">
        <f t="shared" si="643"/>
        <v>0</v>
      </c>
      <c r="AT902">
        <f t="shared" si="644"/>
        <v>0</v>
      </c>
      <c r="AU902" s="387" t="str">
        <f>IF(AT902=0,"",IF(AND(AT902=1,M902="F",SUMIF(C2:C1334,C902,AS2:AS1334)&lt;=1),SUMIF(C2:C1334,C902,AS2:AS1334),IF(AND(AT902=1,M902="F",SUMIF(C2:C1334,C902,AS2:AS1334)&gt;1),1,"")))</f>
        <v/>
      </c>
      <c r="AV902" s="387" t="str">
        <f>IF(AT902=0,"",IF(AND(AT902=3,M902="F",SUMIF(C2:C1334,C902,AS2:AS1334)&lt;=1),SUMIF(C2:C1334,C902,AS2:AS1334),IF(AND(AT902=3,M902="F",SUMIF(C2:C1334,C902,AS2:AS1334)&gt;1),1,"")))</f>
        <v/>
      </c>
      <c r="AW902" s="387">
        <f>SUMIF(C2:C1334,C902,O2:O1334)</f>
        <v>0</v>
      </c>
      <c r="AX902" s="387">
        <f>IF(AND(M902="F",AS902&lt;&gt;0),SUMIF(C2:C1334,C902,W2:W1334),0)</f>
        <v>0</v>
      </c>
      <c r="AY902" s="387" t="str">
        <f t="shared" si="645"/>
        <v/>
      </c>
      <c r="AZ902" s="387" t="str">
        <f t="shared" si="646"/>
        <v/>
      </c>
      <c r="BA902" s="387">
        <f t="shared" si="647"/>
        <v>0</v>
      </c>
      <c r="BB902" s="387">
        <f t="shared" si="616"/>
        <v>0</v>
      </c>
      <c r="BC902" s="387">
        <f t="shared" si="617"/>
        <v>0</v>
      </c>
      <c r="BD902" s="387">
        <f t="shared" si="618"/>
        <v>0</v>
      </c>
      <c r="BE902" s="387">
        <f t="shared" si="619"/>
        <v>0</v>
      </c>
      <c r="BF902" s="387">
        <f t="shared" si="620"/>
        <v>0</v>
      </c>
      <c r="BG902" s="387">
        <f t="shared" si="621"/>
        <v>0</v>
      </c>
      <c r="BH902" s="387">
        <f t="shared" si="622"/>
        <v>0</v>
      </c>
      <c r="BI902" s="387">
        <f t="shared" si="623"/>
        <v>0</v>
      </c>
      <c r="BJ902" s="387">
        <f t="shared" si="624"/>
        <v>0</v>
      </c>
      <c r="BK902" s="387">
        <f t="shared" si="625"/>
        <v>0</v>
      </c>
      <c r="BL902" s="387">
        <f t="shared" si="648"/>
        <v>0</v>
      </c>
      <c r="BM902" s="387">
        <f t="shared" si="649"/>
        <v>0</v>
      </c>
      <c r="BN902" s="387">
        <f t="shared" si="626"/>
        <v>0</v>
      </c>
      <c r="BO902" s="387">
        <f t="shared" si="627"/>
        <v>0</v>
      </c>
      <c r="BP902" s="387">
        <f t="shared" si="628"/>
        <v>0</v>
      </c>
      <c r="BQ902" s="387">
        <f t="shared" si="629"/>
        <v>0</v>
      </c>
      <c r="BR902" s="387">
        <f t="shared" si="630"/>
        <v>0</v>
      </c>
      <c r="BS902" s="387">
        <f t="shared" si="631"/>
        <v>0</v>
      </c>
      <c r="BT902" s="387">
        <f t="shared" si="632"/>
        <v>0</v>
      </c>
      <c r="BU902" s="387">
        <f t="shared" si="633"/>
        <v>0</v>
      </c>
      <c r="BV902" s="387">
        <f t="shared" si="634"/>
        <v>0</v>
      </c>
      <c r="BW902" s="387">
        <f t="shared" si="635"/>
        <v>0</v>
      </c>
      <c r="BX902" s="387">
        <f t="shared" si="650"/>
        <v>0</v>
      </c>
      <c r="BY902" s="387">
        <f t="shared" si="651"/>
        <v>0</v>
      </c>
      <c r="BZ902" s="387">
        <f t="shared" si="652"/>
        <v>0</v>
      </c>
      <c r="CA902" s="387">
        <f t="shared" si="653"/>
        <v>0</v>
      </c>
      <c r="CB902" s="387">
        <f t="shared" si="654"/>
        <v>0</v>
      </c>
      <c r="CC902" s="387">
        <f t="shared" si="636"/>
        <v>0</v>
      </c>
      <c r="CD902" s="387">
        <f t="shared" si="637"/>
        <v>0</v>
      </c>
      <c r="CE902" s="387">
        <f t="shared" si="638"/>
        <v>0</v>
      </c>
      <c r="CF902" s="387">
        <f t="shared" si="639"/>
        <v>0</v>
      </c>
      <c r="CG902" s="387">
        <f t="shared" si="640"/>
        <v>0</v>
      </c>
      <c r="CH902" s="387">
        <f t="shared" si="641"/>
        <v>0</v>
      </c>
      <c r="CI902" s="387">
        <f t="shared" si="642"/>
        <v>0</v>
      </c>
      <c r="CJ902" s="387">
        <f t="shared" si="655"/>
        <v>0</v>
      </c>
      <c r="CK902" s="387" t="str">
        <f t="shared" si="656"/>
        <v/>
      </c>
      <c r="CL902" s="387" t="str">
        <f t="shared" si="657"/>
        <v/>
      </c>
      <c r="CM902" s="387" t="str">
        <f t="shared" si="658"/>
        <v/>
      </c>
      <c r="CN902" s="387" t="str">
        <f t="shared" si="659"/>
        <v>0348-31</v>
      </c>
    </row>
    <row r="903" spans="1:92" ht="15.75" thickBot="1" x14ac:dyDescent="0.3">
      <c r="A903" s="376" t="s">
        <v>161</v>
      </c>
      <c r="B903" s="376" t="s">
        <v>162</v>
      </c>
      <c r="C903" s="376" t="s">
        <v>2084</v>
      </c>
      <c r="D903" s="376" t="s">
        <v>891</v>
      </c>
      <c r="E903" s="376" t="s">
        <v>224</v>
      </c>
      <c r="F903" s="382" t="s">
        <v>225</v>
      </c>
      <c r="G903" s="376" t="s">
        <v>1945</v>
      </c>
      <c r="H903" s="378"/>
      <c r="I903" s="378"/>
      <c r="J903" s="376" t="s">
        <v>215</v>
      </c>
      <c r="K903" s="376" t="s">
        <v>892</v>
      </c>
      <c r="L903" s="376" t="s">
        <v>432</v>
      </c>
      <c r="M903" s="376" t="s">
        <v>272</v>
      </c>
      <c r="N903" s="376" t="s">
        <v>172</v>
      </c>
      <c r="O903" s="379">
        <v>0</v>
      </c>
      <c r="P903" s="385">
        <v>1</v>
      </c>
      <c r="Q903" s="385">
        <v>1</v>
      </c>
      <c r="R903" s="380">
        <v>80</v>
      </c>
      <c r="S903" s="385">
        <v>1</v>
      </c>
      <c r="T903" s="380">
        <v>98526.5</v>
      </c>
      <c r="U903" s="380">
        <v>0</v>
      </c>
      <c r="V903" s="380">
        <v>32162.11</v>
      </c>
      <c r="W903" s="380">
        <v>72363.199999999997</v>
      </c>
      <c r="X903" s="380">
        <v>31695.08</v>
      </c>
      <c r="Y903" s="380">
        <v>72363.199999999997</v>
      </c>
      <c r="Z903" s="380">
        <v>31333.26</v>
      </c>
      <c r="AA903" s="378"/>
      <c r="AB903" s="376" t="s">
        <v>45</v>
      </c>
      <c r="AC903" s="376" t="s">
        <v>45</v>
      </c>
      <c r="AD903" s="378"/>
      <c r="AE903" s="378"/>
      <c r="AF903" s="378"/>
      <c r="AG903" s="378"/>
      <c r="AH903" s="379">
        <v>0</v>
      </c>
      <c r="AI903" s="379">
        <v>0</v>
      </c>
      <c r="AJ903" s="378"/>
      <c r="AK903" s="378"/>
      <c r="AL903" s="376" t="s">
        <v>181</v>
      </c>
      <c r="AM903" s="378"/>
      <c r="AN903" s="378"/>
      <c r="AO903" s="379">
        <v>0</v>
      </c>
      <c r="AP903" s="385">
        <v>0</v>
      </c>
      <c r="AQ903" s="385">
        <v>0</v>
      </c>
      <c r="AR903" s="384"/>
      <c r="AS903" s="387">
        <f t="shared" si="643"/>
        <v>0</v>
      </c>
      <c r="AT903">
        <f t="shared" si="644"/>
        <v>0</v>
      </c>
      <c r="AU903" s="387" t="str">
        <f>IF(AT903=0,"",IF(AND(AT903=1,M903="F",SUMIF(C2:C1334,C903,AS2:AS1334)&lt;=1),SUMIF(C2:C1334,C903,AS2:AS1334),IF(AND(AT903=1,M903="F",SUMIF(C2:C1334,C903,AS2:AS1334)&gt;1),1,"")))</f>
        <v/>
      </c>
      <c r="AV903" s="387" t="str">
        <f>IF(AT903=0,"",IF(AND(AT903=3,M903="F",SUMIF(C2:C1334,C903,AS2:AS1334)&lt;=1),SUMIF(C2:C1334,C903,AS2:AS1334),IF(AND(AT903=3,M903="F",SUMIF(C2:C1334,C903,AS2:AS1334)&gt;1),1,"")))</f>
        <v/>
      </c>
      <c r="AW903" s="387">
        <f>SUMIF(C2:C1334,C903,O2:O1334)</f>
        <v>0</v>
      </c>
      <c r="AX903" s="387">
        <f>IF(AND(M903="F",AS903&lt;&gt;0),SUMIF(C2:C1334,C903,W2:W1334),0)</f>
        <v>0</v>
      </c>
      <c r="AY903" s="387" t="str">
        <f t="shared" si="645"/>
        <v/>
      </c>
      <c r="AZ903" s="387" t="str">
        <f t="shared" si="646"/>
        <v/>
      </c>
      <c r="BA903" s="387">
        <f t="shared" si="647"/>
        <v>0</v>
      </c>
      <c r="BB903" s="387">
        <f t="shared" si="616"/>
        <v>0</v>
      </c>
      <c r="BC903" s="387">
        <f t="shared" si="617"/>
        <v>0</v>
      </c>
      <c r="BD903" s="387">
        <f t="shared" si="618"/>
        <v>0</v>
      </c>
      <c r="BE903" s="387">
        <f t="shared" si="619"/>
        <v>0</v>
      </c>
      <c r="BF903" s="387">
        <f t="shared" si="620"/>
        <v>0</v>
      </c>
      <c r="BG903" s="387">
        <f t="shared" si="621"/>
        <v>0</v>
      </c>
      <c r="BH903" s="387">
        <f t="shared" si="622"/>
        <v>0</v>
      </c>
      <c r="BI903" s="387">
        <f t="shared" si="623"/>
        <v>0</v>
      </c>
      <c r="BJ903" s="387">
        <f t="shared" si="624"/>
        <v>0</v>
      </c>
      <c r="BK903" s="387">
        <f t="shared" si="625"/>
        <v>0</v>
      </c>
      <c r="BL903" s="387">
        <f t="shared" si="648"/>
        <v>0</v>
      </c>
      <c r="BM903" s="387">
        <f t="shared" si="649"/>
        <v>0</v>
      </c>
      <c r="BN903" s="387">
        <f t="shared" si="626"/>
        <v>0</v>
      </c>
      <c r="BO903" s="387">
        <f t="shared" si="627"/>
        <v>0</v>
      </c>
      <c r="BP903" s="387">
        <f t="shared" si="628"/>
        <v>0</v>
      </c>
      <c r="BQ903" s="387">
        <f t="shared" si="629"/>
        <v>0</v>
      </c>
      <c r="BR903" s="387">
        <f t="shared" si="630"/>
        <v>0</v>
      </c>
      <c r="BS903" s="387">
        <f t="shared" si="631"/>
        <v>0</v>
      </c>
      <c r="BT903" s="387">
        <f t="shared" si="632"/>
        <v>0</v>
      </c>
      <c r="BU903" s="387">
        <f t="shared" si="633"/>
        <v>0</v>
      </c>
      <c r="BV903" s="387">
        <f t="shared" si="634"/>
        <v>0</v>
      </c>
      <c r="BW903" s="387">
        <f t="shared" si="635"/>
        <v>0</v>
      </c>
      <c r="BX903" s="387">
        <f t="shared" si="650"/>
        <v>0</v>
      </c>
      <c r="BY903" s="387">
        <f t="shared" si="651"/>
        <v>0</v>
      </c>
      <c r="BZ903" s="387">
        <f t="shared" si="652"/>
        <v>0</v>
      </c>
      <c r="CA903" s="387">
        <f t="shared" si="653"/>
        <v>0</v>
      </c>
      <c r="CB903" s="387">
        <f t="shared" si="654"/>
        <v>0</v>
      </c>
      <c r="CC903" s="387">
        <f t="shared" si="636"/>
        <v>0</v>
      </c>
      <c r="CD903" s="387">
        <f t="shared" si="637"/>
        <v>0</v>
      </c>
      <c r="CE903" s="387">
        <f t="shared" si="638"/>
        <v>0</v>
      </c>
      <c r="CF903" s="387">
        <f t="shared" si="639"/>
        <v>0</v>
      </c>
      <c r="CG903" s="387">
        <f t="shared" si="640"/>
        <v>0</v>
      </c>
      <c r="CH903" s="387">
        <f t="shared" si="641"/>
        <v>0</v>
      </c>
      <c r="CI903" s="387">
        <f t="shared" si="642"/>
        <v>0</v>
      </c>
      <c r="CJ903" s="387">
        <f t="shared" si="655"/>
        <v>0</v>
      </c>
      <c r="CK903" s="387" t="str">
        <f t="shared" si="656"/>
        <v/>
      </c>
      <c r="CL903" s="387" t="str">
        <f t="shared" si="657"/>
        <v/>
      </c>
      <c r="CM903" s="387" t="str">
        <f t="shared" si="658"/>
        <v/>
      </c>
      <c r="CN903" s="387" t="str">
        <f t="shared" si="659"/>
        <v>0348-31</v>
      </c>
    </row>
    <row r="904" spans="1:92" ht="15.75" thickBot="1" x14ac:dyDescent="0.3">
      <c r="A904" s="376" t="s">
        <v>161</v>
      </c>
      <c r="B904" s="376" t="s">
        <v>162</v>
      </c>
      <c r="C904" s="376" t="s">
        <v>2085</v>
      </c>
      <c r="D904" s="376" t="s">
        <v>270</v>
      </c>
      <c r="E904" s="376" t="s">
        <v>224</v>
      </c>
      <c r="F904" s="382" t="s">
        <v>225</v>
      </c>
      <c r="G904" s="376" t="s">
        <v>1945</v>
      </c>
      <c r="H904" s="378"/>
      <c r="I904" s="378"/>
      <c r="J904" s="376" t="s">
        <v>215</v>
      </c>
      <c r="K904" s="376" t="s">
        <v>271</v>
      </c>
      <c r="L904" s="376" t="s">
        <v>217</v>
      </c>
      <c r="M904" s="376" t="s">
        <v>171</v>
      </c>
      <c r="N904" s="376" t="s">
        <v>172</v>
      </c>
      <c r="O904" s="379">
        <v>1</v>
      </c>
      <c r="P904" s="385">
        <v>1</v>
      </c>
      <c r="Q904" s="385">
        <v>1</v>
      </c>
      <c r="R904" s="380">
        <v>80</v>
      </c>
      <c r="S904" s="385">
        <v>1</v>
      </c>
      <c r="T904" s="380">
        <v>39088.800000000003</v>
      </c>
      <c r="U904" s="380">
        <v>0</v>
      </c>
      <c r="V904" s="380">
        <v>19892.3</v>
      </c>
      <c r="W904" s="380">
        <v>38118.910000000003</v>
      </c>
      <c r="X904" s="380">
        <v>19893.18</v>
      </c>
      <c r="Y904" s="380">
        <v>38118.910000000003</v>
      </c>
      <c r="Z904" s="380">
        <v>19733.080000000002</v>
      </c>
      <c r="AA904" s="376" t="s">
        <v>2086</v>
      </c>
      <c r="AB904" s="376" t="s">
        <v>2087</v>
      </c>
      <c r="AC904" s="376" t="s">
        <v>1895</v>
      </c>
      <c r="AD904" s="376" t="s">
        <v>324</v>
      </c>
      <c r="AE904" s="376" t="s">
        <v>271</v>
      </c>
      <c r="AF904" s="376" t="s">
        <v>221</v>
      </c>
      <c r="AG904" s="376" t="s">
        <v>178</v>
      </c>
      <c r="AH904" s="381">
        <v>19.920000000000002</v>
      </c>
      <c r="AI904" s="379">
        <v>95836</v>
      </c>
      <c r="AJ904" s="376" t="s">
        <v>2088</v>
      </c>
      <c r="AK904" s="376" t="s">
        <v>180</v>
      </c>
      <c r="AL904" s="376" t="s">
        <v>181</v>
      </c>
      <c r="AM904" s="376" t="s">
        <v>182</v>
      </c>
      <c r="AN904" s="376" t="s">
        <v>68</v>
      </c>
      <c r="AO904" s="379">
        <v>80</v>
      </c>
      <c r="AP904" s="385">
        <v>0.92</v>
      </c>
      <c r="AQ904" s="385">
        <v>0.92</v>
      </c>
      <c r="AR904" s="383" t="s">
        <v>183</v>
      </c>
      <c r="AS904" s="387">
        <f t="shared" si="643"/>
        <v>0.92</v>
      </c>
      <c r="AT904">
        <f t="shared" si="644"/>
        <v>1</v>
      </c>
      <c r="AU904" s="387">
        <f>IF(AT904=0,"",IF(AND(AT904=1,M904="F",SUMIF(C2:C1334,C904,AS2:AS1334)&lt;=1),SUMIF(C2:C1334,C904,AS2:AS1334),IF(AND(AT904=1,M904="F",SUMIF(C2:C1334,C904,AS2:AS1334)&gt;1),1,"")))</f>
        <v>0.92</v>
      </c>
      <c r="AV904" s="387" t="str">
        <f>IF(AT904=0,"",IF(AND(AT904=3,M904="F",SUMIF(C2:C1334,C904,AS2:AS1334)&lt;=1),SUMIF(C2:C1334,C904,AS2:AS1334),IF(AND(AT904=3,M904="F",SUMIF(C2:C1334,C904,AS2:AS1334)&gt;1),1,"")))</f>
        <v/>
      </c>
      <c r="AW904" s="387">
        <f>SUMIF(C2:C1334,C904,O2:O1334)</f>
        <v>1</v>
      </c>
      <c r="AX904" s="387">
        <f>IF(AND(M904="F",AS904&lt;&gt;0),SUMIF(C2:C1334,C904,W2:W1334),0)</f>
        <v>38118.910000000003</v>
      </c>
      <c r="AY904" s="387">
        <f t="shared" si="645"/>
        <v>38118.910000000003</v>
      </c>
      <c r="AZ904" s="387" t="str">
        <f t="shared" si="646"/>
        <v/>
      </c>
      <c r="BA904" s="387">
        <f t="shared" si="647"/>
        <v>0</v>
      </c>
      <c r="BB904" s="387">
        <f t="shared" si="616"/>
        <v>11650</v>
      </c>
      <c r="BC904" s="387">
        <f t="shared" si="617"/>
        <v>0</v>
      </c>
      <c r="BD904" s="387">
        <f t="shared" si="618"/>
        <v>2363.3724200000001</v>
      </c>
      <c r="BE904" s="387">
        <f t="shared" si="619"/>
        <v>552.72419500000012</v>
      </c>
      <c r="BF904" s="387">
        <f t="shared" si="620"/>
        <v>4551.3978540000007</v>
      </c>
      <c r="BG904" s="387">
        <f t="shared" si="621"/>
        <v>274.83734110000006</v>
      </c>
      <c r="BH904" s="387">
        <f t="shared" si="622"/>
        <v>186.78265900000002</v>
      </c>
      <c r="BI904" s="387">
        <f t="shared" si="623"/>
        <v>210.98816685000003</v>
      </c>
      <c r="BJ904" s="387">
        <f t="shared" si="624"/>
        <v>102.92105700000002</v>
      </c>
      <c r="BK904" s="387">
        <f t="shared" si="625"/>
        <v>0</v>
      </c>
      <c r="BL904" s="387">
        <f t="shared" si="648"/>
        <v>8243.0236929500024</v>
      </c>
      <c r="BM904" s="387">
        <f t="shared" si="649"/>
        <v>0</v>
      </c>
      <c r="BN904" s="387">
        <f t="shared" si="626"/>
        <v>11650</v>
      </c>
      <c r="BO904" s="387">
        <f t="shared" si="627"/>
        <v>0</v>
      </c>
      <c r="BP904" s="387">
        <f t="shared" si="628"/>
        <v>2363.3724200000001</v>
      </c>
      <c r="BQ904" s="387">
        <f t="shared" si="629"/>
        <v>552.72419500000012</v>
      </c>
      <c r="BR904" s="387">
        <f t="shared" si="630"/>
        <v>4551.3978540000007</v>
      </c>
      <c r="BS904" s="387">
        <f t="shared" si="631"/>
        <v>274.83734110000006</v>
      </c>
      <c r="BT904" s="387">
        <f t="shared" si="632"/>
        <v>0</v>
      </c>
      <c r="BU904" s="387">
        <f t="shared" si="633"/>
        <v>210.98816685000003</v>
      </c>
      <c r="BV904" s="387">
        <f t="shared" si="634"/>
        <v>129.60429400000001</v>
      </c>
      <c r="BW904" s="387">
        <f t="shared" si="635"/>
        <v>0</v>
      </c>
      <c r="BX904" s="387">
        <f t="shared" si="650"/>
        <v>8082.9242709500013</v>
      </c>
      <c r="BY904" s="387">
        <f t="shared" si="651"/>
        <v>0</v>
      </c>
      <c r="BZ904" s="387">
        <f t="shared" si="652"/>
        <v>0</v>
      </c>
      <c r="CA904" s="387">
        <f t="shared" si="653"/>
        <v>0</v>
      </c>
      <c r="CB904" s="387">
        <f t="shared" si="654"/>
        <v>0</v>
      </c>
      <c r="CC904" s="387">
        <f t="shared" si="636"/>
        <v>0</v>
      </c>
      <c r="CD904" s="387">
        <f t="shared" si="637"/>
        <v>0</v>
      </c>
      <c r="CE904" s="387">
        <f t="shared" si="638"/>
        <v>0</v>
      </c>
      <c r="CF904" s="387">
        <f t="shared" si="639"/>
        <v>-186.78265900000002</v>
      </c>
      <c r="CG904" s="387">
        <f t="shared" si="640"/>
        <v>0</v>
      </c>
      <c r="CH904" s="387">
        <f t="shared" si="641"/>
        <v>26.683236999999991</v>
      </c>
      <c r="CI904" s="387">
        <f t="shared" si="642"/>
        <v>0</v>
      </c>
      <c r="CJ904" s="387">
        <f t="shared" si="655"/>
        <v>-160.09942200000003</v>
      </c>
      <c r="CK904" s="387" t="str">
        <f t="shared" si="656"/>
        <v/>
      </c>
      <c r="CL904" s="387" t="str">
        <f t="shared" si="657"/>
        <v/>
      </c>
      <c r="CM904" s="387" t="str">
        <f t="shared" si="658"/>
        <v/>
      </c>
      <c r="CN904" s="387" t="str">
        <f t="shared" si="659"/>
        <v>0348-31</v>
      </c>
    </row>
    <row r="905" spans="1:92" ht="15.75" thickBot="1" x14ac:dyDescent="0.3">
      <c r="A905" s="376" t="s">
        <v>161</v>
      </c>
      <c r="B905" s="376" t="s">
        <v>162</v>
      </c>
      <c r="C905" s="376" t="s">
        <v>2089</v>
      </c>
      <c r="D905" s="376" t="s">
        <v>270</v>
      </c>
      <c r="E905" s="376" t="s">
        <v>224</v>
      </c>
      <c r="F905" s="382" t="s">
        <v>225</v>
      </c>
      <c r="G905" s="376" t="s">
        <v>1945</v>
      </c>
      <c r="H905" s="378"/>
      <c r="I905" s="378"/>
      <c r="J905" s="376" t="s">
        <v>215</v>
      </c>
      <c r="K905" s="376" t="s">
        <v>271</v>
      </c>
      <c r="L905" s="376" t="s">
        <v>217</v>
      </c>
      <c r="M905" s="376" t="s">
        <v>171</v>
      </c>
      <c r="N905" s="376" t="s">
        <v>172</v>
      </c>
      <c r="O905" s="379">
        <v>1</v>
      </c>
      <c r="P905" s="385">
        <v>1</v>
      </c>
      <c r="Q905" s="385">
        <v>1</v>
      </c>
      <c r="R905" s="380">
        <v>80</v>
      </c>
      <c r="S905" s="385">
        <v>1</v>
      </c>
      <c r="T905" s="380">
        <v>49564.02</v>
      </c>
      <c r="U905" s="380">
        <v>0</v>
      </c>
      <c r="V905" s="380">
        <v>21865.9</v>
      </c>
      <c r="W905" s="380">
        <v>50980.800000000003</v>
      </c>
      <c r="X905" s="380">
        <v>22674.560000000001</v>
      </c>
      <c r="Y905" s="380">
        <v>50980.800000000003</v>
      </c>
      <c r="Z905" s="380">
        <v>22460.45</v>
      </c>
      <c r="AA905" s="376" t="s">
        <v>2090</v>
      </c>
      <c r="AB905" s="376" t="s">
        <v>2091</v>
      </c>
      <c r="AC905" s="376" t="s">
        <v>2092</v>
      </c>
      <c r="AD905" s="376" t="s">
        <v>351</v>
      </c>
      <c r="AE905" s="376" t="s">
        <v>271</v>
      </c>
      <c r="AF905" s="376" t="s">
        <v>221</v>
      </c>
      <c r="AG905" s="376" t="s">
        <v>178</v>
      </c>
      <c r="AH905" s="381">
        <v>24.51</v>
      </c>
      <c r="AI905" s="379">
        <v>52625</v>
      </c>
      <c r="AJ905" s="376" t="s">
        <v>179</v>
      </c>
      <c r="AK905" s="376" t="s">
        <v>180</v>
      </c>
      <c r="AL905" s="376" t="s">
        <v>181</v>
      </c>
      <c r="AM905" s="376" t="s">
        <v>182</v>
      </c>
      <c r="AN905" s="376" t="s">
        <v>68</v>
      </c>
      <c r="AO905" s="379">
        <v>80</v>
      </c>
      <c r="AP905" s="385">
        <v>1</v>
      </c>
      <c r="AQ905" s="385">
        <v>1</v>
      </c>
      <c r="AR905" s="383" t="s">
        <v>183</v>
      </c>
      <c r="AS905" s="387">
        <f t="shared" si="643"/>
        <v>1</v>
      </c>
      <c r="AT905">
        <f t="shared" si="644"/>
        <v>1</v>
      </c>
      <c r="AU905" s="387">
        <f>IF(AT905=0,"",IF(AND(AT905=1,M905="F",SUMIF(C2:C1334,C905,AS2:AS1334)&lt;=1),SUMIF(C2:C1334,C905,AS2:AS1334),IF(AND(AT905=1,M905="F",SUMIF(C2:C1334,C905,AS2:AS1334)&gt;1),1,"")))</f>
        <v>1</v>
      </c>
      <c r="AV905" s="387" t="str">
        <f>IF(AT905=0,"",IF(AND(AT905=3,M905="F",SUMIF(C2:C1334,C905,AS2:AS1334)&lt;=1),SUMIF(C2:C1334,C905,AS2:AS1334),IF(AND(AT905=3,M905="F",SUMIF(C2:C1334,C905,AS2:AS1334)&gt;1),1,"")))</f>
        <v/>
      </c>
      <c r="AW905" s="387">
        <f>SUMIF(C2:C1334,C905,O2:O1334)</f>
        <v>1</v>
      </c>
      <c r="AX905" s="387">
        <f>IF(AND(M905="F",AS905&lt;&gt;0),SUMIF(C2:C1334,C905,W2:W1334),0)</f>
        <v>50980.800000000003</v>
      </c>
      <c r="AY905" s="387">
        <f t="shared" si="645"/>
        <v>50980.800000000003</v>
      </c>
      <c r="AZ905" s="387" t="str">
        <f t="shared" si="646"/>
        <v/>
      </c>
      <c r="BA905" s="387">
        <f t="shared" si="647"/>
        <v>0</v>
      </c>
      <c r="BB905" s="387">
        <f t="shared" si="616"/>
        <v>11650</v>
      </c>
      <c r="BC905" s="387">
        <f t="shared" si="617"/>
        <v>0</v>
      </c>
      <c r="BD905" s="387">
        <f t="shared" si="618"/>
        <v>3160.8096</v>
      </c>
      <c r="BE905" s="387">
        <f t="shared" si="619"/>
        <v>739.22160000000008</v>
      </c>
      <c r="BF905" s="387">
        <f t="shared" si="620"/>
        <v>6087.1075200000005</v>
      </c>
      <c r="BG905" s="387">
        <f t="shared" si="621"/>
        <v>367.57156800000001</v>
      </c>
      <c r="BH905" s="387">
        <f t="shared" si="622"/>
        <v>249.80592000000001</v>
      </c>
      <c r="BI905" s="387">
        <f t="shared" si="623"/>
        <v>282.17872800000004</v>
      </c>
      <c r="BJ905" s="387">
        <f t="shared" si="624"/>
        <v>137.64816000000002</v>
      </c>
      <c r="BK905" s="387">
        <f t="shared" si="625"/>
        <v>0</v>
      </c>
      <c r="BL905" s="387">
        <f t="shared" si="648"/>
        <v>11024.343096000002</v>
      </c>
      <c r="BM905" s="387">
        <f t="shared" si="649"/>
        <v>0</v>
      </c>
      <c r="BN905" s="387">
        <f t="shared" si="626"/>
        <v>11650</v>
      </c>
      <c r="BO905" s="387">
        <f t="shared" si="627"/>
        <v>0</v>
      </c>
      <c r="BP905" s="387">
        <f t="shared" si="628"/>
        <v>3160.8096</v>
      </c>
      <c r="BQ905" s="387">
        <f t="shared" si="629"/>
        <v>739.22160000000008</v>
      </c>
      <c r="BR905" s="387">
        <f t="shared" si="630"/>
        <v>6087.1075200000005</v>
      </c>
      <c r="BS905" s="387">
        <f t="shared" si="631"/>
        <v>367.57156800000001</v>
      </c>
      <c r="BT905" s="387">
        <f t="shared" si="632"/>
        <v>0</v>
      </c>
      <c r="BU905" s="387">
        <f t="shared" si="633"/>
        <v>282.17872800000004</v>
      </c>
      <c r="BV905" s="387">
        <f t="shared" si="634"/>
        <v>173.33472</v>
      </c>
      <c r="BW905" s="387">
        <f t="shared" si="635"/>
        <v>0</v>
      </c>
      <c r="BX905" s="387">
        <f t="shared" si="650"/>
        <v>10810.223736000002</v>
      </c>
      <c r="BY905" s="387">
        <f t="shared" si="651"/>
        <v>0</v>
      </c>
      <c r="BZ905" s="387">
        <f t="shared" si="652"/>
        <v>0</v>
      </c>
      <c r="CA905" s="387">
        <f t="shared" si="653"/>
        <v>0</v>
      </c>
      <c r="CB905" s="387">
        <f t="shared" si="654"/>
        <v>0</v>
      </c>
      <c r="CC905" s="387">
        <f t="shared" si="636"/>
        <v>0</v>
      </c>
      <c r="CD905" s="387">
        <f t="shared" si="637"/>
        <v>0</v>
      </c>
      <c r="CE905" s="387">
        <f t="shared" si="638"/>
        <v>0</v>
      </c>
      <c r="CF905" s="387">
        <f t="shared" si="639"/>
        <v>-249.80592000000001</v>
      </c>
      <c r="CG905" s="387">
        <f t="shared" si="640"/>
        <v>0</v>
      </c>
      <c r="CH905" s="387">
        <f t="shared" si="641"/>
        <v>35.686559999999986</v>
      </c>
      <c r="CI905" s="387">
        <f t="shared" si="642"/>
        <v>0</v>
      </c>
      <c r="CJ905" s="387">
        <f t="shared" si="655"/>
        <v>-214.11936000000003</v>
      </c>
      <c r="CK905" s="387" t="str">
        <f t="shared" si="656"/>
        <v/>
      </c>
      <c r="CL905" s="387" t="str">
        <f t="shared" si="657"/>
        <v/>
      </c>
      <c r="CM905" s="387" t="str">
        <f t="shared" si="658"/>
        <v/>
      </c>
      <c r="CN905" s="387" t="str">
        <f t="shared" si="659"/>
        <v>0348-31</v>
      </c>
    </row>
    <row r="906" spans="1:92" ht="15.75" thickBot="1" x14ac:dyDescent="0.3">
      <c r="A906" s="376" t="s">
        <v>161</v>
      </c>
      <c r="B906" s="376" t="s">
        <v>162</v>
      </c>
      <c r="C906" s="376" t="s">
        <v>1365</v>
      </c>
      <c r="D906" s="376" t="s">
        <v>862</v>
      </c>
      <c r="E906" s="376" t="s">
        <v>224</v>
      </c>
      <c r="F906" s="382" t="s">
        <v>225</v>
      </c>
      <c r="G906" s="376" t="s">
        <v>1945</v>
      </c>
      <c r="H906" s="378"/>
      <c r="I906" s="378"/>
      <c r="J906" s="376" t="s">
        <v>239</v>
      </c>
      <c r="K906" s="376" t="s">
        <v>863</v>
      </c>
      <c r="L906" s="376" t="s">
        <v>252</v>
      </c>
      <c r="M906" s="376" t="s">
        <v>171</v>
      </c>
      <c r="N906" s="376" t="s">
        <v>172</v>
      </c>
      <c r="O906" s="379">
        <v>1</v>
      </c>
      <c r="P906" s="385">
        <v>0.75</v>
      </c>
      <c r="Q906" s="385">
        <v>0.75</v>
      </c>
      <c r="R906" s="380">
        <v>80</v>
      </c>
      <c r="S906" s="385">
        <v>0.75</v>
      </c>
      <c r="T906" s="380">
        <v>21065.13</v>
      </c>
      <c r="U906" s="380">
        <v>0</v>
      </c>
      <c r="V906" s="380">
        <v>9706.2000000000007</v>
      </c>
      <c r="W906" s="380">
        <v>35458.800000000003</v>
      </c>
      <c r="X906" s="380">
        <v>16405.439999999999</v>
      </c>
      <c r="Y906" s="380">
        <v>35458.800000000003</v>
      </c>
      <c r="Z906" s="380">
        <v>16256.52</v>
      </c>
      <c r="AA906" s="376" t="s">
        <v>1366</v>
      </c>
      <c r="AB906" s="376" t="s">
        <v>1367</v>
      </c>
      <c r="AC906" s="376" t="s">
        <v>1368</v>
      </c>
      <c r="AD906" s="376" t="s">
        <v>268</v>
      </c>
      <c r="AE906" s="376" t="s">
        <v>863</v>
      </c>
      <c r="AF906" s="376" t="s">
        <v>393</v>
      </c>
      <c r="AG906" s="376" t="s">
        <v>178</v>
      </c>
      <c r="AH906" s="381">
        <v>22.73</v>
      </c>
      <c r="AI906" s="379">
        <v>38069</v>
      </c>
      <c r="AJ906" s="376" t="s">
        <v>179</v>
      </c>
      <c r="AK906" s="376" t="s">
        <v>180</v>
      </c>
      <c r="AL906" s="376" t="s">
        <v>181</v>
      </c>
      <c r="AM906" s="376" t="s">
        <v>182</v>
      </c>
      <c r="AN906" s="376" t="s">
        <v>68</v>
      </c>
      <c r="AO906" s="379">
        <v>80</v>
      </c>
      <c r="AP906" s="385">
        <v>1</v>
      </c>
      <c r="AQ906" s="385">
        <v>0.75</v>
      </c>
      <c r="AR906" s="383" t="s">
        <v>183</v>
      </c>
      <c r="AS906" s="387">
        <f t="shared" si="643"/>
        <v>0.75</v>
      </c>
      <c r="AT906">
        <f t="shared" si="644"/>
        <v>1</v>
      </c>
      <c r="AU906" s="387">
        <f>IF(AT906=0,"",IF(AND(AT906=1,M906="F",SUMIF(C2:C1334,C906,AS2:AS1334)&lt;=1),SUMIF(C2:C1334,C906,AS2:AS1334),IF(AND(AT906=1,M906="F",SUMIF(C2:C1334,C906,AS2:AS1334)&gt;1),1,"")))</f>
        <v>1</v>
      </c>
      <c r="AV906" s="387" t="str">
        <f>IF(AT906=0,"",IF(AND(AT906=3,M906="F",SUMIF(C2:C1334,C906,AS2:AS1334)&lt;=1),SUMIF(C2:C1334,C906,AS2:AS1334),IF(AND(AT906=3,M906="F",SUMIF(C2:C1334,C906,AS2:AS1334)&gt;1),1,"")))</f>
        <v/>
      </c>
      <c r="AW906" s="387">
        <f>SUMIF(C2:C1334,C906,O2:O1334)</f>
        <v>3</v>
      </c>
      <c r="AX906" s="387">
        <f>IF(AND(M906="F",AS906&lt;&gt;0),SUMIF(C2:C1334,C906,W2:W1334),0)</f>
        <v>47278.400000000001</v>
      </c>
      <c r="AY906" s="387">
        <f t="shared" si="645"/>
        <v>35458.800000000003</v>
      </c>
      <c r="AZ906" s="387" t="str">
        <f t="shared" si="646"/>
        <v/>
      </c>
      <c r="BA906" s="387">
        <f t="shared" si="647"/>
        <v>0</v>
      </c>
      <c r="BB906" s="387">
        <f t="shared" si="616"/>
        <v>8737.5</v>
      </c>
      <c r="BC906" s="387">
        <f t="shared" si="617"/>
        <v>0</v>
      </c>
      <c r="BD906" s="387">
        <f t="shared" si="618"/>
        <v>2198.4456</v>
      </c>
      <c r="BE906" s="387">
        <f t="shared" si="619"/>
        <v>514.15260000000012</v>
      </c>
      <c r="BF906" s="387">
        <f t="shared" si="620"/>
        <v>4233.7807200000007</v>
      </c>
      <c r="BG906" s="387">
        <f t="shared" si="621"/>
        <v>255.65794800000003</v>
      </c>
      <c r="BH906" s="387">
        <f t="shared" si="622"/>
        <v>173.74812</v>
      </c>
      <c r="BI906" s="387">
        <f t="shared" si="623"/>
        <v>196.26445800000002</v>
      </c>
      <c r="BJ906" s="387">
        <f t="shared" si="624"/>
        <v>95.738760000000013</v>
      </c>
      <c r="BK906" s="387">
        <f t="shared" si="625"/>
        <v>0</v>
      </c>
      <c r="BL906" s="387">
        <f t="shared" si="648"/>
        <v>7667.7882060000011</v>
      </c>
      <c r="BM906" s="387">
        <f t="shared" si="649"/>
        <v>0</v>
      </c>
      <c r="BN906" s="387">
        <f t="shared" si="626"/>
        <v>8737.5</v>
      </c>
      <c r="BO906" s="387">
        <f t="shared" si="627"/>
        <v>0</v>
      </c>
      <c r="BP906" s="387">
        <f t="shared" si="628"/>
        <v>2198.4456</v>
      </c>
      <c r="BQ906" s="387">
        <f t="shared" si="629"/>
        <v>514.15260000000012</v>
      </c>
      <c r="BR906" s="387">
        <f t="shared" si="630"/>
        <v>4233.7807200000007</v>
      </c>
      <c r="BS906" s="387">
        <f t="shared" si="631"/>
        <v>255.65794800000003</v>
      </c>
      <c r="BT906" s="387">
        <f t="shared" si="632"/>
        <v>0</v>
      </c>
      <c r="BU906" s="387">
        <f t="shared" si="633"/>
        <v>196.26445800000002</v>
      </c>
      <c r="BV906" s="387">
        <f t="shared" si="634"/>
        <v>120.55992000000001</v>
      </c>
      <c r="BW906" s="387">
        <f t="shared" si="635"/>
        <v>0</v>
      </c>
      <c r="BX906" s="387">
        <f t="shared" si="650"/>
        <v>7518.8612460000004</v>
      </c>
      <c r="BY906" s="387">
        <f t="shared" si="651"/>
        <v>0</v>
      </c>
      <c r="BZ906" s="387">
        <f t="shared" si="652"/>
        <v>0</v>
      </c>
      <c r="CA906" s="387">
        <f t="shared" si="653"/>
        <v>0</v>
      </c>
      <c r="CB906" s="387">
        <f t="shared" si="654"/>
        <v>0</v>
      </c>
      <c r="CC906" s="387">
        <f t="shared" si="636"/>
        <v>0</v>
      </c>
      <c r="CD906" s="387">
        <f t="shared" si="637"/>
        <v>0</v>
      </c>
      <c r="CE906" s="387">
        <f t="shared" si="638"/>
        <v>0</v>
      </c>
      <c r="CF906" s="387">
        <f t="shared" si="639"/>
        <v>-173.74812</v>
      </c>
      <c r="CG906" s="387">
        <f t="shared" si="640"/>
        <v>0</v>
      </c>
      <c r="CH906" s="387">
        <f t="shared" si="641"/>
        <v>24.821159999999992</v>
      </c>
      <c r="CI906" s="387">
        <f t="shared" si="642"/>
        <v>0</v>
      </c>
      <c r="CJ906" s="387">
        <f t="shared" si="655"/>
        <v>-148.92696000000001</v>
      </c>
      <c r="CK906" s="387" t="str">
        <f t="shared" si="656"/>
        <v/>
      </c>
      <c r="CL906" s="387" t="str">
        <f t="shared" si="657"/>
        <v/>
      </c>
      <c r="CM906" s="387" t="str">
        <f t="shared" si="658"/>
        <v/>
      </c>
      <c r="CN906" s="387" t="str">
        <f t="shared" si="659"/>
        <v>0348-31</v>
      </c>
    </row>
    <row r="907" spans="1:92" ht="15.75" thickBot="1" x14ac:dyDescent="0.3">
      <c r="A907" s="376" t="s">
        <v>161</v>
      </c>
      <c r="B907" s="376" t="s">
        <v>162</v>
      </c>
      <c r="C907" s="376" t="s">
        <v>982</v>
      </c>
      <c r="D907" s="376" t="s">
        <v>868</v>
      </c>
      <c r="E907" s="376" t="s">
        <v>224</v>
      </c>
      <c r="F907" s="382" t="s">
        <v>225</v>
      </c>
      <c r="G907" s="376" t="s">
        <v>1945</v>
      </c>
      <c r="H907" s="378"/>
      <c r="I907" s="378"/>
      <c r="J907" s="376" t="s">
        <v>215</v>
      </c>
      <c r="K907" s="376" t="s">
        <v>869</v>
      </c>
      <c r="L907" s="376" t="s">
        <v>296</v>
      </c>
      <c r="M907" s="376" t="s">
        <v>171</v>
      </c>
      <c r="N907" s="376" t="s">
        <v>172</v>
      </c>
      <c r="O907" s="379">
        <v>1</v>
      </c>
      <c r="P907" s="385">
        <v>1</v>
      </c>
      <c r="Q907" s="385">
        <v>1</v>
      </c>
      <c r="R907" s="380">
        <v>80</v>
      </c>
      <c r="S907" s="385">
        <v>1</v>
      </c>
      <c r="T907" s="380">
        <v>0</v>
      </c>
      <c r="U907" s="380">
        <v>0</v>
      </c>
      <c r="V907" s="380">
        <v>0</v>
      </c>
      <c r="W907" s="380">
        <v>55640</v>
      </c>
      <c r="X907" s="380">
        <v>23682.12</v>
      </c>
      <c r="Y907" s="380">
        <v>55640</v>
      </c>
      <c r="Z907" s="380">
        <v>23448.44</v>
      </c>
      <c r="AA907" s="376" t="s">
        <v>983</v>
      </c>
      <c r="AB907" s="376" t="s">
        <v>984</v>
      </c>
      <c r="AC907" s="376" t="s">
        <v>985</v>
      </c>
      <c r="AD907" s="376" t="s">
        <v>210</v>
      </c>
      <c r="AE907" s="376" t="s">
        <v>869</v>
      </c>
      <c r="AF907" s="376" t="s">
        <v>301</v>
      </c>
      <c r="AG907" s="376" t="s">
        <v>178</v>
      </c>
      <c r="AH907" s="381">
        <v>26.75</v>
      </c>
      <c r="AI907" s="379">
        <v>14739</v>
      </c>
      <c r="AJ907" s="376" t="s">
        <v>179</v>
      </c>
      <c r="AK907" s="376" t="s">
        <v>180</v>
      </c>
      <c r="AL907" s="376" t="s">
        <v>181</v>
      </c>
      <c r="AM907" s="376" t="s">
        <v>182</v>
      </c>
      <c r="AN907" s="376" t="s">
        <v>68</v>
      </c>
      <c r="AO907" s="379">
        <v>80</v>
      </c>
      <c r="AP907" s="385">
        <v>1</v>
      </c>
      <c r="AQ907" s="385">
        <v>1</v>
      </c>
      <c r="AR907" s="383" t="s">
        <v>183</v>
      </c>
      <c r="AS907" s="387">
        <f t="shared" si="643"/>
        <v>1</v>
      </c>
      <c r="AT907">
        <f t="shared" si="644"/>
        <v>1</v>
      </c>
      <c r="AU907" s="387">
        <f>IF(AT907=0,"",IF(AND(AT907=1,M907="F",SUMIF(C2:C1334,C907,AS2:AS1334)&lt;=1),SUMIF(C2:C1334,C907,AS2:AS1334),IF(AND(AT907=1,M907="F",SUMIF(C2:C1334,C907,AS2:AS1334)&gt;1),1,"")))</f>
        <v>1</v>
      </c>
      <c r="AV907" s="387" t="str">
        <f>IF(AT907=0,"",IF(AND(AT907=3,M907="F",SUMIF(C2:C1334,C907,AS2:AS1334)&lt;=1),SUMIF(C2:C1334,C907,AS2:AS1334),IF(AND(AT907=3,M907="F",SUMIF(C2:C1334,C907,AS2:AS1334)&gt;1),1,"")))</f>
        <v/>
      </c>
      <c r="AW907" s="387">
        <f>SUMIF(C2:C1334,C907,O2:O1334)</f>
        <v>2</v>
      </c>
      <c r="AX907" s="387">
        <f>IF(AND(M907="F",AS907&lt;&gt;0),SUMIF(C2:C1334,C907,W2:W1334),0)</f>
        <v>55640</v>
      </c>
      <c r="AY907" s="387">
        <f t="shared" si="645"/>
        <v>55640</v>
      </c>
      <c r="AZ907" s="387" t="str">
        <f t="shared" si="646"/>
        <v/>
      </c>
      <c r="BA907" s="387">
        <f t="shared" si="647"/>
        <v>0</v>
      </c>
      <c r="BB907" s="387">
        <f t="shared" si="616"/>
        <v>11650</v>
      </c>
      <c r="BC907" s="387">
        <f t="shared" si="617"/>
        <v>0</v>
      </c>
      <c r="BD907" s="387">
        <f t="shared" si="618"/>
        <v>3449.68</v>
      </c>
      <c r="BE907" s="387">
        <f t="shared" si="619"/>
        <v>806.78000000000009</v>
      </c>
      <c r="BF907" s="387">
        <f t="shared" si="620"/>
        <v>6643.4160000000002</v>
      </c>
      <c r="BG907" s="387">
        <f t="shared" si="621"/>
        <v>401.1644</v>
      </c>
      <c r="BH907" s="387">
        <f t="shared" si="622"/>
        <v>272.63599999999997</v>
      </c>
      <c r="BI907" s="387">
        <f t="shared" si="623"/>
        <v>307.9674</v>
      </c>
      <c r="BJ907" s="387">
        <f t="shared" si="624"/>
        <v>150.22800000000001</v>
      </c>
      <c r="BK907" s="387">
        <f t="shared" si="625"/>
        <v>0</v>
      </c>
      <c r="BL907" s="387">
        <f t="shared" si="648"/>
        <v>12031.871799999999</v>
      </c>
      <c r="BM907" s="387">
        <f t="shared" si="649"/>
        <v>0</v>
      </c>
      <c r="BN907" s="387">
        <f t="shared" si="626"/>
        <v>11650</v>
      </c>
      <c r="BO907" s="387">
        <f t="shared" si="627"/>
        <v>0</v>
      </c>
      <c r="BP907" s="387">
        <f t="shared" si="628"/>
        <v>3449.68</v>
      </c>
      <c r="BQ907" s="387">
        <f t="shared" si="629"/>
        <v>806.78000000000009</v>
      </c>
      <c r="BR907" s="387">
        <f t="shared" si="630"/>
        <v>6643.4160000000002</v>
      </c>
      <c r="BS907" s="387">
        <f t="shared" si="631"/>
        <v>401.1644</v>
      </c>
      <c r="BT907" s="387">
        <f t="shared" si="632"/>
        <v>0</v>
      </c>
      <c r="BU907" s="387">
        <f t="shared" si="633"/>
        <v>307.9674</v>
      </c>
      <c r="BV907" s="387">
        <f t="shared" si="634"/>
        <v>189.17599999999999</v>
      </c>
      <c r="BW907" s="387">
        <f t="shared" si="635"/>
        <v>0</v>
      </c>
      <c r="BX907" s="387">
        <f t="shared" si="650"/>
        <v>11798.183799999999</v>
      </c>
      <c r="BY907" s="387">
        <f t="shared" si="651"/>
        <v>0</v>
      </c>
      <c r="BZ907" s="387">
        <f t="shared" si="652"/>
        <v>0</v>
      </c>
      <c r="CA907" s="387">
        <f t="shared" si="653"/>
        <v>0</v>
      </c>
      <c r="CB907" s="387">
        <f t="shared" si="654"/>
        <v>0</v>
      </c>
      <c r="CC907" s="387">
        <f t="shared" si="636"/>
        <v>0</v>
      </c>
      <c r="CD907" s="387">
        <f t="shared" si="637"/>
        <v>0</v>
      </c>
      <c r="CE907" s="387">
        <f t="shared" si="638"/>
        <v>0</v>
      </c>
      <c r="CF907" s="387">
        <f t="shared" si="639"/>
        <v>-272.63599999999997</v>
      </c>
      <c r="CG907" s="387">
        <f t="shared" si="640"/>
        <v>0</v>
      </c>
      <c r="CH907" s="387">
        <f t="shared" si="641"/>
        <v>38.947999999999979</v>
      </c>
      <c r="CI907" s="387">
        <f t="shared" si="642"/>
        <v>0</v>
      </c>
      <c r="CJ907" s="387">
        <f t="shared" si="655"/>
        <v>-233.68799999999999</v>
      </c>
      <c r="CK907" s="387" t="str">
        <f t="shared" si="656"/>
        <v/>
      </c>
      <c r="CL907" s="387" t="str">
        <f t="shared" si="657"/>
        <v/>
      </c>
      <c r="CM907" s="387" t="str">
        <f t="shared" si="658"/>
        <v/>
      </c>
      <c r="CN907" s="387" t="str">
        <f t="shared" si="659"/>
        <v>0348-31</v>
      </c>
    </row>
    <row r="908" spans="1:92" ht="15.75" thickBot="1" x14ac:dyDescent="0.3">
      <c r="A908" s="376" t="s">
        <v>161</v>
      </c>
      <c r="B908" s="376" t="s">
        <v>162</v>
      </c>
      <c r="C908" s="376" t="s">
        <v>1111</v>
      </c>
      <c r="D908" s="376" t="s">
        <v>556</v>
      </c>
      <c r="E908" s="376" t="s">
        <v>224</v>
      </c>
      <c r="F908" s="382" t="s">
        <v>225</v>
      </c>
      <c r="G908" s="376" t="s">
        <v>1945</v>
      </c>
      <c r="H908" s="378"/>
      <c r="I908" s="378"/>
      <c r="J908" s="376" t="s">
        <v>239</v>
      </c>
      <c r="K908" s="376" t="s">
        <v>557</v>
      </c>
      <c r="L908" s="376" t="s">
        <v>406</v>
      </c>
      <c r="M908" s="376" t="s">
        <v>566</v>
      </c>
      <c r="N908" s="376" t="s">
        <v>1112</v>
      </c>
      <c r="O908" s="379">
        <v>0</v>
      </c>
      <c r="P908" s="385">
        <v>0</v>
      </c>
      <c r="Q908" s="385">
        <v>0</v>
      </c>
      <c r="R908" s="380">
        <v>80</v>
      </c>
      <c r="S908" s="385">
        <v>0</v>
      </c>
      <c r="T908" s="380">
        <v>1059.32</v>
      </c>
      <c r="U908" s="380">
        <v>0</v>
      </c>
      <c r="V908" s="380">
        <v>96.1</v>
      </c>
      <c r="W908" s="380">
        <v>0</v>
      </c>
      <c r="X908" s="380">
        <v>0</v>
      </c>
      <c r="Y908" s="380">
        <v>0</v>
      </c>
      <c r="Z908" s="380">
        <v>0</v>
      </c>
      <c r="AA908" s="378"/>
      <c r="AB908" s="376" t="s">
        <v>45</v>
      </c>
      <c r="AC908" s="376" t="s">
        <v>45</v>
      </c>
      <c r="AD908" s="378"/>
      <c r="AE908" s="378"/>
      <c r="AF908" s="378"/>
      <c r="AG908" s="378"/>
      <c r="AH908" s="379">
        <v>0</v>
      </c>
      <c r="AI908" s="379">
        <v>0</v>
      </c>
      <c r="AJ908" s="378"/>
      <c r="AK908" s="378"/>
      <c r="AL908" s="376" t="s">
        <v>181</v>
      </c>
      <c r="AM908" s="378"/>
      <c r="AN908" s="378"/>
      <c r="AO908" s="379">
        <v>0</v>
      </c>
      <c r="AP908" s="385">
        <v>0</v>
      </c>
      <c r="AQ908" s="385">
        <v>0</v>
      </c>
      <c r="AR908" s="384"/>
      <c r="AS908" s="387">
        <f t="shared" si="643"/>
        <v>0</v>
      </c>
      <c r="AT908">
        <f t="shared" si="644"/>
        <v>0</v>
      </c>
      <c r="AU908" s="387" t="str">
        <f>IF(AT908=0,"",IF(AND(AT908=1,M908="F",SUMIF(C2:C1334,C908,AS2:AS1334)&lt;=1),SUMIF(C2:C1334,C908,AS2:AS1334),IF(AND(AT908=1,M908="F",SUMIF(C2:C1334,C908,AS2:AS1334)&gt;1),1,"")))</f>
        <v/>
      </c>
      <c r="AV908" s="387" t="str">
        <f>IF(AT908=0,"",IF(AND(AT908=3,M908="F",SUMIF(C2:C1334,C908,AS2:AS1334)&lt;=1),SUMIF(C2:C1334,C908,AS2:AS1334),IF(AND(AT908=3,M908="F",SUMIF(C2:C1334,C908,AS2:AS1334)&gt;1),1,"")))</f>
        <v/>
      </c>
      <c r="AW908" s="387">
        <f>SUMIF(C2:C1334,C908,O2:O1334)</f>
        <v>0</v>
      </c>
      <c r="AX908" s="387">
        <f>IF(AND(M908="F",AS908&lt;&gt;0),SUMIF(C2:C1334,C908,W2:W1334),0)</f>
        <v>0</v>
      </c>
      <c r="AY908" s="387" t="str">
        <f t="shared" si="645"/>
        <v/>
      </c>
      <c r="AZ908" s="387" t="str">
        <f t="shared" si="646"/>
        <v/>
      </c>
      <c r="BA908" s="387">
        <f t="shared" si="647"/>
        <v>0</v>
      </c>
      <c r="BB908" s="387">
        <f t="shared" si="616"/>
        <v>0</v>
      </c>
      <c r="BC908" s="387">
        <f t="shared" si="617"/>
        <v>0</v>
      </c>
      <c r="BD908" s="387">
        <f t="shared" si="618"/>
        <v>0</v>
      </c>
      <c r="BE908" s="387">
        <f t="shared" si="619"/>
        <v>0</v>
      </c>
      <c r="BF908" s="387">
        <f t="shared" si="620"/>
        <v>0</v>
      </c>
      <c r="BG908" s="387">
        <f t="shared" si="621"/>
        <v>0</v>
      </c>
      <c r="BH908" s="387">
        <f t="shared" si="622"/>
        <v>0</v>
      </c>
      <c r="BI908" s="387">
        <f t="shared" si="623"/>
        <v>0</v>
      </c>
      <c r="BJ908" s="387">
        <f t="shared" si="624"/>
        <v>0</v>
      </c>
      <c r="BK908" s="387">
        <f t="shared" si="625"/>
        <v>0</v>
      </c>
      <c r="BL908" s="387">
        <f t="shared" si="648"/>
        <v>0</v>
      </c>
      <c r="BM908" s="387">
        <f t="shared" si="649"/>
        <v>0</v>
      </c>
      <c r="BN908" s="387">
        <f t="shared" si="626"/>
        <v>0</v>
      </c>
      <c r="BO908" s="387">
        <f t="shared" si="627"/>
        <v>0</v>
      </c>
      <c r="BP908" s="387">
        <f t="shared" si="628"/>
        <v>0</v>
      </c>
      <c r="BQ908" s="387">
        <f t="shared" si="629"/>
        <v>0</v>
      </c>
      <c r="BR908" s="387">
        <f t="shared" si="630"/>
        <v>0</v>
      </c>
      <c r="BS908" s="387">
        <f t="shared" si="631"/>
        <v>0</v>
      </c>
      <c r="BT908" s="387">
        <f t="shared" si="632"/>
        <v>0</v>
      </c>
      <c r="BU908" s="387">
        <f t="shared" si="633"/>
        <v>0</v>
      </c>
      <c r="BV908" s="387">
        <f t="shared" si="634"/>
        <v>0</v>
      </c>
      <c r="BW908" s="387">
        <f t="shared" si="635"/>
        <v>0</v>
      </c>
      <c r="BX908" s="387">
        <f t="shared" si="650"/>
        <v>0</v>
      </c>
      <c r="BY908" s="387">
        <f t="shared" si="651"/>
        <v>0</v>
      </c>
      <c r="BZ908" s="387">
        <f t="shared" si="652"/>
        <v>0</v>
      </c>
      <c r="CA908" s="387">
        <f t="shared" si="653"/>
        <v>0</v>
      </c>
      <c r="CB908" s="387">
        <f t="shared" si="654"/>
        <v>0</v>
      </c>
      <c r="CC908" s="387">
        <f t="shared" si="636"/>
        <v>0</v>
      </c>
      <c r="CD908" s="387">
        <f t="shared" si="637"/>
        <v>0</v>
      </c>
      <c r="CE908" s="387">
        <f t="shared" si="638"/>
        <v>0</v>
      </c>
      <c r="CF908" s="387">
        <f t="shared" si="639"/>
        <v>0</v>
      </c>
      <c r="CG908" s="387">
        <f t="shared" si="640"/>
        <v>0</v>
      </c>
      <c r="CH908" s="387">
        <f t="shared" si="641"/>
        <v>0</v>
      </c>
      <c r="CI908" s="387">
        <f t="shared" si="642"/>
        <v>0</v>
      </c>
      <c r="CJ908" s="387">
        <f t="shared" si="655"/>
        <v>0</v>
      </c>
      <c r="CK908" s="387" t="str">
        <f t="shared" si="656"/>
        <v/>
      </c>
      <c r="CL908" s="387" t="str">
        <f t="shared" si="657"/>
        <v/>
      </c>
      <c r="CM908" s="387" t="str">
        <f t="shared" si="658"/>
        <v/>
      </c>
      <c r="CN908" s="387" t="str">
        <f t="shared" si="659"/>
        <v>0348-31</v>
      </c>
    </row>
    <row r="909" spans="1:92" ht="15.75" thickBot="1" x14ac:dyDescent="0.3">
      <c r="A909" s="376" t="s">
        <v>161</v>
      </c>
      <c r="B909" s="376" t="s">
        <v>162</v>
      </c>
      <c r="C909" s="376" t="s">
        <v>2093</v>
      </c>
      <c r="D909" s="376" t="s">
        <v>862</v>
      </c>
      <c r="E909" s="376" t="s">
        <v>224</v>
      </c>
      <c r="F909" s="382" t="s">
        <v>225</v>
      </c>
      <c r="G909" s="376" t="s">
        <v>1945</v>
      </c>
      <c r="H909" s="378"/>
      <c r="I909" s="378"/>
      <c r="J909" s="376" t="s">
        <v>215</v>
      </c>
      <c r="K909" s="376" t="s">
        <v>863</v>
      </c>
      <c r="L909" s="376" t="s">
        <v>252</v>
      </c>
      <c r="M909" s="376" t="s">
        <v>272</v>
      </c>
      <c r="N909" s="376" t="s">
        <v>172</v>
      </c>
      <c r="O909" s="379">
        <v>0</v>
      </c>
      <c r="P909" s="385">
        <v>1</v>
      </c>
      <c r="Q909" s="385">
        <v>1</v>
      </c>
      <c r="R909" s="380">
        <v>80</v>
      </c>
      <c r="S909" s="385">
        <v>1</v>
      </c>
      <c r="T909" s="380">
        <v>34455.9</v>
      </c>
      <c r="U909" s="380">
        <v>522.25</v>
      </c>
      <c r="V909" s="380">
        <v>18944.2</v>
      </c>
      <c r="W909" s="380">
        <v>42328</v>
      </c>
      <c r="X909" s="380">
        <v>18539.66</v>
      </c>
      <c r="Y909" s="380">
        <v>42328</v>
      </c>
      <c r="Z909" s="380">
        <v>18328.02</v>
      </c>
      <c r="AA909" s="378"/>
      <c r="AB909" s="376" t="s">
        <v>45</v>
      </c>
      <c r="AC909" s="376" t="s">
        <v>45</v>
      </c>
      <c r="AD909" s="378"/>
      <c r="AE909" s="378"/>
      <c r="AF909" s="378"/>
      <c r="AG909" s="378"/>
      <c r="AH909" s="379">
        <v>0</v>
      </c>
      <c r="AI909" s="379">
        <v>0</v>
      </c>
      <c r="AJ909" s="378"/>
      <c r="AK909" s="378"/>
      <c r="AL909" s="376" t="s">
        <v>181</v>
      </c>
      <c r="AM909" s="378"/>
      <c r="AN909" s="378"/>
      <c r="AO909" s="379">
        <v>0</v>
      </c>
      <c r="AP909" s="385">
        <v>0</v>
      </c>
      <c r="AQ909" s="385">
        <v>0</v>
      </c>
      <c r="AR909" s="384"/>
      <c r="AS909" s="387">
        <f t="shared" si="643"/>
        <v>0</v>
      </c>
      <c r="AT909">
        <f t="shared" si="644"/>
        <v>0</v>
      </c>
      <c r="AU909" s="387" t="str">
        <f>IF(AT909=0,"",IF(AND(AT909=1,M909="F",SUMIF(C2:C1334,C909,AS2:AS1334)&lt;=1),SUMIF(C2:C1334,C909,AS2:AS1334),IF(AND(AT909=1,M909="F",SUMIF(C2:C1334,C909,AS2:AS1334)&gt;1),1,"")))</f>
        <v/>
      </c>
      <c r="AV909" s="387" t="str">
        <f>IF(AT909=0,"",IF(AND(AT909=3,M909="F",SUMIF(C2:C1334,C909,AS2:AS1334)&lt;=1),SUMIF(C2:C1334,C909,AS2:AS1334),IF(AND(AT909=3,M909="F",SUMIF(C2:C1334,C909,AS2:AS1334)&gt;1),1,"")))</f>
        <v/>
      </c>
      <c r="AW909" s="387">
        <f>SUMIF(C2:C1334,C909,O2:O1334)</f>
        <v>0</v>
      </c>
      <c r="AX909" s="387">
        <f>IF(AND(M909="F",AS909&lt;&gt;0),SUMIF(C2:C1334,C909,W2:W1334),0)</f>
        <v>0</v>
      </c>
      <c r="AY909" s="387" t="str">
        <f t="shared" si="645"/>
        <v/>
      </c>
      <c r="AZ909" s="387" t="str">
        <f t="shared" si="646"/>
        <v/>
      </c>
      <c r="BA909" s="387">
        <f t="shared" si="647"/>
        <v>0</v>
      </c>
      <c r="BB909" s="387">
        <f t="shared" si="616"/>
        <v>0</v>
      </c>
      <c r="BC909" s="387">
        <f t="shared" si="617"/>
        <v>0</v>
      </c>
      <c r="BD909" s="387">
        <f t="shared" si="618"/>
        <v>0</v>
      </c>
      <c r="BE909" s="387">
        <f t="shared" si="619"/>
        <v>0</v>
      </c>
      <c r="BF909" s="387">
        <f t="shared" si="620"/>
        <v>0</v>
      </c>
      <c r="BG909" s="387">
        <f t="shared" si="621"/>
        <v>0</v>
      </c>
      <c r="BH909" s="387">
        <f t="shared" si="622"/>
        <v>0</v>
      </c>
      <c r="BI909" s="387">
        <f t="shared" si="623"/>
        <v>0</v>
      </c>
      <c r="BJ909" s="387">
        <f t="shared" si="624"/>
        <v>0</v>
      </c>
      <c r="BK909" s="387">
        <f t="shared" si="625"/>
        <v>0</v>
      </c>
      <c r="BL909" s="387">
        <f t="shared" si="648"/>
        <v>0</v>
      </c>
      <c r="BM909" s="387">
        <f t="shared" si="649"/>
        <v>0</v>
      </c>
      <c r="BN909" s="387">
        <f t="shared" si="626"/>
        <v>0</v>
      </c>
      <c r="BO909" s="387">
        <f t="shared" si="627"/>
        <v>0</v>
      </c>
      <c r="BP909" s="387">
        <f t="shared" si="628"/>
        <v>0</v>
      </c>
      <c r="BQ909" s="387">
        <f t="shared" si="629"/>
        <v>0</v>
      </c>
      <c r="BR909" s="387">
        <f t="shared" si="630"/>
        <v>0</v>
      </c>
      <c r="BS909" s="387">
        <f t="shared" si="631"/>
        <v>0</v>
      </c>
      <c r="BT909" s="387">
        <f t="shared" si="632"/>
        <v>0</v>
      </c>
      <c r="BU909" s="387">
        <f t="shared" si="633"/>
        <v>0</v>
      </c>
      <c r="BV909" s="387">
        <f t="shared" si="634"/>
        <v>0</v>
      </c>
      <c r="BW909" s="387">
        <f t="shared" si="635"/>
        <v>0</v>
      </c>
      <c r="BX909" s="387">
        <f t="shared" si="650"/>
        <v>0</v>
      </c>
      <c r="BY909" s="387">
        <f t="shared" si="651"/>
        <v>0</v>
      </c>
      <c r="BZ909" s="387">
        <f t="shared" si="652"/>
        <v>0</v>
      </c>
      <c r="CA909" s="387">
        <f t="shared" si="653"/>
        <v>0</v>
      </c>
      <c r="CB909" s="387">
        <f t="shared" si="654"/>
        <v>0</v>
      </c>
      <c r="CC909" s="387">
        <f t="shared" si="636"/>
        <v>0</v>
      </c>
      <c r="CD909" s="387">
        <f t="shared" si="637"/>
        <v>0</v>
      </c>
      <c r="CE909" s="387">
        <f t="shared" si="638"/>
        <v>0</v>
      </c>
      <c r="CF909" s="387">
        <f t="shared" si="639"/>
        <v>0</v>
      </c>
      <c r="CG909" s="387">
        <f t="shared" si="640"/>
        <v>0</v>
      </c>
      <c r="CH909" s="387">
        <f t="shared" si="641"/>
        <v>0</v>
      </c>
      <c r="CI909" s="387">
        <f t="shared" si="642"/>
        <v>0</v>
      </c>
      <c r="CJ909" s="387">
        <f t="shared" si="655"/>
        <v>0</v>
      </c>
      <c r="CK909" s="387" t="str">
        <f t="shared" si="656"/>
        <v/>
      </c>
      <c r="CL909" s="387" t="str">
        <f t="shared" si="657"/>
        <v/>
      </c>
      <c r="CM909" s="387" t="str">
        <f t="shared" si="658"/>
        <v/>
      </c>
      <c r="CN909" s="387" t="str">
        <f t="shared" si="659"/>
        <v>0348-31</v>
      </c>
    </row>
    <row r="910" spans="1:92" ht="15.75" thickBot="1" x14ac:dyDescent="0.3">
      <c r="A910" s="376" t="s">
        <v>161</v>
      </c>
      <c r="B910" s="376" t="s">
        <v>162</v>
      </c>
      <c r="C910" s="376" t="s">
        <v>2094</v>
      </c>
      <c r="D910" s="376" t="s">
        <v>270</v>
      </c>
      <c r="E910" s="376" t="s">
        <v>224</v>
      </c>
      <c r="F910" s="382" t="s">
        <v>225</v>
      </c>
      <c r="G910" s="376" t="s">
        <v>1945</v>
      </c>
      <c r="H910" s="378"/>
      <c r="I910" s="378"/>
      <c r="J910" s="376" t="s">
        <v>215</v>
      </c>
      <c r="K910" s="376" t="s">
        <v>271</v>
      </c>
      <c r="L910" s="376" t="s">
        <v>217</v>
      </c>
      <c r="M910" s="376" t="s">
        <v>171</v>
      </c>
      <c r="N910" s="376" t="s">
        <v>172</v>
      </c>
      <c r="O910" s="379">
        <v>1</v>
      </c>
      <c r="P910" s="385">
        <v>1</v>
      </c>
      <c r="Q910" s="385">
        <v>1</v>
      </c>
      <c r="R910" s="380">
        <v>80</v>
      </c>
      <c r="S910" s="385">
        <v>1</v>
      </c>
      <c r="T910" s="380">
        <v>0</v>
      </c>
      <c r="U910" s="380">
        <v>0</v>
      </c>
      <c r="V910" s="380">
        <v>0</v>
      </c>
      <c r="W910" s="380">
        <v>32614.400000000001</v>
      </c>
      <c r="X910" s="380">
        <v>18702.82</v>
      </c>
      <c r="Y910" s="380">
        <v>32614.400000000001</v>
      </c>
      <c r="Z910" s="380">
        <v>18565.84</v>
      </c>
      <c r="AA910" s="376" t="s">
        <v>2095</v>
      </c>
      <c r="AB910" s="376" t="s">
        <v>2096</v>
      </c>
      <c r="AC910" s="376" t="s">
        <v>2097</v>
      </c>
      <c r="AD910" s="376" t="s">
        <v>2098</v>
      </c>
      <c r="AE910" s="376" t="s">
        <v>271</v>
      </c>
      <c r="AF910" s="376" t="s">
        <v>221</v>
      </c>
      <c r="AG910" s="376" t="s">
        <v>178</v>
      </c>
      <c r="AH910" s="381">
        <v>15.68</v>
      </c>
      <c r="AI910" s="381">
        <v>651.5</v>
      </c>
      <c r="AJ910" s="376" t="s">
        <v>179</v>
      </c>
      <c r="AK910" s="376" t="s">
        <v>180</v>
      </c>
      <c r="AL910" s="376" t="s">
        <v>181</v>
      </c>
      <c r="AM910" s="376" t="s">
        <v>182</v>
      </c>
      <c r="AN910" s="376" t="s">
        <v>68</v>
      </c>
      <c r="AO910" s="379">
        <v>80</v>
      </c>
      <c r="AP910" s="385">
        <v>1</v>
      </c>
      <c r="AQ910" s="385">
        <v>1</v>
      </c>
      <c r="AR910" s="383" t="s">
        <v>183</v>
      </c>
      <c r="AS910" s="387">
        <f t="shared" si="643"/>
        <v>1</v>
      </c>
      <c r="AT910">
        <f t="shared" si="644"/>
        <v>1</v>
      </c>
      <c r="AU910" s="387">
        <f>IF(AT910=0,"",IF(AND(AT910=1,M910="F",SUMIF(C2:C1334,C910,AS2:AS1334)&lt;=1),SUMIF(C2:C1334,C910,AS2:AS1334),IF(AND(AT910=1,M910="F",SUMIF(C2:C1334,C910,AS2:AS1334)&gt;1),1,"")))</f>
        <v>1</v>
      </c>
      <c r="AV910" s="387" t="str">
        <f>IF(AT910=0,"",IF(AND(AT910=3,M910="F",SUMIF(C2:C1334,C910,AS2:AS1334)&lt;=1),SUMIF(C2:C1334,C910,AS2:AS1334),IF(AND(AT910=3,M910="F",SUMIF(C2:C1334,C910,AS2:AS1334)&gt;1),1,"")))</f>
        <v/>
      </c>
      <c r="AW910" s="387">
        <f>SUMIF(C2:C1334,C910,O2:O1334)</f>
        <v>1</v>
      </c>
      <c r="AX910" s="387">
        <f>IF(AND(M910="F",AS910&lt;&gt;0),SUMIF(C2:C1334,C910,W2:W1334),0)</f>
        <v>32614.400000000001</v>
      </c>
      <c r="AY910" s="387">
        <f t="shared" si="645"/>
        <v>32614.400000000001</v>
      </c>
      <c r="AZ910" s="387" t="str">
        <f t="shared" si="646"/>
        <v/>
      </c>
      <c r="BA910" s="387">
        <f t="shared" si="647"/>
        <v>0</v>
      </c>
      <c r="BB910" s="387">
        <f t="shared" si="616"/>
        <v>11650</v>
      </c>
      <c r="BC910" s="387">
        <f t="shared" si="617"/>
        <v>0</v>
      </c>
      <c r="BD910" s="387">
        <f t="shared" si="618"/>
        <v>2022.0928000000001</v>
      </c>
      <c r="BE910" s="387">
        <f t="shared" si="619"/>
        <v>472.90880000000004</v>
      </c>
      <c r="BF910" s="387">
        <f t="shared" si="620"/>
        <v>3894.1593600000006</v>
      </c>
      <c r="BG910" s="387">
        <f t="shared" si="621"/>
        <v>235.14982400000002</v>
      </c>
      <c r="BH910" s="387">
        <f t="shared" si="622"/>
        <v>159.81056000000001</v>
      </c>
      <c r="BI910" s="387">
        <f t="shared" si="623"/>
        <v>180.52070399999999</v>
      </c>
      <c r="BJ910" s="387">
        <f t="shared" si="624"/>
        <v>88.058880000000002</v>
      </c>
      <c r="BK910" s="387">
        <f t="shared" si="625"/>
        <v>0</v>
      </c>
      <c r="BL910" s="387">
        <f t="shared" si="648"/>
        <v>7052.7009280000002</v>
      </c>
      <c r="BM910" s="387">
        <f t="shared" si="649"/>
        <v>0</v>
      </c>
      <c r="BN910" s="387">
        <f t="shared" si="626"/>
        <v>11650</v>
      </c>
      <c r="BO910" s="387">
        <f t="shared" si="627"/>
        <v>0</v>
      </c>
      <c r="BP910" s="387">
        <f t="shared" si="628"/>
        <v>2022.0928000000001</v>
      </c>
      <c r="BQ910" s="387">
        <f t="shared" si="629"/>
        <v>472.90880000000004</v>
      </c>
      <c r="BR910" s="387">
        <f t="shared" si="630"/>
        <v>3894.1593600000006</v>
      </c>
      <c r="BS910" s="387">
        <f t="shared" si="631"/>
        <v>235.14982400000002</v>
      </c>
      <c r="BT910" s="387">
        <f t="shared" si="632"/>
        <v>0</v>
      </c>
      <c r="BU910" s="387">
        <f t="shared" si="633"/>
        <v>180.52070399999999</v>
      </c>
      <c r="BV910" s="387">
        <f t="shared" si="634"/>
        <v>110.88896</v>
      </c>
      <c r="BW910" s="387">
        <f t="shared" si="635"/>
        <v>0</v>
      </c>
      <c r="BX910" s="387">
        <f t="shared" si="650"/>
        <v>6915.7204480000009</v>
      </c>
      <c r="BY910" s="387">
        <f t="shared" si="651"/>
        <v>0</v>
      </c>
      <c r="BZ910" s="387">
        <f t="shared" si="652"/>
        <v>0</v>
      </c>
      <c r="CA910" s="387">
        <f t="shared" si="653"/>
        <v>0</v>
      </c>
      <c r="CB910" s="387">
        <f t="shared" si="654"/>
        <v>0</v>
      </c>
      <c r="CC910" s="387">
        <f t="shared" si="636"/>
        <v>0</v>
      </c>
      <c r="CD910" s="387">
        <f t="shared" si="637"/>
        <v>0</v>
      </c>
      <c r="CE910" s="387">
        <f t="shared" si="638"/>
        <v>0</v>
      </c>
      <c r="CF910" s="387">
        <f t="shared" si="639"/>
        <v>-159.81056000000001</v>
      </c>
      <c r="CG910" s="387">
        <f t="shared" si="640"/>
        <v>0</v>
      </c>
      <c r="CH910" s="387">
        <f t="shared" si="641"/>
        <v>22.830079999999992</v>
      </c>
      <c r="CI910" s="387">
        <f t="shared" si="642"/>
        <v>0</v>
      </c>
      <c r="CJ910" s="387">
        <f t="shared" si="655"/>
        <v>-136.98048000000003</v>
      </c>
      <c r="CK910" s="387" t="str">
        <f t="shared" si="656"/>
        <v/>
      </c>
      <c r="CL910" s="387" t="str">
        <f t="shared" si="657"/>
        <v/>
      </c>
      <c r="CM910" s="387" t="str">
        <f t="shared" si="658"/>
        <v/>
      </c>
      <c r="CN910" s="387" t="str">
        <f t="shared" si="659"/>
        <v>0348-31</v>
      </c>
    </row>
    <row r="911" spans="1:92" ht="15.75" thickBot="1" x14ac:dyDescent="0.3">
      <c r="A911" s="376" t="s">
        <v>161</v>
      </c>
      <c r="B911" s="376" t="s">
        <v>162</v>
      </c>
      <c r="C911" s="376" t="s">
        <v>2099</v>
      </c>
      <c r="D911" s="376" t="s">
        <v>974</v>
      </c>
      <c r="E911" s="376" t="s">
        <v>224</v>
      </c>
      <c r="F911" s="382" t="s">
        <v>225</v>
      </c>
      <c r="G911" s="376" t="s">
        <v>1945</v>
      </c>
      <c r="H911" s="378"/>
      <c r="I911" s="378"/>
      <c r="J911" s="376" t="s">
        <v>215</v>
      </c>
      <c r="K911" s="376" t="s">
        <v>975</v>
      </c>
      <c r="L911" s="376" t="s">
        <v>296</v>
      </c>
      <c r="M911" s="376" t="s">
        <v>171</v>
      </c>
      <c r="N911" s="376" t="s">
        <v>172</v>
      </c>
      <c r="O911" s="379">
        <v>1</v>
      </c>
      <c r="P911" s="385">
        <v>1</v>
      </c>
      <c r="Q911" s="385">
        <v>1</v>
      </c>
      <c r="R911" s="380">
        <v>80</v>
      </c>
      <c r="S911" s="385">
        <v>1</v>
      </c>
      <c r="T911" s="380">
        <v>41547.230000000003</v>
      </c>
      <c r="U911" s="380">
        <v>530.64</v>
      </c>
      <c r="V911" s="380">
        <v>20440.72</v>
      </c>
      <c r="W911" s="380">
        <v>44491.199999999997</v>
      </c>
      <c r="X911" s="380">
        <v>21271.19</v>
      </c>
      <c r="Y911" s="380">
        <v>44491.199999999997</v>
      </c>
      <c r="Z911" s="380">
        <v>21084.34</v>
      </c>
      <c r="AA911" s="376" t="s">
        <v>2100</v>
      </c>
      <c r="AB911" s="376" t="s">
        <v>461</v>
      </c>
      <c r="AC911" s="376" t="s">
        <v>305</v>
      </c>
      <c r="AD911" s="376" t="s">
        <v>2101</v>
      </c>
      <c r="AE911" s="376" t="s">
        <v>975</v>
      </c>
      <c r="AF911" s="376" t="s">
        <v>301</v>
      </c>
      <c r="AG911" s="376" t="s">
        <v>178</v>
      </c>
      <c r="AH911" s="381">
        <v>21.39</v>
      </c>
      <c r="AI911" s="381">
        <v>12054.7</v>
      </c>
      <c r="AJ911" s="376" t="s">
        <v>179</v>
      </c>
      <c r="AK911" s="376" t="s">
        <v>180</v>
      </c>
      <c r="AL911" s="376" t="s">
        <v>181</v>
      </c>
      <c r="AM911" s="376" t="s">
        <v>182</v>
      </c>
      <c r="AN911" s="376" t="s">
        <v>68</v>
      </c>
      <c r="AO911" s="379">
        <v>80</v>
      </c>
      <c r="AP911" s="385">
        <v>1</v>
      </c>
      <c r="AQ911" s="385">
        <v>1</v>
      </c>
      <c r="AR911" s="383" t="s">
        <v>183</v>
      </c>
      <c r="AS911" s="387">
        <f t="shared" si="643"/>
        <v>1</v>
      </c>
      <c r="AT911">
        <f t="shared" si="644"/>
        <v>1</v>
      </c>
      <c r="AU911" s="387">
        <f>IF(AT911=0,"",IF(AND(AT911=1,M911="F",SUMIF(C2:C1334,C911,AS2:AS1334)&lt;=1),SUMIF(C2:C1334,C911,AS2:AS1334),IF(AND(AT911=1,M911="F",SUMIF(C2:C1334,C911,AS2:AS1334)&gt;1),1,"")))</f>
        <v>1</v>
      </c>
      <c r="AV911" s="387" t="str">
        <f>IF(AT911=0,"",IF(AND(AT911=3,M911="F",SUMIF(C2:C1334,C911,AS2:AS1334)&lt;=1),SUMIF(C2:C1334,C911,AS2:AS1334),IF(AND(AT911=3,M911="F",SUMIF(C2:C1334,C911,AS2:AS1334)&gt;1),1,"")))</f>
        <v/>
      </c>
      <c r="AW911" s="387">
        <f>SUMIF(C2:C1334,C911,O2:O1334)</f>
        <v>1</v>
      </c>
      <c r="AX911" s="387">
        <f>IF(AND(M911="F",AS911&lt;&gt;0),SUMIF(C2:C1334,C911,W2:W1334),0)</f>
        <v>44491.199999999997</v>
      </c>
      <c r="AY911" s="387">
        <f t="shared" si="645"/>
        <v>44491.199999999997</v>
      </c>
      <c r="AZ911" s="387" t="str">
        <f t="shared" si="646"/>
        <v/>
      </c>
      <c r="BA911" s="387">
        <f t="shared" si="647"/>
        <v>0</v>
      </c>
      <c r="BB911" s="387">
        <f t="shared" si="616"/>
        <v>11650</v>
      </c>
      <c r="BC911" s="387">
        <f t="shared" si="617"/>
        <v>0</v>
      </c>
      <c r="BD911" s="387">
        <f t="shared" si="618"/>
        <v>2758.4543999999996</v>
      </c>
      <c r="BE911" s="387">
        <f t="shared" si="619"/>
        <v>645.12239999999997</v>
      </c>
      <c r="BF911" s="387">
        <f t="shared" si="620"/>
        <v>5312.24928</v>
      </c>
      <c r="BG911" s="387">
        <f t="shared" si="621"/>
        <v>320.78155199999998</v>
      </c>
      <c r="BH911" s="387">
        <f t="shared" si="622"/>
        <v>218.00687999999997</v>
      </c>
      <c r="BI911" s="387">
        <f t="shared" si="623"/>
        <v>246.25879199999997</v>
      </c>
      <c r="BJ911" s="387">
        <f t="shared" si="624"/>
        <v>120.12624</v>
      </c>
      <c r="BK911" s="387">
        <f t="shared" si="625"/>
        <v>0</v>
      </c>
      <c r="BL911" s="387">
        <f t="shared" si="648"/>
        <v>9620.9995440000002</v>
      </c>
      <c r="BM911" s="387">
        <f t="shared" si="649"/>
        <v>0</v>
      </c>
      <c r="BN911" s="387">
        <f t="shared" si="626"/>
        <v>11650</v>
      </c>
      <c r="BO911" s="387">
        <f t="shared" si="627"/>
        <v>0</v>
      </c>
      <c r="BP911" s="387">
        <f t="shared" si="628"/>
        <v>2758.4543999999996</v>
      </c>
      <c r="BQ911" s="387">
        <f t="shared" si="629"/>
        <v>645.12239999999997</v>
      </c>
      <c r="BR911" s="387">
        <f t="shared" si="630"/>
        <v>5312.24928</v>
      </c>
      <c r="BS911" s="387">
        <f t="shared" si="631"/>
        <v>320.78155199999998</v>
      </c>
      <c r="BT911" s="387">
        <f t="shared" si="632"/>
        <v>0</v>
      </c>
      <c r="BU911" s="387">
        <f t="shared" si="633"/>
        <v>246.25879199999997</v>
      </c>
      <c r="BV911" s="387">
        <f t="shared" si="634"/>
        <v>151.27007999999998</v>
      </c>
      <c r="BW911" s="387">
        <f t="shared" si="635"/>
        <v>0</v>
      </c>
      <c r="BX911" s="387">
        <f t="shared" si="650"/>
        <v>9434.1365040000001</v>
      </c>
      <c r="BY911" s="387">
        <f t="shared" si="651"/>
        <v>0</v>
      </c>
      <c r="BZ911" s="387">
        <f t="shared" si="652"/>
        <v>0</v>
      </c>
      <c r="CA911" s="387">
        <f t="shared" si="653"/>
        <v>0</v>
      </c>
      <c r="CB911" s="387">
        <f t="shared" si="654"/>
        <v>0</v>
      </c>
      <c r="CC911" s="387">
        <f t="shared" si="636"/>
        <v>0</v>
      </c>
      <c r="CD911" s="387">
        <f t="shared" si="637"/>
        <v>0</v>
      </c>
      <c r="CE911" s="387">
        <f t="shared" si="638"/>
        <v>0</v>
      </c>
      <c r="CF911" s="387">
        <f t="shared" si="639"/>
        <v>-218.00687999999997</v>
      </c>
      <c r="CG911" s="387">
        <f t="shared" si="640"/>
        <v>0</v>
      </c>
      <c r="CH911" s="387">
        <f t="shared" si="641"/>
        <v>31.143839999999983</v>
      </c>
      <c r="CI911" s="387">
        <f t="shared" si="642"/>
        <v>0</v>
      </c>
      <c r="CJ911" s="387">
        <f t="shared" si="655"/>
        <v>-186.86303999999998</v>
      </c>
      <c r="CK911" s="387" t="str">
        <f t="shared" si="656"/>
        <v/>
      </c>
      <c r="CL911" s="387" t="str">
        <f t="shared" si="657"/>
        <v/>
      </c>
      <c r="CM911" s="387" t="str">
        <f t="shared" si="658"/>
        <v/>
      </c>
      <c r="CN911" s="387" t="str">
        <f t="shared" si="659"/>
        <v>0348-31</v>
      </c>
    </row>
    <row r="912" spans="1:92" ht="15.75" thickBot="1" x14ac:dyDescent="0.3">
      <c r="A912" s="376" t="s">
        <v>161</v>
      </c>
      <c r="B912" s="376" t="s">
        <v>162</v>
      </c>
      <c r="C912" s="376" t="s">
        <v>901</v>
      </c>
      <c r="D912" s="376" t="s">
        <v>862</v>
      </c>
      <c r="E912" s="376" t="s">
        <v>224</v>
      </c>
      <c r="F912" s="382" t="s">
        <v>225</v>
      </c>
      <c r="G912" s="376" t="s">
        <v>1945</v>
      </c>
      <c r="H912" s="378"/>
      <c r="I912" s="378"/>
      <c r="J912" s="376" t="s">
        <v>215</v>
      </c>
      <c r="K912" s="376" t="s">
        <v>863</v>
      </c>
      <c r="L912" s="376" t="s">
        <v>252</v>
      </c>
      <c r="M912" s="376" t="s">
        <v>171</v>
      </c>
      <c r="N912" s="376" t="s">
        <v>172</v>
      </c>
      <c r="O912" s="379">
        <v>1</v>
      </c>
      <c r="P912" s="385">
        <v>1</v>
      </c>
      <c r="Q912" s="385">
        <v>1</v>
      </c>
      <c r="R912" s="380">
        <v>80</v>
      </c>
      <c r="S912" s="385">
        <v>1</v>
      </c>
      <c r="T912" s="380">
        <v>25968.42</v>
      </c>
      <c r="U912" s="380">
        <v>0</v>
      </c>
      <c r="V912" s="380">
        <v>14712.04</v>
      </c>
      <c r="W912" s="380">
        <v>38604.800000000003</v>
      </c>
      <c r="X912" s="380">
        <v>19998.259999999998</v>
      </c>
      <c r="Y912" s="380">
        <v>38604.800000000003</v>
      </c>
      <c r="Z912" s="380">
        <v>19836.12</v>
      </c>
      <c r="AA912" s="376" t="s">
        <v>902</v>
      </c>
      <c r="AB912" s="376" t="s">
        <v>903</v>
      </c>
      <c r="AC912" s="376" t="s">
        <v>904</v>
      </c>
      <c r="AD912" s="376" t="s">
        <v>427</v>
      </c>
      <c r="AE912" s="376" t="s">
        <v>863</v>
      </c>
      <c r="AF912" s="376" t="s">
        <v>393</v>
      </c>
      <c r="AG912" s="376" t="s">
        <v>178</v>
      </c>
      <c r="AH912" s="381">
        <v>18.559999999999999</v>
      </c>
      <c r="AI912" s="381">
        <v>1630.4</v>
      </c>
      <c r="AJ912" s="376" t="s">
        <v>179</v>
      </c>
      <c r="AK912" s="376" t="s">
        <v>180</v>
      </c>
      <c r="AL912" s="376" t="s">
        <v>181</v>
      </c>
      <c r="AM912" s="376" t="s">
        <v>182</v>
      </c>
      <c r="AN912" s="376" t="s">
        <v>68</v>
      </c>
      <c r="AO912" s="379">
        <v>80</v>
      </c>
      <c r="AP912" s="385">
        <v>1</v>
      </c>
      <c r="AQ912" s="385">
        <v>1</v>
      </c>
      <c r="AR912" s="383" t="s">
        <v>183</v>
      </c>
      <c r="AS912" s="387">
        <f t="shared" si="643"/>
        <v>1</v>
      </c>
      <c r="AT912">
        <f t="shared" si="644"/>
        <v>1</v>
      </c>
      <c r="AU912" s="387">
        <f>IF(AT912=0,"",IF(AND(AT912=1,M912="F",SUMIF(C2:C1334,C912,AS2:AS1334)&lt;=1),SUMIF(C2:C1334,C912,AS2:AS1334),IF(AND(AT912=1,M912="F",SUMIF(C2:C1334,C912,AS2:AS1334)&gt;1),1,"")))</f>
        <v>1</v>
      </c>
      <c r="AV912" s="387" t="str">
        <f>IF(AT912=0,"",IF(AND(AT912=3,M912="F",SUMIF(C2:C1334,C912,AS2:AS1334)&lt;=1),SUMIF(C2:C1334,C912,AS2:AS1334),IF(AND(AT912=3,M912="F",SUMIF(C2:C1334,C912,AS2:AS1334)&gt;1),1,"")))</f>
        <v/>
      </c>
      <c r="AW912" s="387">
        <f>SUMIF(C2:C1334,C912,O2:O1334)</f>
        <v>2</v>
      </c>
      <c r="AX912" s="387">
        <f>IF(AND(M912="F",AS912&lt;&gt;0),SUMIF(C2:C1334,C912,W2:W1334),0)</f>
        <v>38604.800000000003</v>
      </c>
      <c r="AY912" s="387">
        <f t="shared" si="645"/>
        <v>38604.800000000003</v>
      </c>
      <c r="AZ912" s="387" t="str">
        <f t="shared" si="646"/>
        <v/>
      </c>
      <c r="BA912" s="387">
        <f t="shared" si="647"/>
        <v>0</v>
      </c>
      <c r="BB912" s="387">
        <f t="shared" si="616"/>
        <v>11650</v>
      </c>
      <c r="BC912" s="387">
        <f t="shared" si="617"/>
        <v>0</v>
      </c>
      <c r="BD912" s="387">
        <f t="shared" si="618"/>
        <v>2393.4976000000001</v>
      </c>
      <c r="BE912" s="387">
        <f t="shared" si="619"/>
        <v>559.76960000000008</v>
      </c>
      <c r="BF912" s="387">
        <f t="shared" si="620"/>
        <v>4609.4131200000002</v>
      </c>
      <c r="BG912" s="387">
        <f t="shared" si="621"/>
        <v>278.34060800000003</v>
      </c>
      <c r="BH912" s="387">
        <f t="shared" si="622"/>
        <v>189.16352000000001</v>
      </c>
      <c r="BI912" s="387">
        <f t="shared" si="623"/>
        <v>213.67756800000001</v>
      </c>
      <c r="BJ912" s="387">
        <f t="shared" si="624"/>
        <v>104.23296000000002</v>
      </c>
      <c r="BK912" s="387">
        <f t="shared" si="625"/>
        <v>0</v>
      </c>
      <c r="BL912" s="387">
        <f t="shared" si="648"/>
        <v>8348.0949760000003</v>
      </c>
      <c r="BM912" s="387">
        <f t="shared" si="649"/>
        <v>0</v>
      </c>
      <c r="BN912" s="387">
        <f t="shared" si="626"/>
        <v>11650</v>
      </c>
      <c r="BO912" s="387">
        <f t="shared" si="627"/>
        <v>0</v>
      </c>
      <c r="BP912" s="387">
        <f t="shared" si="628"/>
        <v>2393.4976000000001</v>
      </c>
      <c r="BQ912" s="387">
        <f t="shared" si="629"/>
        <v>559.76960000000008</v>
      </c>
      <c r="BR912" s="387">
        <f t="shared" si="630"/>
        <v>4609.4131200000002</v>
      </c>
      <c r="BS912" s="387">
        <f t="shared" si="631"/>
        <v>278.34060800000003</v>
      </c>
      <c r="BT912" s="387">
        <f t="shared" si="632"/>
        <v>0</v>
      </c>
      <c r="BU912" s="387">
        <f t="shared" si="633"/>
        <v>213.67756800000001</v>
      </c>
      <c r="BV912" s="387">
        <f t="shared" si="634"/>
        <v>131.25632000000002</v>
      </c>
      <c r="BW912" s="387">
        <f t="shared" si="635"/>
        <v>0</v>
      </c>
      <c r="BX912" s="387">
        <f t="shared" si="650"/>
        <v>8185.9548160000013</v>
      </c>
      <c r="BY912" s="387">
        <f t="shared" si="651"/>
        <v>0</v>
      </c>
      <c r="BZ912" s="387">
        <f t="shared" si="652"/>
        <v>0</v>
      </c>
      <c r="CA912" s="387">
        <f t="shared" si="653"/>
        <v>0</v>
      </c>
      <c r="CB912" s="387">
        <f t="shared" si="654"/>
        <v>0</v>
      </c>
      <c r="CC912" s="387">
        <f t="shared" si="636"/>
        <v>0</v>
      </c>
      <c r="CD912" s="387">
        <f t="shared" si="637"/>
        <v>0</v>
      </c>
      <c r="CE912" s="387">
        <f t="shared" si="638"/>
        <v>0</v>
      </c>
      <c r="CF912" s="387">
        <f t="shared" si="639"/>
        <v>-189.16352000000001</v>
      </c>
      <c r="CG912" s="387">
        <f t="shared" si="640"/>
        <v>0</v>
      </c>
      <c r="CH912" s="387">
        <f t="shared" si="641"/>
        <v>27.02335999999999</v>
      </c>
      <c r="CI912" s="387">
        <f t="shared" si="642"/>
        <v>0</v>
      </c>
      <c r="CJ912" s="387">
        <f t="shared" si="655"/>
        <v>-162.14016000000001</v>
      </c>
      <c r="CK912" s="387" t="str">
        <f t="shared" si="656"/>
        <v/>
      </c>
      <c r="CL912" s="387" t="str">
        <f t="shared" si="657"/>
        <v/>
      </c>
      <c r="CM912" s="387" t="str">
        <f t="shared" si="658"/>
        <v/>
      </c>
      <c r="CN912" s="387" t="str">
        <f t="shared" si="659"/>
        <v>0348-31</v>
      </c>
    </row>
    <row r="913" spans="1:92" ht="15.75" thickBot="1" x14ac:dyDescent="0.3">
      <c r="A913" s="376" t="s">
        <v>161</v>
      </c>
      <c r="B913" s="376" t="s">
        <v>162</v>
      </c>
      <c r="C913" s="376" t="s">
        <v>1039</v>
      </c>
      <c r="D913" s="376" t="s">
        <v>862</v>
      </c>
      <c r="E913" s="376" t="s">
        <v>224</v>
      </c>
      <c r="F913" s="382" t="s">
        <v>225</v>
      </c>
      <c r="G913" s="376" t="s">
        <v>1945</v>
      </c>
      <c r="H913" s="378"/>
      <c r="I913" s="378"/>
      <c r="J913" s="376" t="s">
        <v>239</v>
      </c>
      <c r="K913" s="376" t="s">
        <v>863</v>
      </c>
      <c r="L913" s="376" t="s">
        <v>252</v>
      </c>
      <c r="M913" s="376" t="s">
        <v>171</v>
      </c>
      <c r="N913" s="376" t="s">
        <v>172</v>
      </c>
      <c r="O913" s="379">
        <v>1</v>
      </c>
      <c r="P913" s="385">
        <v>0.7</v>
      </c>
      <c r="Q913" s="385">
        <v>0.7</v>
      </c>
      <c r="R913" s="380">
        <v>80</v>
      </c>
      <c r="S913" s="385">
        <v>0.7</v>
      </c>
      <c r="T913" s="380">
        <v>25838.9</v>
      </c>
      <c r="U913" s="380">
        <v>0</v>
      </c>
      <c r="V913" s="380">
        <v>14107.89</v>
      </c>
      <c r="W913" s="380">
        <v>27503.84</v>
      </c>
      <c r="X913" s="380">
        <v>14102.67</v>
      </c>
      <c r="Y913" s="380">
        <v>27503.84</v>
      </c>
      <c r="Z913" s="380">
        <v>13987.16</v>
      </c>
      <c r="AA913" s="376" t="s">
        <v>1040</v>
      </c>
      <c r="AB913" s="376" t="s">
        <v>1041</v>
      </c>
      <c r="AC913" s="376" t="s">
        <v>1042</v>
      </c>
      <c r="AD913" s="376" t="s">
        <v>260</v>
      </c>
      <c r="AE913" s="376" t="s">
        <v>863</v>
      </c>
      <c r="AF913" s="376" t="s">
        <v>393</v>
      </c>
      <c r="AG913" s="376" t="s">
        <v>178</v>
      </c>
      <c r="AH913" s="381">
        <v>18.89</v>
      </c>
      <c r="AI913" s="379">
        <v>3200</v>
      </c>
      <c r="AJ913" s="376" t="s">
        <v>179</v>
      </c>
      <c r="AK913" s="376" t="s">
        <v>180</v>
      </c>
      <c r="AL913" s="376" t="s">
        <v>181</v>
      </c>
      <c r="AM913" s="376" t="s">
        <v>182</v>
      </c>
      <c r="AN913" s="376" t="s">
        <v>68</v>
      </c>
      <c r="AO913" s="379">
        <v>80</v>
      </c>
      <c r="AP913" s="385">
        <v>1</v>
      </c>
      <c r="AQ913" s="385">
        <v>0.7</v>
      </c>
      <c r="AR913" s="383" t="s">
        <v>183</v>
      </c>
      <c r="AS913" s="387">
        <f t="shared" si="643"/>
        <v>0.7</v>
      </c>
      <c r="AT913">
        <f t="shared" si="644"/>
        <v>1</v>
      </c>
      <c r="AU913" s="387">
        <f>IF(AT913=0,"",IF(AND(AT913=1,M913="F",SUMIF(C2:C1334,C913,AS2:AS1334)&lt;=1),SUMIF(C2:C1334,C913,AS2:AS1334),IF(AND(AT913=1,M913="F",SUMIF(C2:C1334,C913,AS2:AS1334)&gt;1),1,"")))</f>
        <v>1</v>
      </c>
      <c r="AV913" s="387" t="str">
        <f>IF(AT913=0,"",IF(AND(AT913=3,M913="F",SUMIF(C2:C1334,C913,AS2:AS1334)&lt;=1),SUMIF(C2:C1334,C913,AS2:AS1334),IF(AND(AT913=3,M913="F",SUMIF(C2:C1334,C913,AS2:AS1334)&gt;1),1,"")))</f>
        <v/>
      </c>
      <c r="AW913" s="387">
        <f>SUMIF(C2:C1334,C913,O2:O1334)</f>
        <v>3</v>
      </c>
      <c r="AX913" s="387">
        <f>IF(AND(M913="F",AS913&lt;&gt;0),SUMIF(C2:C1334,C913,W2:W1334),0)</f>
        <v>39291.199999999997</v>
      </c>
      <c r="AY913" s="387">
        <f t="shared" si="645"/>
        <v>27503.84</v>
      </c>
      <c r="AZ913" s="387" t="str">
        <f t="shared" si="646"/>
        <v/>
      </c>
      <c r="BA913" s="387">
        <f t="shared" si="647"/>
        <v>0</v>
      </c>
      <c r="BB913" s="387">
        <f t="shared" si="616"/>
        <v>8154.9999999999991</v>
      </c>
      <c r="BC913" s="387">
        <f t="shared" si="617"/>
        <v>0</v>
      </c>
      <c r="BD913" s="387">
        <f t="shared" si="618"/>
        <v>1705.2380800000001</v>
      </c>
      <c r="BE913" s="387">
        <f t="shared" si="619"/>
        <v>398.80568</v>
      </c>
      <c r="BF913" s="387">
        <f t="shared" si="620"/>
        <v>3283.9584960000002</v>
      </c>
      <c r="BG913" s="387">
        <f t="shared" si="621"/>
        <v>198.3026864</v>
      </c>
      <c r="BH913" s="387">
        <f t="shared" si="622"/>
        <v>134.76881599999999</v>
      </c>
      <c r="BI913" s="387">
        <f t="shared" si="623"/>
        <v>152.23375440000001</v>
      </c>
      <c r="BJ913" s="387">
        <f t="shared" si="624"/>
        <v>74.260368</v>
      </c>
      <c r="BK913" s="387">
        <f t="shared" si="625"/>
        <v>0</v>
      </c>
      <c r="BL913" s="387">
        <f t="shared" si="648"/>
        <v>5947.5678808000002</v>
      </c>
      <c r="BM913" s="387">
        <f t="shared" si="649"/>
        <v>0</v>
      </c>
      <c r="BN913" s="387">
        <f t="shared" si="626"/>
        <v>8154.9999999999991</v>
      </c>
      <c r="BO913" s="387">
        <f t="shared" si="627"/>
        <v>0</v>
      </c>
      <c r="BP913" s="387">
        <f t="shared" si="628"/>
        <v>1705.2380800000001</v>
      </c>
      <c r="BQ913" s="387">
        <f t="shared" si="629"/>
        <v>398.80568</v>
      </c>
      <c r="BR913" s="387">
        <f t="shared" si="630"/>
        <v>3283.9584960000002</v>
      </c>
      <c r="BS913" s="387">
        <f t="shared" si="631"/>
        <v>198.3026864</v>
      </c>
      <c r="BT913" s="387">
        <f t="shared" si="632"/>
        <v>0</v>
      </c>
      <c r="BU913" s="387">
        <f t="shared" si="633"/>
        <v>152.23375440000001</v>
      </c>
      <c r="BV913" s="387">
        <f t="shared" si="634"/>
        <v>93.513055999999992</v>
      </c>
      <c r="BW913" s="387">
        <f t="shared" si="635"/>
        <v>0</v>
      </c>
      <c r="BX913" s="387">
        <f t="shared" si="650"/>
        <v>5832.0517528</v>
      </c>
      <c r="BY913" s="387">
        <f t="shared" si="651"/>
        <v>0</v>
      </c>
      <c r="BZ913" s="387">
        <f t="shared" si="652"/>
        <v>0</v>
      </c>
      <c r="CA913" s="387">
        <f t="shared" si="653"/>
        <v>0</v>
      </c>
      <c r="CB913" s="387">
        <f t="shared" si="654"/>
        <v>0</v>
      </c>
      <c r="CC913" s="387">
        <f t="shared" si="636"/>
        <v>0</v>
      </c>
      <c r="CD913" s="387">
        <f t="shared" si="637"/>
        <v>0</v>
      </c>
      <c r="CE913" s="387">
        <f t="shared" si="638"/>
        <v>0</v>
      </c>
      <c r="CF913" s="387">
        <f t="shared" si="639"/>
        <v>-134.76881599999999</v>
      </c>
      <c r="CG913" s="387">
        <f t="shared" si="640"/>
        <v>0</v>
      </c>
      <c r="CH913" s="387">
        <f t="shared" si="641"/>
        <v>19.252687999999992</v>
      </c>
      <c r="CI913" s="387">
        <f t="shared" si="642"/>
        <v>0</v>
      </c>
      <c r="CJ913" s="387">
        <f t="shared" si="655"/>
        <v>-115.51612799999999</v>
      </c>
      <c r="CK913" s="387" t="str">
        <f t="shared" si="656"/>
        <v/>
      </c>
      <c r="CL913" s="387" t="str">
        <f t="shared" si="657"/>
        <v/>
      </c>
      <c r="CM913" s="387" t="str">
        <f t="shared" si="658"/>
        <v/>
      </c>
      <c r="CN913" s="387" t="str">
        <f t="shared" si="659"/>
        <v>0348-31</v>
      </c>
    </row>
    <row r="914" spans="1:92" ht="15.75" thickBot="1" x14ac:dyDescent="0.3">
      <c r="A914" s="376" t="s">
        <v>161</v>
      </c>
      <c r="B914" s="376" t="s">
        <v>162</v>
      </c>
      <c r="C914" s="376" t="s">
        <v>2102</v>
      </c>
      <c r="D914" s="376" t="s">
        <v>270</v>
      </c>
      <c r="E914" s="376" t="s">
        <v>224</v>
      </c>
      <c r="F914" s="382" t="s">
        <v>225</v>
      </c>
      <c r="G914" s="376" t="s">
        <v>1945</v>
      </c>
      <c r="H914" s="378"/>
      <c r="I914" s="378"/>
      <c r="J914" s="376" t="s">
        <v>215</v>
      </c>
      <c r="K914" s="376" t="s">
        <v>271</v>
      </c>
      <c r="L914" s="376" t="s">
        <v>217</v>
      </c>
      <c r="M914" s="376" t="s">
        <v>171</v>
      </c>
      <c r="N914" s="376" t="s">
        <v>172</v>
      </c>
      <c r="O914" s="379">
        <v>1</v>
      </c>
      <c r="P914" s="385">
        <v>1</v>
      </c>
      <c r="Q914" s="385">
        <v>1</v>
      </c>
      <c r="R914" s="380">
        <v>80</v>
      </c>
      <c r="S914" s="385">
        <v>1</v>
      </c>
      <c r="T914" s="380">
        <v>20509.2</v>
      </c>
      <c r="U914" s="380">
        <v>23.06</v>
      </c>
      <c r="V914" s="380">
        <v>12969.45</v>
      </c>
      <c r="W914" s="380">
        <v>33883.199999999997</v>
      </c>
      <c r="X914" s="380">
        <v>18977.2</v>
      </c>
      <c r="Y914" s="380">
        <v>33883.199999999997</v>
      </c>
      <c r="Z914" s="380">
        <v>18834.900000000001</v>
      </c>
      <c r="AA914" s="376" t="s">
        <v>2103</v>
      </c>
      <c r="AB914" s="376" t="s">
        <v>2104</v>
      </c>
      <c r="AC914" s="376" t="s">
        <v>2066</v>
      </c>
      <c r="AD914" s="376" t="s">
        <v>180</v>
      </c>
      <c r="AE914" s="376" t="s">
        <v>271</v>
      </c>
      <c r="AF914" s="376" t="s">
        <v>221</v>
      </c>
      <c r="AG914" s="376" t="s">
        <v>178</v>
      </c>
      <c r="AH914" s="381">
        <v>16.29</v>
      </c>
      <c r="AI914" s="379">
        <v>1401</v>
      </c>
      <c r="AJ914" s="376" t="s">
        <v>179</v>
      </c>
      <c r="AK914" s="376" t="s">
        <v>180</v>
      </c>
      <c r="AL914" s="376" t="s">
        <v>181</v>
      </c>
      <c r="AM914" s="376" t="s">
        <v>182</v>
      </c>
      <c r="AN914" s="376" t="s">
        <v>68</v>
      </c>
      <c r="AO914" s="379">
        <v>80</v>
      </c>
      <c r="AP914" s="385">
        <v>1</v>
      </c>
      <c r="AQ914" s="385">
        <v>1</v>
      </c>
      <c r="AR914" s="383" t="s">
        <v>183</v>
      </c>
      <c r="AS914" s="387">
        <f t="shared" si="643"/>
        <v>1</v>
      </c>
      <c r="AT914">
        <f t="shared" si="644"/>
        <v>1</v>
      </c>
      <c r="AU914" s="387">
        <f>IF(AT914=0,"",IF(AND(AT914=1,M914="F",SUMIF(C2:C1334,C914,AS2:AS1334)&lt;=1),SUMIF(C2:C1334,C914,AS2:AS1334),IF(AND(AT914=1,M914="F",SUMIF(C2:C1334,C914,AS2:AS1334)&gt;1),1,"")))</f>
        <v>1</v>
      </c>
      <c r="AV914" s="387" t="str">
        <f>IF(AT914=0,"",IF(AND(AT914=3,M914="F",SUMIF(C2:C1334,C914,AS2:AS1334)&lt;=1),SUMIF(C2:C1334,C914,AS2:AS1334),IF(AND(AT914=3,M914="F",SUMIF(C2:C1334,C914,AS2:AS1334)&gt;1),1,"")))</f>
        <v/>
      </c>
      <c r="AW914" s="387">
        <f>SUMIF(C2:C1334,C914,O2:O1334)</f>
        <v>1</v>
      </c>
      <c r="AX914" s="387">
        <f>IF(AND(M914="F",AS914&lt;&gt;0),SUMIF(C2:C1334,C914,W2:W1334),0)</f>
        <v>33883.199999999997</v>
      </c>
      <c r="AY914" s="387">
        <f t="shared" si="645"/>
        <v>33883.199999999997</v>
      </c>
      <c r="AZ914" s="387" t="str">
        <f t="shared" si="646"/>
        <v/>
      </c>
      <c r="BA914" s="387">
        <f t="shared" si="647"/>
        <v>0</v>
      </c>
      <c r="BB914" s="387">
        <f t="shared" si="616"/>
        <v>11650</v>
      </c>
      <c r="BC914" s="387">
        <f t="shared" si="617"/>
        <v>0</v>
      </c>
      <c r="BD914" s="387">
        <f t="shared" si="618"/>
        <v>2100.7583999999997</v>
      </c>
      <c r="BE914" s="387">
        <f t="shared" si="619"/>
        <v>491.3064</v>
      </c>
      <c r="BF914" s="387">
        <f t="shared" si="620"/>
        <v>4045.6540799999998</v>
      </c>
      <c r="BG914" s="387">
        <f t="shared" si="621"/>
        <v>244.29787199999998</v>
      </c>
      <c r="BH914" s="387">
        <f t="shared" si="622"/>
        <v>166.02767999999998</v>
      </c>
      <c r="BI914" s="387">
        <f t="shared" si="623"/>
        <v>187.54351199999999</v>
      </c>
      <c r="BJ914" s="387">
        <f t="shared" si="624"/>
        <v>91.484639999999999</v>
      </c>
      <c r="BK914" s="387">
        <f t="shared" si="625"/>
        <v>0</v>
      </c>
      <c r="BL914" s="387">
        <f t="shared" si="648"/>
        <v>7327.0725839999996</v>
      </c>
      <c r="BM914" s="387">
        <f t="shared" si="649"/>
        <v>0</v>
      </c>
      <c r="BN914" s="387">
        <f t="shared" si="626"/>
        <v>11650</v>
      </c>
      <c r="BO914" s="387">
        <f t="shared" si="627"/>
        <v>0</v>
      </c>
      <c r="BP914" s="387">
        <f t="shared" si="628"/>
        <v>2100.7583999999997</v>
      </c>
      <c r="BQ914" s="387">
        <f t="shared" si="629"/>
        <v>491.3064</v>
      </c>
      <c r="BR914" s="387">
        <f t="shared" si="630"/>
        <v>4045.6540799999998</v>
      </c>
      <c r="BS914" s="387">
        <f t="shared" si="631"/>
        <v>244.29787199999998</v>
      </c>
      <c r="BT914" s="387">
        <f t="shared" si="632"/>
        <v>0</v>
      </c>
      <c r="BU914" s="387">
        <f t="shared" si="633"/>
        <v>187.54351199999999</v>
      </c>
      <c r="BV914" s="387">
        <f t="shared" si="634"/>
        <v>115.20287999999998</v>
      </c>
      <c r="BW914" s="387">
        <f t="shared" si="635"/>
        <v>0</v>
      </c>
      <c r="BX914" s="387">
        <f t="shared" si="650"/>
        <v>7184.7631439999996</v>
      </c>
      <c r="BY914" s="387">
        <f t="shared" si="651"/>
        <v>0</v>
      </c>
      <c r="BZ914" s="387">
        <f t="shared" si="652"/>
        <v>0</v>
      </c>
      <c r="CA914" s="387">
        <f t="shared" si="653"/>
        <v>0</v>
      </c>
      <c r="CB914" s="387">
        <f t="shared" si="654"/>
        <v>0</v>
      </c>
      <c r="CC914" s="387">
        <f t="shared" si="636"/>
        <v>0</v>
      </c>
      <c r="CD914" s="387">
        <f t="shared" si="637"/>
        <v>0</v>
      </c>
      <c r="CE914" s="387">
        <f t="shared" si="638"/>
        <v>0</v>
      </c>
      <c r="CF914" s="387">
        <f t="shared" si="639"/>
        <v>-166.02767999999998</v>
      </c>
      <c r="CG914" s="387">
        <f t="shared" si="640"/>
        <v>0</v>
      </c>
      <c r="CH914" s="387">
        <f t="shared" si="641"/>
        <v>23.718239999999987</v>
      </c>
      <c r="CI914" s="387">
        <f t="shared" si="642"/>
        <v>0</v>
      </c>
      <c r="CJ914" s="387">
        <f t="shared" si="655"/>
        <v>-142.30944</v>
      </c>
      <c r="CK914" s="387" t="str">
        <f t="shared" si="656"/>
        <v/>
      </c>
      <c r="CL914" s="387" t="str">
        <f t="shared" si="657"/>
        <v/>
      </c>
      <c r="CM914" s="387" t="str">
        <f t="shared" si="658"/>
        <v/>
      </c>
      <c r="CN914" s="387" t="str">
        <f t="shared" si="659"/>
        <v>0348-31</v>
      </c>
    </row>
    <row r="915" spans="1:92" ht="15.75" thickBot="1" x14ac:dyDescent="0.3">
      <c r="A915" s="376" t="s">
        <v>161</v>
      </c>
      <c r="B915" s="376" t="s">
        <v>162</v>
      </c>
      <c r="C915" s="376" t="s">
        <v>2105</v>
      </c>
      <c r="D915" s="376" t="s">
        <v>238</v>
      </c>
      <c r="E915" s="376" t="s">
        <v>224</v>
      </c>
      <c r="F915" s="382" t="s">
        <v>225</v>
      </c>
      <c r="G915" s="376" t="s">
        <v>1945</v>
      </c>
      <c r="H915" s="378"/>
      <c r="I915" s="378"/>
      <c r="J915" s="376" t="s">
        <v>215</v>
      </c>
      <c r="K915" s="376" t="s">
        <v>285</v>
      </c>
      <c r="L915" s="376" t="s">
        <v>170</v>
      </c>
      <c r="M915" s="376" t="s">
        <v>171</v>
      </c>
      <c r="N915" s="376" t="s">
        <v>172</v>
      </c>
      <c r="O915" s="379">
        <v>1</v>
      </c>
      <c r="P915" s="385">
        <v>1</v>
      </c>
      <c r="Q915" s="385">
        <v>1</v>
      </c>
      <c r="R915" s="380">
        <v>80</v>
      </c>
      <c r="S915" s="385">
        <v>1</v>
      </c>
      <c r="T915" s="380">
        <v>46224.81</v>
      </c>
      <c r="U915" s="380">
        <v>396</v>
      </c>
      <c r="V915" s="380">
        <v>21172.58</v>
      </c>
      <c r="W915" s="380">
        <v>49025.599999999999</v>
      </c>
      <c r="X915" s="380">
        <v>22251.75</v>
      </c>
      <c r="Y915" s="380">
        <v>49025.599999999999</v>
      </c>
      <c r="Z915" s="380">
        <v>22045.85</v>
      </c>
      <c r="AA915" s="376" t="s">
        <v>2106</v>
      </c>
      <c r="AB915" s="376" t="s">
        <v>2107</v>
      </c>
      <c r="AC915" s="376" t="s">
        <v>2108</v>
      </c>
      <c r="AD915" s="376" t="s">
        <v>324</v>
      </c>
      <c r="AE915" s="376" t="s">
        <v>285</v>
      </c>
      <c r="AF915" s="376" t="s">
        <v>177</v>
      </c>
      <c r="AG915" s="376" t="s">
        <v>178</v>
      </c>
      <c r="AH915" s="381">
        <v>23.57</v>
      </c>
      <c r="AI915" s="379">
        <v>3719</v>
      </c>
      <c r="AJ915" s="376" t="s">
        <v>179</v>
      </c>
      <c r="AK915" s="376" t="s">
        <v>180</v>
      </c>
      <c r="AL915" s="376" t="s">
        <v>181</v>
      </c>
      <c r="AM915" s="376" t="s">
        <v>182</v>
      </c>
      <c r="AN915" s="376" t="s">
        <v>68</v>
      </c>
      <c r="AO915" s="379">
        <v>80</v>
      </c>
      <c r="AP915" s="385">
        <v>1</v>
      </c>
      <c r="AQ915" s="385">
        <v>1</v>
      </c>
      <c r="AR915" s="383" t="s">
        <v>183</v>
      </c>
      <c r="AS915" s="387">
        <f t="shared" si="643"/>
        <v>1</v>
      </c>
      <c r="AT915">
        <f t="shared" si="644"/>
        <v>1</v>
      </c>
      <c r="AU915" s="387">
        <f>IF(AT915=0,"",IF(AND(AT915=1,M915="F",SUMIF(C2:C1334,C915,AS2:AS1334)&lt;=1),SUMIF(C2:C1334,C915,AS2:AS1334),IF(AND(AT915=1,M915="F",SUMIF(C2:C1334,C915,AS2:AS1334)&gt;1),1,"")))</f>
        <v>1</v>
      </c>
      <c r="AV915" s="387" t="str">
        <f>IF(AT915=0,"",IF(AND(AT915=3,M915="F",SUMIF(C2:C1334,C915,AS2:AS1334)&lt;=1),SUMIF(C2:C1334,C915,AS2:AS1334),IF(AND(AT915=3,M915="F",SUMIF(C2:C1334,C915,AS2:AS1334)&gt;1),1,"")))</f>
        <v/>
      </c>
      <c r="AW915" s="387">
        <f>SUMIF(C2:C1334,C915,O2:O1334)</f>
        <v>1</v>
      </c>
      <c r="AX915" s="387">
        <f>IF(AND(M915="F",AS915&lt;&gt;0),SUMIF(C2:C1334,C915,W2:W1334),0)</f>
        <v>49025.599999999999</v>
      </c>
      <c r="AY915" s="387">
        <f t="shared" si="645"/>
        <v>49025.599999999999</v>
      </c>
      <c r="AZ915" s="387" t="str">
        <f t="shared" si="646"/>
        <v/>
      </c>
      <c r="BA915" s="387">
        <f t="shared" si="647"/>
        <v>0</v>
      </c>
      <c r="BB915" s="387">
        <f t="shared" si="616"/>
        <v>11650</v>
      </c>
      <c r="BC915" s="387">
        <f t="shared" si="617"/>
        <v>0</v>
      </c>
      <c r="BD915" s="387">
        <f t="shared" si="618"/>
        <v>3039.5871999999999</v>
      </c>
      <c r="BE915" s="387">
        <f t="shared" si="619"/>
        <v>710.87120000000004</v>
      </c>
      <c r="BF915" s="387">
        <f t="shared" si="620"/>
        <v>5853.6566400000002</v>
      </c>
      <c r="BG915" s="387">
        <f t="shared" si="621"/>
        <v>353.47457600000001</v>
      </c>
      <c r="BH915" s="387">
        <f t="shared" si="622"/>
        <v>240.22543999999999</v>
      </c>
      <c r="BI915" s="387">
        <f t="shared" si="623"/>
        <v>271.356696</v>
      </c>
      <c r="BJ915" s="387">
        <f t="shared" si="624"/>
        <v>132.36912000000001</v>
      </c>
      <c r="BK915" s="387">
        <f t="shared" si="625"/>
        <v>0</v>
      </c>
      <c r="BL915" s="387">
        <f t="shared" si="648"/>
        <v>10601.540872000001</v>
      </c>
      <c r="BM915" s="387">
        <f t="shared" si="649"/>
        <v>0</v>
      </c>
      <c r="BN915" s="387">
        <f t="shared" si="626"/>
        <v>11650</v>
      </c>
      <c r="BO915" s="387">
        <f t="shared" si="627"/>
        <v>0</v>
      </c>
      <c r="BP915" s="387">
        <f t="shared" si="628"/>
        <v>3039.5871999999999</v>
      </c>
      <c r="BQ915" s="387">
        <f t="shared" si="629"/>
        <v>710.87120000000004</v>
      </c>
      <c r="BR915" s="387">
        <f t="shared" si="630"/>
        <v>5853.6566400000002</v>
      </c>
      <c r="BS915" s="387">
        <f t="shared" si="631"/>
        <v>353.47457600000001</v>
      </c>
      <c r="BT915" s="387">
        <f t="shared" si="632"/>
        <v>0</v>
      </c>
      <c r="BU915" s="387">
        <f t="shared" si="633"/>
        <v>271.356696</v>
      </c>
      <c r="BV915" s="387">
        <f t="shared" si="634"/>
        <v>166.68704</v>
      </c>
      <c r="BW915" s="387">
        <f t="shared" si="635"/>
        <v>0</v>
      </c>
      <c r="BX915" s="387">
        <f t="shared" si="650"/>
        <v>10395.633352000003</v>
      </c>
      <c r="BY915" s="387">
        <f t="shared" si="651"/>
        <v>0</v>
      </c>
      <c r="BZ915" s="387">
        <f t="shared" si="652"/>
        <v>0</v>
      </c>
      <c r="CA915" s="387">
        <f t="shared" si="653"/>
        <v>0</v>
      </c>
      <c r="CB915" s="387">
        <f t="shared" si="654"/>
        <v>0</v>
      </c>
      <c r="CC915" s="387">
        <f t="shared" si="636"/>
        <v>0</v>
      </c>
      <c r="CD915" s="387">
        <f t="shared" si="637"/>
        <v>0</v>
      </c>
      <c r="CE915" s="387">
        <f t="shared" si="638"/>
        <v>0</v>
      </c>
      <c r="CF915" s="387">
        <f t="shared" si="639"/>
        <v>-240.22543999999999</v>
      </c>
      <c r="CG915" s="387">
        <f t="shared" si="640"/>
        <v>0</v>
      </c>
      <c r="CH915" s="387">
        <f t="shared" si="641"/>
        <v>34.31791999999998</v>
      </c>
      <c r="CI915" s="387">
        <f t="shared" si="642"/>
        <v>0</v>
      </c>
      <c r="CJ915" s="387">
        <f t="shared" si="655"/>
        <v>-205.90752000000001</v>
      </c>
      <c r="CK915" s="387" t="str">
        <f t="shared" si="656"/>
        <v/>
      </c>
      <c r="CL915" s="387" t="str">
        <f t="shared" si="657"/>
        <v/>
      </c>
      <c r="CM915" s="387" t="str">
        <f t="shared" si="658"/>
        <v/>
      </c>
      <c r="CN915" s="387" t="str">
        <f t="shared" si="659"/>
        <v>0348-31</v>
      </c>
    </row>
    <row r="916" spans="1:92" ht="15.75" thickBot="1" x14ac:dyDescent="0.3">
      <c r="A916" s="376" t="s">
        <v>161</v>
      </c>
      <c r="B916" s="376" t="s">
        <v>162</v>
      </c>
      <c r="C916" s="376" t="s">
        <v>2109</v>
      </c>
      <c r="D916" s="376" t="s">
        <v>862</v>
      </c>
      <c r="E916" s="376" t="s">
        <v>224</v>
      </c>
      <c r="F916" s="382" t="s">
        <v>225</v>
      </c>
      <c r="G916" s="376" t="s">
        <v>1945</v>
      </c>
      <c r="H916" s="378"/>
      <c r="I916" s="378"/>
      <c r="J916" s="376" t="s">
        <v>215</v>
      </c>
      <c r="K916" s="376" t="s">
        <v>863</v>
      </c>
      <c r="L916" s="376" t="s">
        <v>252</v>
      </c>
      <c r="M916" s="376" t="s">
        <v>272</v>
      </c>
      <c r="N916" s="376" t="s">
        <v>172</v>
      </c>
      <c r="O916" s="379">
        <v>0</v>
      </c>
      <c r="P916" s="385">
        <v>1</v>
      </c>
      <c r="Q916" s="385">
        <v>1</v>
      </c>
      <c r="R916" s="380">
        <v>80</v>
      </c>
      <c r="S916" s="385">
        <v>1</v>
      </c>
      <c r="T916" s="380">
        <v>7225.68</v>
      </c>
      <c r="U916" s="380">
        <v>0</v>
      </c>
      <c r="V916" s="380">
        <v>3838.2</v>
      </c>
      <c r="W916" s="380">
        <v>42328</v>
      </c>
      <c r="X916" s="380">
        <v>18539.66</v>
      </c>
      <c r="Y916" s="380">
        <v>42328</v>
      </c>
      <c r="Z916" s="380">
        <v>18328.02</v>
      </c>
      <c r="AA916" s="378"/>
      <c r="AB916" s="376" t="s">
        <v>45</v>
      </c>
      <c r="AC916" s="376" t="s">
        <v>45</v>
      </c>
      <c r="AD916" s="378"/>
      <c r="AE916" s="378"/>
      <c r="AF916" s="378"/>
      <c r="AG916" s="378"/>
      <c r="AH916" s="379">
        <v>0</v>
      </c>
      <c r="AI916" s="379">
        <v>0</v>
      </c>
      <c r="AJ916" s="378"/>
      <c r="AK916" s="378"/>
      <c r="AL916" s="376" t="s">
        <v>181</v>
      </c>
      <c r="AM916" s="378"/>
      <c r="AN916" s="378"/>
      <c r="AO916" s="379">
        <v>0</v>
      </c>
      <c r="AP916" s="385">
        <v>0</v>
      </c>
      <c r="AQ916" s="385">
        <v>0</v>
      </c>
      <c r="AR916" s="384"/>
      <c r="AS916" s="387">
        <f t="shared" si="643"/>
        <v>0</v>
      </c>
      <c r="AT916">
        <f t="shared" si="644"/>
        <v>0</v>
      </c>
      <c r="AU916" s="387" t="str">
        <f>IF(AT916=0,"",IF(AND(AT916=1,M916="F",SUMIF(C2:C1334,C916,AS2:AS1334)&lt;=1),SUMIF(C2:C1334,C916,AS2:AS1334),IF(AND(AT916=1,M916="F",SUMIF(C2:C1334,C916,AS2:AS1334)&gt;1),1,"")))</f>
        <v/>
      </c>
      <c r="AV916" s="387" t="str">
        <f>IF(AT916=0,"",IF(AND(AT916=3,M916="F",SUMIF(C2:C1334,C916,AS2:AS1334)&lt;=1),SUMIF(C2:C1334,C916,AS2:AS1334),IF(AND(AT916=3,M916="F",SUMIF(C2:C1334,C916,AS2:AS1334)&gt;1),1,"")))</f>
        <v/>
      </c>
      <c r="AW916" s="387">
        <f>SUMIF(C2:C1334,C916,O2:O1334)</f>
        <v>0</v>
      </c>
      <c r="AX916" s="387">
        <f>IF(AND(M916="F",AS916&lt;&gt;0),SUMIF(C2:C1334,C916,W2:W1334),0)</f>
        <v>0</v>
      </c>
      <c r="AY916" s="387" t="str">
        <f t="shared" si="645"/>
        <v/>
      </c>
      <c r="AZ916" s="387" t="str">
        <f t="shared" si="646"/>
        <v/>
      </c>
      <c r="BA916" s="387">
        <f t="shared" si="647"/>
        <v>0</v>
      </c>
      <c r="BB916" s="387">
        <f t="shared" si="616"/>
        <v>0</v>
      </c>
      <c r="BC916" s="387">
        <f t="shared" si="617"/>
        <v>0</v>
      </c>
      <c r="BD916" s="387">
        <f t="shared" si="618"/>
        <v>0</v>
      </c>
      <c r="BE916" s="387">
        <f t="shared" si="619"/>
        <v>0</v>
      </c>
      <c r="BF916" s="387">
        <f t="shared" si="620"/>
        <v>0</v>
      </c>
      <c r="BG916" s="387">
        <f t="shared" si="621"/>
        <v>0</v>
      </c>
      <c r="BH916" s="387">
        <f t="shared" si="622"/>
        <v>0</v>
      </c>
      <c r="BI916" s="387">
        <f t="shared" si="623"/>
        <v>0</v>
      </c>
      <c r="BJ916" s="387">
        <f t="shared" si="624"/>
        <v>0</v>
      </c>
      <c r="BK916" s="387">
        <f t="shared" si="625"/>
        <v>0</v>
      </c>
      <c r="BL916" s="387">
        <f t="shared" si="648"/>
        <v>0</v>
      </c>
      <c r="BM916" s="387">
        <f t="shared" si="649"/>
        <v>0</v>
      </c>
      <c r="BN916" s="387">
        <f t="shared" si="626"/>
        <v>0</v>
      </c>
      <c r="BO916" s="387">
        <f t="shared" si="627"/>
        <v>0</v>
      </c>
      <c r="BP916" s="387">
        <f t="shared" si="628"/>
        <v>0</v>
      </c>
      <c r="BQ916" s="387">
        <f t="shared" si="629"/>
        <v>0</v>
      </c>
      <c r="BR916" s="387">
        <f t="shared" si="630"/>
        <v>0</v>
      </c>
      <c r="BS916" s="387">
        <f t="shared" si="631"/>
        <v>0</v>
      </c>
      <c r="BT916" s="387">
        <f t="shared" si="632"/>
        <v>0</v>
      </c>
      <c r="BU916" s="387">
        <f t="shared" si="633"/>
        <v>0</v>
      </c>
      <c r="BV916" s="387">
        <f t="shared" si="634"/>
        <v>0</v>
      </c>
      <c r="BW916" s="387">
        <f t="shared" si="635"/>
        <v>0</v>
      </c>
      <c r="BX916" s="387">
        <f t="shared" si="650"/>
        <v>0</v>
      </c>
      <c r="BY916" s="387">
        <f t="shared" si="651"/>
        <v>0</v>
      </c>
      <c r="BZ916" s="387">
        <f t="shared" si="652"/>
        <v>0</v>
      </c>
      <c r="CA916" s="387">
        <f t="shared" si="653"/>
        <v>0</v>
      </c>
      <c r="CB916" s="387">
        <f t="shared" si="654"/>
        <v>0</v>
      </c>
      <c r="CC916" s="387">
        <f t="shared" si="636"/>
        <v>0</v>
      </c>
      <c r="CD916" s="387">
        <f t="shared" si="637"/>
        <v>0</v>
      </c>
      <c r="CE916" s="387">
        <f t="shared" si="638"/>
        <v>0</v>
      </c>
      <c r="CF916" s="387">
        <f t="shared" si="639"/>
        <v>0</v>
      </c>
      <c r="CG916" s="387">
        <f t="shared" si="640"/>
        <v>0</v>
      </c>
      <c r="CH916" s="387">
        <f t="shared" si="641"/>
        <v>0</v>
      </c>
      <c r="CI916" s="387">
        <f t="shared" si="642"/>
        <v>0</v>
      </c>
      <c r="CJ916" s="387">
        <f t="shared" si="655"/>
        <v>0</v>
      </c>
      <c r="CK916" s="387" t="str">
        <f t="shared" si="656"/>
        <v/>
      </c>
      <c r="CL916" s="387" t="str">
        <f t="shared" si="657"/>
        <v/>
      </c>
      <c r="CM916" s="387" t="str">
        <f t="shared" si="658"/>
        <v/>
      </c>
      <c r="CN916" s="387" t="str">
        <f t="shared" si="659"/>
        <v>0348-31</v>
      </c>
    </row>
    <row r="917" spans="1:92" ht="15.75" thickBot="1" x14ac:dyDescent="0.3">
      <c r="A917" s="376" t="s">
        <v>161</v>
      </c>
      <c r="B917" s="376" t="s">
        <v>162</v>
      </c>
      <c r="C917" s="376" t="s">
        <v>1369</v>
      </c>
      <c r="D917" s="376" t="s">
        <v>862</v>
      </c>
      <c r="E917" s="376" t="s">
        <v>224</v>
      </c>
      <c r="F917" s="382" t="s">
        <v>225</v>
      </c>
      <c r="G917" s="376" t="s">
        <v>1945</v>
      </c>
      <c r="H917" s="378"/>
      <c r="I917" s="378"/>
      <c r="J917" s="376" t="s">
        <v>168</v>
      </c>
      <c r="K917" s="376" t="s">
        <v>863</v>
      </c>
      <c r="L917" s="376" t="s">
        <v>252</v>
      </c>
      <c r="M917" s="376" t="s">
        <v>171</v>
      </c>
      <c r="N917" s="376" t="s">
        <v>172</v>
      </c>
      <c r="O917" s="379">
        <v>1</v>
      </c>
      <c r="P917" s="385">
        <v>0.1</v>
      </c>
      <c r="Q917" s="385">
        <v>0.1</v>
      </c>
      <c r="R917" s="380">
        <v>80</v>
      </c>
      <c r="S917" s="385">
        <v>0.1</v>
      </c>
      <c r="T917" s="380">
        <v>2321.2600000000002</v>
      </c>
      <c r="U917" s="380">
        <v>0</v>
      </c>
      <c r="V917" s="380">
        <v>1179.9100000000001</v>
      </c>
      <c r="W917" s="380">
        <v>4484.4799999999996</v>
      </c>
      <c r="X917" s="380">
        <v>2134.7600000000002</v>
      </c>
      <c r="Y917" s="380">
        <v>4484.4799999999996</v>
      </c>
      <c r="Z917" s="380">
        <v>2115.9299999999998</v>
      </c>
      <c r="AA917" s="376" t="s">
        <v>1370</v>
      </c>
      <c r="AB917" s="376" t="s">
        <v>1371</v>
      </c>
      <c r="AC917" s="376" t="s">
        <v>1372</v>
      </c>
      <c r="AD917" s="376" t="s">
        <v>292</v>
      </c>
      <c r="AE917" s="376" t="s">
        <v>863</v>
      </c>
      <c r="AF917" s="376" t="s">
        <v>393</v>
      </c>
      <c r="AG917" s="376" t="s">
        <v>178</v>
      </c>
      <c r="AH917" s="381">
        <v>21.56</v>
      </c>
      <c r="AI917" s="381">
        <v>20290.7</v>
      </c>
      <c r="AJ917" s="376" t="s">
        <v>179</v>
      </c>
      <c r="AK917" s="376" t="s">
        <v>180</v>
      </c>
      <c r="AL917" s="376" t="s">
        <v>181</v>
      </c>
      <c r="AM917" s="376" t="s">
        <v>182</v>
      </c>
      <c r="AN917" s="376" t="s">
        <v>68</v>
      </c>
      <c r="AO917" s="379">
        <v>80</v>
      </c>
      <c r="AP917" s="385">
        <v>1</v>
      </c>
      <c r="AQ917" s="385">
        <v>0.1</v>
      </c>
      <c r="AR917" s="383" t="s">
        <v>183</v>
      </c>
      <c r="AS917" s="387">
        <f t="shared" si="643"/>
        <v>0.1</v>
      </c>
      <c r="AT917">
        <f t="shared" si="644"/>
        <v>1</v>
      </c>
      <c r="AU917" s="387">
        <f>IF(AT917=0,"",IF(AND(AT917=1,M917="F",SUMIF(C2:C1334,C917,AS2:AS1334)&lt;=1),SUMIF(C2:C1334,C917,AS2:AS1334),IF(AND(AT917=1,M917="F",SUMIF(C2:C1334,C917,AS2:AS1334)&gt;1),1,"")))</f>
        <v>1</v>
      </c>
      <c r="AV917" s="387" t="str">
        <f>IF(AT917=0,"",IF(AND(AT917=3,M917="F",SUMIF(C2:C1334,C917,AS2:AS1334)&lt;=1),SUMIF(C2:C1334,C917,AS2:AS1334),IF(AND(AT917=3,M917="F",SUMIF(C2:C1334,C917,AS2:AS1334)&gt;1),1,"")))</f>
        <v/>
      </c>
      <c r="AW917" s="387">
        <f>SUMIF(C2:C1334,C917,O2:O1334)</f>
        <v>3</v>
      </c>
      <c r="AX917" s="387">
        <f>IF(AND(M917="F",AS917&lt;&gt;0),SUMIF(C2:C1334,C917,W2:W1334),0)</f>
        <v>44844.800000000003</v>
      </c>
      <c r="AY917" s="387">
        <f t="shared" si="645"/>
        <v>4484.4799999999996</v>
      </c>
      <c r="AZ917" s="387" t="str">
        <f t="shared" si="646"/>
        <v/>
      </c>
      <c r="BA917" s="387">
        <f t="shared" si="647"/>
        <v>0</v>
      </c>
      <c r="BB917" s="387">
        <f t="shared" si="616"/>
        <v>1165</v>
      </c>
      <c r="BC917" s="387">
        <f t="shared" si="617"/>
        <v>0</v>
      </c>
      <c r="BD917" s="387">
        <f t="shared" si="618"/>
        <v>278.03775999999999</v>
      </c>
      <c r="BE917" s="387">
        <f t="shared" si="619"/>
        <v>65.024959999999993</v>
      </c>
      <c r="BF917" s="387">
        <f t="shared" si="620"/>
        <v>535.446912</v>
      </c>
      <c r="BG917" s="387">
        <f t="shared" si="621"/>
        <v>32.333100799999997</v>
      </c>
      <c r="BH917" s="387">
        <f t="shared" si="622"/>
        <v>21.973951999999997</v>
      </c>
      <c r="BI917" s="387">
        <f t="shared" si="623"/>
        <v>24.821596799999998</v>
      </c>
      <c r="BJ917" s="387">
        <f t="shared" si="624"/>
        <v>12.108096</v>
      </c>
      <c r="BK917" s="387">
        <f t="shared" si="625"/>
        <v>0</v>
      </c>
      <c r="BL917" s="387">
        <f t="shared" si="648"/>
        <v>969.74637760000007</v>
      </c>
      <c r="BM917" s="387">
        <f t="shared" si="649"/>
        <v>0</v>
      </c>
      <c r="BN917" s="387">
        <f t="shared" si="626"/>
        <v>1165</v>
      </c>
      <c r="BO917" s="387">
        <f t="shared" si="627"/>
        <v>0</v>
      </c>
      <c r="BP917" s="387">
        <f t="shared" si="628"/>
        <v>278.03775999999999</v>
      </c>
      <c r="BQ917" s="387">
        <f t="shared" si="629"/>
        <v>65.024959999999993</v>
      </c>
      <c r="BR917" s="387">
        <f t="shared" si="630"/>
        <v>535.446912</v>
      </c>
      <c r="BS917" s="387">
        <f t="shared" si="631"/>
        <v>32.333100799999997</v>
      </c>
      <c r="BT917" s="387">
        <f t="shared" si="632"/>
        <v>0</v>
      </c>
      <c r="BU917" s="387">
        <f t="shared" si="633"/>
        <v>24.821596799999998</v>
      </c>
      <c r="BV917" s="387">
        <f t="shared" si="634"/>
        <v>15.247231999999997</v>
      </c>
      <c r="BW917" s="387">
        <f t="shared" si="635"/>
        <v>0</v>
      </c>
      <c r="BX917" s="387">
        <f t="shared" si="650"/>
        <v>950.91156159999991</v>
      </c>
      <c r="BY917" s="387">
        <f t="shared" si="651"/>
        <v>0</v>
      </c>
      <c r="BZ917" s="387">
        <f t="shared" si="652"/>
        <v>0</v>
      </c>
      <c r="CA917" s="387">
        <f t="shared" si="653"/>
        <v>0</v>
      </c>
      <c r="CB917" s="387">
        <f t="shared" si="654"/>
        <v>0</v>
      </c>
      <c r="CC917" s="387">
        <f t="shared" si="636"/>
        <v>0</v>
      </c>
      <c r="CD917" s="387">
        <f t="shared" si="637"/>
        <v>0</v>
      </c>
      <c r="CE917" s="387">
        <f t="shared" si="638"/>
        <v>0</v>
      </c>
      <c r="CF917" s="387">
        <f t="shared" si="639"/>
        <v>-21.973951999999997</v>
      </c>
      <c r="CG917" s="387">
        <f t="shared" si="640"/>
        <v>0</v>
      </c>
      <c r="CH917" s="387">
        <f t="shared" si="641"/>
        <v>3.1391359999999984</v>
      </c>
      <c r="CI917" s="387">
        <f t="shared" si="642"/>
        <v>0</v>
      </c>
      <c r="CJ917" s="387">
        <f t="shared" si="655"/>
        <v>-18.834816</v>
      </c>
      <c r="CK917" s="387" t="str">
        <f t="shared" si="656"/>
        <v/>
      </c>
      <c r="CL917" s="387" t="str">
        <f t="shared" si="657"/>
        <v/>
      </c>
      <c r="CM917" s="387" t="str">
        <f t="shared" si="658"/>
        <v/>
      </c>
      <c r="CN917" s="387" t="str">
        <f t="shared" si="659"/>
        <v>0348-31</v>
      </c>
    </row>
    <row r="918" spans="1:92" ht="15.75" thickBot="1" x14ac:dyDescent="0.3">
      <c r="A918" s="376" t="s">
        <v>161</v>
      </c>
      <c r="B918" s="376" t="s">
        <v>162</v>
      </c>
      <c r="C918" s="376" t="s">
        <v>2110</v>
      </c>
      <c r="D918" s="376" t="s">
        <v>238</v>
      </c>
      <c r="E918" s="376" t="s">
        <v>224</v>
      </c>
      <c r="F918" s="382" t="s">
        <v>225</v>
      </c>
      <c r="G918" s="376" t="s">
        <v>1945</v>
      </c>
      <c r="H918" s="378"/>
      <c r="I918" s="378"/>
      <c r="J918" s="376" t="s">
        <v>215</v>
      </c>
      <c r="K918" s="376" t="s">
        <v>285</v>
      </c>
      <c r="L918" s="376" t="s">
        <v>170</v>
      </c>
      <c r="M918" s="376" t="s">
        <v>171</v>
      </c>
      <c r="N918" s="376" t="s">
        <v>172</v>
      </c>
      <c r="O918" s="379">
        <v>1</v>
      </c>
      <c r="P918" s="385">
        <v>1</v>
      </c>
      <c r="Q918" s="385">
        <v>1</v>
      </c>
      <c r="R918" s="380">
        <v>80</v>
      </c>
      <c r="S918" s="385">
        <v>1</v>
      </c>
      <c r="T918" s="380">
        <v>50328.87</v>
      </c>
      <c r="U918" s="380">
        <v>141.71</v>
      </c>
      <c r="V918" s="380">
        <v>21849.18</v>
      </c>
      <c r="W918" s="380">
        <v>52332.800000000003</v>
      </c>
      <c r="X918" s="380">
        <v>22966.93</v>
      </c>
      <c r="Y918" s="380">
        <v>52332.800000000003</v>
      </c>
      <c r="Z918" s="380">
        <v>22747.14</v>
      </c>
      <c r="AA918" s="376" t="s">
        <v>2111</v>
      </c>
      <c r="AB918" s="376" t="s">
        <v>2112</v>
      </c>
      <c r="AC918" s="376" t="s">
        <v>533</v>
      </c>
      <c r="AD918" s="376" t="s">
        <v>268</v>
      </c>
      <c r="AE918" s="376" t="s">
        <v>285</v>
      </c>
      <c r="AF918" s="376" t="s">
        <v>177</v>
      </c>
      <c r="AG918" s="376" t="s">
        <v>178</v>
      </c>
      <c r="AH918" s="381">
        <v>25.16</v>
      </c>
      <c r="AI918" s="381">
        <v>17833.7</v>
      </c>
      <c r="AJ918" s="376" t="s">
        <v>179</v>
      </c>
      <c r="AK918" s="376" t="s">
        <v>180</v>
      </c>
      <c r="AL918" s="376" t="s">
        <v>181</v>
      </c>
      <c r="AM918" s="376" t="s">
        <v>182</v>
      </c>
      <c r="AN918" s="376" t="s">
        <v>68</v>
      </c>
      <c r="AO918" s="379">
        <v>80</v>
      </c>
      <c r="AP918" s="385">
        <v>1</v>
      </c>
      <c r="AQ918" s="385">
        <v>1</v>
      </c>
      <c r="AR918" s="383" t="s">
        <v>183</v>
      </c>
      <c r="AS918" s="387">
        <f t="shared" si="643"/>
        <v>1</v>
      </c>
      <c r="AT918">
        <f t="shared" si="644"/>
        <v>1</v>
      </c>
      <c r="AU918" s="387">
        <f>IF(AT918=0,"",IF(AND(AT918=1,M918="F",SUMIF(C2:C1334,C918,AS2:AS1334)&lt;=1),SUMIF(C2:C1334,C918,AS2:AS1334),IF(AND(AT918=1,M918="F",SUMIF(C2:C1334,C918,AS2:AS1334)&gt;1),1,"")))</f>
        <v>1</v>
      </c>
      <c r="AV918" s="387" t="str">
        <f>IF(AT918=0,"",IF(AND(AT918=3,M918="F",SUMIF(C2:C1334,C918,AS2:AS1334)&lt;=1),SUMIF(C2:C1334,C918,AS2:AS1334),IF(AND(AT918=3,M918="F",SUMIF(C2:C1334,C918,AS2:AS1334)&gt;1),1,"")))</f>
        <v/>
      </c>
      <c r="AW918" s="387">
        <f>SUMIF(C2:C1334,C918,O2:O1334)</f>
        <v>1</v>
      </c>
      <c r="AX918" s="387">
        <f>IF(AND(M918="F",AS918&lt;&gt;0),SUMIF(C2:C1334,C918,W2:W1334),0)</f>
        <v>52332.800000000003</v>
      </c>
      <c r="AY918" s="387">
        <f t="shared" si="645"/>
        <v>52332.800000000003</v>
      </c>
      <c r="AZ918" s="387" t="str">
        <f t="shared" si="646"/>
        <v/>
      </c>
      <c r="BA918" s="387">
        <f t="shared" si="647"/>
        <v>0</v>
      </c>
      <c r="BB918" s="387">
        <f t="shared" si="616"/>
        <v>11650</v>
      </c>
      <c r="BC918" s="387">
        <f t="shared" si="617"/>
        <v>0</v>
      </c>
      <c r="BD918" s="387">
        <f t="shared" si="618"/>
        <v>3244.6336000000001</v>
      </c>
      <c r="BE918" s="387">
        <f t="shared" si="619"/>
        <v>758.82560000000012</v>
      </c>
      <c r="BF918" s="387">
        <f t="shared" si="620"/>
        <v>6248.5363200000011</v>
      </c>
      <c r="BG918" s="387">
        <f t="shared" si="621"/>
        <v>377.31948800000004</v>
      </c>
      <c r="BH918" s="387">
        <f t="shared" si="622"/>
        <v>256.43072000000001</v>
      </c>
      <c r="BI918" s="387">
        <f t="shared" si="623"/>
        <v>289.66204800000003</v>
      </c>
      <c r="BJ918" s="387">
        <f t="shared" si="624"/>
        <v>141.29856000000001</v>
      </c>
      <c r="BK918" s="387">
        <f t="shared" si="625"/>
        <v>0</v>
      </c>
      <c r="BL918" s="387">
        <f t="shared" si="648"/>
        <v>11316.706335999999</v>
      </c>
      <c r="BM918" s="387">
        <f t="shared" si="649"/>
        <v>0</v>
      </c>
      <c r="BN918" s="387">
        <f t="shared" si="626"/>
        <v>11650</v>
      </c>
      <c r="BO918" s="387">
        <f t="shared" si="627"/>
        <v>0</v>
      </c>
      <c r="BP918" s="387">
        <f t="shared" si="628"/>
        <v>3244.6336000000001</v>
      </c>
      <c r="BQ918" s="387">
        <f t="shared" si="629"/>
        <v>758.82560000000012</v>
      </c>
      <c r="BR918" s="387">
        <f t="shared" si="630"/>
        <v>6248.5363200000011</v>
      </c>
      <c r="BS918" s="387">
        <f t="shared" si="631"/>
        <v>377.31948800000004</v>
      </c>
      <c r="BT918" s="387">
        <f t="shared" si="632"/>
        <v>0</v>
      </c>
      <c r="BU918" s="387">
        <f t="shared" si="633"/>
        <v>289.66204800000003</v>
      </c>
      <c r="BV918" s="387">
        <f t="shared" si="634"/>
        <v>177.93152000000001</v>
      </c>
      <c r="BW918" s="387">
        <f t="shared" si="635"/>
        <v>0</v>
      </c>
      <c r="BX918" s="387">
        <f t="shared" si="650"/>
        <v>11096.908576</v>
      </c>
      <c r="BY918" s="387">
        <f t="shared" si="651"/>
        <v>0</v>
      </c>
      <c r="BZ918" s="387">
        <f t="shared" si="652"/>
        <v>0</v>
      </c>
      <c r="CA918" s="387">
        <f t="shared" si="653"/>
        <v>0</v>
      </c>
      <c r="CB918" s="387">
        <f t="shared" si="654"/>
        <v>0</v>
      </c>
      <c r="CC918" s="387">
        <f t="shared" si="636"/>
        <v>0</v>
      </c>
      <c r="CD918" s="387">
        <f t="shared" si="637"/>
        <v>0</v>
      </c>
      <c r="CE918" s="387">
        <f t="shared" si="638"/>
        <v>0</v>
      </c>
      <c r="CF918" s="387">
        <f t="shared" si="639"/>
        <v>-256.43072000000001</v>
      </c>
      <c r="CG918" s="387">
        <f t="shared" si="640"/>
        <v>0</v>
      </c>
      <c r="CH918" s="387">
        <f t="shared" si="641"/>
        <v>36.632959999999983</v>
      </c>
      <c r="CI918" s="387">
        <f t="shared" si="642"/>
        <v>0</v>
      </c>
      <c r="CJ918" s="387">
        <f t="shared" si="655"/>
        <v>-219.79776000000004</v>
      </c>
      <c r="CK918" s="387" t="str">
        <f t="shared" si="656"/>
        <v/>
      </c>
      <c r="CL918" s="387" t="str">
        <f t="shared" si="657"/>
        <v/>
      </c>
      <c r="CM918" s="387" t="str">
        <f t="shared" si="658"/>
        <v/>
      </c>
      <c r="CN918" s="387" t="str">
        <f t="shared" si="659"/>
        <v>0348-31</v>
      </c>
    </row>
    <row r="919" spans="1:92" ht="15.75" thickBot="1" x14ac:dyDescent="0.3">
      <c r="A919" s="376" t="s">
        <v>161</v>
      </c>
      <c r="B919" s="376" t="s">
        <v>162</v>
      </c>
      <c r="C919" s="376" t="s">
        <v>237</v>
      </c>
      <c r="D919" s="376" t="s">
        <v>238</v>
      </c>
      <c r="E919" s="376" t="s">
        <v>224</v>
      </c>
      <c r="F919" s="382" t="s">
        <v>225</v>
      </c>
      <c r="G919" s="376" t="s">
        <v>1945</v>
      </c>
      <c r="H919" s="378"/>
      <c r="I919" s="378"/>
      <c r="J919" s="376" t="s">
        <v>239</v>
      </c>
      <c r="K919" s="376" t="s">
        <v>240</v>
      </c>
      <c r="L919" s="376" t="s">
        <v>210</v>
      </c>
      <c r="M919" s="376" t="s">
        <v>171</v>
      </c>
      <c r="N919" s="376" t="s">
        <v>172</v>
      </c>
      <c r="O919" s="379">
        <v>1</v>
      </c>
      <c r="P919" s="385">
        <v>0.3</v>
      </c>
      <c r="Q919" s="385">
        <v>0.3</v>
      </c>
      <c r="R919" s="380">
        <v>80</v>
      </c>
      <c r="S919" s="385">
        <v>0.3</v>
      </c>
      <c r="T919" s="380">
        <v>10602.87</v>
      </c>
      <c r="U919" s="380">
        <v>0</v>
      </c>
      <c r="V919" s="380">
        <v>4100.16</v>
      </c>
      <c r="W919" s="380">
        <v>20972.639999999999</v>
      </c>
      <c r="X919" s="380">
        <v>8030.32</v>
      </c>
      <c r="Y919" s="380">
        <v>20972.639999999999</v>
      </c>
      <c r="Z919" s="380">
        <v>7942.23</v>
      </c>
      <c r="AA919" s="376" t="s">
        <v>241</v>
      </c>
      <c r="AB919" s="376" t="s">
        <v>242</v>
      </c>
      <c r="AC919" s="376" t="s">
        <v>243</v>
      </c>
      <c r="AD919" s="376" t="s">
        <v>244</v>
      </c>
      <c r="AE919" s="376" t="s">
        <v>240</v>
      </c>
      <c r="AF919" s="376" t="s">
        <v>245</v>
      </c>
      <c r="AG919" s="376" t="s">
        <v>178</v>
      </c>
      <c r="AH919" s="381">
        <v>33.61</v>
      </c>
      <c r="AI919" s="381">
        <v>17909.099999999999</v>
      </c>
      <c r="AJ919" s="376" t="s">
        <v>179</v>
      </c>
      <c r="AK919" s="376" t="s">
        <v>180</v>
      </c>
      <c r="AL919" s="376" t="s">
        <v>181</v>
      </c>
      <c r="AM919" s="376" t="s">
        <v>182</v>
      </c>
      <c r="AN919" s="376" t="s">
        <v>68</v>
      </c>
      <c r="AO919" s="379">
        <v>80</v>
      </c>
      <c r="AP919" s="385">
        <v>1</v>
      </c>
      <c r="AQ919" s="385">
        <v>0.3</v>
      </c>
      <c r="AR919" s="383" t="s">
        <v>183</v>
      </c>
      <c r="AS919" s="387">
        <f t="shared" si="643"/>
        <v>0.3</v>
      </c>
      <c r="AT919">
        <f t="shared" si="644"/>
        <v>1</v>
      </c>
      <c r="AU919" s="387">
        <f>IF(AT919=0,"",IF(AND(AT919=1,M919="F",SUMIF(C2:C1334,C919,AS2:AS1334)&lt;=1),SUMIF(C2:C1334,C919,AS2:AS1334),IF(AND(AT919=1,M919="F",SUMIF(C2:C1334,C919,AS2:AS1334)&gt;1),1,"")))</f>
        <v>1</v>
      </c>
      <c r="AV919" s="387" t="str">
        <f>IF(AT919=0,"",IF(AND(AT919=3,M919="F",SUMIF(C2:C1334,C919,AS2:AS1334)&lt;=1),SUMIF(C2:C1334,C919,AS2:AS1334),IF(AND(AT919=3,M919="F",SUMIF(C2:C1334,C919,AS2:AS1334)&gt;1),1,"")))</f>
        <v/>
      </c>
      <c r="AW919" s="387">
        <f>SUMIF(C2:C1334,C919,O2:O1334)</f>
        <v>6</v>
      </c>
      <c r="AX919" s="387">
        <f>IF(AND(M919="F",AS919&lt;&gt;0),SUMIF(C2:C1334,C919,W2:W1334),0)</f>
        <v>69908.800000000003</v>
      </c>
      <c r="AY919" s="387">
        <f t="shared" si="645"/>
        <v>20972.639999999999</v>
      </c>
      <c r="AZ919" s="387" t="str">
        <f t="shared" si="646"/>
        <v/>
      </c>
      <c r="BA919" s="387">
        <f t="shared" si="647"/>
        <v>0</v>
      </c>
      <c r="BB919" s="387">
        <f t="shared" si="616"/>
        <v>3495</v>
      </c>
      <c r="BC919" s="387">
        <f t="shared" si="617"/>
        <v>0</v>
      </c>
      <c r="BD919" s="387">
        <f t="shared" si="618"/>
        <v>1300.30368</v>
      </c>
      <c r="BE919" s="387">
        <f t="shared" si="619"/>
        <v>304.10327999999998</v>
      </c>
      <c r="BF919" s="387">
        <f t="shared" si="620"/>
        <v>2504.1332160000002</v>
      </c>
      <c r="BG919" s="387">
        <f t="shared" si="621"/>
        <v>151.21273439999999</v>
      </c>
      <c r="BH919" s="387">
        <f t="shared" si="622"/>
        <v>102.765936</v>
      </c>
      <c r="BI919" s="387">
        <f t="shared" si="623"/>
        <v>116.08356239999999</v>
      </c>
      <c r="BJ919" s="387">
        <f t="shared" si="624"/>
        <v>56.626128000000001</v>
      </c>
      <c r="BK919" s="387">
        <f t="shared" si="625"/>
        <v>0</v>
      </c>
      <c r="BL919" s="387">
        <f t="shared" si="648"/>
        <v>4535.2285368000003</v>
      </c>
      <c r="BM919" s="387">
        <f t="shared" si="649"/>
        <v>0</v>
      </c>
      <c r="BN919" s="387">
        <f t="shared" si="626"/>
        <v>3495</v>
      </c>
      <c r="BO919" s="387">
        <f t="shared" si="627"/>
        <v>0</v>
      </c>
      <c r="BP919" s="387">
        <f t="shared" si="628"/>
        <v>1300.30368</v>
      </c>
      <c r="BQ919" s="387">
        <f t="shared" si="629"/>
        <v>304.10327999999998</v>
      </c>
      <c r="BR919" s="387">
        <f t="shared" si="630"/>
        <v>2504.1332160000002</v>
      </c>
      <c r="BS919" s="387">
        <f t="shared" si="631"/>
        <v>151.21273439999999</v>
      </c>
      <c r="BT919" s="387">
        <f t="shared" si="632"/>
        <v>0</v>
      </c>
      <c r="BU919" s="387">
        <f t="shared" si="633"/>
        <v>116.08356239999999</v>
      </c>
      <c r="BV919" s="387">
        <f t="shared" si="634"/>
        <v>71.306975999999992</v>
      </c>
      <c r="BW919" s="387">
        <f t="shared" si="635"/>
        <v>0</v>
      </c>
      <c r="BX919" s="387">
        <f t="shared" si="650"/>
        <v>4447.1434488000004</v>
      </c>
      <c r="BY919" s="387">
        <f t="shared" si="651"/>
        <v>0</v>
      </c>
      <c r="BZ919" s="387">
        <f t="shared" si="652"/>
        <v>0</v>
      </c>
      <c r="CA919" s="387">
        <f t="shared" si="653"/>
        <v>0</v>
      </c>
      <c r="CB919" s="387">
        <f t="shared" si="654"/>
        <v>0</v>
      </c>
      <c r="CC919" s="387">
        <f t="shared" si="636"/>
        <v>0</v>
      </c>
      <c r="CD919" s="387">
        <f t="shared" si="637"/>
        <v>0</v>
      </c>
      <c r="CE919" s="387">
        <f t="shared" si="638"/>
        <v>0</v>
      </c>
      <c r="CF919" s="387">
        <f t="shared" si="639"/>
        <v>-102.765936</v>
      </c>
      <c r="CG919" s="387">
        <f t="shared" si="640"/>
        <v>0</v>
      </c>
      <c r="CH919" s="387">
        <f t="shared" si="641"/>
        <v>14.680847999999992</v>
      </c>
      <c r="CI919" s="387">
        <f t="shared" si="642"/>
        <v>0</v>
      </c>
      <c r="CJ919" s="387">
        <f t="shared" si="655"/>
        <v>-88.085087999999999</v>
      </c>
      <c r="CK919" s="387" t="str">
        <f t="shared" si="656"/>
        <v/>
      </c>
      <c r="CL919" s="387" t="str">
        <f t="shared" si="657"/>
        <v/>
      </c>
      <c r="CM919" s="387" t="str">
        <f t="shared" si="658"/>
        <v/>
      </c>
      <c r="CN919" s="387" t="str">
        <f t="shared" si="659"/>
        <v>0348-31</v>
      </c>
    </row>
    <row r="920" spans="1:92" ht="15.75" thickBot="1" x14ac:dyDescent="0.3">
      <c r="A920" s="376" t="s">
        <v>161</v>
      </c>
      <c r="B920" s="376" t="s">
        <v>162</v>
      </c>
      <c r="C920" s="376" t="s">
        <v>1158</v>
      </c>
      <c r="D920" s="376" t="s">
        <v>862</v>
      </c>
      <c r="E920" s="376" t="s">
        <v>224</v>
      </c>
      <c r="F920" s="382" t="s">
        <v>225</v>
      </c>
      <c r="G920" s="376" t="s">
        <v>1945</v>
      </c>
      <c r="H920" s="378"/>
      <c r="I920" s="378"/>
      <c r="J920" s="376" t="s">
        <v>215</v>
      </c>
      <c r="K920" s="376" t="s">
        <v>863</v>
      </c>
      <c r="L920" s="376" t="s">
        <v>252</v>
      </c>
      <c r="M920" s="376" t="s">
        <v>272</v>
      </c>
      <c r="N920" s="376" t="s">
        <v>172</v>
      </c>
      <c r="O920" s="379">
        <v>0</v>
      </c>
      <c r="P920" s="385">
        <v>1</v>
      </c>
      <c r="Q920" s="385">
        <v>1</v>
      </c>
      <c r="R920" s="380">
        <v>80</v>
      </c>
      <c r="S920" s="385">
        <v>1</v>
      </c>
      <c r="T920" s="380">
        <v>20301.57</v>
      </c>
      <c r="U920" s="380">
        <v>0</v>
      </c>
      <c r="V920" s="380">
        <v>10224.049999999999</v>
      </c>
      <c r="W920" s="380">
        <v>42328</v>
      </c>
      <c r="X920" s="380">
        <v>18539.66</v>
      </c>
      <c r="Y920" s="380">
        <v>42328</v>
      </c>
      <c r="Z920" s="380">
        <v>18328.02</v>
      </c>
      <c r="AA920" s="378"/>
      <c r="AB920" s="376" t="s">
        <v>45</v>
      </c>
      <c r="AC920" s="376" t="s">
        <v>45</v>
      </c>
      <c r="AD920" s="378"/>
      <c r="AE920" s="378"/>
      <c r="AF920" s="378"/>
      <c r="AG920" s="378"/>
      <c r="AH920" s="379">
        <v>0</v>
      </c>
      <c r="AI920" s="379">
        <v>0</v>
      </c>
      <c r="AJ920" s="378"/>
      <c r="AK920" s="378"/>
      <c r="AL920" s="376" t="s">
        <v>181</v>
      </c>
      <c r="AM920" s="378"/>
      <c r="AN920" s="378"/>
      <c r="AO920" s="379">
        <v>0</v>
      </c>
      <c r="AP920" s="385">
        <v>0</v>
      </c>
      <c r="AQ920" s="385">
        <v>0</v>
      </c>
      <c r="AR920" s="384"/>
      <c r="AS920" s="387">
        <f t="shared" si="643"/>
        <v>0</v>
      </c>
      <c r="AT920">
        <f t="shared" si="644"/>
        <v>0</v>
      </c>
      <c r="AU920" s="387" t="str">
        <f>IF(AT920=0,"",IF(AND(AT920=1,M920="F",SUMIF(C2:C1334,C920,AS2:AS1334)&lt;=1),SUMIF(C2:C1334,C920,AS2:AS1334),IF(AND(AT920=1,M920="F",SUMIF(C2:C1334,C920,AS2:AS1334)&gt;1),1,"")))</f>
        <v/>
      </c>
      <c r="AV920" s="387" t="str">
        <f>IF(AT920=0,"",IF(AND(AT920=3,M920="F",SUMIF(C2:C1334,C920,AS2:AS1334)&lt;=1),SUMIF(C2:C1334,C920,AS2:AS1334),IF(AND(AT920=3,M920="F",SUMIF(C2:C1334,C920,AS2:AS1334)&gt;1),1,"")))</f>
        <v/>
      </c>
      <c r="AW920" s="387">
        <f>SUMIF(C2:C1334,C920,O2:O1334)</f>
        <v>0</v>
      </c>
      <c r="AX920" s="387">
        <f>IF(AND(M920="F",AS920&lt;&gt;0),SUMIF(C2:C1334,C920,W2:W1334),0)</f>
        <v>0</v>
      </c>
      <c r="AY920" s="387" t="str">
        <f t="shared" si="645"/>
        <v/>
      </c>
      <c r="AZ920" s="387" t="str">
        <f t="shared" si="646"/>
        <v/>
      </c>
      <c r="BA920" s="387">
        <f t="shared" si="647"/>
        <v>0</v>
      </c>
      <c r="BB920" s="387">
        <f t="shared" si="616"/>
        <v>0</v>
      </c>
      <c r="BC920" s="387">
        <f t="shared" si="617"/>
        <v>0</v>
      </c>
      <c r="BD920" s="387">
        <f t="shared" si="618"/>
        <v>0</v>
      </c>
      <c r="BE920" s="387">
        <f t="shared" si="619"/>
        <v>0</v>
      </c>
      <c r="BF920" s="387">
        <f t="shared" si="620"/>
        <v>0</v>
      </c>
      <c r="BG920" s="387">
        <f t="shared" si="621"/>
        <v>0</v>
      </c>
      <c r="BH920" s="387">
        <f t="shared" si="622"/>
        <v>0</v>
      </c>
      <c r="BI920" s="387">
        <f t="shared" si="623"/>
        <v>0</v>
      </c>
      <c r="BJ920" s="387">
        <f t="shared" si="624"/>
        <v>0</v>
      </c>
      <c r="BK920" s="387">
        <f t="shared" si="625"/>
        <v>0</v>
      </c>
      <c r="BL920" s="387">
        <f t="shared" si="648"/>
        <v>0</v>
      </c>
      <c r="BM920" s="387">
        <f t="shared" si="649"/>
        <v>0</v>
      </c>
      <c r="BN920" s="387">
        <f t="shared" si="626"/>
        <v>0</v>
      </c>
      <c r="BO920" s="387">
        <f t="shared" si="627"/>
        <v>0</v>
      </c>
      <c r="BP920" s="387">
        <f t="shared" si="628"/>
        <v>0</v>
      </c>
      <c r="BQ920" s="387">
        <f t="shared" si="629"/>
        <v>0</v>
      </c>
      <c r="BR920" s="387">
        <f t="shared" si="630"/>
        <v>0</v>
      </c>
      <c r="BS920" s="387">
        <f t="shared" si="631"/>
        <v>0</v>
      </c>
      <c r="BT920" s="387">
        <f t="shared" si="632"/>
        <v>0</v>
      </c>
      <c r="BU920" s="387">
        <f t="shared" si="633"/>
        <v>0</v>
      </c>
      <c r="BV920" s="387">
        <f t="shared" si="634"/>
        <v>0</v>
      </c>
      <c r="BW920" s="387">
        <f t="shared" si="635"/>
        <v>0</v>
      </c>
      <c r="BX920" s="387">
        <f t="shared" si="650"/>
        <v>0</v>
      </c>
      <c r="BY920" s="387">
        <f t="shared" si="651"/>
        <v>0</v>
      </c>
      <c r="BZ920" s="387">
        <f t="shared" si="652"/>
        <v>0</v>
      </c>
      <c r="CA920" s="387">
        <f t="shared" si="653"/>
        <v>0</v>
      </c>
      <c r="CB920" s="387">
        <f t="shared" si="654"/>
        <v>0</v>
      </c>
      <c r="CC920" s="387">
        <f t="shared" si="636"/>
        <v>0</v>
      </c>
      <c r="CD920" s="387">
        <f t="shared" si="637"/>
        <v>0</v>
      </c>
      <c r="CE920" s="387">
        <f t="shared" si="638"/>
        <v>0</v>
      </c>
      <c r="CF920" s="387">
        <f t="shared" si="639"/>
        <v>0</v>
      </c>
      <c r="CG920" s="387">
        <f t="shared" si="640"/>
        <v>0</v>
      </c>
      <c r="CH920" s="387">
        <f t="shared" si="641"/>
        <v>0</v>
      </c>
      <c r="CI920" s="387">
        <f t="shared" si="642"/>
        <v>0</v>
      </c>
      <c r="CJ920" s="387">
        <f t="shared" si="655"/>
        <v>0</v>
      </c>
      <c r="CK920" s="387" t="str">
        <f t="shared" si="656"/>
        <v/>
      </c>
      <c r="CL920" s="387" t="str">
        <f t="shared" si="657"/>
        <v/>
      </c>
      <c r="CM920" s="387" t="str">
        <f t="shared" si="658"/>
        <v/>
      </c>
      <c r="CN920" s="387" t="str">
        <f t="shared" si="659"/>
        <v>0348-31</v>
      </c>
    </row>
    <row r="921" spans="1:92" ht="15.75" thickBot="1" x14ac:dyDescent="0.3">
      <c r="A921" s="376" t="s">
        <v>161</v>
      </c>
      <c r="B921" s="376" t="s">
        <v>162</v>
      </c>
      <c r="C921" s="376" t="s">
        <v>420</v>
      </c>
      <c r="D921" s="376" t="s">
        <v>421</v>
      </c>
      <c r="E921" s="376" t="s">
        <v>224</v>
      </c>
      <c r="F921" s="382" t="s">
        <v>225</v>
      </c>
      <c r="G921" s="376" t="s">
        <v>1945</v>
      </c>
      <c r="H921" s="378"/>
      <c r="I921" s="378"/>
      <c r="J921" s="376" t="s">
        <v>215</v>
      </c>
      <c r="K921" s="376" t="s">
        <v>422</v>
      </c>
      <c r="L921" s="376" t="s">
        <v>181</v>
      </c>
      <c r="M921" s="376" t="s">
        <v>272</v>
      </c>
      <c r="N921" s="376" t="s">
        <v>172</v>
      </c>
      <c r="O921" s="379">
        <v>0</v>
      </c>
      <c r="P921" s="385">
        <v>0</v>
      </c>
      <c r="Q921" s="385">
        <v>0</v>
      </c>
      <c r="R921" s="380">
        <v>80</v>
      </c>
      <c r="S921" s="385">
        <v>0</v>
      </c>
      <c r="T921" s="380">
        <v>29890.2</v>
      </c>
      <c r="U921" s="380">
        <v>14292.93</v>
      </c>
      <c r="V921" s="380">
        <v>15073.43</v>
      </c>
      <c r="W921" s="380">
        <v>0</v>
      </c>
      <c r="X921" s="380">
        <v>0</v>
      </c>
      <c r="Y921" s="380">
        <v>0</v>
      </c>
      <c r="Z921" s="380">
        <v>0</v>
      </c>
      <c r="AA921" s="378"/>
      <c r="AB921" s="376" t="s">
        <v>45</v>
      </c>
      <c r="AC921" s="376" t="s">
        <v>45</v>
      </c>
      <c r="AD921" s="378"/>
      <c r="AE921" s="378"/>
      <c r="AF921" s="378"/>
      <c r="AG921" s="378"/>
      <c r="AH921" s="379">
        <v>0</v>
      </c>
      <c r="AI921" s="379">
        <v>0</v>
      </c>
      <c r="AJ921" s="378"/>
      <c r="AK921" s="378"/>
      <c r="AL921" s="376" t="s">
        <v>181</v>
      </c>
      <c r="AM921" s="378"/>
      <c r="AN921" s="378"/>
      <c r="AO921" s="379">
        <v>0</v>
      </c>
      <c r="AP921" s="385">
        <v>0</v>
      </c>
      <c r="AQ921" s="385">
        <v>0</v>
      </c>
      <c r="AR921" s="384"/>
      <c r="AS921" s="387">
        <f t="shared" si="643"/>
        <v>0</v>
      </c>
      <c r="AT921">
        <f t="shared" si="644"/>
        <v>0</v>
      </c>
      <c r="AU921" s="387" t="str">
        <f>IF(AT921=0,"",IF(AND(AT921=1,M921="F",SUMIF(C2:C1334,C921,AS2:AS1334)&lt;=1),SUMIF(C2:C1334,C921,AS2:AS1334),IF(AND(AT921=1,M921="F",SUMIF(C2:C1334,C921,AS2:AS1334)&gt;1),1,"")))</f>
        <v/>
      </c>
      <c r="AV921" s="387" t="str">
        <f>IF(AT921=0,"",IF(AND(AT921=3,M921="F",SUMIF(C2:C1334,C921,AS2:AS1334)&lt;=1),SUMIF(C2:C1334,C921,AS2:AS1334),IF(AND(AT921=3,M921="F",SUMIF(C2:C1334,C921,AS2:AS1334)&gt;1),1,"")))</f>
        <v/>
      </c>
      <c r="AW921" s="387">
        <f>SUMIF(C2:C1334,C921,O2:O1334)</f>
        <v>0</v>
      </c>
      <c r="AX921" s="387">
        <f>IF(AND(M921="F",AS921&lt;&gt;0),SUMIF(C2:C1334,C921,W2:W1334),0)</f>
        <v>0</v>
      </c>
      <c r="AY921" s="387" t="str">
        <f t="shared" si="645"/>
        <v/>
      </c>
      <c r="AZ921" s="387" t="str">
        <f t="shared" si="646"/>
        <v/>
      </c>
      <c r="BA921" s="387">
        <f t="shared" si="647"/>
        <v>0</v>
      </c>
      <c r="BB921" s="387">
        <f t="shared" si="616"/>
        <v>0</v>
      </c>
      <c r="BC921" s="387">
        <f t="shared" si="617"/>
        <v>0</v>
      </c>
      <c r="BD921" s="387">
        <f t="shared" si="618"/>
        <v>0</v>
      </c>
      <c r="BE921" s="387">
        <f t="shared" si="619"/>
        <v>0</v>
      </c>
      <c r="BF921" s="387">
        <f t="shared" si="620"/>
        <v>0</v>
      </c>
      <c r="BG921" s="387">
        <f t="shared" si="621"/>
        <v>0</v>
      </c>
      <c r="BH921" s="387">
        <f t="shared" si="622"/>
        <v>0</v>
      </c>
      <c r="BI921" s="387">
        <f t="shared" si="623"/>
        <v>0</v>
      </c>
      <c r="BJ921" s="387">
        <f t="shared" si="624"/>
        <v>0</v>
      </c>
      <c r="BK921" s="387">
        <f t="shared" si="625"/>
        <v>0</v>
      </c>
      <c r="BL921" s="387">
        <f t="shared" si="648"/>
        <v>0</v>
      </c>
      <c r="BM921" s="387">
        <f t="shared" si="649"/>
        <v>0</v>
      </c>
      <c r="BN921" s="387">
        <f t="shared" si="626"/>
        <v>0</v>
      </c>
      <c r="BO921" s="387">
        <f t="shared" si="627"/>
        <v>0</v>
      </c>
      <c r="BP921" s="387">
        <f t="shared" si="628"/>
        <v>0</v>
      </c>
      <c r="BQ921" s="387">
        <f t="shared" si="629"/>
        <v>0</v>
      </c>
      <c r="BR921" s="387">
        <f t="shared" si="630"/>
        <v>0</v>
      </c>
      <c r="BS921" s="387">
        <f t="shared" si="631"/>
        <v>0</v>
      </c>
      <c r="BT921" s="387">
        <f t="shared" si="632"/>
        <v>0</v>
      </c>
      <c r="BU921" s="387">
        <f t="shared" si="633"/>
        <v>0</v>
      </c>
      <c r="BV921" s="387">
        <f t="shared" si="634"/>
        <v>0</v>
      </c>
      <c r="BW921" s="387">
        <f t="shared" si="635"/>
        <v>0</v>
      </c>
      <c r="BX921" s="387">
        <f t="shared" si="650"/>
        <v>0</v>
      </c>
      <c r="BY921" s="387">
        <f t="shared" si="651"/>
        <v>0</v>
      </c>
      <c r="BZ921" s="387">
        <f t="shared" si="652"/>
        <v>0</v>
      </c>
      <c r="CA921" s="387">
        <f t="shared" si="653"/>
        <v>0</v>
      </c>
      <c r="CB921" s="387">
        <f t="shared" si="654"/>
        <v>0</v>
      </c>
      <c r="CC921" s="387">
        <f t="shared" si="636"/>
        <v>0</v>
      </c>
      <c r="CD921" s="387">
        <f t="shared" si="637"/>
        <v>0</v>
      </c>
      <c r="CE921" s="387">
        <f t="shared" si="638"/>
        <v>0</v>
      </c>
      <c r="CF921" s="387">
        <f t="shared" si="639"/>
        <v>0</v>
      </c>
      <c r="CG921" s="387">
        <f t="shared" si="640"/>
        <v>0</v>
      </c>
      <c r="CH921" s="387">
        <f t="shared" si="641"/>
        <v>0</v>
      </c>
      <c r="CI921" s="387">
        <f t="shared" si="642"/>
        <v>0</v>
      </c>
      <c r="CJ921" s="387">
        <f t="shared" si="655"/>
        <v>0</v>
      </c>
      <c r="CK921" s="387" t="str">
        <f t="shared" si="656"/>
        <v/>
      </c>
      <c r="CL921" s="387" t="str">
        <f t="shared" si="657"/>
        <v/>
      </c>
      <c r="CM921" s="387" t="str">
        <f t="shared" si="658"/>
        <v/>
      </c>
      <c r="CN921" s="387" t="str">
        <f t="shared" si="659"/>
        <v>0348-31</v>
      </c>
    </row>
    <row r="922" spans="1:92" ht="15.75" thickBot="1" x14ac:dyDescent="0.3">
      <c r="A922" s="376" t="s">
        <v>161</v>
      </c>
      <c r="B922" s="376" t="s">
        <v>162</v>
      </c>
      <c r="C922" s="376" t="s">
        <v>2113</v>
      </c>
      <c r="D922" s="376" t="s">
        <v>2114</v>
      </c>
      <c r="E922" s="376" t="s">
        <v>224</v>
      </c>
      <c r="F922" s="382" t="s">
        <v>225</v>
      </c>
      <c r="G922" s="376" t="s">
        <v>1945</v>
      </c>
      <c r="H922" s="378"/>
      <c r="I922" s="378"/>
      <c r="J922" s="376" t="s">
        <v>215</v>
      </c>
      <c r="K922" s="376" t="s">
        <v>2115</v>
      </c>
      <c r="L922" s="376" t="s">
        <v>351</v>
      </c>
      <c r="M922" s="376" t="s">
        <v>171</v>
      </c>
      <c r="N922" s="376" t="s">
        <v>172</v>
      </c>
      <c r="O922" s="379">
        <v>1</v>
      </c>
      <c r="P922" s="385">
        <v>1</v>
      </c>
      <c r="Q922" s="385">
        <v>1</v>
      </c>
      <c r="R922" s="380">
        <v>80</v>
      </c>
      <c r="S922" s="385">
        <v>1</v>
      </c>
      <c r="T922" s="380">
        <v>98076.2</v>
      </c>
      <c r="U922" s="380">
        <v>26841.7</v>
      </c>
      <c r="V922" s="380">
        <v>36458.1</v>
      </c>
      <c r="W922" s="380">
        <v>89752</v>
      </c>
      <c r="X922" s="380">
        <v>31058.84</v>
      </c>
      <c r="Y922" s="380">
        <v>89752</v>
      </c>
      <c r="Z922" s="380">
        <v>30681.88</v>
      </c>
      <c r="AA922" s="376" t="s">
        <v>2116</v>
      </c>
      <c r="AB922" s="376" t="s">
        <v>2117</v>
      </c>
      <c r="AC922" s="376" t="s">
        <v>533</v>
      </c>
      <c r="AD922" s="376" t="s">
        <v>583</v>
      </c>
      <c r="AE922" s="376" t="s">
        <v>2115</v>
      </c>
      <c r="AF922" s="376" t="s">
        <v>355</v>
      </c>
      <c r="AG922" s="376" t="s">
        <v>178</v>
      </c>
      <c r="AH922" s="381">
        <v>43.15</v>
      </c>
      <c r="AI922" s="381">
        <v>73580.800000000003</v>
      </c>
      <c r="AJ922" s="376" t="s">
        <v>179</v>
      </c>
      <c r="AK922" s="376" t="s">
        <v>180</v>
      </c>
      <c r="AL922" s="376" t="s">
        <v>181</v>
      </c>
      <c r="AM922" s="376" t="s">
        <v>182</v>
      </c>
      <c r="AN922" s="376" t="s">
        <v>68</v>
      </c>
      <c r="AO922" s="379">
        <v>80</v>
      </c>
      <c r="AP922" s="385">
        <v>1</v>
      </c>
      <c r="AQ922" s="385">
        <v>1</v>
      </c>
      <c r="AR922" s="383" t="s">
        <v>183</v>
      </c>
      <c r="AS922" s="387">
        <f t="shared" si="643"/>
        <v>1</v>
      </c>
      <c r="AT922">
        <f t="shared" si="644"/>
        <v>1</v>
      </c>
      <c r="AU922" s="387">
        <f>IF(AT922=0,"",IF(AND(AT922=1,M922="F",SUMIF(C2:C1334,C922,AS2:AS1334)&lt;=1),SUMIF(C2:C1334,C922,AS2:AS1334),IF(AND(AT922=1,M922="F",SUMIF(C2:C1334,C922,AS2:AS1334)&gt;1),1,"")))</f>
        <v>1</v>
      </c>
      <c r="AV922" s="387" t="str">
        <f>IF(AT922=0,"",IF(AND(AT922=3,M922="F",SUMIF(C2:C1334,C922,AS2:AS1334)&lt;=1),SUMIF(C2:C1334,C922,AS2:AS1334),IF(AND(AT922=3,M922="F",SUMIF(C2:C1334,C922,AS2:AS1334)&gt;1),1,"")))</f>
        <v/>
      </c>
      <c r="AW922" s="387">
        <f>SUMIF(C2:C1334,C922,O2:O1334)</f>
        <v>1</v>
      </c>
      <c r="AX922" s="387">
        <f>IF(AND(M922="F",AS922&lt;&gt;0),SUMIF(C2:C1334,C922,W2:W1334),0)</f>
        <v>89752</v>
      </c>
      <c r="AY922" s="387">
        <f t="shared" si="645"/>
        <v>89752</v>
      </c>
      <c r="AZ922" s="387" t="str">
        <f t="shared" si="646"/>
        <v/>
      </c>
      <c r="BA922" s="387">
        <f t="shared" si="647"/>
        <v>0</v>
      </c>
      <c r="BB922" s="387">
        <f t="shared" si="616"/>
        <v>11650</v>
      </c>
      <c r="BC922" s="387">
        <f t="shared" si="617"/>
        <v>0</v>
      </c>
      <c r="BD922" s="387">
        <f t="shared" si="618"/>
        <v>5564.6239999999998</v>
      </c>
      <c r="BE922" s="387">
        <f t="shared" si="619"/>
        <v>1301.404</v>
      </c>
      <c r="BF922" s="387">
        <f t="shared" si="620"/>
        <v>10716.388800000001</v>
      </c>
      <c r="BG922" s="387">
        <f t="shared" si="621"/>
        <v>647.11192000000005</v>
      </c>
      <c r="BH922" s="387">
        <f t="shared" si="622"/>
        <v>439.78479999999996</v>
      </c>
      <c r="BI922" s="387">
        <f t="shared" si="623"/>
        <v>496.77731999999997</v>
      </c>
      <c r="BJ922" s="387">
        <f t="shared" si="624"/>
        <v>242.33040000000003</v>
      </c>
      <c r="BK922" s="387">
        <f t="shared" si="625"/>
        <v>0</v>
      </c>
      <c r="BL922" s="387">
        <f t="shared" si="648"/>
        <v>19408.42124</v>
      </c>
      <c r="BM922" s="387">
        <f t="shared" si="649"/>
        <v>0</v>
      </c>
      <c r="BN922" s="387">
        <f t="shared" si="626"/>
        <v>11650</v>
      </c>
      <c r="BO922" s="387">
        <f t="shared" si="627"/>
        <v>0</v>
      </c>
      <c r="BP922" s="387">
        <f t="shared" si="628"/>
        <v>5564.6239999999998</v>
      </c>
      <c r="BQ922" s="387">
        <f t="shared" si="629"/>
        <v>1301.404</v>
      </c>
      <c r="BR922" s="387">
        <f t="shared" si="630"/>
        <v>10716.388800000001</v>
      </c>
      <c r="BS922" s="387">
        <f t="shared" si="631"/>
        <v>647.11192000000005</v>
      </c>
      <c r="BT922" s="387">
        <f t="shared" si="632"/>
        <v>0</v>
      </c>
      <c r="BU922" s="387">
        <f t="shared" si="633"/>
        <v>496.77731999999997</v>
      </c>
      <c r="BV922" s="387">
        <f t="shared" si="634"/>
        <v>305.15679999999998</v>
      </c>
      <c r="BW922" s="387">
        <f t="shared" si="635"/>
        <v>0</v>
      </c>
      <c r="BX922" s="387">
        <f t="shared" si="650"/>
        <v>19031.46284</v>
      </c>
      <c r="BY922" s="387">
        <f t="shared" si="651"/>
        <v>0</v>
      </c>
      <c r="BZ922" s="387">
        <f t="shared" si="652"/>
        <v>0</v>
      </c>
      <c r="CA922" s="387">
        <f t="shared" si="653"/>
        <v>0</v>
      </c>
      <c r="CB922" s="387">
        <f t="shared" si="654"/>
        <v>0</v>
      </c>
      <c r="CC922" s="387">
        <f t="shared" si="636"/>
        <v>0</v>
      </c>
      <c r="CD922" s="387">
        <f t="shared" si="637"/>
        <v>0</v>
      </c>
      <c r="CE922" s="387">
        <f t="shared" si="638"/>
        <v>0</v>
      </c>
      <c r="CF922" s="387">
        <f t="shared" si="639"/>
        <v>-439.78479999999996</v>
      </c>
      <c r="CG922" s="387">
        <f t="shared" si="640"/>
        <v>0</v>
      </c>
      <c r="CH922" s="387">
        <f t="shared" si="641"/>
        <v>62.826399999999971</v>
      </c>
      <c r="CI922" s="387">
        <f t="shared" si="642"/>
        <v>0</v>
      </c>
      <c r="CJ922" s="387">
        <f t="shared" si="655"/>
        <v>-376.95839999999998</v>
      </c>
      <c r="CK922" s="387" t="str">
        <f t="shared" si="656"/>
        <v/>
      </c>
      <c r="CL922" s="387" t="str">
        <f t="shared" si="657"/>
        <v/>
      </c>
      <c r="CM922" s="387" t="str">
        <f t="shared" si="658"/>
        <v/>
      </c>
      <c r="CN922" s="387" t="str">
        <f t="shared" si="659"/>
        <v>0348-31</v>
      </c>
    </row>
    <row r="923" spans="1:92" ht="15.75" thickBot="1" x14ac:dyDescent="0.3">
      <c r="A923" s="376" t="s">
        <v>161</v>
      </c>
      <c r="B923" s="376" t="s">
        <v>162</v>
      </c>
      <c r="C923" s="376" t="s">
        <v>2118</v>
      </c>
      <c r="D923" s="376" t="s">
        <v>1949</v>
      </c>
      <c r="E923" s="376" t="s">
        <v>224</v>
      </c>
      <c r="F923" s="382" t="s">
        <v>225</v>
      </c>
      <c r="G923" s="376" t="s">
        <v>1945</v>
      </c>
      <c r="H923" s="378"/>
      <c r="I923" s="378"/>
      <c r="J923" s="376" t="s">
        <v>215</v>
      </c>
      <c r="K923" s="376" t="s">
        <v>1950</v>
      </c>
      <c r="L923" s="376" t="s">
        <v>170</v>
      </c>
      <c r="M923" s="376" t="s">
        <v>171</v>
      </c>
      <c r="N923" s="376" t="s">
        <v>172</v>
      </c>
      <c r="O923" s="379">
        <v>1</v>
      </c>
      <c r="P923" s="385">
        <v>1</v>
      </c>
      <c r="Q923" s="385">
        <v>1</v>
      </c>
      <c r="R923" s="380">
        <v>80</v>
      </c>
      <c r="S923" s="385">
        <v>1</v>
      </c>
      <c r="T923" s="380">
        <v>61849.74</v>
      </c>
      <c r="U923" s="380">
        <v>0</v>
      </c>
      <c r="V923" s="380">
        <v>24392.12</v>
      </c>
      <c r="W923" s="380">
        <v>64168</v>
      </c>
      <c r="X923" s="380">
        <v>25526.3</v>
      </c>
      <c r="Y923" s="380">
        <v>64168</v>
      </c>
      <c r="Z923" s="380">
        <v>25256.799999999999</v>
      </c>
      <c r="AA923" s="376" t="s">
        <v>2119</v>
      </c>
      <c r="AB923" s="376" t="s">
        <v>2120</v>
      </c>
      <c r="AC923" s="376" t="s">
        <v>2121</v>
      </c>
      <c r="AD923" s="376" t="s">
        <v>686</v>
      </c>
      <c r="AE923" s="376" t="s">
        <v>1950</v>
      </c>
      <c r="AF923" s="376" t="s">
        <v>177</v>
      </c>
      <c r="AG923" s="376" t="s">
        <v>178</v>
      </c>
      <c r="AH923" s="381">
        <v>30.85</v>
      </c>
      <c r="AI923" s="381">
        <v>49771.9</v>
      </c>
      <c r="AJ923" s="376" t="s">
        <v>179</v>
      </c>
      <c r="AK923" s="376" t="s">
        <v>180</v>
      </c>
      <c r="AL923" s="376" t="s">
        <v>181</v>
      </c>
      <c r="AM923" s="376" t="s">
        <v>182</v>
      </c>
      <c r="AN923" s="376" t="s">
        <v>68</v>
      </c>
      <c r="AO923" s="379">
        <v>80</v>
      </c>
      <c r="AP923" s="385">
        <v>1</v>
      </c>
      <c r="AQ923" s="385">
        <v>1</v>
      </c>
      <c r="AR923" s="383" t="s">
        <v>183</v>
      </c>
      <c r="AS923" s="387">
        <f t="shared" si="643"/>
        <v>1</v>
      </c>
      <c r="AT923">
        <f t="shared" si="644"/>
        <v>1</v>
      </c>
      <c r="AU923" s="387">
        <f>IF(AT923=0,"",IF(AND(AT923=1,M923="F",SUMIF(C2:C1334,C923,AS2:AS1334)&lt;=1),SUMIF(C2:C1334,C923,AS2:AS1334),IF(AND(AT923=1,M923="F",SUMIF(C2:C1334,C923,AS2:AS1334)&gt;1),1,"")))</f>
        <v>1</v>
      </c>
      <c r="AV923" s="387" t="str">
        <f>IF(AT923=0,"",IF(AND(AT923=3,M923="F",SUMIF(C2:C1334,C923,AS2:AS1334)&lt;=1),SUMIF(C2:C1334,C923,AS2:AS1334),IF(AND(AT923=3,M923="F",SUMIF(C2:C1334,C923,AS2:AS1334)&gt;1),1,"")))</f>
        <v/>
      </c>
      <c r="AW923" s="387">
        <f>SUMIF(C2:C1334,C923,O2:O1334)</f>
        <v>1</v>
      </c>
      <c r="AX923" s="387">
        <f>IF(AND(M923="F",AS923&lt;&gt;0),SUMIF(C2:C1334,C923,W2:W1334),0)</f>
        <v>64168</v>
      </c>
      <c r="AY923" s="387">
        <f t="shared" si="645"/>
        <v>64168</v>
      </c>
      <c r="AZ923" s="387" t="str">
        <f t="shared" si="646"/>
        <v/>
      </c>
      <c r="BA923" s="387">
        <f t="shared" si="647"/>
        <v>0</v>
      </c>
      <c r="BB923" s="387">
        <f t="shared" si="616"/>
        <v>11650</v>
      </c>
      <c r="BC923" s="387">
        <f t="shared" si="617"/>
        <v>0</v>
      </c>
      <c r="BD923" s="387">
        <f t="shared" si="618"/>
        <v>3978.4160000000002</v>
      </c>
      <c r="BE923" s="387">
        <f t="shared" si="619"/>
        <v>930.43600000000004</v>
      </c>
      <c r="BF923" s="387">
        <f t="shared" si="620"/>
        <v>7661.6592000000001</v>
      </c>
      <c r="BG923" s="387">
        <f t="shared" si="621"/>
        <v>462.65128000000004</v>
      </c>
      <c r="BH923" s="387">
        <f t="shared" si="622"/>
        <v>314.42320000000001</v>
      </c>
      <c r="BI923" s="387">
        <f t="shared" si="623"/>
        <v>355.16987999999998</v>
      </c>
      <c r="BJ923" s="387">
        <f t="shared" si="624"/>
        <v>173.25360000000001</v>
      </c>
      <c r="BK923" s="387">
        <f t="shared" si="625"/>
        <v>0</v>
      </c>
      <c r="BL923" s="387">
        <f t="shared" si="648"/>
        <v>13876.00916</v>
      </c>
      <c r="BM923" s="387">
        <f t="shared" si="649"/>
        <v>0</v>
      </c>
      <c r="BN923" s="387">
        <f t="shared" si="626"/>
        <v>11650</v>
      </c>
      <c r="BO923" s="387">
        <f t="shared" si="627"/>
        <v>0</v>
      </c>
      <c r="BP923" s="387">
        <f t="shared" si="628"/>
        <v>3978.4160000000002</v>
      </c>
      <c r="BQ923" s="387">
        <f t="shared" si="629"/>
        <v>930.43600000000004</v>
      </c>
      <c r="BR923" s="387">
        <f t="shared" si="630"/>
        <v>7661.6592000000001</v>
      </c>
      <c r="BS923" s="387">
        <f t="shared" si="631"/>
        <v>462.65128000000004</v>
      </c>
      <c r="BT923" s="387">
        <f t="shared" si="632"/>
        <v>0</v>
      </c>
      <c r="BU923" s="387">
        <f t="shared" si="633"/>
        <v>355.16987999999998</v>
      </c>
      <c r="BV923" s="387">
        <f t="shared" si="634"/>
        <v>218.1712</v>
      </c>
      <c r="BW923" s="387">
        <f t="shared" si="635"/>
        <v>0</v>
      </c>
      <c r="BX923" s="387">
        <f t="shared" si="650"/>
        <v>13606.503560000001</v>
      </c>
      <c r="BY923" s="387">
        <f t="shared" si="651"/>
        <v>0</v>
      </c>
      <c r="BZ923" s="387">
        <f t="shared" si="652"/>
        <v>0</v>
      </c>
      <c r="CA923" s="387">
        <f t="shared" si="653"/>
        <v>0</v>
      </c>
      <c r="CB923" s="387">
        <f t="shared" si="654"/>
        <v>0</v>
      </c>
      <c r="CC923" s="387">
        <f t="shared" si="636"/>
        <v>0</v>
      </c>
      <c r="CD923" s="387">
        <f t="shared" si="637"/>
        <v>0</v>
      </c>
      <c r="CE923" s="387">
        <f t="shared" si="638"/>
        <v>0</v>
      </c>
      <c r="CF923" s="387">
        <f t="shared" si="639"/>
        <v>-314.42320000000001</v>
      </c>
      <c r="CG923" s="387">
        <f t="shared" si="640"/>
        <v>0</v>
      </c>
      <c r="CH923" s="387">
        <f t="shared" si="641"/>
        <v>44.917599999999979</v>
      </c>
      <c r="CI923" s="387">
        <f t="shared" si="642"/>
        <v>0</v>
      </c>
      <c r="CJ923" s="387">
        <f t="shared" si="655"/>
        <v>-269.50560000000002</v>
      </c>
      <c r="CK923" s="387" t="str">
        <f t="shared" si="656"/>
        <v/>
      </c>
      <c r="CL923" s="387" t="str">
        <f t="shared" si="657"/>
        <v/>
      </c>
      <c r="CM923" s="387" t="str">
        <f t="shared" si="658"/>
        <v/>
      </c>
      <c r="CN923" s="387" t="str">
        <f t="shared" si="659"/>
        <v>0348-31</v>
      </c>
    </row>
    <row r="924" spans="1:92" ht="15.75" thickBot="1" x14ac:dyDescent="0.3">
      <c r="A924" s="376" t="s">
        <v>161</v>
      </c>
      <c r="B924" s="376" t="s">
        <v>162</v>
      </c>
      <c r="C924" s="376" t="s">
        <v>1386</v>
      </c>
      <c r="D924" s="376" t="s">
        <v>862</v>
      </c>
      <c r="E924" s="376" t="s">
        <v>224</v>
      </c>
      <c r="F924" s="382" t="s">
        <v>225</v>
      </c>
      <c r="G924" s="376" t="s">
        <v>1945</v>
      </c>
      <c r="H924" s="378"/>
      <c r="I924" s="378"/>
      <c r="J924" s="376" t="s">
        <v>215</v>
      </c>
      <c r="K924" s="376" t="s">
        <v>863</v>
      </c>
      <c r="L924" s="376" t="s">
        <v>252</v>
      </c>
      <c r="M924" s="376" t="s">
        <v>171</v>
      </c>
      <c r="N924" s="376" t="s">
        <v>172</v>
      </c>
      <c r="O924" s="379">
        <v>1</v>
      </c>
      <c r="P924" s="385">
        <v>1</v>
      </c>
      <c r="Q924" s="385">
        <v>1</v>
      </c>
      <c r="R924" s="380">
        <v>80</v>
      </c>
      <c r="S924" s="385">
        <v>1</v>
      </c>
      <c r="T924" s="380">
        <v>12689.06</v>
      </c>
      <c r="U924" s="380">
        <v>0</v>
      </c>
      <c r="V924" s="380">
        <v>6516.88</v>
      </c>
      <c r="W924" s="380">
        <v>36816</v>
      </c>
      <c r="X924" s="380">
        <v>19611.439999999999</v>
      </c>
      <c r="Y924" s="380">
        <v>36816</v>
      </c>
      <c r="Z924" s="380">
        <v>19456.82</v>
      </c>
      <c r="AA924" s="376" t="s">
        <v>1387</v>
      </c>
      <c r="AB924" s="376" t="s">
        <v>1388</v>
      </c>
      <c r="AC924" s="376" t="s">
        <v>738</v>
      </c>
      <c r="AD924" s="376" t="s">
        <v>176</v>
      </c>
      <c r="AE924" s="376" t="s">
        <v>863</v>
      </c>
      <c r="AF924" s="376" t="s">
        <v>393</v>
      </c>
      <c r="AG924" s="376" t="s">
        <v>178</v>
      </c>
      <c r="AH924" s="381">
        <v>17.7</v>
      </c>
      <c r="AI924" s="381">
        <v>329.2</v>
      </c>
      <c r="AJ924" s="376" t="s">
        <v>179</v>
      </c>
      <c r="AK924" s="376" t="s">
        <v>180</v>
      </c>
      <c r="AL924" s="376" t="s">
        <v>181</v>
      </c>
      <c r="AM924" s="376" t="s">
        <v>182</v>
      </c>
      <c r="AN924" s="376" t="s">
        <v>68</v>
      </c>
      <c r="AO924" s="379">
        <v>80</v>
      </c>
      <c r="AP924" s="385">
        <v>1</v>
      </c>
      <c r="AQ924" s="385">
        <v>1</v>
      </c>
      <c r="AR924" s="383" t="s">
        <v>183</v>
      </c>
      <c r="AS924" s="387">
        <f t="shared" si="643"/>
        <v>1</v>
      </c>
      <c r="AT924">
        <f t="shared" si="644"/>
        <v>1</v>
      </c>
      <c r="AU924" s="387">
        <f>IF(AT924=0,"",IF(AND(AT924=1,M924="F",SUMIF(C2:C1334,C924,AS2:AS1334)&lt;=1),SUMIF(C2:C1334,C924,AS2:AS1334),IF(AND(AT924=1,M924="F",SUMIF(C2:C1334,C924,AS2:AS1334)&gt;1),1,"")))</f>
        <v>1</v>
      </c>
      <c r="AV924" s="387" t="str">
        <f>IF(AT924=0,"",IF(AND(AT924=3,M924="F",SUMIF(C2:C1334,C924,AS2:AS1334)&lt;=1),SUMIF(C2:C1334,C924,AS2:AS1334),IF(AND(AT924=3,M924="F",SUMIF(C2:C1334,C924,AS2:AS1334)&gt;1),1,"")))</f>
        <v/>
      </c>
      <c r="AW924" s="387">
        <f>SUMIF(C2:C1334,C924,O2:O1334)</f>
        <v>3</v>
      </c>
      <c r="AX924" s="387">
        <f>IF(AND(M924="F",AS924&lt;&gt;0),SUMIF(C2:C1334,C924,W2:W1334),0)</f>
        <v>36816</v>
      </c>
      <c r="AY924" s="387">
        <f t="shared" si="645"/>
        <v>36816</v>
      </c>
      <c r="AZ924" s="387" t="str">
        <f t="shared" si="646"/>
        <v/>
      </c>
      <c r="BA924" s="387">
        <f t="shared" si="647"/>
        <v>0</v>
      </c>
      <c r="BB924" s="387">
        <f t="shared" si="616"/>
        <v>11650</v>
      </c>
      <c r="BC924" s="387">
        <f t="shared" si="617"/>
        <v>0</v>
      </c>
      <c r="BD924" s="387">
        <f t="shared" si="618"/>
        <v>2282.5920000000001</v>
      </c>
      <c r="BE924" s="387">
        <f t="shared" si="619"/>
        <v>533.83199999999999</v>
      </c>
      <c r="BF924" s="387">
        <f t="shared" si="620"/>
        <v>4395.8303999999998</v>
      </c>
      <c r="BG924" s="387">
        <f t="shared" si="621"/>
        <v>265.44335999999998</v>
      </c>
      <c r="BH924" s="387">
        <f t="shared" si="622"/>
        <v>180.39839999999998</v>
      </c>
      <c r="BI924" s="387">
        <f t="shared" si="623"/>
        <v>203.77655999999999</v>
      </c>
      <c r="BJ924" s="387">
        <f t="shared" si="624"/>
        <v>99.403199999999998</v>
      </c>
      <c r="BK924" s="387">
        <f t="shared" si="625"/>
        <v>0</v>
      </c>
      <c r="BL924" s="387">
        <f t="shared" si="648"/>
        <v>7961.27592</v>
      </c>
      <c r="BM924" s="387">
        <f t="shared" si="649"/>
        <v>0</v>
      </c>
      <c r="BN924" s="387">
        <f t="shared" si="626"/>
        <v>11650</v>
      </c>
      <c r="BO924" s="387">
        <f t="shared" si="627"/>
        <v>0</v>
      </c>
      <c r="BP924" s="387">
        <f t="shared" si="628"/>
        <v>2282.5920000000001</v>
      </c>
      <c r="BQ924" s="387">
        <f t="shared" si="629"/>
        <v>533.83199999999999</v>
      </c>
      <c r="BR924" s="387">
        <f t="shared" si="630"/>
        <v>4395.8303999999998</v>
      </c>
      <c r="BS924" s="387">
        <f t="shared" si="631"/>
        <v>265.44335999999998</v>
      </c>
      <c r="BT924" s="387">
        <f t="shared" si="632"/>
        <v>0</v>
      </c>
      <c r="BU924" s="387">
        <f t="shared" si="633"/>
        <v>203.77655999999999</v>
      </c>
      <c r="BV924" s="387">
        <f t="shared" si="634"/>
        <v>125.17439999999999</v>
      </c>
      <c r="BW924" s="387">
        <f t="shared" si="635"/>
        <v>0</v>
      </c>
      <c r="BX924" s="387">
        <f t="shared" si="650"/>
        <v>7806.6487200000001</v>
      </c>
      <c r="BY924" s="387">
        <f t="shared" si="651"/>
        <v>0</v>
      </c>
      <c r="BZ924" s="387">
        <f t="shared" si="652"/>
        <v>0</v>
      </c>
      <c r="CA924" s="387">
        <f t="shared" si="653"/>
        <v>0</v>
      </c>
      <c r="CB924" s="387">
        <f t="shared" si="654"/>
        <v>0</v>
      </c>
      <c r="CC924" s="387">
        <f t="shared" si="636"/>
        <v>0</v>
      </c>
      <c r="CD924" s="387">
        <f t="shared" si="637"/>
        <v>0</v>
      </c>
      <c r="CE924" s="387">
        <f t="shared" si="638"/>
        <v>0</v>
      </c>
      <c r="CF924" s="387">
        <f t="shared" si="639"/>
        <v>-180.39839999999998</v>
      </c>
      <c r="CG924" s="387">
        <f t="shared" si="640"/>
        <v>0</v>
      </c>
      <c r="CH924" s="387">
        <f t="shared" si="641"/>
        <v>25.771199999999986</v>
      </c>
      <c r="CI924" s="387">
        <f t="shared" si="642"/>
        <v>0</v>
      </c>
      <c r="CJ924" s="387">
        <f t="shared" si="655"/>
        <v>-154.62719999999999</v>
      </c>
      <c r="CK924" s="387" t="str">
        <f t="shared" si="656"/>
        <v/>
      </c>
      <c r="CL924" s="387" t="str">
        <f t="shared" si="657"/>
        <v/>
      </c>
      <c r="CM924" s="387" t="str">
        <f t="shared" si="658"/>
        <v/>
      </c>
      <c r="CN924" s="387" t="str">
        <f t="shared" si="659"/>
        <v>0348-31</v>
      </c>
    </row>
    <row r="925" spans="1:92" ht="15.75" thickBot="1" x14ac:dyDescent="0.3">
      <c r="A925" s="376" t="s">
        <v>161</v>
      </c>
      <c r="B925" s="376" t="s">
        <v>162</v>
      </c>
      <c r="C925" s="376" t="s">
        <v>1021</v>
      </c>
      <c r="D925" s="376" t="s">
        <v>992</v>
      </c>
      <c r="E925" s="376" t="s">
        <v>224</v>
      </c>
      <c r="F925" s="382" t="s">
        <v>225</v>
      </c>
      <c r="G925" s="376" t="s">
        <v>1945</v>
      </c>
      <c r="H925" s="378"/>
      <c r="I925" s="378"/>
      <c r="J925" s="376" t="s">
        <v>215</v>
      </c>
      <c r="K925" s="376" t="s">
        <v>993</v>
      </c>
      <c r="L925" s="376" t="s">
        <v>210</v>
      </c>
      <c r="M925" s="376" t="s">
        <v>171</v>
      </c>
      <c r="N925" s="376" t="s">
        <v>172</v>
      </c>
      <c r="O925" s="379">
        <v>1</v>
      </c>
      <c r="P925" s="385">
        <v>1</v>
      </c>
      <c r="Q925" s="385">
        <v>1</v>
      </c>
      <c r="R925" s="380">
        <v>80</v>
      </c>
      <c r="S925" s="385">
        <v>1</v>
      </c>
      <c r="T925" s="380">
        <v>0</v>
      </c>
      <c r="U925" s="380">
        <v>0</v>
      </c>
      <c r="V925" s="380">
        <v>0</v>
      </c>
      <c r="W925" s="380">
        <v>74609.600000000006</v>
      </c>
      <c r="X925" s="380">
        <v>27784.28</v>
      </c>
      <c r="Y925" s="380">
        <v>74609.600000000006</v>
      </c>
      <c r="Z925" s="380">
        <v>27470.93</v>
      </c>
      <c r="AA925" s="376" t="s">
        <v>1022</v>
      </c>
      <c r="AB925" s="376" t="s">
        <v>1023</v>
      </c>
      <c r="AC925" s="376" t="s">
        <v>1024</v>
      </c>
      <c r="AD925" s="376" t="s">
        <v>210</v>
      </c>
      <c r="AE925" s="376" t="s">
        <v>993</v>
      </c>
      <c r="AF925" s="376" t="s">
        <v>245</v>
      </c>
      <c r="AG925" s="376" t="s">
        <v>178</v>
      </c>
      <c r="AH925" s="381">
        <v>35.869999999999997</v>
      </c>
      <c r="AI925" s="381">
        <v>27208.7</v>
      </c>
      <c r="AJ925" s="376" t="s">
        <v>179</v>
      </c>
      <c r="AK925" s="376" t="s">
        <v>180</v>
      </c>
      <c r="AL925" s="376" t="s">
        <v>181</v>
      </c>
      <c r="AM925" s="376" t="s">
        <v>182</v>
      </c>
      <c r="AN925" s="376" t="s">
        <v>68</v>
      </c>
      <c r="AO925" s="379">
        <v>80</v>
      </c>
      <c r="AP925" s="385">
        <v>1</v>
      </c>
      <c r="AQ925" s="385">
        <v>1</v>
      </c>
      <c r="AR925" s="383" t="s">
        <v>183</v>
      </c>
      <c r="AS925" s="387">
        <f t="shared" si="643"/>
        <v>1</v>
      </c>
      <c r="AT925">
        <f t="shared" si="644"/>
        <v>1</v>
      </c>
      <c r="AU925" s="387">
        <f>IF(AT925=0,"",IF(AND(AT925=1,M925="F",SUMIF(C2:C1334,C925,AS2:AS1334)&lt;=1),SUMIF(C2:C1334,C925,AS2:AS1334),IF(AND(AT925=1,M925="F",SUMIF(C2:C1334,C925,AS2:AS1334)&gt;1),1,"")))</f>
        <v>1</v>
      </c>
      <c r="AV925" s="387" t="str">
        <f>IF(AT925=0,"",IF(AND(AT925=3,M925="F",SUMIF(C2:C1334,C925,AS2:AS1334)&lt;=1),SUMIF(C2:C1334,C925,AS2:AS1334),IF(AND(AT925=3,M925="F",SUMIF(C2:C1334,C925,AS2:AS1334)&gt;1),1,"")))</f>
        <v/>
      </c>
      <c r="AW925" s="387">
        <f>SUMIF(C2:C1334,C925,O2:O1334)</f>
        <v>2</v>
      </c>
      <c r="AX925" s="387">
        <f>IF(AND(M925="F",AS925&lt;&gt;0),SUMIF(C2:C1334,C925,W2:W1334),0)</f>
        <v>74609.600000000006</v>
      </c>
      <c r="AY925" s="387">
        <f t="shared" si="645"/>
        <v>74609.600000000006</v>
      </c>
      <c r="AZ925" s="387" t="str">
        <f t="shared" si="646"/>
        <v/>
      </c>
      <c r="BA925" s="387">
        <f t="shared" si="647"/>
        <v>0</v>
      </c>
      <c r="BB925" s="387">
        <f t="shared" si="616"/>
        <v>11650</v>
      </c>
      <c r="BC925" s="387">
        <f t="shared" si="617"/>
        <v>0</v>
      </c>
      <c r="BD925" s="387">
        <f t="shared" si="618"/>
        <v>4625.7952000000005</v>
      </c>
      <c r="BE925" s="387">
        <f t="shared" si="619"/>
        <v>1081.8392000000001</v>
      </c>
      <c r="BF925" s="387">
        <f t="shared" si="620"/>
        <v>8908.3862400000016</v>
      </c>
      <c r="BG925" s="387">
        <f t="shared" si="621"/>
        <v>537.93521600000008</v>
      </c>
      <c r="BH925" s="387">
        <f t="shared" si="622"/>
        <v>365.58704</v>
      </c>
      <c r="BI925" s="387">
        <f t="shared" si="623"/>
        <v>412.96413600000005</v>
      </c>
      <c r="BJ925" s="387">
        <f t="shared" si="624"/>
        <v>201.44592000000003</v>
      </c>
      <c r="BK925" s="387">
        <f t="shared" si="625"/>
        <v>0</v>
      </c>
      <c r="BL925" s="387">
        <f t="shared" si="648"/>
        <v>16133.952952000003</v>
      </c>
      <c r="BM925" s="387">
        <f t="shared" si="649"/>
        <v>0</v>
      </c>
      <c r="BN925" s="387">
        <f t="shared" si="626"/>
        <v>11650</v>
      </c>
      <c r="BO925" s="387">
        <f t="shared" si="627"/>
        <v>0</v>
      </c>
      <c r="BP925" s="387">
        <f t="shared" si="628"/>
        <v>4625.7952000000005</v>
      </c>
      <c r="BQ925" s="387">
        <f t="shared" si="629"/>
        <v>1081.8392000000001</v>
      </c>
      <c r="BR925" s="387">
        <f t="shared" si="630"/>
        <v>8908.3862400000016</v>
      </c>
      <c r="BS925" s="387">
        <f t="shared" si="631"/>
        <v>537.93521600000008</v>
      </c>
      <c r="BT925" s="387">
        <f t="shared" si="632"/>
        <v>0</v>
      </c>
      <c r="BU925" s="387">
        <f t="shared" si="633"/>
        <v>412.96413600000005</v>
      </c>
      <c r="BV925" s="387">
        <f t="shared" si="634"/>
        <v>253.67264</v>
      </c>
      <c r="BW925" s="387">
        <f t="shared" si="635"/>
        <v>0</v>
      </c>
      <c r="BX925" s="387">
        <f t="shared" si="650"/>
        <v>15820.592632000004</v>
      </c>
      <c r="BY925" s="387">
        <f t="shared" si="651"/>
        <v>0</v>
      </c>
      <c r="BZ925" s="387">
        <f t="shared" si="652"/>
        <v>0</v>
      </c>
      <c r="CA925" s="387">
        <f t="shared" si="653"/>
        <v>0</v>
      </c>
      <c r="CB925" s="387">
        <f t="shared" si="654"/>
        <v>0</v>
      </c>
      <c r="CC925" s="387">
        <f t="shared" si="636"/>
        <v>0</v>
      </c>
      <c r="CD925" s="387">
        <f t="shared" si="637"/>
        <v>0</v>
      </c>
      <c r="CE925" s="387">
        <f t="shared" si="638"/>
        <v>0</v>
      </c>
      <c r="CF925" s="387">
        <f t="shared" si="639"/>
        <v>-365.58704</v>
      </c>
      <c r="CG925" s="387">
        <f t="shared" si="640"/>
        <v>0</v>
      </c>
      <c r="CH925" s="387">
        <f t="shared" si="641"/>
        <v>52.226719999999979</v>
      </c>
      <c r="CI925" s="387">
        <f t="shared" si="642"/>
        <v>0</v>
      </c>
      <c r="CJ925" s="387">
        <f t="shared" si="655"/>
        <v>-313.36032</v>
      </c>
      <c r="CK925" s="387" t="str">
        <f t="shared" si="656"/>
        <v/>
      </c>
      <c r="CL925" s="387" t="str">
        <f t="shared" si="657"/>
        <v/>
      </c>
      <c r="CM925" s="387" t="str">
        <f t="shared" si="658"/>
        <v/>
      </c>
      <c r="CN925" s="387" t="str">
        <f t="shared" si="659"/>
        <v>0348-31</v>
      </c>
    </row>
    <row r="926" spans="1:92" ht="15.75" thickBot="1" x14ac:dyDescent="0.3">
      <c r="A926" s="376" t="s">
        <v>161</v>
      </c>
      <c r="B926" s="376" t="s">
        <v>162</v>
      </c>
      <c r="C926" s="376" t="s">
        <v>2122</v>
      </c>
      <c r="D926" s="376" t="s">
        <v>862</v>
      </c>
      <c r="E926" s="376" t="s">
        <v>224</v>
      </c>
      <c r="F926" s="382" t="s">
        <v>225</v>
      </c>
      <c r="G926" s="376" t="s">
        <v>1945</v>
      </c>
      <c r="H926" s="378"/>
      <c r="I926" s="378"/>
      <c r="J926" s="376" t="s">
        <v>215</v>
      </c>
      <c r="K926" s="376" t="s">
        <v>863</v>
      </c>
      <c r="L926" s="376" t="s">
        <v>252</v>
      </c>
      <c r="M926" s="376" t="s">
        <v>566</v>
      </c>
      <c r="N926" s="376" t="s">
        <v>172</v>
      </c>
      <c r="O926" s="379">
        <v>0</v>
      </c>
      <c r="P926" s="385">
        <v>0</v>
      </c>
      <c r="Q926" s="385">
        <v>0</v>
      </c>
      <c r="R926" s="380">
        <v>80</v>
      </c>
      <c r="S926" s="385">
        <v>0</v>
      </c>
      <c r="T926" s="380">
        <v>8692.4</v>
      </c>
      <c r="U926" s="380">
        <v>284.44</v>
      </c>
      <c r="V926" s="380">
        <v>3753.07</v>
      </c>
      <c r="W926" s="380">
        <v>0</v>
      </c>
      <c r="X926" s="380">
        <v>0</v>
      </c>
      <c r="Y926" s="380">
        <v>0</v>
      </c>
      <c r="Z926" s="380">
        <v>0</v>
      </c>
      <c r="AA926" s="378"/>
      <c r="AB926" s="376" t="s">
        <v>45</v>
      </c>
      <c r="AC926" s="376" t="s">
        <v>45</v>
      </c>
      <c r="AD926" s="378"/>
      <c r="AE926" s="378"/>
      <c r="AF926" s="378"/>
      <c r="AG926" s="378"/>
      <c r="AH926" s="379">
        <v>0</v>
      </c>
      <c r="AI926" s="379">
        <v>0</v>
      </c>
      <c r="AJ926" s="378"/>
      <c r="AK926" s="378"/>
      <c r="AL926" s="376" t="s">
        <v>181</v>
      </c>
      <c r="AM926" s="378"/>
      <c r="AN926" s="378"/>
      <c r="AO926" s="379">
        <v>0</v>
      </c>
      <c r="AP926" s="385">
        <v>0</v>
      </c>
      <c r="AQ926" s="385">
        <v>0</v>
      </c>
      <c r="AR926" s="384"/>
      <c r="AS926" s="387">
        <f t="shared" si="643"/>
        <v>0</v>
      </c>
      <c r="AT926">
        <f t="shared" si="644"/>
        <v>0</v>
      </c>
      <c r="AU926" s="387" t="str">
        <f>IF(AT926=0,"",IF(AND(AT926=1,M926="F",SUMIF(C2:C1334,C926,AS2:AS1334)&lt;=1),SUMIF(C2:C1334,C926,AS2:AS1334),IF(AND(AT926=1,M926="F",SUMIF(C2:C1334,C926,AS2:AS1334)&gt;1),1,"")))</f>
        <v/>
      </c>
      <c r="AV926" s="387" t="str">
        <f>IF(AT926=0,"",IF(AND(AT926=3,M926="F",SUMIF(C2:C1334,C926,AS2:AS1334)&lt;=1),SUMIF(C2:C1334,C926,AS2:AS1334),IF(AND(AT926=3,M926="F",SUMIF(C2:C1334,C926,AS2:AS1334)&gt;1),1,"")))</f>
        <v/>
      </c>
      <c r="AW926" s="387">
        <f>SUMIF(C2:C1334,C926,O2:O1334)</f>
        <v>0</v>
      </c>
      <c r="AX926" s="387">
        <f>IF(AND(M926="F",AS926&lt;&gt;0),SUMIF(C2:C1334,C926,W2:W1334),0)</f>
        <v>0</v>
      </c>
      <c r="AY926" s="387" t="str">
        <f t="shared" si="645"/>
        <v/>
      </c>
      <c r="AZ926" s="387" t="str">
        <f t="shared" si="646"/>
        <v/>
      </c>
      <c r="BA926" s="387">
        <f t="shared" si="647"/>
        <v>0</v>
      </c>
      <c r="BB926" s="387">
        <f t="shared" si="616"/>
        <v>0</v>
      </c>
      <c r="BC926" s="387">
        <f t="shared" si="617"/>
        <v>0</v>
      </c>
      <c r="BD926" s="387">
        <f t="shared" si="618"/>
        <v>0</v>
      </c>
      <c r="BE926" s="387">
        <f t="shared" si="619"/>
        <v>0</v>
      </c>
      <c r="BF926" s="387">
        <f t="shared" si="620"/>
        <v>0</v>
      </c>
      <c r="BG926" s="387">
        <f t="shared" si="621"/>
        <v>0</v>
      </c>
      <c r="BH926" s="387">
        <f t="shared" si="622"/>
        <v>0</v>
      </c>
      <c r="BI926" s="387">
        <f t="shared" si="623"/>
        <v>0</v>
      </c>
      <c r="BJ926" s="387">
        <f t="shared" si="624"/>
        <v>0</v>
      </c>
      <c r="BK926" s="387">
        <f t="shared" si="625"/>
        <v>0</v>
      </c>
      <c r="BL926" s="387">
        <f t="shared" si="648"/>
        <v>0</v>
      </c>
      <c r="BM926" s="387">
        <f t="shared" si="649"/>
        <v>0</v>
      </c>
      <c r="BN926" s="387">
        <f t="shared" si="626"/>
        <v>0</v>
      </c>
      <c r="BO926" s="387">
        <f t="shared" si="627"/>
        <v>0</v>
      </c>
      <c r="BP926" s="387">
        <f t="shared" si="628"/>
        <v>0</v>
      </c>
      <c r="BQ926" s="387">
        <f t="shared" si="629"/>
        <v>0</v>
      </c>
      <c r="BR926" s="387">
        <f t="shared" si="630"/>
        <v>0</v>
      </c>
      <c r="BS926" s="387">
        <f t="shared" si="631"/>
        <v>0</v>
      </c>
      <c r="BT926" s="387">
        <f t="shared" si="632"/>
        <v>0</v>
      </c>
      <c r="BU926" s="387">
        <f t="shared" si="633"/>
        <v>0</v>
      </c>
      <c r="BV926" s="387">
        <f t="shared" si="634"/>
        <v>0</v>
      </c>
      <c r="BW926" s="387">
        <f t="shared" si="635"/>
        <v>0</v>
      </c>
      <c r="BX926" s="387">
        <f t="shared" si="650"/>
        <v>0</v>
      </c>
      <c r="BY926" s="387">
        <f t="shared" si="651"/>
        <v>0</v>
      </c>
      <c r="BZ926" s="387">
        <f t="shared" si="652"/>
        <v>0</v>
      </c>
      <c r="CA926" s="387">
        <f t="shared" si="653"/>
        <v>0</v>
      </c>
      <c r="CB926" s="387">
        <f t="shared" si="654"/>
        <v>0</v>
      </c>
      <c r="CC926" s="387">
        <f t="shared" si="636"/>
        <v>0</v>
      </c>
      <c r="CD926" s="387">
        <f t="shared" si="637"/>
        <v>0</v>
      </c>
      <c r="CE926" s="387">
        <f t="shared" si="638"/>
        <v>0</v>
      </c>
      <c r="CF926" s="387">
        <f t="shared" si="639"/>
        <v>0</v>
      </c>
      <c r="CG926" s="387">
        <f t="shared" si="640"/>
        <v>0</v>
      </c>
      <c r="CH926" s="387">
        <f t="shared" si="641"/>
        <v>0</v>
      </c>
      <c r="CI926" s="387">
        <f t="shared" si="642"/>
        <v>0</v>
      </c>
      <c r="CJ926" s="387">
        <f t="shared" si="655"/>
        <v>0</v>
      </c>
      <c r="CK926" s="387" t="str">
        <f t="shared" si="656"/>
        <v/>
      </c>
      <c r="CL926" s="387" t="str">
        <f t="shared" si="657"/>
        <v/>
      </c>
      <c r="CM926" s="387" t="str">
        <f t="shared" si="658"/>
        <v/>
      </c>
      <c r="CN926" s="387" t="str">
        <f t="shared" si="659"/>
        <v>0348-31</v>
      </c>
    </row>
    <row r="927" spans="1:92" ht="15.75" thickBot="1" x14ac:dyDescent="0.3">
      <c r="A927" s="376" t="s">
        <v>161</v>
      </c>
      <c r="B927" s="376" t="s">
        <v>162</v>
      </c>
      <c r="C927" s="376" t="s">
        <v>1186</v>
      </c>
      <c r="D927" s="376" t="s">
        <v>375</v>
      </c>
      <c r="E927" s="376" t="s">
        <v>224</v>
      </c>
      <c r="F927" s="382" t="s">
        <v>225</v>
      </c>
      <c r="G927" s="376" t="s">
        <v>1945</v>
      </c>
      <c r="H927" s="378"/>
      <c r="I927" s="378"/>
      <c r="J927" s="376" t="s">
        <v>215</v>
      </c>
      <c r="K927" s="376" t="s">
        <v>376</v>
      </c>
      <c r="L927" s="376" t="s">
        <v>178</v>
      </c>
      <c r="M927" s="376" t="s">
        <v>171</v>
      </c>
      <c r="N927" s="376" t="s">
        <v>172</v>
      </c>
      <c r="O927" s="379">
        <v>1</v>
      </c>
      <c r="P927" s="385">
        <v>1</v>
      </c>
      <c r="Q927" s="385">
        <v>1</v>
      </c>
      <c r="R927" s="380">
        <v>80</v>
      </c>
      <c r="S927" s="385">
        <v>1</v>
      </c>
      <c r="T927" s="380">
        <v>0</v>
      </c>
      <c r="U927" s="380">
        <v>0</v>
      </c>
      <c r="V927" s="380">
        <v>0</v>
      </c>
      <c r="W927" s="380">
        <v>42265.599999999999</v>
      </c>
      <c r="X927" s="380">
        <v>20789.91</v>
      </c>
      <c r="Y927" s="380">
        <v>42265.599999999999</v>
      </c>
      <c r="Z927" s="380">
        <v>20612.400000000001</v>
      </c>
      <c r="AA927" s="376" t="s">
        <v>1187</v>
      </c>
      <c r="AB927" s="376" t="s">
        <v>1188</v>
      </c>
      <c r="AC927" s="376" t="s">
        <v>1189</v>
      </c>
      <c r="AD927" s="376" t="s">
        <v>296</v>
      </c>
      <c r="AE927" s="376" t="s">
        <v>376</v>
      </c>
      <c r="AF927" s="376" t="s">
        <v>253</v>
      </c>
      <c r="AG927" s="376" t="s">
        <v>178</v>
      </c>
      <c r="AH927" s="381">
        <v>20.32</v>
      </c>
      <c r="AI927" s="381">
        <v>49502.2</v>
      </c>
      <c r="AJ927" s="376" t="s">
        <v>179</v>
      </c>
      <c r="AK927" s="376" t="s">
        <v>180</v>
      </c>
      <c r="AL927" s="376" t="s">
        <v>181</v>
      </c>
      <c r="AM927" s="376" t="s">
        <v>182</v>
      </c>
      <c r="AN927" s="376" t="s">
        <v>68</v>
      </c>
      <c r="AO927" s="379">
        <v>80</v>
      </c>
      <c r="AP927" s="385">
        <v>1</v>
      </c>
      <c r="AQ927" s="385">
        <v>1</v>
      </c>
      <c r="AR927" s="383" t="s">
        <v>183</v>
      </c>
      <c r="AS927" s="387">
        <f t="shared" si="643"/>
        <v>1</v>
      </c>
      <c r="AT927">
        <f t="shared" si="644"/>
        <v>1</v>
      </c>
      <c r="AU927" s="387">
        <f>IF(AT927=0,"",IF(AND(AT927=1,M927="F",SUMIF(C2:C1334,C927,AS2:AS1334)&lt;=1),SUMIF(C2:C1334,C927,AS2:AS1334),IF(AND(AT927=1,M927="F",SUMIF(C2:C1334,C927,AS2:AS1334)&gt;1),1,"")))</f>
        <v>1</v>
      </c>
      <c r="AV927" s="387" t="str">
        <f>IF(AT927=0,"",IF(AND(AT927=3,M927="F",SUMIF(C2:C1334,C927,AS2:AS1334)&lt;=1),SUMIF(C2:C1334,C927,AS2:AS1334),IF(AND(AT927=3,M927="F",SUMIF(C2:C1334,C927,AS2:AS1334)&gt;1),1,"")))</f>
        <v/>
      </c>
      <c r="AW927" s="387">
        <f>SUMIF(C2:C1334,C927,O2:O1334)</f>
        <v>2</v>
      </c>
      <c r="AX927" s="387">
        <f>IF(AND(M927="F",AS927&lt;&gt;0),SUMIF(C2:C1334,C927,W2:W1334),0)</f>
        <v>42265.599999999999</v>
      </c>
      <c r="AY927" s="387">
        <f t="shared" si="645"/>
        <v>42265.599999999999</v>
      </c>
      <c r="AZ927" s="387" t="str">
        <f t="shared" si="646"/>
        <v/>
      </c>
      <c r="BA927" s="387">
        <f t="shared" si="647"/>
        <v>0</v>
      </c>
      <c r="BB927" s="387">
        <f t="shared" si="616"/>
        <v>11650</v>
      </c>
      <c r="BC927" s="387">
        <f t="shared" si="617"/>
        <v>0</v>
      </c>
      <c r="BD927" s="387">
        <f t="shared" si="618"/>
        <v>2620.4672</v>
      </c>
      <c r="BE927" s="387">
        <f t="shared" si="619"/>
        <v>612.85120000000006</v>
      </c>
      <c r="BF927" s="387">
        <f t="shared" si="620"/>
        <v>5046.5126399999999</v>
      </c>
      <c r="BG927" s="387">
        <f t="shared" si="621"/>
        <v>304.73497600000002</v>
      </c>
      <c r="BH927" s="387">
        <f t="shared" si="622"/>
        <v>207.10144</v>
      </c>
      <c r="BI927" s="387">
        <f t="shared" si="623"/>
        <v>233.94009599999998</v>
      </c>
      <c r="BJ927" s="387">
        <f t="shared" si="624"/>
        <v>114.11712</v>
      </c>
      <c r="BK927" s="387">
        <f t="shared" si="625"/>
        <v>0</v>
      </c>
      <c r="BL927" s="387">
        <f t="shared" si="648"/>
        <v>9139.7246720000021</v>
      </c>
      <c r="BM927" s="387">
        <f t="shared" si="649"/>
        <v>0</v>
      </c>
      <c r="BN927" s="387">
        <f t="shared" si="626"/>
        <v>11650</v>
      </c>
      <c r="BO927" s="387">
        <f t="shared" si="627"/>
        <v>0</v>
      </c>
      <c r="BP927" s="387">
        <f t="shared" si="628"/>
        <v>2620.4672</v>
      </c>
      <c r="BQ927" s="387">
        <f t="shared" si="629"/>
        <v>612.85120000000006</v>
      </c>
      <c r="BR927" s="387">
        <f t="shared" si="630"/>
        <v>5046.5126399999999</v>
      </c>
      <c r="BS927" s="387">
        <f t="shared" si="631"/>
        <v>304.73497600000002</v>
      </c>
      <c r="BT927" s="387">
        <f t="shared" si="632"/>
        <v>0</v>
      </c>
      <c r="BU927" s="387">
        <f t="shared" si="633"/>
        <v>233.94009599999998</v>
      </c>
      <c r="BV927" s="387">
        <f t="shared" si="634"/>
        <v>143.70303999999999</v>
      </c>
      <c r="BW927" s="387">
        <f t="shared" si="635"/>
        <v>0</v>
      </c>
      <c r="BX927" s="387">
        <f t="shared" si="650"/>
        <v>8962.2091520000013</v>
      </c>
      <c r="BY927" s="387">
        <f t="shared" si="651"/>
        <v>0</v>
      </c>
      <c r="BZ927" s="387">
        <f t="shared" si="652"/>
        <v>0</v>
      </c>
      <c r="CA927" s="387">
        <f t="shared" si="653"/>
        <v>0</v>
      </c>
      <c r="CB927" s="387">
        <f t="shared" si="654"/>
        <v>0</v>
      </c>
      <c r="CC927" s="387">
        <f t="shared" si="636"/>
        <v>0</v>
      </c>
      <c r="CD927" s="387">
        <f t="shared" si="637"/>
        <v>0</v>
      </c>
      <c r="CE927" s="387">
        <f t="shared" si="638"/>
        <v>0</v>
      </c>
      <c r="CF927" s="387">
        <f t="shared" si="639"/>
        <v>-207.10144</v>
      </c>
      <c r="CG927" s="387">
        <f t="shared" si="640"/>
        <v>0</v>
      </c>
      <c r="CH927" s="387">
        <f t="shared" si="641"/>
        <v>29.585919999999984</v>
      </c>
      <c r="CI927" s="387">
        <f t="shared" si="642"/>
        <v>0</v>
      </c>
      <c r="CJ927" s="387">
        <f t="shared" si="655"/>
        <v>-177.51552000000001</v>
      </c>
      <c r="CK927" s="387" t="str">
        <f t="shared" si="656"/>
        <v/>
      </c>
      <c r="CL927" s="387" t="str">
        <f t="shared" si="657"/>
        <v/>
      </c>
      <c r="CM927" s="387" t="str">
        <f t="shared" si="658"/>
        <v/>
      </c>
      <c r="CN927" s="387" t="str">
        <f t="shared" si="659"/>
        <v>0348-31</v>
      </c>
    </row>
    <row r="928" spans="1:92" ht="15.75" thickBot="1" x14ac:dyDescent="0.3">
      <c r="A928" s="376" t="s">
        <v>161</v>
      </c>
      <c r="B928" s="376" t="s">
        <v>162</v>
      </c>
      <c r="C928" s="376" t="s">
        <v>1239</v>
      </c>
      <c r="D928" s="376" t="s">
        <v>862</v>
      </c>
      <c r="E928" s="376" t="s">
        <v>224</v>
      </c>
      <c r="F928" s="382" t="s">
        <v>225</v>
      </c>
      <c r="G928" s="376" t="s">
        <v>1945</v>
      </c>
      <c r="H928" s="378"/>
      <c r="I928" s="378"/>
      <c r="J928" s="376" t="s">
        <v>239</v>
      </c>
      <c r="K928" s="376" t="s">
        <v>863</v>
      </c>
      <c r="L928" s="376" t="s">
        <v>252</v>
      </c>
      <c r="M928" s="376" t="s">
        <v>171</v>
      </c>
      <c r="N928" s="376" t="s">
        <v>172</v>
      </c>
      <c r="O928" s="379">
        <v>1</v>
      </c>
      <c r="P928" s="385">
        <v>0.4</v>
      </c>
      <c r="Q928" s="385">
        <v>0.4</v>
      </c>
      <c r="R928" s="380">
        <v>80</v>
      </c>
      <c r="S928" s="385">
        <v>0.4</v>
      </c>
      <c r="T928" s="380">
        <v>8517.81</v>
      </c>
      <c r="U928" s="380">
        <v>0</v>
      </c>
      <c r="V928" s="380">
        <v>4549.7</v>
      </c>
      <c r="W928" s="380">
        <v>15525.12</v>
      </c>
      <c r="X928" s="380">
        <v>8017.29</v>
      </c>
      <c r="Y928" s="380">
        <v>15525.12</v>
      </c>
      <c r="Z928" s="380">
        <v>7952.09</v>
      </c>
      <c r="AA928" s="376" t="s">
        <v>1240</v>
      </c>
      <c r="AB928" s="376" t="s">
        <v>1241</v>
      </c>
      <c r="AC928" s="376" t="s">
        <v>1242</v>
      </c>
      <c r="AD928" s="376" t="s">
        <v>292</v>
      </c>
      <c r="AE928" s="376" t="s">
        <v>863</v>
      </c>
      <c r="AF928" s="376" t="s">
        <v>393</v>
      </c>
      <c r="AG928" s="376" t="s">
        <v>178</v>
      </c>
      <c r="AH928" s="381">
        <v>18.66</v>
      </c>
      <c r="AI928" s="381">
        <v>8690.2999999999993</v>
      </c>
      <c r="AJ928" s="376" t="s">
        <v>179</v>
      </c>
      <c r="AK928" s="376" t="s">
        <v>180</v>
      </c>
      <c r="AL928" s="376" t="s">
        <v>181</v>
      </c>
      <c r="AM928" s="376" t="s">
        <v>182</v>
      </c>
      <c r="AN928" s="376" t="s">
        <v>68</v>
      </c>
      <c r="AO928" s="379">
        <v>80</v>
      </c>
      <c r="AP928" s="385">
        <v>1</v>
      </c>
      <c r="AQ928" s="385">
        <v>0.4</v>
      </c>
      <c r="AR928" s="383" t="s">
        <v>183</v>
      </c>
      <c r="AS928" s="387">
        <f t="shared" si="643"/>
        <v>0.4</v>
      </c>
      <c r="AT928">
        <f t="shared" si="644"/>
        <v>1</v>
      </c>
      <c r="AU928" s="387">
        <f>IF(AT928=0,"",IF(AND(AT928=1,M928="F",SUMIF(C2:C1334,C928,AS2:AS1334)&lt;=1),SUMIF(C2:C1334,C928,AS2:AS1334),IF(AND(AT928=1,M928="F",SUMIF(C2:C1334,C928,AS2:AS1334)&gt;1),1,"")))</f>
        <v>1</v>
      </c>
      <c r="AV928" s="387" t="str">
        <f>IF(AT928=0,"",IF(AND(AT928=3,M928="F",SUMIF(C2:C1334,C928,AS2:AS1334)&lt;=1),SUMIF(C2:C1334,C928,AS2:AS1334),IF(AND(AT928=3,M928="F",SUMIF(C2:C1334,C928,AS2:AS1334)&gt;1),1,"")))</f>
        <v/>
      </c>
      <c r="AW928" s="387">
        <f>SUMIF(C2:C1334,C928,O2:O1334)</f>
        <v>3</v>
      </c>
      <c r="AX928" s="387">
        <f>IF(AND(M928="F",AS928&lt;&gt;0),SUMIF(C2:C1334,C928,W2:W1334),0)</f>
        <v>38812.800000000003</v>
      </c>
      <c r="AY928" s="387">
        <f t="shared" si="645"/>
        <v>15525.12</v>
      </c>
      <c r="AZ928" s="387" t="str">
        <f t="shared" si="646"/>
        <v/>
      </c>
      <c r="BA928" s="387">
        <f t="shared" si="647"/>
        <v>0</v>
      </c>
      <c r="BB928" s="387">
        <f t="shared" si="616"/>
        <v>4660</v>
      </c>
      <c r="BC928" s="387">
        <f t="shared" si="617"/>
        <v>0</v>
      </c>
      <c r="BD928" s="387">
        <f t="shared" si="618"/>
        <v>962.55744000000004</v>
      </c>
      <c r="BE928" s="387">
        <f t="shared" si="619"/>
        <v>225.11424000000002</v>
      </c>
      <c r="BF928" s="387">
        <f t="shared" si="620"/>
        <v>1853.6993280000002</v>
      </c>
      <c r="BG928" s="387">
        <f t="shared" si="621"/>
        <v>111.9361152</v>
      </c>
      <c r="BH928" s="387">
        <f t="shared" si="622"/>
        <v>76.073087999999998</v>
      </c>
      <c r="BI928" s="387">
        <f t="shared" si="623"/>
        <v>85.931539200000003</v>
      </c>
      <c r="BJ928" s="387">
        <f t="shared" si="624"/>
        <v>41.917824000000003</v>
      </c>
      <c r="BK928" s="387">
        <f t="shared" si="625"/>
        <v>0</v>
      </c>
      <c r="BL928" s="387">
        <f t="shared" si="648"/>
        <v>3357.2295744000003</v>
      </c>
      <c r="BM928" s="387">
        <f t="shared" si="649"/>
        <v>0</v>
      </c>
      <c r="BN928" s="387">
        <f t="shared" si="626"/>
        <v>4660</v>
      </c>
      <c r="BO928" s="387">
        <f t="shared" si="627"/>
        <v>0</v>
      </c>
      <c r="BP928" s="387">
        <f t="shared" si="628"/>
        <v>962.55744000000004</v>
      </c>
      <c r="BQ928" s="387">
        <f t="shared" si="629"/>
        <v>225.11424000000002</v>
      </c>
      <c r="BR928" s="387">
        <f t="shared" si="630"/>
        <v>1853.6993280000002</v>
      </c>
      <c r="BS928" s="387">
        <f t="shared" si="631"/>
        <v>111.9361152</v>
      </c>
      <c r="BT928" s="387">
        <f t="shared" si="632"/>
        <v>0</v>
      </c>
      <c r="BU928" s="387">
        <f t="shared" si="633"/>
        <v>85.931539200000003</v>
      </c>
      <c r="BV928" s="387">
        <f t="shared" si="634"/>
        <v>52.785407999999997</v>
      </c>
      <c r="BW928" s="387">
        <f t="shared" si="635"/>
        <v>0</v>
      </c>
      <c r="BX928" s="387">
        <f t="shared" si="650"/>
        <v>3292.0240704000003</v>
      </c>
      <c r="BY928" s="387">
        <f t="shared" si="651"/>
        <v>0</v>
      </c>
      <c r="BZ928" s="387">
        <f t="shared" si="652"/>
        <v>0</v>
      </c>
      <c r="CA928" s="387">
        <f t="shared" si="653"/>
        <v>0</v>
      </c>
      <c r="CB928" s="387">
        <f t="shared" si="654"/>
        <v>0</v>
      </c>
      <c r="CC928" s="387">
        <f t="shared" si="636"/>
        <v>0</v>
      </c>
      <c r="CD928" s="387">
        <f t="shared" si="637"/>
        <v>0</v>
      </c>
      <c r="CE928" s="387">
        <f t="shared" si="638"/>
        <v>0</v>
      </c>
      <c r="CF928" s="387">
        <f t="shared" si="639"/>
        <v>-76.073087999999998</v>
      </c>
      <c r="CG928" s="387">
        <f t="shared" si="640"/>
        <v>0</v>
      </c>
      <c r="CH928" s="387">
        <f t="shared" si="641"/>
        <v>10.867583999999995</v>
      </c>
      <c r="CI928" s="387">
        <f t="shared" si="642"/>
        <v>0</v>
      </c>
      <c r="CJ928" s="387">
        <f t="shared" si="655"/>
        <v>-65.205504000000005</v>
      </c>
      <c r="CK928" s="387" t="str">
        <f t="shared" si="656"/>
        <v/>
      </c>
      <c r="CL928" s="387" t="str">
        <f t="shared" si="657"/>
        <v/>
      </c>
      <c r="CM928" s="387" t="str">
        <f t="shared" si="658"/>
        <v/>
      </c>
      <c r="CN928" s="387" t="str">
        <f t="shared" si="659"/>
        <v>0348-31</v>
      </c>
    </row>
    <row r="929" spans="1:92" ht="15.75" thickBot="1" x14ac:dyDescent="0.3">
      <c r="A929" s="376" t="s">
        <v>161</v>
      </c>
      <c r="B929" s="376" t="s">
        <v>162</v>
      </c>
      <c r="C929" s="376" t="s">
        <v>2123</v>
      </c>
      <c r="D929" s="376" t="s">
        <v>862</v>
      </c>
      <c r="E929" s="376" t="s">
        <v>224</v>
      </c>
      <c r="F929" s="382" t="s">
        <v>225</v>
      </c>
      <c r="G929" s="376" t="s">
        <v>1945</v>
      </c>
      <c r="H929" s="378"/>
      <c r="I929" s="378"/>
      <c r="J929" s="376" t="s">
        <v>215</v>
      </c>
      <c r="K929" s="376" t="s">
        <v>863</v>
      </c>
      <c r="L929" s="376" t="s">
        <v>252</v>
      </c>
      <c r="M929" s="376" t="s">
        <v>171</v>
      </c>
      <c r="N929" s="376" t="s">
        <v>172</v>
      </c>
      <c r="O929" s="379">
        <v>1</v>
      </c>
      <c r="P929" s="385">
        <v>1</v>
      </c>
      <c r="Q929" s="385">
        <v>1</v>
      </c>
      <c r="R929" s="380">
        <v>80</v>
      </c>
      <c r="S929" s="385">
        <v>1</v>
      </c>
      <c r="T929" s="380">
        <v>33638.080000000002</v>
      </c>
      <c r="U929" s="380">
        <v>470.2</v>
      </c>
      <c r="V929" s="380">
        <v>17780.07</v>
      </c>
      <c r="W929" s="380">
        <v>38688</v>
      </c>
      <c r="X929" s="380">
        <v>20016.25</v>
      </c>
      <c r="Y929" s="380">
        <v>38688</v>
      </c>
      <c r="Z929" s="380">
        <v>19853.759999999998</v>
      </c>
      <c r="AA929" s="376" t="s">
        <v>2124</v>
      </c>
      <c r="AB929" s="376" t="s">
        <v>2125</v>
      </c>
      <c r="AC929" s="376" t="s">
        <v>2126</v>
      </c>
      <c r="AD929" s="376" t="s">
        <v>1969</v>
      </c>
      <c r="AE929" s="376" t="s">
        <v>863</v>
      </c>
      <c r="AF929" s="376" t="s">
        <v>393</v>
      </c>
      <c r="AG929" s="376" t="s">
        <v>178</v>
      </c>
      <c r="AH929" s="381">
        <v>18.600000000000001</v>
      </c>
      <c r="AI929" s="381">
        <v>3699.5</v>
      </c>
      <c r="AJ929" s="376" t="s">
        <v>179</v>
      </c>
      <c r="AK929" s="376" t="s">
        <v>180</v>
      </c>
      <c r="AL929" s="376" t="s">
        <v>181</v>
      </c>
      <c r="AM929" s="376" t="s">
        <v>182</v>
      </c>
      <c r="AN929" s="376" t="s">
        <v>68</v>
      </c>
      <c r="AO929" s="379">
        <v>80</v>
      </c>
      <c r="AP929" s="385">
        <v>1</v>
      </c>
      <c r="AQ929" s="385">
        <v>1</v>
      </c>
      <c r="AR929" s="383" t="s">
        <v>183</v>
      </c>
      <c r="AS929" s="387">
        <f t="shared" si="643"/>
        <v>1</v>
      </c>
      <c r="AT929">
        <f t="shared" si="644"/>
        <v>1</v>
      </c>
      <c r="AU929" s="387">
        <f>IF(AT929=0,"",IF(AND(AT929=1,M929="F",SUMIF(C2:C1334,C929,AS2:AS1334)&lt;=1),SUMIF(C2:C1334,C929,AS2:AS1334),IF(AND(AT929=1,M929="F",SUMIF(C2:C1334,C929,AS2:AS1334)&gt;1),1,"")))</f>
        <v>1</v>
      </c>
      <c r="AV929" s="387" t="str">
        <f>IF(AT929=0,"",IF(AND(AT929=3,M929="F",SUMIF(C2:C1334,C929,AS2:AS1334)&lt;=1),SUMIF(C2:C1334,C929,AS2:AS1334),IF(AND(AT929=3,M929="F",SUMIF(C2:C1334,C929,AS2:AS1334)&gt;1),1,"")))</f>
        <v/>
      </c>
      <c r="AW929" s="387">
        <f>SUMIF(C2:C1334,C929,O2:O1334)</f>
        <v>1</v>
      </c>
      <c r="AX929" s="387">
        <f>IF(AND(M929="F",AS929&lt;&gt;0),SUMIF(C2:C1334,C929,W2:W1334),0)</f>
        <v>38688</v>
      </c>
      <c r="AY929" s="387">
        <f t="shared" si="645"/>
        <v>38688</v>
      </c>
      <c r="AZ929" s="387" t="str">
        <f t="shared" si="646"/>
        <v/>
      </c>
      <c r="BA929" s="387">
        <f t="shared" si="647"/>
        <v>0</v>
      </c>
      <c r="BB929" s="387">
        <f t="shared" si="616"/>
        <v>11650</v>
      </c>
      <c r="BC929" s="387">
        <f t="shared" si="617"/>
        <v>0</v>
      </c>
      <c r="BD929" s="387">
        <f t="shared" si="618"/>
        <v>2398.6559999999999</v>
      </c>
      <c r="BE929" s="387">
        <f t="shared" si="619"/>
        <v>560.976</v>
      </c>
      <c r="BF929" s="387">
        <f t="shared" si="620"/>
        <v>4619.3472000000002</v>
      </c>
      <c r="BG929" s="387">
        <f t="shared" si="621"/>
        <v>278.94048000000004</v>
      </c>
      <c r="BH929" s="387">
        <f t="shared" si="622"/>
        <v>189.5712</v>
      </c>
      <c r="BI929" s="387">
        <f t="shared" si="623"/>
        <v>214.13808</v>
      </c>
      <c r="BJ929" s="387">
        <f t="shared" si="624"/>
        <v>104.4576</v>
      </c>
      <c r="BK929" s="387">
        <f t="shared" si="625"/>
        <v>0</v>
      </c>
      <c r="BL929" s="387">
        <f t="shared" si="648"/>
        <v>8366.0865599999997</v>
      </c>
      <c r="BM929" s="387">
        <f t="shared" si="649"/>
        <v>0</v>
      </c>
      <c r="BN929" s="387">
        <f t="shared" si="626"/>
        <v>11650</v>
      </c>
      <c r="BO929" s="387">
        <f t="shared" si="627"/>
        <v>0</v>
      </c>
      <c r="BP929" s="387">
        <f t="shared" si="628"/>
        <v>2398.6559999999999</v>
      </c>
      <c r="BQ929" s="387">
        <f t="shared" si="629"/>
        <v>560.976</v>
      </c>
      <c r="BR929" s="387">
        <f t="shared" si="630"/>
        <v>4619.3472000000002</v>
      </c>
      <c r="BS929" s="387">
        <f t="shared" si="631"/>
        <v>278.94048000000004</v>
      </c>
      <c r="BT929" s="387">
        <f t="shared" si="632"/>
        <v>0</v>
      </c>
      <c r="BU929" s="387">
        <f t="shared" si="633"/>
        <v>214.13808</v>
      </c>
      <c r="BV929" s="387">
        <f t="shared" si="634"/>
        <v>131.53919999999999</v>
      </c>
      <c r="BW929" s="387">
        <f t="shared" si="635"/>
        <v>0</v>
      </c>
      <c r="BX929" s="387">
        <f t="shared" si="650"/>
        <v>8203.5969599999989</v>
      </c>
      <c r="BY929" s="387">
        <f t="shared" si="651"/>
        <v>0</v>
      </c>
      <c r="BZ929" s="387">
        <f t="shared" si="652"/>
        <v>0</v>
      </c>
      <c r="CA929" s="387">
        <f t="shared" si="653"/>
        <v>0</v>
      </c>
      <c r="CB929" s="387">
        <f t="shared" si="654"/>
        <v>0</v>
      </c>
      <c r="CC929" s="387">
        <f t="shared" si="636"/>
        <v>0</v>
      </c>
      <c r="CD929" s="387">
        <f t="shared" si="637"/>
        <v>0</v>
      </c>
      <c r="CE929" s="387">
        <f t="shared" si="638"/>
        <v>0</v>
      </c>
      <c r="CF929" s="387">
        <f t="shared" si="639"/>
        <v>-189.5712</v>
      </c>
      <c r="CG929" s="387">
        <f t="shared" si="640"/>
        <v>0</v>
      </c>
      <c r="CH929" s="387">
        <f t="shared" si="641"/>
        <v>27.081599999999987</v>
      </c>
      <c r="CI929" s="387">
        <f t="shared" si="642"/>
        <v>0</v>
      </c>
      <c r="CJ929" s="387">
        <f t="shared" si="655"/>
        <v>-162.48960000000002</v>
      </c>
      <c r="CK929" s="387" t="str">
        <f t="shared" si="656"/>
        <v/>
      </c>
      <c r="CL929" s="387" t="str">
        <f t="shared" si="657"/>
        <v/>
      </c>
      <c r="CM929" s="387" t="str">
        <f t="shared" si="658"/>
        <v/>
      </c>
      <c r="CN929" s="387" t="str">
        <f t="shared" si="659"/>
        <v>0348-31</v>
      </c>
    </row>
    <row r="930" spans="1:92" ht="15.75" thickBot="1" x14ac:dyDescent="0.3">
      <c r="A930" s="376" t="s">
        <v>161</v>
      </c>
      <c r="B930" s="376" t="s">
        <v>162</v>
      </c>
      <c r="C930" s="376" t="s">
        <v>991</v>
      </c>
      <c r="D930" s="376" t="s">
        <v>992</v>
      </c>
      <c r="E930" s="376" t="s">
        <v>224</v>
      </c>
      <c r="F930" s="382" t="s">
        <v>225</v>
      </c>
      <c r="G930" s="376" t="s">
        <v>1945</v>
      </c>
      <c r="H930" s="378"/>
      <c r="I930" s="378"/>
      <c r="J930" s="376" t="s">
        <v>215</v>
      </c>
      <c r="K930" s="376" t="s">
        <v>993</v>
      </c>
      <c r="L930" s="376" t="s">
        <v>210</v>
      </c>
      <c r="M930" s="376" t="s">
        <v>171</v>
      </c>
      <c r="N930" s="376" t="s">
        <v>172</v>
      </c>
      <c r="O930" s="379">
        <v>1</v>
      </c>
      <c r="P930" s="385">
        <v>1</v>
      </c>
      <c r="Q930" s="385">
        <v>1</v>
      </c>
      <c r="R930" s="380">
        <v>80</v>
      </c>
      <c r="S930" s="385">
        <v>1</v>
      </c>
      <c r="T930" s="380">
        <v>0</v>
      </c>
      <c r="U930" s="380">
        <v>0</v>
      </c>
      <c r="V930" s="380">
        <v>0</v>
      </c>
      <c r="W930" s="380">
        <v>63585.599999999999</v>
      </c>
      <c r="X930" s="380">
        <v>25400.36</v>
      </c>
      <c r="Y930" s="380">
        <v>63585.599999999999</v>
      </c>
      <c r="Z930" s="380">
        <v>25133.31</v>
      </c>
      <c r="AA930" s="376" t="s">
        <v>994</v>
      </c>
      <c r="AB930" s="376" t="s">
        <v>995</v>
      </c>
      <c r="AC930" s="376" t="s">
        <v>996</v>
      </c>
      <c r="AD930" s="376" t="s">
        <v>716</v>
      </c>
      <c r="AE930" s="376" t="s">
        <v>993</v>
      </c>
      <c r="AF930" s="376" t="s">
        <v>245</v>
      </c>
      <c r="AG930" s="376" t="s">
        <v>178</v>
      </c>
      <c r="AH930" s="381">
        <v>30.57</v>
      </c>
      <c r="AI930" s="379">
        <v>14465</v>
      </c>
      <c r="AJ930" s="376" t="s">
        <v>179</v>
      </c>
      <c r="AK930" s="376" t="s">
        <v>180</v>
      </c>
      <c r="AL930" s="376" t="s">
        <v>181</v>
      </c>
      <c r="AM930" s="376" t="s">
        <v>182</v>
      </c>
      <c r="AN930" s="376" t="s">
        <v>68</v>
      </c>
      <c r="AO930" s="379">
        <v>80</v>
      </c>
      <c r="AP930" s="385">
        <v>1</v>
      </c>
      <c r="AQ930" s="385">
        <v>1</v>
      </c>
      <c r="AR930" s="383" t="s">
        <v>183</v>
      </c>
      <c r="AS930" s="387">
        <f t="shared" si="643"/>
        <v>1</v>
      </c>
      <c r="AT930">
        <f t="shared" si="644"/>
        <v>1</v>
      </c>
      <c r="AU930" s="387">
        <f>IF(AT930=0,"",IF(AND(AT930=1,M930="F",SUMIF(C2:C1334,C930,AS2:AS1334)&lt;=1),SUMIF(C2:C1334,C930,AS2:AS1334),IF(AND(AT930=1,M930="F",SUMIF(C2:C1334,C930,AS2:AS1334)&gt;1),1,"")))</f>
        <v>1</v>
      </c>
      <c r="AV930" s="387" t="str">
        <f>IF(AT930=0,"",IF(AND(AT930=3,M930="F",SUMIF(C2:C1334,C930,AS2:AS1334)&lt;=1),SUMIF(C2:C1334,C930,AS2:AS1334),IF(AND(AT930=3,M930="F",SUMIF(C2:C1334,C930,AS2:AS1334)&gt;1),1,"")))</f>
        <v/>
      </c>
      <c r="AW930" s="387">
        <f>SUMIF(C2:C1334,C930,O2:O1334)</f>
        <v>2</v>
      </c>
      <c r="AX930" s="387">
        <f>IF(AND(M930="F",AS930&lt;&gt;0),SUMIF(C2:C1334,C930,W2:W1334),0)</f>
        <v>63585.599999999999</v>
      </c>
      <c r="AY930" s="387">
        <f t="shared" si="645"/>
        <v>63585.599999999999</v>
      </c>
      <c r="AZ930" s="387" t="str">
        <f t="shared" si="646"/>
        <v/>
      </c>
      <c r="BA930" s="387">
        <f t="shared" si="647"/>
        <v>0</v>
      </c>
      <c r="BB930" s="387">
        <f t="shared" si="616"/>
        <v>11650</v>
      </c>
      <c r="BC930" s="387">
        <f t="shared" si="617"/>
        <v>0</v>
      </c>
      <c r="BD930" s="387">
        <f t="shared" si="618"/>
        <v>3942.3071999999997</v>
      </c>
      <c r="BE930" s="387">
        <f t="shared" si="619"/>
        <v>921.99120000000005</v>
      </c>
      <c r="BF930" s="387">
        <f t="shared" si="620"/>
        <v>7592.1206400000001</v>
      </c>
      <c r="BG930" s="387">
        <f t="shared" si="621"/>
        <v>458.45217600000001</v>
      </c>
      <c r="BH930" s="387">
        <f t="shared" si="622"/>
        <v>311.56943999999999</v>
      </c>
      <c r="BI930" s="387">
        <f t="shared" si="623"/>
        <v>351.94629600000002</v>
      </c>
      <c r="BJ930" s="387">
        <f t="shared" si="624"/>
        <v>171.68111999999999</v>
      </c>
      <c r="BK930" s="387">
        <f t="shared" si="625"/>
        <v>0</v>
      </c>
      <c r="BL930" s="387">
        <f t="shared" si="648"/>
        <v>13750.068072</v>
      </c>
      <c r="BM930" s="387">
        <f t="shared" si="649"/>
        <v>0</v>
      </c>
      <c r="BN930" s="387">
        <f t="shared" si="626"/>
        <v>11650</v>
      </c>
      <c r="BO930" s="387">
        <f t="shared" si="627"/>
        <v>0</v>
      </c>
      <c r="BP930" s="387">
        <f t="shared" si="628"/>
        <v>3942.3071999999997</v>
      </c>
      <c r="BQ930" s="387">
        <f t="shared" si="629"/>
        <v>921.99120000000005</v>
      </c>
      <c r="BR930" s="387">
        <f t="shared" si="630"/>
        <v>7592.1206400000001</v>
      </c>
      <c r="BS930" s="387">
        <f t="shared" si="631"/>
        <v>458.45217600000001</v>
      </c>
      <c r="BT930" s="387">
        <f t="shared" si="632"/>
        <v>0</v>
      </c>
      <c r="BU930" s="387">
        <f t="shared" si="633"/>
        <v>351.94629600000002</v>
      </c>
      <c r="BV930" s="387">
        <f t="shared" si="634"/>
        <v>216.19103999999999</v>
      </c>
      <c r="BW930" s="387">
        <f t="shared" si="635"/>
        <v>0</v>
      </c>
      <c r="BX930" s="387">
        <f t="shared" si="650"/>
        <v>13483.008552000001</v>
      </c>
      <c r="BY930" s="387">
        <f t="shared" si="651"/>
        <v>0</v>
      </c>
      <c r="BZ930" s="387">
        <f t="shared" si="652"/>
        <v>0</v>
      </c>
      <c r="CA930" s="387">
        <f t="shared" si="653"/>
        <v>0</v>
      </c>
      <c r="CB930" s="387">
        <f t="shared" si="654"/>
        <v>0</v>
      </c>
      <c r="CC930" s="387">
        <f t="shared" si="636"/>
        <v>0</v>
      </c>
      <c r="CD930" s="387">
        <f t="shared" si="637"/>
        <v>0</v>
      </c>
      <c r="CE930" s="387">
        <f t="shared" si="638"/>
        <v>0</v>
      </c>
      <c r="CF930" s="387">
        <f t="shared" si="639"/>
        <v>-311.56943999999999</v>
      </c>
      <c r="CG930" s="387">
        <f t="shared" si="640"/>
        <v>0</v>
      </c>
      <c r="CH930" s="387">
        <f t="shared" si="641"/>
        <v>44.50991999999998</v>
      </c>
      <c r="CI930" s="387">
        <f t="shared" si="642"/>
        <v>0</v>
      </c>
      <c r="CJ930" s="387">
        <f t="shared" si="655"/>
        <v>-267.05952000000002</v>
      </c>
      <c r="CK930" s="387" t="str">
        <f t="shared" si="656"/>
        <v/>
      </c>
      <c r="CL930" s="387" t="str">
        <f t="shared" si="657"/>
        <v/>
      </c>
      <c r="CM930" s="387" t="str">
        <f t="shared" si="658"/>
        <v/>
      </c>
      <c r="CN930" s="387" t="str">
        <f t="shared" si="659"/>
        <v>0348-31</v>
      </c>
    </row>
    <row r="931" spans="1:92" ht="15.75" thickBot="1" x14ac:dyDescent="0.3">
      <c r="A931" s="376" t="s">
        <v>161</v>
      </c>
      <c r="B931" s="376" t="s">
        <v>162</v>
      </c>
      <c r="C931" s="376" t="s">
        <v>1072</v>
      </c>
      <c r="D931" s="376" t="s">
        <v>862</v>
      </c>
      <c r="E931" s="376" t="s">
        <v>224</v>
      </c>
      <c r="F931" s="382" t="s">
        <v>225</v>
      </c>
      <c r="G931" s="376" t="s">
        <v>1945</v>
      </c>
      <c r="H931" s="378"/>
      <c r="I931" s="378"/>
      <c r="J931" s="376" t="s">
        <v>168</v>
      </c>
      <c r="K931" s="376" t="s">
        <v>863</v>
      </c>
      <c r="L931" s="376" t="s">
        <v>252</v>
      </c>
      <c r="M931" s="376" t="s">
        <v>171</v>
      </c>
      <c r="N931" s="376" t="s">
        <v>172</v>
      </c>
      <c r="O931" s="379">
        <v>1</v>
      </c>
      <c r="P931" s="385">
        <v>0.4</v>
      </c>
      <c r="Q931" s="385">
        <v>0.4</v>
      </c>
      <c r="R931" s="380">
        <v>80</v>
      </c>
      <c r="S931" s="385">
        <v>0.4</v>
      </c>
      <c r="T931" s="380">
        <v>14019.95</v>
      </c>
      <c r="U931" s="380">
        <v>0</v>
      </c>
      <c r="V931" s="380">
        <v>6853.32</v>
      </c>
      <c r="W931" s="380">
        <v>18520.32</v>
      </c>
      <c r="X931" s="380">
        <v>8665</v>
      </c>
      <c r="Y931" s="380">
        <v>18520.32</v>
      </c>
      <c r="Z931" s="380">
        <v>8587.2199999999993</v>
      </c>
      <c r="AA931" s="376" t="s">
        <v>1073</v>
      </c>
      <c r="AB931" s="376" t="s">
        <v>1074</v>
      </c>
      <c r="AC931" s="376" t="s">
        <v>1075</v>
      </c>
      <c r="AD931" s="376" t="s">
        <v>210</v>
      </c>
      <c r="AE931" s="376" t="s">
        <v>863</v>
      </c>
      <c r="AF931" s="376" t="s">
        <v>393</v>
      </c>
      <c r="AG931" s="376" t="s">
        <v>178</v>
      </c>
      <c r="AH931" s="381">
        <v>22.26</v>
      </c>
      <c r="AI931" s="381">
        <v>25384.400000000001</v>
      </c>
      <c r="AJ931" s="376" t="s">
        <v>179</v>
      </c>
      <c r="AK931" s="376" t="s">
        <v>180</v>
      </c>
      <c r="AL931" s="376" t="s">
        <v>181</v>
      </c>
      <c r="AM931" s="376" t="s">
        <v>182</v>
      </c>
      <c r="AN931" s="376" t="s">
        <v>68</v>
      </c>
      <c r="AO931" s="379">
        <v>80</v>
      </c>
      <c r="AP931" s="385">
        <v>1</v>
      </c>
      <c r="AQ931" s="385">
        <v>0.4</v>
      </c>
      <c r="AR931" s="383" t="s">
        <v>183</v>
      </c>
      <c r="AS931" s="387">
        <f t="shared" si="643"/>
        <v>0.4</v>
      </c>
      <c r="AT931">
        <f t="shared" si="644"/>
        <v>1</v>
      </c>
      <c r="AU931" s="387">
        <f>IF(AT931=0,"",IF(AND(AT931=1,M931="F",SUMIF(C2:C1334,C931,AS2:AS1334)&lt;=1),SUMIF(C2:C1334,C931,AS2:AS1334),IF(AND(AT931=1,M931="F",SUMIF(C2:C1334,C931,AS2:AS1334)&gt;1),1,"")))</f>
        <v>1</v>
      </c>
      <c r="AV931" s="387" t="str">
        <f>IF(AT931=0,"",IF(AND(AT931=3,M931="F",SUMIF(C2:C1334,C931,AS2:AS1334)&lt;=1),SUMIF(C2:C1334,C931,AS2:AS1334),IF(AND(AT931=3,M931="F",SUMIF(C2:C1334,C931,AS2:AS1334)&gt;1),1,"")))</f>
        <v/>
      </c>
      <c r="AW931" s="387">
        <f>SUMIF(C2:C1334,C931,O2:O1334)</f>
        <v>3</v>
      </c>
      <c r="AX931" s="387">
        <f>IF(AND(M931="F",AS931&lt;&gt;0),SUMIF(C2:C1334,C931,W2:W1334),0)</f>
        <v>46300.800000000003</v>
      </c>
      <c r="AY931" s="387">
        <f t="shared" si="645"/>
        <v>18520.32</v>
      </c>
      <c r="AZ931" s="387" t="str">
        <f t="shared" si="646"/>
        <v/>
      </c>
      <c r="BA931" s="387">
        <f t="shared" si="647"/>
        <v>0</v>
      </c>
      <c r="BB931" s="387">
        <f t="shared" si="616"/>
        <v>4660</v>
      </c>
      <c r="BC931" s="387">
        <f t="shared" si="617"/>
        <v>0</v>
      </c>
      <c r="BD931" s="387">
        <f t="shared" si="618"/>
        <v>1148.2598399999999</v>
      </c>
      <c r="BE931" s="387">
        <f t="shared" si="619"/>
        <v>268.54464000000002</v>
      </c>
      <c r="BF931" s="387">
        <f t="shared" si="620"/>
        <v>2211.326208</v>
      </c>
      <c r="BG931" s="387">
        <f t="shared" si="621"/>
        <v>133.53150719999999</v>
      </c>
      <c r="BH931" s="387">
        <f t="shared" si="622"/>
        <v>90.749567999999996</v>
      </c>
      <c r="BI931" s="387">
        <f t="shared" si="623"/>
        <v>102.5099712</v>
      </c>
      <c r="BJ931" s="387">
        <f t="shared" si="624"/>
        <v>50.004864000000005</v>
      </c>
      <c r="BK931" s="387">
        <f t="shared" si="625"/>
        <v>0</v>
      </c>
      <c r="BL931" s="387">
        <f t="shared" si="648"/>
        <v>4004.9265984000003</v>
      </c>
      <c r="BM931" s="387">
        <f t="shared" si="649"/>
        <v>0</v>
      </c>
      <c r="BN931" s="387">
        <f t="shared" si="626"/>
        <v>4660</v>
      </c>
      <c r="BO931" s="387">
        <f t="shared" si="627"/>
        <v>0</v>
      </c>
      <c r="BP931" s="387">
        <f t="shared" si="628"/>
        <v>1148.2598399999999</v>
      </c>
      <c r="BQ931" s="387">
        <f t="shared" si="629"/>
        <v>268.54464000000002</v>
      </c>
      <c r="BR931" s="387">
        <f t="shared" si="630"/>
        <v>2211.326208</v>
      </c>
      <c r="BS931" s="387">
        <f t="shared" si="631"/>
        <v>133.53150719999999</v>
      </c>
      <c r="BT931" s="387">
        <f t="shared" si="632"/>
        <v>0</v>
      </c>
      <c r="BU931" s="387">
        <f t="shared" si="633"/>
        <v>102.5099712</v>
      </c>
      <c r="BV931" s="387">
        <f t="shared" si="634"/>
        <v>62.969087999999992</v>
      </c>
      <c r="BW931" s="387">
        <f t="shared" si="635"/>
        <v>0</v>
      </c>
      <c r="BX931" s="387">
        <f t="shared" si="650"/>
        <v>3927.1412544</v>
      </c>
      <c r="BY931" s="387">
        <f t="shared" si="651"/>
        <v>0</v>
      </c>
      <c r="BZ931" s="387">
        <f t="shared" si="652"/>
        <v>0</v>
      </c>
      <c r="CA931" s="387">
        <f t="shared" si="653"/>
        <v>0</v>
      </c>
      <c r="CB931" s="387">
        <f t="shared" si="654"/>
        <v>0</v>
      </c>
      <c r="CC931" s="387">
        <f t="shared" si="636"/>
        <v>0</v>
      </c>
      <c r="CD931" s="387">
        <f t="shared" si="637"/>
        <v>0</v>
      </c>
      <c r="CE931" s="387">
        <f t="shared" si="638"/>
        <v>0</v>
      </c>
      <c r="CF931" s="387">
        <f t="shared" si="639"/>
        <v>-90.749567999999996</v>
      </c>
      <c r="CG931" s="387">
        <f t="shared" si="640"/>
        <v>0</v>
      </c>
      <c r="CH931" s="387">
        <f t="shared" si="641"/>
        <v>12.964223999999994</v>
      </c>
      <c r="CI931" s="387">
        <f t="shared" si="642"/>
        <v>0</v>
      </c>
      <c r="CJ931" s="387">
        <f t="shared" si="655"/>
        <v>-77.785344000000009</v>
      </c>
      <c r="CK931" s="387" t="str">
        <f t="shared" si="656"/>
        <v/>
      </c>
      <c r="CL931" s="387" t="str">
        <f t="shared" si="657"/>
        <v/>
      </c>
      <c r="CM931" s="387" t="str">
        <f t="shared" si="658"/>
        <v/>
      </c>
      <c r="CN931" s="387" t="str">
        <f t="shared" si="659"/>
        <v>0348-31</v>
      </c>
    </row>
    <row r="932" spans="1:92" ht="15.75" thickBot="1" x14ac:dyDescent="0.3">
      <c r="A932" s="376" t="s">
        <v>161</v>
      </c>
      <c r="B932" s="376" t="s">
        <v>162</v>
      </c>
      <c r="C932" s="376" t="s">
        <v>1495</v>
      </c>
      <c r="D932" s="376" t="s">
        <v>270</v>
      </c>
      <c r="E932" s="376" t="s">
        <v>224</v>
      </c>
      <c r="F932" s="382" t="s">
        <v>225</v>
      </c>
      <c r="G932" s="376" t="s">
        <v>1945</v>
      </c>
      <c r="H932" s="378"/>
      <c r="I932" s="378"/>
      <c r="J932" s="376" t="s">
        <v>215</v>
      </c>
      <c r="K932" s="376" t="s">
        <v>271</v>
      </c>
      <c r="L932" s="376" t="s">
        <v>217</v>
      </c>
      <c r="M932" s="376" t="s">
        <v>171</v>
      </c>
      <c r="N932" s="376" t="s">
        <v>172</v>
      </c>
      <c r="O932" s="379">
        <v>1</v>
      </c>
      <c r="P932" s="385">
        <v>1</v>
      </c>
      <c r="Q932" s="385">
        <v>1</v>
      </c>
      <c r="R932" s="380">
        <v>80</v>
      </c>
      <c r="S932" s="385">
        <v>1</v>
      </c>
      <c r="T932" s="380">
        <v>16064.83</v>
      </c>
      <c r="U932" s="380">
        <v>1246.53</v>
      </c>
      <c r="V932" s="380">
        <v>10279.459999999999</v>
      </c>
      <c r="W932" s="380">
        <v>32614.400000000001</v>
      </c>
      <c r="X932" s="380">
        <v>18702.82</v>
      </c>
      <c r="Y932" s="380">
        <v>32614.400000000001</v>
      </c>
      <c r="Z932" s="380">
        <v>18565.84</v>
      </c>
      <c r="AA932" s="376" t="s">
        <v>1496</v>
      </c>
      <c r="AB932" s="376" t="s">
        <v>1497</v>
      </c>
      <c r="AC932" s="376" t="s">
        <v>916</v>
      </c>
      <c r="AD932" s="376" t="s">
        <v>1498</v>
      </c>
      <c r="AE932" s="376" t="s">
        <v>271</v>
      </c>
      <c r="AF932" s="376" t="s">
        <v>221</v>
      </c>
      <c r="AG932" s="376" t="s">
        <v>178</v>
      </c>
      <c r="AH932" s="381">
        <v>15.68</v>
      </c>
      <c r="AI932" s="381">
        <v>478.9</v>
      </c>
      <c r="AJ932" s="376" t="s">
        <v>179</v>
      </c>
      <c r="AK932" s="376" t="s">
        <v>180</v>
      </c>
      <c r="AL932" s="376" t="s">
        <v>181</v>
      </c>
      <c r="AM932" s="376" t="s">
        <v>182</v>
      </c>
      <c r="AN932" s="376" t="s">
        <v>68</v>
      </c>
      <c r="AO932" s="379">
        <v>80</v>
      </c>
      <c r="AP932" s="385">
        <v>1</v>
      </c>
      <c r="AQ932" s="385">
        <v>1</v>
      </c>
      <c r="AR932" s="383" t="s">
        <v>183</v>
      </c>
      <c r="AS932" s="387">
        <f t="shared" si="643"/>
        <v>1</v>
      </c>
      <c r="AT932">
        <f t="shared" si="644"/>
        <v>1</v>
      </c>
      <c r="AU932" s="387">
        <f>IF(AT932=0,"",IF(AND(AT932=1,M932="F",SUMIF(C2:C1334,C932,AS2:AS1334)&lt;=1),SUMIF(C2:C1334,C932,AS2:AS1334),IF(AND(AT932=1,M932="F",SUMIF(C2:C1334,C932,AS2:AS1334)&gt;1),1,"")))</f>
        <v>1</v>
      </c>
      <c r="AV932" s="387" t="str">
        <f>IF(AT932=0,"",IF(AND(AT932=3,M932="F",SUMIF(C2:C1334,C932,AS2:AS1334)&lt;=1),SUMIF(C2:C1334,C932,AS2:AS1334),IF(AND(AT932=3,M932="F",SUMIF(C2:C1334,C932,AS2:AS1334)&gt;1),1,"")))</f>
        <v/>
      </c>
      <c r="AW932" s="387">
        <f>SUMIF(C2:C1334,C932,O2:O1334)</f>
        <v>2</v>
      </c>
      <c r="AX932" s="387">
        <f>IF(AND(M932="F",AS932&lt;&gt;0),SUMIF(C2:C1334,C932,W2:W1334),0)</f>
        <v>32614.400000000001</v>
      </c>
      <c r="AY932" s="387">
        <f t="shared" si="645"/>
        <v>32614.400000000001</v>
      </c>
      <c r="AZ932" s="387" t="str">
        <f t="shared" si="646"/>
        <v/>
      </c>
      <c r="BA932" s="387">
        <f t="shared" si="647"/>
        <v>0</v>
      </c>
      <c r="BB932" s="387">
        <f t="shared" si="616"/>
        <v>11650</v>
      </c>
      <c r="BC932" s="387">
        <f t="shared" si="617"/>
        <v>0</v>
      </c>
      <c r="BD932" s="387">
        <f t="shared" si="618"/>
        <v>2022.0928000000001</v>
      </c>
      <c r="BE932" s="387">
        <f t="shared" si="619"/>
        <v>472.90880000000004</v>
      </c>
      <c r="BF932" s="387">
        <f t="shared" si="620"/>
        <v>3894.1593600000006</v>
      </c>
      <c r="BG932" s="387">
        <f t="shared" si="621"/>
        <v>235.14982400000002</v>
      </c>
      <c r="BH932" s="387">
        <f t="shared" si="622"/>
        <v>159.81056000000001</v>
      </c>
      <c r="BI932" s="387">
        <f t="shared" si="623"/>
        <v>180.52070399999999</v>
      </c>
      <c r="BJ932" s="387">
        <f t="shared" si="624"/>
        <v>88.058880000000002</v>
      </c>
      <c r="BK932" s="387">
        <f t="shared" si="625"/>
        <v>0</v>
      </c>
      <c r="BL932" s="387">
        <f t="shared" si="648"/>
        <v>7052.7009280000002</v>
      </c>
      <c r="BM932" s="387">
        <f t="shared" si="649"/>
        <v>0</v>
      </c>
      <c r="BN932" s="387">
        <f t="shared" si="626"/>
        <v>11650</v>
      </c>
      <c r="BO932" s="387">
        <f t="shared" si="627"/>
        <v>0</v>
      </c>
      <c r="BP932" s="387">
        <f t="shared" si="628"/>
        <v>2022.0928000000001</v>
      </c>
      <c r="BQ932" s="387">
        <f t="shared" si="629"/>
        <v>472.90880000000004</v>
      </c>
      <c r="BR932" s="387">
        <f t="shared" si="630"/>
        <v>3894.1593600000006</v>
      </c>
      <c r="BS932" s="387">
        <f t="shared" si="631"/>
        <v>235.14982400000002</v>
      </c>
      <c r="BT932" s="387">
        <f t="shared" si="632"/>
        <v>0</v>
      </c>
      <c r="BU932" s="387">
        <f t="shared" si="633"/>
        <v>180.52070399999999</v>
      </c>
      <c r="BV932" s="387">
        <f t="shared" si="634"/>
        <v>110.88896</v>
      </c>
      <c r="BW932" s="387">
        <f t="shared" si="635"/>
        <v>0</v>
      </c>
      <c r="BX932" s="387">
        <f t="shared" si="650"/>
        <v>6915.7204480000009</v>
      </c>
      <c r="BY932" s="387">
        <f t="shared" si="651"/>
        <v>0</v>
      </c>
      <c r="BZ932" s="387">
        <f t="shared" si="652"/>
        <v>0</v>
      </c>
      <c r="CA932" s="387">
        <f t="shared" si="653"/>
        <v>0</v>
      </c>
      <c r="CB932" s="387">
        <f t="shared" si="654"/>
        <v>0</v>
      </c>
      <c r="CC932" s="387">
        <f t="shared" si="636"/>
        <v>0</v>
      </c>
      <c r="CD932" s="387">
        <f t="shared" si="637"/>
        <v>0</v>
      </c>
      <c r="CE932" s="387">
        <f t="shared" si="638"/>
        <v>0</v>
      </c>
      <c r="CF932" s="387">
        <f t="shared" si="639"/>
        <v>-159.81056000000001</v>
      </c>
      <c r="CG932" s="387">
        <f t="shared" si="640"/>
        <v>0</v>
      </c>
      <c r="CH932" s="387">
        <f t="shared" si="641"/>
        <v>22.830079999999992</v>
      </c>
      <c r="CI932" s="387">
        <f t="shared" si="642"/>
        <v>0</v>
      </c>
      <c r="CJ932" s="387">
        <f t="shared" si="655"/>
        <v>-136.98048000000003</v>
      </c>
      <c r="CK932" s="387" t="str">
        <f t="shared" si="656"/>
        <v/>
      </c>
      <c r="CL932" s="387" t="str">
        <f t="shared" si="657"/>
        <v/>
      </c>
      <c r="CM932" s="387" t="str">
        <f t="shared" si="658"/>
        <v/>
      </c>
      <c r="CN932" s="387" t="str">
        <f t="shared" si="659"/>
        <v>0348-31</v>
      </c>
    </row>
    <row r="933" spans="1:92" ht="15.75" thickBot="1" x14ac:dyDescent="0.3">
      <c r="A933" s="376" t="s">
        <v>161</v>
      </c>
      <c r="B933" s="376" t="s">
        <v>162</v>
      </c>
      <c r="C933" s="376" t="s">
        <v>2127</v>
      </c>
      <c r="D933" s="376" t="s">
        <v>881</v>
      </c>
      <c r="E933" s="376" t="s">
        <v>224</v>
      </c>
      <c r="F933" s="382" t="s">
        <v>225</v>
      </c>
      <c r="G933" s="376" t="s">
        <v>1945</v>
      </c>
      <c r="H933" s="378"/>
      <c r="I933" s="378"/>
      <c r="J933" s="376" t="s">
        <v>215</v>
      </c>
      <c r="K933" s="376" t="s">
        <v>882</v>
      </c>
      <c r="L933" s="376" t="s">
        <v>210</v>
      </c>
      <c r="M933" s="376" t="s">
        <v>171</v>
      </c>
      <c r="N933" s="376" t="s">
        <v>172</v>
      </c>
      <c r="O933" s="379">
        <v>1</v>
      </c>
      <c r="P933" s="385">
        <v>1</v>
      </c>
      <c r="Q933" s="385">
        <v>1</v>
      </c>
      <c r="R933" s="380">
        <v>80</v>
      </c>
      <c r="S933" s="385">
        <v>1</v>
      </c>
      <c r="T933" s="380">
        <v>54210.82</v>
      </c>
      <c r="U933" s="380">
        <v>5562.26</v>
      </c>
      <c r="V933" s="380">
        <v>23393.8</v>
      </c>
      <c r="W933" s="380">
        <v>53539.199999999997</v>
      </c>
      <c r="X933" s="380">
        <v>23227.82</v>
      </c>
      <c r="Y933" s="380">
        <v>53539.199999999997</v>
      </c>
      <c r="Z933" s="380">
        <v>23002.959999999999</v>
      </c>
      <c r="AA933" s="376" t="s">
        <v>2128</v>
      </c>
      <c r="AB933" s="376" t="s">
        <v>2129</v>
      </c>
      <c r="AC933" s="376" t="s">
        <v>1355</v>
      </c>
      <c r="AD933" s="376" t="s">
        <v>2130</v>
      </c>
      <c r="AE933" s="376" t="s">
        <v>882</v>
      </c>
      <c r="AF933" s="376" t="s">
        <v>245</v>
      </c>
      <c r="AG933" s="376" t="s">
        <v>178</v>
      </c>
      <c r="AH933" s="381">
        <v>25.74</v>
      </c>
      <c r="AI933" s="381">
        <v>6799.5</v>
      </c>
      <c r="AJ933" s="376" t="s">
        <v>179</v>
      </c>
      <c r="AK933" s="376" t="s">
        <v>180</v>
      </c>
      <c r="AL933" s="376" t="s">
        <v>181</v>
      </c>
      <c r="AM933" s="376" t="s">
        <v>182</v>
      </c>
      <c r="AN933" s="376" t="s">
        <v>68</v>
      </c>
      <c r="AO933" s="379">
        <v>80</v>
      </c>
      <c r="AP933" s="385">
        <v>1</v>
      </c>
      <c r="AQ933" s="385">
        <v>1</v>
      </c>
      <c r="AR933" s="383" t="s">
        <v>183</v>
      </c>
      <c r="AS933" s="387">
        <f t="shared" si="643"/>
        <v>1</v>
      </c>
      <c r="AT933">
        <f t="shared" si="644"/>
        <v>1</v>
      </c>
      <c r="AU933" s="387">
        <f>IF(AT933=0,"",IF(AND(AT933=1,M933="F",SUMIF(C2:C1334,C933,AS2:AS1334)&lt;=1),SUMIF(C2:C1334,C933,AS2:AS1334),IF(AND(AT933=1,M933="F",SUMIF(C2:C1334,C933,AS2:AS1334)&gt;1),1,"")))</f>
        <v>1</v>
      </c>
      <c r="AV933" s="387" t="str">
        <f>IF(AT933=0,"",IF(AND(AT933=3,M933="F",SUMIF(C2:C1334,C933,AS2:AS1334)&lt;=1),SUMIF(C2:C1334,C933,AS2:AS1334),IF(AND(AT933=3,M933="F",SUMIF(C2:C1334,C933,AS2:AS1334)&gt;1),1,"")))</f>
        <v/>
      </c>
      <c r="AW933" s="387">
        <f>SUMIF(C2:C1334,C933,O2:O1334)</f>
        <v>1</v>
      </c>
      <c r="AX933" s="387">
        <f>IF(AND(M933="F",AS933&lt;&gt;0),SUMIF(C2:C1334,C933,W2:W1334),0)</f>
        <v>53539.199999999997</v>
      </c>
      <c r="AY933" s="387">
        <f t="shared" si="645"/>
        <v>53539.199999999997</v>
      </c>
      <c r="AZ933" s="387" t="str">
        <f t="shared" si="646"/>
        <v/>
      </c>
      <c r="BA933" s="387">
        <f t="shared" si="647"/>
        <v>0</v>
      </c>
      <c r="BB933" s="387">
        <f t="shared" si="616"/>
        <v>11650</v>
      </c>
      <c r="BC933" s="387">
        <f t="shared" si="617"/>
        <v>0</v>
      </c>
      <c r="BD933" s="387">
        <f t="shared" si="618"/>
        <v>3319.4303999999997</v>
      </c>
      <c r="BE933" s="387">
        <f t="shared" si="619"/>
        <v>776.3184</v>
      </c>
      <c r="BF933" s="387">
        <f t="shared" si="620"/>
        <v>6392.5804799999996</v>
      </c>
      <c r="BG933" s="387">
        <f t="shared" si="621"/>
        <v>386.01763199999999</v>
      </c>
      <c r="BH933" s="387">
        <f t="shared" si="622"/>
        <v>262.34207999999995</v>
      </c>
      <c r="BI933" s="387">
        <f t="shared" si="623"/>
        <v>296.339472</v>
      </c>
      <c r="BJ933" s="387">
        <f t="shared" si="624"/>
        <v>144.55583999999999</v>
      </c>
      <c r="BK933" s="387">
        <f t="shared" si="625"/>
        <v>0</v>
      </c>
      <c r="BL933" s="387">
        <f t="shared" si="648"/>
        <v>11577.584304</v>
      </c>
      <c r="BM933" s="387">
        <f t="shared" si="649"/>
        <v>0</v>
      </c>
      <c r="BN933" s="387">
        <f t="shared" si="626"/>
        <v>11650</v>
      </c>
      <c r="BO933" s="387">
        <f t="shared" si="627"/>
        <v>0</v>
      </c>
      <c r="BP933" s="387">
        <f t="shared" si="628"/>
        <v>3319.4303999999997</v>
      </c>
      <c r="BQ933" s="387">
        <f t="shared" si="629"/>
        <v>776.3184</v>
      </c>
      <c r="BR933" s="387">
        <f t="shared" si="630"/>
        <v>6392.5804799999996</v>
      </c>
      <c r="BS933" s="387">
        <f t="shared" si="631"/>
        <v>386.01763199999999</v>
      </c>
      <c r="BT933" s="387">
        <f t="shared" si="632"/>
        <v>0</v>
      </c>
      <c r="BU933" s="387">
        <f t="shared" si="633"/>
        <v>296.339472</v>
      </c>
      <c r="BV933" s="387">
        <f t="shared" si="634"/>
        <v>182.03327999999999</v>
      </c>
      <c r="BW933" s="387">
        <f t="shared" si="635"/>
        <v>0</v>
      </c>
      <c r="BX933" s="387">
        <f t="shared" si="650"/>
        <v>11352.719663999998</v>
      </c>
      <c r="BY933" s="387">
        <f t="shared" si="651"/>
        <v>0</v>
      </c>
      <c r="BZ933" s="387">
        <f t="shared" si="652"/>
        <v>0</v>
      </c>
      <c r="CA933" s="387">
        <f t="shared" si="653"/>
        <v>0</v>
      </c>
      <c r="CB933" s="387">
        <f t="shared" si="654"/>
        <v>0</v>
      </c>
      <c r="CC933" s="387">
        <f t="shared" si="636"/>
        <v>0</v>
      </c>
      <c r="CD933" s="387">
        <f t="shared" si="637"/>
        <v>0</v>
      </c>
      <c r="CE933" s="387">
        <f t="shared" si="638"/>
        <v>0</v>
      </c>
      <c r="CF933" s="387">
        <f t="shared" si="639"/>
        <v>-262.34207999999995</v>
      </c>
      <c r="CG933" s="387">
        <f t="shared" si="640"/>
        <v>0</v>
      </c>
      <c r="CH933" s="387">
        <f t="shared" si="641"/>
        <v>37.47743999999998</v>
      </c>
      <c r="CI933" s="387">
        <f t="shared" si="642"/>
        <v>0</v>
      </c>
      <c r="CJ933" s="387">
        <f t="shared" si="655"/>
        <v>-224.86463999999998</v>
      </c>
      <c r="CK933" s="387" t="str">
        <f t="shared" si="656"/>
        <v/>
      </c>
      <c r="CL933" s="387" t="str">
        <f t="shared" si="657"/>
        <v/>
      </c>
      <c r="CM933" s="387" t="str">
        <f t="shared" si="658"/>
        <v/>
      </c>
      <c r="CN933" s="387" t="str">
        <f t="shared" si="659"/>
        <v>0348-31</v>
      </c>
    </row>
    <row r="934" spans="1:92" ht="15.75" thickBot="1" x14ac:dyDescent="0.3">
      <c r="A934" s="376" t="s">
        <v>161</v>
      </c>
      <c r="B934" s="376" t="s">
        <v>162</v>
      </c>
      <c r="C934" s="376" t="s">
        <v>2131</v>
      </c>
      <c r="D934" s="376" t="s">
        <v>862</v>
      </c>
      <c r="E934" s="376" t="s">
        <v>224</v>
      </c>
      <c r="F934" s="382" t="s">
        <v>225</v>
      </c>
      <c r="G934" s="376" t="s">
        <v>1945</v>
      </c>
      <c r="H934" s="378"/>
      <c r="I934" s="378"/>
      <c r="J934" s="376" t="s">
        <v>215</v>
      </c>
      <c r="K934" s="376" t="s">
        <v>863</v>
      </c>
      <c r="L934" s="376" t="s">
        <v>252</v>
      </c>
      <c r="M934" s="376" t="s">
        <v>272</v>
      </c>
      <c r="N934" s="376" t="s">
        <v>172</v>
      </c>
      <c r="O934" s="379">
        <v>0</v>
      </c>
      <c r="P934" s="385">
        <v>1</v>
      </c>
      <c r="Q934" s="385">
        <v>1</v>
      </c>
      <c r="R934" s="380">
        <v>80</v>
      </c>
      <c r="S934" s="385">
        <v>1</v>
      </c>
      <c r="T934" s="380">
        <v>23561.599999999999</v>
      </c>
      <c r="U934" s="380">
        <v>39.909999999999997</v>
      </c>
      <c r="V934" s="380">
        <v>15632.02</v>
      </c>
      <c r="W934" s="380">
        <v>42328</v>
      </c>
      <c r="X934" s="380">
        <v>18539.66</v>
      </c>
      <c r="Y934" s="380">
        <v>42328</v>
      </c>
      <c r="Z934" s="380">
        <v>18328.02</v>
      </c>
      <c r="AA934" s="378"/>
      <c r="AB934" s="376" t="s">
        <v>45</v>
      </c>
      <c r="AC934" s="376" t="s">
        <v>45</v>
      </c>
      <c r="AD934" s="378"/>
      <c r="AE934" s="378"/>
      <c r="AF934" s="378"/>
      <c r="AG934" s="378"/>
      <c r="AH934" s="379">
        <v>0</v>
      </c>
      <c r="AI934" s="379">
        <v>0</v>
      </c>
      <c r="AJ934" s="378"/>
      <c r="AK934" s="378"/>
      <c r="AL934" s="376" t="s">
        <v>181</v>
      </c>
      <c r="AM934" s="378"/>
      <c r="AN934" s="378"/>
      <c r="AO934" s="379">
        <v>0</v>
      </c>
      <c r="AP934" s="385">
        <v>0</v>
      </c>
      <c r="AQ934" s="385">
        <v>0</v>
      </c>
      <c r="AR934" s="384"/>
      <c r="AS934" s="387">
        <f t="shared" si="643"/>
        <v>0</v>
      </c>
      <c r="AT934">
        <f t="shared" si="644"/>
        <v>0</v>
      </c>
      <c r="AU934" s="387" t="str">
        <f>IF(AT934=0,"",IF(AND(AT934=1,M934="F",SUMIF(C2:C1334,C934,AS2:AS1334)&lt;=1),SUMIF(C2:C1334,C934,AS2:AS1334),IF(AND(AT934=1,M934="F",SUMIF(C2:C1334,C934,AS2:AS1334)&gt;1),1,"")))</f>
        <v/>
      </c>
      <c r="AV934" s="387" t="str">
        <f>IF(AT934=0,"",IF(AND(AT934=3,M934="F",SUMIF(C2:C1334,C934,AS2:AS1334)&lt;=1),SUMIF(C2:C1334,C934,AS2:AS1334),IF(AND(AT934=3,M934="F",SUMIF(C2:C1334,C934,AS2:AS1334)&gt;1),1,"")))</f>
        <v/>
      </c>
      <c r="AW934" s="387">
        <f>SUMIF(C2:C1334,C934,O2:O1334)</f>
        <v>0</v>
      </c>
      <c r="AX934" s="387">
        <f>IF(AND(M934="F",AS934&lt;&gt;0),SUMIF(C2:C1334,C934,W2:W1334),0)</f>
        <v>0</v>
      </c>
      <c r="AY934" s="387" t="str">
        <f t="shared" si="645"/>
        <v/>
      </c>
      <c r="AZ934" s="387" t="str">
        <f t="shared" si="646"/>
        <v/>
      </c>
      <c r="BA934" s="387">
        <f t="shared" si="647"/>
        <v>0</v>
      </c>
      <c r="BB934" s="387">
        <f t="shared" si="616"/>
        <v>0</v>
      </c>
      <c r="BC934" s="387">
        <f t="shared" si="617"/>
        <v>0</v>
      </c>
      <c r="BD934" s="387">
        <f t="shared" si="618"/>
        <v>0</v>
      </c>
      <c r="BE934" s="387">
        <f t="shared" si="619"/>
        <v>0</v>
      </c>
      <c r="BF934" s="387">
        <f t="shared" si="620"/>
        <v>0</v>
      </c>
      <c r="BG934" s="387">
        <f t="shared" si="621"/>
        <v>0</v>
      </c>
      <c r="BH934" s="387">
        <f t="shared" si="622"/>
        <v>0</v>
      </c>
      <c r="BI934" s="387">
        <f t="shared" si="623"/>
        <v>0</v>
      </c>
      <c r="BJ934" s="387">
        <f t="shared" si="624"/>
        <v>0</v>
      </c>
      <c r="BK934" s="387">
        <f t="shared" si="625"/>
        <v>0</v>
      </c>
      <c r="BL934" s="387">
        <f t="shared" si="648"/>
        <v>0</v>
      </c>
      <c r="BM934" s="387">
        <f t="shared" si="649"/>
        <v>0</v>
      </c>
      <c r="BN934" s="387">
        <f t="shared" si="626"/>
        <v>0</v>
      </c>
      <c r="BO934" s="387">
        <f t="shared" si="627"/>
        <v>0</v>
      </c>
      <c r="BP934" s="387">
        <f t="shared" si="628"/>
        <v>0</v>
      </c>
      <c r="BQ934" s="387">
        <f t="shared" si="629"/>
        <v>0</v>
      </c>
      <c r="BR934" s="387">
        <f t="shared" si="630"/>
        <v>0</v>
      </c>
      <c r="BS934" s="387">
        <f t="shared" si="631"/>
        <v>0</v>
      </c>
      <c r="BT934" s="387">
        <f t="shared" si="632"/>
        <v>0</v>
      </c>
      <c r="BU934" s="387">
        <f t="shared" si="633"/>
        <v>0</v>
      </c>
      <c r="BV934" s="387">
        <f t="shared" si="634"/>
        <v>0</v>
      </c>
      <c r="BW934" s="387">
        <f t="shared" si="635"/>
        <v>0</v>
      </c>
      <c r="BX934" s="387">
        <f t="shared" si="650"/>
        <v>0</v>
      </c>
      <c r="BY934" s="387">
        <f t="shared" si="651"/>
        <v>0</v>
      </c>
      <c r="BZ934" s="387">
        <f t="shared" si="652"/>
        <v>0</v>
      </c>
      <c r="CA934" s="387">
        <f t="shared" si="653"/>
        <v>0</v>
      </c>
      <c r="CB934" s="387">
        <f t="shared" si="654"/>
        <v>0</v>
      </c>
      <c r="CC934" s="387">
        <f t="shared" si="636"/>
        <v>0</v>
      </c>
      <c r="CD934" s="387">
        <f t="shared" si="637"/>
        <v>0</v>
      </c>
      <c r="CE934" s="387">
        <f t="shared" si="638"/>
        <v>0</v>
      </c>
      <c r="CF934" s="387">
        <f t="shared" si="639"/>
        <v>0</v>
      </c>
      <c r="CG934" s="387">
        <f t="shared" si="640"/>
        <v>0</v>
      </c>
      <c r="CH934" s="387">
        <f t="shared" si="641"/>
        <v>0</v>
      </c>
      <c r="CI934" s="387">
        <f t="shared" si="642"/>
        <v>0</v>
      </c>
      <c r="CJ934" s="387">
        <f t="shared" si="655"/>
        <v>0</v>
      </c>
      <c r="CK934" s="387" t="str">
        <f t="shared" si="656"/>
        <v/>
      </c>
      <c r="CL934" s="387" t="str">
        <f t="shared" si="657"/>
        <v/>
      </c>
      <c r="CM934" s="387" t="str">
        <f t="shared" si="658"/>
        <v/>
      </c>
      <c r="CN934" s="387" t="str">
        <f t="shared" si="659"/>
        <v>0348-31</v>
      </c>
    </row>
    <row r="935" spans="1:92" ht="15.75" thickBot="1" x14ac:dyDescent="0.3">
      <c r="A935" s="376" t="s">
        <v>161</v>
      </c>
      <c r="B935" s="376" t="s">
        <v>162</v>
      </c>
      <c r="C935" s="376" t="s">
        <v>1391</v>
      </c>
      <c r="D935" s="376" t="s">
        <v>862</v>
      </c>
      <c r="E935" s="376" t="s">
        <v>224</v>
      </c>
      <c r="F935" s="382" t="s">
        <v>225</v>
      </c>
      <c r="G935" s="376" t="s">
        <v>1945</v>
      </c>
      <c r="H935" s="378"/>
      <c r="I935" s="378"/>
      <c r="J935" s="376" t="s">
        <v>239</v>
      </c>
      <c r="K935" s="376" t="s">
        <v>863</v>
      </c>
      <c r="L935" s="376" t="s">
        <v>252</v>
      </c>
      <c r="M935" s="376" t="s">
        <v>171</v>
      </c>
      <c r="N935" s="376" t="s">
        <v>172</v>
      </c>
      <c r="O935" s="379">
        <v>1</v>
      </c>
      <c r="P935" s="385">
        <v>0.3</v>
      </c>
      <c r="Q935" s="385">
        <v>0.3</v>
      </c>
      <c r="R935" s="380">
        <v>80</v>
      </c>
      <c r="S935" s="385">
        <v>0.3</v>
      </c>
      <c r="T935" s="380">
        <v>7074.93</v>
      </c>
      <c r="U935" s="380">
        <v>0</v>
      </c>
      <c r="V935" s="380">
        <v>3870.85</v>
      </c>
      <c r="W935" s="380">
        <v>12361.44</v>
      </c>
      <c r="X935" s="380">
        <v>6168.15</v>
      </c>
      <c r="Y935" s="380">
        <v>12361.44</v>
      </c>
      <c r="Z935" s="380">
        <v>6116.23</v>
      </c>
      <c r="AA935" s="376" t="s">
        <v>1392</v>
      </c>
      <c r="AB935" s="376" t="s">
        <v>1393</v>
      </c>
      <c r="AC935" s="376" t="s">
        <v>1394</v>
      </c>
      <c r="AD935" s="376" t="s">
        <v>1395</v>
      </c>
      <c r="AE935" s="376" t="s">
        <v>863</v>
      </c>
      <c r="AF935" s="376" t="s">
        <v>393</v>
      </c>
      <c r="AG935" s="376" t="s">
        <v>178</v>
      </c>
      <c r="AH935" s="381">
        <v>19.809999999999999</v>
      </c>
      <c r="AI935" s="381">
        <v>11462.3</v>
      </c>
      <c r="AJ935" s="376" t="s">
        <v>179</v>
      </c>
      <c r="AK935" s="376" t="s">
        <v>180</v>
      </c>
      <c r="AL935" s="376" t="s">
        <v>181</v>
      </c>
      <c r="AM935" s="376" t="s">
        <v>182</v>
      </c>
      <c r="AN935" s="376" t="s">
        <v>68</v>
      </c>
      <c r="AO935" s="379">
        <v>80</v>
      </c>
      <c r="AP935" s="385">
        <v>1</v>
      </c>
      <c r="AQ935" s="385">
        <v>0.3</v>
      </c>
      <c r="AR935" s="383" t="s">
        <v>183</v>
      </c>
      <c r="AS935" s="387">
        <f t="shared" si="643"/>
        <v>0.3</v>
      </c>
      <c r="AT935">
        <f t="shared" si="644"/>
        <v>1</v>
      </c>
      <c r="AU935" s="387">
        <f>IF(AT935=0,"",IF(AND(AT935=1,M935="F",SUMIF(C2:C1334,C935,AS2:AS1334)&lt;=1),SUMIF(C2:C1334,C935,AS2:AS1334),IF(AND(AT935=1,M935="F",SUMIF(C2:C1334,C935,AS2:AS1334)&gt;1),1,"")))</f>
        <v>1</v>
      </c>
      <c r="AV935" s="387" t="str">
        <f>IF(AT935=0,"",IF(AND(AT935=3,M935="F",SUMIF(C2:C1334,C935,AS2:AS1334)&lt;=1),SUMIF(C2:C1334,C935,AS2:AS1334),IF(AND(AT935=3,M935="F",SUMIF(C2:C1334,C935,AS2:AS1334)&gt;1),1,"")))</f>
        <v/>
      </c>
      <c r="AW935" s="387">
        <f>SUMIF(C2:C1334,C935,O2:O1334)</f>
        <v>2</v>
      </c>
      <c r="AX935" s="387">
        <f>IF(AND(M935="F",AS935&lt;&gt;0),SUMIF(C2:C1334,C935,W2:W1334),0)</f>
        <v>41204.800000000003</v>
      </c>
      <c r="AY935" s="387">
        <f t="shared" si="645"/>
        <v>12361.44</v>
      </c>
      <c r="AZ935" s="387" t="str">
        <f t="shared" si="646"/>
        <v/>
      </c>
      <c r="BA935" s="387">
        <f t="shared" si="647"/>
        <v>0</v>
      </c>
      <c r="BB935" s="387">
        <f t="shared" si="616"/>
        <v>3495</v>
      </c>
      <c r="BC935" s="387">
        <f t="shared" si="617"/>
        <v>0</v>
      </c>
      <c r="BD935" s="387">
        <f t="shared" si="618"/>
        <v>766.40928000000008</v>
      </c>
      <c r="BE935" s="387">
        <f t="shared" si="619"/>
        <v>179.24088</v>
      </c>
      <c r="BF935" s="387">
        <f t="shared" si="620"/>
        <v>1475.9559360000001</v>
      </c>
      <c r="BG935" s="387">
        <f t="shared" si="621"/>
        <v>89.125982400000012</v>
      </c>
      <c r="BH935" s="387">
        <f t="shared" si="622"/>
        <v>60.571055999999999</v>
      </c>
      <c r="BI935" s="387">
        <f t="shared" si="623"/>
        <v>68.420570400000003</v>
      </c>
      <c r="BJ935" s="387">
        <f t="shared" si="624"/>
        <v>33.375888000000003</v>
      </c>
      <c r="BK935" s="387">
        <f t="shared" si="625"/>
        <v>0</v>
      </c>
      <c r="BL935" s="387">
        <f t="shared" si="648"/>
        <v>2673.0995928000002</v>
      </c>
      <c r="BM935" s="387">
        <f t="shared" si="649"/>
        <v>0</v>
      </c>
      <c r="BN935" s="387">
        <f t="shared" si="626"/>
        <v>3495</v>
      </c>
      <c r="BO935" s="387">
        <f t="shared" si="627"/>
        <v>0</v>
      </c>
      <c r="BP935" s="387">
        <f t="shared" si="628"/>
        <v>766.40928000000008</v>
      </c>
      <c r="BQ935" s="387">
        <f t="shared" si="629"/>
        <v>179.24088</v>
      </c>
      <c r="BR935" s="387">
        <f t="shared" si="630"/>
        <v>1475.9559360000001</v>
      </c>
      <c r="BS935" s="387">
        <f t="shared" si="631"/>
        <v>89.125982400000012</v>
      </c>
      <c r="BT935" s="387">
        <f t="shared" si="632"/>
        <v>0</v>
      </c>
      <c r="BU935" s="387">
        <f t="shared" si="633"/>
        <v>68.420570400000003</v>
      </c>
      <c r="BV935" s="387">
        <f t="shared" si="634"/>
        <v>42.028895999999996</v>
      </c>
      <c r="BW935" s="387">
        <f t="shared" si="635"/>
        <v>0</v>
      </c>
      <c r="BX935" s="387">
        <f t="shared" si="650"/>
        <v>2621.1815448000002</v>
      </c>
      <c r="BY935" s="387">
        <f t="shared" si="651"/>
        <v>0</v>
      </c>
      <c r="BZ935" s="387">
        <f t="shared" si="652"/>
        <v>0</v>
      </c>
      <c r="CA935" s="387">
        <f t="shared" si="653"/>
        <v>0</v>
      </c>
      <c r="CB935" s="387">
        <f t="shared" si="654"/>
        <v>0</v>
      </c>
      <c r="CC935" s="387">
        <f t="shared" si="636"/>
        <v>0</v>
      </c>
      <c r="CD935" s="387">
        <f t="shared" si="637"/>
        <v>0</v>
      </c>
      <c r="CE935" s="387">
        <f t="shared" si="638"/>
        <v>0</v>
      </c>
      <c r="CF935" s="387">
        <f t="shared" si="639"/>
        <v>-60.571055999999999</v>
      </c>
      <c r="CG935" s="387">
        <f t="shared" si="640"/>
        <v>0</v>
      </c>
      <c r="CH935" s="387">
        <f t="shared" si="641"/>
        <v>8.6530079999999963</v>
      </c>
      <c r="CI935" s="387">
        <f t="shared" si="642"/>
        <v>0</v>
      </c>
      <c r="CJ935" s="387">
        <f t="shared" si="655"/>
        <v>-51.918047999999999</v>
      </c>
      <c r="CK935" s="387" t="str">
        <f t="shared" si="656"/>
        <v/>
      </c>
      <c r="CL935" s="387" t="str">
        <f t="shared" si="657"/>
        <v/>
      </c>
      <c r="CM935" s="387" t="str">
        <f t="shared" si="658"/>
        <v/>
      </c>
      <c r="CN935" s="387" t="str">
        <f t="shared" si="659"/>
        <v>0348-31</v>
      </c>
    </row>
    <row r="936" spans="1:92" ht="15.75" thickBot="1" x14ac:dyDescent="0.3">
      <c r="A936" s="376" t="s">
        <v>161</v>
      </c>
      <c r="B936" s="376" t="s">
        <v>162</v>
      </c>
      <c r="C936" s="376" t="s">
        <v>638</v>
      </c>
      <c r="D936" s="376" t="s">
        <v>270</v>
      </c>
      <c r="E936" s="376" t="s">
        <v>224</v>
      </c>
      <c r="F936" s="382" t="s">
        <v>225</v>
      </c>
      <c r="G936" s="376" t="s">
        <v>1945</v>
      </c>
      <c r="H936" s="378"/>
      <c r="I936" s="378"/>
      <c r="J936" s="376" t="s">
        <v>239</v>
      </c>
      <c r="K936" s="376" t="s">
        <v>271</v>
      </c>
      <c r="L936" s="376" t="s">
        <v>217</v>
      </c>
      <c r="M936" s="376" t="s">
        <v>171</v>
      </c>
      <c r="N936" s="376" t="s">
        <v>172</v>
      </c>
      <c r="O936" s="379">
        <v>1</v>
      </c>
      <c r="P936" s="385">
        <v>0.5</v>
      </c>
      <c r="Q936" s="385">
        <v>0.5</v>
      </c>
      <c r="R936" s="380">
        <v>80</v>
      </c>
      <c r="S936" s="385">
        <v>0.5</v>
      </c>
      <c r="T936" s="380">
        <v>17738.3</v>
      </c>
      <c r="U936" s="380">
        <v>0</v>
      </c>
      <c r="V936" s="380">
        <v>9260.7199999999993</v>
      </c>
      <c r="W936" s="380">
        <v>19146.400000000001</v>
      </c>
      <c r="X936" s="380">
        <v>9965.4</v>
      </c>
      <c r="Y936" s="380">
        <v>19146.400000000001</v>
      </c>
      <c r="Z936" s="380">
        <v>9884.98</v>
      </c>
      <c r="AA936" s="376" t="s">
        <v>639</v>
      </c>
      <c r="AB936" s="376" t="s">
        <v>640</v>
      </c>
      <c r="AC936" s="376" t="s">
        <v>455</v>
      </c>
      <c r="AD936" s="376" t="s">
        <v>198</v>
      </c>
      <c r="AE936" s="376" t="s">
        <v>271</v>
      </c>
      <c r="AF936" s="376" t="s">
        <v>221</v>
      </c>
      <c r="AG936" s="376" t="s">
        <v>178</v>
      </c>
      <c r="AH936" s="381">
        <v>18.41</v>
      </c>
      <c r="AI936" s="381">
        <v>16722.599999999999</v>
      </c>
      <c r="AJ936" s="376" t="s">
        <v>179</v>
      </c>
      <c r="AK936" s="376" t="s">
        <v>180</v>
      </c>
      <c r="AL936" s="376" t="s">
        <v>181</v>
      </c>
      <c r="AM936" s="376" t="s">
        <v>182</v>
      </c>
      <c r="AN936" s="376" t="s">
        <v>68</v>
      </c>
      <c r="AO936" s="379">
        <v>80</v>
      </c>
      <c r="AP936" s="385">
        <v>1</v>
      </c>
      <c r="AQ936" s="385">
        <v>0.5</v>
      </c>
      <c r="AR936" s="383" t="s">
        <v>183</v>
      </c>
      <c r="AS936" s="387">
        <f t="shared" si="643"/>
        <v>0.5</v>
      </c>
      <c r="AT936">
        <f t="shared" si="644"/>
        <v>1</v>
      </c>
      <c r="AU936" s="387">
        <f>IF(AT936=0,"",IF(AND(AT936=1,M936="F",SUMIF(C2:C1334,C936,AS2:AS1334)&lt;=1),SUMIF(C2:C1334,C936,AS2:AS1334),IF(AND(AT936=1,M936="F",SUMIF(C2:C1334,C936,AS2:AS1334)&gt;1),1,"")))</f>
        <v>1</v>
      </c>
      <c r="AV936" s="387" t="str">
        <f>IF(AT936=0,"",IF(AND(AT936=3,M936="F",SUMIF(C2:C1334,C936,AS2:AS1334)&lt;=1),SUMIF(C2:C1334,C936,AS2:AS1334),IF(AND(AT936=3,M936="F",SUMIF(C2:C1334,C936,AS2:AS1334)&gt;1),1,"")))</f>
        <v/>
      </c>
      <c r="AW936" s="387">
        <f>SUMIF(C2:C1334,C936,O2:O1334)</f>
        <v>3</v>
      </c>
      <c r="AX936" s="387">
        <f>IF(AND(M936="F",AS936&lt;&gt;0),SUMIF(C2:C1334,C936,W2:W1334),0)</f>
        <v>38292.800000000003</v>
      </c>
      <c r="AY936" s="387">
        <f t="shared" si="645"/>
        <v>19146.400000000001</v>
      </c>
      <c r="AZ936" s="387" t="str">
        <f t="shared" si="646"/>
        <v/>
      </c>
      <c r="BA936" s="387">
        <f t="shared" si="647"/>
        <v>0</v>
      </c>
      <c r="BB936" s="387">
        <f t="shared" si="616"/>
        <v>5825</v>
      </c>
      <c r="BC936" s="387">
        <f t="shared" si="617"/>
        <v>0</v>
      </c>
      <c r="BD936" s="387">
        <f t="shared" si="618"/>
        <v>1187.0768</v>
      </c>
      <c r="BE936" s="387">
        <f t="shared" si="619"/>
        <v>277.62280000000004</v>
      </c>
      <c r="BF936" s="387">
        <f t="shared" si="620"/>
        <v>2286.0801600000004</v>
      </c>
      <c r="BG936" s="387">
        <f t="shared" si="621"/>
        <v>138.04554400000001</v>
      </c>
      <c r="BH936" s="387">
        <f t="shared" si="622"/>
        <v>93.817360000000008</v>
      </c>
      <c r="BI936" s="387">
        <f t="shared" si="623"/>
        <v>105.97532400000001</v>
      </c>
      <c r="BJ936" s="387">
        <f t="shared" si="624"/>
        <v>51.695280000000004</v>
      </c>
      <c r="BK936" s="387">
        <f t="shared" si="625"/>
        <v>0</v>
      </c>
      <c r="BL936" s="387">
        <f t="shared" si="648"/>
        <v>4140.3132680000008</v>
      </c>
      <c r="BM936" s="387">
        <f t="shared" si="649"/>
        <v>0</v>
      </c>
      <c r="BN936" s="387">
        <f t="shared" si="626"/>
        <v>5825</v>
      </c>
      <c r="BO936" s="387">
        <f t="shared" si="627"/>
        <v>0</v>
      </c>
      <c r="BP936" s="387">
        <f t="shared" si="628"/>
        <v>1187.0768</v>
      </c>
      <c r="BQ936" s="387">
        <f t="shared" si="629"/>
        <v>277.62280000000004</v>
      </c>
      <c r="BR936" s="387">
        <f t="shared" si="630"/>
        <v>2286.0801600000004</v>
      </c>
      <c r="BS936" s="387">
        <f t="shared" si="631"/>
        <v>138.04554400000001</v>
      </c>
      <c r="BT936" s="387">
        <f t="shared" si="632"/>
        <v>0</v>
      </c>
      <c r="BU936" s="387">
        <f t="shared" si="633"/>
        <v>105.97532400000001</v>
      </c>
      <c r="BV936" s="387">
        <f t="shared" si="634"/>
        <v>65.097760000000008</v>
      </c>
      <c r="BW936" s="387">
        <f t="shared" si="635"/>
        <v>0</v>
      </c>
      <c r="BX936" s="387">
        <f t="shared" si="650"/>
        <v>4059.8983880000005</v>
      </c>
      <c r="BY936" s="387">
        <f t="shared" si="651"/>
        <v>0</v>
      </c>
      <c r="BZ936" s="387">
        <f t="shared" si="652"/>
        <v>0</v>
      </c>
      <c r="CA936" s="387">
        <f t="shared" si="653"/>
        <v>0</v>
      </c>
      <c r="CB936" s="387">
        <f t="shared" si="654"/>
        <v>0</v>
      </c>
      <c r="CC936" s="387">
        <f t="shared" si="636"/>
        <v>0</v>
      </c>
      <c r="CD936" s="387">
        <f t="shared" si="637"/>
        <v>0</v>
      </c>
      <c r="CE936" s="387">
        <f t="shared" si="638"/>
        <v>0</v>
      </c>
      <c r="CF936" s="387">
        <f t="shared" si="639"/>
        <v>-93.817360000000008</v>
      </c>
      <c r="CG936" s="387">
        <f t="shared" si="640"/>
        <v>0</v>
      </c>
      <c r="CH936" s="387">
        <f t="shared" si="641"/>
        <v>13.402479999999995</v>
      </c>
      <c r="CI936" s="387">
        <f t="shared" si="642"/>
        <v>0</v>
      </c>
      <c r="CJ936" s="387">
        <f t="shared" si="655"/>
        <v>-80.414880000000011</v>
      </c>
      <c r="CK936" s="387" t="str">
        <f t="shared" si="656"/>
        <v/>
      </c>
      <c r="CL936" s="387" t="str">
        <f t="shared" si="657"/>
        <v/>
      </c>
      <c r="CM936" s="387" t="str">
        <f t="shared" si="658"/>
        <v/>
      </c>
      <c r="CN936" s="387" t="str">
        <f t="shared" si="659"/>
        <v>0348-31</v>
      </c>
    </row>
    <row r="937" spans="1:92" ht="15.75" thickBot="1" x14ac:dyDescent="0.3">
      <c r="A937" s="376" t="s">
        <v>161</v>
      </c>
      <c r="B937" s="376" t="s">
        <v>162</v>
      </c>
      <c r="C937" s="376" t="s">
        <v>670</v>
      </c>
      <c r="D937" s="376" t="s">
        <v>263</v>
      </c>
      <c r="E937" s="376" t="s">
        <v>224</v>
      </c>
      <c r="F937" s="382" t="s">
        <v>225</v>
      </c>
      <c r="G937" s="376" t="s">
        <v>1945</v>
      </c>
      <c r="H937" s="378"/>
      <c r="I937" s="378"/>
      <c r="J937" s="376" t="s">
        <v>239</v>
      </c>
      <c r="K937" s="376" t="s">
        <v>264</v>
      </c>
      <c r="L937" s="376" t="s">
        <v>210</v>
      </c>
      <c r="M937" s="376" t="s">
        <v>171</v>
      </c>
      <c r="N937" s="376" t="s">
        <v>172</v>
      </c>
      <c r="O937" s="379">
        <v>1</v>
      </c>
      <c r="P937" s="385">
        <v>0.25</v>
      </c>
      <c r="Q937" s="385">
        <v>0.25</v>
      </c>
      <c r="R937" s="380">
        <v>80</v>
      </c>
      <c r="S937" s="385">
        <v>0.25</v>
      </c>
      <c r="T937" s="380">
        <v>8738.75</v>
      </c>
      <c r="U937" s="380">
        <v>0</v>
      </c>
      <c r="V937" s="380">
        <v>3426.97</v>
      </c>
      <c r="W937" s="380">
        <v>14242.8</v>
      </c>
      <c r="X937" s="380">
        <v>5992.5</v>
      </c>
      <c r="Y937" s="380">
        <v>14242.8</v>
      </c>
      <c r="Z937" s="380">
        <v>5932.68</v>
      </c>
      <c r="AA937" s="376" t="s">
        <v>671</v>
      </c>
      <c r="AB937" s="376" t="s">
        <v>672</v>
      </c>
      <c r="AC937" s="376" t="s">
        <v>673</v>
      </c>
      <c r="AD937" s="376" t="s">
        <v>176</v>
      </c>
      <c r="AE937" s="376" t="s">
        <v>264</v>
      </c>
      <c r="AF937" s="376" t="s">
        <v>245</v>
      </c>
      <c r="AG937" s="376" t="s">
        <v>178</v>
      </c>
      <c r="AH937" s="381">
        <v>27.39</v>
      </c>
      <c r="AI937" s="381">
        <v>5961.5</v>
      </c>
      <c r="AJ937" s="376" t="s">
        <v>179</v>
      </c>
      <c r="AK937" s="376" t="s">
        <v>180</v>
      </c>
      <c r="AL937" s="376" t="s">
        <v>181</v>
      </c>
      <c r="AM937" s="376" t="s">
        <v>182</v>
      </c>
      <c r="AN937" s="376" t="s">
        <v>68</v>
      </c>
      <c r="AO937" s="379">
        <v>80</v>
      </c>
      <c r="AP937" s="385">
        <v>1</v>
      </c>
      <c r="AQ937" s="385">
        <v>0.25</v>
      </c>
      <c r="AR937" s="383" t="s">
        <v>183</v>
      </c>
      <c r="AS937" s="387">
        <f t="shared" si="643"/>
        <v>0.25</v>
      </c>
      <c r="AT937">
        <f t="shared" si="644"/>
        <v>1</v>
      </c>
      <c r="AU937" s="387">
        <f>IF(AT937=0,"",IF(AND(AT937=1,M937="F",SUMIF(C2:C1334,C937,AS2:AS1334)&lt;=1),SUMIF(C2:C1334,C937,AS2:AS1334),IF(AND(AT937=1,M937="F",SUMIF(C2:C1334,C937,AS2:AS1334)&gt;1),1,"")))</f>
        <v>1</v>
      </c>
      <c r="AV937" s="387" t="str">
        <f>IF(AT937=0,"",IF(AND(AT937=3,M937="F",SUMIF(C2:C1334,C937,AS2:AS1334)&lt;=1),SUMIF(C2:C1334,C937,AS2:AS1334),IF(AND(AT937=3,M937="F",SUMIF(C2:C1334,C937,AS2:AS1334)&gt;1),1,"")))</f>
        <v/>
      </c>
      <c r="AW937" s="387">
        <f>SUMIF(C2:C1334,C937,O2:O1334)</f>
        <v>6</v>
      </c>
      <c r="AX937" s="387">
        <f>IF(AND(M937="F",AS937&lt;&gt;0),SUMIF(C2:C1334,C937,W2:W1334),0)</f>
        <v>56971.199999999997</v>
      </c>
      <c r="AY937" s="387">
        <f t="shared" si="645"/>
        <v>14242.8</v>
      </c>
      <c r="AZ937" s="387" t="str">
        <f t="shared" si="646"/>
        <v/>
      </c>
      <c r="BA937" s="387">
        <f t="shared" si="647"/>
        <v>0</v>
      </c>
      <c r="BB937" s="387">
        <f t="shared" si="616"/>
        <v>2912.5</v>
      </c>
      <c r="BC937" s="387">
        <f t="shared" si="617"/>
        <v>0</v>
      </c>
      <c r="BD937" s="387">
        <f t="shared" si="618"/>
        <v>883.05359999999996</v>
      </c>
      <c r="BE937" s="387">
        <f t="shared" si="619"/>
        <v>206.5206</v>
      </c>
      <c r="BF937" s="387">
        <f t="shared" si="620"/>
        <v>1700.59032</v>
      </c>
      <c r="BG937" s="387">
        <f t="shared" si="621"/>
        <v>102.69058800000001</v>
      </c>
      <c r="BH937" s="387">
        <f t="shared" si="622"/>
        <v>69.789719999999988</v>
      </c>
      <c r="BI937" s="387">
        <f t="shared" si="623"/>
        <v>78.833897999999991</v>
      </c>
      <c r="BJ937" s="387">
        <f t="shared" si="624"/>
        <v>38.455559999999998</v>
      </c>
      <c r="BK937" s="387">
        <f t="shared" si="625"/>
        <v>0</v>
      </c>
      <c r="BL937" s="387">
        <f t="shared" si="648"/>
        <v>3079.9342860000002</v>
      </c>
      <c r="BM937" s="387">
        <f t="shared" si="649"/>
        <v>0</v>
      </c>
      <c r="BN937" s="387">
        <f t="shared" si="626"/>
        <v>2912.5</v>
      </c>
      <c r="BO937" s="387">
        <f t="shared" si="627"/>
        <v>0</v>
      </c>
      <c r="BP937" s="387">
        <f t="shared" si="628"/>
        <v>883.05359999999996</v>
      </c>
      <c r="BQ937" s="387">
        <f t="shared" si="629"/>
        <v>206.5206</v>
      </c>
      <c r="BR937" s="387">
        <f t="shared" si="630"/>
        <v>1700.59032</v>
      </c>
      <c r="BS937" s="387">
        <f t="shared" si="631"/>
        <v>102.69058800000001</v>
      </c>
      <c r="BT937" s="387">
        <f t="shared" si="632"/>
        <v>0</v>
      </c>
      <c r="BU937" s="387">
        <f t="shared" si="633"/>
        <v>78.833897999999991</v>
      </c>
      <c r="BV937" s="387">
        <f t="shared" si="634"/>
        <v>48.425519999999992</v>
      </c>
      <c r="BW937" s="387">
        <f t="shared" si="635"/>
        <v>0</v>
      </c>
      <c r="BX937" s="387">
        <f t="shared" si="650"/>
        <v>3020.1145259999998</v>
      </c>
      <c r="BY937" s="387">
        <f t="shared" si="651"/>
        <v>0</v>
      </c>
      <c r="BZ937" s="387">
        <f t="shared" si="652"/>
        <v>0</v>
      </c>
      <c r="CA937" s="387">
        <f t="shared" si="653"/>
        <v>0</v>
      </c>
      <c r="CB937" s="387">
        <f t="shared" si="654"/>
        <v>0</v>
      </c>
      <c r="CC937" s="387">
        <f t="shared" si="636"/>
        <v>0</v>
      </c>
      <c r="CD937" s="387">
        <f t="shared" si="637"/>
        <v>0</v>
      </c>
      <c r="CE937" s="387">
        <f t="shared" si="638"/>
        <v>0</v>
      </c>
      <c r="CF937" s="387">
        <f t="shared" si="639"/>
        <v>-69.789719999999988</v>
      </c>
      <c r="CG937" s="387">
        <f t="shared" si="640"/>
        <v>0</v>
      </c>
      <c r="CH937" s="387">
        <f t="shared" si="641"/>
        <v>9.969959999999995</v>
      </c>
      <c r="CI937" s="387">
        <f t="shared" si="642"/>
        <v>0</v>
      </c>
      <c r="CJ937" s="387">
        <f t="shared" si="655"/>
        <v>-59.819759999999995</v>
      </c>
      <c r="CK937" s="387" t="str">
        <f t="shared" si="656"/>
        <v/>
      </c>
      <c r="CL937" s="387" t="str">
        <f t="shared" si="657"/>
        <v/>
      </c>
      <c r="CM937" s="387" t="str">
        <f t="shared" si="658"/>
        <v/>
      </c>
      <c r="CN937" s="387" t="str">
        <f t="shared" si="659"/>
        <v>0348-31</v>
      </c>
    </row>
    <row r="938" spans="1:92" ht="15.75" thickBot="1" x14ac:dyDescent="0.3">
      <c r="A938" s="376" t="s">
        <v>161</v>
      </c>
      <c r="B938" s="376" t="s">
        <v>162</v>
      </c>
      <c r="C938" s="376" t="s">
        <v>2132</v>
      </c>
      <c r="D938" s="376" t="s">
        <v>1326</v>
      </c>
      <c r="E938" s="376" t="s">
        <v>224</v>
      </c>
      <c r="F938" s="382" t="s">
        <v>225</v>
      </c>
      <c r="G938" s="376" t="s">
        <v>1945</v>
      </c>
      <c r="H938" s="378"/>
      <c r="I938" s="378"/>
      <c r="J938" s="376" t="s">
        <v>215</v>
      </c>
      <c r="K938" s="376" t="s">
        <v>1327</v>
      </c>
      <c r="L938" s="376" t="s">
        <v>296</v>
      </c>
      <c r="M938" s="376" t="s">
        <v>171</v>
      </c>
      <c r="N938" s="376" t="s">
        <v>172</v>
      </c>
      <c r="O938" s="379">
        <v>1</v>
      </c>
      <c r="P938" s="385">
        <v>1</v>
      </c>
      <c r="Q938" s="385">
        <v>1</v>
      </c>
      <c r="R938" s="380">
        <v>80</v>
      </c>
      <c r="S938" s="385">
        <v>1</v>
      </c>
      <c r="T938" s="380">
        <v>34369.24</v>
      </c>
      <c r="U938" s="380">
        <v>0</v>
      </c>
      <c r="V938" s="380">
        <v>18922.18</v>
      </c>
      <c r="W938" s="380">
        <v>37955.839999999997</v>
      </c>
      <c r="X938" s="380">
        <v>19857.919999999998</v>
      </c>
      <c r="Y938" s="380">
        <v>37955.839999999997</v>
      </c>
      <c r="Z938" s="380">
        <v>19698.5</v>
      </c>
      <c r="AA938" s="376" t="s">
        <v>2133</v>
      </c>
      <c r="AB938" s="376" t="s">
        <v>467</v>
      </c>
      <c r="AC938" s="376" t="s">
        <v>365</v>
      </c>
      <c r="AD938" s="376" t="s">
        <v>2134</v>
      </c>
      <c r="AE938" s="376" t="s">
        <v>1327</v>
      </c>
      <c r="AF938" s="376" t="s">
        <v>301</v>
      </c>
      <c r="AG938" s="376" t="s">
        <v>178</v>
      </c>
      <c r="AH938" s="381">
        <v>22.81</v>
      </c>
      <c r="AI938" s="381">
        <v>28717.5</v>
      </c>
      <c r="AJ938" s="376" t="s">
        <v>473</v>
      </c>
      <c r="AK938" s="376" t="s">
        <v>180</v>
      </c>
      <c r="AL938" s="376" t="s">
        <v>181</v>
      </c>
      <c r="AM938" s="376" t="s">
        <v>182</v>
      </c>
      <c r="AN938" s="376" t="s">
        <v>68</v>
      </c>
      <c r="AO938" s="379">
        <v>64</v>
      </c>
      <c r="AP938" s="385">
        <v>1</v>
      </c>
      <c r="AQ938" s="385">
        <v>0.8</v>
      </c>
      <c r="AR938" s="383" t="s">
        <v>183</v>
      </c>
      <c r="AS938" s="387">
        <f t="shared" si="643"/>
        <v>0.8</v>
      </c>
      <c r="AT938">
        <f t="shared" si="644"/>
        <v>1</v>
      </c>
      <c r="AU938" s="387">
        <f>IF(AT938=0,"",IF(AND(AT938=1,M938="F",SUMIF(C2:C1334,C938,AS2:AS1334)&lt;=1),SUMIF(C2:C1334,C938,AS2:AS1334),IF(AND(AT938=1,M938="F",SUMIF(C2:C1334,C938,AS2:AS1334)&gt;1),1,"")))</f>
        <v>0.8</v>
      </c>
      <c r="AV938" s="387" t="str">
        <f>IF(AT938=0,"",IF(AND(AT938=3,M938="F",SUMIF(C2:C1334,C938,AS2:AS1334)&lt;=1),SUMIF(C2:C1334,C938,AS2:AS1334),IF(AND(AT938=3,M938="F",SUMIF(C2:C1334,C938,AS2:AS1334)&gt;1),1,"")))</f>
        <v/>
      </c>
      <c r="AW938" s="387">
        <f>SUMIF(C2:C1334,C938,O2:O1334)</f>
        <v>1</v>
      </c>
      <c r="AX938" s="387">
        <f>IF(AND(M938="F",AS938&lt;&gt;0),SUMIF(C2:C1334,C938,W2:W1334),0)</f>
        <v>37955.839999999997</v>
      </c>
      <c r="AY938" s="387">
        <f t="shared" si="645"/>
        <v>37955.839999999997</v>
      </c>
      <c r="AZ938" s="387" t="str">
        <f t="shared" si="646"/>
        <v/>
      </c>
      <c r="BA938" s="387">
        <f t="shared" si="647"/>
        <v>0</v>
      </c>
      <c r="BB938" s="387">
        <f t="shared" si="616"/>
        <v>11650</v>
      </c>
      <c r="BC938" s="387">
        <f t="shared" si="617"/>
        <v>0</v>
      </c>
      <c r="BD938" s="387">
        <f t="shared" si="618"/>
        <v>2353.26208</v>
      </c>
      <c r="BE938" s="387">
        <f t="shared" si="619"/>
        <v>550.35968000000003</v>
      </c>
      <c r="BF938" s="387">
        <f t="shared" si="620"/>
        <v>4531.9272959999998</v>
      </c>
      <c r="BG938" s="387">
        <f t="shared" si="621"/>
        <v>273.66160639999998</v>
      </c>
      <c r="BH938" s="387">
        <f t="shared" si="622"/>
        <v>185.98361599999998</v>
      </c>
      <c r="BI938" s="387">
        <f t="shared" si="623"/>
        <v>210.08557439999998</v>
      </c>
      <c r="BJ938" s="387">
        <f t="shared" si="624"/>
        <v>102.480768</v>
      </c>
      <c r="BK938" s="387">
        <f t="shared" si="625"/>
        <v>0</v>
      </c>
      <c r="BL938" s="387">
        <f t="shared" si="648"/>
        <v>8207.7606207999997</v>
      </c>
      <c r="BM938" s="387">
        <f t="shared" si="649"/>
        <v>0</v>
      </c>
      <c r="BN938" s="387">
        <f t="shared" si="626"/>
        <v>11650</v>
      </c>
      <c r="BO938" s="387">
        <f t="shared" si="627"/>
        <v>0</v>
      </c>
      <c r="BP938" s="387">
        <f t="shared" si="628"/>
        <v>2353.26208</v>
      </c>
      <c r="BQ938" s="387">
        <f t="shared" si="629"/>
        <v>550.35968000000003</v>
      </c>
      <c r="BR938" s="387">
        <f t="shared" si="630"/>
        <v>4531.9272959999998</v>
      </c>
      <c r="BS938" s="387">
        <f t="shared" si="631"/>
        <v>273.66160639999998</v>
      </c>
      <c r="BT938" s="387">
        <f t="shared" si="632"/>
        <v>0</v>
      </c>
      <c r="BU938" s="387">
        <f t="shared" si="633"/>
        <v>210.08557439999998</v>
      </c>
      <c r="BV938" s="387">
        <f t="shared" si="634"/>
        <v>129.04985599999998</v>
      </c>
      <c r="BW938" s="387">
        <f t="shared" si="635"/>
        <v>0</v>
      </c>
      <c r="BX938" s="387">
        <f t="shared" si="650"/>
        <v>8048.3460927999995</v>
      </c>
      <c r="BY938" s="387">
        <f t="shared" si="651"/>
        <v>0</v>
      </c>
      <c r="BZ938" s="387">
        <f t="shared" si="652"/>
        <v>0</v>
      </c>
      <c r="CA938" s="387">
        <f t="shared" si="653"/>
        <v>0</v>
      </c>
      <c r="CB938" s="387">
        <f t="shared" si="654"/>
        <v>0</v>
      </c>
      <c r="CC938" s="387">
        <f t="shared" si="636"/>
        <v>0</v>
      </c>
      <c r="CD938" s="387">
        <f t="shared" si="637"/>
        <v>0</v>
      </c>
      <c r="CE938" s="387">
        <f t="shared" si="638"/>
        <v>0</v>
      </c>
      <c r="CF938" s="387">
        <f t="shared" si="639"/>
        <v>-185.98361599999998</v>
      </c>
      <c r="CG938" s="387">
        <f t="shared" si="640"/>
        <v>0</v>
      </c>
      <c r="CH938" s="387">
        <f t="shared" si="641"/>
        <v>26.569087999999986</v>
      </c>
      <c r="CI938" s="387">
        <f t="shared" si="642"/>
        <v>0</v>
      </c>
      <c r="CJ938" s="387">
        <f t="shared" si="655"/>
        <v>-159.41452799999999</v>
      </c>
      <c r="CK938" s="387" t="str">
        <f t="shared" si="656"/>
        <v/>
      </c>
      <c r="CL938" s="387" t="str">
        <f t="shared" si="657"/>
        <v/>
      </c>
      <c r="CM938" s="387" t="str">
        <f t="shared" si="658"/>
        <v/>
      </c>
      <c r="CN938" s="387" t="str">
        <f t="shared" si="659"/>
        <v>0348-31</v>
      </c>
    </row>
    <row r="939" spans="1:92" ht="15.75" thickBot="1" x14ac:dyDescent="0.3">
      <c r="A939" s="376" t="s">
        <v>161</v>
      </c>
      <c r="B939" s="376" t="s">
        <v>162</v>
      </c>
      <c r="C939" s="376" t="s">
        <v>2135</v>
      </c>
      <c r="D939" s="376" t="s">
        <v>2136</v>
      </c>
      <c r="E939" s="376" t="s">
        <v>224</v>
      </c>
      <c r="F939" s="382" t="s">
        <v>225</v>
      </c>
      <c r="G939" s="376" t="s">
        <v>1945</v>
      </c>
      <c r="H939" s="378"/>
      <c r="I939" s="378"/>
      <c r="J939" s="376" t="s">
        <v>215</v>
      </c>
      <c r="K939" s="376" t="s">
        <v>2137</v>
      </c>
      <c r="L939" s="376" t="s">
        <v>181</v>
      </c>
      <c r="M939" s="376" t="s">
        <v>171</v>
      </c>
      <c r="N939" s="376" t="s">
        <v>172</v>
      </c>
      <c r="O939" s="379">
        <v>1</v>
      </c>
      <c r="P939" s="385">
        <v>1</v>
      </c>
      <c r="Q939" s="385">
        <v>1</v>
      </c>
      <c r="R939" s="380">
        <v>80</v>
      </c>
      <c r="S939" s="385">
        <v>1</v>
      </c>
      <c r="T939" s="380">
        <v>62113.120000000003</v>
      </c>
      <c r="U939" s="380">
        <v>1321.65</v>
      </c>
      <c r="V939" s="380">
        <v>24799.35</v>
      </c>
      <c r="W939" s="380">
        <v>64459.199999999997</v>
      </c>
      <c r="X939" s="380">
        <v>25589.27</v>
      </c>
      <c r="Y939" s="380">
        <v>64459.199999999997</v>
      </c>
      <c r="Z939" s="380">
        <v>25318.55</v>
      </c>
      <c r="AA939" s="376" t="s">
        <v>2138</v>
      </c>
      <c r="AB939" s="376" t="s">
        <v>2139</v>
      </c>
      <c r="AC939" s="376" t="s">
        <v>2140</v>
      </c>
      <c r="AD939" s="376" t="s">
        <v>716</v>
      </c>
      <c r="AE939" s="376" t="s">
        <v>2137</v>
      </c>
      <c r="AF939" s="376" t="s">
        <v>211</v>
      </c>
      <c r="AG939" s="376" t="s">
        <v>178</v>
      </c>
      <c r="AH939" s="381">
        <v>30.99</v>
      </c>
      <c r="AI939" s="381">
        <v>27144.3</v>
      </c>
      <c r="AJ939" s="376" t="s">
        <v>179</v>
      </c>
      <c r="AK939" s="376" t="s">
        <v>180</v>
      </c>
      <c r="AL939" s="376" t="s">
        <v>181</v>
      </c>
      <c r="AM939" s="376" t="s">
        <v>182</v>
      </c>
      <c r="AN939" s="376" t="s">
        <v>68</v>
      </c>
      <c r="AO939" s="379">
        <v>80</v>
      </c>
      <c r="AP939" s="385">
        <v>1</v>
      </c>
      <c r="AQ939" s="385">
        <v>1</v>
      </c>
      <c r="AR939" s="383" t="s">
        <v>183</v>
      </c>
      <c r="AS939" s="387">
        <f t="shared" si="643"/>
        <v>1</v>
      </c>
      <c r="AT939">
        <f t="shared" si="644"/>
        <v>1</v>
      </c>
      <c r="AU939" s="387">
        <f>IF(AT939=0,"",IF(AND(AT939=1,M939="F",SUMIF(C2:C1334,C939,AS2:AS1334)&lt;=1),SUMIF(C2:C1334,C939,AS2:AS1334),IF(AND(AT939=1,M939="F",SUMIF(C2:C1334,C939,AS2:AS1334)&gt;1),1,"")))</f>
        <v>1</v>
      </c>
      <c r="AV939" s="387" t="str">
        <f>IF(AT939=0,"",IF(AND(AT939=3,M939="F",SUMIF(C2:C1334,C939,AS2:AS1334)&lt;=1),SUMIF(C2:C1334,C939,AS2:AS1334),IF(AND(AT939=3,M939="F",SUMIF(C2:C1334,C939,AS2:AS1334)&gt;1),1,"")))</f>
        <v/>
      </c>
      <c r="AW939" s="387">
        <f>SUMIF(C2:C1334,C939,O2:O1334)</f>
        <v>1</v>
      </c>
      <c r="AX939" s="387">
        <f>IF(AND(M939="F",AS939&lt;&gt;0),SUMIF(C2:C1334,C939,W2:W1334),0)</f>
        <v>64459.199999999997</v>
      </c>
      <c r="AY939" s="387">
        <f t="shared" si="645"/>
        <v>64459.199999999997</v>
      </c>
      <c r="AZ939" s="387" t="str">
        <f t="shared" si="646"/>
        <v/>
      </c>
      <c r="BA939" s="387">
        <f t="shared" si="647"/>
        <v>0</v>
      </c>
      <c r="BB939" s="387">
        <f t="shared" si="616"/>
        <v>11650</v>
      </c>
      <c r="BC939" s="387">
        <f t="shared" si="617"/>
        <v>0</v>
      </c>
      <c r="BD939" s="387">
        <f t="shared" si="618"/>
        <v>3996.4703999999997</v>
      </c>
      <c r="BE939" s="387">
        <f t="shared" si="619"/>
        <v>934.65840000000003</v>
      </c>
      <c r="BF939" s="387">
        <f t="shared" si="620"/>
        <v>7696.4284800000005</v>
      </c>
      <c r="BG939" s="387">
        <f t="shared" si="621"/>
        <v>464.750832</v>
      </c>
      <c r="BH939" s="387">
        <f t="shared" si="622"/>
        <v>315.85007999999999</v>
      </c>
      <c r="BI939" s="387">
        <f t="shared" si="623"/>
        <v>356.78167199999996</v>
      </c>
      <c r="BJ939" s="387">
        <f t="shared" si="624"/>
        <v>174.03984</v>
      </c>
      <c r="BK939" s="387">
        <f t="shared" si="625"/>
        <v>0</v>
      </c>
      <c r="BL939" s="387">
        <f t="shared" si="648"/>
        <v>13938.979703999999</v>
      </c>
      <c r="BM939" s="387">
        <f t="shared" si="649"/>
        <v>0</v>
      </c>
      <c r="BN939" s="387">
        <f t="shared" si="626"/>
        <v>11650</v>
      </c>
      <c r="BO939" s="387">
        <f t="shared" si="627"/>
        <v>0</v>
      </c>
      <c r="BP939" s="387">
        <f t="shared" si="628"/>
        <v>3996.4703999999997</v>
      </c>
      <c r="BQ939" s="387">
        <f t="shared" si="629"/>
        <v>934.65840000000003</v>
      </c>
      <c r="BR939" s="387">
        <f t="shared" si="630"/>
        <v>7696.4284800000005</v>
      </c>
      <c r="BS939" s="387">
        <f t="shared" si="631"/>
        <v>464.750832</v>
      </c>
      <c r="BT939" s="387">
        <f t="shared" si="632"/>
        <v>0</v>
      </c>
      <c r="BU939" s="387">
        <f t="shared" si="633"/>
        <v>356.78167199999996</v>
      </c>
      <c r="BV939" s="387">
        <f t="shared" si="634"/>
        <v>219.16127999999998</v>
      </c>
      <c r="BW939" s="387">
        <f t="shared" si="635"/>
        <v>0</v>
      </c>
      <c r="BX939" s="387">
        <f t="shared" si="650"/>
        <v>13668.251064</v>
      </c>
      <c r="BY939" s="387">
        <f t="shared" si="651"/>
        <v>0</v>
      </c>
      <c r="BZ939" s="387">
        <f t="shared" si="652"/>
        <v>0</v>
      </c>
      <c r="CA939" s="387">
        <f t="shared" si="653"/>
        <v>0</v>
      </c>
      <c r="CB939" s="387">
        <f t="shared" si="654"/>
        <v>0</v>
      </c>
      <c r="CC939" s="387">
        <f t="shared" si="636"/>
        <v>0</v>
      </c>
      <c r="CD939" s="387">
        <f t="shared" si="637"/>
        <v>0</v>
      </c>
      <c r="CE939" s="387">
        <f t="shared" si="638"/>
        <v>0</v>
      </c>
      <c r="CF939" s="387">
        <f t="shared" si="639"/>
        <v>-315.85007999999999</v>
      </c>
      <c r="CG939" s="387">
        <f t="shared" si="640"/>
        <v>0</v>
      </c>
      <c r="CH939" s="387">
        <f t="shared" si="641"/>
        <v>45.121439999999978</v>
      </c>
      <c r="CI939" s="387">
        <f t="shared" si="642"/>
        <v>0</v>
      </c>
      <c r="CJ939" s="387">
        <f t="shared" si="655"/>
        <v>-270.72864000000004</v>
      </c>
      <c r="CK939" s="387" t="str">
        <f t="shared" si="656"/>
        <v/>
      </c>
      <c r="CL939" s="387" t="str">
        <f t="shared" si="657"/>
        <v/>
      </c>
      <c r="CM939" s="387" t="str">
        <f t="shared" si="658"/>
        <v/>
      </c>
      <c r="CN939" s="387" t="str">
        <f t="shared" si="659"/>
        <v>0348-31</v>
      </c>
    </row>
    <row r="940" spans="1:92" ht="15.75" thickBot="1" x14ac:dyDescent="0.3">
      <c r="A940" s="376" t="s">
        <v>161</v>
      </c>
      <c r="B940" s="376" t="s">
        <v>162</v>
      </c>
      <c r="C940" s="376" t="s">
        <v>1416</v>
      </c>
      <c r="D940" s="376" t="s">
        <v>862</v>
      </c>
      <c r="E940" s="376" t="s">
        <v>224</v>
      </c>
      <c r="F940" s="382" t="s">
        <v>225</v>
      </c>
      <c r="G940" s="376" t="s">
        <v>1945</v>
      </c>
      <c r="H940" s="378"/>
      <c r="I940" s="378"/>
      <c r="J940" s="376" t="s">
        <v>239</v>
      </c>
      <c r="K940" s="376" t="s">
        <v>863</v>
      </c>
      <c r="L940" s="376" t="s">
        <v>252</v>
      </c>
      <c r="M940" s="376" t="s">
        <v>171</v>
      </c>
      <c r="N940" s="376" t="s">
        <v>172</v>
      </c>
      <c r="O940" s="379">
        <v>1</v>
      </c>
      <c r="P940" s="385">
        <v>0.35</v>
      </c>
      <c r="Q940" s="385">
        <v>0.35</v>
      </c>
      <c r="R940" s="380">
        <v>80</v>
      </c>
      <c r="S940" s="385">
        <v>0.35</v>
      </c>
      <c r="T940" s="380">
        <v>13101.84</v>
      </c>
      <c r="U940" s="380">
        <v>0</v>
      </c>
      <c r="V940" s="380">
        <v>6196.96</v>
      </c>
      <c r="W940" s="380">
        <v>17770.48</v>
      </c>
      <c r="X940" s="380">
        <v>7920.35</v>
      </c>
      <c r="Y940" s="380">
        <v>17770.48</v>
      </c>
      <c r="Z940" s="380">
        <v>7845.72</v>
      </c>
      <c r="AA940" s="376" t="s">
        <v>1417</v>
      </c>
      <c r="AB940" s="376" t="s">
        <v>1418</v>
      </c>
      <c r="AC940" s="376" t="s">
        <v>1419</v>
      </c>
      <c r="AD940" s="376" t="s">
        <v>210</v>
      </c>
      <c r="AE940" s="376" t="s">
        <v>863</v>
      </c>
      <c r="AF940" s="376" t="s">
        <v>393</v>
      </c>
      <c r="AG940" s="376" t="s">
        <v>178</v>
      </c>
      <c r="AH940" s="381">
        <v>24.41</v>
      </c>
      <c r="AI940" s="379">
        <v>38067</v>
      </c>
      <c r="AJ940" s="376" t="s">
        <v>179</v>
      </c>
      <c r="AK940" s="376" t="s">
        <v>180</v>
      </c>
      <c r="AL940" s="376" t="s">
        <v>181</v>
      </c>
      <c r="AM940" s="376" t="s">
        <v>182</v>
      </c>
      <c r="AN940" s="376" t="s">
        <v>68</v>
      </c>
      <c r="AO940" s="379">
        <v>80</v>
      </c>
      <c r="AP940" s="385">
        <v>1</v>
      </c>
      <c r="AQ940" s="385">
        <v>0.35</v>
      </c>
      <c r="AR940" s="383" t="s">
        <v>183</v>
      </c>
      <c r="AS940" s="387">
        <f t="shared" si="643"/>
        <v>0.35</v>
      </c>
      <c r="AT940">
        <f t="shared" si="644"/>
        <v>1</v>
      </c>
      <c r="AU940" s="387">
        <f>IF(AT940=0,"",IF(AND(AT940=1,M940="F",SUMIF(C2:C1334,C940,AS2:AS1334)&lt;=1),SUMIF(C2:C1334,C940,AS2:AS1334),IF(AND(AT940=1,M940="F",SUMIF(C2:C1334,C940,AS2:AS1334)&gt;1),1,"")))</f>
        <v>1</v>
      </c>
      <c r="AV940" s="387" t="str">
        <f>IF(AT940=0,"",IF(AND(AT940=3,M940="F",SUMIF(C2:C1334,C940,AS2:AS1334)&lt;=1),SUMIF(C2:C1334,C940,AS2:AS1334),IF(AND(AT940=3,M940="F",SUMIF(C2:C1334,C940,AS2:AS1334)&gt;1),1,"")))</f>
        <v/>
      </c>
      <c r="AW940" s="387">
        <f>SUMIF(C2:C1334,C940,O2:O1334)</f>
        <v>3</v>
      </c>
      <c r="AX940" s="387">
        <f>IF(AND(M940="F",AS940&lt;&gt;0),SUMIF(C2:C1334,C940,W2:W1334),0)</f>
        <v>50772.800000000003</v>
      </c>
      <c r="AY940" s="387">
        <f t="shared" si="645"/>
        <v>17770.48</v>
      </c>
      <c r="AZ940" s="387" t="str">
        <f t="shared" si="646"/>
        <v/>
      </c>
      <c r="BA940" s="387">
        <f t="shared" si="647"/>
        <v>0</v>
      </c>
      <c r="BB940" s="387">
        <f t="shared" si="616"/>
        <v>4077.4999999999995</v>
      </c>
      <c r="BC940" s="387">
        <f t="shared" si="617"/>
        <v>0</v>
      </c>
      <c r="BD940" s="387">
        <f t="shared" si="618"/>
        <v>1101.7697599999999</v>
      </c>
      <c r="BE940" s="387">
        <f t="shared" si="619"/>
        <v>257.67196000000001</v>
      </c>
      <c r="BF940" s="387">
        <f t="shared" si="620"/>
        <v>2121.7953120000002</v>
      </c>
      <c r="BG940" s="387">
        <f t="shared" si="621"/>
        <v>128.1251608</v>
      </c>
      <c r="BH940" s="387">
        <f t="shared" si="622"/>
        <v>87.075351999999995</v>
      </c>
      <c r="BI940" s="387">
        <f t="shared" si="623"/>
        <v>98.359606799999995</v>
      </c>
      <c r="BJ940" s="387">
        <f t="shared" si="624"/>
        <v>47.980296000000003</v>
      </c>
      <c r="BK940" s="387">
        <f t="shared" si="625"/>
        <v>0</v>
      </c>
      <c r="BL940" s="387">
        <f t="shared" si="648"/>
        <v>3842.7774476000004</v>
      </c>
      <c r="BM940" s="387">
        <f t="shared" si="649"/>
        <v>0</v>
      </c>
      <c r="BN940" s="387">
        <f t="shared" si="626"/>
        <v>4077.4999999999995</v>
      </c>
      <c r="BO940" s="387">
        <f t="shared" si="627"/>
        <v>0</v>
      </c>
      <c r="BP940" s="387">
        <f t="shared" si="628"/>
        <v>1101.7697599999999</v>
      </c>
      <c r="BQ940" s="387">
        <f t="shared" si="629"/>
        <v>257.67196000000001</v>
      </c>
      <c r="BR940" s="387">
        <f t="shared" si="630"/>
        <v>2121.7953120000002</v>
      </c>
      <c r="BS940" s="387">
        <f t="shared" si="631"/>
        <v>128.1251608</v>
      </c>
      <c r="BT940" s="387">
        <f t="shared" si="632"/>
        <v>0</v>
      </c>
      <c r="BU940" s="387">
        <f t="shared" si="633"/>
        <v>98.359606799999995</v>
      </c>
      <c r="BV940" s="387">
        <f t="shared" si="634"/>
        <v>60.419631999999993</v>
      </c>
      <c r="BW940" s="387">
        <f t="shared" si="635"/>
        <v>0</v>
      </c>
      <c r="BX940" s="387">
        <f t="shared" si="650"/>
        <v>3768.1414316000005</v>
      </c>
      <c r="BY940" s="387">
        <f t="shared" si="651"/>
        <v>0</v>
      </c>
      <c r="BZ940" s="387">
        <f t="shared" si="652"/>
        <v>0</v>
      </c>
      <c r="CA940" s="387">
        <f t="shared" si="653"/>
        <v>0</v>
      </c>
      <c r="CB940" s="387">
        <f t="shared" si="654"/>
        <v>0</v>
      </c>
      <c r="CC940" s="387">
        <f t="shared" si="636"/>
        <v>0</v>
      </c>
      <c r="CD940" s="387">
        <f t="shared" si="637"/>
        <v>0</v>
      </c>
      <c r="CE940" s="387">
        <f t="shared" si="638"/>
        <v>0</v>
      </c>
      <c r="CF940" s="387">
        <f t="shared" si="639"/>
        <v>-87.075351999999995</v>
      </c>
      <c r="CG940" s="387">
        <f t="shared" si="640"/>
        <v>0</v>
      </c>
      <c r="CH940" s="387">
        <f t="shared" si="641"/>
        <v>12.439335999999994</v>
      </c>
      <c r="CI940" s="387">
        <f t="shared" si="642"/>
        <v>0</v>
      </c>
      <c r="CJ940" s="387">
        <f t="shared" si="655"/>
        <v>-74.636015999999998</v>
      </c>
      <c r="CK940" s="387" t="str">
        <f t="shared" si="656"/>
        <v/>
      </c>
      <c r="CL940" s="387" t="str">
        <f t="shared" si="657"/>
        <v/>
      </c>
      <c r="CM940" s="387" t="str">
        <f t="shared" si="658"/>
        <v/>
      </c>
      <c r="CN940" s="387" t="str">
        <f t="shared" si="659"/>
        <v>0348-31</v>
      </c>
    </row>
    <row r="941" spans="1:92" ht="15.75" thickBot="1" x14ac:dyDescent="0.3">
      <c r="A941" s="376" t="s">
        <v>161</v>
      </c>
      <c r="B941" s="376" t="s">
        <v>162</v>
      </c>
      <c r="C941" s="376" t="s">
        <v>1046</v>
      </c>
      <c r="D941" s="376" t="s">
        <v>868</v>
      </c>
      <c r="E941" s="376" t="s">
        <v>224</v>
      </c>
      <c r="F941" s="382" t="s">
        <v>225</v>
      </c>
      <c r="G941" s="376" t="s">
        <v>1945</v>
      </c>
      <c r="H941" s="378"/>
      <c r="I941" s="378"/>
      <c r="J941" s="376" t="s">
        <v>215</v>
      </c>
      <c r="K941" s="376" t="s">
        <v>869</v>
      </c>
      <c r="L941" s="376" t="s">
        <v>296</v>
      </c>
      <c r="M941" s="376" t="s">
        <v>171</v>
      </c>
      <c r="N941" s="376" t="s">
        <v>172</v>
      </c>
      <c r="O941" s="379">
        <v>1</v>
      </c>
      <c r="P941" s="385">
        <v>1</v>
      </c>
      <c r="Q941" s="385">
        <v>1</v>
      </c>
      <c r="R941" s="380">
        <v>80</v>
      </c>
      <c r="S941" s="385">
        <v>1</v>
      </c>
      <c r="T941" s="380">
        <v>0</v>
      </c>
      <c r="U941" s="380">
        <v>0</v>
      </c>
      <c r="V941" s="380">
        <v>0</v>
      </c>
      <c r="W941" s="380">
        <v>42016</v>
      </c>
      <c r="X941" s="380">
        <v>20735.93</v>
      </c>
      <c r="Y941" s="380">
        <v>42016</v>
      </c>
      <c r="Z941" s="380">
        <v>20559.47</v>
      </c>
      <c r="AA941" s="376" t="s">
        <v>1047</v>
      </c>
      <c r="AB941" s="376" t="s">
        <v>577</v>
      </c>
      <c r="AC941" s="376" t="s">
        <v>1048</v>
      </c>
      <c r="AD941" s="376" t="s">
        <v>1049</v>
      </c>
      <c r="AE941" s="376" t="s">
        <v>873</v>
      </c>
      <c r="AF941" s="376" t="s">
        <v>393</v>
      </c>
      <c r="AG941" s="376" t="s">
        <v>178</v>
      </c>
      <c r="AH941" s="381">
        <v>20.2</v>
      </c>
      <c r="AI941" s="381">
        <v>1598.2</v>
      </c>
      <c r="AJ941" s="376" t="s">
        <v>179</v>
      </c>
      <c r="AK941" s="376" t="s">
        <v>180</v>
      </c>
      <c r="AL941" s="376" t="s">
        <v>181</v>
      </c>
      <c r="AM941" s="376" t="s">
        <v>182</v>
      </c>
      <c r="AN941" s="376" t="s">
        <v>68</v>
      </c>
      <c r="AO941" s="379">
        <v>80</v>
      </c>
      <c r="AP941" s="385">
        <v>1</v>
      </c>
      <c r="AQ941" s="385">
        <v>1</v>
      </c>
      <c r="AR941" s="383">
        <v>3</v>
      </c>
      <c r="AS941" s="387">
        <f t="shared" si="643"/>
        <v>1</v>
      </c>
      <c r="AT941">
        <f t="shared" si="644"/>
        <v>1</v>
      </c>
      <c r="AU941" s="387">
        <f>IF(AT941=0,"",IF(AND(AT941=1,M941="F",SUMIF(C2:C1334,C941,AS2:AS1334)&lt;=1),SUMIF(C2:C1334,C941,AS2:AS1334),IF(AND(AT941=1,M941="F",SUMIF(C2:C1334,C941,AS2:AS1334)&gt;1),1,"")))</f>
        <v>1</v>
      </c>
      <c r="AV941" s="387" t="str">
        <f>IF(AT941=0,"",IF(AND(AT941=3,M941="F",SUMIF(C2:C1334,C941,AS2:AS1334)&lt;=1),SUMIF(C2:C1334,C941,AS2:AS1334),IF(AND(AT941=3,M941="F",SUMIF(C2:C1334,C941,AS2:AS1334)&gt;1),1,"")))</f>
        <v/>
      </c>
      <c r="AW941" s="387">
        <f>SUMIF(C2:C1334,C941,O2:O1334)</f>
        <v>2</v>
      </c>
      <c r="AX941" s="387">
        <f>IF(AND(M941="F",AS941&lt;&gt;0),SUMIF(C2:C1334,C941,W2:W1334),0)</f>
        <v>42016</v>
      </c>
      <c r="AY941" s="387">
        <f t="shared" si="645"/>
        <v>42016</v>
      </c>
      <c r="AZ941" s="387" t="str">
        <f t="shared" si="646"/>
        <v/>
      </c>
      <c r="BA941" s="387">
        <f t="shared" si="647"/>
        <v>0</v>
      </c>
      <c r="BB941" s="387">
        <f t="shared" si="616"/>
        <v>11650</v>
      </c>
      <c r="BC941" s="387">
        <f t="shared" si="617"/>
        <v>0</v>
      </c>
      <c r="BD941" s="387">
        <f t="shared" si="618"/>
        <v>2604.9920000000002</v>
      </c>
      <c r="BE941" s="387">
        <f t="shared" si="619"/>
        <v>609.23200000000008</v>
      </c>
      <c r="BF941" s="387">
        <f t="shared" si="620"/>
        <v>5016.7103999999999</v>
      </c>
      <c r="BG941" s="387">
        <f t="shared" si="621"/>
        <v>302.93536</v>
      </c>
      <c r="BH941" s="387">
        <f t="shared" si="622"/>
        <v>205.8784</v>
      </c>
      <c r="BI941" s="387">
        <f t="shared" si="623"/>
        <v>232.55856</v>
      </c>
      <c r="BJ941" s="387">
        <f t="shared" si="624"/>
        <v>113.4432</v>
      </c>
      <c r="BK941" s="387">
        <f t="shared" si="625"/>
        <v>0</v>
      </c>
      <c r="BL941" s="387">
        <f t="shared" si="648"/>
        <v>9085.7499199999984</v>
      </c>
      <c r="BM941" s="387">
        <f t="shared" si="649"/>
        <v>0</v>
      </c>
      <c r="BN941" s="387">
        <f t="shared" si="626"/>
        <v>11650</v>
      </c>
      <c r="BO941" s="387">
        <f t="shared" si="627"/>
        <v>0</v>
      </c>
      <c r="BP941" s="387">
        <f t="shared" si="628"/>
        <v>2604.9920000000002</v>
      </c>
      <c r="BQ941" s="387">
        <f t="shared" si="629"/>
        <v>609.23200000000008</v>
      </c>
      <c r="BR941" s="387">
        <f t="shared" si="630"/>
        <v>5016.7103999999999</v>
      </c>
      <c r="BS941" s="387">
        <f t="shared" si="631"/>
        <v>302.93536</v>
      </c>
      <c r="BT941" s="387">
        <f t="shared" si="632"/>
        <v>0</v>
      </c>
      <c r="BU941" s="387">
        <f t="shared" si="633"/>
        <v>232.55856</v>
      </c>
      <c r="BV941" s="387">
        <f t="shared" si="634"/>
        <v>142.8544</v>
      </c>
      <c r="BW941" s="387">
        <f t="shared" si="635"/>
        <v>0</v>
      </c>
      <c r="BX941" s="387">
        <f t="shared" si="650"/>
        <v>8909.2827199999992</v>
      </c>
      <c r="BY941" s="387">
        <f t="shared" si="651"/>
        <v>0</v>
      </c>
      <c r="BZ941" s="387">
        <f t="shared" si="652"/>
        <v>0</v>
      </c>
      <c r="CA941" s="387">
        <f t="shared" si="653"/>
        <v>0</v>
      </c>
      <c r="CB941" s="387">
        <f t="shared" si="654"/>
        <v>0</v>
      </c>
      <c r="CC941" s="387">
        <f t="shared" si="636"/>
        <v>0</v>
      </c>
      <c r="CD941" s="387">
        <f t="shared" si="637"/>
        <v>0</v>
      </c>
      <c r="CE941" s="387">
        <f t="shared" si="638"/>
        <v>0</v>
      </c>
      <c r="CF941" s="387">
        <f t="shared" si="639"/>
        <v>-205.8784</v>
      </c>
      <c r="CG941" s="387">
        <f t="shared" si="640"/>
        <v>0</v>
      </c>
      <c r="CH941" s="387">
        <f t="shared" si="641"/>
        <v>29.411199999999987</v>
      </c>
      <c r="CI941" s="387">
        <f t="shared" si="642"/>
        <v>0</v>
      </c>
      <c r="CJ941" s="387">
        <f t="shared" si="655"/>
        <v>-176.46720000000002</v>
      </c>
      <c r="CK941" s="387" t="str">
        <f t="shared" si="656"/>
        <v/>
      </c>
      <c r="CL941" s="387" t="str">
        <f t="shared" si="657"/>
        <v/>
      </c>
      <c r="CM941" s="387" t="str">
        <f t="shared" si="658"/>
        <v/>
      </c>
      <c r="CN941" s="387" t="str">
        <f t="shared" si="659"/>
        <v>0348-31</v>
      </c>
    </row>
    <row r="942" spans="1:92" ht="15.75" thickBot="1" x14ac:dyDescent="0.3">
      <c r="A942" s="376" t="s">
        <v>161</v>
      </c>
      <c r="B942" s="376" t="s">
        <v>162</v>
      </c>
      <c r="C942" s="376" t="s">
        <v>2141</v>
      </c>
      <c r="D942" s="376" t="s">
        <v>862</v>
      </c>
      <c r="E942" s="376" t="s">
        <v>224</v>
      </c>
      <c r="F942" s="382" t="s">
        <v>225</v>
      </c>
      <c r="G942" s="376" t="s">
        <v>1945</v>
      </c>
      <c r="H942" s="378"/>
      <c r="I942" s="378"/>
      <c r="J942" s="376" t="s">
        <v>215</v>
      </c>
      <c r="K942" s="376" t="s">
        <v>863</v>
      </c>
      <c r="L942" s="376" t="s">
        <v>252</v>
      </c>
      <c r="M942" s="376" t="s">
        <v>566</v>
      </c>
      <c r="N942" s="376" t="s">
        <v>1112</v>
      </c>
      <c r="O942" s="379">
        <v>0</v>
      </c>
      <c r="P942" s="385">
        <v>0</v>
      </c>
      <c r="Q942" s="385">
        <v>0</v>
      </c>
      <c r="R942" s="380">
        <v>80</v>
      </c>
      <c r="S942" s="385">
        <v>0</v>
      </c>
      <c r="T942" s="380">
        <v>15637.26</v>
      </c>
      <c r="U942" s="380">
        <v>0</v>
      </c>
      <c r="V942" s="380">
        <v>7135.57</v>
      </c>
      <c r="W942" s="380">
        <v>0</v>
      </c>
      <c r="X942" s="380">
        <v>0</v>
      </c>
      <c r="Y942" s="380">
        <v>0</v>
      </c>
      <c r="Z942" s="380">
        <v>0</v>
      </c>
      <c r="AA942" s="378"/>
      <c r="AB942" s="376" t="s">
        <v>45</v>
      </c>
      <c r="AC942" s="376" t="s">
        <v>45</v>
      </c>
      <c r="AD942" s="378"/>
      <c r="AE942" s="378"/>
      <c r="AF942" s="378"/>
      <c r="AG942" s="378"/>
      <c r="AH942" s="379">
        <v>0</v>
      </c>
      <c r="AI942" s="379">
        <v>0</v>
      </c>
      <c r="AJ942" s="378"/>
      <c r="AK942" s="378"/>
      <c r="AL942" s="376" t="s">
        <v>181</v>
      </c>
      <c r="AM942" s="378"/>
      <c r="AN942" s="378"/>
      <c r="AO942" s="379">
        <v>0</v>
      </c>
      <c r="AP942" s="385">
        <v>0</v>
      </c>
      <c r="AQ942" s="385">
        <v>0</v>
      </c>
      <c r="AR942" s="384"/>
      <c r="AS942" s="387">
        <f t="shared" si="643"/>
        <v>0</v>
      </c>
      <c r="AT942">
        <f t="shared" si="644"/>
        <v>0</v>
      </c>
      <c r="AU942" s="387" t="str">
        <f>IF(AT942=0,"",IF(AND(AT942=1,M942="F",SUMIF(C2:C1334,C942,AS2:AS1334)&lt;=1),SUMIF(C2:C1334,C942,AS2:AS1334),IF(AND(AT942=1,M942="F",SUMIF(C2:C1334,C942,AS2:AS1334)&gt;1),1,"")))</f>
        <v/>
      </c>
      <c r="AV942" s="387" t="str">
        <f>IF(AT942=0,"",IF(AND(AT942=3,M942="F",SUMIF(C2:C1334,C942,AS2:AS1334)&lt;=1),SUMIF(C2:C1334,C942,AS2:AS1334),IF(AND(AT942=3,M942="F",SUMIF(C2:C1334,C942,AS2:AS1334)&gt;1),1,"")))</f>
        <v/>
      </c>
      <c r="AW942" s="387">
        <f>SUMIF(C2:C1334,C942,O2:O1334)</f>
        <v>0</v>
      </c>
      <c r="AX942" s="387">
        <f>IF(AND(M942="F",AS942&lt;&gt;0),SUMIF(C2:C1334,C942,W2:W1334),0)</f>
        <v>0</v>
      </c>
      <c r="AY942" s="387" t="str">
        <f t="shared" si="645"/>
        <v/>
      </c>
      <c r="AZ942" s="387" t="str">
        <f t="shared" si="646"/>
        <v/>
      </c>
      <c r="BA942" s="387">
        <f t="shared" si="647"/>
        <v>0</v>
      </c>
      <c r="BB942" s="387">
        <f t="shared" si="616"/>
        <v>0</v>
      </c>
      <c r="BC942" s="387">
        <f t="shared" si="617"/>
        <v>0</v>
      </c>
      <c r="BD942" s="387">
        <f t="shared" si="618"/>
        <v>0</v>
      </c>
      <c r="BE942" s="387">
        <f t="shared" si="619"/>
        <v>0</v>
      </c>
      <c r="BF942" s="387">
        <f t="shared" si="620"/>
        <v>0</v>
      </c>
      <c r="BG942" s="387">
        <f t="shared" si="621"/>
        <v>0</v>
      </c>
      <c r="BH942" s="387">
        <f t="shared" si="622"/>
        <v>0</v>
      </c>
      <c r="BI942" s="387">
        <f t="shared" si="623"/>
        <v>0</v>
      </c>
      <c r="BJ942" s="387">
        <f t="shared" si="624"/>
        <v>0</v>
      </c>
      <c r="BK942" s="387">
        <f t="shared" si="625"/>
        <v>0</v>
      </c>
      <c r="BL942" s="387">
        <f t="shared" si="648"/>
        <v>0</v>
      </c>
      <c r="BM942" s="387">
        <f t="shared" si="649"/>
        <v>0</v>
      </c>
      <c r="BN942" s="387">
        <f t="shared" si="626"/>
        <v>0</v>
      </c>
      <c r="BO942" s="387">
        <f t="shared" si="627"/>
        <v>0</v>
      </c>
      <c r="BP942" s="387">
        <f t="shared" si="628"/>
        <v>0</v>
      </c>
      <c r="BQ942" s="387">
        <f t="shared" si="629"/>
        <v>0</v>
      </c>
      <c r="BR942" s="387">
        <f t="shared" si="630"/>
        <v>0</v>
      </c>
      <c r="BS942" s="387">
        <f t="shared" si="631"/>
        <v>0</v>
      </c>
      <c r="BT942" s="387">
        <f t="shared" si="632"/>
        <v>0</v>
      </c>
      <c r="BU942" s="387">
        <f t="shared" si="633"/>
        <v>0</v>
      </c>
      <c r="BV942" s="387">
        <f t="shared" si="634"/>
        <v>0</v>
      </c>
      <c r="BW942" s="387">
        <f t="shared" si="635"/>
        <v>0</v>
      </c>
      <c r="BX942" s="387">
        <f t="shared" si="650"/>
        <v>0</v>
      </c>
      <c r="BY942" s="387">
        <f t="shared" si="651"/>
        <v>0</v>
      </c>
      <c r="BZ942" s="387">
        <f t="shared" si="652"/>
        <v>0</v>
      </c>
      <c r="CA942" s="387">
        <f t="shared" si="653"/>
        <v>0</v>
      </c>
      <c r="CB942" s="387">
        <f t="shared" si="654"/>
        <v>0</v>
      </c>
      <c r="CC942" s="387">
        <f t="shared" si="636"/>
        <v>0</v>
      </c>
      <c r="CD942" s="387">
        <f t="shared" si="637"/>
        <v>0</v>
      </c>
      <c r="CE942" s="387">
        <f t="shared" si="638"/>
        <v>0</v>
      </c>
      <c r="CF942" s="387">
        <f t="shared" si="639"/>
        <v>0</v>
      </c>
      <c r="CG942" s="387">
        <f t="shared" si="640"/>
        <v>0</v>
      </c>
      <c r="CH942" s="387">
        <f t="shared" si="641"/>
        <v>0</v>
      </c>
      <c r="CI942" s="387">
        <f t="shared" si="642"/>
        <v>0</v>
      </c>
      <c r="CJ942" s="387">
        <f t="shared" si="655"/>
        <v>0</v>
      </c>
      <c r="CK942" s="387" t="str">
        <f t="shared" si="656"/>
        <v/>
      </c>
      <c r="CL942" s="387" t="str">
        <f t="shared" si="657"/>
        <v/>
      </c>
      <c r="CM942" s="387" t="str">
        <f t="shared" si="658"/>
        <v/>
      </c>
      <c r="CN942" s="387" t="str">
        <f t="shared" si="659"/>
        <v>0348-31</v>
      </c>
    </row>
    <row r="943" spans="1:92" ht="15.75" thickBot="1" x14ac:dyDescent="0.3">
      <c r="A943" s="376" t="s">
        <v>161</v>
      </c>
      <c r="B943" s="376" t="s">
        <v>162</v>
      </c>
      <c r="C943" s="376" t="s">
        <v>2142</v>
      </c>
      <c r="D943" s="376" t="s">
        <v>862</v>
      </c>
      <c r="E943" s="376" t="s">
        <v>224</v>
      </c>
      <c r="F943" s="382" t="s">
        <v>225</v>
      </c>
      <c r="G943" s="376" t="s">
        <v>1945</v>
      </c>
      <c r="H943" s="378"/>
      <c r="I943" s="378"/>
      <c r="J943" s="376" t="s">
        <v>215</v>
      </c>
      <c r="K943" s="376" t="s">
        <v>863</v>
      </c>
      <c r="L943" s="376" t="s">
        <v>252</v>
      </c>
      <c r="M943" s="376" t="s">
        <v>272</v>
      </c>
      <c r="N943" s="376" t="s">
        <v>172</v>
      </c>
      <c r="O943" s="379">
        <v>0</v>
      </c>
      <c r="P943" s="385">
        <v>1</v>
      </c>
      <c r="Q943" s="385">
        <v>1</v>
      </c>
      <c r="R943" s="380">
        <v>80</v>
      </c>
      <c r="S943" s="385">
        <v>1</v>
      </c>
      <c r="T943" s="380">
        <v>36727.18</v>
      </c>
      <c r="U943" s="380">
        <v>1138.08</v>
      </c>
      <c r="V943" s="380">
        <v>19445.650000000001</v>
      </c>
      <c r="W943" s="380">
        <v>42328</v>
      </c>
      <c r="X943" s="380">
        <v>18539.66</v>
      </c>
      <c r="Y943" s="380">
        <v>42328</v>
      </c>
      <c r="Z943" s="380">
        <v>18328.02</v>
      </c>
      <c r="AA943" s="378"/>
      <c r="AB943" s="376" t="s">
        <v>45</v>
      </c>
      <c r="AC943" s="376" t="s">
        <v>45</v>
      </c>
      <c r="AD943" s="378"/>
      <c r="AE943" s="378"/>
      <c r="AF943" s="378"/>
      <c r="AG943" s="378"/>
      <c r="AH943" s="379">
        <v>0</v>
      </c>
      <c r="AI943" s="379">
        <v>0</v>
      </c>
      <c r="AJ943" s="378"/>
      <c r="AK943" s="378"/>
      <c r="AL943" s="376" t="s">
        <v>181</v>
      </c>
      <c r="AM943" s="378"/>
      <c r="AN943" s="378"/>
      <c r="AO943" s="379">
        <v>0</v>
      </c>
      <c r="AP943" s="385">
        <v>0</v>
      </c>
      <c r="AQ943" s="385">
        <v>0</v>
      </c>
      <c r="AR943" s="384"/>
      <c r="AS943" s="387">
        <f t="shared" si="643"/>
        <v>0</v>
      </c>
      <c r="AT943">
        <f t="shared" si="644"/>
        <v>0</v>
      </c>
      <c r="AU943" s="387" t="str">
        <f>IF(AT943=0,"",IF(AND(AT943=1,M943="F",SUMIF(C2:C1334,C943,AS2:AS1334)&lt;=1),SUMIF(C2:C1334,C943,AS2:AS1334),IF(AND(AT943=1,M943="F",SUMIF(C2:C1334,C943,AS2:AS1334)&gt;1),1,"")))</f>
        <v/>
      </c>
      <c r="AV943" s="387" t="str">
        <f>IF(AT943=0,"",IF(AND(AT943=3,M943="F",SUMIF(C2:C1334,C943,AS2:AS1334)&lt;=1),SUMIF(C2:C1334,C943,AS2:AS1334),IF(AND(AT943=3,M943="F",SUMIF(C2:C1334,C943,AS2:AS1334)&gt;1),1,"")))</f>
        <v/>
      </c>
      <c r="AW943" s="387">
        <f>SUMIF(C2:C1334,C943,O2:O1334)</f>
        <v>0</v>
      </c>
      <c r="AX943" s="387">
        <f>IF(AND(M943="F",AS943&lt;&gt;0),SUMIF(C2:C1334,C943,W2:W1334),0)</f>
        <v>0</v>
      </c>
      <c r="AY943" s="387" t="str">
        <f t="shared" si="645"/>
        <v/>
      </c>
      <c r="AZ943" s="387" t="str">
        <f t="shared" si="646"/>
        <v/>
      </c>
      <c r="BA943" s="387">
        <f t="shared" si="647"/>
        <v>0</v>
      </c>
      <c r="BB943" s="387">
        <f t="shared" si="616"/>
        <v>0</v>
      </c>
      <c r="BC943" s="387">
        <f t="shared" si="617"/>
        <v>0</v>
      </c>
      <c r="BD943" s="387">
        <f t="shared" si="618"/>
        <v>0</v>
      </c>
      <c r="BE943" s="387">
        <f t="shared" si="619"/>
        <v>0</v>
      </c>
      <c r="BF943" s="387">
        <f t="shared" si="620"/>
        <v>0</v>
      </c>
      <c r="BG943" s="387">
        <f t="shared" si="621"/>
        <v>0</v>
      </c>
      <c r="BH943" s="387">
        <f t="shared" si="622"/>
        <v>0</v>
      </c>
      <c r="BI943" s="387">
        <f t="shared" si="623"/>
        <v>0</v>
      </c>
      <c r="BJ943" s="387">
        <f t="shared" si="624"/>
        <v>0</v>
      </c>
      <c r="BK943" s="387">
        <f t="shared" si="625"/>
        <v>0</v>
      </c>
      <c r="BL943" s="387">
        <f t="shared" si="648"/>
        <v>0</v>
      </c>
      <c r="BM943" s="387">
        <f t="shared" si="649"/>
        <v>0</v>
      </c>
      <c r="BN943" s="387">
        <f t="shared" si="626"/>
        <v>0</v>
      </c>
      <c r="BO943" s="387">
        <f t="shared" si="627"/>
        <v>0</v>
      </c>
      <c r="BP943" s="387">
        <f t="shared" si="628"/>
        <v>0</v>
      </c>
      <c r="BQ943" s="387">
        <f t="shared" si="629"/>
        <v>0</v>
      </c>
      <c r="BR943" s="387">
        <f t="shared" si="630"/>
        <v>0</v>
      </c>
      <c r="BS943" s="387">
        <f t="shared" si="631"/>
        <v>0</v>
      </c>
      <c r="BT943" s="387">
        <f t="shared" si="632"/>
        <v>0</v>
      </c>
      <c r="BU943" s="387">
        <f t="shared" si="633"/>
        <v>0</v>
      </c>
      <c r="BV943" s="387">
        <f t="shared" si="634"/>
        <v>0</v>
      </c>
      <c r="BW943" s="387">
        <f t="shared" si="635"/>
        <v>0</v>
      </c>
      <c r="BX943" s="387">
        <f t="shared" si="650"/>
        <v>0</v>
      </c>
      <c r="BY943" s="387">
        <f t="shared" si="651"/>
        <v>0</v>
      </c>
      <c r="BZ943" s="387">
        <f t="shared" si="652"/>
        <v>0</v>
      </c>
      <c r="CA943" s="387">
        <f t="shared" si="653"/>
        <v>0</v>
      </c>
      <c r="CB943" s="387">
        <f t="shared" si="654"/>
        <v>0</v>
      </c>
      <c r="CC943" s="387">
        <f t="shared" si="636"/>
        <v>0</v>
      </c>
      <c r="CD943" s="387">
        <f t="shared" si="637"/>
        <v>0</v>
      </c>
      <c r="CE943" s="387">
        <f t="shared" si="638"/>
        <v>0</v>
      </c>
      <c r="CF943" s="387">
        <f t="shared" si="639"/>
        <v>0</v>
      </c>
      <c r="CG943" s="387">
        <f t="shared" si="640"/>
        <v>0</v>
      </c>
      <c r="CH943" s="387">
        <f t="shared" si="641"/>
        <v>0</v>
      </c>
      <c r="CI943" s="387">
        <f t="shared" si="642"/>
        <v>0</v>
      </c>
      <c r="CJ943" s="387">
        <f t="shared" si="655"/>
        <v>0</v>
      </c>
      <c r="CK943" s="387" t="str">
        <f t="shared" si="656"/>
        <v/>
      </c>
      <c r="CL943" s="387" t="str">
        <f t="shared" si="657"/>
        <v/>
      </c>
      <c r="CM943" s="387" t="str">
        <f t="shared" si="658"/>
        <v/>
      </c>
      <c r="CN943" s="387" t="str">
        <f t="shared" si="659"/>
        <v>0348-31</v>
      </c>
    </row>
    <row r="944" spans="1:92" ht="15.75" thickBot="1" x14ac:dyDescent="0.3">
      <c r="A944" s="376" t="s">
        <v>161</v>
      </c>
      <c r="B944" s="376" t="s">
        <v>162</v>
      </c>
      <c r="C944" s="376" t="s">
        <v>1226</v>
      </c>
      <c r="D944" s="376" t="s">
        <v>375</v>
      </c>
      <c r="E944" s="376" t="s">
        <v>224</v>
      </c>
      <c r="F944" s="382" t="s">
        <v>225</v>
      </c>
      <c r="G944" s="376" t="s">
        <v>1945</v>
      </c>
      <c r="H944" s="378"/>
      <c r="I944" s="378"/>
      <c r="J944" s="376" t="s">
        <v>215</v>
      </c>
      <c r="K944" s="376" t="s">
        <v>376</v>
      </c>
      <c r="L944" s="376" t="s">
        <v>178</v>
      </c>
      <c r="M944" s="376" t="s">
        <v>171</v>
      </c>
      <c r="N944" s="376" t="s">
        <v>172</v>
      </c>
      <c r="O944" s="379">
        <v>1</v>
      </c>
      <c r="P944" s="385">
        <v>1</v>
      </c>
      <c r="Q944" s="385">
        <v>1</v>
      </c>
      <c r="R944" s="380">
        <v>80</v>
      </c>
      <c r="S944" s="385">
        <v>1</v>
      </c>
      <c r="T944" s="380">
        <v>0</v>
      </c>
      <c r="U944" s="380">
        <v>0</v>
      </c>
      <c r="V944" s="380">
        <v>0</v>
      </c>
      <c r="W944" s="380">
        <v>41080</v>
      </c>
      <c r="X944" s="380">
        <v>20533.53</v>
      </c>
      <c r="Y944" s="380">
        <v>41080</v>
      </c>
      <c r="Z944" s="380">
        <v>20361</v>
      </c>
      <c r="AA944" s="376" t="s">
        <v>1227</v>
      </c>
      <c r="AB944" s="376" t="s">
        <v>315</v>
      </c>
      <c r="AC944" s="376" t="s">
        <v>1228</v>
      </c>
      <c r="AD944" s="376" t="s">
        <v>210</v>
      </c>
      <c r="AE944" s="376" t="s">
        <v>376</v>
      </c>
      <c r="AF944" s="376" t="s">
        <v>253</v>
      </c>
      <c r="AG944" s="376" t="s">
        <v>178</v>
      </c>
      <c r="AH944" s="381">
        <v>19.75</v>
      </c>
      <c r="AI944" s="381">
        <v>48079.4</v>
      </c>
      <c r="AJ944" s="376" t="s">
        <v>179</v>
      </c>
      <c r="AK944" s="376" t="s">
        <v>180</v>
      </c>
      <c r="AL944" s="376" t="s">
        <v>181</v>
      </c>
      <c r="AM944" s="376" t="s">
        <v>182</v>
      </c>
      <c r="AN944" s="376" t="s">
        <v>68</v>
      </c>
      <c r="AO944" s="379">
        <v>80</v>
      </c>
      <c r="AP944" s="385">
        <v>1</v>
      </c>
      <c r="AQ944" s="385">
        <v>1</v>
      </c>
      <c r="AR944" s="383" t="s">
        <v>183</v>
      </c>
      <c r="AS944" s="387">
        <f t="shared" si="643"/>
        <v>1</v>
      </c>
      <c r="AT944">
        <f t="shared" si="644"/>
        <v>1</v>
      </c>
      <c r="AU944" s="387">
        <f>IF(AT944=0,"",IF(AND(AT944=1,M944="F",SUMIF(C2:C1334,C944,AS2:AS1334)&lt;=1),SUMIF(C2:C1334,C944,AS2:AS1334),IF(AND(AT944=1,M944="F",SUMIF(C2:C1334,C944,AS2:AS1334)&gt;1),1,"")))</f>
        <v>1</v>
      </c>
      <c r="AV944" s="387" t="str">
        <f>IF(AT944=0,"",IF(AND(AT944=3,M944="F",SUMIF(C2:C1334,C944,AS2:AS1334)&lt;=1),SUMIF(C2:C1334,C944,AS2:AS1334),IF(AND(AT944=3,M944="F",SUMIF(C2:C1334,C944,AS2:AS1334)&gt;1),1,"")))</f>
        <v/>
      </c>
      <c r="AW944" s="387">
        <f>SUMIF(C2:C1334,C944,O2:O1334)</f>
        <v>2</v>
      </c>
      <c r="AX944" s="387">
        <f>IF(AND(M944="F",AS944&lt;&gt;0),SUMIF(C2:C1334,C944,W2:W1334),0)</f>
        <v>41080</v>
      </c>
      <c r="AY944" s="387">
        <f t="shared" si="645"/>
        <v>41080</v>
      </c>
      <c r="AZ944" s="387" t="str">
        <f t="shared" si="646"/>
        <v/>
      </c>
      <c r="BA944" s="387">
        <f t="shared" si="647"/>
        <v>0</v>
      </c>
      <c r="BB944" s="387">
        <f t="shared" si="616"/>
        <v>11650</v>
      </c>
      <c r="BC944" s="387">
        <f t="shared" si="617"/>
        <v>0</v>
      </c>
      <c r="BD944" s="387">
        <f t="shared" si="618"/>
        <v>2546.96</v>
      </c>
      <c r="BE944" s="387">
        <f t="shared" si="619"/>
        <v>595.66000000000008</v>
      </c>
      <c r="BF944" s="387">
        <f t="shared" si="620"/>
        <v>4904.9520000000002</v>
      </c>
      <c r="BG944" s="387">
        <f t="shared" si="621"/>
        <v>296.18680000000001</v>
      </c>
      <c r="BH944" s="387">
        <f t="shared" si="622"/>
        <v>201.292</v>
      </c>
      <c r="BI944" s="387">
        <f t="shared" si="623"/>
        <v>227.37780000000001</v>
      </c>
      <c r="BJ944" s="387">
        <f t="shared" si="624"/>
        <v>110.91600000000001</v>
      </c>
      <c r="BK944" s="387">
        <f t="shared" si="625"/>
        <v>0</v>
      </c>
      <c r="BL944" s="387">
        <f t="shared" si="648"/>
        <v>8883.3445999999985</v>
      </c>
      <c r="BM944" s="387">
        <f t="shared" si="649"/>
        <v>0</v>
      </c>
      <c r="BN944" s="387">
        <f t="shared" si="626"/>
        <v>11650</v>
      </c>
      <c r="BO944" s="387">
        <f t="shared" si="627"/>
        <v>0</v>
      </c>
      <c r="BP944" s="387">
        <f t="shared" si="628"/>
        <v>2546.96</v>
      </c>
      <c r="BQ944" s="387">
        <f t="shared" si="629"/>
        <v>595.66000000000008</v>
      </c>
      <c r="BR944" s="387">
        <f t="shared" si="630"/>
        <v>4904.9520000000002</v>
      </c>
      <c r="BS944" s="387">
        <f t="shared" si="631"/>
        <v>296.18680000000001</v>
      </c>
      <c r="BT944" s="387">
        <f t="shared" si="632"/>
        <v>0</v>
      </c>
      <c r="BU944" s="387">
        <f t="shared" si="633"/>
        <v>227.37780000000001</v>
      </c>
      <c r="BV944" s="387">
        <f t="shared" si="634"/>
        <v>139.672</v>
      </c>
      <c r="BW944" s="387">
        <f t="shared" si="635"/>
        <v>0</v>
      </c>
      <c r="BX944" s="387">
        <f t="shared" si="650"/>
        <v>8710.8086000000003</v>
      </c>
      <c r="BY944" s="387">
        <f t="shared" si="651"/>
        <v>0</v>
      </c>
      <c r="BZ944" s="387">
        <f t="shared" si="652"/>
        <v>0</v>
      </c>
      <c r="CA944" s="387">
        <f t="shared" si="653"/>
        <v>0</v>
      </c>
      <c r="CB944" s="387">
        <f t="shared" si="654"/>
        <v>0</v>
      </c>
      <c r="CC944" s="387">
        <f t="shared" si="636"/>
        <v>0</v>
      </c>
      <c r="CD944" s="387">
        <f t="shared" si="637"/>
        <v>0</v>
      </c>
      <c r="CE944" s="387">
        <f t="shared" si="638"/>
        <v>0</v>
      </c>
      <c r="CF944" s="387">
        <f t="shared" si="639"/>
        <v>-201.292</v>
      </c>
      <c r="CG944" s="387">
        <f t="shared" si="640"/>
        <v>0</v>
      </c>
      <c r="CH944" s="387">
        <f t="shared" si="641"/>
        <v>28.755999999999986</v>
      </c>
      <c r="CI944" s="387">
        <f t="shared" si="642"/>
        <v>0</v>
      </c>
      <c r="CJ944" s="387">
        <f t="shared" si="655"/>
        <v>-172.536</v>
      </c>
      <c r="CK944" s="387" t="str">
        <f t="shared" si="656"/>
        <v/>
      </c>
      <c r="CL944" s="387" t="str">
        <f t="shared" si="657"/>
        <v/>
      </c>
      <c r="CM944" s="387" t="str">
        <f t="shared" si="658"/>
        <v/>
      </c>
      <c r="CN944" s="387" t="str">
        <f t="shared" si="659"/>
        <v>0348-31</v>
      </c>
    </row>
    <row r="945" spans="1:92" ht="15.75" thickBot="1" x14ac:dyDescent="0.3">
      <c r="A945" s="376" t="s">
        <v>161</v>
      </c>
      <c r="B945" s="376" t="s">
        <v>162</v>
      </c>
      <c r="C945" s="376" t="s">
        <v>1286</v>
      </c>
      <c r="D945" s="376" t="s">
        <v>862</v>
      </c>
      <c r="E945" s="376" t="s">
        <v>224</v>
      </c>
      <c r="F945" s="382" t="s">
        <v>225</v>
      </c>
      <c r="G945" s="376" t="s">
        <v>1945</v>
      </c>
      <c r="H945" s="378"/>
      <c r="I945" s="378"/>
      <c r="J945" s="376" t="s">
        <v>215</v>
      </c>
      <c r="K945" s="376" t="s">
        <v>863</v>
      </c>
      <c r="L945" s="376" t="s">
        <v>252</v>
      </c>
      <c r="M945" s="376" t="s">
        <v>171</v>
      </c>
      <c r="N945" s="376" t="s">
        <v>172</v>
      </c>
      <c r="O945" s="379">
        <v>1</v>
      </c>
      <c r="P945" s="385">
        <v>1</v>
      </c>
      <c r="Q945" s="385">
        <v>1</v>
      </c>
      <c r="R945" s="380">
        <v>80</v>
      </c>
      <c r="S945" s="385">
        <v>1</v>
      </c>
      <c r="T945" s="380">
        <v>4114.07</v>
      </c>
      <c r="U945" s="380">
        <v>0</v>
      </c>
      <c r="V945" s="380">
        <v>2161.42</v>
      </c>
      <c r="W945" s="380">
        <v>38604.800000000003</v>
      </c>
      <c r="X945" s="380">
        <v>19998.259999999998</v>
      </c>
      <c r="Y945" s="380">
        <v>38604.800000000003</v>
      </c>
      <c r="Z945" s="380">
        <v>19836.12</v>
      </c>
      <c r="AA945" s="376" t="s">
        <v>1287</v>
      </c>
      <c r="AB945" s="376" t="s">
        <v>1288</v>
      </c>
      <c r="AC945" s="376" t="s">
        <v>1289</v>
      </c>
      <c r="AD945" s="376" t="s">
        <v>324</v>
      </c>
      <c r="AE945" s="376" t="s">
        <v>863</v>
      </c>
      <c r="AF945" s="376" t="s">
        <v>393</v>
      </c>
      <c r="AG945" s="376" t="s">
        <v>178</v>
      </c>
      <c r="AH945" s="381">
        <v>18.559999999999999</v>
      </c>
      <c r="AI945" s="381">
        <v>35764.699999999997</v>
      </c>
      <c r="AJ945" s="376" t="s">
        <v>179</v>
      </c>
      <c r="AK945" s="376" t="s">
        <v>180</v>
      </c>
      <c r="AL945" s="376" t="s">
        <v>181</v>
      </c>
      <c r="AM945" s="376" t="s">
        <v>182</v>
      </c>
      <c r="AN945" s="376" t="s">
        <v>68</v>
      </c>
      <c r="AO945" s="379">
        <v>80</v>
      </c>
      <c r="AP945" s="385">
        <v>1</v>
      </c>
      <c r="AQ945" s="385">
        <v>1</v>
      </c>
      <c r="AR945" s="383" t="s">
        <v>183</v>
      </c>
      <c r="AS945" s="387">
        <f t="shared" si="643"/>
        <v>1</v>
      </c>
      <c r="AT945">
        <f t="shared" si="644"/>
        <v>1</v>
      </c>
      <c r="AU945" s="387">
        <f>IF(AT945=0,"",IF(AND(AT945=1,M945="F",SUMIF(C2:C1334,C945,AS2:AS1334)&lt;=1),SUMIF(C2:C1334,C945,AS2:AS1334),IF(AND(AT945=1,M945="F",SUMIF(C2:C1334,C945,AS2:AS1334)&gt;1),1,"")))</f>
        <v>1</v>
      </c>
      <c r="AV945" s="387" t="str">
        <f>IF(AT945=0,"",IF(AND(AT945=3,M945="F",SUMIF(C2:C1334,C945,AS2:AS1334)&lt;=1),SUMIF(C2:C1334,C945,AS2:AS1334),IF(AND(AT945=3,M945="F",SUMIF(C2:C1334,C945,AS2:AS1334)&gt;1),1,"")))</f>
        <v/>
      </c>
      <c r="AW945" s="387">
        <f>SUMIF(C2:C1334,C945,O2:O1334)</f>
        <v>2</v>
      </c>
      <c r="AX945" s="387">
        <f>IF(AND(M945="F",AS945&lt;&gt;0),SUMIF(C2:C1334,C945,W2:W1334),0)</f>
        <v>38604.800000000003</v>
      </c>
      <c r="AY945" s="387">
        <f t="shared" si="645"/>
        <v>38604.800000000003</v>
      </c>
      <c r="AZ945" s="387" t="str">
        <f t="shared" si="646"/>
        <v/>
      </c>
      <c r="BA945" s="387">
        <f t="shared" si="647"/>
        <v>0</v>
      </c>
      <c r="BB945" s="387">
        <f t="shared" si="616"/>
        <v>11650</v>
      </c>
      <c r="BC945" s="387">
        <f t="shared" si="617"/>
        <v>0</v>
      </c>
      <c r="BD945" s="387">
        <f t="shared" si="618"/>
        <v>2393.4976000000001</v>
      </c>
      <c r="BE945" s="387">
        <f t="shared" si="619"/>
        <v>559.76960000000008</v>
      </c>
      <c r="BF945" s="387">
        <f t="shared" si="620"/>
        <v>4609.4131200000002</v>
      </c>
      <c r="BG945" s="387">
        <f t="shared" si="621"/>
        <v>278.34060800000003</v>
      </c>
      <c r="BH945" s="387">
        <f t="shared" si="622"/>
        <v>189.16352000000001</v>
      </c>
      <c r="BI945" s="387">
        <f t="shared" si="623"/>
        <v>213.67756800000001</v>
      </c>
      <c r="BJ945" s="387">
        <f t="shared" si="624"/>
        <v>104.23296000000002</v>
      </c>
      <c r="BK945" s="387">
        <f t="shared" si="625"/>
        <v>0</v>
      </c>
      <c r="BL945" s="387">
        <f t="shared" si="648"/>
        <v>8348.0949760000003</v>
      </c>
      <c r="BM945" s="387">
        <f t="shared" si="649"/>
        <v>0</v>
      </c>
      <c r="BN945" s="387">
        <f t="shared" si="626"/>
        <v>11650</v>
      </c>
      <c r="BO945" s="387">
        <f t="shared" si="627"/>
        <v>0</v>
      </c>
      <c r="BP945" s="387">
        <f t="shared" si="628"/>
        <v>2393.4976000000001</v>
      </c>
      <c r="BQ945" s="387">
        <f t="shared" si="629"/>
        <v>559.76960000000008</v>
      </c>
      <c r="BR945" s="387">
        <f t="shared" si="630"/>
        <v>4609.4131200000002</v>
      </c>
      <c r="BS945" s="387">
        <f t="shared" si="631"/>
        <v>278.34060800000003</v>
      </c>
      <c r="BT945" s="387">
        <f t="shared" si="632"/>
        <v>0</v>
      </c>
      <c r="BU945" s="387">
        <f t="shared" si="633"/>
        <v>213.67756800000001</v>
      </c>
      <c r="BV945" s="387">
        <f t="shared" si="634"/>
        <v>131.25632000000002</v>
      </c>
      <c r="BW945" s="387">
        <f t="shared" si="635"/>
        <v>0</v>
      </c>
      <c r="BX945" s="387">
        <f t="shared" si="650"/>
        <v>8185.9548160000013</v>
      </c>
      <c r="BY945" s="387">
        <f t="shared" si="651"/>
        <v>0</v>
      </c>
      <c r="BZ945" s="387">
        <f t="shared" si="652"/>
        <v>0</v>
      </c>
      <c r="CA945" s="387">
        <f t="shared" si="653"/>
        <v>0</v>
      </c>
      <c r="CB945" s="387">
        <f t="shared" si="654"/>
        <v>0</v>
      </c>
      <c r="CC945" s="387">
        <f t="shared" si="636"/>
        <v>0</v>
      </c>
      <c r="CD945" s="387">
        <f t="shared" si="637"/>
        <v>0</v>
      </c>
      <c r="CE945" s="387">
        <f t="shared" si="638"/>
        <v>0</v>
      </c>
      <c r="CF945" s="387">
        <f t="shared" si="639"/>
        <v>-189.16352000000001</v>
      </c>
      <c r="CG945" s="387">
        <f t="shared" si="640"/>
        <v>0</v>
      </c>
      <c r="CH945" s="387">
        <f t="shared" si="641"/>
        <v>27.02335999999999</v>
      </c>
      <c r="CI945" s="387">
        <f t="shared" si="642"/>
        <v>0</v>
      </c>
      <c r="CJ945" s="387">
        <f t="shared" si="655"/>
        <v>-162.14016000000001</v>
      </c>
      <c r="CK945" s="387" t="str">
        <f t="shared" si="656"/>
        <v/>
      </c>
      <c r="CL945" s="387" t="str">
        <f t="shared" si="657"/>
        <v/>
      </c>
      <c r="CM945" s="387" t="str">
        <f t="shared" si="658"/>
        <v/>
      </c>
      <c r="CN945" s="387" t="str">
        <f t="shared" si="659"/>
        <v>0348-31</v>
      </c>
    </row>
    <row r="946" spans="1:92" ht="15.75" thickBot="1" x14ac:dyDescent="0.3">
      <c r="A946" s="376" t="s">
        <v>161</v>
      </c>
      <c r="B946" s="376" t="s">
        <v>162</v>
      </c>
      <c r="C946" s="376" t="s">
        <v>2143</v>
      </c>
      <c r="D946" s="376" t="s">
        <v>862</v>
      </c>
      <c r="E946" s="376" t="s">
        <v>224</v>
      </c>
      <c r="F946" s="382" t="s">
        <v>225</v>
      </c>
      <c r="G946" s="376" t="s">
        <v>1945</v>
      </c>
      <c r="H946" s="378"/>
      <c r="I946" s="378"/>
      <c r="J946" s="376" t="s">
        <v>215</v>
      </c>
      <c r="K946" s="376" t="s">
        <v>863</v>
      </c>
      <c r="L946" s="376" t="s">
        <v>252</v>
      </c>
      <c r="M946" s="376" t="s">
        <v>171</v>
      </c>
      <c r="N946" s="376" t="s">
        <v>172</v>
      </c>
      <c r="O946" s="379">
        <v>1</v>
      </c>
      <c r="P946" s="385">
        <v>1</v>
      </c>
      <c r="Q946" s="385">
        <v>1</v>
      </c>
      <c r="R946" s="380">
        <v>80</v>
      </c>
      <c r="S946" s="385">
        <v>1</v>
      </c>
      <c r="T946" s="380">
        <v>23879.23</v>
      </c>
      <c r="U946" s="380">
        <v>39.909999999999997</v>
      </c>
      <c r="V946" s="380">
        <v>13726.4</v>
      </c>
      <c r="W946" s="380">
        <v>38542.400000000001</v>
      </c>
      <c r="X946" s="380">
        <v>19984.759999999998</v>
      </c>
      <c r="Y946" s="380">
        <v>38542.400000000001</v>
      </c>
      <c r="Z946" s="380">
        <v>19822.89</v>
      </c>
      <c r="AA946" s="376" t="s">
        <v>2144</v>
      </c>
      <c r="AB946" s="376" t="s">
        <v>259</v>
      </c>
      <c r="AC946" s="376" t="s">
        <v>2145</v>
      </c>
      <c r="AD946" s="376" t="s">
        <v>2146</v>
      </c>
      <c r="AE946" s="376" t="s">
        <v>863</v>
      </c>
      <c r="AF946" s="376" t="s">
        <v>393</v>
      </c>
      <c r="AG946" s="376" t="s">
        <v>178</v>
      </c>
      <c r="AH946" s="381">
        <v>18.53</v>
      </c>
      <c r="AI946" s="381">
        <v>1441.5</v>
      </c>
      <c r="AJ946" s="376" t="s">
        <v>179</v>
      </c>
      <c r="AK946" s="376" t="s">
        <v>180</v>
      </c>
      <c r="AL946" s="376" t="s">
        <v>181</v>
      </c>
      <c r="AM946" s="376" t="s">
        <v>182</v>
      </c>
      <c r="AN946" s="376" t="s">
        <v>68</v>
      </c>
      <c r="AO946" s="379">
        <v>80</v>
      </c>
      <c r="AP946" s="385">
        <v>1</v>
      </c>
      <c r="AQ946" s="385">
        <v>1</v>
      </c>
      <c r="AR946" s="383" t="s">
        <v>183</v>
      </c>
      <c r="AS946" s="387">
        <f t="shared" si="643"/>
        <v>1</v>
      </c>
      <c r="AT946">
        <f t="shared" si="644"/>
        <v>1</v>
      </c>
      <c r="AU946" s="387">
        <f>IF(AT946=0,"",IF(AND(AT946=1,M946="F",SUMIF(C2:C1334,C946,AS2:AS1334)&lt;=1),SUMIF(C2:C1334,C946,AS2:AS1334),IF(AND(AT946=1,M946="F",SUMIF(C2:C1334,C946,AS2:AS1334)&gt;1),1,"")))</f>
        <v>1</v>
      </c>
      <c r="AV946" s="387" t="str">
        <f>IF(AT946=0,"",IF(AND(AT946=3,M946="F",SUMIF(C2:C1334,C946,AS2:AS1334)&lt;=1),SUMIF(C2:C1334,C946,AS2:AS1334),IF(AND(AT946=3,M946="F",SUMIF(C2:C1334,C946,AS2:AS1334)&gt;1),1,"")))</f>
        <v/>
      </c>
      <c r="AW946" s="387">
        <f>SUMIF(C2:C1334,C946,O2:O1334)</f>
        <v>1</v>
      </c>
      <c r="AX946" s="387">
        <f>IF(AND(M946="F",AS946&lt;&gt;0),SUMIF(C2:C1334,C946,W2:W1334),0)</f>
        <v>38542.400000000001</v>
      </c>
      <c r="AY946" s="387">
        <f t="shared" si="645"/>
        <v>38542.400000000001</v>
      </c>
      <c r="AZ946" s="387" t="str">
        <f t="shared" si="646"/>
        <v/>
      </c>
      <c r="BA946" s="387">
        <f t="shared" si="647"/>
        <v>0</v>
      </c>
      <c r="BB946" s="387">
        <f t="shared" si="616"/>
        <v>11650</v>
      </c>
      <c r="BC946" s="387">
        <f t="shared" si="617"/>
        <v>0</v>
      </c>
      <c r="BD946" s="387">
        <f t="shared" si="618"/>
        <v>2389.6288</v>
      </c>
      <c r="BE946" s="387">
        <f t="shared" si="619"/>
        <v>558.86480000000006</v>
      </c>
      <c r="BF946" s="387">
        <f t="shared" si="620"/>
        <v>4601.9625600000008</v>
      </c>
      <c r="BG946" s="387">
        <f t="shared" si="621"/>
        <v>277.89070400000003</v>
      </c>
      <c r="BH946" s="387">
        <f t="shared" si="622"/>
        <v>188.85776000000001</v>
      </c>
      <c r="BI946" s="387">
        <f t="shared" si="623"/>
        <v>213.33218400000001</v>
      </c>
      <c r="BJ946" s="387">
        <f t="shared" si="624"/>
        <v>104.06448</v>
      </c>
      <c r="BK946" s="387">
        <f t="shared" si="625"/>
        <v>0</v>
      </c>
      <c r="BL946" s="387">
        <f t="shared" si="648"/>
        <v>8334.6012880000017</v>
      </c>
      <c r="BM946" s="387">
        <f t="shared" si="649"/>
        <v>0</v>
      </c>
      <c r="BN946" s="387">
        <f t="shared" si="626"/>
        <v>11650</v>
      </c>
      <c r="BO946" s="387">
        <f t="shared" si="627"/>
        <v>0</v>
      </c>
      <c r="BP946" s="387">
        <f t="shared" si="628"/>
        <v>2389.6288</v>
      </c>
      <c r="BQ946" s="387">
        <f t="shared" si="629"/>
        <v>558.86480000000006</v>
      </c>
      <c r="BR946" s="387">
        <f t="shared" si="630"/>
        <v>4601.9625600000008</v>
      </c>
      <c r="BS946" s="387">
        <f t="shared" si="631"/>
        <v>277.89070400000003</v>
      </c>
      <c r="BT946" s="387">
        <f t="shared" si="632"/>
        <v>0</v>
      </c>
      <c r="BU946" s="387">
        <f t="shared" si="633"/>
        <v>213.33218400000001</v>
      </c>
      <c r="BV946" s="387">
        <f t="shared" si="634"/>
        <v>131.04416000000001</v>
      </c>
      <c r="BW946" s="387">
        <f t="shared" si="635"/>
        <v>0</v>
      </c>
      <c r="BX946" s="387">
        <f t="shared" si="650"/>
        <v>8172.7232080000013</v>
      </c>
      <c r="BY946" s="387">
        <f t="shared" si="651"/>
        <v>0</v>
      </c>
      <c r="BZ946" s="387">
        <f t="shared" si="652"/>
        <v>0</v>
      </c>
      <c r="CA946" s="387">
        <f t="shared" si="653"/>
        <v>0</v>
      </c>
      <c r="CB946" s="387">
        <f t="shared" si="654"/>
        <v>0</v>
      </c>
      <c r="CC946" s="387">
        <f t="shared" si="636"/>
        <v>0</v>
      </c>
      <c r="CD946" s="387">
        <f t="shared" si="637"/>
        <v>0</v>
      </c>
      <c r="CE946" s="387">
        <f t="shared" si="638"/>
        <v>0</v>
      </c>
      <c r="CF946" s="387">
        <f t="shared" si="639"/>
        <v>-188.85776000000001</v>
      </c>
      <c r="CG946" s="387">
        <f t="shared" si="640"/>
        <v>0</v>
      </c>
      <c r="CH946" s="387">
        <f t="shared" si="641"/>
        <v>26.979679999999988</v>
      </c>
      <c r="CI946" s="387">
        <f t="shared" si="642"/>
        <v>0</v>
      </c>
      <c r="CJ946" s="387">
        <f t="shared" si="655"/>
        <v>-161.87808000000001</v>
      </c>
      <c r="CK946" s="387" t="str">
        <f t="shared" si="656"/>
        <v/>
      </c>
      <c r="CL946" s="387" t="str">
        <f t="shared" si="657"/>
        <v/>
      </c>
      <c r="CM946" s="387" t="str">
        <f t="shared" si="658"/>
        <v/>
      </c>
      <c r="CN946" s="387" t="str">
        <f t="shared" si="659"/>
        <v>0348-31</v>
      </c>
    </row>
    <row r="947" spans="1:92" ht="15.75" thickBot="1" x14ac:dyDescent="0.3">
      <c r="A947" s="376" t="s">
        <v>161</v>
      </c>
      <c r="B947" s="376" t="s">
        <v>162</v>
      </c>
      <c r="C947" s="376" t="s">
        <v>1029</v>
      </c>
      <c r="D947" s="376" t="s">
        <v>868</v>
      </c>
      <c r="E947" s="376" t="s">
        <v>224</v>
      </c>
      <c r="F947" s="382" t="s">
        <v>225</v>
      </c>
      <c r="G947" s="376" t="s">
        <v>1945</v>
      </c>
      <c r="H947" s="378"/>
      <c r="I947" s="378"/>
      <c r="J947" s="376" t="s">
        <v>215</v>
      </c>
      <c r="K947" s="376" t="s">
        <v>869</v>
      </c>
      <c r="L947" s="376" t="s">
        <v>296</v>
      </c>
      <c r="M947" s="376" t="s">
        <v>171</v>
      </c>
      <c r="N947" s="376" t="s">
        <v>172</v>
      </c>
      <c r="O947" s="379">
        <v>1</v>
      </c>
      <c r="P947" s="385">
        <v>1</v>
      </c>
      <c r="Q947" s="385">
        <v>1</v>
      </c>
      <c r="R947" s="380">
        <v>80</v>
      </c>
      <c r="S947" s="385">
        <v>1</v>
      </c>
      <c r="T947" s="380">
        <v>0</v>
      </c>
      <c r="U947" s="380">
        <v>0</v>
      </c>
      <c r="V947" s="380">
        <v>0</v>
      </c>
      <c r="W947" s="380">
        <v>51750.400000000001</v>
      </c>
      <c r="X947" s="380">
        <v>22840.99</v>
      </c>
      <c r="Y947" s="380">
        <v>51750.400000000001</v>
      </c>
      <c r="Z947" s="380">
        <v>22623.65</v>
      </c>
      <c r="AA947" s="376" t="s">
        <v>1030</v>
      </c>
      <c r="AB947" s="376" t="s">
        <v>1031</v>
      </c>
      <c r="AC947" s="376" t="s">
        <v>1032</v>
      </c>
      <c r="AD947" s="376" t="s">
        <v>820</v>
      </c>
      <c r="AE947" s="376" t="s">
        <v>869</v>
      </c>
      <c r="AF947" s="376" t="s">
        <v>301</v>
      </c>
      <c r="AG947" s="376" t="s">
        <v>178</v>
      </c>
      <c r="AH947" s="381">
        <v>24.88</v>
      </c>
      <c r="AI947" s="381">
        <v>11711.5</v>
      </c>
      <c r="AJ947" s="376" t="s">
        <v>179</v>
      </c>
      <c r="AK947" s="376" t="s">
        <v>180</v>
      </c>
      <c r="AL947" s="376" t="s">
        <v>181</v>
      </c>
      <c r="AM947" s="376" t="s">
        <v>182</v>
      </c>
      <c r="AN947" s="376" t="s">
        <v>68</v>
      </c>
      <c r="AO947" s="379">
        <v>80</v>
      </c>
      <c r="AP947" s="385">
        <v>1</v>
      </c>
      <c r="AQ947" s="385">
        <v>1</v>
      </c>
      <c r="AR947" s="383" t="s">
        <v>183</v>
      </c>
      <c r="AS947" s="387">
        <f t="shared" si="643"/>
        <v>1</v>
      </c>
      <c r="AT947">
        <f t="shared" si="644"/>
        <v>1</v>
      </c>
      <c r="AU947" s="387">
        <f>IF(AT947=0,"",IF(AND(AT947=1,M947="F",SUMIF(C2:C1334,C947,AS2:AS1334)&lt;=1),SUMIF(C2:C1334,C947,AS2:AS1334),IF(AND(AT947=1,M947="F",SUMIF(C2:C1334,C947,AS2:AS1334)&gt;1),1,"")))</f>
        <v>1</v>
      </c>
      <c r="AV947" s="387" t="str">
        <f>IF(AT947=0,"",IF(AND(AT947=3,M947="F",SUMIF(C2:C1334,C947,AS2:AS1334)&lt;=1),SUMIF(C2:C1334,C947,AS2:AS1334),IF(AND(AT947=3,M947="F",SUMIF(C2:C1334,C947,AS2:AS1334)&gt;1),1,"")))</f>
        <v/>
      </c>
      <c r="AW947" s="387">
        <f>SUMIF(C2:C1334,C947,O2:O1334)</f>
        <v>2</v>
      </c>
      <c r="AX947" s="387">
        <f>IF(AND(M947="F",AS947&lt;&gt;0),SUMIF(C2:C1334,C947,W2:W1334),0)</f>
        <v>51750.400000000001</v>
      </c>
      <c r="AY947" s="387">
        <f t="shared" si="645"/>
        <v>51750.400000000001</v>
      </c>
      <c r="AZ947" s="387" t="str">
        <f t="shared" si="646"/>
        <v/>
      </c>
      <c r="BA947" s="387">
        <f t="shared" si="647"/>
        <v>0</v>
      </c>
      <c r="BB947" s="387">
        <f t="shared" si="616"/>
        <v>11650</v>
      </c>
      <c r="BC947" s="387">
        <f t="shared" si="617"/>
        <v>0</v>
      </c>
      <c r="BD947" s="387">
        <f t="shared" si="618"/>
        <v>3208.5248000000001</v>
      </c>
      <c r="BE947" s="387">
        <f t="shared" si="619"/>
        <v>750.38080000000002</v>
      </c>
      <c r="BF947" s="387">
        <f t="shared" si="620"/>
        <v>6178.9977600000002</v>
      </c>
      <c r="BG947" s="387">
        <f t="shared" si="621"/>
        <v>373.120384</v>
      </c>
      <c r="BH947" s="387">
        <f t="shared" si="622"/>
        <v>253.57695999999999</v>
      </c>
      <c r="BI947" s="387">
        <f t="shared" si="623"/>
        <v>286.43846400000001</v>
      </c>
      <c r="BJ947" s="387">
        <f t="shared" si="624"/>
        <v>139.72608000000002</v>
      </c>
      <c r="BK947" s="387">
        <f t="shared" si="625"/>
        <v>0</v>
      </c>
      <c r="BL947" s="387">
        <f t="shared" si="648"/>
        <v>11190.765248000002</v>
      </c>
      <c r="BM947" s="387">
        <f t="shared" si="649"/>
        <v>0</v>
      </c>
      <c r="BN947" s="387">
        <f t="shared" si="626"/>
        <v>11650</v>
      </c>
      <c r="BO947" s="387">
        <f t="shared" si="627"/>
        <v>0</v>
      </c>
      <c r="BP947" s="387">
        <f t="shared" si="628"/>
        <v>3208.5248000000001</v>
      </c>
      <c r="BQ947" s="387">
        <f t="shared" si="629"/>
        <v>750.38080000000002</v>
      </c>
      <c r="BR947" s="387">
        <f t="shared" si="630"/>
        <v>6178.9977600000002</v>
      </c>
      <c r="BS947" s="387">
        <f t="shared" si="631"/>
        <v>373.120384</v>
      </c>
      <c r="BT947" s="387">
        <f t="shared" si="632"/>
        <v>0</v>
      </c>
      <c r="BU947" s="387">
        <f t="shared" si="633"/>
        <v>286.43846400000001</v>
      </c>
      <c r="BV947" s="387">
        <f t="shared" si="634"/>
        <v>175.95135999999999</v>
      </c>
      <c r="BW947" s="387">
        <f t="shared" si="635"/>
        <v>0</v>
      </c>
      <c r="BX947" s="387">
        <f t="shared" si="650"/>
        <v>10973.413568</v>
      </c>
      <c r="BY947" s="387">
        <f t="shared" si="651"/>
        <v>0</v>
      </c>
      <c r="BZ947" s="387">
        <f t="shared" si="652"/>
        <v>0</v>
      </c>
      <c r="CA947" s="387">
        <f t="shared" si="653"/>
        <v>0</v>
      </c>
      <c r="CB947" s="387">
        <f t="shared" si="654"/>
        <v>0</v>
      </c>
      <c r="CC947" s="387">
        <f t="shared" si="636"/>
        <v>0</v>
      </c>
      <c r="CD947" s="387">
        <f t="shared" si="637"/>
        <v>0</v>
      </c>
      <c r="CE947" s="387">
        <f t="shared" si="638"/>
        <v>0</v>
      </c>
      <c r="CF947" s="387">
        <f t="shared" si="639"/>
        <v>-253.57695999999999</v>
      </c>
      <c r="CG947" s="387">
        <f t="shared" si="640"/>
        <v>0</v>
      </c>
      <c r="CH947" s="387">
        <f t="shared" si="641"/>
        <v>36.225279999999984</v>
      </c>
      <c r="CI947" s="387">
        <f t="shared" si="642"/>
        <v>0</v>
      </c>
      <c r="CJ947" s="387">
        <f t="shared" si="655"/>
        <v>-217.35167999999999</v>
      </c>
      <c r="CK947" s="387" t="str">
        <f t="shared" si="656"/>
        <v/>
      </c>
      <c r="CL947" s="387" t="str">
        <f t="shared" si="657"/>
        <v/>
      </c>
      <c r="CM947" s="387" t="str">
        <f t="shared" si="658"/>
        <v/>
      </c>
      <c r="CN947" s="387" t="str">
        <f t="shared" si="659"/>
        <v>0348-31</v>
      </c>
    </row>
    <row r="948" spans="1:92" ht="15.75" thickBot="1" x14ac:dyDescent="0.3">
      <c r="A948" s="376" t="s">
        <v>161</v>
      </c>
      <c r="B948" s="376" t="s">
        <v>162</v>
      </c>
      <c r="C948" s="376" t="s">
        <v>821</v>
      </c>
      <c r="D948" s="376" t="s">
        <v>792</v>
      </c>
      <c r="E948" s="376" t="s">
        <v>224</v>
      </c>
      <c r="F948" s="382" t="s">
        <v>225</v>
      </c>
      <c r="G948" s="376" t="s">
        <v>1945</v>
      </c>
      <c r="H948" s="378"/>
      <c r="I948" s="378"/>
      <c r="J948" s="376" t="s">
        <v>215</v>
      </c>
      <c r="K948" s="376" t="s">
        <v>793</v>
      </c>
      <c r="L948" s="376" t="s">
        <v>170</v>
      </c>
      <c r="M948" s="376" t="s">
        <v>272</v>
      </c>
      <c r="N948" s="376" t="s">
        <v>172</v>
      </c>
      <c r="O948" s="379">
        <v>0</v>
      </c>
      <c r="P948" s="385">
        <v>1</v>
      </c>
      <c r="Q948" s="385">
        <v>1</v>
      </c>
      <c r="R948" s="380">
        <v>80</v>
      </c>
      <c r="S948" s="385">
        <v>1</v>
      </c>
      <c r="T948" s="380">
        <v>12859.41</v>
      </c>
      <c r="U948" s="380">
        <v>0</v>
      </c>
      <c r="V948" s="380">
        <v>5297.78</v>
      </c>
      <c r="W948" s="380">
        <v>53476.800000000003</v>
      </c>
      <c r="X948" s="380">
        <v>23422.83</v>
      </c>
      <c r="Y948" s="380">
        <v>53476.800000000003</v>
      </c>
      <c r="Z948" s="380">
        <v>23155.45</v>
      </c>
      <c r="AA948" s="378"/>
      <c r="AB948" s="376" t="s">
        <v>45</v>
      </c>
      <c r="AC948" s="376" t="s">
        <v>45</v>
      </c>
      <c r="AD948" s="378"/>
      <c r="AE948" s="378"/>
      <c r="AF948" s="378"/>
      <c r="AG948" s="378"/>
      <c r="AH948" s="379">
        <v>0</v>
      </c>
      <c r="AI948" s="379">
        <v>0</v>
      </c>
      <c r="AJ948" s="378"/>
      <c r="AK948" s="378"/>
      <c r="AL948" s="376" t="s">
        <v>181</v>
      </c>
      <c r="AM948" s="378"/>
      <c r="AN948" s="378"/>
      <c r="AO948" s="379">
        <v>0</v>
      </c>
      <c r="AP948" s="385">
        <v>0</v>
      </c>
      <c r="AQ948" s="385">
        <v>0</v>
      </c>
      <c r="AR948" s="384"/>
      <c r="AS948" s="387">
        <f t="shared" si="643"/>
        <v>0</v>
      </c>
      <c r="AT948">
        <f t="shared" si="644"/>
        <v>0</v>
      </c>
      <c r="AU948" s="387" t="str">
        <f>IF(AT948=0,"",IF(AND(AT948=1,M948="F",SUMIF(C2:C1334,C948,AS2:AS1334)&lt;=1),SUMIF(C2:C1334,C948,AS2:AS1334),IF(AND(AT948=1,M948="F",SUMIF(C2:C1334,C948,AS2:AS1334)&gt;1),1,"")))</f>
        <v/>
      </c>
      <c r="AV948" s="387" t="str">
        <f>IF(AT948=0,"",IF(AND(AT948=3,M948="F",SUMIF(C2:C1334,C948,AS2:AS1334)&lt;=1),SUMIF(C2:C1334,C948,AS2:AS1334),IF(AND(AT948=3,M948="F",SUMIF(C2:C1334,C948,AS2:AS1334)&gt;1),1,"")))</f>
        <v/>
      </c>
      <c r="AW948" s="387">
        <f>SUMIF(C2:C1334,C948,O2:O1334)</f>
        <v>0</v>
      </c>
      <c r="AX948" s="387">
        <f>IF(AND(M948="F",AS948&lt;&gt;0),SUMIF(C2:C1334,C948,W2:W1334),0)</f>
        <v>0</v>
      </c>
      <c r="AY948" s="387" t="str">
        <f t="shared" si="645"/>
        <v/>
      </c>
      <c r="AZ948" s="387" t="str">
        <f t="shared" si="646"/>
        <v/>
      </c>
      <c r="BA948" s="387">
        <f t="shared" si="647"/>
        <v>0</v>
      </c>
      <c r="BB948" s="387">
        <f t="shared" si="616"/>
        <v>0</v>
      </c>
      <c r="BC948" s="387">
        <f t="shared" si="617"/>
        <v>0</v>
      </c>
      <c r="BD948" s="387">
        <f t="shared" si="618"/>
        <v>0</v>
      </c>
      <c r="BE948" s="387">
        <f t="shared" si="619"/>
        <v>0</v>
      </c>
      <c r="BF948" s="387">
        <f t="shared" si="620"/>
        <v>0</v>
      </c>
      <c r="BG948" s="387">
        <f t="shared" si="621"/>
        <v>0</v>
      </c>
      <c r="BH948" s="387">
        <f t="shared" si="622"/>
        <v>0</v>
      </c>
      <c r="BI948" s="387">
        <f t="shared" si="623"/>
        <v>0</v>
      </c>
      <c r="BJ948" s="387">
        <f t="shared" si="624"/>
        <v>0</v>
      </c>
      <c r="BK948" s="387">
        <f t="shared" si="625"/>
        <v>0</v>
      </c>
      <c r="BL948" s="387">
        <f t="shared" si="648"/>
        <v>0</v>
      </c>
      <c r="BM948" s="387">
        <f t="shared" si="649"/>
        <v>0</v>
      </c>
      <c r="BN948" s="387">
        <f t="shared" si="626"/>
        <v>0</v>
      </c>
      <c r="BO948" s="387">
        <f t="shared" si="627"/>
        <v>0</v>
      </c>
      <c r="BP948" s="387">
        <f t="shared" si="628"/>
        <v>0</v>
      </c>
      <c r="BQ948" s="387">
        <f t="shared" si="629"/>
        <v>0</v>
      </c>
      <c r="BR948" s="387">
        <f t="shared" si="630"/>
        <v>0</v>
      </c>
      <c r="BS948" s="387">
        <f t="shared" si="631"/>
        <v>0</v>
      </c>
      <c r="BT948" s="387">
        <f t="shared" si="632"/>
        <v>0</v>
      </c>
      <c r="BU948" s="387">
        <f t="shared" si="633"/>
        <v>0</v>
      </c>
      <c r="BV948" s="387">
        <f t="shared" si="634"/>
        <v>0</v>
      </c>
      <c r="BW948" s="387">
        <f t="shared" si="635"/>
        <v>0</v>
      </c>
      <c r="BX948" s="387">
        <f t="shared" si="650"/>
        <v>0</v>
      </c>
      <c r="BY948" s="387">
        <f t="shared" si="651"/>
        <v>0</v>
      </c>
      <c r="BZ948" s="387">
        <f t="shared" si="652"/>
        <v>0</v>
      </c>
      <c r="CA948" s="387">
        <f t="shared" si="653"/>
        <v>0</v>
      </c>
      <c r="CB948" s="387">
        <f t="shared" si="654"/>
        <v>0</v>
      </c>
      <c r="CC948" s="387">
        <f t="shared" si="636"/>
        <v>0</v>
      </c>
      <c r="CD948" s="387">
        <f t="shared" si="637"/>
        <v>0</v>
      </c>
      <c r="CE948" s="387">
        <f t="shared" si="638"/>
        <v>0</v>
      </c>
      <c r="CF948" s="387">
        <f t="shared" si="639"/>
        <v>0</v>
      </c>
      <c r="CG948" s="387">
        <f t="shared" si="640"/>
        <v>0</v>
      </c>
      <c r="CH948" s="387">
        <f t="shared" si="641"/>
        <v>0</v>
      </c>
      <c r="CI948" s="387">
        <f t="shared" si="642"/>
        <v>0</v>
      </c>
      <c r="CJ948" s="387">
        <f t="shared" si="655"/>
        <v>0</v>
      </c>
      <c r="CK948" s="387" t="str">
        <f t="shared" si="656"/>
        <v/>
      </c>
      <c r="CL948" s="387" t="str">
        <f t="shared" si="657"/>
        <v/>
      </c>
      <c r="CM948" s="387" t="str">
        <f t="shared" si="658"/>
        <v/>
      </c>
      <c r="CN948" s="387" t="str">
        <f t="shared" si="659"/>
        <v>0348-31</v>
      </c>
    </row>
    <row r="949" spans="1:92" ht="15.75" thickBot="1" x14ac:dyDescent="0.3">
      <c r="A949" s="376" t="s">
        <v>161</v>
      </c>
      <c r="B949" s="376" t="s">
        <v>162</v>
      </c>
      <c r="C949" s="376" t="s">
        <v>844</v>
      </c>
      <c r="D949" s="376" t="s">
        <v>786</v>
      </c>
      <c r="E949" s="376" t="s">
        <v>224</v>
      </c>
      <c r="F949" s="382" t="s">
        <v>225</v>
      </c>
      <c r="G949" s="376" t="s">
        <v>1945</v>
      </c>
      <c r="H949" s="378"/>
      <c r="I949" s="378"/>
      <c r="J949" s="376" t="s">
        <v>239</v>
      </c>
      <c r="K949" s="376" t="s">
        <v>787</v>
      </c>
      <c r="L949" s="376" t="s">
        <v>181</v>
      </c>
      <c r="M949" s="376" t="s">
        <v>171</v>
      </c>
      <c r="N949" s="376" t="s">
        <v>172</v>
      </c>
      <c r="O949" s="379">
        <v>1</v>
      </c>
      <c r="P949" s="385">
        <v>0.15</v>
      </c>
      <c r="Q949" s="385">
        <v>0.15</v>
      </c>
      <c r="R949" s="380">
        <v>80</v>
      </c>
      <c r="S949" s="385">
        <v>0.15</v>
      </c>
      <c r="T949" s="380">
        <v>1527.4</v>
      </c>
      <c r="U949" s="380">
        <v>0</v>
      </c>
      <c r="V949" s="380">
        <v>606.13</v>
      </c>
      <c r="W949" s="380">
        <v>11372.4</v>
      </c>
      <c r="X949" s="380">
        <v>4206.7700000000004</v>
      </c>
      <c r="Y949" s="380">
        <v>11372.4</v>
      </c>
      <c r="Z949" s="380">
        <v>4159.01</v>
      </c>
      <c r="AA949" s="376" t="s">
        <v>845</v>
      </c>
      <c r="AB949" s="376" t="s">
        <v>846</v>
      </c>
      <c r="AC949" s="376" t="s">
        <v>847</v>
      </c>
      <c r="AD949" s="376" t="s">
        <v>178</v>
      </c>
      <c r="AE949" s="376" t="s">
        <v>787</v>
      </c>
      <c r="AF949" s="376" t="s">
        <v>211</v>
      </c>
      <c r="AG949" s="376" t="s">
        <v>178</v>
      </c>
      <c r="AH949" s="381">
        <v>36.450000000000003</v>
      </c>
      <c r="AI949" s="379">
        <v>51107</v>
      </c>
      <c r="AJ949" s="376" t="s">
        <v>179</v>
      </c>
      <c r="AK949" s="376" t="s">
        <v>180</v>
      </c>
      <c r="AL949" s="376" t="s">
        <v>181</v>
      </c>
      <c r="AM949" s="376" t="s">
        <v>182</v>
      </c>
      <c r="AN949" s="376" t="s">
        <v>68</v>
      </c>
      <c r="AO949" s="379">
        <v>80</v>
      </c>
      <c r="AP949" s="385">
        <v>1</v>
      </c>
      <c r="AQ949" s="385">
        <v>0.15</v>
      </c>
      <c r="AR949" s="383" t="s">
        <v>183</v>
      </c>
      <c r="AS949" s="387">
        <f t="shared" si="643"/>
        <v>0.15</v>
      </c>
      <c r="AT949">
        <f t="shared" si="644"/>
        <v>1</v>
      </c>
      <c r="AU949" s="387">
        <f>IF(AT949=0,"",IF(AND(AT949=1,M949="F",SUMIF(C2:C1334,C949,AS2:AS1334)&lt;=1),SUMIF(C2:C1334,C949,AS2:AS1334),IF(AND(AT949=1,M949="F",SUMIF(C2:C1334,C949,AS2:AS1334)&gt;1),1,"")))</f>
        <v>1</v>
      </c>
      <c r="AV949" s="387" t="str">
        <f>IF(AT949=0,"",IF(AND(AT949=3,M949="F",SUMIF(C2:C1334,C949,AS2:AS1334)&lt;=1),SUMIF(C2:C1334,C949,AS2:AS1334),IF(AND(AT949=3,M949="F",SUMIF(C2:C1334,C949,AS2:AS1334)&gt;1),1,"")))</f>
        <v/>
      </c>
      <c r="AW949" s="387">
        <f>SUMIF(C2:C1334,C949,O2:O1334)</f>
        <v>4</v>
      </c>
      <c r="AX949" s="387">
        <f>IF(AND(M949="F",AS949&lt;&gt;0),SUMIF(C2:C1334,C949,W2:W1334),0)</f>
        <v>75816</v>
      </c>
      <c r="AY949" s="387">
        <f t="shared" si="645"/>
        <v>11372.4</v>
      </c>
      <c r="AZ949" s="387" t="str">
        <f t="shared" si="646"/>
        <v/>
      </c>
      <c r="BA949" s="387">
        <f t="shared" si="647"/>
        <v>0</v>
      </c>
      <c r="BB949" s="387">
        <f t="shared" si="616"/>
        <v>1747.5</v>
      </c>
      <c r="BC949" s="387">
        <f t="shared" si="617"/>
        <v>0</v>
      </c>
      <c r="BD949" s="387">
        <f t="shared" si="618"/>
        <v>705.08879999999999</v>
      </c>
      <c r="BE949" s="387">
        <f t="shared" si="619"/>
        <v>164.8998</v>
      </c>
      <c r="BF949" s="387">
        <f t="shared" si="620"/>
        <v>1357.86456</v>
      </c>
      <c r="BG949" s="387">
        <f t="shared" si="621"/>
        <v>81.995003999999994</v>
      </c>
      <c r="BH949" s="387">
        <f t="shared" si="622"/>
        <v>55.724759999999996</v>
      </c>
      <c r="BI949" s="387">
        <f t="shared" si="623"/>
        <v>62.946233999999997</v>
      </c>
      <c r="BJ949" s="387">
        <f t="shared" si="624"/>
        <v>30.705480000000001</v>
      </c>
      <c r="BK949" s="387">
        <f t="shared" si="625"/>
        <v>0</v>
      </c>
      <c r="BL949" s="387">
        <f t="shared" si="648"/>
        <v>2459.2246380000001</v>
      </c>
      <c r="BM949" s="387">
        <f t="shared" si="649"/>
        <v>0</v>
      </c>
      <c r="BN949" s="387">
        <f t="shared" si="626"/>
        <v>1747.5</v>
      </c>
      <c r="BO949" s="387">
        <f t="shared" si="627"/>
        <v>0</v>
      </c>
      <c r="BP949" s="387">
        <f t="shared" si="628"/>
        <v>705.08879999999999</v>
      </c>
      <c r="BQ949" s="387">
        <f t="shared" si="629"/>
        <v>164.8998</v>
      </c>
      <c r="BR949" s="387">
        <f t="shared" si="630"/>
        <v>1357.86456</v>
      </c>
      <c r="BS949" s="387">
        <f t="shared" si="631"/>
        <v>81.995003999999994</v>
      </c>
      <c r="BT949" s="387">
        <f t="shared" si="632"/>
        <v>0</v>
      </c>
      <c r="BU949" s="387">
        <f t="shared" si="633"/>
        <v>62.946233999999997</v>
      </c>
      <c r="BV949" s="387">
        <f t="shared" si="634"/>
        <v>38.666159999999998</v>
      </c>
      <c r="BW949" s="387">
        <f t="shared" si="635"/>
        <v>0</v>
      </c>
      <c r="BX949" s="387">
        <f t="shared" si="650"/>
        <v>2411.4605580000002</v>
      </c>
      <c r="BY949" s="387">
        <f t="shared" si="651"/>
        <v>0</v>
      </c>
      <c r="BZ949" s="387">
        <f t="shared" si="652"/>
        <v>0</v>
      </c>
      <c r="CA949" s="387">
        <f t="shared" si="653"/>
        <v>0</v>
      </c>
      <c r="CB949" s="387">
        <f t="shared" si="654"/>
        <v>0</v>
      </c>
      <c r="CC949" s="387">
        <f t="shared" si="636"/>
        <v>0</v>
      </c>
      <c r="CD949" s="387">
        <f t="shared" si="637"/>
        <v>0</v>
      </c>
      <c r="CE949" s="387">
        <f t="shared" si="638"/>
        <v>0</v>
      </c>
      <c r="CF949" s="387">
        <f t="shared" si="639"/>
        <v>-55.724759999999996</v>
      </c>
      <c r="CG949" s="387">
        <f t="shared" si="640"/>
        <v>0</v>
      </c>
      <c r="CH949" s="387">
        <f t="shared" si="641"/>
        <v>7.9606799999999955</v>
      </c>
      <c r="CI949" s="387">
        <f t="shared" si="642"/>
        <v>0</v>
      </c>
      <c r="CJ949" s="387">
        <f t="shared" si="655"/>
        <v>-47.76408</v>
      </c>
      <c r="CK949" s="387" t="str">
        <f t="shared" si="656"/>
        <v/>
      </c>
      <c r="CL949" s="387" t="str">
        <f t="shared" si="657"/>
        <v/>
      </c>
      <c r="CM949" s="387" t="str">
        <f t="shared" si="658"/>
        <v/>
      </c>
      <c r="CN949" s="387" t="str">
        <f t="shared" si="659"/>
        <v>0348-31</v>
      </c>
    </row>
    <row r="950" spans="1:92" ht="15.75" thickBot="1" x14ac:dyDescent="0.3">
      <c r="A950" s="376" t="s">
        <v>161</v>
      </c>
      <c r="B950" s="376" t="s">
        <v>162</v>
      </c>
      <c r="C950" s="376" t="s">
        <v>1527</v>
      </c>
      <c r="D950" s="376" t="s">
        <v>862</v>
      </c>
      <c r="E950" s="376" t="s">
        <v>224</v>
      </c>
      <c r="F950" s="382" t="s">
        <v>225</v>
      </c>
      <c r="G950" s="376" t="s">
        <v>1945</v>
      </c>
      <c r="H950" s="378"/>
      <c r="I950" s="378"/>
      <c r="J950" s="376" t="s">
        <v>215</v>
      </c>
      <c r="K950" s="376" t="s">
        <v>863</v>
      </c>
      <c r="L950" s="376" t="s">
        <v>252</v>
      </c>
      <c r="M950" s="376" t="s">
        <v>171</v>
      </c>
      <c r="N950" s="376" t="s">
        <v>172</v>
      </c>
      <c r="O950" s="379">
        <v>1</v>
      </c>
      <c r="P950" s="385">
        <v>1</v>
      </c>
      <c r="Q950" s="385">
        <v>1</v>
      </c>
      <c r="R950" s="380">
        <v>80</v>
      </c>
      <c r="S950" s="385">
        <v>1</v>
      </c>
      <c r="T950" s="380">
        <v>20550.36</v>
      </c>
      <c r="U950" s="380">
        <v>0</v>
      </c>
      <c r="V950" s="380">
        <v>12061.91</v>
      </c>
      <c r="W950" s="380">
        <v>43784</v>
      </c>
      <c r="X950" s="380">
        <v>21118.25</v>
      </c>
      <c r="Y950" s="380">
        <v>43784</v>
      </c>
      <c r="Z950" s="380">
        <v>20934.36</v>
      </c>
      <c r="AA950" s="376" t="s">
        <v>1528</v>
      </c>
      <c r="AB950" s="376" t="s">
        <v>1529</v>
      </c>
      <c r="AC950" s="376" t="s">
        <v>1530</v>
      </c>
      <c r="AD950" s="376" t="s">
        <v>820</v>
      </c>
      <c r="AE950" s="376" t="s">
        <v>863</v>
      </c>
      <c r="AF950" s="376" t="s">
        <v>393</v>
      </c>
      <c r="AG950" s="376" t="s">
        <v>178</v>
      </c>
      <c r="AH950" s="381">
        <v>21.05</v>
      </c>
      <c r="AI950" s="381">
        <v>25418.9</v>
      </c>
      <c r="AJ950" s="376" t="s">
        <v>179</v>
      </c>
      <c r="AK950" s="376" t="s">
        <v>180</v>
      </c>
      <c r="AL950" s="376" t="s">
        <v>181</v>
      </c>
      <c r="AM950" s="376" t="s">
        <v>182</v>
      </c>
      <c r="AN950" s="376" t="s">
        <v>68</v>
      </c>
      <c r="AO950" s="379">
        <v>80</v>
      </c>
      <c r="AP950" s="385">
        <v>1</v>
      </c>
      <c r="AQ950" s="385">
        <v>1</v>
      </c>
      <c r="AR950" s="383" t="s">
        <v>183</v>
      </c>
      <c r="AS950" s="387">
        <f t="shared" si="643"/>
        <v>1</v>
      </c>
      <c r="AT950">
        <f t="shared" si="644"/>
        <v>1</v>
      </c>
      <c r="AU950" s="387">
        <f>IF(AT950=0,"",IF(AND(AT950=1,M950="F",SUMIF(C2:C1334,C950,AS2:AS1334)&lt;=1),SUMIF(C2:C1334,C950,AS2:AS1334),IF(AND(AT950=1,M950="F",SUMIF(C2:C1334,C950,AS2:AS1334)&gt;1),1,"")))</f>
        <v>1</v>
      </c>
      <c r="AV950" s="387" t="str">
        <f>IF(AT950=0,"",IF(AND(AT950=3,M950="F",SUMIF(C2:C1334,C950,AS2:AS1334)&lt;=1),SUMIF(C2:C1334,C950,AS2:AS1334),IF(AND(AT950=3,M950="F",SUMIF(C2:C1334,C950,AS2:AS1334)&gt;1),1,"")))</f>
        <v/>
      </c>
      <c r="AW950" s="387">
        <f>SUMIF(C2:C1334,C950,O2:O1334)</f>
        <v>2</v>
      </c>
      <c r="AX950" s="387">
        <f>IF(AND(M950="F",AS950&lt;&gt;0),SUMIF(C2:C1334,C950,W2:W1334),0)</f>
        <v>43784</v>
      </c>
      <c r="AY950" s="387">
        <f t="shared" si="645"/>
        <v>43784</v>
      </c>
      <c r="AZ950" s="387" t="str">
        <f t="shared" si="646"/>
        <v/>
      </c>
      <c r="BA950" s="387">
        <f t="shared" si="647"/>
        <v>0</v>
      </c>
      <c r="BB950" s="387">
        <f t="shared" si="616"/>
        <v>11650</v>
      </c>
      <c r="BC950" s="387">
        <f t="shared" si="617"/>
        <v>0</v>
      </c>
      <c r="BD950" s="387">
        <f t="shared" si="618"/>
        <v>2714.6080000000002</v>
      </c>
      <c r="BE950" s="387">
        <f t="shared" si="619"/>
        <v>634.86800000000005</v>
      </c>
      <c r="BF950" s="387">
        <f t="shared" si="620"/>
        <v>5227.8096000000005</v>
      </c>
      <c r="BG950" s="387">
        <f t="shared" si="621"/>
        <v>315.68263999999999</v>
      </c>
      <c r="BH950" s="387">
        <f t="shared" si="622"/>
        <v>214.54159999999999</v>
      </c>
      <c r="BI950" s="387">
        <f t="shared" si="623"/>
        <v>242.34443999999999</v>
      </c>
      <c r="BJ950" s="387">
        <f t="shared" si="624"/>
        <v>118.21680000000001</v>
      </c>
      <c r="BK950" s="387">
        <f t="shared" si="625"/>
        <v>0</v>
      </c>
      <c r="BL950" s="387">
        <f t="shared" si="648"/>
        <v>9468.0710800000033</v>
      </c>
      <c r="BM950" s="387">
        <f t="shared" si="649"/>
        <v>0</v>
      </c>
      <c r="BN950" s="387">
        <f t="shared" si="626"/>
        <v>11650</v>
      </c>
      <c r="BO950" s="387">
        <f t="shared" si="627"/>
        <v>0</v>
      </c>
      <c r="BP950" s="387">
        <f t="shared" si="628"/>
        <v>2714.6080000000002</v>
      </c>
      <c r="BQ950" s="387">
        <f t="shared" si="629"/>
        <v>634.86800000000005</v>
      </c>
      <c r="BR950" s="387">
        <f t="shared" si="630"/>
        <v>5227.8096000000005</v>
      </c>
      <c r="BS950" s="387">
        <f t="shared" si="631"/>
        <v>315.68263999999999</v>
      </c>
      <c r="BT950" s="387">
        <f t="shared" si="632"/>
        <v>0</v>
      </c>
      <c r="BU950" s="387">
        <f t="shared" si="633"/>
        <v>242.34443999999999</v>
      </c>
      <c r="BV950" s="387">
        <f t="shared" si="634"/>
        <v>148.8656</v>
      </c>
      <c r="BW950" s="387">
        <f t="shared" si="635"/>
        <v>0</v>
      </c>
      <c r="BX950" s="387">
        <f t="shared" si="650"/>
        <v>9284.1782800000019</v>
      </c>
      <c r="BY950" s="387">
        <f t="shared" si="651"/>
        <v>0</v>
      </c>
      <c r="BZ950" s="387">
        <f t="shared" si="652"/>
        <v>0</v>
      </c>
      <c r="CA950" s="387">
        <f t="shared" si="653"/>
        <v>0</v>
      </c>
      <c r="CB950" s="387">
        <f t="shared" si="654"/>
        <v>0</v>
      </c>
      <c r="CC950" s="387">
        <f t="shared" si="636"/>
        <v>0</v>
      </c>
      <c r="CD950" s="387">
        <f t="shared" si="637"/>
        <v>0</v>
      </c>
      <c r="CE950" s="387">
        <f t="shared" si="638"/>
        <v>0</v>
      </c>
      <c r="CF950" s="387">
        <f t="shared" si="639"/>
        <v>-214.54159999999999</v>
      </c>
      <c r="CG950" s="387">
        <f t="shared" si="640"/>
        <v>0</v>
      </c>
      <c r="CH950" s="387">
        <f t="shared" si="641"/>
        <v>30.648799999999987</v>
      </c>
      <c r="CI950" s="387">
        <f t="shared" si="642"/>
        <v>0</v>
      </c>
      <c r="CJ950" s="387">
        <f t="shared" si="655"/>
        <v>-183.89279999999999</v>
      </c>
      <c r="CK950" s="387" t="str">
        <f t="shared" si="656"/>
        <v/>
      </c>
      <c r="CL950" s="387" t="str">
        <f t="shared" si="657"/>
        <v/>
      </c>
      <c r="CM950" s="387" t="str">
        <f t="shared" si="658"/>
        <v/>
      </c>
      <c r="CN950" s="387" t="str">
        <f t="shared" si="659"/>
        <v>0348-31</v>
      </c>
    </row>
    <row r="951" spans="1:92" ht="15.75" thickBot="1" x14ac:dyDescent="0.3">
      <c r="A951" s="376" t="s">
        <v>161</v>
      </c>
      <c r="B951" s="376" t="s">
        <v>162</v>
      </c>
      <c r="C951" s="376" t="s">
        <v>1119</v>
      </c>
      <c r="D951" s="376" t="s">
        <v>862</v>
      </c>
      <c r="E951" s="376" t="s">
        <v>224</v>
      </c>
      <c r="F951" s="382" t="s">
        <v>225</v>
      </c>
      <c r="G951" s="376" t="s">
        <v>1945</v>
      </c>
      <c r="H951" s="378"/>
      <c r="I951" s="378"/>
      <c r="J951" s="376" t="s">
        <v>239</v>
      </c>
      <c r="K951" s="376" t="s">
        <v>863</v>
      </c>
      <c r="L951" s="376" t="s">
        <v>252</v>
      </c>
      <c r="M951" s="376" t="s">
        <v>171</v>
      </c>
      <c r="N951" s="376" t="s">
        <v>172</v>
      </c>
      <c r="O951" s="379">
        <v>1</v>
      </c>
      <c r="P951" s="385">
        <v>0</v>
      </c>
      <c r="Q951" s="385">
        <v>0</v>
      </c>
      <c r="R951" s="380">
        <v>80</v>
      </c>
      <c r="S951" s="385">
        <v>0</v>
      </c>
      <c r="T951" s="380">
        <v>199.55</v>
      </c>
      <c r="U951" s="380">
        <v>0</v>
      </c>
      <c r="V951" s="380">
        <v>76.650000000000006</v>
      </c>
      <c r="W951" s="380">
        <v>0</v>
      </c>
      <c r="X951" s="380">
        <v>0</v>
      </c>
      <c r="Y951" s="380">
        <v>0</v>
      </c>
      <c r="Z951" s="380">
        <v>0</v>
      </c>
      <c r="AA951" s="376" t="s">
        <v>1120</v>
      </c>
      <c r="AB951" s="376" t="s">
        <v>1121</v>
      </c>
      <c r="AC951" s="376" t="s">
        <v>1122</v>
      </c>
      <c r="AD951" s="376" t="s">
        <v>583</v>
      </c>
      <c r="AE951" s="376" t="s">
        <v>863</v>
      </c>
      <c r="AF951" s="376" t="s">
        <v>393</v>
      </c>
      <c r="AG951" s="376" t="s">
        <v>178</v>
      </c>
      <c r="AH951" s="381">
        <v>21.53</v>
      </c>
      <c r="AI951" s="381">
        <v>19288.5</v>
      </c>
      <c r="AJ951" s="376" t="s">
        <v>179</v>
      </c>
      <c r="AK951" s="376" t="s">
        <v>180</v>
      </c>
      <c r="AL951" s="376" t="s">
        <v>181</v>
      </c>
      <c r="AM951" s="376" t="s">
        <v>182</v>
      </c>
      <c r="AN951" s="376" t="s">
        <v>68</v>
      </c>
      <c r="AO951" s="379">
        <v>80</v>
      </c>
      <c r="AP951" s="385">
        <v>1</v>
      </c>
      <c r="AQ951" s="385">
        <v>0</v>
      </c>
      <c r="AR951" s="383" t="s">
        <v>183</v>
      </c>
      <c r="AS951" s="387">
        <f t="shared" si="643"/>
        <v>0</v>
      </c>
      <c r="AT951">
        <f t="shared" si="644"/>
        <v>0</v>
      </c>
      <c r="AU951" s="387" t="str">
        <f>IF(AT951=0,"",IF(AND(AT951=1,M951="F",SUMIF(C2:C1334,C951,AS2:AS1334)&lt;=1),SUMIF(C2:C1334,C951,AS2:AS1334),IF(AND(AT951=1,M951="F",SUMIF(C2:C1334,C951,AS2:AS1334)&gt;1),1,"")))</f>
        <v/>
      </c>
      <c r="AV951" s="387" t="str">
        <f>IF(AT951=0,"",IF(AND(AT951=3,M951="F",SUMIF(C2:C1334,C951,AS2:AS1334)&lt;=1),SUMIF(C2:C1334,C951,AS2:AS1334),IF(AND(AT951=3,M951="F",SUMIF(C2:C1334,C951,AS2:AS1334)&gt;1),1,"")))</f>
        <v/>
      </c>
      <c r="AW951" s="387">
        <f>SUMIF(C2:C1334,C951,O2:O1334)</f>
        <v>3</v>
      </c>
      <c r="AX951" s="387">
        <f>IF(AND(M951="F",AS951&lt;&gt;0),SUMIF(C2:C1334,C951,W2:W1334),0)</f>
        <v>0</v>
      </c>
      <c r="AY951" s="387" t="str">
        <f t="shared" si="645"/>
        <v/>
      </c>
      <c r="AZ951" s="387" t="str">
        <f t="shared" si="646"/>
        <v/>
      </c>
      <c r="BA951" s="387">
        <f t="shared" si="647"/>
        <v>0</v>
      </c>
      <c r="BB951" s="387">
        <f t="shared" si="616"/>
        <v>0</v>
      </c>
      <c r="BC951" s="387">
        <f t="shared" si="617"/>
        <v>0</v>
      </c>
      <c r="BD951" s="387">
        <f t="shared" si="618"/>
        <v>0</v>
      </c>
      <c r="BE951" s="387">
        <f t="shared" si="619"/>
        <v>0</v>
      </c>
      <c r="BF951" s="387">
        <f t="shared" si="620"/>
        <v>0</v>
      </c>
      <c r="BG951" s="387">
        <f t="shared" si="621"/>
        <v>0</v>
      </c>
      <c r="BH951" s="387">
        <f t="shared" si="622"/>
        <v>0</v>
      </c>
      <c r="BI951" s="387">
        <f t="shared" si="623"/>
        <v>0</v>
      </c>
      <c r="BJ951" s="387">
        <f t="shared" si="624"/>
        <v>0</v>
      </c>
      <c r="BK951" s="387">
        <f t="shared" si="625"/>
        <v>0</v>
      </c>
      <c r="BL951" s="387">
        <f t="shared" si="648"/>
        <v>0</v>
      </c>
      <c r="BM951" s="387">
        <f t="shared" si="649"/>
        <v>0</v>
      </c>
      <c r="BN951" s="387">
        <f t="shared" si="626"/>
        <v>0</v>
      </c>
      <c r="BO951" s="387">
        <f t="shared" si="627"/>
        <v>0</v>
      </c>
      <c r="BP951" s="387">
        <f t="shared" si="628"/>
        <v>0</v>
      </c>
      <c r="BQ951" s="387">
        <f t="shared" si="629"/>
        <v>0</v>
      </c>
      <c r="BR951" s="387">
        <f t="shared" si="630"/>
        <v>0</v>
      </c>
      <c r="BS951" s="387">
        <f t="shared" si="631"/>
        <v>0</v>
      </c>
      <c r="BT951" s="387">
        <f t="shared" si="632"/>
        <v>0</v>
      </c>
      <c r="BU951" s="387">
        <f t="shared" si="633"/>
        <v>0</v>
      </c>
      <c r="BV951" s="387">
        <f t="shared" si="634"/>
        <v>0</v>
      </c>
      <c r="BW951" s="387">
        <f t="shared" si="635"/>
        <v>0</v>
      </c>
      <c r="BX951" s="387">
        <f t="shared" si="650"/>
        <v>0</v>
      </c>
      <c r="BY951" s="387">
        <f t="shared" si="651"/>
        <v>0</v>
      </c>
      <c r="BZ951" s="387">
        <f t="shared" si="652"/>
        <v>0</v>
      </c>
      <c r="CA951" s="387">
        <f t="shared" si="653"/>
        <v>0</v>
      </c>
      <c r="CB951" s="387">
        <f t="shared" si="654"/>
        <v>0</v>
      </c>
      <c r="CC951" s="387">
        <f t="shared" si="636"/>
        <v>0</v>
      </c>
      <c r="CD951" s="387">
        <f t="shared" si="637"/>
        <v>0</v>
      </c>
      <c r="CE951" s="387">
        <f t="shared" si="638"/>
        <v>0</v>
      </c>
      <c r="CF951" s="387">
        <f t="shared" si="639"/>
        <v>0</v>
      </c>
      <c r="CG951" s="387">
        <f t="shared" si="640"/>
        <v>0</v>
      </c>
      <c r="CH951" s="387">
        <f t="shared" si="641"/>
        <v>0</v>
      </c>
      <c r="CI951" s="387">
        <f t="shared" si="642"/>
        <v>0</v>
      </c>
      <c r="CJ951" s="387">
        <f t="shared" si="655"/>
        <v>0</v>
      </c>
      <c r="CK951" s="387" t="str">
        <f t="shared" si="656"/>
        <v/>
      </c>
      <c r="CL951" s="387" t="str">
        <f t="shared" si="657"/>
        <v/>
      </c>
      <c r="CM951" s="387" t="str">
        <f t="shared" si="658"/>
        <v/>
      </c>
      <c r="CN951" s="387" t="str">
        <f t="shared" si="659"/>
        <v>0348-31</v>
      </c>
    </row>
    <row r="952" spans="1:92" ht="15.75" thickBot="1" x14ac:dyDescent="0.3">
      <c r="A952" s="376" t="s">
        <v>161</v>
      </c>
      <c r="B952" s="376" t="s">
        <v>162</v>
      </c>
      <c r="C952" s="376" t="s">
        <v>2147</v>
      </c>
      <c r="D952" s="376" t="s">
        <v>974</v>
      </c>
      <c r="E952" s="376" t="s">
        <v>224</v>
      </c>
      <c r="F952" s="382" t="s">
        <v>225</v>
      </c>
      <c r="G952" s="376" t="s">
        <v>1945</v>
      </c>
      <c r="H952" s="378"/>
      <c r="I952" s="378"/>
      <c r="J952" s="376" t="s">
        <v>215</v>
      </c>
      <c r="K952" s="376" t="s">
        <v>975</v>
      </c>
      <c r="L952" s="376" t="s">
        <v>296</v>
      </c>
      <c r="M952" s="376" t="s">
        <v>566</v>
      </c>
      <c r="N952" s="376" t="s">
        <v>172</v>
      </c>
      <c r="O952" s="379">
        <v>0</v>
      </c>
      <c r="P952" s="385">
        <v>0</v>
      </c>
      <c r="Q952" s="385">
        <v>0</v>
      </c>
      <c r="R952" s="380">
        <v>80</v>
      </c>
      <c r="S952" s="385">
        <v>0</v>
      </c>
      <c r="T952" s="380">
        <v>14926.96</v>
      </c>
      <c r="U952" s="380">
        <v>473.46</v>
      </c>
      <c r="V952" s="380">
        <v>7024.67</v>
      </c>
      <c r="W952" s="380">
        <v>0</v>
      </c>
      <c r="X952" s="380">
        <v>0</v>
      </c>
      <c r="Y952" s="380">
        <v>0</v>
      </c>
      <c r="Z952" s="380">
        <v>0</v>
      </c>
      <c r="AA952" s="378"/>
      <c r="AB952" s="376" t="s">
        <v>45</v>
      </c>
      <c r="AC952" s="376" t="s">
        <v>45</v>
      </c>
      <c r="AD952" s="378"/>
      <c r="AE952" s="378"/>
      <c r="AF952" s="378"/>
      <c r="AG952" s="378"/>
      <c r="AH952" s="379">
        <v>0</v>
      </c>
      <c r="AI952" s="379">
        <v>0</v>
      </c>
      <c r="AJ952" s="378"/>
      <c r="AK952" s="378"/>
      <c r="AL952" s="376" t="s">
        <v>181</v>
      </c>
      <c r="AM952" s="378"/>
      <c r="AN952" s="378"/>
      <c r="AO952" s="379">
        <v>0</v>
      </c>
      <c r="AP952" s="385">
        <v>0</v>
      </c>
      <c r="AQ952" s="385">
        <v>0</v>
      </c>
      <c r="AR952" s="384"/>
      <c r="AS952" s="387">
        <f t="shared" si="643"/>
        <v>0</v>
      </c>
      <c r="AT952">
        <f t="shared" si="644"/>
        <v>0</v>
      </c>
      <c r="AU952" s="387" t="str">
        <f>IF(AT952=0,"",IF(AND(AT952=1,M952="F",SUMIF(C2:C1334,C952,AS2:AS1334)&lt;=1),SUMIF(C2:C1334,C952,AS2:AS1334),IF(AND(AT952=1,M952="F",SUMIF(C2:C1334,C952,AS2:AS1334)&gt;1),1,"")))</f>
        <v/>
      </c>
      <c r="AV952" s="387" t="str">
        <f>IF(AT952=0,"",IF(AND(AT952=3,M952="F",SUMIF(C2:C1334,C952,AS2:AS1334)&lt;=1),SUMIF(C2:C1334,C952,AS2:AS1334),IF(AND(AT952=3,M952="F",SUMIF(C2:C1334,C952,AS2:AS1334)&gt;1),1,"")))</f>
        <v/>
      </c>
      <c r="AW952" s="387">
        <f>SUMIF(C2:C1334,C952,O2:O1334)</f>
        <v>0</v>
      </c>
      <c r="AX952" s="387">
        <f>IF(AND(M952="F",AS952&lt;&gt;0),SUMIF(C2:C1334,C952,W2:W1334),0)</f>
        <v>0</v>
      </c>
      <c r="AY952" s="387" t="str">
        <f t="shared" si="645"/>
        <v/>
      </c>
      <c r="AZ952" s="387" t="str">
        <f t="shared" si="646"/>
        <v/>
      </c>
      <c r="BA952" s="387">
        <f t="shared" si="647"/>
        <v>0</v>
      </c>
      <c r="BB952" s="387">
        <f t="shared" si="616"/>
        <v>0</v>
      </c>
      <c r="BC952" s="387">
        <f t="shared" si="617"/>
        <v>0</v>
      </c>
      <c r="BD952" s="387">
        <f t="shared" si="618"/>
        <v>0</v>
      </c>
      <c r="BE952" s="387">
        <f t="shared" si="619"/>
        <v>0</v>
      </c>
      <c r="BF952" s="387">
        <f t="shared" si="620"/>
        <v>0</v>
      </c>
      <c r="BG952" s="387">
        <f t="shared" si="621"/>
        <v>0</v>
      </c>
      <c r="BH952" s="387">
        <f t="shared" si="622"/>
        <v>0</v>
      </c>
      <c r="BI952" s="387">
        <f t="shared" si="623"/>
        <v>0</v>
      </c>
      <c r="BJ952" s="387">
        <f t="shared" si="624"/>
        <v>0</v>
      </c>
      <c r="BK952" s="387">
        <f t="shared" si="625"/>
        <v>0</v>
      </c>
      <c r="BL952" s="387">
        <f t="shared" si="648"/>
        <v>0</v>
      </c>
      <c r="BM952" s="387">
        <f t="shared" si="649"/>
        <v>0</v>
      </c>
      <c r="BN952" s="387">
        <f t="shared" si="626"/>
        <v>0</v>
      </c>
      <c r="BO952" s="387">
        <f t="shared" si="627"/>
        <v>0</v>
      </c>
      <c r="BP952" s="387">
        <f t="shared" si="628"/>
        <v>0</v>
      </c>
      <c r="BQ952" s="387">
        <f t="shared" si="629"/>
        <v>0</v>
      </c>
      <c r="BR952" s="387">
        <f t="shared" si="630"/>
        <v>0</v>
      </c>
      <c r="BS952" s="387">
        <f t="shared" si="631"/>
        <v>0</v>
      </c>
      <c r="BT952" s="387">
        <f t="shared" si="632"/>
        <v>0</v>
      </c>
      <c r="BU952" s="387">
        <f t="shared" si="633"/>
        <v>0</v>
      </c>
      <c r="BV952" s="387">
        <f t="shared" si="634"/>
        <v>0</v>
      </c>
      <c r="BW952" s="387">
        <f t="shared" si="635"/>
        <v>0</v>
      </c>
      <c r="BX952" s="387">
        <f t="shared" si="650"/>
        <v>0</v>
      </c>
      <c r="BY952" s="387">
        <f t="shared" si="651"/>
        <v>0</v>
      </c>
      <c r="BZ952" s="387">
        <f t="shared" si="652"/>
        <v>0</v>
      </c>
      <c r="CA952" s="387">
        <f t="shared" si="653"/>
        <v>0</v>
      </c>
      <c r="CB952" s="387">
        <f t="shared" si="654"/>
        <v>0</v>
      </c>
      <c r="CC952" s="387">
        <f t="shared" si="636"/>
        <v>0</v>
      </c>
      <c r="CD952" s="387">
        <f t="shared" si="637"/>
        <v>0</v>
      </c>
      <c r="CE952" s="387">
        <f t="shared" si="638"/>
        <v>0</v>
      </c>
      <c r="CF952" s="387">
        <f t="shared" si="639"/>
        <v>0</v>
      </c>
      <c r="CG952" s="387">
        <f t="shared" si="640"/>
        <v>0</v>
      </c>
      <c r="CH952" s="387">
        <f t="shared" si="641"/>
        <v>0</v>
      </c>
      <c r="CI952" s="387">
        <f t="shared" si="642"/>
        <v>0</v>
      </c>
      <c r="CJ952" s="387">
        <f t="shared" si="655"/>
        <v>0</v>
      </c>
      <c r="CK952" s="387" t="str">
        <f t="shared" si="656"/>
        <v/>
      </c>
      <c r="CL952" s="387" t="str">
        <f t="shared" si="657"/>
        <v/>
      </c>
      <c r="CM952" s="387" t="str">
        <f t="shared" si="658"/>
        <v/>
      </c>
      <c r="CN952" s="387" t="str">
        <f t="shared" si="659"/>
        <v>0348-31</v>
      </c>
    </row>
    <row r="953" spans="1:92" ht="15.75" thickBot="1" x14ac:dyDescent="0.3">
      <c r="A953" s="376" t="s">
        <v>161</v>
      </c>
      <c r="B953" s="376" t="s">
        <v>162</v>
      </c>
      <c r="C953" s="376" t="s">
        <v>1420</v>
      </c>
      <c r="D953" s="376" t="s">
        <v>862</v>
      </c>
      <c r="E953" s="376" t="s">
        <v>224</v>
      </c>
      <c r="F953" s="382" t="s">
        <v>225</v>
      </c>
      <c r="G953" s="376" t="s">
        <v>1945</v>
      </c>
      <c r="H953" s="378"/>
      <c r="I953" s="378"/>
      <c r="J953" s="376" t="s">
        <v>239</v>
      </c>
      <c r="K953" s="376" t="s">
        <v>863</v>
      </c>
      <c r="L953" s="376" t="s">
        <v>252</v>
      </c>
      <c r="M953" s="376" t="s">
        <v>171</v>
      </c>
      <c r="N953" s="376" t="s">
        <v>172</v>
      </c>
      <c r="O953" s="379">
        <v>1</v>
      </c>
      <c r="P953" s="385">
        <v>0.3</v>
      </c>
      <c r="Q953" s="385">
        <v>0.3</v>
      </c>
      <c r="R953" s="380">
        <v>80</v>
      </c>
      <c r="S953" s="385">
        <v>0.3</v>
      </c>
      <c r="T953" s="380">
        <v>10009.700000000001</v>
      </c>
      <c r="U953" s="380">
        <v>696.77</v>
      </c>
      <c r="V953" s="380">
        <v>5351.84</v>
      </c>
      <c r="W953" s="380">
        <v>11568.96</v>
      </c>
      <c r="X953" s="380">
        <v>5996.77</v>
      </c>
      <c r="Y953" s="380">
        <v>11568.96</v>
      </c>
      <c r="Z953" s="380">
        <v>5948.19</v>
      </c>
      <c r="AA953" s="376" t="s">
        <v>1421</v>
      </c>
      <c r="AB953" s="376" t="s">
        <v>1422</v>
      </c>
      <c r="AC953" s="376" t="s">
        <v>1423</v>
      </c>
      <c r="AD953" s="376" t="s">
        <v>1424</v>
      </c>
      <c r="AE953" s="376" t="s">
        <v>863</v>
      </c>
      <c r="AF953" s="376" t="s">
        <v>393</v>
      </c>
      <c r="AG953" s="376" t="s">
        <v>178</v>
      </c>
      <c r="AH953" s="381">
        <v>18.54</v>
      </c>
      <c r="AI953" s="379">
        <v>1520</v>
      </c>
      <c r="AJ953" s="376" t="s">
        <v>179</v>
      </c>
      <c r="AK953" s="376" t="s">
        <v>180</v>
      </c>
      <c r="AL953" s="376" t="s">
        <v>181</v>
      </c>
      <c r="AM953" s="376" t="s">
        <v>182</v>
      </c>
      <c r="AN953" s="376" t="s">
        <v>68</v>
      </c>
      <c r="AO953" s="379">
        <v>80</v>
      </c>
      <c r="AP953" s="385">
        <v>1</v>
      </c>
      <c r="AQ953" s="385">
        <v>0.3</v>
      </c>
      <c r="AR953" s="383" t="s">
        <v>183</v>
      </c>
      <c r="AS953" s="387">
        <f t="shared" si="643"/>
        <v>0.3</v>
      </c>
      <c r="AT953">
        <f t="shared" si="644"/>
        <v>1</v>
      </c>
      <c r="AU953" s="387">
        <f>IF(AT953=0,"",IF(AND(AT953=1,M953="F",SUMIF(C2:C1334,C953,AS2:AS1334)&lt;=1),SUMIF(C2:C1334,C953,AS2:AS1334),IF(AND(AT953=1,M953="F",SUMIF(C2:C1334,C953,AS2:AS1334)&gt;1),1,"")))</f>
        <v>1</v>
      </c>
      <c r="AV953" s="387" t="str">
        <f>IF(AT953=0,"",IF(AND(AT953=3,M953="F",SUMIF(C2:C1334,C953,AS2:AS1334)&lt;=1),SUMIF(C2:C1334,C953,AS2:AS1334),IF(AND(AT953=3,M953="F",SUMIF(C2:C1334,C953,AS2:AS1334)&gt;1),1,"")))</f>
        <v/>
      </c>
      <c r="AW953" s="387">
        <f>SUMIF(C2:C1334,C953,O2:O1334)</f>
        <v>3</v>
      </c>
      <c r="AX953" s="387">
        <f>IF(AND(M953="F",AS953&lt;&gt;0),SUMIF(C2:C1334,C953,W2:W1334),0)</f>
        <v>38563.199999999997</v>
      </c>
      <c r="AY953" s="387">
        <f t="shared" si="645"/>
        <v>11568.96</v>
      </c>
      <c r="AZ953" s="387" t="str">
        <f t="shared" si="646"/>
        <v/>
      </c>
      <c r="BA953" s="387">
        <f t="shared" si="647"/>
        <v>0</v>
      </c>
      <c r="BB953" s="387">
        <f t="shared" si="616"/>
        <v>3495</v>
      </c>
      <c r="BC953" s="387">
        <f t="shared" si="617"/>
        <v>0</v>
      </c>
      <c r="BD953" s="387">
        <f t="shared" si="618"/>
        <v>717.27551999999991</v>
      </c>
      <c r="BE953" s="387">
        <f t="shared" si="619"/>
        <v>167.74992</v>
      </c>
      <c r="BF953" s="387">
        <f t="shared" si="620"/>
        <v>1381.333824</v>
      </c>
      <c r="BG953" s="387">
        <f t="shared" si="621"/>
        <v>83.412201600000003</v>
      </c>
      <c r="BH953" s="387">
        <f t="shared" si="622"/>
        <v>56.687903999999996</v>
      </c>
      <c r="BI953" s="387">
        <f t="shared" si="623"/>
        <v>64.034193599999995</v>
      </c>
      <c r="BJ953" s="387">
        <f t="shared" si="624"/>
        <v>31.236191999999999</v>
      </c>
      <c r="BK953" s="387">
        <f t="shared" si="625"/>
        <v>0</v>
      </c>
      <c r="BL953" s="387">
        <f t="shared" si="648"/>
        <v>2501.7297551999995</v>
      </c>
      <c r="BM953" s="387">
        <f t="shared" si="649"/>
        <v>0</v>
      </c>
      <c r="BN953" s="387">
        <f t="shared" si="626"/>
        <v>3495</v>
      </c>
      <c r="BO953" s="387">
        <f t="shared" si="627"/>
        <v>0</v>
      </c>
      <c r="BP953" s="387">
        <f t="shared" si="628"/>
        <v>717.27551999999991</v>
      </c>
      <c r="BQ953" s="387">
        <f t="shared" si="629"/>
        <v>167.74992</v>
      </c>
      <c r="BR953" s="387">
        <f t="shared" si="630"/>
        <v>1381.333824</v>
      </c>
      <c r="BS953" s="387">
        <f t="shared" si="631"/>
        <v>83.412201600000003</v>
      </c>
      <c r="BT953" s="387">
        <f t="shared" si="632"/>
        <v>0</v>
      </c>
      <c r="BU953" s="387">
        <f t="shared" si="633"/>
        <v>64.034193599999995</v>
      </c>
      <c r="BV953" s="387">
        <f t="shared" si="634"/>
        <v>39.334463999999997</v>
      </c>
      <c r="BW953" s="387">
        <f t="shared" si="635"/>
        <v>0</v>
      </c>
      <c r="BX953" s="387">
        <f t="shared" si="650"/>
        <v>2453.1401231999998</v>
      </c>
      <c r="BY953" s="387">
        <f t="shared" si="651"/>
        <v>0</v>
      </c>
      <c r="BZ953" s="387">
        <f t="shared" si="652"/>
        <v>0</v>
      </c>
      <c r="CA953" s="387">
        <f t="shared" si="653"/>
        <v>0</v>
      </c>
      <c r="CB953" s="387">
        <f t="shared" si="654"/>
        <v>0</v>
      </c>
      <c r="CC953" s="387">
        <f t="shared" si="636"/>
        <v>0</v>
      </c>
      <c r="CD953" s="387">
        <f t="shared" si="637"/>
        <v>0</v>
      </c>
      <c r="CE953" s="387">
        <f t="shared" si="638"/>
        <v>0</v>
      </c>
      <c r="CF953" s="387">
        <f t="shared" si="639"/>
        <v>-56.687903999999996</v>
      </c>
      <c r="CG953" s="387">
        <f t="shared" si="640"/>
        <v>0</v>
      </c>
      <c r="CH953" s="387">
        <f t="shared" si="641"/>
        <v>8.0982719999999961</v>
      </c>
      <c r="CI953" s="387">
        <f t="shared" si="642"/>
        <v>0</v>
      </c>
      <c r="CJ953" s="387">
        <f t="shared" si="655"/>
        <v>-48.589632000000002</v>
      </c>
      <c r="CK953" s="387" t="str">
        <f t="shared" si="656"/>
        <v/>
      </c>
      <c r="CL953" s="387" t="str">
        <f t="shared" si="657"/>
        <v/>
      </c>
      <c r="CM953" s="387" t="str">
        <f t="shared" si="658"/>
        <v/>
      </c>
      <c r="CN953" s="387" t="str">
        <f t="shared" si="659"/>
        <v>0348-31</v>
      </c>
    </row>
    <row r="954" spans="1:92" ht="15.75" thickBot="1" x14ac:dyDescent="0.3">
      <c r="A954" s="376" t="s">
        <v>161</v>
      </c>
      <c r="B954" s="376" t="s">
        <v>162</v>
      </c>
      <c r="C954" s="376" t="s">
        <v>645</v>
      </c>
      <c r="D954" s="376" t="s">
        <v>556</v>
      </c>
      <c r="E954" s="376" t="s">
        <v>224</v>
      </c>
      <c r="F954" s="382" t="s">
        <v>225</v>
      </c>
      <c r="G954" s="376" t="s">
        <v>1945</v>
      </c>
      <c r="H954" s="378"/>
      <c r="I954" s="378"/>
      <c r="J954" s="376" t="s">
        <v>239</v>
      </c>
      <c r="K954" s="376" t="s">
        <v>557</v>
      </c>
      <c r="L954" s="376" t="s">
        <v>406</v>
      </c>
      <c r="M954" s="376" t="s">
        <v>171</v>
      </c>
      <c r="N954" s="376" t="s">
        <v>172</v>
      </c>
      <c r="O954" s="379">
        <v>1</v>
      </c>
      <c r="P954" s="385">
        <v>0.2</v>
      </c>
      <c r="Q954" s="385">
        <v>0.2</v>
      </c>
      <c r="R954" s="380">
        <v>80</v>
      </c>
      <c r="S954" s="385">
        <v>0.2</v>
      </c>
      <c r="T954" s="380">
        <v>15089.22</v>
      </c>
      <c r="U954" s="380">
        <v>0</v>
      </c>
      <c r="V954" s="380">
        <v>8304.83</v>
      </c>
      <c r="W954" s="380">
        <v>6472.96</v>
      </c>
      <c r="X954" s="380">
        <v>3729.77</v>
      </c>
      <c r="Y954" s="380">
        <v>6472.96</v>
      </c>
      <c r="Z954" s="380">
        <v>3702.58</v>
      </c>
      <c r="AA954" s="376" t="s">
        <v>646</v>
      </c>
      <c r="AB954" s="376" t="s">
        <v>647</v>
      </c>
      <c r="AC954" s="376" t="s">
        <v>648</v>
      </c>
      <c r="AD954" s="376" t="s">
        <v>441</v>
      </c>
      <c r="AE954" s="376" t="s">
        <v>557</v>
      </c>
      <c r="AF954" s="376" t="s">
        <v>562</v>
      </c>
      <c r="AG954" s="376" t="s">
        <v>178</v>
      </c>
      <c r="AH954" s="381">
        <v>15.56</v>
      </c>
      <c r="AI954" s="381">
        <v>25627.599999999999</v>
      </c>
      <c r="AJ954" s="376" t="s">
        <v>179</v>
      </c>
      <c r="AK954" s="376" t="s">
        <v>180</v>
      </c>
      <c r="AL954" s="376" t="s">
        <v>181</v>
      </c>
      <c r="AM954" s="376" t="s">
        <v>182</v>
      </c>
      <c r="AN954" s="376" t="s">
        <v>68</v>
      </c>
      <c r="AO954" s="379">
        <v>80</v>
      </c>
      <c r="AP954" s="385">
        <v>1</v>
      </c>
      <c r="AQ954" s="385">
        <v>0.2</v>
      </c>
      <c r="AR954" s="383" t="s">
        <v>183</v>
      </c>
      <c r="AS954" s="387">
        <f t="shared" si="643"/>
        <v>0.2</v>
      </c>
      <c r="AT954">
        <f t="shared" si="644"/>
        <v>1</v>
      </c>
      <c r="AU954" s="387">
        <f>IF(AT954=0,"",IF(AND(AT954=1,M954="F",SUMIF(C2:C1334,C954,AS2:AS1334)&lt;=1),SUMIF(C2:C1334,C954,AS2:AS1334),IF(AND(AT954=1,M954="F",SUMIF(C2:C1334,C954,AS2:AS1334)&gt;1),1,"")))</f>
        <v>1</v>
      </c>
      <c r="AV954" s="387" t="str">
        <f>IF(AT954=0,"",IF(AND(AT954=3,M954="F",SUMIF(C2:C1334,C954,AS2:AS1334)&lt;=1),SUMIF(C2:C1334,C954,AS2:AS1334),IF(AND(AT954=3,M954="F",SUMIF(C2:C1334,C954,AS2:AS1334)&gt;1),1,"")))</f>
        <v/>
      </c>
      <c r="AW954" s="387">
        <f>SUMIF(C2:C1334,C954,O2:O1334)</f>
        <v>3</v>
      </c>
      <c r="AX954" s="387">
        <f>IF(AND(M954="F",AS954&lt;&gt;0),SUMIF(C2:C1334,C954,W2:W1334),0)</f>
        <v>32364.799999999999</v>
      </c>
      <c r="AY954" s="387">
        <f t="shared" si="645"/>
        <v>6472.96</v>
      </c>
      <c r="AZ954" s="387" t="str">
        <f t="shared" si="646"/>
        <v/>
      </c>
      <c r="BA954" s="387">
        <f t="shared" si="647"/>
        <v>0</v>
      </c>
      <c r="BB954" s="387">
        <f t="shared" si="616"/>
        <v>2330</v>
      </c>
      <c r="BC954" s="387">
        <f t="shared" si="617"/>
        <v>0</v>
      </c>
      <c r="BD954" s="387">
        <f t="shared" si="618"/>
        <v>401.32351999999997</v>
      </c>
      <c r="BE954" s="387">
        <f t="shared" si="619"/>
        <v>93.857920000000007</v>
      </c>
      <c r="BF954" s="387">
        <f t="shared" si="620"/>
        <v>772.87142400000005</v>
      </c>
      <c r="BG954" s="387">
        <f t="shared" si="621"/>
        <v>46.670041600000005</v>
      </c>
      <c r="BH954" s="387">
        <f t="shared" si="622"/>
        <v>31.717503999999998</v>
      </c>
      <c r="BI954" s="387">
        <f t="shared" si="623"/>
        <v>35.827833599999998</v>
      </c>
      <c r="BJ954" s="387">
        <f t="shared" si="624"/>
        <v>17.476992000000003</v>
      </c>
      <c r="BK954" s="387">
        <f t="shared" si="625"/>
        <v>0</v>
      </c>
      <c r="BL954" s="387">
        <f t="shared" si="648"/>
        <v>1399.7452352000003</v>
      </c>
      <c r="BM954" s="387">
        <f t="shared" si="649"/>
        <v>0</v>
      </c>
      <c r="BN954" s="387">
        <f t="shared" si="626"/>
        <v>2330</v>
      </c>
      <c r="BO954" s="387">
        <f t="shared" si="627"/>
        <v>0</v>
      </c>
      <c r="BP954" s="387">
        <f t="shared" si="628"/>
        <v>401.32351999999997</v>
      </c>
      <c r="BQ954" s="387">
        <f t="shared" si="629"/>
        <v>93.857920000000007</v>
      </c>
      <c r="BR954" s="387">
        <f t="shared" si="630"/>
        <v>772.87142400000005</v>
      </c>
      <c r="BS954" s="387">
        <f t="shared" si="631"/>
        <v>46.670041600000005</v>
      </c>
      <c r="BT954" s="387">
        <f t="shared" si="632"/>
        <v>0</v>
      </c>
      <c r="BU954" s="387">
        <f t="shared" si="633"/>
        <v>35.827833599999998</v>
      </c>
      <c r="BV954" s="387">
        <f t="shared" si="634"/>
        <v>22.008063999999997</v>
      </c>
      <c r="BW954" s="387">
        <f t="shared" si="635"/>
        <v>0</v>
      </c>
      <c r="BX954" s="387">
        <f t="shared" si="650"/>
        <v>1372.5588032000003</v>
      </c>
      <c r="BY954" s="387">
        <f t="shared" si="651"/>
        <v>0</v>
      </c>
      <c r="BZ954" s="387">
        <f t="shared" si="652"/>
        <v>0</v>
      </c>
      <c r="CA954" s="387">
        <f t="shared" si="653"/>
        <v>0</v>
      </c>
      <c r="CB954" s="387">
        <f t="shared" si="654"/>
        <v>0</v>
      </c>
      <c r="CC954" s="387">
        <f t="shared" si="636"/>
        <v>0</v>
      </c>
      <c r="CD954" s="387">
        <f t="shared" si="637"/>
        <v>0</v>
      </c>
      <c r="CE954" s="387">
        <f t="shared" si="638"/>
        <v>0</v>
      </c>
      <c r="CF954" s="387">
        <f t="shared" si="639"/>
        <v>-31.717503999999998</v>
      </c>
      <c r="CG954" s="387">
        <f t="shared" si="640"/>
        <v>0</v>
      </c>
      <c r="CH954" s="387">
        <f t="shared" si="641"/>
        <v>4.5310719999999982</v>
      </c>
      <c r="CI954" s="387">
        <f t="shared" si="642"/>
        <v>0</v>
      </c>
      <c r="CJ954" s="387">
        <f t="shared" si="655"/>
        <v>-27.186432</v>
      </c>
      <c r="CK954" s="387" t="str">
        <f t="shared" si="656"/>
        <v/>
      </c>
      <c r="CL954" s="387" t="str">
        <f t="shared" si="657"/>
        <v/>
      </c>
      <c r="CM954" s="387" t="str">
        <f t="shared" si="658"/>
        <v/>
      </c>
      <c r="CN954" s="387" t="str">
        <f t="shared" si="659"/>
        <v>0348-31</v>
      </c>
    </row>
    <row r="955" spans="1:92" ht="15.75" thickBot="1" x14ac:dyDescent="0.3">
      <c r="A955" s="376" t="s">
        <v>161</v>
      </c>
      <c r="B955" s="376" t="s">
        <v>162</v>
      </c>
      <c r="C955" s="376" t="s">
        <v>1068</v>
      </c>
      <c r="D955" s="376" t="s">
        <v>862</v>
      </c>
      <c r="E955" s="376" t="s">
        <v>224</v>
      </c>
      <c r="F955" s="382" t="s">
        <v>225</v>
      </c>
      <c r="G955" s="376" t="s">
        <v>1945</v>
      </c>
      <c r="H955" s="378"/>
      <c r="I955" s="378"/>
      <c r="J955" s="376" t="s">
        <v>215</v>
      </c>
      <c r="K955" s="376" t="s">
        <v>863</v>
      </c>
      <c r="L955" s="376" t="s">
        <v>252</v>
      </c>
      <c r="M955" s="376" t="s">
        <v>171</v>
      </c>
      <c r="N955" s="376" t="s">
        <v>172</v>
      </c>
      <c r="O955" s="379">
        <v>1</v>
      </c>
      <c r="P955" s="385">
        <v>1</v>
      </c>
      <c r="Q955" s="385">
        <v>1</v>
      </c>
      <c r="R955" s="380">
        <v>80</v>
      </c>
      <c r="S955" s="385">
        <v>1</v>
      </c>
      <c r="T955" s="380">
        <v>23063.599999999999</v>
      </c>
      <c r="U955" s="380">
        <v>0</v>
      </c>
      <c r="V955" s="380">
        <v>12255.12</v>
      </c>
      <c r="W955" s="380">
        <v>40851.199999999997</v>
      </c>
      <c r="X955" s="380">
        <v>20484.04</v>
      </c>
      <c r="Y955" s="380">
        <v>40851.199999999997</v>
      </c>
      <c r="Z955" s="380">
        <v>20312.47</v>
      </c>
      <c r="AA955" s="376" t="s">
        <v>1069</v>
      </c>
      <c r="AB955" s="376" t="s">
        <v>1070</v>
      </c>
      <c r="AC955" s="376" t="s">
        <v>1071</v>
      </c>
      <c r="AD955" s="376" t="s">
        <v>324</v>
      </c>
      <c r="AE955" s="376" t="s">
        <v>863</v>
      </c>
      <c r="AF955" s="376" t="s">
        <v>393</v>
      </c>
      <c r="AG955" s="376" t="s">
        <v>178</v>
      </c>
      <c r="AH955" s="381">
        <v>19.64</v>
      </c>
      <c r="AI955" s="381">
        <v>2056.1999999999998</v>
      </c>
      <c r="AJ955" s="376" t="s">
        <v>179</v>
      </c>
      <c r="AK955" s="376" t="s">
        <v>180</v>
      </c>
      <c r="AL955" s="376" t="s">
        <v>181</v>
      </c>
      <c r="AM955" s="376" t="s">
        <v>182</v>
      </c>
      <c r="AN955" s="376" t="s">
        <v>68</v>
      </c>
      <c r="AO955" s="379">
        <v>80</v>
      </c>
      <c r="AP955" s="385">
        <v>1</v>
      </c>
      <c r="AQ955" s="385">
        <v>1</v>
      </c>
      <c r="AR955" s="383" t="s">
        <v>183</v>
      </c>
      <c r="AS955" s="387">
        <f t="shared" si="643"/>
        <v>1</v>
      </c>
      <c r="AT955">
        <f t="shared" si="644"/>
        <v>1</v>
      </c>
      <c r="AU955" s="387">
        <f>IF(AT955=0,"",IF(AND(AT955=1,M955="F",SUMIF(C2:C1334,C955,AS2:AS1334)&lt;=1),SUMIF(C2:C1334,C955,AS2:AS1334),IF(AND(AT955=1,M955="F",SUMIF(C2:C1334,C955,AS2:AS1334)&gt;1),1,"")))</f>
        <v>1</v>
      </c>
      <c r="AV955" s="387" t="str">
        <f>IF(AT955=0,"",IF(AND(AT955=3,M955="F",SUMIF(C2:C1334,C955,AS2:AS1334)&lt;=1),SUMIF(C2:C1334,C955,AS2:AS1334),IF(AND(AT955=3,M955="F",SUMIF(C2:C1334,C955,AS2:AS1334)&gt;1),1,"")))</f>
        <v/>
      </c>
      <c r="AW955" s="387">
        <f>SUMIF(C2:C1334,C955,O2:O1334)</f>
        <v>2</v>
      </c>
      <c r="AX955" s="387">
        <f>IF(AND(M955="F",AS955&lt;&gt;0),SUMIF(C2:C1334,C955,W2:W1334),0)</f>
        <v>40851.199999999997</v>
      </c>
      <c r="AY955" s="387">
        <f t="shared" si="645"/>
        <v>40851.199999999997</v>
      </c>
      <c r="AZ955" s="387" t="str">
        <f t="shared" si="646"/>
        <v/>
      </c>
      <c r="BA955" s="387">
        <f t="shared" si="647"/>
        <v>0</v>
      </c>
      <c r="BB955" s="387">
        <f t="shared" si="616"/>
        <v>11650</v>
      </c>
      <c r="BC955" s="387">
        <f t="shared" si="617"/>
        <v>0</v>
      </c>
      <c r="BD955" s="387">
        <f t="shared" si="618"/>
        <v>2532.7743999999998</v>
      </c>
      <c r="BE955" s="387">
        <f t="shared" si="619"/>
        <v>592.3424</v>
      </c>
      <c r="BF955" s="387">
        <f t="shared" si="620"/>
        <v>4877.63328</v>
      </c>
      <c r="BG955" s="387">
        <f t="shared" si="621"/>
        <v>294.53715199999999</v>
      </c>
      <c r="BH955" s="387">
        <f t="shared" si="622"/>
        <v>200.17087999999998</v>
      </c>
      <c r="BI955" s="387">
        <f t="shared" si="623"/>
        <v>226.111392</v>
      </c>
      <c r="BJ955" s="387">
        <f t="shared" si="624"/>
        <v>110.29823999999999</v>
      </c>
      <c r="BK955" s="387">
        <f t="shared" si="625"/>
        <v>0</v>
      </c>
      <c r="BL955" s="387">
        <f t="shared" si="648"/>
        <v>8833.867744000001</v>
      </c>
      <c r="BM955" s="387">
        <f t="shared" si="649"/>
        <v>0</v>
      </c>
      <c r="BN955" s="387">
        <f t="shared" si="626"/>
        <v>11650</v>
      </c>
      <c r="BO955" s="387">
        <f t="shared" si="627"/>
        <v>0</v>
      </c>
      <c r="BP955" s="387">
        <f t="shared" si="628"/>
        <v>2532.7743999999998</v>
      </c>
      <c r="BQ955" s="387">
        <f t="shared" si="629"/>
        <v>592.3424</v>
      </c>
      <c r="BR955" s="387">
        <f t="shared" si="630"/>
        <v>4877.63328</v>
      </c>
      <c r="BS955" s="387">
        <f t="shared" si="631"/>
        <v>294.53715199999999</v>
      </c>
      <c r="BT955" s="387">
        <f t="shared" si="632"/>
        <v>0</v>
      </c>
      <c r="BU955" s="387">
        <f t="shared" si="633"/>
        <v>226.111392</v>
      </c>
      <c r="BV955" s="387">
        <f t="shared" si="634"/>
        <v>138.89407999999997</v>
      </c>
      <c r="BW955" s="387">
        <f t="shared" si="635"/>
        <v>0</v>
      </c>
      <c r="BX955" s="387">
        <f t="shared" si="650"/>
        <v>8662.2927040000013</v>
      </c>
      <c r="BY955" s="387">
        <f t="shared" si="651"/>
        <v>0</v>
      </c>
      <c r="BZ955" s="387">
        <f t="shared" si="652"/>
        <v>0</v>
      </c>
      <c r="CA955" s="387">
        <f t="shared" si="653"/>
        <v>0</v>
      </c>
      <c r="CB955" s="387">
        <f t="shared" si="654"/>
        <v>0</v>
      </c>
      <c r="CC955" s="387">
        <f t="shared" si="636"/>
        <v>0</v>
      </c>
      <c r="CD955" s="387">
        <f t="shared" si="637"/>
        <v>0</v>
      </c>
      <c r="CE955" s="387">
        <f t="shared" si="638"/>
        <v>0</v>
      </c>
      <c r="CF955" s="387">
        <f t="shared" si="639"/>
        <v>-200.17087999999998</v>
      </c>
      <c r="CG955" s="387">
        <f t="shared" si="640"/>
        <v>0</v>
      </c>
      <c r="CH955" s="387">
        <f t="shared" si="641"/>
        <v>28.595839999999985</v>
      </c>
      <c r="CI955" s="387">
        <f t="shared" si="642"/>
        <v>0</v>
      </c>
      <c r="CJ955" s="387">
        <f t="shared" si="655"/>
        <v>-171.57504</v>
      </c>
      <c r="CK955" s="387" t="str">
        <f t="shared" si="656"/>
        <v/>
      </c>
      <c r="CL955" s="387" t="str">
        <f t="shared" si="657"/>
        <v/>
      </c>
      <c r="CM955" s="387" t="str">
        <f t="shared" si="658"/>
        <v/>
      </c>
      <c r="CN955" s="387" t="str">
        <f t="shared" si="659"/>
        <v>0348-31</v>
      </c>
    </row>
    <row r="956" spans="1:92" ht="15.75" thickBot="1" x14ac:dyDescent="0.3">
      <c r="A956" s="376" t="s">
        <v>161</v>
      </c>
      <c r="B956" s="376" t="s">
        <v>162</v>
      </c>
      <c r="C956" s="376" t="s">
        <v>447</v>
      </c>
      <c r="D956" s="376" t="s">
        <v>375</v>
      </c>
      <c r="E956" s="376" t="s">
        <v>224</v>
      </c>
      <c r="F956" s="382" t="s">
        <v>225</v>
      </c>
      <c r="G956" s="376" t="s">
        <v>1945</v>
      </c>
      <c r="H956" s="378"/>
      <c r="I956" s="378"/>
      <c r="J956" s="376" t="s">
        <v>239</v>
      </c>
      <c r="K956" s="376" t="s">
        <v>448</v>
      </c>
      <c r="L956" s="376" t="s">
        <v>217</v>
      </c>
      <c r="M956" s="376" t="s">
        <v>171</v>
      </c>
      <c r="N956" s="376" t="s">
        <v>172</v>
      </c>
      <c r="O956" s="379">
        <v>1</v>
      </c>
      <c r="P956" s="385">
        <v>0.9</v>
      </c>
      <c r="Q956" s="385">
        <v>0.9</v>
      </c>
      <c r="R956" s="380">
        <v>80</v>
      </c>
      <c r="S956" s="385">
        <v>0.9</v>
      </c>
      <c r="T956" s="380">
        <v>38332.839999999997</v>
      </c>
      <c r="U956" s="380">
        <v>223.35</v>
      </c>
      <c r="V956" s="380">
        <v>17678.560000000001</v>
      </c>
      <c r="W956" s="380">
        <v>42045.120000000003</v>
      </c>
      <c r="X956" s="380">
        <v>19577.23</v>
      </c>
      <c r="Y956" s="380">
        <v>42045.120000000003</v>
      </c>
      <c r="Z956" s="380">
        <v>19400.64</v>
      </c>
      <c r="AA956" s="376" t="s">
        <v>449</v>
      </c>
      <c r="AB956" s="376" t="s">
        <v>450</v>
      </c>
      <c r="AC956" s="376" t="s">
        <v>451</v>
      </c>
      <c r="AD956" s="376" t="s">
        <v>198</v>
      </c>
      <c r="AE956" s="376" t="s">
        <v>448</v>
      </c>
      <c r="AF956" s="376" t="s">
        <v>221</v>
      </c>
      <c r="AG956" s="376" t="s">
        <v>178</v>
      </c>
      <c r="AH956" s="381">
        <v>22.46</v>
      </c>
      <c r="AI956" s="381">
        <v>43492.7</v>
      </c>
      <c r="AJ956" s="376" t="s">
        <v>179</v>
      </c>
      <c r="AK956" s="376" t="s">
        <v>180</v>
      </c>
      <c r="AL956" s="376" t="s">
        <v>181</v>
      </c>
      <c r="AM956" s="376" t="s">
        <v>182</v>
      </c>
      <c r="AN956" s="376" t="s">
        <v>68</v>
      </c>
      <c r="AO956" s="379">
        <v>80</v>
      </c>
      <c r="AP956" s="385">
        <v>1</v>
      </c>
      <c r="AQ956" s="385">
        <v>0.9</v>
      </c>
      <c r="AR956" s="383" t="s">
        <v>183</v>
      </c>
      <c r="AS956" s="387">
        <f t="shared" si="643"/>
        <v>0.9</v>
      </c>
      <c r="AT956">
        <f t="shared" si="644"/>
        <v>1</v>
      </c>
      <c r="AU956" s="387">
        <f>IF(AT956=0,"",IF(AND(AT956=1,M956="F",SUMIF(C2:C1334,C956,AS2:AS1334)&lt;=1),SUMIF(C2:C1334,C956,AS2:AS1334),IF(AND(AT956=1,M956="F",SUMIF(C2:C1334,C956,AS2:AS1334)&gt;1),1,"")))</f>
        <v>1</v>
      </c>
      <c r="AV956" s="387" t="str">
        <f>IF(AT956=0,"",IF(AND(AT956=3,M956="F",SUMIF(C2:C1334,C956,AS2:AS1334)&lt;=1),SUMIF(C2:C1334,C956,AS2:AS1334),IF(AND(AT956=3,M956="F",SUMIF(C2:C1334,C956,AS2:AS1334)&gt;1),1,"")))</f>
        <v/>
      </c>
      <c r="AW956" s="387">
        <f>SUMIF(C2:C1334,C956,O2:O1334)</f>
        <v>4</v>
      </c>
      <c r="AX956" s="387">
        <f>IF(AND(M956="F",AS956&lt;&gt;0),SUMIF(C2:C1334,C956,W2:W1334),0)</f>
        <v>46716.800000000003</v>
      </c>
      <c r="AY956" s="387">
        <f t="shared" si="645"/>
        <v>42045.120000000003</v>
      </c>
      <c r="AZ956" s="387" t="str">
        <f t="shared" si="646"/>
        <v/>
      </c>
      <c r="BA956" s="387">
        <f t="shared" si="647"/>
        <v>0</v>
      </c>
      <c r="BB956" s="387">
        <f t="shared" si="616"/>
        <v>10485</v>
      </c>
      <c r="BC956" s="387">
        <f t="shared" si="617"/>
        <v>0</v>
      </c>
      <c r="BD956" s="387">
        <f t="shared" si="618"/>
        <v>2606.7974400000003</v>
      </c>
      <c r="BE956" s="387">
        <f t="shared" si="619"/>
        <v>609.65424000000007</v>
      </c>
      <c r="BF956" s="387">
        <f t="shared" si="620"/>
        <v>5020.1873280000009</v>
      </c>
      <c r="BG956" s="387">
        <f t="shared" si="621"/>
        <v>303.14531520000003</v>
      </c>
      <c r="BH956" s="387">
        <f t="shared" si="622"/>
        <v>206.02108800000002</v>
      </c>
      <c r="BI956" s="387">
        <f t="shared" si="623"/>
        <v>232.71973920000002</v>
      </c>
      <c r="BJ956" s="387">
        <f t="shared" si="624"/>
        <v>113.52182400000001</v>
      </c>
      <c r="BK956" s="387">
        <f t="shared" si="625"/>
        <v>0</v>
      </c>
      <c r="BL956" s="387">
        <f t="shared" si="648"/>
        <v>9092.0469744000002</v>
      </c>
      <c r="BM956" s="387">
        <f t="shared" si="649"/>
        <v>0</v>
      </c>
      <c r="BN956" s="387">
        <f t="shared" si="626"/>
        <v>10485</v>
      </c>
      <c r="BO956" s="387">
        <f t="shared" si="627"/>
        <v>0</v>
      </c>
      <c r="BP956" s="387">
        <f t="shared" si="628"/>
        <v>2606.7974400000003</v>
      </c>
      <c r="BQ956" s="387">
        <f t="shared" si="629"/>
        <v>609.65424000000007</v>
      </c>
      <c r="BR956" s="387">
        <f t="shared" si="630"/>
        <v>5020.1873280000009</v>
      </c>
      <c r="BS956" s="387">
        <f t="shared" si="631"/>
        <v>303.14531520000003</v>
      </c>
      <c r="BT956" s="387">
        <f t="shared" si="632"/>
        <v>0</v>
      </c>
      <c r="BU956" s="387">
        <f t="shared" si="633"/>
        <v>232.71973920000002</v>
      </c>
      <c r="BV956" s="387">
        <f t="shared" si="634"/>
        <v>142.953408</v>
      </c>
      <c r="BW956" s="387">
        <f t="shared" si="635"/>
        <v>0</v>
      </c>
      <c r="BX956" s="387">
        <f t="shared" si="650"/>
        <v>8915.4574704000006</v>
      </c>
      <c r="BY956" s="387">
        <f t="shared" si="651"/>
        <v>0</v>
      </c>
      <c r="BZ956" s="387">
        <f t="shared" si="652"/>
        <v>0</v>
      </c>
      <c r="CA956" s="387">
        <f t="shared" si="653"/>
        <v>0</v>
      </c>
      <c r="CB956" s="387">
        <f t="shared" si="654"/>
        <v>0</v>
      </c>
      <c r="CC956" s="387">
        <f t="shared" si="636"/>
        <v>0</v>
      </c>
      <c r="CD956" s="387">
        <f t="shared" si="637"/>
        <v>0</v>
      </c>
      <c r="CE956" s="387">
        <f t="shared" si="638"/>
        <v>0</v>
      </c>
      <c r="CF956" s="387">
        <f t="shared" si="639"/>
        <v>-206.02108800000002</v>
      </c>
      <c r="CG956" s="387">
        <f t="shared" si="640"/>
        <v>0</v>
      </c>
      <c r="CH956" s="387">
        <f t="shared" si="641"/>
        <v>29.431583999999987</v>
      </c>
      <c r="CI956" s="387">
        <f t="shared" si="642"/>
        <v>0</v>
      </c>
      <c r="CJ956" s="387">
        <f t="shared" si="655"/>
        <v>-176.58950400000003</v>
      </c>
      <c r="CK956" s="387" t="str">
        <f t="shared" si="656"/>
        <v/>
      </c>
      <c r="CL956" s="387" t="str">
        <f t="shared" si="657"/>
        <v/>
      </c>
      <c r="CM956" s="387" t="str">
        <f t="shared" si="658"/>
        <v/>
      </c>
      <c r="CN956" s="387" t="str">
        <f t="shared" si="659"/>
        <v>0348-31</v>
      </c>
    </row>
    <row r="957" spans="1:92" ht="15.75" thickBot="1" x14ac:dyDescent="0.3">
      <c r="A957" s="376" t="s">
        <v>161</v>
      </c>
      <c r="B957" s="376" t="s">
        <v>162</v>
      </c>
      <c r="C957" s="376" t="s">
        <v>1684</v>
      </c>
      <c r="D957" s="376" t="s">
        <v>862</v>
      </c>
      <c r="E957" s="376" t="s">
        <v>224</v>
      </c>
      <c r="F957" s="382" t="s">
        <v>225</v>
      </c>
      <c r="G957" s="376" t="s">
        <v>1945</v>
      </c>
      <c r="H957" s="378"/>
      <c r="I957" s="378"/>
      <c r="J957" s="376" t="s">
        <v>239</v>
      </c>
      <c r="K957" s="376" t="s">
        <v>863</v>
      </c>
      <c r="L957" s="376" t="s">
        <v>252</v>
      </c>
      <c r="M957" s="376" t="s">
        <v>171</v>
      </c>
      <c r="N957" s="376" t="s">
        <v>172</v>
      </c>
      <c r="O957" s="379">
        <v>1</v>
      </c>
      <c r="P957" s="385">
        <v>0.35</v>
      </c>
      <c r="Q957" s="385">
        <v>0.35</v>
      </c>
      <c r="R957" s="380">
        <v>80</v>
      </c>
      <c r="S957" s="385">
        <v>0.35</v>
      </c>
      <c r="T957" s="380">
        <v>15219.65</v>
      </c>
      <c r="U957" s="380">
        <v>1052</v>
      </c>
      <c r="V957" s="380">
        <v>7219.87</v>
      </c>
      <c r="W957" s="380">
        <v>17508.400000000001</v>
      </c>
      <c r="X957" s="380">
        <v>7863.67</v>
      </c>
      <c r="Y957" s="380">
        <v>17508.400000000001</v>
      </c>
      <c r="Z957" s="380">
        <v>7790.14</v>
      </c>
      <c r="AA957" s="376" t="s">
        <v>1685</v>
      </c>
      <c r="AB957" s="376" t="s">
        <v>1686</v>
      </c>
      <c r="AC957" s="376" t="s">
        <v>840</v>
      </c>
      <c r="AD957" s="376" t="s">
        <v>210</v>
      </c>
      <c r="AE957" s="376" t="s">
        <v>863</v>
      </c>
      <c r="AF957" s="376" t="s">
        <v>393</v>
      </c>
      <c r="AG957" s="376" t="s">
        <v>178</v>
      </c>
      <c r="AH957" s="381">
        <v>24.05</v>
      </c>
      <c r="AI957" s="381">
        <v>34902.6</v>
      </c>
      <c r="AJ957" s="376" t="s">
        <v>179</v>
      </c>
      <c r="AK957" s="376" t="s">
        <v>180</v>
      </c>
      <c r="AL957" s="376" t="s">
        <v>181</v>
      </c>
      <c r="AM957" s="376" t="s">
        <v>182</v>
      </c>
      <c r="AN957" s="376" t="s">
        <v>68</v>
      </c>
      <c r="AO957" s="379">
        <v>80</v>
      </c>
      <c r="AP957" s="385">
        <v>1</v>
      </c>
      <c r="AQ957" s="385">
        <v>0.35</v>
      </c>
      <c r="AR957" s="383" t="s">
        <v>183</v>
      </c>
      <c r="AS957" s="387">
        <f t="shared" si="643"/>
        <v>0.35</v>
      </c>
      <c r="AT957">
        <f t="shared" si="644"/>
        <v>1</v>
      </c>
      <c r="AU957" s="387">
        <f>IF(AT957=0,"",IF(AND(AT957=1,M957="F",SUMIF(C2:C1334,C957,AS2:AS1334)&lt;=1),SUMIF(C2:C1334,C957,AS2:AS1334),IF(AND(AT957=1,M957="F",SUMIF(C2:C1334,C957,AS2:AS1334)&gt;1),1,"")))</f>
        <v>1</v>
      </c>
      <c r="AV957" s="387" t="str">
        <f>IF(AT957=0,"",IF(AND(AT957=3,M957="F",SUMIF(C2:C1334,C957,AS2:AS1334)&lt;=1),SUMIF(C2:C1334,C957,AS2:AS1334),IF(AND(AT957=3,M957="F",SUMIF(C2:C1334,C957,AS2:AS1334)&gt;1),1,"")))</f>
        <v/>
      </c>
      <c r="AW957" s="387">
        <f>SUMIF(C2:C1334,C957,O2:O1334)</f>
        <v>3</v>
      </c>
      <c r="AX957" s="387">
        <f>IF(AND(M957="F",AS957&lt;&gt;0),SUMIF(C2:C1334,C957,W2:W1334),0)</f>
        <v>50024</v>
      </c>
      <c r="AY957" s="387">
        <f t="shared" si="645"/>
        <v>17508.400000000001</v>
      </c>
      <c r="AZ957" s="387" t="str">
        <f t="shared" si="646"/>
        <v/>
      </c>
      <c r="BA957" s="387">
        <f t="shared" si="647"/>
        <v>0</v>
      </c>
      <c r="BB957" s="387">
        <f t="shared" si="616"/>
        <v>4077.4999999999995</v>
      </c>
      <c r="BC957" s="387">
        <f t="shared" si="617"/>
        <v>0</v>
      </c>
      <c r="BD957" s="387">
        <f t="shared" si="618"/>
        <v>1085.5208</v>
      </c>
      <c r="BE957" s="387">
        <f t="shared" si="619"/>
        <v>253.87180000000004</v>
      </c>
      <c r="BF957" s="387">
        <f t="shared" si="620"/>
        <v>2090.5029600000003</v>
      </c>
      <c r="BG957" s="387">
        <f t="shared" si="621"/>
        <v>126.23556400000001</v>
      </c>
      <c r="BH957" s="387">
        <f t="shared" si="622"/>
        <v>85.791160000000005</v>
      </c>
      <c r="BI957" s="387">
        <f t="shared" si="623"/>
        <v>96.908994000000007</v>
      </c>
      <c r="BJ957" s="387">
        <f t="shared" si="624"/>
        <v>47.272680000000008</v>
      </c>
      <c r="BK957" s="387">
        <f t="shared" si="625"/>
        <v>0</v>
      </c>
      <c r="BL957" s="387">
        <f t="shared" si="648"/>
        <v>3786.1039580000006</v>
      </c>
      <c r="BM957" s="387">
        <f t="shared" si="649"/>
        <v>0</v>
      </c>
      <c r="BN957" s="387">
        <f t="shared" si="626"/>
        <v>4077.4999999999995</v>
      </c>
      <c r="BO957" s="387">
        <f t="shared" si="627"/>
        <v>0</v>
      </c>
      <c r="BP957" s="387">
        <f t="shared" si="628"/>
        <v>1085.5208</v>
      </c>
      <c r="BQ957" s="387">
        <f t="shared" si="629"/>
        <v>253.87180000000004</v>
      </c>
      <c r="BR957" s="387">
        <f t="shared" si="630"/>
        <v>2090.5029600000003</v>
      </c>
      <c r="BS957" s="387">
        <f t="shared" si="631"/>
        <v>126.23556400000001</v>
      </c>
      <c r="BT957" s="387">
        <f t="shared" si="632"/>
        <v>0</v>
      </c>
      <c r="BU957" s="387">
        <f t="shared" si="633"/>
        <v>96.908994000000007</v>
      </c>
      <c r="BV957" s="387">
        <f t="shared" si="634"/>
        <v>59.528559999999999</v>
      </c>
      <c r="BW957" s="387">
        <f t="shared" si="635"/>
        <v>0</v>
      </c>
      <c r="BX957" s="387">
        <f t="shared" si="650"/>
        <v>3712.5686780000005</v>
      </c>
      <c r="BY957" s="387">
        <f t="shared" si="651"/>
        <v>0</v>
      </c>
      <c r="BZ957" s="387">
        <f t="shared" si="652"/>
        <v>0</v>
      </c>
      <c r="CA957" s="387">
        <f t="shared" si="653"/>
        <v>0</v>
      </c>
      <c r="CB957" s="387">
        <f t="shared" si="654"/>
        <v>0</v>
      </c>
      <c r="CC957" s="387">
        <f t="shared" si="636"/>
        <v>0</v>
      </c>
      <c r="CD957" s="387">
        <f t="shared" si="637"/>
        <v>0</v>
      </c>
      <c r="CE957" s="387">
        <f t="shared" si="638"/>
        <v>0</v>
      </c>
      <c r="CF957" s="387">
        <f t="shared" si="639"/>
        <v>-85.791160000000005</v>
      </c>
      <c r="CG957" s="387">
        <f t="shared" si="640"/>
        <v>0</v>
      </c>
      <c r="CH957" s="387">
        <f t="shared" si="641"/>
        <v>12.255879999999996</v>
      </c>
      <c r="CI957" s="387">
        <f t="shared" si="642"/>
        <v>0</v>
      </c>
      <c r="CJ957" s="387">
        <f t="shared" si="655"/>
        <v>-73.535280000000014</v>
      </c>
      <c r="CK957" s="387" t="str">
        <f t="shared" si="656"/>
        <v/>
      </c>
      <c r="CL957" s="387" t="str">
        <f t="shared" si="657"/>
        <v/>
      </c>
      <c r="CM957" s="387" t="str">
        <f t="shared" si="658"/>
        <v/>
      </c>
      <c r="CN957" s="387" t="str">
        <f t="shared" si="659"/>
        <v>0348-31</v>
      </c>
    </row>
    <row r="958" spans="1:92" ht="15.75" thickBot="1" x14ac:dyDescent="0.3">
      <c r="A958" s="376" t="s">
        <v>161</v>
      </c>
      <c r="B958" s="376" t="s">
        <v>162</v>
      </c>
      <c r="C958" s="376" t="s">
        <v>2148</v>
      </c>
      <c r="D958" s="376" t="s">
        <v>862</v>
      </c>
      <c r="E958" s="376" t="s">
        <v>224</v>
      </c>
      <c r="F958" s="382" t="s">
        <v>225</v>
      </c>
      <c r="G958" s="376" t="s">
        <v>1945</v>
      </c>
      <c r="H958" s="378"/>
      <c r="I958" s="378"/>
      <c r="J958" s="376" t="s">
        <v>215</v>
      </c>
      <c r="K958" s="376" t="s">
        <v>863</v>
      </c>
      <c r="L958" s="376" t="s">
        <v>252</v>
      </c>
      <c r="M958" s="376" t="s">
        <v>171</v>
      </c>
      <c r="N958" s="376" t="s">
        <v>172</v>
      </c>
      <c r="O958" s="379">
        <v>1</v>
      </c>
      <c r="P958" s="385">
        <v>1</v>
      </c>
      <c r="Q958" s="385">
        <v>1</v>
      </c>
      <c r="R958" s="380">
        <v>80</v>
      </c>
      <c r="S958" s="385">
        <v>1</v>
      </c>
      <c r="T958" s="380">
        <v>33890.43</v>
      </c>
      <c r="U958" s="380">
        <v>0</v>
      </c>
      <c r="V958" s="380">
        <v>19726.66</v>
      </c>
      <c r="W958" s="380">
        <v>38604.800000000003</v>
      </c>
      <c r="X958" s="380">
        <v>19998.259999999998</v>
      </c>
      <c r="Y958" s="380">
        <v>38604.800000000003</v>
      </c>
      <c r="Z958" s="380">
        <v>19836.12</v>
      </c>
      <c r="AA958" s="376" t="s">
        <v>2149</v>
      </c>
      <c r="AB958" s="376" t="s">
        <v>709</v>
      </c>
      <c r="AC958" s="376" t="s">
        <v>2150</v>
      </c>
      <c r="AD958" s="376" t="s">
        <v>1270</v>
      </c>
      <c r="AE958" s="376" t="s">
        <v>863</v>
      </c>
      <c r="AF958" s="376" t="s">
        <v>393</v>
      </c>
      <c r="AG958" s="376" t="s">
        <v>178</v>
      </c>
      <c r="AH958" s="381">
        <v>18.559999999999999</v>
      </c>
      <c r="AI958" s="379">
        <v>1640</v>
      </c>
      <c r="AJ958" s="376" t="s">
        <v>179</v>
      </c>
      <c r="AK958" s="376" t="s">
        <v>180</v>
      </c>
      <c r="AL958" s="376" t="s">
        <v>181</v>
      </c>
      <c r="AM958" s="376" t="s">
        <v>182</v>
      </c>
      <c r="AN958" s="376" t="s">
        <v>68</v>
      </c>
      <c r="AO958" s="379">
        <v>80</v>
      </c>
      <c r="AP958" s="385">
        <v>1</v>
      </c>
      <c r="AQ958" s="385">
        <v>1</v>
      </c>
      <c r="AR958" s="383" t="s">
        <v>183</v>
      </c>
      <c r="AS958" s="387">
        <f t="shared" si="643"/>
        <v>1</v>
      </c>
      <c r="AT958">
        <f t="shared" si="644"/>
        <v>1</v>
      </c>
      <c r="AU958" s="387">
        <f>IF(AT958=0,"",IF(AND(AT958=1,M958="F",SUMIF(C2:C1334,C958,AS2:AS1334)&lt;=1),SUMIF(C2:C1334,C958,AS2:AS1334),IF(AND(AT958=1,M958="F",SUMIF(C2:C1334,C958,AS2:AS1334)&gt;1),1,"")))</f>
        <v>1</v>
      </c>
      <c r="AV958" s="387" t="str">
        <f>IF(AT958=0,"",IF(AND(AT958=3,M958="F",SUMIF(C2:C1334,C958,AS2:AS1334)&lt;=1),SUMIF(C2:C1334,C958,AS2:AS1334),IF(AND(AT958=3,M958="F",SUMIF(C2:C1334,C958,AS2:AS1334)&gt;1),1,"")))</f>
        <v/>
      </c>
      <c r="AW958" s="387">
        <f>SUMIF(C2:C1334,C958,O2:O1334)</f>
        <v>1</v>
      </c>
      <c r="AX958" s="387">
        <f>IF(AND(M958="F",AS958&lt;&gt;0),SUMIF(C2:C1334,C958,W2:W1334),0)</f>
        <v>38604.800000000003</v>
      </c>
      <c r="AY958" s="387">
        <f t="shared" si="645"/>
        <v>38604.800000000003</v>
      </c>
      <c r="AZ958" s="387" t="str">
        <f t="shared" si="646"/>
        <v/>
      </c>
      <c r="BA958" s="387">
        <f t="shared" si="647"/>
        <v>0</v>
      </c>
      <c r="BB958" s="387">
        <f t="shared" si="616"/>
        <v>11650</v>
      </c>
      <c r="BC958" s="387">
        <f t="shared" si="617"/>
        <v>0</v>
      </c>
      <c r="BD958" s="387">
        <f t="shared" si="618"/>
        <v>2393.4976000000001</v>
      </c>
      <c r="BE958" s="387">
        <f t="shared" si="619"/>
        <v>559.76960000000008</v>
      </c>
      <c r="BF958" s="387">
        <f t="shared" si="620"/>
        <v>4609.4131200000002</v>
      </c>
      <c r="BG958" s="387">
        <f t="shared" si="621"/>
        <v>278.34060800000003</v>
      </c>
      <c r="BH958" s="387">
        <f t="shared" si="622"/>
        <v>189.16352000000001</v>
      </c>
      <c r="BI958" s="387">
        <f t="shared" si="623"/>
        <v>213.67756800000001</v>
      </c>
      <c r="BJ958" s="387">
        <f t="shared" si="624"/>
        <v>104.23296000000002</v>
      </c>
      <c r="BK958" s="387">
        <f t="shared" si="625"/>
        <v>0</v>
      </c>
      <c r="BL958" s="387">
        <f t="shared" si="648"/>
        <v>8348.0949760000003</v>
      </c>
      <c r="BM958" s="387">
        <f t="shared" si="649"/>
        <v>0</v>
      </c>
      <c r="BN958" s="387">
        <f t="shared" si="626"/>
        <v>11650</v>
      </c>
      <c r="BO958" s="387">
        <f t="shared" si="627"/>
        <v>0</v>
      </c>
      <c r="BP958" s="387">
        <f t="shared" si="628"/>
        <v>2393.4976000000001</v>
      </c>
      <c r="BQ958" s="387">
        <f t="shared" si="629"/>
        <v>559.76960000000008</v>
      </c>
      <c r="BR958" s="387">
        <f t="shared" si="630"/>
        <v>4609.4131200000002</v>
      </c>
      <c r="BS958" s="387">
        <f t="shared" si="631"/>
        <v>278.34060800000003</v>
      </c>
      <c r="BT958" s="387">
        <f t="shared" si="632"/>
        <v>0</v>
      </c>
      <c r="BU958" s="387">
        <f t="shared" si="633"/>
        <v>213.67756800000001</v>
      </c>
      <c r="BV958" s="387">
        <f t="shared" si="634"/>
        <v>131.25632000000002</v>
      </c>
      <c r="BW958" s="387">
        <f t="shared" si="635"/>
        <v>0</v>
      </c>
      <c r="BX958" s="387">
        <f t="shared" si="650"/>
        <v>8185.9548160000013</v>
      </c>
      <c r="BY958" s="387">
        <f t="shared" si="651"/>
        <v>0</v>
      </c>
      <c r="BZ958" s="387">
        <f t="shared" si="652"/>
        <v>0</v>
      </c>
      <c r="CA958" s="387">
        <f t="shared" si="653"/>
        <v>0</v>
      </c>
      <c r="CB958" s="387">
        <f t="shared" si="654"/>
        <v>0</v>
      </c>
      <c r="CC958" s="387">
        <f t="shared" si="636"/>
        <v>0</v>
      </c>
      <c r="CD958" s="387">
        <f t="shared" si="637"/>
        <v>0</v>
      </c>
      <c r="CE958" s="387">
        <f t="shared" si="638"/>
        <v>0</v>
      </c>
      <c r="CF958" s="387">
        <f t="shared" si="639"/>
        <v>-189.16352000000001</v>
      </c>
      <c r="CG958" s="387">
        <f t="shared" si="640"/>
        <v>0</v>
      </c>
      <c r="CH958" s="387">
        <f t="shared" si="641"/>
        <v>27.02335999999999</v>
      </c>
      <c r="CI958" s="387">
        <f t="shared" si="642"/>
        <v>0</v>
      </c>
      <c r="CJ958" s="387">
        <f t="shared" si="655"/>
        <v>-162.14016000000001</v>
      </c>
      <c r="CK958" s="387" t="str">
        <f t="shared" si="656"/>
        <v/>
      </c>
      <c r="CL958" s="387" t="str">
        <f t="shared" si="657"/>
        <v/>
      </c>
      <c r="CM958" s="387" t="str">
        <f t="shared" si="658"/>
        <v/>
      </c>
      <c r="CN958" s="387" t="str">
        <f t="shared" si="659"/>
        <v>0348-31</v>
      </c>
    </row>
    <row r="959" spans="1:92" ht="15.75" thickBot="1" x14ac:dyDescent="0.3">
      <c r="A959" s="376" t="s">
        <v>161</v>
      </c>
      <c r="B959" s="376" t="s">
        <v>162</v>
      </c>
      <c r="C959" s="376" t="s">
        <v>1079</v>
      </c>
      <c r="D959" s="376" t="s">
        <v>992</v>
      </c>
      <c r="E959" s="376" t="s">
        <v>224</v>
      </c>
      <c r="F959" s="382" t="s">
        <v>225</v>
      </c>
      <c r="G959" s="376" t="s">
        <v>1945</v>
      </c>
      <c r="H959" s="378"/>
      <c r="I959" s="378"/>
      <c r="J959" s="376" t="s">
        <v>215</v>
      </c>
      <c r="K959" s="376" t="s">
        <v>993</v>
      </c>
      <c r="L959" s="376" t="s">
        <v>210</v>
      </c>
      <c r="M959" s="376" t="s">
        <v>171</v>
      </c>
      <c r="N959" s="376" t="s">
        <v>172</v>
      </c>
      <c r="O959" s="379">
        <v>1</v>
      </c>
      <c r="P959" s="385">
        <v>1</v>
      </c>
      <c r="Q959" s="385">
        <v>1</v>
      </c>
      <c r="R959" s="380">
        <v>80</v>
      </c>
      <c r="S959" s="385">
        <v>1</v>
      </c>
      <c r="T959" s="380">
        <v>0</v>
      </c>
      <c r="U959" s="380">
        <v>0</v>
      </c>
      <c r="V959" s="380">
        <v>0</v>
      </c>
      <c r="W959" s="380">
        <v>64625.599999999999</v>
      </c>
      <c r="X959" s="380">
        <v>25625.25</v>
      </c>
      <c r="Y959" s="380">
        <v>64625.599999999999</v>
      </c>
      <c r="Z959" s="380">
        <v>25353.83</v>
      </c>
      <c r="AA959" s="376" t="s">
        <v>1080</v>
      </c>
      <c r="AB959" s="376" t="s">
        <v>1081</v>
      </c>
      <c r="AC959" s="376" t="s">
        <v>1082</v>
      </c>
      <c r="AD959" s="376" t="s">
        <v>268</v>
      </c>
      <c r="AE959" s="376" t="s">
        <v>993</v>
      </c>
      <c r="AF959" s="376" t="s">
        <v>245</v>
      </c>
      <c r="AG959" s="376" t="s">
        <v>178</v>
      </c>
      <c r="AH959" s="381">
        <v>31.07</v>
      </c>
      <c r="AI959" s="379">
        <v>28022</v>
      </c>
      <c r="AJ959" s="376" t="s">
        <v>179</v>
      </c>
      <c r="AK959" s="376" t="s">
        <v>180</v>
      </c>
      <c r="AL959" s="376" t="s">
        <v>181</v>
      </c>
      <c r="AM959" s="376" t="s">
        <v>182</v>
      </c>
      <c r="AN959" s="376" t="s">
        <v>68</v>
      </c>
      <c r="AO959" s="379">
        <v>80</v>
      </c>
      <c r="AP959" s="385">
        <v>1</v>
      </c>
      <c r="AQ959" s="385">
        <v>1</v>
      </c>
      <c r="AR959" s="383" t="s">
        <v>183</v>
      </c>
      <c r="AS959" s="387">
        <f t="shared" si="643"/>
        <v>1</v>
      </c>
      <c r="AT959">
        <f t="shared" si="644"/>
        <v>1</v>
      </c>
      <c r="AU959" s="387">
        <f>IF(AT959=0,"",IF(AND(AT959=1,M959="F",SUMIF(C2:C1334,C959,AS2:AS1334)&lt;=1),SUMIF(C2:C1334,C959,AS2:AS1334),IF(AND(AT959=1,M959="F",SUMIF(C2:C1334,C959,AS2:AS1334)&gt;1),1,"")))</f>
        <v>1</v>
      </c>
      <c r="AV959" s="387" t="str">
        <f>IF(AT959=0,"",IF(AND(AT959=3,M959="F",SUMIF(C2:C1334,C959,AS2:AS1334)&lt;=1),SUMIF(C2:C1334,C959,AS2:AS1334),IF(AND(AT959=3,M959="F",SUMIF(C2:C1334,C959,AS2:AS1334)&gt;1),1,"")))</f>
        <v/>
      </c>
      <c r="AW959" s="387">
        <f>SUMIF(C2:C1334,C959,O2:O1334)</f>
        <v>2</v>
      </c>
      <c r="AX959" s="387">
        <f>IF(AND(M959="F",AS959&lt;&gt;0),SUMIF(C2:C1334,C959,W2:W1334),0)</f>
        <v>64625.599999999999</v>
      </c>
      <c r="AY959" s="387">
        <f t="shared" si="645"/>
        <v>64625.599999999999</v>
      </c>
      <c r="AZ959" s="387" t="str">
        <f t="shared" si="646"/>
        <v/>
      </c>
      <c r="BA959" s="387">
        <f t="shared" si="647"/>
        <v>0</v>
      </c>
      <c r="BB959" s="387">
        <f t="shared" si="616"/>
        <v>11650</v>
      </c>
      <c r="BC959" s="387">
        <f t="shared" si="617"/>
        <v>0</v>
      </c>
      <c r="BD959" s="387">
        <f t="shared" si="618"/>
        <v>4006.7871999999998</v>
      </c>
      <c r="BE959" s="387">
        <f t="shared" si="619"/>
        <v>937.07119999999998</v>
      </c>
      <c r="BF959" s="387">
        <f t="shared" si="620"/>
        <v>7716.2966400000005</v>
      </c>
      <c r="BG959" s="387">
        <f t="shared" si="621"/>
        <v>465.95057600000001</v>
      </c>
      <c r="BH959" s="387">
        <f t="shared" si="622"/>
        <v>316.66543999999999</v>
      </c>
      <c r="BI959" s="387">
        <f t="shared" si="623"/>
        <v>357.702696</v>
      </c>
      <c r="BJ959" s="387">
        <f t="shared" si="624"/>
        <v>174.48912000000001</v>
      </c>
      <c r="BK959" s="387">
        <f t="shared" si="625"/>
        <v>0</v>
      </c>
      <c r="BL959" s="387">
        <f t="shared" si="648"/>
        <v>13974.962872000002</v>
      </c>
      <c r="BM959" s="387">
        <f t="shared" si="649"/>
        <v>0</v>
      </c>
      <c r="BN959" s="387">
        <f t="shared" si="626"/>
        <v>11650</v>
      </c>
      <c r="BO959" s="387">
        <f t="shared" si="627"/>
        <v>0</v>
      </c>
      <c r="BP959" s="387">
        <f t="shared" si="628"/>
        <v>4006.7871999999998</v>
      </c>
      <c r="BQ959" s="387">
        <f t="shared" si="629"/>
        <v>937.07119999999998</v>
      </c>
      <c r="BR959" s="387">
        <f t="shared" si="630"/>
        <v>7716.2966400000005</v>
      </c>
      <c r="BS959" s="387">
        <f t="shared" si="631"/>
        <v>465.95057600000001</v>
      </c>
      <c r="BT959" s="387">
        <f t="shared" si="632"/>
        <v>0</v>
      </c>
      <c r="BU959" s="387">
        <f t="shared" si="633"/>
        <v>357.702696</v>
      </c>
      <c r="BV959" s="387">
        <f t="shared" si="634"/>
        <v>219.72703999999999</v>
      </c>
      <c r="BW959" s="387">
        <f t="shared" si="635"/>
        <v>0</v>
      </c>
      <c r="BX959" s="387">
        <f t="shared" si="650"/>
        <v>13703.535352000001</v>
      </c>
      <c r="BY959" s="387">
        <f t="shared" si="651"/>
        <v>0</v>
      </c>
      <c r="BZ959" s="387">
        <f t="shared" si="652"/>
        <v>0</v>
      </c>
      <c r="CA959" s="387">
        <f t="shared" si="653"/>
        <v>0</v>
      </c>
      <c r="CB959" s="387">
        <f t="shared" si="654"/>
        <v>0</v>
      </c>
      <c r="CC959" s="387">
        <f t="shared" si="636"/>
        <v>0</v>
      </c>
      <c r="CD959" s="387">
        <f t="shared" si="637"/>
        <v>0</v>
      </c>
      <c r="CE959" s="387">
        <f t="shared" si="638"/>
        <v>0</v>
      </c>
      <c r="CF959" s="387">
        <f t="shared" si="639"/>
        <v>-316.66543999999999</v>
      </c>
      <c r="CG959" s="387">
        <f t="shared" si="640"/>
        <v>0</v>
      </c>
      <c r="CH959" s="387">
        <f t="shared" si="641"/>
        <v>45.237919999999974</v>
      </c>
      <c r="CI959" s="387">
        <f t="shared" si="642"/>
        <v>0</v>
      </c>
      <c r="CJ959" s="387">
        <f t="shared" si="655"/>
        <v>-271.42752000000002</v>
      </c>
      <c r="CK959" s="387" t="str">
        <f t="shared" si="656"/>
        <v/>
      </c>
      <c r="CL959" s="387" t="str">
        <f t="shared" si="657"/>
        <v/>
      </c>
      <c r="CM959" s="387" t="str">
        <f t="shared" si="658"/>
        <v/>
      </c>
      <c r="CN959" s="387" t="str">
        <f t="shared" si="659"/>
        <v>0348-31</v>
      </c>
    </row>
    <row r="960" spans="1:92" ht="15.75" thickBot="1" x14ac:dyDescent="0.3">
      <c r="A960" s="376" t="s">
        <v>161</v>
      </c>
      <c r="B960" s="376" t="s">
        <v>162</v>
      </c>
      <c r="C960" s="376" t="s">
        <v>2151</v>
      </c>
      <c r="D960" s="376" t="s">
        <v>862</v>
      </c>
      <c r="E960" s="376" t="s">
        <v>224</v>
      </c>
      <c r="F960" s="382" t="s">
        <v>225</v>
      </c>
      <c r="G960" s="376" t="s">
        <v>1945</v>
      </c>
      <c r="H960" s="378"/>
      <c r="I960" s="378"/>
      <c r="J960" s="376" t="s">
        <v>215</v>
      </c>
      <c r="K960" s="376" t="s">
        <v>863</v>
      </c>
      <c r="L960" s="376" t="s">
        <v>252</v>
      </c>
      <c r="M960" s="376" t="s">
        <v>272</v>
      </c>
      <c r="N960" s="376" t="s">
        <v>172</v>
      </c>
      <c r="O960" s="379">
        <v>0</v>
      </c>
      <c r="P960" s="385">
        <v>1</v>
      </c>
      <c r="Q960" s="385">
        <v>1</v>
      </c>
      <c r="R960" s="380">
        <v>80</v>
      </c>
      <c r="S960" s="385">
        <v>1</v>
      </c>
      <c r="T960" s="380">
        <v>31375.8</v>
      </c>
      <c r="U960" s="380">
        <v>471.94</v>
      </c>
      <c r="V960" s="380">
        <v>16908.75</v>
      </c>
      <c r="W960" s="380">
        <v>42328</v>
      </c>
      <c r="X960" s="380">
        <v>18539.66</v>
      </c>
      <c r="Y960" s="380">
        <v>42328</v>
      </c>
      <c r="Z960" s="380">
        <v>18328.02</v>
      </c>
      <c r="AA960" s="378"/>
      <c r="AB960" s="376" t="s">
        <v>45</v>
      </c>
      <c r="AC960" s="376" t="s">
        <v>45</v>
      </c>
      <c r="AD960" s="378"/>
      <c r="AE960" s="378"/>
      <c r="AF960" s="378"/>
      <c r="AG960" s="378"/>
      <c r="AH960" s="379">
        <v>0</v>
      </c>
      <c r="AI960" s="379">
        <v>0</v>
      </c>
      <c r="AJ960" s="378"/>
      <c r="AK960" s="378"/>
      <c r="AL960" s="376" t="s">
        <v>181</v>
      </c>
      <c r="AM960" s="378"/>
      <c r="AN960" s="378"/>
      <c r="AO960" s="379">
        <v>0</v>
      </c>
      <c r="AP960" s="385">
        <v>0</v>
      </c>
      <c r="AQ960" s="385">
        <v>0</v>
      </c>
      <c r="AR960" s="384"/>
      <c r="AS960" s="387">
        <f t="shared" si="643"/>
        <v>0</v>
      </c>
      <c r="AT960">
        <f t="shared" si="644"/>
        <v>0</v>
      </c>
      <c r="AU960" s="387" t="str">
        <f>IF(AT960=0,"",IF(AND(AT960=1,M960="F",SUMIF(C2:C1334,C960,AS2:AS1334)&lt;=1),SUMIF(C2:C1334,C960,AS2:AS1334),IF(AND(AT960=1,M960="F",SUMIF(C2:C1334,C960,AS2:AS1334)&gt;1),1,"")))</f>
        <v/>
      </c>
      <c r="AV960" s="387" t="str">
        <f>IF(AT960=0,"",IF(AND(AT960=3,M960="F",SUMIF(C2:C1334,C960,AS2:AS1334)&lt;=1),SUMIF(C2:C1334,C960,AS2:AS1334),IF(AND(AT960=3,M960="F",SUMIF(C2:C1334,C960,AS2:AS1334)&gt;1),1,"")))</f>
        <v/>
      </c>
      <c r="AW960" s="387">
        <f>SUMIF(C2:C1334,C960,O2:O1334)</f>
        <v>0</v>
      </c>
      <c r="AX960" s="387">
        <f>IF(AND(M960="F",AS960&lt;&gt;0),SUMIF(C2:C1334,C960,W2:W1334),0)</f>
        <v>0</v>
      </c>
      <c r="AY960" s="387" t="str">
        <f t="shared" si="645"/>
        <v/>
      </c>
      <c r="AZ960" s="387" t="str">
        <f t="shared" si="646"/>
        <v/>
      </c>
      <c r="BA960" s="387">
        <f t="shared" si="647"/>
        <v>0</v>
      </c>
      <c r="BB960" s="387">
        <f t="shared" si="616"/>
        <v>0</v>
      </c>
      <c r="BC960" s="387">
        <f t="shared" si="617"/>
        <v>0</v>
      </c>
      <c r="BD960" s="387">
        <f t="shared" si="618"/>
        <v>0</v>
      </c>
      <c r="BE960" s="387">
        <f t="shared" si="619"/>
        <v>0</v>
      </c>
      <c r="BF960" s="387">
        <f t="shared" si="620"/>
        <v>0</v>
      </c>
      <c r="BG960" s="387">
        <f t="shared" si="621"/>
        <v>0</v>
      </c>
      <c r="BH960" s="387">
        <f t="shared" si="622"/>
        <v>0</v>
      </c>
      <c r="BI960" s="387">
        <f t="shared" si="623"/>
        <v>0</v>
      </c>
      <c r="BJ960" s="387">
        <f t="shared" si="624"/>
        <v>0</v>
      </c>
      <c r="BK960" s="387">
        <f t="shared" si="625"/>
        <v>0</v>
      </c>
      <c r="BL960" s="387">
        <f t="shared" si="648"/>
        <v>0</v>
      </c>
      <c r="BM960" s="387">
        <f t="shared" si="649"/>
        <v>0</v>
      </c>
      <c r="BN960" s="387">
        <f t="shared" si="626"/>
        <v>0</v>
      </c>
      <c r="BO960" s="387">
        <f t="shared" si="627"/>
        <v>0</v>
      </c>
      <c r="BP960" s="387">
        <f t="shared" si="628"/>
        <v>0</v>
      </c>
      <c r="BQ960" s="387">
        <f t="shared" si="629"/>
        <v>0</v>
      </c>
      <c r="BR960" s="387">
        <f t="shared" si="630"/>
        <v>0</v>
      </c>
      <c r="BS960" s="387">
        <f t="shared" si="631"/>
        <v>0</v>
      </c>
      <c r="BT960" s="387">
        <f t="shared" si="632"/>
        <v>0</v>
      </c>
      <c r="BU960" s="387">
        <f t="shared" si="633"/>
        <v>0</v>
      </c>
      <c r="BV960" s="387">
        <f t="shared" si="634"/>
        <v>0</v>
      </c>
      <c r="BW960" s="387">
        <f t="shared" si="635"/>
        <v>0</v>
      </c>
      <c r="BX960" s="387">
        <f t="shared" si="650"/>
        <v>0</v>
      </c>
      <c r="BY960" s="387">
        <f t="shared" si="651"/>
        <v>0</v>
      </c>
      <c r="BZ960" s="387">
        <f t="shared" si="652"/>
        <v>0</v>
      </c>
      <c r="CA960" s="387">
        <f t="shared" si="653"/>
        <v>0</v>
      </c>
      <c r="CB960" s="387">
        <f t="shared" si="654"/>
        <v>0</v>
      </c>
      <c r="CC960" s="387">
        <f t="shared" si="636"/>
        <v>0</v>
      </c>
      <c r="CD960" s="387">
        <f t="shared" si="637"/>
        <v>0</v>
      </c>
      <c r="CE960" s="387">
        <f t="shared" si="638"/>
        <v>0</v>
      </c>
      <c r="CF960" s="387">
        <f t="shared" si="639"/>
        <v>0</v>
      </c>
      <c r="CG960" s="387">
        <f t="shared" si="640"/>
        <v>0</v>
      </c>
      <c r="CH960" s="387">
        <f t="shared" si="641"/>
        <v>0</v>
      </c>
      <c r="CI960" s="387">
        <f t="shared" si="642"/>
        <v>0</v>
      </c>
      <c r="CJ960" s="387">
        <f t="shared" si="655"/>
        <v>0</v>
      </c>
      <c r="CK960" s="387" t="str">
        <f t="shared" si="656"/>
        <v/>
      </c>
      <c r="CL960" s="387" t="str">
        <f t="shared" si="657"/>
        <v/>
      </c>
      <c r="CM960" s="387" t="str">
        <f t="shared" si="658"/>
        <v/>
      </c>
      <c r="CN960" s="387" t="str">
        <f t="shared" si="659"/>
        <v>0348-31</v>
      </c>
    </row>
    <row r="961" spans="1:92" ht="15.75" thickBot="1" x14ac:dyDescent="0.3">
      <c r="A961" s="376" t="s">
        <v>161</v>
      </c>
      <c r="B961" s="376" t="s">
        <v>162</v>
      </c>
      <c r="C961" s="376" t="s">
        <v>374</v>
      </c>
      <c r="D961" s="376" t="s">
        <v>375</v>
      </c>
      <c r="E961" s="376" t="s">
        <v>224</v>
      </c>
      <c r="F961" s="382" t="s">
        <v>225</v>
      </c>
      <c r="G961" s="376" t="s">
        <v>1945</v>
      </c>
      <c r="H961" s="378"/>
      <c r="I961" s="378"/>
      <c r="J961" s="376" t="s">
        <v>239</v>
      </c>
      <c r="K961" s="376" t="s">
        <v>376</v>
      </c>
      <c r="L961" s="376" t="s">
        <v>178</v>
      </c>
      <c r="M961" s="376" t="s">
        <v>171</v>
      </c>
      <c r="N961" s="376" t="s">
        <v>172</v>
      </c>
      <c r="O961" s="379">
        <v>1</v>
      </c>
      <c r="P961" s="385">
        <v>0.75</v>
      </c>
      <c r="Q961" s="385">
        <v>0.75</v>
      </c>
      <c r="R961" s="380">
        <v>80</v>
      </c>
      <c r="S961" s="385">
        <v>0.75</v>
      </c>
      <c r="T961" s="380">
        <v>66.05</v>
      </c>
      <c r="U961" s="380">
        <v>0</v>
      </c>
      <c r="V961" s="380">
        <v>33.74</v>
      </c>
      <c r="W961" s="380">
        <v>24866.400000000001</v>
      </c>
      <c r="X961" s="380">
        <v>14114.83</v>
      </c>
      <c r="Y961" s="380">
        <v>24866.400000000001</v>
      </c>
      <c r="Z961" s="380">
        <v>14010.39</v>
      </c>
      <c r="AA961" s="376" t="s">
        <v>377</v>
      </c>
      <c r="AB961" s="376" t="s">
        <v>378</v>
      </c>
      <c r="AC961" s="376" t="s">
        <v>379</v>
      </c>
      <c r="AD961" s="376" t="s">
        <v>198</v>
      </c>
      <c r="AE961" s="376" t="s">
        <v>376</v>
      </c>
      <c r="AF961" s="376" t="s">
        <v>253</v>
      </c>
      <c r="AG961" s="376" t="s">
        <v>178</v>
      </c>
      <c r="AH961" s="381">
        <v>15.94</v>
      </c>
      <c r="AI961" s="381">
        <v>32674.799999999999</v>
      </c>
      <c r="AJ961" s="376" t="s">
        <v>179</v>
      </c>
      <c r="AK961" s="376" t="s">
        <v>180</v>
      </c>
      <c r="AL961" s="376" t="s">
        <v>181</v>
      </c>
      <c r="AM961" s="376" t="s">
        <v>182</v>
      </c>
      <c r="AN961" s="376" t="s">
        <v>68</v>
      </c>
      <c r="AO961" s="379">
        <v>80</v>
      </c>
      <c r="AP961" s="385">
        <v>1</v>
      </c>
      <c r="AQ961" s="385">
        <v>0.75</v>
      </c>
      <c r="AR961" s="383" t="s">
        <v>183</v>
      </c>
      <c r="AS961" s="387">
        <f t="shared" si="643"/>
        <v>0.75</v>
      </c>
      <c r="AT961">
        <f t="shared" si="644"/>
        <v>1</v>
      </c>
      <c r="AU961" s="387">
        <f>IF(AT961=0,"",IF(AND(AT961=1,M961="F",SUMIF(C2:C1334,C961,AS2:AS1334)&lt;=1),SUMIF(C2:C1334,C961,AS2:AS1334),IF(AND(AT961=1,M961="F",SUMIF(C2:C1334,C961,AS2:AS1334)&gt;1),1,"")))</f>
        <v>1</v>
      </c>
      <c r="AV961" s="387" t="str">
        <f>IF(AT961=0,"",IF(AND(AT961=3,M961="F",SUMIF(C2:C1334,C961,AS2:AS1334)&lt;=1),SUMIF(C2:C1334,C961,AS2:AS1334),IF(AND(AT961=3,M961="F",SUMIF(C2:C1334,C961,AS2:AS1334)&gt;1),1,"")))</f>
        <v/>
      </c>
      <c r="AW961" s="387">
        <f>SUMIF(C2:C1334,C961,O2:O1334)</f>
        <v>3</v>
      </c>
      <c r="AX961" s="387">
        <f>IF(AND(M961="F",AS961&lt;&gt;0),SUMIF(C2:C1334,C961,W2:W1334),0)</f>
        <v>33155.199999999997</v>
      </c>
      <c r="AY961" s="387">
        <f t="shared" si="645"/>
        <v>24866.400000000001</v>
      </c>
      <c r="AZ961" s="387" t="str">
        <f t="shared" si="646"/>
        <v/>
      </c>
      <c r="BA961" s="387">
        <f t="shared" si="647"/>
        <v>0</v>
      </c>
      <c r="BB961" s="387">
        <f t="shared" si="616"/>
        <v>8737.5</v>
      </c>
      <c r="BC961" s="387">
        <f t="shared" si="617"/>
        <v>0</v>
      </c>
      <c r="BD961" s="387">
        <f t="shared" si="618"/>
        <v>1541.7168000000001</v>
      </c>
      <c r="BE961" s="387">
        <f t="shared" si="619"/>
        <v>360.56280000000004</v>
      </c>
      <c r="BF961" s="387">
        <f t="shared" si="620"/>
        <v>2969.0481600000003</v>
      </c>
      <c r="BG961" s="387">
        <f t="shared" si="621"/>
        <v>179.28674400000003</v>
      </c>
      <c r="BH961" s="387">
        <f t="shared" si="622"/>
        <v>121.84536</v>
      </c>
      <c r="BI961" s="387">
        <f t="shared" si="623"/>
        <v>137.635524</v>
      </c>
      <c r="BJ961" s="387">
        <f t="shared" si="624"/>
        <v>67.139280000000014</v>
      </c>
      <c r="BK961" s="387">
        <f t="shared" si="625"/>
        <v>0</v>
      </c>
      <c r="BL961" s="387">
        <f t="shared" si="648"/>
        <v>5377.234668000001</v>
      </c>
      <c r="BM961" s="387">
        <f t="shared" si="649"/>
        <v>0</v>
      </c>
      <c r="BN961" s="387">
        <f t="shared" si="626"/>
        <v>8737.5</v>
      </c>
      <c r="BO961" s="387">
        <f t="shared" si="627"/>
        <v>0</v>
      </c>
      <c r="BP961" s="387">
        <f t="shared" si="628"/>
        <v>1541.7168000000001</v>
      </c>
      <c r="BQ961" s="387">
        <f t="shared" si="629"/>
        <v>360.56280000000004</v>
      </c>
      <c r="BR961" s="387">
        <f t="shared" si="630"/>
        <v>2969.0481600000003</v>
      </c>
      <c r="BS961" s="387">
        <f t="shared" si="631"/>
        <v>179.28674400000003</v>
      </c>
      <c r="BT961" s="387">
        <f t="shared" si="632"/>
        <v>0</v>
      </c>
      <c r="BU961" s="387">
        <f t="shared" si="633"/>
        <v>137.635524</v>
      </c>
      <c r="BV961" s="387">
        <f t="shared" si="634"/>
        <v>84.545760000000001</v>
      </c>
      <c r="BW961" s="387">
        <f t="shared" si="635"/>
        <v>0</v>
      </c>
      <c r="BX961" s="387">
        <f t="shared" si="650"/>
        <v>5272.7957880000004</v>
      </c>
      <c r="BY961" s="387">
        <f t="shared" si="651"/>
        <v>0</v>
      </c>
      <c r="BZ961" s="387">
        <f t="shared" si="652"/>
        <v>0</v>
      </c>
      <c r="CA961" s="387">
        <f t="shared" si="653"/>
        <v>0</v>
      </c>
      <c r="CB961" s="387">
        <f t="shared" si="654"/>
        <v>0</v>
      </c>
      <c r="CC961" s="387">
        <f t="shared" si="636"/>
        <v>0</v>
      </c>
      <c r="CD961" s="387">
        <f t="shared" si="637"/>
        <v>0</v>
      </c>
      <c r="CE961" s="387">
        <f t="shared" si="638"/>
        <v>0</v>
      </c>
      <c r="CF961" s="387">
        <f t="shared" si="639"/>
        <v>-121.84536</v>
      </c>
      <c r="CG961" s="387">
        <f t="shared" si="640"/>
        <v>0</v>
      </c>
      <c r="CH961" s="387">
        <f t="shared" si="641"/>
        <v>17.406479999999991</v>
      </c>
      <c r="CI961" s="387">
        <f t="shared" si="642"/>
        <v>0</v>
      </c>
      <c r="CJ961" s="387">
        <f t="shared" si="655"/>
        <v>-104.43888000000001</v>
      </c>
      <c r="CK961" s="387" t="str">
        <f t="shared" si="656"/>
        <v/>
      </c>
      <c r="CL961" s="387" t="str">
        <f t="shared" si="657"/>
        <v/>
      </c>
      <c r="CM961" s="387" t="str">
        <f t="shared" si="658"/>
        <v/>
      </c>
      <c r="CN961" s="387" t="str">
        <f t="shared" si="659"/>
        <v>0348-31</v>
      </c>
    </row>
    <row r="962" spans="1:92" ht="15.75" thickBot="1" x14ac:dyDescent="0.3">
      <c r="A962" s="376" t="s">
        <v>161</v>
      </c>
      <c r="B962" s="376" t="s">
        <v>162</v>
      </c>
      <c r="C962" s="376" t="s">
        <v>1321</v>
      </c>
      <c r="D962" s="376" t="s">
        <v>792</v>
      </c>
      <c r="E962" s="376" t="s">
        <v>224</v>
      </c>
      <c r="F962" s="382" t="s">
        <v>225</v>
      </c>
      <c r="G962" s="376" t="s">
        <v>1945</v>
      </c>
      <c r="H962" s="378"/>
      <c r="I962" s="378"/>
      <c r="J962" s="376" t="s">
        <v>239</v>
      </c>
      <c r="K962" s="376" t="s">
        <v>793</v>
      </c>
      <c r="L962" s="376" t="s">
        <v>170</v>
      </c>
      <c r="M962" s="376" t="s">
        <v>171</v>
      </c>
      <c r="N962" s="376" t="s">
        <v>172</v>
      </c>
      <c r="O962" s="379">
        <v>1</v>
      </c>
      <c r="P962" s="385">
        <v>0.7</v>
      </c>
      <c r="Q962" s="385">
        <v>0.7</v>
      </c>
      <c r="R962" s="380">
        <v>80</v>
      </c>
      <c r="S962" s="385">
        <v>0.7</v>
      </c>
      <c r="T962" s="380">
        <v>33587.879999999997</v>
      </c>
      <c r="U962" s="380">
        <v>0</v>
      </c>
      <c r="V962" s="380">
        <v>15610.33</v>
      </c>
      <c r="W962" s="380">
        <v>34084.959999999999</v>
      </c>
      <c r="X962" s="380">
        <v>15525.85</v>
      </c>
      <c r="Y962" s="380">
        <v>34084.959999999999</v>
      </c>
      <c r="Z962" s="380">
        <v>15382.69</v>
      </c>
      <c r="AA962" s="376" t="s">
        <v>1322</v>
      </c>
      <c r="AB962" s="376" t="s">
        <v>1323</v>
      </c>
      <c r="AC962" s="376" t="s">
        <v>1324</v>
      </c>
      <c r="AD962" s="376" t="s">
        <v>170</v>
      </c>
      <c r="AE962" s="376" t="s">
        <v>793</v>
      </c>
      <c r="AF962" s="376" t="s">
        <v>177</v>
      </c>
      <c r="AG962" s="376" t="s">
        <v>178</v>
      </c>
      <c r="AH962" s="381">
        <v>23.41</v>
      </c>
      <c r="AI962" s="379">
        <v>25130</v>
      </c>
      <c r="AJ962" s="376" t="s">
        <v>179</v>
      </c>
      <c r="AK962" s="376" t="s">
        <v>180</v>
      </c>
      <c r="AL962" s="376" t="s">
        <v>181</v>
      </c>
      <c r="AM962" s="376" t="s">
        <v>182</v>
      </c>
      <c r="AN962" s="376" t="s">
        <v>68</v>
      </c>
      <c r="AO962" s="379">
        <v>80</v>
      </c>
      <c r="AP962" s="385">
        <v>1</v>
      </c>
      <c r="AQ962" s="385">
        <v>0.7</v>
      </c>
      <c r="AR962" s="383" t="s">
        <v>183</v>
      </c>
      <c r="AS962" s="387">
        <f t="shared" si="643"/>
        <v>0.7</v>
      </c>
      <c r="AT962">
        <f t="shared" si="644"/>
        <v>1</v>
      </c>
      <c r="AU962" s="387">
        <f>IF(AT962=0,"",IF(AND(AT962=1,M962="F",SUMIF(C2:C1334,C962,AS2:AS1334)&lt;=1),SUMIF(C2:C1334,C962,AS2:AS1334),IF(AND(AT962=1,M962="F",SUMIF(C2:C1334,C962,AS2:AS1334)&gt;1),1,"")))</f>
        <v>1</v>
      </c>
      <c r="AV962" s="387" t="str">
        <f>IF(AT962=0,"",IF(AND(AT962=3,M962="F",SUMIF(C2:C1334,C962,AS2:AS1334)&lt;=1),SUMIF(C2:C1334,C962,AS2:AS1334),IF(AND(AT962=3,M962="F",SUMIF(C2:C1334,C962,AS2:AS1334)&gt;1),1,"")))</f>
        <v/>
      </c>
      <c r="AW962" s="387">
        <f>SUMIF(C2:C1334,C962,O2:O1334)</f>
        <v>2</v>
      </c>
      <c r="AX962" s="387">
        <f>IF(AND(M962="F",AS962&lt;&gt;0),SUMIF(C2:C1334,C962,W2:W1334),0)</f>
        <v>48692.800000000003</v>
      </c>
      <c r="AY962" s="387">
        <f t="shared" si="645"/>
        <v>34084.959999999999</v>
      </c>
      <c r="AZ962" s="387" t="str">
        <f t="shared" si="646"/>
        <v/>
      </c>
      <c r="BA962" s="387">
        <f t="shared" si="647"/>
        <v>0</v>
      </c>
      <c r="BB962" s="387">
        <f t="shared" ref="BB962:BB1025" si="660">IF(AND(AT962=1,AK962="E",AU962&gt;=0.75,AW962=1),Health,IF(AND(AT962=1,AK962="E",AU962&gt;=0.75),Health*P962,IF(AND(AT962=1,AK962="E",AU962&gt;=0.5,AW962=1),PTHealth,IF(AND(AT962=1,AK962="E",AU962&gt;=0.5),PTHealth*P962,0))))</f>
        <v>8154.9999999999991</v>
      </c>
      <c r="BC962" s="387">
        <f t="shared" ref="BC962:BC1025" si="661">IF(AND(AT962=3,AK962="E",AV962&gt;=0.75,AW962=1),Health,IF(AND(AT962=3,AK962="E",AV962&gt;=0.75),Health*P962,IF(AND(AT962=3,AK962="E",AV962&gt;=0.5,AW962=1),PTHealth,IF(AND(AT962=3,AK962="E",AV962&gt;=0.5),PTHealth*P962,0))))</f>
        <v>0</v>
      </c>
      <c r="BD962" s="387">
        <f t="shared" ref="BD962:BD1025" si="662">IF(AND(AT962&lt;&gt;0,AX962&gt;=MAXSSDI),SSDI*MAXSSDI*P962,IF(AT962&lt;&gt;0,SSDI*W962,0))</f>
        <v>2113.2675199999999</v>
      </c>
      <c r="BE962" s="387">
        <f t="shared" ref="BE962:BE1025" si="663">IF(AT962&lt;&gt;0,SSHI*W962,0)</f>
        <v>494.23192</v>
      </c>
      <c r="BF962" s="387">
        <f t="shared" ref="BF962:BF1025" si="664">IF(AND(AT962&lt;&gt;0,AN962&lt;&gt;"NE"),VLOOKUP(AN962,Retirement_Rates,3,FALSE)*W962,0)</f>
        <v>4069.744224</v>
      </c>
      <c r="BG962" s="387">
        <f t="shared" ref="BG962:BG1025" si="665">IF(AND(AT962&lt;&gt;0,AJ962&lt;&gt;"PF"),Life*W962,0)</f>
        <v>245.75256160000001</v>
      </c>
      <c r="BH962" s="387">
        <f t="shared" ref="BH962:BH1025" si="666">IF(AND(AT962&lt;&gt;0,AM962="Y"),UI*W962,0)</f>
        <v>167.01630399999999</v>
      </c>
      <c r="BI962" s="387">
        <f t="shared" ref="BI962:BI1025" si="667">IF(AND(AT962&lt;&gt;0,N962&lt;&gt;"NR"),DHR*W962,0)</f>
        <v>188.6602536</v>
      </c>
      <c r="BJ962" s="387">
        <f t="shared" ref="BJ962:BJ1025" si="668">IF(AT962&lt;&gt;0,WC*W962,0)</f>
        <v>92.029392000000001</v>
      </c>
      <c r="BK962" s="387">
        <f t="shared" ref="BK962:BK1025" si="669">IF(OR(AND(AT962&lt;&gt;0,AJ962&lt;&gt;"PF",AN962&lt;&gt;"NE",AG962&lt;&gt;"A"),AND(AL962="E",OR(AT962=1,AT962=3))),Sick*W962,0)</f>
        <v>0</v>
      </c>
      <c r="BL962" s="387">
        <f t="shared" si="648"/>
        <v>7370.7021752000001</v>
      </c>
      <c r="BM962" s="387">
        <f t="shared" si="649"/>
        <v>0</v>
      </c>
      <c r="BN962" s="387">
        <f t="shared" ref="BN962:BN1025" si="670">IF(AND(AT962=1,AK962="E",AU962&gt;=0.75,AW962=1),HealthBY,IF(AND(AT962=1,AK962="E",AU962&gt;=0.75),HealthBY*P962,IF(AND(AT962=1,AK962="E",AU962&gt;=0.5,AW962=1),PTHealthBY,IF(AND(AT962=1,AK962="E",AU962&gt;=0.5),PTHealthBY*P962,0))))</f>
        <v>8154.9999999999991</v>
      </c>
      <c r="BO962" s="387">
        <f t="shared" ref="BO962:BO1025" si="671">IF(AND(AT962=3,AK962="E",AV962&gt;=0.75,AW962=1),HealthBY,IF(AND(AT962=3,AK962="E",AV962&gt;=0.75),HealthBY*P962,IF(AND(AT962=3,AK962="E",AV962&gt;=0.5,AW962=1),PTHealthBY,IF(AND(AT962=3,AK962="E",AV962&gt;=0.5),PTHealthBY*P962,0))))</f>
        <v>0</v>
      </c>
      <c r="BP962" s="387">
        <f t="shared" ref="BP962:BP1025" si="672">IF(AND(AT962&lt;&gt;0,(AX962+BA962)&gt;=MAXSSDIBY),SSDIBY*MAXSSDIBY*P962,IF(AT962&lt;&gt;0,SSDIBY*W962,0))</f>
        <v>2113.2675199999999</v>
      </c>
      <c r="BQ962" s="387">
        <f t="shared" ref="BQ962:BQ1025" si="673">IF(AT962&lt;&gt;0,SSHIBY*W962,0)</f>
        <v>494.23192</v>
      </c>
      <c r="BR962" s="387">
        <f t="shared" ref="BR962:BR1025" si="674">IF(AND(AT962&lt;&gt;0,AN962&lt;&gt;"NE"),VLOOKUP(AN962,Retirement_Rates,4,FALSE)*W962,0)</f>
        <v>4069.744224</v>
      </c>
      <c r="BS962" s="387">
        <f t="shared" ref="BS962:BS1025" si="675">IF(AND(AT962&lt;&gt;0,AJ962&lt;&gt;"PF"),LifeBY*W962,0)</f>
        <v>245.75256160000001</v>
      </c>
      <c r="BT962" s="387">
        <f t="shared" ref="BT962:BT1025" si="676">IF(AND(AT962&lt;&gt;0,AM962="Y"),UIBY*W962,0)</f>
        <v>0</v>
      </c>
      <c r="BU962" s="387">
        <f t="shared" ref="BU962:BU1025" si="677">IF(AND(AT962&lt;&gt;0,N962&lt;&gt;"NR"),DHRBY*W962,0)</f>
        <v>188.6602536</v>
      </c>
      <c r="BV962" s="387">
        <f t="shared" ref="BV962:BV1025" si="678">IF(AT962&lt;&gt;0,WCBY*W962,0)</f>
        <v>115.88886399999998</v>
      </c>
      <c r="BW962" s="387">
        <f t="shared" ref="BW962:BW1025" si="679">IF(OR(AND(AT962&lt;&gt;0,AJ962&lt;&gt;"PF",AN962&lt;&gt;"NE",AG962&lt;&gt;"A"),AND(AL962="E",OR(AT962=1,AT962=3))),SickBY*W962,0)</f>
        <v>0</v>
      </c>
      <c r="BX962" s="387">
        <f t="shared" si="650"/>
        <v>7227.5453431999995</v>
      </c>
      <c r="BY962" s="387">
        <f t="shared" si="651"/>
        <v>0</v>
      </c>
      <c r="BZ962" s="387">
        <f t="shared" si="652"/>
        <v>0</v>
      </c>
      <c r="CA962" s="387">
        <f t="shared" si="653"/>
        <v>0</v>
      </c>
      <c r="CB962" s="387">
        <f t="shared" si="654"/>
        <v>0</v>
      </c>
      <c r="CC962" s="387">
        <f t="shared" ref="CC962:CC1025" si="680">IF(AT962&lt;&gt;0,SSHICHG*Y962,0)</f>
        <v>0</v>
      </c>
      <c r="CD962" s="387">
        <f t="shared" ref="CD962:CD1025" si="681">IF(AND(AT962&lt;&gt;0,AN962&lt;&gt;"NE"),VLOOKUP(AN962,Retirement_Rates,5,FALSE)*Y962,0)</f>
        <v>0</v>
      </c>
      <c r="CE962" s="387">
        <f t="shared" ref="CE962:CE1025" si="682">IF(AND(AT962&lt;&gt;0,AJ962&lt;&gt;"PF"),LifeCHG*Y962,0)</f>
        <v>0</v>
      </c>
      <c r="CF962" s="387">
        <f t="shared" ref="CF962:CF1025" si="683">IF(AND(AT962&lt;&gt;0,AM962="Y"),UICHG*Y962,0)</f>
        <v>-167.01630399999999</v>
      </c>
      <c r="CG962" s="387">
        <f t="shared" ref="CG962:CG1025" si="684">IF(AND(AT962&lt;&gt;0,N962&lt;&gt;"NR"),DHRCHG*Y962,0)</f>
        <v>0</v>
      </c>
      <c r="CH962" s="387">
        <f t="shared" ref="CH962:CH1025" si="685">IF(AT962&lt;&gt;0,WCCHG*Y962,0)</f>
        <v>23.85947199999999</v>
      </c>
      <c r="CI962" s="387">
        <f t="shared" ref="CI962:CI1025" si="686">IF(OR(AND(AT962&lt;&gt;0,AJ962&lt;&gt;"PF",AN962&lt;&gt;"NE",AG962&lt;&gt;"A"),AND(AL962="E",OR(AT962=1,AT962=3))),SickCHG*Y962,0)</f>
        <v>0</v>
      </c>
      <c r="CJ962" s="387">
        <f t="shared" si="655"/>
        <v>-143.15683200000001</v>
      </c>
      <c r="CK962" s="387" t="str">
        <f t="shared" si="656"/>
        <v/>
      </c>
      <c r="CL962" s="387" t="str">
        <f t="shared" si="657"/>
        <v/>
      </c>
      <c r="CM962" s="387" t="str">
        <f t="shared" si="658"/>
        <v/>
      </c>
      <c r="CN962" s="387" t="str">
        <f t="shared" si="659"/>
        <v>0348-31</v>
      </c>
    </row>
    <row r="963" spans="1:92" ht="15.75" thickBot="1" x14ac:dyDescent="0.3">
      <c r="A963" s="376" t="s">
        <v>161</v>
      </c>
      <c r="B963" s="376" t="s">
        <v>162</v>
      </c>
      <c r="C963" s="376" t="s">
        <v>925</v>
      </c>
      <c r="D963" s="376" t="s">
        <v>862</v>
      </c>
      <c r="E963" s="376" t="s">
        <v>224</v>
      </c>
      <c r="F963" s="382" t="s">
        <v>225</v>
      </c>
      <c r="G963" s="376" t="s">
        <v>1945</v>
      </c>
      <c r="H963" s="378"/>
      <c r="I963" s="378"/>
      <c r="J963" s="376" t="s">
        <v>215</v>
      </c>
      <c r="K963" s="376" t="s">
        <v>863</v>
      </c>
      <c r="L963" s="376" t="s">
        <v>252</v>
      </c>
      <c r="M963" s="376" t="s">
        <v>171</v>
      </c>
      <c r="N963" s="376" t="s">
        <v>172</v>
      </c>
      <c r="O963" s="379">
        <v>1</v>
      </c>
      <c r="P963" s="385">
        <v>1</v>
      </c>
      <c r="Q963" s="385">
        <v>1</v>
      </c>
      <c r="R963" s="380">
        <v>80</v>
      </c>
      <c r="S963" s="385">
        <v>1</v>
      </c>
      <c r="T963" s="380">
        <v>28768.44</v>
      </c>
      <c r="U963" s="380">
        <v>0</v>
      </c>
      <c r="V963" s="380">
        <v>16659.05</v>
      </c>
      <c r="W963" s="380">
        <v>38812.800000000003</v>
      </c>
      <c r="X963" s="380">
        <v>20043.240000000002</v>
      </c>
      <c r="Y963" s="380">
        <v>38812.800000000003</v>
      </c>
      <c r="Z963" s="380">
        <v>19880.23</v>
      </c>
      <c r="AA963" s="376" t="s">
        <v>926</v>
      </c>
      <c r="AB963" s="376" t="s">
        <v>927</v>
      </c>
      <c r="AC963" s="376" t="s">
        <v>435</v>
      </c>
      <c r="AD963" s="376" t="s">
        <v>170</v>
      </c>
      <c r="AE963" s="376" t="s">
        <v>863</v>
      </c>
      <c r="AF963" s="376" t="s">
        <v>393</v>
      </c>
      <c r="AG963" s="376" t="s">
        <v>178</v>
      </c>
      <c r="AH963" s="381">
        <v>18.66</v>
      </c>
      <c r="AI963" s="381">
        <v>25768.5</v>
      </c>
      <c r="AJ963" s="376" t="s">
        <v>179</v>
      </c>
      <c r="AK963" s="376" t="s">
        <v>180</v>
      </c>
      <c r="AL963" s="376" t="s">
        <v>181</v>
      </c>
      <c r="AM963" s="376" t="s">
        <v>182</v>
      </c>
      <c r="AN963" s="376" t="s">
        <v>68</v>
      </c>
      <c r="AO963" s="379">
        <v>80</v>
      </c>
      <c r="AP963" s="385">
        <v>1</v>
      </c>
      <c r="AQ963" s="385">
        <v>1</v>
      </c>
      <c r="AR963" s="383" t="s">
        <v>183</v>
      </c>
      <c r="AS963" s="387">
        <f t="shared" ref="AS963:AS1026" si="687">IF(((AO963/80)*AP963*P963)&gt;1,AQ963,((AO963/80)*AP963*P963))</f>
        <v>1</v>
      </c>
      <c r="AT963">
        <f t="shared" ref="AT963:AT1026" si="688">IF(AND(M963="F",N963&lt;&gt;"NG",AS963&lt;&gt;0,AND(AR963&lt;&gt;6,AR963&lt;&gt;36,AR963&lt;&gt;56),AG963&lt;&gt;"A",OR(AG963="H",AJ963="FS")),1,IF(AND(M963="F",N963&lt;&gt;"NG",AS963&lt;&gt;0,AG963="A"),3,0))</f>
        <v>1</v>
      </c>
      <c r="AU963" s="387">
        <f>IF(AT963=0,"",IF(AND(AT963=1,M963="F",SUMIF(C2:C1334,C963,AS2:AS1334)&lt;=1),SUMIF(C2:C1334,C963,AS2:AS1334),IF(AND(AT963=1,M963="F",SUMIF(C2:C1334,C963,AS2:AS1334)&gt;1),1,"")))</f>
        <v>1</v>
      </c>
      <c r="AV963" s="387" t="str">
        <f>IF(AT963=0,"",IF(AND(AT963=3,M963="F",SUMIF(C2:C1334,C963,AS2:AS1334)&lt;=1),SUMIF(C2:C1334,C963,AS2:AS1334),IF(AND(AT963=3,M963="F",SUMIF(C2:C1334,C963,AS2:AS1334)&gt;1),1,"")))</f>
        <v/>
      </c>
      <c r="AW963" s="387">
        <f>SUMIF(C2:C1334,C963,O2:O1334)</f>
        <v>2</v>
      </c>
      <c r="AX963" s="387">
        <f>IF(AND(M963="F",AS963&lt;&gt;0),SUMIF(C2:C1334,C963,W2:W1334),0)</f>
        <v>38812.800000000003</v>
      </c>
      <c r="AY963" s="387">
        <f t="shared" ref="AY963:AY1026" si="689">IF(AT963=1,W963,"")</f>
        <v>38812.800000000003</v>
      </c>
      <c r="AZ963" s="387" t="str">
        <f t="shared" ref="AZ963:AZ1026" si="690">IF(AT963=3,W963,"")</f>
        <v/>
      </c>
      <c r="BA963" s="387">
        <f t="shared" ref="BA963:BA1026" si="691">IF(AT963=1,Y963-W963,0)</f>
        <v>0</v>
      </c>
      <c r="BB963" s="387">
        <f t="shared" si="660"/>
        <v>11650</v>
      </c>
      <c r="BC963" s="387">
        <f t="shared" si="661"/>
        <v>0</v>
      </c>
      <c r="BD963" s="387">
        <f t="shared" si="662"/>
        <v>2406.3936000000003</v>
      </c>
      <c r="BE963" s="387">
        <f t="shared" si="663"/>
        <v>562.78560000000004</v>
      </c>
      <c r="BF963" s="387">
        <f t="shared" si="664"/>
        <v>4634.2483200000006</v>
      </c>
      <c r="BG963" s="387">
        <f t="shared" si="665"/>
        <v>279.84028800000004</v>
      </c>
      <c r="BH963" s="387">
        <f t="shared" si="666"/>
        <v>190.18272000000002</v>
      </c>
      <c r="BI963" s="387">
        <f t="shared" si="667"/>
        <v>214.82884800000002</v>
      </c>
      <c r="BJ963" s="387">
        <f t="shared" si="668"/>
        <v>104.79456000000002</v>
      </c>
      <c r="BK963" s="387">
        <f t="shared" si="669"/>
        <v>0</v>
      </c>
      <c r="BL963" s="387">
        <f t="shared" ref="BL963:BL1026" si="692">IF(AT963=1,SUM(BD963:BK963),0)</f>
        <v>8393.0739360000007</v>
      </c>
      <c r="BM963" s="387">
        <f t="shared" ref="BM963:BM1026" si="693">IF(AT963=3,SUM(BD963:BK963),0)</f>
        <v>0</v>
      </c>
      <c r="BN963" s="387">
        <f t="shared" si="670"/>
        <v>11650</v>
      </c>
      <c r="BO963" s="387">
        <f t="shared" si="671"/>
        <v>0</v>
      </c>
      <c r="BP963" s="387">
        <f t="shared" si="672"/>
        <v>2406.3936000000003</v>
      </c>
      <c r="BQ963" s="387">
        <f t="shared" si="673"/>
        <v>562.78560000000004</v>
      </c>
      <c r="BR963" s="387">
        <f t="shared" si="674"/>
        <v>4634.2483200000006</v>
      </c>
      <c r="BS963" s="387">
        <f t="shared" si="675"/>
        <v>279.84028800000004</v>
      </c>
      <c r="BT963" s="387">
        <f t="shared" si="676"/>
        <v>0</v>
      </c>
      <c r="BU963" s="387">
        <f t="shared" si="677"/>
        <v>214.82884800000002</v>
      </c>
      <c r="BV963" s="387">
        <f t="shared" si="678"/>
        <v>131.96351999999999</v>
      </c>
      <c r="BW963" s="387">
        <f t="shared" si="679"/>
        <v>0</v>
      </c>
      <c r="BX963" s="387">
        <f t="shared" ref="BX963:BX1026" si="694">IF(AT963=1,SUM(BP963:BW963),0)</f>
        <v>8230.0601760000009</v>
      </c>
      <c r="BY963" s="387">
        <f t="shared" ref="BY963:BY1026" si="695">IF(AT963=3,SUM(BP963:BW963),0)</f>
        <v>0</v>
      </c>
      <c r="BZ963" s="387">
        <f t="shared" ref="BZ963:BZ1026" si="696">IF(AT963=1,BN963-BB963,0)</f>
        <v>0</v>
      </c>
      <c r="CA963" s="387">
        <f t="shared" ref="CA963:CA1026" si="697">IF(AT963=3,BO963-BC963,0)</f>
        <v>0</v>
      </c>
      <c r="CB963" s="387">
        <f t="shared" ref="CB963:CB1026" si="698">BP963-BD963</f>
        <v>0</v>
      </c>
      <c r="CC963" s="387">
        <f t="shared" si="680"/>
        <v>0</v>
      </c>
      <c r="CD963" s="387">
        <f t="shared" si="681"/>
        <v>0</v>
      </c>
      <c r="CE963" s="387">
        <f t="shared" si="682"/>
        <v>0</v>
      </c>
      <c r="CF963" s="387">
        <f t="shared" si="683"/>
        <v>-190.18272000000002</v>
      </c>
      <c r="CG963" s="387">
        <f t="shared" si="684"/>
        <v>0</v>
      </c>
      <c r="CH963" s="387">
        <f t="shared" si="685"/>
        <v>27.168959999999988</v>
      </c>
      <c r="CI963" s="387">
        <f t="shared" si="686"/>
        <v>0</v>
      </c>
      <c r="CJ963" s="387">
        <f t="shared" ref="CJ963:CJ1026" si="699">IF(AT963=1,SUM(CB963:CI963),0)</f>
        <v>-163.01376000000002</v>
      </c>
      <c r="CK963" s="387" t="str">
        <f t="shared" ref="CK963:CK1026" si="700">IF(AT963=3,SUM(CB963:CI963),"")</f>
        <v/>
      </c>
      <c r="CL963" s="387" t="str">
        <f t="shared" ref="CL963:CL1026" si="701">IF(OR(N963="NG",AG963="D"),(T963+U963),"")</f>
        <v/>
      </c>
      <c r="CM963" s="387" t="str">
        <f t="shared" ref="CM963:CM1026" si="702">IF(OR(N963="NG",AG963="D"),V963,"")</f>
        <v/>
      </c>
      <c r="CN963" s="387" t="str">
        <f t="shared" ref="CN963:CN1026" si="703">E963 &amp; "-" &amp; F963</f>
        <v>0348-31</v>
      </c>
    </row>
    <row r="964" spans="1:92" ht="15.75" thickBot="1" x14ac:dyDescent="0.3">
      <c r="A964" s="376" t="s">
        <v>161</v>
      </c>
      <c r="B964" s="376" t="s">
        <v>162</v>
      </c>
      <c r="C964" s="376" t="s">
        <v>1056</v>
      </c>
      <c r="D964" s="376" t="s">
        <v>783</v>
      </c>
      <c r="E964" s="376" t="s">
        <v>224</v>
      </c>
      <c r="F964" s="382" t="s">
        <v>225</v>
      </c>
      <c r="G964" s="376" t="s">
        <v>1945</v>
      </c>
      <c r="H964" s="378"/>
      <c r="I964" s="378"/>
      <c r="J964" s="376" t="s">
        <v>215</v>
      </c>
      <c r="K964" s="376" t="s">
        <v>784</v>
      </c>
      <c r="L964" s="376" t="s">
        <v>351</v>
      </c>
      <c r="M964" s="376" t="s">
        <v>171</v>
      </c>
      <c r="N964" s="376" t="s">
        <v>172</v>
      </c>
      <c r="O964" s="379">
        <v>1</v>
      </c>
      <c r="P964" s="385">
        <v>1</v>
      </c>
      <c r="Q964" s="385">
        <v>1</v>
      </c>
      <c r="R964" s="380">
        <v>80</v>
      </c>
      <c r="S964" s="385">
        <v>1</v>
      </c>
      <c r="T964" s="380">
        <v>0</v>
      </c>
      <c r="U964" s="380">
        <v>0</v>
      </c>
      <c r="V964" s="380">
        <v>0</v>
      </c>
      <c r="W964" s="380">
        <v>116667.2</v>
      </c>
      <c r="X964" s="380">
        <v>36879.25</v>
      </c>
      <c r="Y964" s="380">
        <v>116667.2</v>
      </c>
      <c r="Z964" s="380">
        <v>36389.25</v>
      </c>
      <c r="AA964" s="376" t="s">
        <v>1057</v>
      </c>
      <c r="AB964" s="376" t="s">
        <v>1058</v>
      </c>
      <c r="AC964" s="376" t="s">
        <v>1059</v>
      </c>
      <c r="AD964" s="376" t="s">
        <v>252</v>
      </c>
      <c r="AE964" s="376" t="s">
        <v>784</v>
      </c>
      <c r="AF964" s="376" t="s">
        <v>355</v>
      </c>
      <c r="AG964" s="376" t="s">
        <v>178</v>
      </c>
      <c r="AH964" s="381">
        <v>56.09</v>
      </c>
      <c r="AI964" s="381">
        <v>51272.9</v>
      </c>
      <c r="AJ964" s="376" t="s">
        <v>179</v>
      </c>
      <c r="AK964" s="376" t="s">
        <v>180</v>
      </c>
      <c r="AL964" s="376" t="s">
        <v>181</v>
      </c>
      <c r="AM964" s="376" t="s">
        <v>182</v>
      </c>
      <c r="AN964" s="376" t="s">
        <v>68</v>
      </c>
      <c r="AO964" s="379">
        <v>80</v>
      </c>
      <c r="AP964" s="385">
        <v>1</v>
      </c>
      <c r="AQ964" s="385">
        <v>1</v>
      </c>
      <c r="AR964" s="383" t="s">
        <v>183</v>
      </c>
      <c r="AS964" s="387">
        <f t="shared" si="687"/>
        <v>1</v>
      </c>
      <c r="AT964">
        <f t="shared" si="688"/>
        <v>1</v>
      </c>
      <c r="AU964" s="387">
        <f>IF(AT964=0,"",IF(AND(AT964=1,M964="F",SUMIF(C2:C1334,C964,AS2:AS1334)&lt;=1),SUMIF(C2:C1334,C964,AS2:AS1334),IF(AND(AT964=1,M964="F",SUMIF(C2:C1334,C964,AS2:AS1334)&gt;1),1,"")))</f>
        <v>1</v>
      </c>
      <c r="AV964" s="387" t="str">
        <f>IF(AT964=0,"",IF(AND(AT964=3,M964="F",SUMIF(C2:C1334,C964,AS2:AS1334)&lt;=1),SUMIF(C2:C1334,C964,AS2:AS1334),IF(AND(AT964=3,M964="F",SUMIF(C2:C1334,C964,AS2:AS1334)&gt;1),1,"")))</f>
        <v/>
      </c>
      <c r="AW964" s="387">
        <f>SUMIF(C2:C1334,C964,O2:O1334)</f>
        <v>2</v>
      </c>
      <c r="AX964" s="387">
        <f>IF(AND(M964="F",AS964&lt;&gt;0),SUMIF(C2:C1334,C964,W2:W1334),0)</f>
        <v>116667.2</v>
      </c>
      <c r="AY964" s="387">
        <f t="shared" si="689"/>
        <v>116667.2</v>
      </c>
      <c r="AZ964" s="387" t="str">
        <f t="shared" si="690"/>
        <v/>
      </c>
      <c r="BA964" s="387">
        <f t="shared" si="691"/>
        <v>0</v>
      </c>
      <c r="BB964" s="387">
        <f t="shared" si="660"/>
        <v>11650</v>
      </c>
      <c r="BC964" s="387">
        <f t="shared" si="661"/>
        <v>0</v>
      </c>
      <c r="BD964" s="387">
        <f t="shared" si="662"/>
        <v>7233.3663999999999</v>
      </c>
      <c r="BE964" s="387">
        <f t="shared" si="663"/>
        <v>1691.6744000000001</v>
      </c>
      <c r="BF964" s="387">
        <f t="shared" si="664"/>
        <v>13930.063680000001</v>
      </c>
      <c r="BG964" s="387">
        <f t="shared" si="665"/>
        <v>841.17051200000003</v>
      </c>
      <c r="BH964" s="387">
        <f t="shared" si="666"/>
        <v>571.66927999999996</v>
      </c>
      <c r="BI964" s="387">
        <f t="shared" si="667"/>
        <v>645.75295199999994</v>
      </c>
      <c r="BJ964" s="387">
        <f t="shared" si="668"/>
        <v>315.00144</v>
      </c>
      <c r="BK964" s="387">
        <f t="shared" si="669"/>
        <v>0</v>
      </c>
      <c r="BL964" s="387">
        <f t="shared" si="692"/>
        <v>25228.698664</v>
      </c>
      <c r="BM964" s="387">
        <f t="shared" si="693"/>
        <v>0</v>
      </c>
      <c r="BN964" s="387">
        <f t="shared" si="670"/>
        <v>11650</v>
      </c>
      <c r="BO964" s="387">
        <f t="shared" si="671"/>
        <v>0</v>
      </c>
      <c r="BP964" s="387">
        <f t="shared" si="672"/>
        <v>7233.3663999999999</v>
      </c>
      <c r="BQ964" s="387">
        <f t="shared" si="673"/>
        <v>1691.6744000000001</v>
      </c>
      <c r="BR964" s="387">
        <f t="shared" si="674"/>
        <v>13930.063680000001</v>
      </c>
      <c r="BS964" s="387">
        <f t="shared" si="675"/>
        <v>841.17051200000003</v>
      </c>
      <c r="BT964" s="387">
        <f t="shared" si="676"/>
        <v>0</v>
      </c>
      <c r="BU964" s="387">
        <f t="shared" si="677"/>
        <v>645.75295199999994</v>
      </c>
      <c r="BV964" s="387">
        <f t="shared" si="678"/>
        <v>396.66847999999999</v>
      </c>
      <c r="BW964" s="387">
        <f t="shared" si="679"/>
        <v>0</v>
      </c>
      <c r="BX964" s="387">
        <f t="shared" si="694"/>
        <v>24738.696424000002</v>
      </c>
      <c r="BY964" s="387">
        <f t="shared" si="695"/>
        <v>0</v>
      </c>
      <c r="BZ964" s="387">
        <f t="shared" si="696"/>
        <v>0</v>
      </c>
      <c r="CA964" s="387">
        <f t="shared" si="697"/>
        <v>0</v>
      </c>
      <c r="CB964" s="387">
        <f t="shared" si="698"/>
        <v>0</v>
      </c>
      <c r="CC964" s="387">
        <f t="shared" si="680"/>
        <v>0</v>
      </c>
      <c r="CD964" s="387">
        <f t="shared" si="681"/>
        <v>0</v>
      </c>
      <c r="CE964" s="387">
        <f t="shared" si="682"/>
        <v>0</v>
      </c>
      <c r="CF964" s="387">
        <f t="shared" si="683"/>
        <v>-571.66927999999996</v>
      </c>
      <c r="CG964" s="387">
        <f t="shared" si="684"/>
        <v>0</v>
      </c>
      <c r="CH964" s="387">
        <f t="shared" si="685"/>
        <v>81.667039999999957</v>
      </c>
      <c r="CI964" s="387">
        <f t="shared" si="686"/>
        <v>0</v>
      </c>
      <c r="CJ964" s="387">
        <f t="shared" si="699"/>
        <v>-490.00224000000003</v>
      </c>
      <c r="CK964" s="387" t="str">
        <f t="shared" si="700"/>
        <v/>
      </c>
      <c r="CL964" s="387" t="str">
        <f t="shared" si="701"/>
        <v/>
      </c>
      <c r="CM964" s="387" t="str">
        <f t="shared" si="702"/>
        <v/>
      </c>
      <c r="CN964" s="387" t="str">
        <f t="shared" si="703"/>
        <v>0348-31</v>
      </c>
    </row>
    <row r="965" spans="1:92" ht="15.75" thickBot="1" x14ac:dyDescent="0.3">
      <c r="A965" s="376" t="s">
        <v>161</v>
      </c>
      <c r="B965" s="376" t="s">
        <v>162</v>
      </c>
      <c r="C965" s="376" t="s">
        <v>1205</v>
      </c>
      <c r="D965" s="376" t="s">
        <v>1124</v>
      </c>
      <c r="E965" s="376" t="s">
        <v>224</v>
      </c>
      <c r="F965" s="382" t="s">
        <v>225</v>
      </c>
      <c r="G965" s="376" t="s">
        <v>1945</v>
      </c>
      <c r="H965" s="378"/>
      <c r="I965" s="378"/>
      <c r="J965" s="376" t="s">
        <v>239</v>
      </c>
      <c r="K965" s="376" t="s">
        <v>1125</v>
      </c>
      <c r="L965" s="376" t="s">
        <v>170</v>
      </c>
      <c r="M965" s="376" t="s">
        <v>171</v>
      </c>
      <c r="N965" s="376" t="s">
        <v>172</v>
      </c>
      <c r="O965" s="379">
        <v>1</v>
      </c>
      <c r="P965" s="385">
        <v>0.25</v>
      </c>
      <c r="Q965" s="385">
        <v>0.25</v>
      </c>
      <c r="R965" s="380">
        <v>80</v>
      </c>
      <c r="S965" s="385">
        <v>0.25</v>
      </c>
      <c r="T965" s="380">
        <v>0</v>
      </c>
      <c r="U965" s="380">
        <v>0</v>
      </c>
      <c r="V965" s="380">
        <v>0</v>
      </c>
      <c r="W965" s="380">
        <v>14445.6</v>
      </c>
      <c r="X965" s="380">
        <v>6036.35</v>
      </c>
      <c r="Y965" s="380">
        <v>14445.6</v>
      </c>
      <c r="Z965" s="380">
        <v>5975.68</v>
      </c>
      <c r="AA965" s="376" t="s">
        <v>1206</v>
      </c>
      <c r="AB965" s="376" t="s">
        <v>1188</v>
      </c>
      <c r="AC965" s="376" t="s">
        <v>1207</v>
      </c>
      <c r="AD965" s="376" t="s">
        <v>170</v>
      </c>
      <c r="AE965" s="376" t="s">
        <v>1125</v>
      </c>
      <c r="AF965" s="376" t="s">
        <v>177</v>
      </c>
      <c r="AG965" s="376" t="s">
        <v>178</v>
      </c>
      <c r="AH965" s="381">
        <v>27.78</v>
      </c>
      <c r="AI965" s="379">
        <v>40877</v>
      </c>
      <c r="AJ965" s="376" t="s">
        <v>179</v>
      </c>
      <c r="AK965" s="376" t="s">
        <v>180</v>
      </c>
      <c r="AL965" s="376" t="s">
        <v>181</v>
      </c>
      <c r="AM965" s="376" t="s">
        <v>182</v>
      </c>
      <c r="AN965" s="376" t="s">
        <v>68</v>
      </c>
      <c r="AO965" s="379">
        <v>80</v>
      </c>
      <c r="AP965" s="385">
        <v>1</v>
      </c>
      <c r="AQ965" s="385">
        <v>0.25</v>
      </c>
      <c r="AR965" s="383" t="s">
        <v>183</v>
      </c>
      <c r="AS965" s="387">
        <f t="shared" si="687"/>
        <v>0.25</v>
      </c>
      <c r="AT965">
        <f t="shared" si="688"/>
        <v>1</v>
      </c>
      <c r="AU965" s="387">
        <f>IF(AT965=0,"",IF(AND(AT965=1,M965="F",SUMIF(C2:C1334,C965,AS2:AS1334)&lt;=1),SUMIF(C2:C1334,C965,AS2:AS1334),IF(AND(AT965=1,M965="F",SUMIF(C2:C1334,C965,AS2:AS1334)&gt;1),1,"")))</f>
        <v>1</v>
      </c>
      <c r="AV965" s="387" t="str">
        <f>IF(AT965=0,"",IF(AND(AT965=3,M965="F",SUMIF(C2:C1334,C965,AS2:AS1334)&lt;=1),SUMIF(C2:C1334,C965,AS2:AS1334),IF(AND(AT965=3,M965="F",SUMIF(C2:C1334,C965,AS2:AS1334)&gt;1),1,"")))</f>
        <v/>
      </c>
      <c r="AW965" s="387">
        <f>SUMIF(C2:C1334,C965,O2:O1334)</f>
        <v>2</v>
      </c>
      <c r="AX965" s="387">
        <f>IF(AND(M965="F",AS965&lt;&gt;0),SUMIF(C2:C1334,C965,W2:W1334),0)</f>
        <v>57782.400000000001</v>
      </c>
      <c r="AY965" s="387">
        <f t="shared" si="689"/>
        <v>14445.6</v>
      </c>
      <c r="AZ965" s="387" t="str">
        <f t="shared" si="690"/>
        <v/>
      </c>
      <c r="BA965" s="387">
        <f t="shared" si="691"/>
        <v>0</v>
      </c>
      <c r="BB965" s="387">
        <f t="shared" si="660"/>
        <v>2912.5</v>
      </c>
      <c r="BC965" s="387">
        <f t="shared" si="661"/>
        <v>0</v>
      </c>
      <c r="BD965" s="387">
        <f t="shared" si="662"/>
        <v>895.62720000000002</v>
      </c>
      <c r="BE965" s="387">
        <f t="shared" si="663"/>
        <v>209.46120000000002</v>
      </c>
      <c r="BF965" s="387">
        <f t="shared" si="664"/>
        <v>1724.8046400000001</v>
      </c>
      <c r="BG965" s="387">
        <f t="shared" si="665"/>
        <v>104.152776</v>
      </c>
      <c r="BH965" s="387">
        <f t="shared" si="666"/>
        <v>70.783439999999999</v>
      </c>
      <c r="BI965" s="387">
        <f t="shared" si="667"/>
        <v>79.956395999999998</v>
      </c>
      <c r="BJ965" s="387">
        <f t="shared" si="668"/>
        <v>39.003120000000003</v>
      </c>
      <c r="BK965" s="387">
        <f t="shared" si="669"/>
        <v>0</v>
      </c>
      <c r="BL965" s="387">
        <f t="shared" si="692"/>
        <v>3123.7887719999999</v>
      </c>
      <c r="BM965" s="387">
        <f t="shared" si="693"/>
        <v>0</v>
      </c>
      <c r="BN965" s="387">
        <f t="shared" si="670"/>
        <v>2912.5</v>
      </c>
      <c r="BO965" s="387">
        <f t="shared" si="671"/>
        <v>0</v>
      </c>
      <c r="BP965" s="387">
        <f t="shared" si="672"/>
        <v>895.62720000000002</v>
      </c>
      <c r="BQ965" s="387">
        <f t="shared" si="673"/>
        <v>209.46120000000002</v>
      </c>
      <c r="BR965" s="387">
        <f t="shared" si="674"/>
        <v>1724.8046400000001</v>
      </c>
      <c r="BS965" s="387">
        <f t="shared" si="675"/>
        <v>104.152776</v>
      </c>
      <c r="BT965" s="387">
        <f t="shared" si="676"/>
        <v>0</v>
      </c>
      <c r="BU965" s="387">
        <f t="shared" si="677"/>
        <v>79.956395999999998</v>
      </c>
      <c r="BV965" s="387">
        <f t="shared" si="678"/>
        <v>49.11504</v>
      </c>
      <c r="BW965" s="387">
        <f t="shared" si="679"/>
        <v>0</v>
      </c>
      <c r="BX965" s="387">
        <f t="shared" si="694"/>
        <v>3063.117252</v>
      </c>
      <c r="BY965" s="387">
        <f t="shared" si="695"/>
        <v>0</v>
      </c>
      <c r="BZ965" s="387">
        <f t="shared" si="696"/>
        <v>0</v>
      </c>
      <c r="CA965" s="387">
        <f t="shared" si="697"/>
        <v>0</v>
      </c>
      <c r="CB965" s="387">
        <f t="shared" si="698"/>
        <v>0</v>
      </c>
      <c r="CC965" s="387">
        <f t="shared" si="680"/>
        <v>0</v>
      </c>
      <c r="CD965" s="387">
        <f t="shared" si="681"/>
        <v>0</v>
      </c>
      <c r="CE965" s="387">
        <f t="shared" si="682"/>
        <v>0</v>
      </c>
      <c r="CF965" s="387">
        <f t="shared" si="683"/>
        <v>-70.783439999999999</v>
      </c>
      <c r="CG965" s="387">
        <f t="shared" si="684"/>
        <v>0</v>
      </c>
      <c r="CH965" s="387">
        <f t="shared" si="685"/>
        <v>10.111919999999996</v>
      </c>
      <c r="CI965" s="387">
        <f t="shared" si="686"/>
        <v>0</v>
      </c>
      <c r="CJ965" s="387">
        <f t="shared" si="699"/>
        <v>-60.671520000000001</v>
      </c>
      <c r="CK965" s="387" t="str">
        <f t="shared" si="700"/>
        <v/>
      </c>
      <c r="CL965" s="387" t="str">
        <f t="shared" si="701"/>
        <v/>
      </c>
      <c r="CM965" s="387" t="str">
        <f t="shared" si="702"/>
        <v/>
      </c>
      <c r="CN965" s="387" t="str">
        <f t="shared" si="703"/>
        <v>0348-31</v>
      </c>
    </row>
    <row r="966" spans="1:92" ht="15.75" thickBot="1" x14ac:dyDescent="0.3">
      <c r="A966" s="376" t="s">
        <v>161</v>
      </c>
      <c r="B966" s="376" t="s">
        <v>162</v>
      </c>
      <c r="C966" s="376" t="s">
        <v>2152</v>
      </c>
      <c r="D966" s="376" t="s">
        <v>862</v>
      </c>
      <c r="E966" s="376" t="s">
        <v>224</v>
      </c>
      <c r="F966" s="382" t="s">
        <v>225</v>
      </c>
      <c r="G966" s="376" t="s">
        <v>1945</v>
      </c>
      <c r="H966" s="378"/>
      <c r="I966" s="378"/>
      <c r="J966" s="376" t="s">
        <v>215</v>
      </c>
      <c r="K966" s="376" t="s">
        <v>863</v>
      </c>
      <c r="L966" s="376" t="s">
        <v>252</v>
      </c>
      <c r="M966" s="376" t="s">
        <v>171</v>
      </c>
      <c r="N966" s="376" t="s">
        <v>172</v>
      </c>
      <c r="O966" s="379">
        <v>1</v>
      </c>
      <c r="P966" s="385">
        <v>1</v>
      </c>
      <c r="Q966" s="385">
        <v>1</v>
      </c>
      <c r="R966" s="380">
        <v>80</v>
      </c>
      <c r="S966" s="385">
        <v>1</v>
      </c>
      <c r="T966" s="380">
        <v>28994.52</v>
      </c>
      <c r="U966" s="380">
        <v>477.14</v>
      </c>
      <c r="V966" s="380">
        <v>16643.91</v>
      </c>
      <c r="W966" s="380">
        <v>38625.599999999999</v>
      </c>
      <c r="X966" s="380">
        <v>20002.75</v>
      </c>
      <c r="Y966" s="380">
        <v>38625.599999999999</v>
      </c>
      <c r="Z966" s="380">
        <v>19840.53</v>
      </c>
      <c r="AA966" s="376" t="s">
        <v>2153</v>
      </c>
      <c r="AB966" s="376" t="s">
        <v>2042</v>
      </c>
      <c r="AC966" s="376" t="s">
        <v>587</v>
      </c>
      <c r="AD966" s="376" t="s">
        <v>2154</v>
      </c>
      <c r="AE966" s="376" t="s">
        <v>863</v>
      </c>
      <c r="AF966" s="376" t="s">
        <v>393</v>
      </c>
      <c r="AG966" s="376" t="s">
        <v>178</v>
      </c>
      <c r="AH966" s="381">
        <v>18.57</v>
      </c>
      <c r="AI966" s="379">
        <v>1748</v>
      </c>
      <c r="AJ966" s="376" t="s">
        <v>179</v>
      </c>
      <c r="AK966" s="376" t="s">
        <v>180</v>
      </c>
      <c r="AL966" s="376" t="s">
        <v>181</v>
      </c>
      <c r="AM966" s="376" t="s">
        <v>182</v>
      </c>
      <c r="AN966" s="376" t="s">
        <v>68</v>
      </c>
      <c r="AO966" s="379">
        <v>80</v>
      </c>
      <c r="AP966" s="385">
        <v>1</v>
      </c>
      <c r="AQ966" s="385">
        <v>1</v>
      </c>
      <c r="AR966" s="383" t="s">
        <v>183</v>
      </c>
      <c r="AS966" s="387">
        <f t="shared" si="687"/>
        <v>1</v>
      </c>
      <c r="AT966">
        <f t="shared" si="688"/>
        <v>1</v>
      </c>
      <c r="AU966" s="387">
        <f>IF(AT966=0,"",IF(AND(AT966=1,M966="F",SUMIF(C2:C1334,C966,AS2:AS1334)&lt;=1),SUMIF(C2:C1334,C966,AS2:AS1334),IF(AND(AT966=1,M966="F",SUMIF(C2:C1334,C966,AS2:AS1334)&gt;1),1,"")))</f>
        <v>1</v>
      </c>
      <c r="AV966" s="387" t="str">
        <f>IF(AT966=0,"",IF(AND(AT966=3,M966="F",SUMIF(C2:C1334,C966,AS2:AS1334)&lt;=1),SUMIF(C2:C1334,C966,AS2:AS1334),IF(AND(AT966=3,M966="F",SUMIF(C2:C1334,C966,AS2:AS1334)&gt;1),1,"")))</f>
        <v/>
      </c>
      <c r="AW966" s="387">
        <f>SUMIF(C2:C1334,C966,O2:O1334)</f>
        <v>1</v>
      </c>
      <c r="AX966" s="387">
        <f>IF(AND(M966="F",AS966&lt;&gt;0),SUMIF(C2:C1334,C966,W2:W1334),0)</f>
        <v>38625.599999999999</v>
      </c>
      <c r="AY966" s="387">
        <f t="shared" si="689"/>
        <v>38625.599999999999</v>
      </c>
      <c r="AZ966" s="387" t="str">
        <f t="shared" si="690"/>
        <v/>
      </c>
      <c r="BA966" s="387">
        <f t="shared" si="691"/>
        <v>0</v>
      </c>
      <c r="BB966" s="387">
        <f t="shared" si="660"/>
        <v>11650</v>
      </c>
      <c r="BC966" s="387">
        <f t="shared" si="661"/>
        <v>0</v>
      </c>
      <c r="BD966" s="387">
        <f t="shared" si="662"/>
        <v>2394.7871999999998</v>
      </c>
      <c r="BE966" s="387">
        <f t="shared" si="663"/>
        <v>560.07119999999998</v>
      </c>
      <c r="BF966" s="387">
        <f t="shared" si="664"/>
        <v>4611.8966399999999</v>
      </c>
      <c r="BG966" s="387">
        <f t="shared" si="665"/>
        <v>278.49057599999998</v>
      </c>
      <c r="BH966" s="387">
        <f t="shared" si="666"/>
        <v>189.26543999999998</v>
      </c>
      <c r="BI966" s="387">
        <f t="shared" si="667"/>
        <v>213.79269599999998</v>
      </c>
      <c r="BJ966" s="387">
        <f t="shared" si="668"/>
        <v>104.28912</v>
      </c>
      <c r="BK966" s="387">
        <f t="shared" si="669"/>
        <v>0</v>
      </c>
      <c r="BL966" s="387">
        <f t="shared" si="692"/>
        <v>8352.5928719999993</v>
      </c>
      <c r="BM966" s="387">
        <f t="shared" si="693"/>
        <v>0</v>
      </c>
      <c r="BN966" s="387">
        <f t="shared" si="670"/>
        <v>11650</v>
      </c>
      <c r="BO966" s="387">
        <f t="shared" si="671"/>
        <v>0</v>
      </c>
      <c r="BP966" s="387">
        <f t="shared" si="672"/>
        <v>2394.7871999999998</v>
      </c>
      <c r="BQ966" s="387">
        <f t="shared" si="673"/>
        <v>560.07119999999998</v>
      </c>
      <c r="BR966" s="387">
        <f t="shared" si="674"/>
        <v>4611.8966399999999</v>
      </c>
      <c r="BS966" s="387">
        <f t="shared" si="675"/>
        <v>278.49057599999998</v>
      </c>
      <c r="BT966" s="387">
        <f t="shared" si="676"/>
        <v>0</v>
      </c>
      <c r="BU966" s="387">
        <f t="shared" si="677"/>
        <v>213.79269599999998</v>
      </c>
      <c r="BV966" s="387">
        <f t="shared" si="678"/>
        <v>131.32703999999998</v>
      </c>
      <c r="BW966" s="387">
        <f t="shared" si="679"/>
        <v>0</v>
      </c>
      <c r="BX966" s="387">
        <f t="shared" si="694"/>
        <v>8190.3653520000007</v>
      </c>
      <c r="BY966" s="387">
        <f t="shared" si="695"/>
        <v>0</v>
      </c>
      <c r="BZ966" s="387">
        <f t="shared" si="696"/>
        <v>0</v>
      </c>
      <c r="CA966" s="387">
        <f t="shared" si="697"/>
        <v>0</v>
      </c>
      <c r="CB966" s="387">
        <f t="shared" si="698"/>
        <v>0</v>
      </c>
      <c r="CC966" s="387">
        <f t="shared" si="680"/>
        <v>0</v>
      </c>
      <c r="CD966" s="387">
        <f t="shared" si="681"/>
        <v>0</v>
      </c>
      <c r="CE966" s="387">
        <f t="shared" si="682"/>
        <v>0</v>
      </c>
      <c r="CF966" s="387">
        <f t="shared" si="683"/>
        <v>-189.26543999999998</v>
      </c>
      <c r="CG966" s="387">
        <f t="shared" si="684"/>
        <v>0</v>
      </c>
      <c r="CH966" s="387">
        <f t="shared" si="685"/>
        <v>27.037919999999986</v>
      </c>
      <c r="CI966" s="387">
        <f t="shared" si="686"/>
        <v>0</v>
      </c>
      <c r="CJ966" s="387">
        <f t="shared" si="699"/>
        <v>-162.22752</v>
      </c>
      <c r="CK966" s="387" t="str">
        <f t="shared" si="700"/>
        <v/>
      </c>
      <c r="CL966" s="387" t="str">
        <f t="shared" si="701"/>
        <v/>
      </c>
      <c r="CM966" s="387" t="str">
        <f t="shared" si="702"/>
        <v/>
      </c>
      <c r="CN966" s="387" t="str">
        <f t="shared" si="703"/>
        <v>0348-31</v>
      </c>
    </row>
    <row r="967" spans="1:92" ht="15.75" thickBot="1" x14ac:dyDescent="0.3">
      <c r="A967" s="376" t="s">
        <v>161</v>
      </c>
      <c r="B967" s="376" t="s">
        <v>162</v>
      </c>
      <c r="C967" s="376" t="s">
        <v>2155</v>
      </c>
      <c r="D967" s="376" t="s">
        <v>270</v>
      </c>
      <c r="E967" s="376" t="s">
        <v>224</v>
      </c>
      <c r="F967" s="382" t="s">
        <v>225</v>
      </c>
      <c r="G967" s="376" t="s">
        <v>1945</v>
      </c>
      <c r="H967" s="378"/>
      <c r="I967" s="378"/>
      <c r="J967" s="376" t="s">
        <v>215</v>
      </c>
      <c r="K967" s="376" t="s">
        <v>271</v>
      </c>
      <c r="L967" s="376" t="s">
        <v>217</v>
      </c>
      <c r="M967" s="376" t="s">
        <v>171</v>
      </c>
      <c r="N967" s="376" t="s">
        <v>172</v>
      </c>
      <c r="O967" s="379">
        <v>1</v>
      </c>
      <c r="P967" s="385">
        <v>1</v>
      </c>
      <c r="Q967" s="385">
        <v>1</v>
      </c>
      <c r="R967" s="380">
        <v>80</v>
      </c>
      <c r="S967" s="385">
        <v>1</v>
      </c>
      <c r="T967" s="380">
        <v>29023.81</v>
      </c>
      <c r="U967" s="380">
        <v>358.13</v>
      </c>
      <c r="V967" s="380">
        <v>16783.22</v>
      </c>
      <c r="W967" s="380">
        <v>34132.800000000003</v>
      </c>
      <c r="X967" s="380">
        <v>19031.18</v>
      </c>
      <c r="Y967" s="380">
        <v>34132.800000000003</v>
      </c>
      <c r="Z967" s="380">
        <v>18887.830000000002</v>
      </c>
      <c r="AA967" s="376" t="s">
        <v>2156</v>
      </c>
      <c r="AB967" s="376" t="s">
        <v>2157</v>
      </c>
      <c r="AC967" s="376" t="s">
        <v>2158</v>
      </c>
      <c r="AD967" s="376" t="s">
        <v>317</v>
      </c>
      <c r="AE967" s="376" t="s">
        <v>271</v>
      </c>
      <c r="AF967" s="376" t="s">
        <v>221</v>
      </c>
      <c r="AG967" s="376" t="s">
        <v>178</v>
      </c>
      <c r="AH967" s="381">
        <v>16.41</v>
      </c>
      <c r="AI967" s="379">
        <v>1699</v>
      </c>
      <c r="AJ967" s="376" t="s">
        <v>179</v>
      </c>
      <c r="AK967" s="376" t="s">
        <v>180</v>
      </c>
      <c r="AL967" s="376" t="s">
        <v>181</v>
      </c>
      <c r="AM967" s="376" t="s">
        <v>182</v>
      </c>
      <c r="AN967" s="376" t="s">
        <v>68</v>
      </c>
      <c r="AO967" s="379">
        <v>80</v>
      </c>
      <c r="AP967" s="385">
        <v>1</v>
      </c>
      <c r="AQ967" s="385">
        <v>1</v>
      </c>
      <c r="AR967" s="383" t="s">
        <v>183</v>
      </c>
      <c r="AS967" s="387">
        <f t="shared" si="687"/>
        <v>1</v>
      </c>
      <c r="AT967">
        <f t="shared" si="688"/>
        <v>1</v>
      </c>
      <c r="AU967" s="387">
        <f>IF(AT967=0,"",IF(AND(AT967=1,M967="F",SUMIF(C2:C1334,C967,AS2:AS1334)&lt;=1),SUMIF(C2:C1334,C967,AS2:AS1334),IF(AND(AT967=1,M967="F",SUMIF(C2:C1334,C967,AS2:AS1334)&gt;1),1,"")))</f>
        <v>1</v>
      </c>
      <c r="AV967" s="387" t="str">
        <f>IF(AT967=0,"",IF(AND(AT967=3,M967="F",SUMIF(C2:C1334,C967,AS2:AS1334)&lt;=1),SUMIF(C2:C1334,C967,AS2:AS1334),IF(AND(AT967=3,M967="F",SUMIF(C2:C1334,C967,AS2:AS1334)&gt;1),1,"")))</f>
        <v/>
      </c>
      <c r="AW967" s="387">
        <f>SUMIF(C2:C1334,C967,O2:O1334)</f>
        <v>1</v>
      </c>
      <c r="AX967" s="387">
        <f>IF(AND(M967="F",AS967&lt;&gt;0),SUMIF(C2:C1334,C967,W2:W1334),0)</f>
        <v>34132.800000000003</v>
      </c>
      <c r="AY967" s="387">
        <f t="shared" si="689"/>
        <v>34132.800000000003</v>
      </c>
      <c r="AZ967" s="387" t="str">
        <f t="shared" si="690"/>
        <v/>
      </c>
      <c r="BA967" s="387">
        <f t="shared" si="691"/>
        <v>0</v>
      </c>
      <c r="BB967" s="387">
        <f t="shared" si="660"/>
        <v>11650</v>
      </c>
      <c r="BC967" s="387">
        <f t="shared" si="661"/>
        <v>0</v>
      </c>
      <c r="BD967" s="387">
        <f t="shared" si="662"/>
        <v>2116.2336</v>
      </c>
      <c r="BE967" s="387">
        <f t="shared" si="663"/>
        <v>494.92560000000009</v>
      </c>
      <c r="BF967" s="387">
        <f t="shared" si="664"/>
        <v>4075.4563200000007</v>
      </c>
      <c r="BG967" s="387">
        <f t="shared" si="665"/>
        <v>246.09748800000003</v>
      </c>
      <c r="BH967" s="387">
        <f t="shared" si="666"/>
        <v>167.25072</v>
      </c>
      <c r="BI967" s="387">
        <f t="shared" si="667"/>
        <v>188.925048</v>
      </c>
      <c r="BJ967" s="387">
        <f t="shared" si="668"/>
        <v>92.158560000000008</v>
      </c>
      <c r="BK967" s="387">
        <f t="shared" si="669"/>
        <v>0</v>
      </c>
      <c r="BL967" s="387">
        <f t="shared" si="692"/>
        <v>7381.0473360000015</v>
      </c>
      <c r="BM967" s="387">
        <f t="shared" si="693"/>
        <v>0</v>
      </c>
      <c r="BN967" s="387">
        <f t="shared" si="670"/>
        <v>11650</v>
      </c>
      <c r="BO967" s="387">
        <f t="shared" si="671"/>
        <v>0</v>
      </c>
      <c r="BP967" s="387">
        <f t="shared" si="672"/>
        <v>2116.2336</v>
      </c>
      <c r="BQ967" s="387">
        <f t="shared" si="673"/>
        <v>494.92560000000009</v>
      </c>
      <c r="BR967" s="387">
        <f t="shared" si="674"/>
        <v>4075.4563200000007</v>
      </c>
      <c r="BS967" s="387">
        <f t="shared" si="675"/>
        <v>246.09748800000003</v>
      </c>
      <c r="BT967" s="387">
        <f t="shared" si="676"/>
        <v>0</v>
      </c>
      <c r="BU967" s="387">
        <f t="shared" si="677"/>
        <v>188.925048</v>
      </c>
      <c r="BV967" s="387">
        <f t="shared" si="678"/>
        <v>116.05152</v>
      </c>
      <c r="BW967" s="387">
        <f t="shared" si="679"/>
        <v>0</v>
      </c>
      <c r="BX967" s="387">
        <f t="shared" si="694"/>
        <v>7237.6895760000016</v>
      </c>
      <c r="BY967" s="387">
        <f t="shared" si="695"/>
        <v>0</v>
      </c>
      <c r="BZ967" s="387">
        <f t="shared" si="696"/>
        <v>0</v>
      </c>
      <c r="CA967" s="387">
        <f t="shared" si="697"/>
        <v>0</v>
      </c>
      <c r="CB967" s="387">
        <f t="shared" si="698"/>
        <v>0</v>
      </c>
      <c r="CC967" s="387">
        <f t="shared" si="680"/>
        <v>0</v>
      </c>
      <c r="CD967" s="387">
        <f t="shared" si="681"/>
        <v>0</v>
      </c>
      <c r="CE967" s="387">
        <f t="shared" si="682"/>
        <v>0</v>
      </c>
      <c r="CF967" s="387">
        <f t="shared" si="683"/>
        <v>-167.25072</v>
      </c>
      <c r="CG967" s="387">
        <f t="shared" si="684"/>
        <v>0</v>
      </c>
      <c r="CH967" s="387">
        <f t="shared" si="685"/>
        <v>23.892959999999992</v>
      </c>
      <c r="CI967" s="387">
        <f t="shared" si="686"/>
        <v>0</v>
      </c>
      <c r="CJ967" s="387">
        <f t="shared" si="699"/>
        <v>-143.35776000000001</v>
      </c>
      <c r="CK967" s="387" t="str">
        <f t="shared" si="700"/>
        <v/>
      </c>
      <c r="CL967" s="387" t="str">
        <f t="shared" si="701"/>
        <v/>
      </c>
      <c r="CM967" s="387" t="str">
        <f t="shared" si="702"/>
        <v/>
      </c>
      <c r="CN967" s="387" t="str">
        <f t="shared" si="703"/>
        <v>0348-31</v>
      </c>
    </row>
    <row r="968" spans="1:92" ht="15.75" thickBot="1" x14ac:dyDescent="0.3">
      <c r="A968" s="376" t="s">
        <v>161</v>
      </c>
      <c r="B968" s="376" t="s">
        <v>162</v>
      </c>
      <c r="C968" s="376" t="s">
        <v>1233</v>
      </c>
      <c r="D968" s="376" t="s">
        <v>862</v>
      </c>
      <c r="E968" s="376" t="s">
        <v>224</v>
      </c>
      <c r="F968" s="382" t="s">
        <v>225</v>
      </c>
      <c r="G968" s="376" t="s">
        <v>1945</v>
      </c>
      <c r="H968" s="378"/>
      <c r="I968" s="378"/>
      <c r="J968" s="376" t="s">
        <v>215</v>
      </c>
      <c r="K968" s="376" t="s">
        <v>863</v>
      </c>
      <c r="L968" s="376" t="s">
        <v>252</v>
      </c>
      <c r="M968" s="376" t="s">
        <v>566</v>
      </c>
      <c r="N968" s="376" t="s">
        <v>172</v>
      </c>
      <c r="O968" s="379">
        <v>0</v>
      </c>
      <c r="P968" s="385">
        <v>0</v>
      </c>
      <c r="Q968" s="385">
        <v>0</v>
      </c>
      <c r="R968" s="380">
        <v>80</v>
      </c>
      <c r="S968" s="385">
        <v>0</v>
      </c>
      <c r="T968" s="380">
        <v>7688</v>
      </c>
      <c r="U968" s="380">
        <v>0</v>
      </c>
      <c r="V968" s="380">
        <v>3993.68</v>
      </c>
      <c r="W968" s="380">
        <v>0</v>
      </c>
      <c r="X968" s="380">
        <v>0</v>
      </c>
      <c r="Y968" s="380">
        <v>0</v>
      </c>
      <c r="Z968" s="380">
        <v>0</v>
      </c>
      <c r="AA968" s="378"/>
      <c r="AB968" s="376" t="s">
        <v>45</v>
      </c>
      <c r="AC968" s="376" t="s">
        <v>45</v>
      </c>
      <c r="AD968" s="378"/>
      <c r="AE968" s="378"/>
      <c r="AF968" s="378"/>
      <c r="AG968" s="378"/>
      <c r="AH968" s="379">
        <v>0</v>
      </c>
      <c r="AI968" s="379">
        <v>0</v>
      </c>
      <c r="AJ968" s="378"/>
      <c r="AK968" s="378"/>
      <c r="AL968" s="376" t="s">
        <v>181</v>
      </c>
      <c r="AM968" s="378"/>
      <c r="AN968" s="378"/>
      <c r="AO968" s="379">
        <v>0</v>
      </c>
      <c r="AP968" s="385">
        <v>0</v>
      </c>
      <c r="AQ968" s="385">
        <v>0</v>
      </c>
      <c r="AR968" s="384"/>
      <c r="AS968" s="387">
        <f t="shared" si="687"/>
        <v>0</v>
      </c>
      <c r="AT968">
        <f t="shared" si="688"/>
        <v>0</v>
      </c>
      <c r="AU968" s="387" t="str">
        <f>IF(AT968=0,"",IF(AND(AT968=1,M968="F",SUMIF(C2:C1334,C968,AS2:AS1334)&lt;=1),SUMIF(C2:C1334,C968,AS2:AS1334),IF(AND(AT968=1,M968="F",SUMIF(C2:C1334,C968,AS2:AS1334)&gt;1),1,"")))</f>
        <v/>
      </c>
      <c r="AV968" s="387" t="str">
        <f>IF(AT968=0,"",IF(AND(AT968=3,M968="F",SUMIF(C2:C1334,C968,AS2:AS1334)&lt;=1),SUMIF(C2:C1334,C968,AS2:AS1334),IF(AND(AT968=3,M968="F",SUMIF(C2:C1334,C968,AS2:AS1334)&gt;1),1,"")))</f>
        <v/>
      </c>
      <c r="AW968" s="387">
        <f>SUMIF(C2:C1334,C968,O2:O1334)</f>
        <v>0</v>
      </c>
      <c r="AX968" s="387">
        <f>IF(AND(M968="F",AS968&lt;&gt;0),SUMIF(C2:C1334,C968,W2:W1334),0)</f>
        <v>0</v>
      </c>
      <c r="AY968" s="387" t="str">
        <f t="shared" si="689"/>
        <v/>
      </c>
      <c r="AZ968" s="387" t="str">
        <f t="shared" si="690"/>
        <v/>
      </c>
      <c r="BA968" s="387">
        <f t="shared" si="691"/>
        <v>0</v>
      </c>
      <c r="BB968" s="387">
        <f t="shared" si="660"/>
        <v>0</v>
      </c>
      <c r="BC968" s="387">
        <f t="shared" si="661"/>
        <v>0</v>
      </c>
      <c r="BD968" s="387">
        <f t="shared" si="662"/>
        <v>0</v>
      </c>
      <c r="BE968" s="387">
        <f t="shared" si="663"/>
        <v>0</v>
      </c>
      <c r="BF968" s="387">
        <f t="shared" si="664"/>
        <v>0</v>
      </c>
      <c r="BG968" s="387">
        <f t="shared" si="665"/>
        <v>0</v>
      </c>
      <c r="BH968" s="387">
        <f t="shared" si="666"/>
        <v>0</v>
      </c>
      <c r="BI968" s="387">
        <f t="shared" si="667"/>
        <v>0</v>
      </c>
      <c r="BJ968" s="387">
        <f t="shared" si="668"/>
        <v>0</v>
      </c>
      <c r="BK968" s="387">
        <f t="shared" si="669"/>
        <v>0</v>
      </c>
      <c r="BL968" s="387">
        <f t="shared" si="692"/>
        <v>0</v>
      </c>
      <c r="BM968" s="387">
        <f t="shared" si="693"/>
        <v>0</v>
      </c>
      <c r="BN968" s="387">
        <f t="shared" si="670"/>
        <v>0</v>
      </c>
      <c r="BO968" s="387">
        <f t="shared" si="671"/>
        <v>0</v>
      </c>
      <c r="BP968" s="387">
        <f t="shared" si="672"/>
        <v>0</v>
      </c>
      <c r="BQ968" s="387">
        <f t="shared" si="673"/>
        <v>0</v>
      </c>
      <c r="BR968" s="387">
        <f t="shared" si="674"/>
        <v>0</v>
      </c>
      <c r="BS968" s="387">
        <f t="shared" si="675"/>
        <v>0</v>
      </c>
      <c r="BT968" s="387">
        <f t="shared" si="676"/>
        <v>0</v>
      </c>
      <c r="BU968" s="387">
        <f t="shared" si="677"/>
        <v>0</v>
      </c>
      <c r="BV968" s="387">
        <f t="shared" si="678"/>
        <v>0</v>
      </c>
      <c r="BW968" s="387">
        <f t="shared" si="679"/>
        <v>0</v>
      </c>
      <c r="BX968" s="387">
        <f t="shared" si="694"/>
        <v>0</v>
      </c>
      <c r="BY968" s="387">
        <f t="shared" si="695"/>
        <v>0</v>
      </c>
      <c r="BZ968" s="387">
        <f t="shared" si="696"/>
        <v>0</v>
      </c>
      <c r="CA968" s="387">
        <f t="shared" si="697"/>
        <v>0</v>
      </c>
      <c r="CB968" s="387">
        <f t="shared" si="698"/>
        <v>0</v>
      </c>
      <c r="CC968" s="387">
        <f t="shared" si="680"/>
        <v>0</v>
      </c>
      <c r="CD968" s="387">
        <f t="shared" si="681"/>
        <v>0</v>
      </c>
      <c r="CE968" s="387">
        <f t="shared" si="682"/>
        <v>0</v>
      </c>
      <c r="CF968" s="387">
        <f t="shared" si="683"/>
        <v>0</v>
      </c>
      <c r="CG968" s="387">
        <f t="shared" si="684"/>
        <v>0</v>
      </c>
      <c r="CH968" s="387">
        <f t="shared" si="685"/>
        <v>0</v>
      </c>
      <c r="CI968" s="387">
        <f t="shared" si="686"/>
        <v>0</v>
      </c>
      <c r="CJ968" s="387">
        <f t="shared" si="699"/>
        <v>0</v>
      </c>
      <c r="CK968" s="387" t="str">
        <f t="shared" si="700"/>
        <v/>
      </c>
      <c r="CL968" s="387" t="str">
        <f t="shared" si="701"/>
        <v/>
      </c>
      <c r="CM968" s="387" t="str">
        <f t="shared" si="702"/>
        <v/>
      </c>
      <c r="CN968" s="387" t="str">
        <f t="shared" si="703"/>
        <v>0348-31</v>
      </c>
    </row>
    <row r="969" spans="1:92" ht="15.75" thickBot="1" x14ac:dyDescent="0.3">
      <c r="A969" s="376" t="s">
        <v>161</v>
      </c>
      <c r="B969" s="376" t="s">
        <v>162</v>
      </c>
      <c r="C969" s="376" t="s">
        <v>1458</v>
      </c>
      <c r="D969" s="376" t="s">
        <v>862</v>
      </c>
      <c r="E969" s="376" t="s">
        <v>224</v>
      </c>
      <c r="F969" s="382" t="s">
        <v>225</v>
      </c>
      <c r="G969" s="376" t="s">
        <v>1945</v>
      </c>
      <c r="H969" s="378"/>
      <c r="I969" s="378"/>
      <c r="J969" s="376" t="s">
        <v>239</v>
      </c>
      <c r="K969" s="376" t="s">
        <v>863</v>
      </c>
      <c r="L969" s="376" t="s">
        <v>252</v>
      </c>
      <c r="M969" s="376" t="s">
        <v>171</v>
      </c>
      <c r="N969" s="376" t="s">
        <v>172</v>
      </c>
      <c r="O969" s="379">
        <v>1</v>
      </c>
      <c r="P969" s="385">
        <v>0.2</v>
      </c>
      <c r="Q969" s="385">
        <v>0.2</v>
      </c>
      <c r="R969" s="380">
        <v>80</v>
      </c>
      <c r="S969" s="385">
        <v>0.2</v>
      </c>
      <c r="T969" s="380">
        <v>4659.32</v>
      </c>
      <c r="U969" s="380">
        <v>0</v>
      </c>
      <c r="V969" s="380">
        <v>2772.97</v>
      </c>
      <c r="W969" s="380">
        <v>7708.48</v>
      </c>
      <c r="X969" s="380">
        <v>3996.95</v>
      </c>
      <c r="Y969" s="380">
        <v>7708.48</v>
      </c>
      <c r="Z969" s="380">
        <v>3964.57</v>
      </c>
      <c r="AA969" s="376" t="s">
        <v>1459</v>
      </c>
      <c r="AB969" s="376" t="s">
        <v>1460</v>
      </c>
      <c r="AC969" s="376" t="s">
        <v>1461</v>
      </c>
      <c r="AD969" s="376" t="s">
        <v>889</v>
      </c>
      <c r="AE969" s="376" t="s">
        <v>863</v>
      </c>
      <c r="AF969" s="376" t="s">
        <v>393</v>
      </c>
      <c r="AG969" s="376" t="s">
        <v>178</v>
      </c>
      <c r="AH969" s="381">
        <v>18.53</v>
      </c>
      <c r="AI969" s="379">
        <v>1400</v>
      </c>
      <c r="AJ969" s="376" t="s">
        <v>179</v>
      </c>
      <c r="AK969" s="376" t="s">
        <v>180</v>
      </c>
      <c r="AL969" s="376" t="s">
        <v>181</v>
      </c>
      <c r="AM969" s="376" t="s">
        <v>182</v>
      </c>
      <c r="AN969" s="376" t="s">
        <v>68</v>
      </c>
      <c r="AO969" s="379">
        <v>80</v>
      </c>
      <c r="AP969" s="385">
        <v>1</v>
      </c>
      <c r="AQ969" s="385">
        <v>0.2</v>
      </c>
      <c r="AR969" s="383" t="s">
        <v>183</v>
      </c>
      <c r="AS969" s="387">
        <f t="shared" si="687"/>
        <v>0.2</v>
      </c>
      <c r="AT969">
        <f t="shared" si="688"/>
        <v>1</v>
      </c>
      <c r="AU969" s="387">
        <f>IF(AT969=0,"",IF(AND(AT969=1,M969="F",SUMIF(C2:C1334,C969,AS2:AS1334)&lt;=1),SUMIF(C2:C1334,C969,AS2:AS1334),IF(AND(AT969=1,M969="F",SUMIF(C2:C1334,C969,AS2:AS1334)&gt;1),1,"")))</f>
        <v>1</v>
      </c>
      <c r="AV969" s="387" t="str">
        <f>IF(AT969=0,"",IF(AND(AT969=3,M969="F",SUMIF(C2:C1334,C969,AS2:AS1334)&lt;=1),SUMIF(C2:C1334,C969,AS2:AS1334),IF(AND(AT969=3,M969="F",SUMIF(C2:C1334,C969,AS2:AS1334)&gt;1),1,"")))</f>
        <v/>
      </c>
      <c r="AW969" s="387">
        <f>SUMIF(C2:C1334,C969,O2:O1334)</f>
        <v>2</v>
      </c>
      <c r="AX969" s="387">
        <f>IF(AND(M969="F",AS969&lt;&gt;0),SUMIF(C2:C1334,C969,W2:W1334),0)</f>
        <v>38542.399999999994</v>
      </c>
      <c r="AY969" s="387">
        <f t="shared" si="689"/>
        <v>7708.48</v>
      </c>
      <c r="AZ969" s="387" t="str">
        <f t="shared" si="690"/>
        <v/>
      </c>
      <c r="BA969" s="387">
        <f t="shared" si="691"/>
        <v>0</v>
      </c>
      <c r="BB969" s="387">
        <f t="shared" si="660"/>
        <v>2330</v>
      </c>
      <c r="BC969" s="387">
        <f t="shared" si="661"/>
        <v>0</v>
      </c>
      <c r="BD969" s="387">
        <f t="shared" si="662"/>
        <v>477.92575999999997</v>
      </c>
      <c r="BE969" s="387">
        <f t="shared" si="663"/>
        <v>111.77296</v>
      </c>
      <c r="BF969" s="387">
        <f t="shared" si="664"/>
        <v>920.39251200000001</v>
      </c>
      <c r="BG969" s="387">
        <f t="shared" si="665"/>
        <v>55.5781408</v>
      </c>
      <c r="BH969" s="387">
        <f t="shared" si="666"/>
        <v>37.771552</v>
      </c>
      <c r="BI969" s="387">
        <f t="shared" si="667"/>
        <v>42.6664368</v>
      </c>
      <c r="BJ969" s="387">
        <f t="shared" si="668"/>
        <v>20.812895999999999</v>
      </c>
      <c r="BK969" s="387">
        <f t="shared" si="669"/>
        <v>0</v>
      </c>
      <c r="BL969" s="387">
        <f t="shared" si="692"/>
        <v>1666.9202575999998</v>
      </c>
      <c r="BM969" s="387">
        <f t="shared" si="693"/>
        <v>0</v>
      </c>
      <c r="BN969" s="387">
        <f t="shared" si="670"/>
        <v>2330</v>
      </c>
      <c r="BO969" s="387">
        <f t="shared" si="671"/>
        <v>0</v>
      </c>
      <c r="BP969" s="387">
        <f t="shared" si="672"/>
        <v>477.92575999999997</v>
      </c>
      <c r="BQ969" s="387">
        <f t="shared" si="673"/>
        <v>111.77296</v>
      </c>
      <c r="BR969" s="387">
        <f t="shared" si="674"/>
        <v>920.39251200000001</v>
      </c>
      <c r="BS969" s="387">
        <f t="shared" si="675"/>
        <v>55.5781408</v>
      </c>
      <c r="BT969" s="387">
        <f t="shared" si="676"/>
        <v>0</v>
      </c>
      <c r="BU969" s="387">
        <f t="shared" si="677"/>
        <v>42.6664368</v>
      </c>
      <c r="BV969" s="387">
        <f t="shared" si="678"/>
        <v>26.208831999999997</v>
      </c>
      <c r="BW969" s="387">
        <f t="shared" si="679"/>
        <v>0</v>
      </c>
      <c r="BX969" s="387">
        <f t="shared" si="694"/>
        <v>1634.5446416</v>
      </c>
      <c r="BY969" s="387">
        <f t="shared" si="695"/>
        <v>0</v>
      </c>
      <c r="BZ969" s="387">
        <f t="shared" si="696"/>
        <v>0</v>
      </c>
      <c r="CA969" s="387">
        <f t="shared" si="697"/>
        <v>0</v>
      </c>
      <c r="CB969" s="387">
        <f t="shared" si="698"/>
        <v>0</v>
      </c>
      <c r="CC969" s="387">
        <f t="shared" si="680"/>
        <v>0</v>
      </c>
      <c r="CD969" s="387">
        <f t="shared" si="681"/>
        <v>0</v>
      </c>
      <c r="CE969" s="387">
        <f t="shared" si="682"/>
        <v>0</v>
      </c>
      <c r="CF969" s="387">
        <f t="shared" si="683"/>
        <v>-37.771552</v>
      </c>
      <c r="CG969" s="387">
        <f t="shared" si="684"/>
        <v>0</v>
      </c>
      <c r="CH969" s="387">
        <f t="shared" si="685"/>
        <v>5.3959359999999972</v>
      </c>
      <c r="CI969" s="387">
        <f t="shared" si="686"/>
        <v>0</v>
      </c>
      <c r="CJ969" s="387">
        <f t="shared" si="699"/>
        <v>-32.375616000000001</v>
      </c>
      <c r="CK969" s="387" t="str">
        <f t="shared" si="700"/>
        <v/>
      </c>
      <c r="CL969" s="387" t="str">
        <f t="shared" si="701"/>
        <v/>
      </c>
      <c r="CM969" s="387" t="str">
        <f t="shared" si="702"/>
        <v/>
      </c>
      <c r="CN969" s="387" t="str">
        <f t="shared" si="703"/>
        <v>0348-31</v>
      </c>
    </row>
    <row r="970" spans="1:92" ht="15.75" thickBot="1" x14ac:dyDescent="0.3">
      <c r="A970" s="376" t="s">
        <v>161</v>
      </c>
      <c r="B970" s="376" t="s">
        <v>162</v>
      </c>
      <c r="C970" s="376" t="s">
        <v>654</v>
      </c>
      <c r="D970" s="376" t="s">
        <v>655</v>
      </c>
      <c r="E970" s="376" t="s">
        <v>224</v>
      </c>
      <c r="F970" s="382" t="s">
        <v>225</v>
      </c>
      <c r="G970" s="376" t="s">
        <v>1945</v>
      </c>
      <c r="H970" s="378"/>
      <c r="I970" s="378"/>
      <c r="J970" s="376" t="s">
        <v>239</v>
      </c>
      <c r="K970" s="376" t="s">
        <v>656</v>
      </c>
      <c r="L970" s="376" t="s">
        <v>210</v>
      </c>
      <c r="M970" s="376" t="s">
        <v>171</v>
      </c>
      <c r="N970" s="376" t="s">
        <v>172</v>
      </c>
      <c r="O970" s="379">
        <v>1</v>
      </c>
      <c r="P970" s="385">
        <v>0.15</v>
      </c>
      <c r="Q970" s="385">
        <v>0.15</v>
      </c>
      <c r="R970" s="380">
        <v>80</v>
      </c>
      <c r="S970" s="385">
        <v>0.15</v>
      </c>
      <c r="T970" s="380">
        <v>32585.94</v>
      </c>
      <c r="U970" s="380">
        <v>0</v>
      </c>
      <c r="V970" s="380">
        <v>11750.71</v>
      </c>
      <c r="W970" s="380">
        <v>9672</v>
      </c>
      <c r="X970" s="380">
        <v>3839.06</v>
      </c>
      <c r="Y970" s="380">
        <v>9672</v>
      </c>
      <c r="Z970" s="380">
        <v>3798.44</v>
      </c>
      <c r="AA970" s="376" t="s">
        <v>657</v>
      </c>
      <c r="AB970" s="376" t="s">
        <v>658</v>
      </c>
      <c r="AC970" s="376" t="s">
        <v>659</v>
      </c>
      <c r="AD970" s="376" t="s">
        <v>406</v>
      </c>
      <c r="AE970" s="376" t="s">
        <v>656</v>
      </c>
      <c r="AF970" s="376" t="s">
        <v>245</v>
      </c>
      <c r="AG970" s="376" t="s">
        <v>178</v>
      </c>
      <c r="AH970" s="379">
        <v>31</v>
      </c>
      <c r="AI970" s="381">
        <v>6015.5</v>
      </c>
      <c r="AJ970" s="376" t="s">
        <v>179</v>
      </c>
      <c r="AK970" s="376" t="s">
        <v>180</v>
      </c>
      <c r="AL970" s="376" t="s">
        <v>181</v>
      </c>
      <c r="AM970" s="376" t="s">
        <v>182</v>
      </c>
      <c r="AN970" s="376" t="s">
        <v>68</v>
      </c>
      <c r="AO970" s="379">
        <v>80</v>
      </c>
      <c r="AP970" s="385">
        <v>1</v>
      </c>
      <c r="AQ970" s="385">
        <v>0.15</v>
      </c>
      <c r="AR970" s="383" t="s">
        <v>183</v>
      </c>
      <c r="AS970" s="387">
        <f t="shared" si="687"/>
        <v>0.15</v>
      </c>
      <c r="AT970">
        <f t="shared" si="688"/>
        <v>1</v>
      </c>
      <c r="AU970" s="387">
        <f>IF(AT970=0,"",IF(AND(AT970=1,M970="F",SUMIF(C2:C1334,C970,AS2:AS1334)&lt;=1),SUMIF(C2:C1334,C970,AS2:AS1334),IF(AND(AT970=1,M970="F",SUMIF(C2:C1334,C970,AS2:AS1334)&gt;1),1,"")))</f>
        <v>1</v>
      </c>
      <c r="AV970" s="387" t="str">
        <f>IF(AT970=0,"",IF(AND(AT970=3,M970="F",SUMIF(C2:C1334,C970,AS2:AS1334)&lt;=1),SUMIF(C2:C1334,C970,AS2:AS1334),IF(AND(AT970=3,M970="F",SUMIF(C2:C1334,C970,AS2:AS1334)&gt;1),1,"")))</f>
        <v/>
      </c>
      <c r="AW970" s="387">
        <f>SUMIF(C2:C1334,C970,O2:O1334)</f>
        <v>3</v>
      </c>
      <c r="AX970" s="387">
        <f>IF(AND(M970="F",AS970&lt;&gt;0),SUMIF(C2:C1334,C970,W2:W1334),0)</f>
        <v>64480</v>
      </c>
      <c r="AY970" s="387">
        <f t="shared" si="689"/>
        <v>9672</v>
      </c>
      <c r="AZ970" s="387" t="str">
        <f t="shared" si="690"/>
        <v/>
      </c>
      <c r="BA970" s="387">
        <f t="shared" si="691"/>
        <v>0</v>
      </c>
      <c r="BB970" s="387">
        <f t="shared" si="660"/>
        <v>1747.5</v>
      </c>
      <c r="BC970" s="387">
        <f t="shared" si="661"/>
        <v>0</v>
      </c>
      <c r="BD970" s="387">
        <f t="shared" si="662"/>
        <v>599.66399999999999</v>
      </c>
      <c r="BE970" s="387">
        <f t="shared" si="663"/>
        <v>140.244</v>
      </c>
      <c r="BF970" s="387">
        <f t="shared" si="664"/>
        <v>1154.8368</v>
      </c>
      <c r="BG970" s="387">
        <f t="shared" si="665"/>
        <v>69.735120000000009</v>
      </c>
      <c r="BH970" s="387">
        <f t="shared" si="666"/>
        <v>47.392800000000001</v>
      </c>
      <c r="BI970" s="387">
        <f t="shared" si="667"/>
        <v>53.534520000000001</v>
      </c>
      <c r="BJ970" s="387">
        <f t="shared" si="668"/>
        <v>26.1144</v>
      </c>
      <c r="BK970" s="387">
        <f t="shared" si="669"/>
        <v>0</v>
      </c>
      <c r="BL970" s="387">
        <f t="shared" si="692"/>
        <v>2091.5216399999999</v>
      </c>
      <c r="BM970" s="387">
        <f t="shared" si="693"/>
        <v>0</v>
      </c>
      <c r="BN970" s="387">
        <f t="shared" si="670"/>
        <v>1747.5</v>
      </c>
      <c r="BO970" s="387">
        <f t="shared" si="671"/>
        <v>0</v>
      </c>
      <c r="BP970" s="387">
        <f t="shared" si="672"/>
        <v>599.66399999999999</v>
      </c>
      <c r="BQ970" s="387">
        <f t="shared" si="673"/>
        <v>140.244</v>
      </c>
      <c r="BR970" s="387">
        <f t="shared" si="674"/>
        <v>1154.8368</v>
      </c>
      <c r="BS970" s="387">
        <f t="shared" si="675"/>
        <v>69.735120000000009</v>
      </c>
      <c r="BT970" s="387">
        <f t="shared" si="676"/>
        <v>0</v>
      </c>
      <c r="BU970" s="387">
        <f t="shared" si="677"/>
        <v>53.534520000000001</v>
      </c>
      <c r="BV970" s="387">
        <f t="shared" si="678"/>
        <v>32.884799999999998</v>
      </c>
      <c r="BW970" s="387">
        <f t="shared" si="679"/>
        <v>0</v>
      </c>
      <c r="BX970" s="387">
        <f t="shared" si="694"/>
        <v>2050.8992399999997</v>
      </c>
      <c r="BY970" s="387">
        <f t="shared" si="695"/>
        <v>0</v>
      </c>
      <c r="BZ970" s="387">
        <f t="shared" si="696"/>
        <v>0</v>
      </c>
      <c r="CA970" s="387">
        <f t="shared" si="697"/>
        <v>0</v>
      </c>
      <c r="CB970" s="387">
        <f t="shared" si="698"/>
        <v>0</v>
      </c>
      <c r="CC970" s="387">
        <f t="shared" si="680"/>
        <v>0</v>
      </c>
      <c r="CD970" s="387">
        <f t="shared" si="681"/>
        <v>0</v>
      </c>
      <c r="CE970" s="387">
        <f t="shared" si="682"/>
        <v>0</v>
      </c>
      <c r="CF970" s="387">
        <f t="shared" si="683"/>
        <v>-47.392800000000001</v>
      </c>
      <c r="CG970" s="387">
        <f t="shared" si="684"/>
        <v>0</v>
      </c>
      <c r="CH970" s="387">
        <f t="shared" si="685"/>
        <v>6.7703999999999969</v>
      </c>
      <c r="CI970" s="387">
        <f t="shared" si="686"/>
        <v>0</v>
      </c>
      <c r="CJ970" s="387">
        <f t="shared" si="699"/>
        <v>-40.622400000000006</v>
      </c>
      <c r="CK970" s="387" t="str">
        <f t="shared" si="700"/>
        <v/>
      </c>
      <c r="CL970" s="387" t="str">
        <f t="shared" si="701"/>
        <v/>
      </c>
      <c r="CM970" s="387" t="str">
        <f t="shared" si="702"/>
        <v/>
      </c>
      <c r="CN970" s="387" t="str">
        <f t="shared" si="703"/>
        <v>0348-31</v>
      </c>
    </row>
    <row r="971" spans="1:92" ht="15.75" thickBot="1" x14ac:dyDescent="0.3">
      <c r="A971" s="376" t="s">
        <v>161</v>
      </c>
      <c r="B971" s="376" t="s">
        <v>162</v>
      </c>
      <c r="C971" s="376" t="s">
        <v>286</v>
      </c>
      <c r="D971" s="376" t="s">
        <v>287</v>
      </c>
      <c r="E971" s="376" t="s">
        <v>224</v>
      </c>
      <c r="F971" s="382" t="s">
        <v>225</v>
      </c>
      <c r="G971" s="376" t="s">
        <v>1945</v>
      </c>
      <c r="H971" s="378"/>
      <c r="I971" s="378"/>
      <c r="J971" s="376" t="s">
        <v>288</v>
      </c>
      <c r="K971" s="376" t="s">
        <v>289</v>
      </c>
      <c r="L971" s="376" t="s">
        <v>170</v>
      </c>
      <c r="M971" s="376" t="s">
        <v>171</v>
      </c>
      <c r="N971" s="376" t="s">
        <v>172</v>
      </c>
      <c r="O971" s="379">
        <v>1</v>
      </c>
      <c r="P971" s="385">
        <v>0.15</v>
      </c>
      <c r="Q971" s="385">
        <v>0.15</v>
      </c>
      <c r="R971" s="380">
        <v>80</v>
      </c>
      <c r="S971" s="385">
        <v>0.15</v>
      </c>
      <c r="T971" s="380">
        <v>7029.81</v>
      </c>
      <c r="U971" s="380">
        <v>0</v>
      </c>
      <c r="V971" s="380">
        <v>2854.36</v>
      </c>
      <c r="W971" s="380">
        <v>9228.9599999999991</v>
      </c>
      <c r="X971" s="380">
        <v>3743.25</v>
      </c>
      <c r="Y971" s="380">
        <v>9228.9599999999991</v>
      </c>
      <c r="Z971" s="380">
        <v>3704.49</v>
      </c>
      <c r="AA971" s="376" t="s">
        <v>290</v>
      </c>
      <c r="AB971" s="376" t="s">
        <v>291</v>
      </c>
      <c r="AC971" s="376" t="s">
        <v>292</v>
      </c>
      <c r="AD971" s="376" t="s">
        <v>210</v>
      </c>
      <c r="AE971" s="376" t="s">
        <v>289</v>
      </c>
      <c r="AF971" s="376" t="s">
        <v>177</v>
      </c>
      <c r="AG971" s="376" t="s">
        <v>178</v>
      </c>
      <c r="AH971" s="381">
        <v>29.58</v>
      </c>
      <c r="AI971" s="379">
        <v>41341</v>
      </c>
      <c r="AJ971" s="376" t="s">
        <v>179</v>
      </c>
      <c r="AK971" s="376" t="s">
        <v>180</v>
      </c>
      <c r="AL971" s="376" t="s">
        <v>181</v>
      </c>
      <c r="AM971" s="376" t="s">
        <v>182</v>
      </c>
      <c r="AN971" s="376" t="s">
        <v>68</v>
      </c>
      <c r="AO971" s="379">
        <v>80</v>
      </c>
      <c r="AP971" s="385">
        <v>1</v>
      </c>
      <c r="AQ971" s="385">
        <v>0.15</v>
      </c>
      <c r="AR971" s="383" t="s">
        <v>183</v>
      </c>
      <c r="AS971" s="387">
        <f t="shared" si="687"/>
        <v>0.15</v>
      </c>
      <c r="AT971">
        <f t="shared" si="688"/>
        <v>1</v>
      </c>
      <c r="AU971" s="387">
        <f>IF(AT971=0,"",IF(AND(AT971=1,M971="F",SUMIF(C2:C1334,C971,AS2:AS1334)&lt;=1),SUMIF(C2:C1334,C971,AS2:AS1334),IF(AND(AT971=1,M971="F",SUMIF(C2:C1334,C971,AS2:AS1334)&gt;1),1,"")))</f>
        <v>1</v>
      </c>
      <c r="AV971" s="387" t="str">
        <f>IF(AT971=0,"",IF(AND(AT971=3,M971="F",SUMIF(C2:C1334,C971,AS2:AS1334)&lt;=1),SUMIF(C2:C1334,C971,AS2:AS1334),IF(AND(AT971=3,M971="F",SUMIF(C2:C1334,C971,AS2:AS1334)&gt;1),1,"")))</f>
        <v/>
      </c>
      <c r="AW971" s="387">
        <f>SUMIF(C2:C1334,C971,O2:O1334)</f>
        <v>7</v>
      </c>
      <c r="AX971" s="387">
        <f>IF(AND(M971="F",AS971&lt;&gt;0),SUMIF(C2:C1334,C971,W2:W1334),0)</f>
        <v>61526.399999999994</v>
      </c>
      <c r="AY971" s="387">
        <f t="shared" si="689"/>
        <v>9228.9599999999991</v>
      </c>
      <c r="AZ971" s="387" t="str">
        <f t="shared" si="690"/>
        <v/>
      </c>
      <c r="BA971" s="387">
        <f t="shared" si="691"/>
        <v>0</v>
      </c>
      <c r="BB971" s="387">
        <f t="shared" si="660"/>
        <v>1747.5</v>
      </c>
      <c r="BC971" s="387">
        <f t="shared" si="661"/>
        <v>0</v>
      </c>
      <c r="BD971" s="387">
        <f t="shared" si="662"/>
        <v>572.19551999999999</v>
      </c>
      <c r="BE971" s="387">
        <f t="shared" si="663"/>
        <v>133.81992</v>
      </c>
      <c r="BF971" s="387">
        <f t="shared" si="664"/>
        <v>1101.9378239999999</v>
      </c>
      <c r="BG971" s="387">
        <f t="shared" si="665"/>
        <v>66.540801599999995</v>
      </c>
      <c r="BH971" s="387">
        <f t="shared" si="666"/>
        <v>45.221903999999995</v>
      </c>
      <c r="BI971" s="387">
        <f t="shared" si="667"/>
        <v>51.082293599999993</v>
      </c>
      <c r="BJ971" s="387">
        <f t="shared" si="668"/>
        <v>24.918191999999998</v>
      </c>
      <c r="BK971" s="387">
        <f t="shared" si="669"/>
        <v>0</v>
      </c>
      <c r="BL971" s="387">
        <f t="shared" si="692"/>
        <v>1995.7164551999997</v>
      </c>
      <c r="BM971" s="387">
        <f t="shared" si="693"/>
        <v>0</v>
      </c>
      <c r="BN971" s="387">
        <f t="shared" si="670"/>
        <v>1747.5</v>
      </c>
      <c r="BO971" s="387">
        <f t="shared" si="671"/>
        <v>0</v>
      </c>
      <c r="BP971" s="387">
        <f t="shared" si="672"/>
        <v>572.19551999999999</v>
      </c>
      <c r="BQ971" s="387">
        <f t="shared" si="673"/>
        <v>133.81992</v>
      </c>
      <c r="BR971" s="387">
        <f t="shared" si="674"/>
        <v>1101.9378239999999</v>
      </c>
      <c r="BS971" s="387">
        <f t="shared" si="675"/>
        <v>66.540801599999995</v>
      </c>
      <c r="BT971" s="387">
        <f t="shared" si="676"/>
        <v>0</v>
      </c>
      <c r="BU971" s="387">
        <f t="shared" si="677"/>
        <v>51.082293599999993</v>
      </c>
      <c r="BV971" s="387">
        <f t="shared" si="678"/>
        <v>31.378463999999994</v>
      </c>
      <c r="BW971" s="387">
        <f t="shared" si="679"/>
        <v>0</v>
      </c>
      <c r="BX971" s="387">
        <f t="shared" si="694"/>
        <v>1956.9548231999995</v>
      </c>
      <c r="BY971" s="387">
        <f t="shared" si="695"/>
        <v>0</v>
      </c>
      <c r="BZ971" s="387">
        <f t="shared" si="696"/>
        <v>0</v>
      </c>
      <c r="CA971" s="387">
        <f t="shared" si="697"/>
        <v>0</v>
      </c>
      <c r="CB971" s="387">
        <f t="shared" si="698"/>
        <v>0</v>
      </c>
      <c r="CC971" s="387">
        <f t="shared" si="680"/>
        <v>0</v>
      </c>
      <c r="CD971" s="387">
        <f t="shared" si="681"/>
        <v>0</v>
      </c>
      <c r="CE971" s="387">
        <f t="shared" si="682"/>
        <v>0</v>
      </c>
      <c r="CF971" s="387">
        <f t="shared" si="683"/>
        <v>-45.221903999999995</v>
      </c>
      <c r="CG971" s="387">
        <f t="shared" si="684"/>
        <v>0</v>
      </c>
      <c r="CH971" s="387">
        <f t="shared" si="685"/>
        <v>6.4602719999999962</v>
      </c>
      <c r="CI971" s="387">
        <f t="shared" si="686"/>
        <v>0</v>
      </c>
      <c r="CJ971" s="387">
        <f t="shared" si="699"/>
        <v>-38.761631999999999</v>
      </c>
      <c r="CK971" s="387" t="str">
        <f t="shared" si="700"/>
        <v/>
      </c>
      <c r="CL971" s="387" t="str">
        <f t="shared" si="701"/>
        <v/>
      </c>
      <c r="CM971" s="387" t="str">
        <f t="shared" si="702"/>
        <v/>
      </c>
      <c r="CN971" s="387" t="str">
        <f t="shared" si="703"/>
        <v>0348-31</v>
      </c>
    </row>
    <row r="972" spans="1:92" ht="15.75" thickBot="1" x14ac:dyDescent="0.3">
      <c r="A972" s="376" t="s">
        <v>161</v>
      </c>
      <c r="B972" s="376" t="s">
        <v>162</v>
      </c>
      <c r="C972" s="376" t="s">
        <v>1294</v>
      </c>
      <c r="D972" s="376" t="s">
        <v>862</v>
      </c>
      <c r="E972" s="376" t="s">
        <v>224</v>
      </c>
      <c r="F972" s="382" t="s">
        <v>225</v>
      </c>
      <c r="G972" s="376" t="s">
        <v>1945</v>
      </c>
      <c r="H972" s="378"/>
      <c r="I972" s="378"/>
      <c r="J972" s="376" t="s">
        <v>215</v>
      </c>
      <c r="K972" s="376" t="s">
        <v>863</v>
      </c>
      <c r="L972" s="376" t="s">
        <v>252</v>
      </c>
      <c r="M972" s="376" t="s">
        <v>272</v>
      </c>
      <c r="N972" s="376" t="s">
        <v>172</v>
      </c>
      <c r="O972" s="379">
        <v>0</v>
      </c>
      <c r="P972" s="385">
        <v>1</v>
      </c>
      <c r="Q972" s="385">
        <v>1</v>
      </c>
      <c r="R972" s="380">
        <v>80</v>
      </c>
      <c r="S972" s="385">
        <v>1</v>
      </c>
      <c r="T972" s="380">
        <v>7996</v>
      </c>
      <c r="U972" s="380">
        <v>871.56</v>
      </c>
      <c r="V972" s="380">
        <v>4207.08</v>
      </c>
      <c r="W972" s="380">
        <v>42328</v>
      </c>
      <c r="X972" s="380">
        <v>18539.66</v>
      </c>
      <c r="Y972" s="380">
        <v>42328</v>
      </c>
      <c r="Z972" s="380">
        <v>18328.02</v>
      </c>
      <c r="AA972" s="378"/>
      <c r="AB972" s="376" t="s">
        <v>45</v>
      </c>
      <c r="AC972" s="376" t="s">
        <v>45</v>
      </c>
      <c r="AD972" s="378"/>
      <c r="AE972" s="378"/>
      <c r="AF972" s="378"/>
      <c r="AG972" s="378"/>
      <c r="AH972" s="379">
        <v>0</v>
      </c>
      <c r="AI972" s="379">
        <v>0</v>
      </c>
      <c r="AJ972" s="378"/>
      <c r="AK972" s="378"/>
      <c r="AL972" s="376" t="s">
        <v>181</v>
      </c>
      <c r="AM972" s="378"/>
      <c r="AN972" s="378"/>
      <c r="AO972" s="379">
        <v>0</v>
      </c>
      <c r="AP972" s="385">
        <v>0</v>
      </c>
      <c r="AQ972" s="385">
        <v>0</v>
      </c>
      <c r="AR972" s="384"/>
      <c r="AS972" s="387">
        <f t="shared" si="687"/>
        <v>0</v>
      </c>
      <c r="AT972">
        <f t="shared" si="688"/>
        <v>0</v>
      </c>
      <c r="AU972" s="387" t="str">
        <f>IF(AT972=0,"",IF(AND(AT972=1,M972="F",SUMIF(C2:C1334,C972,AS2:AS1334)&lt;=1),SUMIF(C2:C1334,C972,AS2:AS1334),IF(AND(AT972=1,M972="F",SUMIF(C2:C1334,C972,AS2:AS1334)&gt;1),1,"")))</f>
        <v/>
      </c>
      <c r="AV972" s="387" t="str">
        <f>IF(AT972=0,"",IF(AND(AT972=3,M972="F",SUMIF(C2:C1334,C972,AS2:AS1334)&lt;=1),SUMIF(C2:C1334,C972,AS2:AS1334),IF(AND(AT972=3,M972="F",SUMIF(C2:C1334,C972,AS2:AS1334)&gt;1),1,"")))</f>
        <v/>
      </c>
      <c r="AW972" s="387">
        <f>SUMIF(C2:C1334,C972,O2:O1334)</f>
        <v>0</v>
      </c>
      <c r="AX972" s="387">
        <f>IF(AND(M972="F",AS972&lt;&gt;0),SUMIF(C2:C1334,C972,W2:W1334),0)</f>
        <v>0</v>
      </c>
      <c r="AY972" s="387" t="str">
        <f t="shared" si="689"/>
        <v/>
      </c>
      <c r="AZ972" s="387" t="str">
        <f t="shared" si="690"/>
        <v/>
      </c>
      <c r="BA972" s="387">
        <f t="shared" si="691"/>
        <v>0</v>
      </c>
      <c r="BB972" s="387">
        <f t="shared" si="660"/>
        <v>0</v>
      </c>
      <c r="BC972" s="387">
        <f t="shared" si="661"/>
        <v>0</v>
      </c>
      <c r="BD972" s="387">
        <f t="shared" si="662"/>
        <v>0</v>
      </c>
      <c r="BE972" s="387">
        <f t="shared" si="663"/>
        <v>0</v>
      </c>
      <c r="BF972" s="387">
        <f t="shared" si="664"/>
        <v>0</v>
      </c>
      <c r="BG972" s="387">
        <f t="shared" si="665"/>
        <v>0</v>
      </c>
      <c r="BH972" s="387">
        <f t="shared" si="666"/>
        <v>0</v>
      </c>
      <c r="BI972" s="387">
        <f t="shared" si="667"/>
        <v>0</v>
      </c>
      <c r="BJ972" s="387">
        <f t="shared" si="668"/>
        <v>0</v>
      </c>
      <c r="BK972" s="387">
        <f t="shared" si="669"/>
        <v>0</v>
      </c>
      <c r="BL972" s="387">
        <f t="shared" si="692"/>
        <v>0</v>
      </c>
      <c r="BM972" s="387">
        <f t="shared" si="693"/>
        <v>0</v>
      </c>
      <c r="BN972" s="387">
        <f t="shared" si="670"/>
        <v>0</v>
      </c>
      <c r="BO972" s="387">
        <f t="shared" si="671"/>
        <v>0</v>
      </c>
      <c r="BP972" s="387">
        <f t="shared" si="672"/>
        <v>0</v>
      </c>
      <c r="BQ972" s="387">
        <f t="shared" si="673"/>
        <v>0</v>
      </c>
      <c r="BR972" s="387">
        <f t="shared" si="674"/>
        <v>0</v>
      </c>
      <c r="BS972" s="387">
        <f t="shared" si="675"/>
        <v>0</v>
      </c>
      <c r="BT972" s="387">
        <f t="shared" si="676"/>
        <v>0</v>
      </c>
      <c r="BU972" s="387">
        <f t="shared" si="677"/>
        <v>0</v>
      </c>
      <c r="BV972" s="387">
        <f t="shared" si="678"/>
        <v>0</v>
      </c>
      <c r="BW972" s="387">
        <f t="shared" si="679"/>
        <v>0</v>
      </c>
      <c r="BX972" s="387">
        <f t="shared" si="694"/>
        <v>0</v>
      </c>
      <c r="BY972" s="387">
        <f t="shared" si="695"/>
        <v>0</v>
      </c>
      <c r="BZ972" s="387">
        <f t="shared" si="696"/>
        <v>0</v>
      </c>
      <c r="CA972" s="387">
        <f t="shared" si="697"/>
        <v>0</v>
      </c>
      <c r="CB972" s="387">
        <f t="shared" si="698"/>
        <v>0</v>
      </c>
      <c r="CC972" s="387">
        <f t="shared" si="680"/>
        <v>0</v>
      </c>
      <c r="CD972" s="387">
        <f t="shared" si="681"/>
        <v>0</v>
      </c>
      <c r="CE972" s="387">
        <f t="shared" si="682"/>
        <v>0</v>
      </c>
      <c r="CF972" s="387">
        <f t="shared" si="683"/>
        <v>0</v>
      </c>
      <c r="CG972" s="387">
        <f t="shared" si="684"/>
        <v>0</v>
      </c>
      <c r="CH972" s="387">
        <f t="shared" si="685"/>
        <v>0</v>
      </c>
      <c r="CI972" s="387">
        <f t="shared" si="686"/>
        <v>0</v>
      </c>
      <c r="CJ972" s="387">
        <f t="shared" si="699"/>
        <v>0</v>
      </c>
      <c r="CK972" s="387" t="str">
        <f t="shared" si="700"/>
        <v/>
      </c>
      <c r="CL972" s="387" t="str">
        <f t="shared" si="701"/>
        <v/>
      </c>
      <c r="CM972" s="387" t="str">
        <f t="shared" si="702"/>
        <v/>
      </c>
      <c r="CN972" s="387" t="str">
        <f t="shared" si="703"/>
        <v>0348-31</v>
      </c>
    </row>
    <row r="973" spans="1:92" ht="15.75" thickBot="1" x14ac:dyDescent="0.3">
      <c r="A973" s="376" t="s">
        <v>161</v>
      </c>
      <c r="B973" s="376" t="s">
        <v>162</v>
      </c>
      <c r="C973" s="376" t="s">
        <v>1953</v>
      </c>
      <c r="D973" s="376" t="s">
        <v>368</v>
      </c>
      <c r="E973" s="376" t="s">
        <v>224</v>
      </c>
      <c r="F973" s="382" t="s">
        <v>225</v>
      </c>
      <c r="G973" s="376" t="s">
        <v>1945</v>
      </c>
      <c r="H973" s="378"/>
      <c r="I973" s="378"/>
      <c r="J973" s="376" t="s">
        <v>215</v>
      </c>
      <c r="K973" s="376" t="s">
        <v>424</v>
      </c>
      <c r="L973" s="376" t="s">
        <v>210</v>
      </c>
      <c r="M973" s="376" t="s">
        <v>171</v>
      </c>
      <c r="N973" s="376" t="s">
        <v>172</v>
      </c>
      <c r="O973" s="379">
        <v>1</v>
      </c>
      <c r="P973" s="385">
        <v>1</v>
      </c>
      <c r="Q973" s="385">
        <v>1</v>
      </c>
      <c r="R973" s="380">
        <v>80</v>
      </c>
      <c r="S973" s="385">
        <v>1</v>
      </c>
      <c r="T973" s="380">
        <v>80458.52</v>
      </c>
      <c r="U973" s="380">
        <v>3581.76</v>
      </c>
      <c r="V973" s="380">
        <v>27834.52</v>
      </c>
      <c r="W973" s="380">
        <v>92913.600000000006</v>
      </c>
      <c r="X973" s="380">
        <v>31742.53</v>
      </c>
      <c r="Y973" s="380">
        <v>92913.600000000006</v>
      </c>
      <c r="Z973" s="380">
        <v>31352.3</v>
      </c>
      <c r="AA973" s="376" t="s">
        <v>1954</v>
      </c>
      <c r="AB973" s="376" t="s">
        <v>1955</v>
      </c>
      <c r="AC973" s="376" t="s">
        <v>1881</v>
      </c>
      <c r="AD973" s="376" t="s">
        <v>351</v>
      </c>
      <c r="AE973" s="376" t="s">
        <v>424</v>
      </c>
      <c r="AF973" s="376" t="s">
        <v>245</v>
      </c>
      <c r="AG973" s="376" t="s">
        <v>178</v>
      </c>
      <c r="AH973" s="381">
        <v>44.67</v>
      </c>
      <c r="AI973" s="381">
        <v>47073.8</v>
      </c>
      <c r="AJ973" s="376" t="s">
        <v>179</v>
      </c>
      <c r="AK973" s="376" t="s">
        <v>180</v>
      </c>
      <c r="AL973" s="376" t="s">
        <v>181</v>
      </c>
      <c r="AM973" s="376" t="s">
        <v>182</v>
      </c>
      <c r="AN973" s="376" t="s">
        <v>68</v>
      </c>
      <c r="AO973" s="379">
        <v>80</v>
      </c>
      <c r="AP973" s="385">
        <v>1</v>
      </c>
      <c r="AQ973" s="385">
        <v>1</v>
      </c>
      <c r="AR973" s="383" t="s">
        <v>183</v>
      </c>
      <c r="AS973" s="387">
        <f t="shared" si="687"/>
        <v>1</v>
      </c>
      <c r="AT973">
        <f t="shared" si="688"/>
        <v>1</v>
      </c>
      <c r="AU973" s="387">
        <f>IF(AT973=0,"",IF(AND(AT973=1,M973="F",SUMIF(C2:C1334,C973,AS2:AS1334)&lt;=1),SUMIF(C2:C1334,C973,AS2:AS1334),IF(AND(AT973=1,M973="F",SUMIF(C2:C1334,C973,AS2:AS1334)&gt;1),1,"")))</f>
        <v>1</v>
      </c>
      <c r="AV973" s="387" t="str">
        <f>IF(AT973=0,"",IF(AND(AT973=3,M973="F",SUMIF(C2:C1334,C973,AS2:AS1334)&lt;=1),SUMIF(C2:C1334,C973,AS2:AS1334),IF(AND(AT973=3,M973="F",SUMIF(C2:C1334,C973,AS2:AS1334)&gt;1),1,"")))</f>
        <v/>
      </c>
      <c r="AW973" s="387">
        <f>SUMIF(C2:C1334,C973,O2:O1334)</f>
        <v>2</v>
      </c>
      <c r="AX973" s="387">
        <f>IF(AND(M973="F",AS973&lt;&gt;0),SUMIF(C2:C1334,C973,W2:W1334),0)</f>
        <v>92913.600000000006</v>
      </c>
      <c r="AY973" s="387">
        <f t="shared" si="689"/>
        <v>92913.600000000006</v>
      </c>
      <c r="AZ973" s="387" t="str">
        <f t="shared" si="690"/>
        <v/>
      </c>
      <c r="BA973" s="387">
        <f t="shared" si="691"/>
        <v>0</v>
      </c>
      <c r="BB973" s="387">
        <f t="shared" si="660"/>
        <v>11650</v>
      </c>
      <c r="BC973" s="387">
        <f t="shared" si="661"/>
        <v>0</v>
      </c>
      <c r="BD973" s="387">
        <f t="shared" si="662"/>
        <v>5760.6432000000004</v>
      </c>
      <c r="BE973" s="387">
        <f t="shared" si="663"/>
        <v>1347.2472000000002</v>
      </c>
      <c r="BF973" s="387">
        <f t="shared" si="664"/>
        <v>11093.88384</v>
      </c>
      <c r="BG973" s="387">
        <f t="shared" si="665"/>
        <v>669.90705600000001</v>
      </c>
      <c r="BH973" s="387">
        <f t="shared" si="666"/>
        <v>455.27663999999999</v>
      </c>
      <c r="BI973" s="387">
        <f t="shared" si="667"/>
        <v>514.27677600000004</v>
      </c>
      <c r="BJ973" s="387">
        <f t="shared" si="668"/>
        <v>250.86672000000002</v>
      </c>
      <c r="BK973" s="387">
        <f t="shared" si="669"/>
        <v>0</v>
      </c>
      <c r="BL973" s="387">
        <f t="shared" si="692"/>
        <v>20092.101431999999</v>
      </c>
      <c r="BM973" s="387">
        <f t="shared" si="693"/>
        <v>0</v>
      </c>
      <c r="BN973" s="387">
        <f t="shared" si="670"/>
        <v>11650</v>
      </c>
      <c r="BO973" s="387">
        <f t="shared" si="671"/>
        <v>0</v>
      </c>
      <c r="BP973" s="387">
        <f t="shared" si="672"/>
        <v>5760.6432000000004</v>
      </c>
      <c r="BQ973" s="387">
        <f t="shared" si="673"/>
        <v>1347.2472000000002</v>
      </c>
      <c r="BR973" s="387">
        <f t="shared" si="674"/>
        <v>11093.88384</v>
      </c>
      <c r="BS973" s="387">
        <f t="shared" si="675"/>
        <v>669.90705600000001</v>
      </c>
      <c r="BT973" s="387">
        <f t="shared" si="676"/>
        <v>0</v>
      </c>
      <c r="BU973" s="387">
        <f t="shared" si="677"/>
        <v>514.27677600000004</v>
      </c>
      <c r="BV973" s="387">
        <f t="shared" si="678"/>
        <v>315.90624000000003</v>
      </c>
      <c r="BW973" s="387">
        <f t="shared" si="679"/>
        <v>0</v>
      </c>
      <c r="BX973" s="387">
        <f t="shared" si="694"/>
        <v>19701.864311999998</v>
      </c>
      <c r="BY973" s="387">
        <f t="shared" si="695"/>
        <v>0</v>
      </c>
      <c r="BZ973" s="387">
        <f t="shared" si="696"/>
        <v>0</v>
      </c>
      <c r="CA973" s="387">
        <f t="shared" si="697"/>
        <v>0</v>
      </c>
      <c r="CB973" s="387">
        <f t="shared" si="698"/>
        <v>0</v>
      </c>
      <c r="CC973" s="387">
        <f t="shared" si="680"/>
        <v>0</v>
      </c>
      <c r="CD973" s="387">
        <f t="shared" si="681"/>
        <v>0</v>
      </c>
      <c r="CE973" s="387">
        <f t="shared" si="682"/>
        <v>0</v>
      </c>
      <c r="CF973" s="387">
        <f t="shared" si="683"/>
        <v>-455.27663999999999</v>
      </c>
      <c r="CG973" s="387">
        <f t="shared" si="684"/>
        <v>0</v>
      </c>
      <c r="CH973" s="387">
        <f t="shared" si="685"/>
        <v>65.039519999999968</v>
      </c>
      <c r="CI973" s="387">
        <f t="shared" si="686"/>
        <v>0</v>
      </c>
      <c r="CJ973" s="387">
        <f t="shared" si="699"/>
        <v>-390.23712</v>
      </c>
      <c r="CK973" s="387" t="str">
        <f t="shared" si="700"/>
        <v/>
      </c>
      <c r="CL973" s="387" t="str">
        <f t="shared" si="701"/>
        <v/>
      </c>
      <c r="CM973" s="387" t="str">
        <f t="shared" si="702"/>
        <v/>
      </c>
      <c r="CN973" s="387" t="str">
        <f t="shared" si="703"/>
        <v>0348-31</v>
      </c>
    </row>
    <row r="974" spans="1:92" ht="15.75" thickBot="1" x14ac:dyDescent="0.3">
      <c r="A974" s="376" t="s">
        <v>161</v>
      </c>
      <c r="B974" s="376" t="s">
        <v>162</v>
      </c>
      <c r="C974" s="376" t="s">
        <v>2159</v>
      </c>
      <c r="D974" s="376" t="s">
        <v>792</v>
      </c>
      <c r="E974" s="376" t="s">
        <v>224</v>
      </c>
      <c r="F974" s="382" t="s">
        <v>225</v>
      </c>
      <c r="G974" s="376" t="s">
        <v>1945</v>
      </c>
      <c r="H974" s="378"/>
      <c r="I974" s="378"/>
      <c r="J974" s="376" t="s">
        <v>215</v>
      </c>
      <c r="K974" s="376" t="s">
        <v>793</v>
      </c>
      <c r="L974" s="376" t="s">
        <v>170</v>
      </c>
      <c r="M974" s="376" t="s">
        <v>171</v>
      </c>
      <c r="N974" s="376" t="s">
        <v>172</v>
      </c>
      <c r="O974" s="379">
        <v>1</v>
      </c>
      <c r="P974" s="385">
        <v>1</v>
      </c>
      <c r="Q974" s="385">
        <v>1</v>
      </c>
      <c r="R974" s="380">
        <v>80</v>
      </c>
      <c r="S974" s="385">
        <v>1</v>
      </c>
      <c r="T974" s="380">
        <v>56272.99</v>
      </c>
      <c r="U974" s="380">
        <v>2137.54</v>
      </c>
      <c r="V974" s="380">
        <v>23651.16</v>
      </c>
      <c r="W974" s="380">
        <v>58302.400000000001</v>
      </c>
      <c r="X974" s="380">
        <v>24257.86</v>
      </c>
      <c r="Y974" s="380">
        <v>58302.400000000001</v>
      </c>
      <c r="Z974" s="380">
        <v>24012.99</v>
      </c>
      <c r="AA974" s="376" t="s">
        <v>2160</v>
      </c>
      <c r="AB974" s="376" t="s">
        <v>2161</v>
      </c>
      <c r="AC974" s="376" t="s">
        <v>2162</v>
      </c>
      <c r="AD974" s="376" t="s">
        <v>170</v>
      </c>
      <c r="AE974" s="376" t="s">
        <v>793</v>
      </c>
      <c r="AF974" s="376" t="s">
        <v>177</v>
      </c>
      <c r="AG974" s="376" t="s">
        <v>178</v>
      </c>
      <c r="AH974" s="381">
        <v>28.03</v>
      </c>
      <c r="AI974" s="381">
        <v>56580.7</v>
      </c>
      <c r="AJ974" s="376" t="s">
        <v>179</v>
      </c>
      <c r="AK974" s="376" t="s">
        <v>180</v>
      </c>
      <c r="AL974" s="376" t="s">
        <v>181</v>
      </c>
      <c r="AM974" s="376" t="s">
        <v>182</v>
      </c>
      <c r="AN974" s="376" t="s">
        <v>68</v>
      </c>
      <c r="AO974" s="379">
        <v>80</v>
      </c>
      <c r="AP974" s="385">
        <v>1</v>
      </c>
      <c r="AQ974" s="385">
        <v>1</v>
      </c>
      <c r="AR974" s="383" t="s">
        <v>183</v>
      </c>
      <c r="AS974" s="387">
        <f t="shared" si="687"/>
        <v>1</v>
      </c>
      <c r="AT974">
        <f t="shared" si="688"/>
        <v>1</v>
      </c>
      <c r="AU974" s="387">
        <f>IF(AT974=0,"",IF(AND(AT974=1,M974="F",SUMIF(C2:C1334,C974,AS2:AS1334)&lt;=1),SUMIF(C2:C1334,C974,AS2:AS1334),IF(AND(AT974=1,M974="F",SUMIF(C2:C1334,C974,AS2:AS1334)&gt;1),1,"")))</f>
        <v>1</v>
      </c>
      <c r="AV974" s="387" t="str">
        <f>IF(AT974=0,"",IF(AND(AT974=3,M974="F",SUMIF(C2:C1334,C974,AS2:AS1334)&lt;=1),SUMIF(C2:C1334,C974,AS2:AS1334),IF(AND(AT974=3,M974="F",SUMIF(C2:C1334,C974,AS2:AS1334)&gt;1),1,"")))</f>
        <v/>
      </c>
      <c r="AW974" s="387">
        <f>SUMIF(C2:C1334,C974,O2:O1334)</f>
        <v>1</v>
      </c>
      <c r="AX974" s="387">
        <f>IF(AND(M974="F",AS974&lt;&gt;0),SUMIF(C2:C1334,C974,W2:W1334),0)</f>
        <v>58302.400000000001</v>
      </c>
      <c r="AY974" s="387">
        <f t="shared" si="689"/>
        <v>58302.400000000001</v>
      </c>
      <c r="AZ974" s="387" t="str">
        <f t="shared" si="690"/>
        <v/>
      </c>
      <c r="BA974" s="387">
        <f t="shared" si="691"/>
        <v>0</v>
      </c>
      <c r="BB974" s="387">
        <f t="shared" si="660"/>
        <v>11650</v>
      </c>
      <c r="BC974" s="387">
        <f t="shared" si="661"/>
        <v>0</v>
      </c>
      <c r="BD974" s="387">
        <f t="shared" si="662"/>
        <v>3614.7487999999998</v>
      </c>
      <c r="BE974" s="387">
        <f t="shared" si="663"/>
        <v>845.38480000000004</v>
      </c>
      <c r="BF974" s="387">
        <f t="shared" si="664"/>
        <v>6961.3065600000009</v>
      </c>
      <c r="BG974" s="387">
        <f t="shared" si="665"/>
        <v>420.36030400000004</v>
      </c>
      <c r="BH974" s="387">
        <f t="shared" si="666"/>
        <v>285.68176</v>
      </c>
      <c r="BI974" s="387">
        <f t="shared" si="667"/>
        <v>322.70378399999998</v>
      </c>
      <c r="BJ974" s="387">
        <f t="shared" si="668"/>
        <v>157.41648000000001</v>
      </c>
      <c r="BK974" s="387">
        <f t="shared" si="669"/>
        <v>0</v>
      </c>
      <c r="BL974" s="387">
        <f t="shared" si="692"/>
        <v>12607.602488</v>
      </c>
      <c r="BM974" s="387">
        <f t="shared" si="693"/>
        <v>0</v>
      </c>
      <c r="BN974" s="387">
        <f t="shared" si="670"/>
        <v>11650</v>
      </c>
      <c r="BO974" s="387">
        <f t="shared" si="671"/>
        <v>0</v>
      </c>
      <c r="BP974" s="387">
        <f t="shared" si="672"/>
        <v>3614.7487999999998</v>
      </c>
      <c r="BQ974" s="387">
        <f t="shared" si="673"/>
        <v>845.38480000000004</v>
      </c>
      <c r="BR974" s="387">
        <f t="shared" si="674"/>
        <v>6961.3065600000009</v>
      </c>
      <c r="BS974" s="387">
        <f t="shared" si="675"/>
        <v>420.36030400000004</v>
      </c>
      <c r="BT974" s="387">
        <f t="shared" si="676"/>
        <v>0</v>
      </c>
      <c r="BU974" s="387">
        <f t="shared" si="677"/>
        <v>322.70378399999998</v>
      </c>
      <c r="BV974" s="387">
        <f t="shared" si="678"/>
        <v>198.22816</v>
      </c>
      <c r="BW974" s="387">
        <f t="shared" si="679"/>
        <v>0</v>
      </c>
      <c r="BX974" s="387">
        <f t="shared" si="694"/>
        <v>12362.732408000002</v>
      </c>
      <c r="BY974" s="387">
        <f t="shared" si="695"/>
        <v>0</v>
      </c>
      <c r="BZ974" s="387">
        <f t="shared" si="696"/>
        <v>0</v>
      </c>
      <c r="CA974" s="387">
        <f t="shared" si="697"/>
        <v>0</v>
      </c>
      <c r="CB974" s="387">
        <f t="shared" si="698"/>
        <v>0</v>
      </c>
      <c r="CC974" s="387">
        <f t="shared" si="680"/>
        <v>0</v>
      </c>
      <c r="CD974" s="387">
        <f t="shared" si="681"/>
        <v>0</v>
      </c>
      <c r="CE974" s="387">
        <f t="shared" si="682"/>
        <v>0</v>
      </c>
      <c r="CF974" s="387">
        <f t="shared" si="683"/>
        <v>-285.68176</v>
      </c>
      <c r="CG974" s="387">
        <f t="shared" si="684"/>
        <v>0</v>
      </c>
      <c r="CH974" s="387">
        <f t="shared" si="685"/>
        <v>40.811679999999981</v>
      </c>
      <c r="CI974" s="387">
        <f t="shared" si="686"/>
        <v>0</v>
      </c>
      <c r="CJ974" s="387">
        <f t="shared" si="699"/>
        <v>-244.87008000000003</v>
      </c>
      <c r="CK974" s="387" t="str">
        <f t="shared" si="700"/>
        <v/>
      </c>
      <c r="CL974" s="387" t="str">
        <f t="shared" si="701"/>
        <v/>
      </c>
      <c r="CM974" s="387" t="str">
        <f t="shared" si="702"/>
        <v/>
      </c>
      <c r="CN974" s="387" t="str">
        <f t="shared" si="703"/>
        <v>0348-31</v>
      </c>
    </row>
    <row r="975" spans="1:92" ht="15.75" thickBot="1" x14ac:dyDescent="0.3">
      <c r="A975" s="376" t="s">
        <v>161</v>
      </c>
      <c r="B975" s="376" t="s">
        <v>162</v>
      </c>
      <c r="C975" s="376" t="s">
        <v>2163</v>
      </c>
      <c r="D975" s="376" t="s">
        <v>974</v>
      </c>
      <c r="E975" s="376" t="s">
        <v>224</v>
      </c>
      <c r="F975" s="382" t="s">
        <v>225</v>
      </c>
      <c r="G975" s="376" t="s">
        <v>1945</v>
      </c>
      <c r="H975" s="378"/>
      <c r="I975" s="378"/>
      <c r="J975" s="376" t="s">
        <v>215</v>
      </c>
      <c r="K975" s="376" t="s">
        <v>975</v>
      </c>
      <c r="L975" s="376" t="s">
        <v>296</v>
      </c>
      <c r="M975" s="376" t="s">
        <v>171</v>
      </c>
      <c r="N975" s="376" t="s">
        <v>172</v>
      </c>
      <c r="O975" s="379">
        <v>1</v>
      </c>
      <c r="P975" s="385">
        <v>1</v>
      </c>
      <c r="Q975" s="385">
        <v>1</v>
      </c>
      <c r="R975" s="380">
        <v>80</v>
      </c>
      <c r="S975" s="385">
        <v>1</v>
      </c>
      <c r="T975" s="380">
        <v>41565.620000000003</v>
      </c>
      <c r="U975" s="380">
        <v>0</v>
      </c>
      <c r="V975" s="380">
        <v>20406</v>
      </c>
      <c r="W975" s="380">
        <v>48796.800000000003</v>
      </c>
      <c r="X975" s="380">
        <v>22202.28</v>
      </c>
      <c r="Y975" s="380">
        <v>48796.800000000003</v>
      </c>
      <c r="Z975" s="380">
        <v>21997.33</v>
      </c>
      <c r="AA975" s="376" t="s">
        <v>2164</v>
      </c>
      <c r="AB975" s="376" t="s">
        <v>1091</v>
      </c>
      <c r="AC975" s="376" t="s">
        <v>2165</v>
      </c>
      <c r="AD975" s="376" t="s">
        <v>2166</v>
      </c>
      <c r="AE975" s="376" t="s">
        <v>975</v>
      </c>
      <c r="AF975" s="376" t="s">
        <v>301</v>
      </c>
      <c r="AG975" s="376" t="s">
        <v>178</v>
      </c>
      <c r="AH975" s="381">
        <v>23.46</v>
      </c>
      <c r="AI975" s="379">
        <v>15781</v>
      </c>
      <c r="AJ975" s="376" t="s">
        <v>179</v>
      </c>
      <c r="AK975" s="376" t="s">
        <v>180</v>
      </c>
      <c r="AL975" s="376" t="s">
        <v>181</v>
      </c>
      <c r="AM975" s="376" t="s">
        <v>182</v>
      </c>
      <c r="AN975" s="376" t="s">
        <v>68</v>
      </c>
      <c r="AO975" s="379">
        <v>80</v>
      </c>
      <c r="AP975" s="385">
        <v>1</v>
      </c>
      <c r="AQ975" s="385">
        <v>1</v>
      </c>
      <c r="AR975" s="383" t="s">
        <v>183</v>
      </c>
      <c r="AS975" s="387">
        <f t="shared" si="687"/>
        <v>1</v>
      </c>
      <c r="AT975">
        <f t="shared" si="688"/>
        <v>1</v>
      </c>
      <c r="AU975" s="387">
        <f>IF(AT975=0,"",IF(AND(AT975=1,M975="F",SUMIF(C2:C1334,C975,AS2:AS1334)&lt;=1),SUMIF(C2:C1334,C975,AS2:AS1334),IF(AND(AT975=1,M975="F",SUMIF(C2:C1334,C975,AS2:AS1334)&gt;1),1,"")))</f>
        <v>1</v>
      </c>
      <c r="AV975" s="387" t="str">
        <f>IF(AT975=0,"",IF(AND(AT975=3,M975="F",SUMIF(C2:C1334,C975,AS2:AS1334)&lt;=1),SUMIF(C2:C1334,C975,AS2:AS1334),IF(AND(AT975=3,M975="F",SUMIF(C2:C1334,C975,AS2:AS1334)&gt;1),1,"")))</f>
        <v/>
      </c>
      <c r="AW975" s="387">
        <f>SUMIF(C2:C1334,C975,O2:O1334)</f>
        <v>1</v>
      </c>
      <c r="AX975" s="387">
        <f>IF(AND(M975="F",AS975&lt;&gt;0),SUMIF(C2:C1334,C975,W2:W1334),0)</f>
        <v>48796.800000000003</v>
      </c>
      <c r="AY975" s="387">
        <f t="shared" si="689"/>
        <v>48796.800000000003</v>
      </c>
      <c r="AZ975" s="387" t="str">
        <f t="shared" si="690"/>
        <v/>
      </c>
      <c r="BA975" s="387">
        <f t="shared" si="691"/>
        <v>0</v>
      </c>
      <c r="BB975" s="387">
        <f t="shared" si="660"/>
        <v>11650</v>
      </c>
      <c r="BC975" s="387">
        <f t="shared" si="661"/>
        <v>0</v>
      </c>
      <c r="BD975" s="387">
        <f t="shared" si="662"/>
        <v>3025.4016000000001</v>
      </c>
      <c r="BE975" s="387">
        <f t="shared" si="663"/>
        <v>707.55360000000007</v>
      </c>
      <c r="BF975" s="387">
        <f t="shared" si="664"/>
        <v>5826.3379200000008</v>
      </c>
      <c r="BG975" s="387">
        <f t="shared" si="665"/>
        <v>351.82492800000006</v>
      </c>
      <c r="BH975" s="387">
        <f t="shared" si="666"/>
        <v>239.10432</v>
      </c>
      <c r="BI975" s="387">
        <f t="shared" si="667"/>
        <v>270.09028800000004</v>
      </c>
      <c r="BJ975" s="387">
        <f t="shared" si="668"/>
        <v>131.75136000000001</v>
      </c>
      <c r="BK975" s="387">
        <f t="shared" si="669"/>
        <v>0</v>
      </c>
      <c r="BL975" s="387">
        <f t="shared" si="692"/>
        <v>10552.064016000002</v>
      </c>
      <c r="BM975" s="387">
        <f t="shared" si="693"/>
        <v>0</v>
      </c>
      <c r="BN975" s="387">
        <f t="shared" si="670"/>
        <v>11650</v>
      </c>
      <c r="BO975" s="387">
        <f t="shared" si="671"/>
        <v>0</v>
      </c>
      <c r="BP975" s="387">
        <f t="shared" si="672"/>
        <v>3025.4016000000001</v>
      </c>
      <c r="BQ975" s="387">
        <f t="shared" si="673"/>
        <v>707.55360000000007</v>
      </c>
      <c r="BR975" s="387">
        <f t="shared" si="674"/>
        <v>5826.3379200000008</v>
      </c>
      <c r="BS975" s="387">
        <f t="shared" si="675"/>
        <v>351.82492800000006</v>
      </c>
      <c r="BT975" s="387">
        <f t="shared" si="676"/>
        <v>0</v>
      </c>
      <c r="BU975" s="387">
        <f t="shared" si="677"/>
        <v>270.09028800000004</v>
      </c>
      <c r="BV975" s="387">
        <f t="shared" si="678"/>
        <v>165.90912</v>
      </c>
      <c r="BW975" s="387">
        <f t="shared" si="679"/>
        <v>0</v>
      </c>
      <c r="BX975" s="387">
        <f t="shared" si="694"/>
        <v>10347.117456000002</v>
      </c>
      <c r="BY975" s="387">
        <f t="shared" si="695"/>
        <v>0</v>
      </c>
      <c r="BZ975" s="387">
        <f t="shared" si="696"/>
        <v>0</v>
      </c>
      <c r="CA975" s="387">
        <f t="shared" si="697"/>
        <v>0</v>
      </c>
      <c r="CB975" s="387">
        <f t="shared" si="698"/>
        <v>0</v>
      </c>
      <c r="CC975" s="387">
        <f t="shared" si="680"/>
        <v>0</v>
      </c>
      <c r="CD975" s="387">
        <f t="shared" si="681"/>
        <v>0</v>
      </c>
      <c r="CE975" s="387">
        <f t="shared" si="682"/>
        <v>0</v>
      </c>
      <c r="CF975" s="387">
        <f t="shared" si="683"/>
        <v>-239.10432</v>
      </c>
      <c r="CG975" s="387">
        <f t="shared" si="684"/>
        <v>0</v>
      </c>
      <c r="CH975" s="387">
        <f t="shared" si="685"/>
        <v>34.157759999999989</v>
      </c>
      <c r="CI975" s="387">
        <f t="shared" si="686"/>
        <v>0</v>
      </c>
      <c r="CJ975" s="387">
        <f t="shared" si="699"/>
        <v>-204.94656000000001</v>
      </c>
      <c r="CK975" s="387" t="str">
        <f t="shared" si="700"/>
        <v/>
      </c>
      <c r="CL975" s="387" t="str">
        <f t="shared" si="701"/>
        <v/>
      </c>
      <c r="CM975" s="387" t="str">
        <f t="shared" si="702"/>
        <v/>
      </c>
      <c r="CN975" s="387" t="str">
        <f t="shared" si="703"/>
        <v>0348-31</v>
      </c>
    </row>
    <row r="976" spans="1:92" ht="15.75" thickBot="1" x14ac:dyDescent="0.3">
      <c r="A976" s="376" t="s">
        <v>161</v>
      </c>
      <c r="B976" s="376" t="s">
        <v>162</v>
      </c>
      <c r="C976" s="376" t="s">
        <v>1107</v>
      </c>
      <c r="D976" s="376" t="s">
        <v>992</v>
      </c>
      <c r="E976" s="376" t="s">
        <v>224</v>
      </c>
      <c r="F976" s="382" t="s">
        <v>225</v>
      </c>
      <c r="G976" s="376" t="s">
        <v>1945</v>
      </c>
      <c r="H976" s="378"/>
      <c r="I976" s="378"/>
      <c r="J976" s="376" t="s">
        <v>215</v>
      </c>
      <c r="K976" s="376" t="s">
        <v>993</v>
      </c>
      <c r="L976" s="376" t="s">
        <v>210</v>
      </c>
      <c r="M976" s="376" t="s">
        <v>171</v>
      </c>
      <c r="N976" s="376" t="s">
        <v>172</v>
      </c>
      <c r="O976" s="379">
        <v>1</v>
      </c>
      <c r="P976" s="385">
        <v>1</v>
      </c>
      <c r="Q976" s="385">
        <v>1</v>
      </c>
      <c r="R976" s="380">
        <v>80</v>
      </c>
      <c r="S976" s="385">
        <v>1</v>
      </c>
      <c r="T976" s="380">
        <v>0</v>
      </c>
      <c r="U976" s="380">
        <v>0</v>
      </c>
      <c r="V976" s="380">
        <v>0</v>
      </c>
      <c r="W976" s="380">
        <v>69347.199999999997</v>
      </c>
      <c r="X976" s="380">
        <v>26646.3</v>
      </c>
      <c r="Y976" s="380">
        <v>69347.199999999997</v>
      </c>
      <c r="Z976" s="380">
        <v>26355.05</v>
      </c>
      <c r="AA976" s="376" t="s">
        <v>1108</v>
      </c>
      <c r="AB976" s="376" t="s">
        <v>1109</v>
      </c>
      <c r="AC976" s="376" t="s">
        <v>1110</v>
      </c>
      <c r="AD976" s="376" t="s">
        <v>317</v>
      </c>
      <c r="AE976" s="376" t="s">
        <v>993</v>
      </c>
      <c r="AF976" s="376" t="s">
        <v>245</v>
      </c>
      <c r="AG976" s="376" t="s">
        <v>178</v>
      </c>
      <c r="AH976" s="381">
        <v>33.340000000000003</v>
      </c>
      <c r="AI976" s="381">
        <v>45312.9</v>
      </c>
      <c r="AJ976" s="376" t="s">
        <v>179</v>
      </c>
      <c r="AK976" s="376" t="s">
        <v>180</v>
      </c>
      <c r="AL976" s="376" t="s">
        <v>181</v>
      </c>
      <c r="AM976" s="376" t="s">
        <v>182</v>
      </c>
      <c r="AN976" s="376" t="s">
        <v>68</v>
      </c>
      <c r="AO976" s="379">
        <v>80</v>
      </c>
      <c r="AP976" s="385">
        <v>1</v>
      </c>
      <c r="AQ976" s="385">
        <v>1</v>
      </c>
      <c r="AR976" s="383" t="s">
        <v>183</v>
      </c>
      <c r="AS976" s="387">
        <f t="shared" si="687"/>
        <v>1</v>
      </c>
      <c r="AT976">
        <f t="shared" si="688"/>
        <v>1</v>
      </c>
      <c r="AU976" s="387">
        <f>IF(AT976=0,"",IF(AND(AT976=1,M976="F",SUMIF(C2:C1334,C976,AS2:AS1334)&lt;=1),SUMIF(C2:C1334,C976,AS2:AS1334),IF(AND(AT976=1,M976="F",SUMIF(C2:C1334,C976,AS2:AS1334)&gt;1),1,"")))</f>
        <v>1</v>
      </c>
      <c r="AV976" s="387" t="str">
        <f>IF(AT976=0,"",IF(AND(AT976=3,M976="F",SUMIF(C2:C1334,C976,AS2:AS1334)&lt;=1),SUMIF(C2:C1334,C976,AS2:AS1334),IF(AND(AT976=3,M976="F",SUMIF(C2:C1334,C976,AS2:AS1334)&gt;1),1,"")))</f>
        <v/>
      </c>
      <c r="AW976" s="387">
        <f>SUMIF(C2:C1334,C976,O2:O1334)</f>
        <v>2</v>
      </c>
      <c r="AX976" s="387">
        <f>IF(AND(M976="F",AS976&lt;&gt;0),SUMIF(C2:C1334,C976,W2:W1334),0)</f>
        <v>69347.199999999997</v>
      </c>
      <c r="AY976" s="387">
        <f t="shared" si="689"/>
        <v>69347.199999999997</v>
      </c>
      <c r="AZ976" s="387" t="str">
        <f t="shared" si="690"/>
        <v/>
      </c>
      <c r="BA976" s="387">
        <f t="shared" si="691"/>
        <v>0</v>
      </c>
      <c r="BB976" s="387">
        <f t="shared" si="660"/>
        <v>11650</v>
      </c>
      <c r="BC976" s="387">
        <f t="shared" si="661"/>
        <v>0</v>
      </c>
      <c r="BD976" s="387">
        <f t="shared" si="662"/>
        <v>4299.5263999999997</v>
      </c>
      <c r="BE976" s="387">
        <f t="shared" si="663"/>
        <v>1005.5344</v>
      </c>
      <c r="BF976" s="387">
        <f t="shared" si="664"/>
        <v>8280.0556799999995</v>
      </c>
      <c r="BG976" s="387">
        <f t="shared" si="665"/>
        <v>499.993312</v>
      </c>
      <c r="BH976" s="387">
        <f t="shared" si="666"/>
        <v>339.80127999999996</v>
      </c>
      <c r="BI976" s="387">
        <f t="shared" si="667"/>
        <v>383.83675199999999</v>
      </c>
      <c r="BJ976" s="387">
        <f t="shared" si="668"/>
        <v>187.23743999999999</v>
      </c>
      <c r="BK976" s="387">
        <f t="shared" si="669"/>
        <v>0</v>
      </c>
      <c r="BL976" s="387">
        <f t="shared" si="692"/>
        <v>14995.985263999999</v>
      </c>
      <c r="BM976" s="387">
        <f t="shared" si="693"/>
        <v>0</v>
      </c>
      <c r="BN976" s="387">
        <f t="shared" si="670"/>
        <v>11650</v>
      </c>
      <c r="BO976" s="387">
        <f t="shared" si="671"/>
        <v>0</v>
      </c>
      <c r="BP976" s="387">
        <f t="shared" si="672"/>
        <v>4299.5263999999997</v>
      </c>
      <c r="BQ976" s="387">
        <f t="shared" si="673"/>
        <v>1005.5344</v>
      </c>
      <c r="BR976" s="387">
        <f t="shared" si="674"/>
        <v>8280.0556799999995</v>
      </c>
      <c r="BS976" s="387">
        <f t="shared" si="675"/>
        <v>499.993312</v>
      </c>
      <c r="BT976" s="387">
        <f t="shared" si="676"/>
        <v>0</v>
      </c>
      <c r="BU976" s="387">
        <f t="shared" si="677"/>
        <v>383.83675199999999</v>
      </c>
      <c r="BV976" s="387">
        <f t="shared" si="678"/>
        <v>235.78047999999998</v>
      </c>
      <c r="BW976" s="387">
        <f t="shared" si="679"/>
        <v>0</v>
      </c>
      <c r="BX976" s="387">
        <f t="shared" si="694"/>
        <v>14704.727023999998</v>
      </c>
      <c r="BY976" s="387">
        <f t="shared" si="695"/>
        <v>0</v>
      </c>
      <c r="BZ976" s="387">
        <f t="shared" si="696"/>
        <v>0</v>
      </c>
      <c r="CA976" s="387">
        <f t="shared" si="697"/>
        <v>0</v>
      </c>
      <c r="CB976" s="387">
        <f t="shared" si="698"/>
        <v>0</v>
      </c>
      <c r="CC976" s="387">
        <f t="shared" si="680"/>
        <v>0</v>
      </c>
      <c r="CD976" s="387">
        <f t="shared" si="681"/>
        <v>0</v>
      </c>
      <c r="CE976" s="387">
        <f t="shared" si="682"/>
        <v>0</v>
      </c>
      <c r="CF976" s="387">
        <f t="shared" si="683"/>
        <v>-339.80127999999996</v>
      </c>
      <c r="CG976" s="387">
        <f t="shared" si="684"/>
        <v>0</v>
      </c>
      <c r="CH976" s="387">
        <f t="shared" si="685"/>
        <v>48.543039999999976</v>
      </c>
      <c r="CI976" s="387">
        <f t="shared" si="686"/>
        <v>0</v>
      </c>
      <c r="CJ976" s="387">
        <f t="shared" si="699"/>
        <v>-291.25824</v>
      </c>
      <c r="CK976" s="387" t="str">
        <f t="shared" si="700"/>
        <v/>
      </c>
      <c r="CL976" s="387" t="str">
        <f t="shared" si="701"/>
        <v/>
      </c>
      <c r="CM976" s="387" t="str">
        <f t="shared" si="702"/>
        <v/>
      </c>
      <c r="CN976" s="387" t="str">
        <f t="shared" si="703"/>
        <v>0348-31</v>
      </c>
    </row>
    <row r="977" spans="1:92" ht="15.75" thickBot="1" x14ac:dyDescent="0.3">
      <c r="A977" s="376" t="s">
        <v>161</v>
      </c>
      <c r="B977" s="376" t="s">
        <v>162</v>
      </c>
      <c r="C977" s="376" t="s">
        <v>2167</v>
      </c>
      <c r="D977" s="376" t="s">
        <v>862</v>
      </c>
      <c r="E977" s="376" t="s">
        <v>224</v>
      </c>
      <c r="F977" s="382" t="s">
        <v>225</v>
      </c>
      <c r="G977" s="376" t="s">
        <v>1945</v>
      </c>
      <c r="H977" s="378"/>
      <c r="I977" s="378"/>
      <c r="J977" s="376" t="s">
        <v>215</v>
      </c>
      <c r="K977" s="376" t="s">
        <v>863</v>
      </c>
      <c r="L977" s="376" t="s">
        <v>252</v>
      </c>
      <c r="M977" s="376" t="s">
        <v>566</v>
      </c>
      <c r="N977" s="376" t="s">
        <v>172</v>
      </c>
      <c r="O977" s="379">
        <v>0</v>
      </c>
      <c r="P977" s="385">
        <v>0</v>
      </c>
      <c r="Q977" s="385">
        <v>0</v>
      </c>
      <c r="R977" s="380">
        <v>80</v>
      </c>
      <c r="S977" s="385">
        <v>0</v>
      </c>
      <c r="T977" s="380">
        <v>7847.45</v>
      </c>
      <c r="U977" s="380">
        <v>5.21</v>
      </c>
      <c r="V977" s="380">
        <v>4551.8599999999997</v>
      </c>
      <c r="W977" s="380">
        <v>0</v>
      </c>
      <c r="X977" s="380">
        <v>0</v>
      </c>
      <c r="Y977" s="380">
        <v>0</v>
      </c>
      <c r="Z977" s="380">
        <v>0</v>
      </c>
      <c r="AA977" s="378"/>
      <c r="AB977" s="376" t="s">
        <v>45</v>
      </c>
      <c r="AC977" s="376" t="s">
        <v>45</v>
      </c>
      <c r="AD977" s="378"/>
      <c r="AE977" s="378"/>
      <c r="AF977" s="378"/>
      <c r="AG977" s="378"/>
      <c r="AH977" s="379">
        <v>0</v>
      </c>
      <c r="AI977" s="379">
        <v>0</v>
      </c>
      <c r="AJ977" s="378"/>
      <c r="AK977" s="378"/>
      <c r="AL977" s="376" t="s">
        <v>181</v>
      </c>
      <c r="AM977" s="378"/>
      <c r="AN977" s="378"/>
      <c r="AO977" s="379">
        <v>0</v>
      </c>
      <c r="AP977" s="385">
        <v>0</v>
      </c>
      <c r="AQ977" s="385">
        <v>0</v>
      </c>
      <c r="AR977" s="384"/>
      <c r="AS977" s="387">
        <f t="shared" si="687"/>
        <v>0</v>
      </c>
      <c r="AT977">
        <f t="shared" si="688"/>
        <v>0</v>
      </c>
      <c r="AU977" s="387" t="str">
        <f>IF(AT977=0,"",IF(AND(AT977=1,M977="F",SUMIF(C2:C1334,C977,AS2:AS1334)&lt;=1),SUMIF(C2:C1334,C977,AS2:AS1334),IF(AND(AT977=1,M977="F",SUMIF(C2:C1334,C977,AS2:AS1334)&gt;1),1,"")))</f>
        <v/>
      </c>
      <c r="AV977" s="387" t="str">
        <f>IF(AT977=0,"",IF(AND(AT977=3,M977="F",SUMIF(C2:C1334,C977,AS2:AS1334)&lt;=1),SUMIF(C2:C1334,C977,AS2:AS1334),IF(AND(AT977=3,M977="F",SUMIF(C2:C1334,C977,AS2:AS1334)&gt;1),1,"")))</f>
        <v/>
      </c>
      <c r="AW977" s="387">
        <f>SUMIF(C2:C1334,C977,O2:O1334)</f>
        <v>0</v>
      </c>
      <c r="AX977" s="387">
        <f>IF(AND(M977="F",AS977&lt;&gt;0),SUMIF(C2:C1334,C977,W2:W1334),0)</f>
        <v>0</v>
      </c>
      <c r="AY977" s="387" t="str">
        <f t="shared" si="689"/>
        <v/>
      </c>
      <c r="AZ977" s="387" t="str">
        <f t="shared" si="690"/>
        <v/>
      </c>
      <c r="BA977" s="387">
        <f t="shared" si="691"/>
        <v>0</v>
      </c>
      <c r="BB977" s="387">
        <f t="shared" si="660"/>
        <v>0</v>
      </c>
      <c r="BC977" s="387">
        <f t="shared" si="661"/>
        <v>0</v>
      </c>
      <c r="BD977" s="387">
        <f t="shared" si="662"/>
        <v>0</v>
      </c>
      <c r="BE977" s="387">
        <f t="shared" si="663"/>
        <v>0</v>
      </c>
      <c r="BF977" s="387">
        <f t="shared" si="664"/>
        <v>0</v>
      </c>
      <c r="BG977" s="387">
        <f t="shared" si="665"/>
        <v>0</v>
      </c>
      <c r="BH977" s="387">
        <f t="shared" si="666"/>
        <v>0</v>
      </c>
      <c r="BI977" s="387">
        <f t="shared" si="667"/>
        <v>0</v>
      </c>
      <c r="BJ977" s="387">
        <f t="shared" si="668"/>
        <v>0</v>
      </c>
      <c r="BK977" s="387">
        <f t="shared" si="669"/>
        <v>0</v>
      </c>
      <c r="BL977" s="387">
        <f t="shared" si="692"/>
        <v>0</v>
      </c>
      <c r="BM977" s="387">
        <f t="shared" si="693"/>
        <v>0</v>
      </c>
      <c r="BN977" s="387">
        <f t="shared" si="670"/>
        <v>0</v>
      </c>
      <c r="BO977" s="387">
        <f t="shared" si="671"/>
        <v>0</v>
      </c>
      <c r="BP977" s="387">
        <f t="shared" si="672"/>
        <v>0</v>
      </c>
      <c r="BQ977" s="387">
        <f t="shared" si="673"/>
        <v>0</v>
      </c>
      <c r="BR977" s="387">
        <f t="shared" si="674"/>
        <v>0</v>
      </c>
      <c r="BS977" s="387">
        <f t="shared" si="675"/>
        <v>0</v>
      </c>
      <c r="BT977" s="387">
        <f t="shared" si="676"/>
        <v>0</v>
      </c>
      <c r="BU977" s="387">
        <f t="shared" si="677"/>
        <v>0</v>
      </c>
      <c r="BV977" s="387">
        <f t="shared" si="678"/>
        <v>0</v>
      </c>
      <c r="BW977" s="387">
        <f t="shared" si="679"/>
        <v>0</v>
      </c>
      <c r="BX977" s="387">
        <f t="shared" si="694"/>
        <v>0</v>
      </c>
      <c r="BY977" s="387">
        <f t="shared" si="695"/>
        <v>0</v>
      </c>
      <c r="BZ977" s="387">
        <f t="shared" si="696"/>
        <v>0</v>
      </c>
      <c r="CA977" s="387">
        <f t="shared" si="697"/>
        <v>0</v>
      </c>
      <c r="CB977" s="387">
        <f t="shared" si="698"/>
        <v>0</v>
      </c>
      <c r="CC977" s="387">
        <f t="shared" si="680"/>
        <v>0</v>
      </c>
      <c r="CD977" s="387">
        <f t="shared" si="681"/>
        <v>0</v>
      </c>
      <c r="CE977" s="387">
        <f t="shared" si="682"/>
        <v>0</v>
      </c>
      <c r="CF977" s="387">
        <f t="shared" si="683"/>
        <v>0</v>
      </c>
      <c r="CG977" s="387">
        <f t="shared" si="684"/>
        <v>0</v>
      </c>
      <c r="CH977" s="387">
        <f t="shared" si="685"/>
        <v>0</v>
      </c>
      <c r="CI977" s="387">
        <f t="shared" si="686"/>
        <v>0</v>
      </c>
      <c r="CJ977" s="387">
        <f t="shared" si="699"/>
        <v>0</v>
      </c>
      <c r="CK977" s="387" t="str">
        <f t="shared" si="700"/>
        <v/>
      </c>
      <c r="CL977" s="387" t="str">
        <f t="shared" si="701"/>
        <v/>
      </c>
      <c r="CM977" s="387" t="str">
        <f t="shared" si="702"/>
        <v/>
      </c>
      <c r="CN977" s="387" t="str">
        <f t="shared" si="703"/>
        <v>0348-31</v>
      </c>
    </row>
    <row r="978" spans="1:92" ht="15.75" thickBot="1" x14ac:dyDescent="0.3">
      <c r="A978" s="376" t="s">
        <v>161</v>
      </c>
      <c r="B978" s="376" t="s">
        <v>162</v>
      </c>
      <c r="C978" s="376" t="s">
        <v>1308</v>
      </c>
      <c r="D978" s="376" t="s">
        <v>238</v>
      </c>
      <c r="E978" s="376" t="s">
        <v>224</v>
      </c>
      <c r="F978" s="382" t="s">
        <v>225</v>
      </c>
      <c r="G978" s="376" t="s">
        <v>1945</v>
      </c>
      <c r="H978" s="378"/>
      <c r="I978" s="378"/>
      <c r="J978" s="376" t="s">
        <v>215</v>
      </c>
      <c r="K978" s="376" t="s">
        <v>285</v>
      </c>
      <c r="L978" s="376" t="s">
        <v>170</v>
      </c>
      <c r="M978" s="376" t="s">
        <v>171</v>
      </c>
      <c r="N978" s="376" t="s">
        <v>172</v>
      </c>
      <c r="O978" s="379">
        <v>1</v>
      </c>
      <c r="P978" s="385">
        <v>0</v>
      </c>
      <c r="Q978" s="385">
        <v>0</v>
      </c>
      <c r="R978" s="380">
        <v>80</v>
      </c>
      <c r="S978" s="385">
        <v>0</v>
      </c>
      <c r="T978" s="380">
        <v>38177.69</v>
      </c>
      <c r="U978" s="380">
        <v>0</v>
      </c>
      <c r="V978" s="380">
        <v>17406.650000000001</v>
      </c>
      <c r="W978" s="380">
        <v>0</v>
      </c>
      <c r="X978" s="380">
        <v>0</v>
      </c>
      <c r="Y978" s="380">
        <v>0</v>
      </c>
      <c r="Z978" s="380">
        <v>0</v>
      </c>
      <c r="AA978" s="376" t="s">
        <v>1309</v>
      </c>
      <c r="AB978" s="376" t="s">
        <v>1310</v>
      </c>
      <c r="AC978" s="376" t="s">
        <v>889</v>
      </c>
      <c r="AD978" s="376" t="s">
        <v>1311</v>
      </c>
      <c r="AE978" s="376" t="s">
        <v>285</v>
      </c>
      <c r="AF978" s="376" t="s">
        <v>177</v>
      </c>
      <c r="AG978" s="376" t="s">
        <v>178</v>
      </c>
      <c r="AH978" s="381">
        <v>23.41</v>
      </c>
      <c r="AI978" s="379">
        <v>18476</v>
      </c>
      <c r="AJ978" s="376" t="s">
        <v>179</v>
      </c>
      <c r="AK978" s="376" t="s">
        <v>180</v>
      </c>
      <c r="AL978" s="376" t="s">
        <v>181</v>
      </c>
      <c r="AM978" s="376" t="s">
        <v>182</v>
      </c>
      <c r="AN978" s="376" t="s">
        <v>68</v>
      </c>
      <c r="AO978" s="379">
        <v>80</v>
      </c>
      <c r="AP978" s="385">
        <v>1</v>
      </c>
      <c r="AQ978" s="385">
        <v>0</v>
      </c>
      <c r="AR978" s="383" t="s">
        <v>183</v>
      </c>
      <c r="AS978" s="387">
        <f t="shared" si="687"/>
        <v>0</v>
      </c>
      <c r="AT978">
        <f t="shared" si="688"/>
        <v>0</v>
      </c>
      <c r="AU978" s="387" t="str">
        <f>IF(AT978=0,"",IF(AND(AT978=1,M978="F",SUMIF(C2:C1334,C978,AS2:AS1334)&lt;=1),SUMIF(C2:C1334,C978,AS2:AS1334),IF(AND(AT978=1,M978="F",SUMIF(C2:C1334,C978,AS2:AS1334)&gt;1),1,"")))</f>
        <v/>
      </c>
      <c r="AV978" s="387" t="str">
        <f>IF(AT978=0,"",IF(AND(AT978=3,M978="F",SUMIF(C2:C1334,C978,AS2:AS1334)&lt;=1),SUMIF(C2:C1334,C978,AS2:AS1334),IF(AND(AT978=3,M978="F",SUMIF(C2:C1334,C978,AS2:AS1334)&gt;1),1,"")))</f>
        <v/>
      </c>
      <c r="AW978" s="387">
        <f>SUMIF(C2:C1334,C978,O2:O1334)</f>
        <v>3</v>
      </c>
      <c r="AX978" s="387">
        <f>IF(AND(M978="F",AS978&lt;&gt;0),SUMIF(C2:C1334,C978,W2:W1334),0)</f>
        <v>0</v>
      </c>
      <c r="AY978" s="387" t="str">
        <f t="shared" si="689"/>
        <v/>
      </c>
      <c r="AZ978" s="387" t="str">
        <f t="shared" si="690"/>
        <v/>
      </c>
      <c r="BA978" s="387">
        <f t="shared" si="691"/>
        <v>0</v>
      </c>
      <c r="BB978" s="387">
        <f t="shared" si="660"/>
        <v>0</v>
      </c>
      <c r="BC978" s="387">
        <f t="shared" si="661"/>
        <v>0</v>
      </c>
      <c r="BD978" s="387">
        <f t="shared" si="662"/>
        <v>0</v>
      </c>
      <c r="BE978" s="387">
        <f t="shared" si="663"/>
        <v>0</v>
      </c>
      <c r="BF978" s="387">
        <f t="shared" si="664"/>
        <v>0</v>
      </c>
      <c r="BG978" s="387">
        <f t="shared" si="665"/>
        <v>0</v>
      </c>
      <c r="BH978" s="387">
        <f t="shared" si="666"/>
        <v>0</v>
      </c>
      <c r="BI978" s="387">
        <f t="shared" si="667"/>
        <v>0</v>
      </c>
      <c r="BJ978" s="387">
        <f t="shared" si="668"/>
        <v>0</v>
      </c>
      <c r="BK978" s="387">
        <f t="shared" si="669"/>
        <v>0</v>
      </c>
      <c r="BL978" s="387">
        <f t="shared" si="692"/>
        <v>0</v>
      </c>
      <c r="BM978" s="387">
        <f t="shared" si="693"/>
        <v>0</v>
      </c>
      <c r="BN978" s="387">
        <f t="shared" si="670"/>
        <v>0</v>
      </c>
      <c r="BO978" s="387">
        <f t="shared" si="671"/>
        <v>0</v>
      </c>
      <c r="BP978" s="387">
        <f t="shared" si="672"/>
        <v>0</v>
      </c>
      <c r="BQ978" s="387">
        <f t="shared" si="673"/>
        <v>0</v>
      </c>
      <c r="BR978" s="387">
        <f t="shared" si="674"/>
        <v>0</v>
      </c>
      <c r="BS978" s="387">
        <f t="shared" si="675"/>
        <v>0</v>
      </c>
      <c r="BT978" s="387">
        <f t="shared" si="676"/>
        <v>0</v>
      </c>
      <c r="BU978" s="387">
        <f t="shared" si="677"/>
        <v>0</v>
      </c>
      <c r="BV978" s="387">
        <f t="shared" si="678"/>
        <v>0</v>
      </c>
      <c r="BW978" s="387">
        <f t="shared" si="679"/>
        <v>0</v>
      </c>
      <c r="BX978" s="387">
        <f t="shared" si="694"/>
        <v>0</v>
      </c>
      <c r="BY978" s="387">
        <f t="shared" si="695"/>
        <v>0</v>
      </c>
      <c r="BZ978" s="387">
        <f t="shared" si="696"/>
        <v>0</v>
      </c>
      <c r="CA978" s="387">
        <f t="shared" si="697"/>
        <v>0</v>
      </c>
      <c r="CB978" s="387">
        <f t="shared" si="698"/>
        <v>0</v>
      </c>
      <c r="CC978" s="387">
        <f t="shared" si="680"/>
        <v>0</v>
      </c>
      <c r="CD978" s="387">
        <f t="shared" si="681"/>
        <v>0</v>
      </c>
      <c r="CE978" s="387">
        <f t="shared" si="682"/>
        <v>0</v>
      </c>
      <c r="CF978" s="387">
        <f t="shared" si="683"/>
        <v>0</v>
      </c>
      <c r="CG978" s="387">
        <f t="shared" si="684"/>
        <v>0</v>
      </c>
      <c r="CH978" s="387">
        <f t="shared" si="685"/>
        <v>0</v>
      </c>
      <c r="CI978" s="387">
        <f t="shared" si="686"/>
        <v>0</v>
      </c>
      <c r="CJ978" s="387">
        <f t="shared" si="699"/>
        <v>0</v>
      </c>
      <c r="CK978" s="387" t="str">
        <f t="shared" si="700"/>
        <v/>
      </c>
      <c r="CL978" s="387" t="str">
        <f t="shared" si="701"/>
        <v/>
      </c>
      <c r="CM978" s="387" t="str">
        <f t="shared" si="702"/>
        <v/>
      </c>
      <c r="CN978" s="387" t="str">
        <f t="shared" si="703"/>
        <v>0348-31</v>
      </c>
    </row>
    <row r="979" spans="1:92" ht="15.75" thickBot="1" x14ac:dyDescent="0.3">
      <c r="A979" s="376" t="s">
        <v>161</v>
      </c>
      <c r="B979" s="376" t="s">
        <v>162</v>
      </c>
      <c r="C979" s="376" t="s">
        <v>1356</v>
      </c>
      <c r="D979" s="376" t="s">
        <v>862</v>
      </c>
      <c r="E979" s="376" t="s">
        <v>224</v>
      </c>
      <c r="F979" s="382" t="s">
        <v>225</v>
      </c>
      <c r="G979" s="376" t="s">
        <v>1945</v>
      </c>
      <c r="H979" s="378"/>
      <c r="I979" s="378"/>
      <c r="J979" s="376" t="s">
        <v>168</v>
      </c>
      <c r="K979" s="376" t="s">
        <v>863</v>
      </c>
      <c r="L979" s="376" t="s">
        <v>252</v>
      </c>
      <c r="M979" s="376" t="s">
        <v>171</v>
      </c>
      <c r="N979" s="376" t="s">
        <v>172</v>
      </c>
      <c r="O979" s="379">
        <v>1</v>
      </c>
      <c r="P979" s="385">
        <v>0.25</v>
      </c>
      <c r="Q979" s="385">
        <v>0.25</v>
      </c>
      <c r="R979" s="380">
        <v>80</v>
      </c>
      <c r="S979" s="385">
        <v>0.25</v>
      </c>
      <c r="T979" s="380">
        <v>10922.58</v>
      </c>
      <c r="U979" s="380">
        <v>0</v>
      </c>
      <c r="V979" s="380">
        <v>5264.22</v>
      </c>
      <c r="W979" s="380">
        <v>11466</v>
      </c>
      <c r="X979" s="380">
        <v>5392.01</v>
      </c>
      <c r="Y979" s="380">
        <v>11466</v>
      </c>
      <c r="Z979" s="380">
        <v>5343.85</v>
      </c>
      <c r="AA979" s="376" t="s">
        <v>1357</v>
      </c>
      <c r="AB979" s="376" t="s">
        <v>1358</v>
      </c>
      <c r="AC979" s="376" t="s">
        <v>1359</v>
      </c>
      <c r="AD979" s="376" t="s">
        <v>351</v>
      </c>
      <c r="AE979" s="376" t="s">
        <v>863</v>
      </c>
      <c r="AF979" s="376" t="s">
        <v>393</v>
      </c>
      <c r="AG979" s="376" t="s">
        <v>178</v>
      </c>
      <c r="AH979" s="381">
        <v>22.05</v>
      </c>
      <c r="AI979" s="381">
        <v>18872.599999999999</v>
      </c>
      <c r="AJ979" s="376" t="s">
        <v>179</v>
      </c>
      <c r="AK979" s="376" t="s">
        <v>180</v>
      </c>
      <c r="AL979" s="376" t="s">
        <v>181</v>
      </c>
      <c r="AM979" s="376" t="s">
        <v>182</v>
      </c>
      <c r="AN979" s="376" t="s">
        <v>68</v>
      </c>
      <c r="AO979" s="379">
        <v>80</v>
      </c>
      <c r="AP979" s="385">
        <v>1</v>
      </c>
      <c r="AQ979" s="385">
        <v>0.25</v>
      </c>
      <c r="AR979" s="383" t="s">
        <v>183</v>
      </c>
      <c r="AS979" s="387">
        <f t="shared" si="687"/>
        <v>0.25</v>
      </c>
      <c r="AT979">
        <f t="shared" si="688"/>
        <v>1</v>
      </c>
      <c r="AU979" s="387">
        <f>IF(AT979=0,"",IF(AND(AT979=1,M979="F",SUMIF(C2:C1334,C979,AS2:AS1334)&lt;=1),SUMIF(C2:C1334,C979,AS2:AS1334),IF(AND(AT979=1,M979="F",SUMIF(C2:C1334,C979,AS2:AS1334)&gt;1),1,"")))</f>
        <v>1</v>
      </c>
      <c r="AV979" s="387" t="str">
        <f>IF(AT979=0,"",IF(AND(AT979=3,M979="F",SUMIF(C2:C1334,C979,AS2:AS1334)&lt;=1),SUMIF(C2:C1334,C979,AS2:AS1334),IF(AND(AT979=3,M979="F",SUMIF(C2:C1334,C979,AS2:AS1334)&gt;1),1,"")))</f>
        <v/>
      </c>
      <c r="AW979" s="387">
        <f>SUMIF(C2:C1334,C979,O2:O1334)</f>
        <v>3</v>
      </c>
      <c r="AX979" s="387">
        <f>IF(AND(M979="F",AS979&lt;&gt;0),SUMIF(C2:C1334,C979,W2:W1334),0)</f>
        <v>45864</v>
      </c>
      <c r="AY979" s="387">
        <f t="shared" si="689"/>
        <v>11466</v>
      </c>
      <c r="AZ979" s="387" t="str">
        <f t="shared" si="690"/>
        <v/>
      </c>
      <c r="BA979" s="387">
        <f t="shared" si="691"/>
        <v>0</v>
      </c>
      <c r="BB979" s="387">
        <f t="shared" si="660"/>
        <v>2912.5</v>
      </c>
      <c r="BC979" s="387">
        <f t="shared" si="661"/>
        <v>0</v>
      </c>
      <c r="BD979" s="387">
        <f t="shared" si="662"/>
        <v>710.89199999999994</v>
      </c>
      <c r="BE979" s="387">
        <f t="shared" si="663"/>
        <v>166.25700000000001</v>
      </c>
      <c r="BF979" s="387">
        <f t="shared" si="664"/>
        <v>1369.0404000000001</v>
      </c>
      <c r="BG979" s="387">
        <f t="shared" si="665"/>
        <v>82.66986</v>
      </c>
      <c r="BH979" s="387">
        <f t="shared" si="666"/>
        <v>56.183399999999999</v>
      </c>
      <c r="BI979" s="387">
        <f t="shared" si="667"/>
        <v>63.464309999999998</v>
      </c>
      <c r="BJ979" s="387">
        <f t="shared" si="668"/>
        <v>30.958200000000001</v>
      </c>
      <c r="BK979" s="387">
        <f t="shared" si="669"/>
        <v>0</v>
      </c>
      <c r="BL979" s="387">
        <f t="shared" si="692"/>
        <v>2479.4651699999999</v>
      </c>
      <c r="BM979" s="387">
        <f t="shared" si="693"/>
        <v>0</v>
      </c>
      <c r="BN979" s="387">
        <f t="shared" si="670"/>
        <v>2912.5</v>
      </c>
      <c r="BO979" s="387">
        <f t="shared" si="671"/>
        <v>0</v>
      </c>
      <c r="BP979" s="387">
        <f t="shared" si="672"/>
        <v>710.89199999999994</v>
      </c>
      <c r="BQ979" s="387">
        <f t="shared" si="673"/>
        <v>166.25700000000001</v>
      </c>
      <c r="BR979" s="387">
        <f t="shared" si="674"/>
        <v>1369.0404000000001</v>
      </c>
      <c r="BS979" s="387">
        <f t="shared" si="675"/>
        <v>82.66986</v>
      </c>
      <c r="BT979" s="387">
        <f t="shared" si="676"/>
        <v>0</v>
      </c>
      <c r="BU979" s="387">
        <f t="shared" si="677"/>
        <v>63.464309999999998</v>
      </c>
      <c r="BV979" s="387">
        <f t="shared" si="678"/>
        <v>38.984400000000001</v>
      </c>
      <c r="BW979" s="387">
        <f t="shared" si="679"/>
        <v>0</v>
      </c>
      <c r="BX979" s="387">
        <f t="shared" si="694"/>
        <v>2431.3079699999998</v>
      </c>
      <c r="BY979" s="387">
        <f t="shared" si="695"/>
        <v>0</v>
      </c>
      <c r="BZ979" s="387">
        <f t="shared" si="696"/>
        <v>0</v>
      </c>
      <c r="CA979" s="387">
        <f t="shared" si="697"/>
        <v>0</v>
      </c>
      <c r="CB979" s="387">
        <f t="shared" si="698"/>
        <v>0</v>
      </c>
      <c r="CC979" s="387">
        <f t="shared" si="680"/>
        <v>0</v>
      </c>
      <c r="CD979" s="387">
        <f t="shared" si="681"/>
        <v>0</v>
      </c>
      <c r="CE979" s="387">
        <f t="shared" si="682"/>
        <v>0</v>
      </c>
      <c r="CF979" s="387">
        <f t="shared" si="683"/>
        <v>-56.183399999999999</v>
      </c>
      <c r="CG979" s="387">
        <f t="shared" si="684"/>
        <v>0</v>
      </c>
      <c r="CH979" s="387">
        <f t="shared" si="685"/>
        <v>8.0261999999999958</v>
      </c>
      <c r="CI979" s="387">
        <f t="shared" si="686"/>
        <v>0</v>
      </c>
      <c r="CJ979" s="387">
        <f t="shared" si="699"/>
        <v>-48.157200000000003</v>
      </c>
      <c r="CK979" s="387" t="str">
        <f t="shared" si="700"/>
        <v/>
      </c>
      <c r="CL979" s="387" t="str">
        <f t="shared" si="701"/>
        <v/>
      </c>
      <c r="CM979" s="387" t="str">
        <f t="shared" si="702"/>
        <v/>
      </c>
      <c r="CN979" s="387" t="str">
        <f t="shared" si="703"/>
        <v>0348-31</v>
      </c>
    </row>
    <row r="980" spans="1:92" ht="15.75" thickBot="1" x14ac:dyDescent="0.3">
      <c r="A980" s="376" t="s">
        <v>161</v>
      </c>
      <c r="B980" s="376" t="s">
        <v>162</v>
      </c>
      <c r="C980" s="376" t="s">
        <v>957</v>
      </c>
      <c r="D980" s="376" t="s">
        <v>862</v>
      </c>
      <c r="E980" s="376" t="s">
        <v>224</v>
      </c>
      <c r="F980" s="382" t="s">
        <v>225</v>
      </c>
      <c r="G980" s="376" t="s">
        <v>1945</v>
      </c>
      <c r="H980" s="378"/>
      <c r="I980" s="378"/>
      <c r="J980" s="376" t="s">
        <v>215</v>
      </c>
      <c r="K980" s="376" t="s">
        <v>863</v>
      </c>
      <c r="L980" s="376" t="s">
        <v>252</v>
      </c>
      <c r="M980" s="376" t="s">
        <v>171</v>
      </c>
      <c r="N980" s="376" t="s">
        <v>172</v>
      </c>
      <c r="O980" s="379">
        <v>1</v>
      </c>
      <c r="P980" s="385">
        <v>1</v>
      </c>
      <c r="Q980" s="385">
        <v>1</v>
      </c>
      <c r="R980" s="380">
        <v>80</v>
      </c>
      <c r="S980" s="385">
        <v>1</v>
      </c>
      <c r="T980" s="380">
        <v>32980.46</v>
      </c>
      <c r="U980" s="380">
        <v>235.97</v>
      </c>
      <c r="V980" s="380">
        <v>18272.04</v>
      </c>
      <c r="W980" s="380">
        <v>39228.800000000003</v>
      </c>
      <c r="X980" s="380">
        <v>20133.18</v>
      </c>
      <c r="Y980" s="380">
        <v>39228.800000000003</v>
      </c>
      <c r="Z980" s="380">
        <v>19968.419999999998</v>
      </c>
      <c r="AA980" s="376" t="s">
        <v>958</v>
      </c>
      <c r="AB980" s="376" t="s">
        <v>959</v>
      </c>
      <c r="AC980" s="376" t="s">
        <v>960</v>
      </c>
      <c r="AD980" s="376" t="s">
        <v>180</v>
      </c>
      <c r="AE980" s="376" t="s">
        <v>863</v>
      </c>
      <c r="AF980" s="376" t="s">
        <v>393</v>
      </c>
      <c r="AG980" s="376" t="s">
        <v>178</v>
      </c>
      <c r="AH980" s="381">
        <v>18.86</v>
      </c>
      <c r="AI980" s="379">
        <v>2009</v>
      </c>
      <c r="AJ980" s="376" t="s">
        <v>179</v>
      </c>
      <c r="AK980" s="376" t="s">
        <v>180</v>
      </c>
      <c r="AL980" s="376" t="s">
        <v>181</v>
      </c>
      <c r="AM980" s="376" t="s">
        <v>182</v>
      </c>
      <c r="AN980" s="376" t="s">
        <v>68</v>
      </c>
      <c r="AO980" s="379">
        <v>80</v>
      </c>
      <c r="AP980" s="385">
        <v>1</v>
      </c>
      <c r="AQ980" s="385">
        <v>1</v>
      </c>
      <c r="AR980" s="383" t="s">
        <v>183</v>
      </c>
      <c r="AS980" s="387">
        <f t="shared" si="687"/>
        <v>1</v>
      </c>
      <c r="AT980">
        <f t="shared" si="688"/>
        <v>1</v>
      </c>
      <c r="AU980" s="387">
        <f>IF(AT980=0,"",IF(AND(AT980=1,M980="F",SUMIF(C2:C1334,C980,AS2:AS1334)&lt;=1),SUMIF(C2:C1334,C980,AS2:AS1334),IF(AND(AT980=1,M980="F",SUMIF(C2:C1334,C980,AS2:AS1334)&gt;1),1,"")))</f>
        <v>1</v>
      </c>
      <c r="AV980" s="387" t="str">
        <f>IF(AT980=0,"",IF(AND(AT980=3,M980="F",SUMIF(C2:C1334,C980,AS2:AS1334)&lt;=1),SUMIF(C2:C1334,C980,AS2:AS1334),IF(AND(AT980=3,M980="F",SUMIF(C2:C1334,C980,AS2:AS1334)&gt;1),1,"")))</f>
        <v/>
      </c>
      <c r="AW980" s="387">
        <f>SUMIF(C2:C1334,C980,O2:O1334)</f>
        <v>2</v>
      </c>
      <c r="AX980" s="387">
        <f>IF(AND(M980="F",AS980&lt;&gt;0),SUMIF(C2:C1334,C980,W2:W1334),0)</f>
        <v>39228.800000000003</v>
      </c>
      <c r="AY980" s="387">
        <f t="shared" si="689"/>
        <v>39228.800000000003</v>
      </c>
      <c r="AZ980" s="387" t="str">
        <f t="shared" si="690"/>
        <v/>
      </c>
      <c r="BA980" s="387">
        <f t="shared" si="691"/>
        <v>0</v>
      </c>
      <c r="BB980" s="387">
        <f t="shared" si="660"/>
        <v>11650</v>
      </c>
      <c r="BC980" s="387">
        <f t="shared" si="661"/>
        <v>0</v>
      </c>
      <c r="BD980" s="387">
        <f t="shared" si="662"/>
        <v>2432.1856000000002</v>
      </c>
      <c r="BE980" s="387">
        <f t="shared" si="663"/>
        <v>568.81760000000008</v>
      </c>
      <c r="BF980" s="387">
        <f t="shared" si="664"/>
        <v>4683.9187200000006</v>
      </c>
      <c r="BG980" s="387">
        <f t="shared" si="665"/>
        <v>282.83964800000001</v>
      </c>
      <c r="BH980" s="387">
        <f t="shared" si="666"/>
        <v>192.22112000000001</v>
      </c>
      <c r="BI980" s="387">
        <f t="shared" si="667"/>
        <v>217.13140800000002</v>
      </c>
      <c r="BJ980" s="387">
        <f t="shared" si="668"/>
        <v>105.91776000000002</v>
      </c>
      <c r="BK980" s="387">
        <f t="shared" si="669"/>
        <v>0</v>
      </c>
      <c r="BL980" s="387">
        <f t="shared" si="692"/>
        <v>8483.0318560000014</v>
      </c>
      <c r="BM980" s="387">
        <f t="shared" si="693"/>
        <v>0</v>
      </c>
      <c r="BN980" s="387">
        <f t="shared" si="670"/>
        <v>11650</v>
      </c>
      <c r="BO980" s="387">
        <f t="shared" si="671"/>
        <v>0</v>
      </c>
      <c r="BP980" s="387">
        <f t="shared" si="672"/>
        <v>2432.1856000000002</v>
      </c>
      <c r="BQ980" s="387">
        <f t="shared" si="673"/>
        <v>568.81760000000008</v>
      </c>
      <c r="BR980" s="387">
        <f t="shared" si="674"/>
        <v>4683.9187200000006</v>
      </c>
      <c r="BS980" s="387">
        <f t="shared" si="675"/>
        <v>282.83964800000001</v>
      </c>
      <c r="BT980" s="387">
        <f t="shared" si="676"/>
        <v>0</v>
      </c>
      <c r="BU980" s="387">
        <f t="shared" si="677"/>
        <v>217.13140800000002</v>
      </c>
      <c r="BV980" s="387">
        <f t="shared" si="678"/>
        <v>133.37791999999999</v>
      </c>
      <c r="BW980" s="387">
        <f t="shared" si="679"/>
        <v>0</v>
      </c>
      <c r="BX980" s="387">
        <f t="shared" si="694"/>
        <v>8318.2708960000018</v>
      </c>
      <c r="BY980" s="387">
        <f t="shared" si="695"/>
        <v>0</v>
      </c>
      <c r="BZ980" s="387">
        <f t="shared" si="696"/>
        <v>0</v>
      </c>
      <c r="CA980" s="387">
        <f t="shared" si="697"/>
        <v>0</v>
      </c>
      <c r="CB980" s="387">
        <f t="shared" si="698"/>
        <v>0</v>
      </c>
      <c r="CC980" s="387">
        <f t="shared" si="680"/>
        <v>0</v>
      </c>
      <c r="CD980" s="387">
        <f t="shared" si="681"/>
        <v>0</v>
      </c>
      <c r="CE980" s="387">
        <f t="shared" si="682"/>
        <v>0</v>
      </c>
      <c r="CF980" s="387">
        <f t="shared" si="683"/>
        <v>-192.22112000000001</v>
      </c>
      <c r="CG980" s="387">
        <f t="shared" si="684"/>
        <v>0</v>
      </c>
      <c r="CH980" s="387">
        <f t="shared" si="685"/>
        <v>27.460159999999988</v>
      </c>
      <c r="CI980" s="387">
        <f t="shared" si="686"/>
        <v>0</v>
      </c>
      <c r="CJ980" s="387">
        <f t="shared" si="699"/>
        <v>-164.76096000000001</v>
      </c>
      <c r="CK980" s="387" t="str">
        <f t="shared" si="700"/>
        <v/>
      </c>
      <c r="CL980" s="387" t="str">
        <f t="shared" si="701"/>
        <v/>
      </c>
      <c r="CM980" s="387" t="str">
        <f t="shared" si="702"/>
        <v/>
      </c>
      <c r="CN980" s="387" t="str">
        <f t="shared" si="703"/>
        <v>0348-31</v>
      </c>
    </row>
    <row r="981" spans="1:92" ht="15.75" thickBot="1" x14ac:dyDescent="0.3">
      <c r="A981" s="376" t="s">
        <v>161</v>
      </c>
      <c r="B981" s="376" t="s">
        <v>162</v>
      </c>
      <c r="C981" s="376" t="s">
        <v>1087</v>
      </c>
      <c r="D981" s="376" t="s">
        <v>1088</v>
      </c>
      <c r="E981" s="376" t="s">
        <v>224</v>
      </c>
      <c r="F981" s="382" t="s">
        <v>225</v>
      </c>
      <c r="G981" s="376" t="s">
        <v>1945</v>
      </c>
      <c r="H981" s="378"/>
      <c r="I981" s="378"/>
      <c r="J981" s="376" t="s">
        <v>215</v>
      </c>
      <c r="K981" s="376" t="s">
        <v>1089</v>
      </c>
      <c r="L981" s="376" t="s">
        <v>181</v>
      </c>
      <c r="M981" s="376" t="s">
        <v>171</v>
      </c>
      <c r="N981" s="376" t="s">
        <v>172</v>
      </c>
      <c r="O981" s="379">
        <v>1</v>
      </c>
      <c r="P981" s="385">
        <v>1</v>
      </c>
      <c r="Q981" s="385">
        <v>1</v>
      </c>
      <c r="R981" s="380">
        <v>80</v>
      </c>
      <c r="S981" s="385">
        <v>1</v>
      </c>
      <c r="T981" s="380">
        <v>0</v>
      </c>
      <c r="U981" s="380">
        <v>0</v>
      </c>
      <c r="V981" s="380">
        <v>0</v>
      </c>
      <c r="W981" s="380">
        <v>103355.2</v>
      </c>
      <c r="X981" s="380">
        <v>34000.54</v>
      </c>
      <c r="Y981" s="380">
        <v>103355.2</v>
      </c>
      <c r="Z981" s="380">
        <v>33566.449999999997</v>
      </c>
      <c r="AA981" s="376" t="s">
        <v>1090</v>
      </c>
      <c r="AB981" s="376" t="s">
        <v>1091</v>
      </c>
      <c r="AC981" s="376" t="s">
        <v>724</v>
      </c>
      <c r="AD981" s="376" t="s">
        <v>170</v>
      </c>
      <c r="AE981" s="376" t="s">
        <v>1089</v>
      </c>
      <c r="AF981" s="376" t="s">
        <v>211</v>
      </c>
      <c r="AG981" s="376" t="s">
        <v>178</v>
      </c>
      <c r="AH981" s="381">
        <v>49.69</v>
      </c>
      <c r="AI981" s="381">
        <v>57771.5</v>
      </c>
      <c r="AJ981" s="376" t="s">
        <v>179</v>
      </c>
      <c r="AK981" s="376" t="s">
        <v>180</v>
      </c>
      <c r="AL981" s="376" t="s">
        <v>181</v>
      </c>
      <c r="AM981" s="376" t="s">
        <v>182</v>
      </c>
      <c r="AN981" s="376" t="s">
        <v>68</v>
      </c>
      <c r="AO981" s="379">
        <v>80</v>
      </c>
      <c r="AP981" s="385">
        <v>1</v>
      </c>
      <c r="AQ981" s="385">
        <v>1</v>
      </c>
      <c r="AR981" s="383" t="s">
        <v>183</v>
      </c>
      <c r="AS981" s="387">
        <f t="shared" si="687"/>
        <v>1</v>
      </c>
      <c r="AT981">
        <f t="shared" si="688"/>
        <v>1</v>
      </c>
      <c r="AU981" s="387">
        <f>IF(AT981=0,"",IF(AND(AT981=1,M981="F",SUMIF(C2:C1334,C981,AS2:AS1334)&lt;=1),SUMIF(C2:C1334,C981,AS2:AS1334),IF(AND(AT981=1,M981="F",SUMIF(C2:C1334,C981,AS2:AS1334)&gt;1),1,"")))</f>
        <v>1</v>
      </c>
      <c r="AV981" s="387" t="str">
        <f>IF(AT981=0,"",IF(AND(AT981=3,M981="F",SUMIF(C2:C1334,C981,AS2:AS1334)&lt;=1),SUMIF(C2:C1334,C981,AS2:AS1334),IF(AND(AT981=3,M981="F",SUMIF(C2:C1334,C981,AS2:AS1334)&gt;1),1,"")))</f>
        <v/>
      </c>
      <c r="AW981" s="387">
        <f>SUMIF(C2:C1334,C981,O2:O1334)</f>
        <v>2</v>
      </c>
      <c r="AX981" s="387">
        <f>IF(AND(M981="F",AS981&lt;&gt;0),SUMIF(C2:C1334,C981,W2:W1334),0)</f>
        <v>103355.2</v>
      </c>
      <c r="AY981" s="387">
        <f t="shared" si="689"/>
        <v>103355.2</v>
      </c>
      <c r="AZ981" s="387" t="str">
        <f t="shared" si="690"/>
        <v/>
      </c>
      <c r="BA981" s="387">
        <f t="shared" si="691"/>
        <v>0</v>
      </c>
      <c r="BB981" s="387">
        <f t="shared" si="660"/>
        <v>11650</v>
      </c>
      <c r="BC981" s="387">
        <f t="shared" si="661"/>
        <v>0</v>
      </c>
      <c r="BD981" s="387">
        <f t="shared" si="662"/>
        <v>6408.0223999999998</v>
      </c>
      <c r="BE981" s="387">
        <f t="shared" si="663"/>
        <v>1498.6504</v>
      </c>
      <c r="BF981" s="387">
        <f t="shared" si="664"/>
        <v>12340.61088</v>
      </c>
      <c r="BG981" s="387">
        <f t="shared" si="665"/>
        <v>745.19099200000005</v>
      </c>
      <c r="BH981" s="387">
        <f t="shared" si="666"/>
        <v>506.44047999999998</v>
      </c>
      <c r="BI981" s="387">
        <f t="shared" si="667"/>
        <v>572.07103199999995</v>
      </c>
      <c r="BJ981" s="387">
        <f t="shared" si="668"/>
        <v>279.05903999999998</v>
      </c>
      <c r="BK981" s="387">
        <f t="shared" si="669"/>
        <v>0</v>
      </c>
      <c r="BL981" s="387">
        <f t="shared" si="692"/>
        <v>22350.045224000001</v>
      </c>
      <c r="BM981" s="387">
        <f t="shared" si="693"/>
        <v>0</v>
      </c>
      <c r="BN981" s="387">
        <f t="shared" si="670"/>
        <v>11650</v>
      </c>
      <c r="BO981" s="387">
        <f t="shared" si="671"/>
        <v>0</v>
      </c>
      <c r="BP981" s="387">
        <f t="shared" si="672"/>
        <v>6408.0223999999998</v>
      </c>
      <c r="BQ981" s="387">
        <f t="shared" si="673"/>
        <v>1498.6504</v>
      </c>
      <c r="BR981" s="387">
        <f t="shared" si="674"/>
        <v>12340.61088</v>
      </c>
      <c r="BS981" s="387">
        <f t="shared" si="675"/>
        <v>745.19099200000005</v>
      </c>
      <c r="BT981" s="387">
        <f t="shared" si="676"/>
        <v>0</v>
      </c>
      <c r="BU981" s="387">
        <f t="shared" si="677"/>
        <v>572.07103199999995</v>
      </c>
      <c r="BV981" s="387">
        <f t="shared" si="678"/>
        <v>351.40767999999997</v>
      </c>
      <c r="BW981" s="387">
        <f t="shared" si="679"/>
        <v>0</v>
      </c>
      <c r="BX981" s="387">
        <f t="shared" si="694"/>
        <v>21915.953384</v>
      </c>
      <c r="BY981" s="387">
        <f t="shared" si="695"/>
        <v>0</v>
      </c>
      <c r="BZ981" s="387">
        <f t="shared" si="696"/>
        <v>0</v>
      </c>
      <c r="CA981" s="387">
        <f t="shared" si="697"/>
        <v>0</v>
      </c>
      <c r="CB981" s="387">
        <f t="shared" si="698"/>
        <v>0</v>
      </c>
      <c r="CC981" s="387">
        <f t="shared" si="680"/>
        <v>0</v>
      </c>
      <c r="CD981" s="387">
        <f t="shared" si="681"/>
        <v>0</v>
      </c>
      <c r="CE981" s="387">
        <f t="shared" si="682"/>
        <v>0</v>
      </c>
      <c r="CF981" s="387">
        <f t="shared" si="683"/>
        <v>-506.44047999999998</v>
      </c>
      <c r="CG981" s="387">
        <f t="shared" si="684"/>
        <v>0</v>
      </c>
      <c r="CH981" s="387">
        <f t="shared" si="685"/>
        <v>72.348639999999961</v>
      </c>
      <c r="CI981" s="387">
        <f t="shared" si="686"/>
        <v>0</v>
      </c>
      <c r="CJ981" s="387">
        <f t="shared" si="699"/>
        <v>-434.09184000000005</v>
      </c>
      <c r="CK981" s="387" t="str">
        <f t="shared" si="700"/>
        <v/>
      </c>
      <c r="CL981" s="387" t="str">
        <f t="shared" si="701"/>
        <v/>
      </c>
      <c r="CM981" s="387" t="str">
        <f t="shared" si="702"/>
        <v/>
      </c>
      <c r="CN981" s="387" t="str">
        <f t="shared" si="703"/>
        <v>0348-31</v>
      </c>
    </row>
    <row r="982" spans="1:92" ht="15.75" thickBot="1" x14ac:dyDescent="0.3">
      <c r="A982" s="376" t="s">
        <v>161</v>
      </c>
      <c r="B982" s="376" t="s">
        <v>162</v>
      </c>
      <c r="C982" s="376" t="s">
        <v>1248</v>
      </c>
      <c r="D982" s="376" t="s">
        <v>1249</v>
      </c>
      <c r="E982" s="376" t="s">
        <v>224</v>
      </c>
      <c r="F982" s="382" t="s">
        <v>225</v>
      </c>
      <c r="G982" s="376" t="s">
        <v>1945</v>
      </c>
      <c r="H982" s="378"/>
      <c r="I982" s="378"/>
      <c r="J982" s="376" t="s">
        <v>215</v>
      </c>
      <c r="K982" s="376" t="s">
        <v>1250</v>
      </c>
      <c r="L982" s="376" t="s">
        <v>170</v>
      </c>
      <c r="M982" s="376" t="s">
        <v>171</v>
      </c>
      <c r="N982" s="376" t="s">
        <v>172</v>
      </c>
      <c r="O982" s="379">
        <v>1</v>
      </c>
      <c r="P982" s="385">
        <v>0</v>
      </c>
      <c r="Q982" s="385">
        <v>0</v>
      </c>
      <c r="R982" s="380">
        <v>80</v>
      </c>
      <c r="S982" s="385">
        <v>0</v>
      </c>
      <c r="T982" s="380">
        <v>1895.18</v>
      </c>
      <c r="U982" s="380">
        <v>0</v>
      </c>
      <c r="V982" s="380">
        <v>805.38</v>
      </c>
      <c r="W982" s="380">
        <v>0</v>
      </c>
      <c r="X982" s="380">
        <v>0</v>
      </c>
      <c r="Y982" s="380">
        <v>0</v>
      </c>
      <c r="Z982" s="380">
        <v>0</v>
      </c>
      <c r="AA982" s="376" t="s">
        <v>1251</v>
      </c>
      <c r="AB982" s="376" t="s">
        <v>1252</v>
      </c>
      <c r="AC982" s="376" t="s">
        <v>1253</v>
      </c>
      <c r="AD982" s="376" t="s">
        <v>180</v>
      </c>
      <c r="AE982" s="376" t="s">
        <v>1250</v>
      </c>
      <c r="AF982" s="376" t="s">
        <v>177</v>
      </c>
      <c r="AG982" s="376" t="s">
        <v>178</v>
      </c>
      <c r="AH982" s="381">
        <v>28.56</v>
      </c>
      <c r="AI982" s="381">
        <v>48745.5</v>
      </c>
      <c r="AJ982" s="376" t="s">
        <v>179</v>
      </c>
      <c r="AK982" s="376" t="s">
        <v>180</v>
      </c>
      <c r="AL982" s="376" t="s">
        <v>181</v>
      </c>
      <c r="AM982" s="376" t="s">
        <v>182</v>
      </c>
      <c r="AN982" s="376" t="s">
        <v>68</v>
      </c>
      <c r="AO982" s="379">
        <v>80</v>
      </c>
      <c r="AP982" s="385">
        <v>1</v>
      </c>
      <c r="AQ982" s="385">
        <v>0</v>
      </c>
      <c r="AR982" s="383" t="s">
        <v>183</v>
      </c>
      <c r="AS982" s="387">
        <f t="shared" si="687"/>
        <v>0</v>
      </c>
      <c r="AT982">
        <f t="shared" si="688"/>
        <v>0</v>
      </c>
      <c r="AU982" s="387" t="str">
        <f>IF(AT982=0,"",IF(AND(AT982=1,M982="F",SUMIF(C2:C1334,C982,AS2:AS1334)&lt;=1),SUMIF(C2:C1334,C982,AS2:AS1334),IF(AND(AT982=1,M982="F",SUMIF(C2:C1334,C982,AS2:AS1334)&gt;1),1,"")))</f>
        <v/>
      </c>
      <c r="AV982" s="387" t="str">
        <f>IF(AT982=0,"",IF(AND(AT982=3,M982="F",SUMIF(C2:C1334,C982,AS2:AS1334)&lt;=1),SUMIF(C2:C1334,C982,AS2:AS1334),IF(AND(AT982=3,M982="F",SUMIF(C2:C1334,C982,AS2:AS1334)&gt;1),1,"")))</f>
        <v/>
      </c>
      <c r="AW982" s="387">
        <f>SUMIF(C2:C1334,C982,O2:O1334)</f>
        <v>2</v>
      </c>
      <c r="AX982" s="387">
        <f>IF(AND(M982="F",AS982&lt;&gt;0),SUMIF(C2:C1334,C982,W2:W1334),0)</f>
        <v>0</v>
      </c>
      <c r="AY982" s="387" t="str">
        <f t="shared" si="689"/>
        <v/>
      </c>
      <c r="AZ982" s="387" t="str">
        <f t="shared" si="690"/>
        <v/>
      </c>
      <c r="BA982" s="387">
        <f t="shared" si="691"/>
        <v>0</v>
      </c>
      <c r="BB982" s="387">
        <f t="shared" si="660"/>
        <v>0</v>
      </c>
      <c r="BC982" s="387">
        <f t="shared" si="661"/>
        <v>0</v>
      </c>
      <c r="BD982" s="387">
        <f t="shared" si="662"/>
        <v>0</v>
      </c>
      <c r="BE982" s="387">
        <f t="shared" si="663"/>
        <v>0</v>
      </c>
      <c r="BF982" s="387">
        <f t="shared" si="664"/>
        <v>0</v>
      </c>
      <c r="BG982" s="387">
        <f t="shared" si="665"/>
        <v>0</v>
      </c>
      <c r="BH982" s="387">
        <f t="shared" si="666"/>
        <v>0</v>
      </c>
      <c r="BI982" s="387">
        <f t="shared" si="667"/>
        <v>0</v>
      </c>
      <c r="BJ982" s="387">
        <f t="shared" si="668"/>
        <v>0</v>
      </c>
      <c r="BK982" s="387">
        <f t="shared" si="669"/>
        <v>0</v>
      </c>
      <c r="BL982" s="387">
        <f t="shared" si="692"/>
        <v>0</v>
      </c>
      <c r="BM982" s="387">
        <f t="shared" si="693"/>
        <v>0</v>
      </c>
      <c r="BN982" s="387">
        <f t="shared" si="670"/>
        <v>0</v>
      </c>
      <c r="BO982" s="387">
        <f t="shared" si="671"/>
        <v>0</v>
      </c>
      <c r="BP982" s="387">
        <f t="shared" si="672"/>
        <v>0</v>
      </c>
      <c r="BQ982" s="387">
        <f t="shared" si="673"/>
        <v>0</v>
      </c>
      <c r="BR982" s="387">
        <f t="shared" si="674"/>
        <v>0</v>
      </c>
      <c r="BS982" s="387">
        <f t="shared" si="675"/>
        <v>0</v>
      </c>
      <c r="BT982" s="387">
        <f t="shared" si="676"/>
        <v>0</v>
      </c>
      <c r="BU982" s="387">
        <f t="shared" si="677"/>
        <v>0</v>
      </c>
      <c r="BV982" s="387">
        <f t="shared" si="678"/>
        <v>0</v>
      </c>
      <c r="BW982" s="387">
        <f t="shared" si="679"/>
        <v>0</v>
      </c>
      <c r="BX982" s="387">
        <f t="shared" si="694"/>
        <v>0</v>
      </c>
      <c r="BY982" s="387">
        <f t="shared" si="695"/>
        <v>0</v>
      </c>
      <c r="BZ982" s="387">
        <f t="shared" si="696"/>
        <v>0</v>
      </c>
      <c r="CA982" s="387">
        <f t="shared" si="697"/>
        <v>0</v>
      </c>
      <c r="CB982" s="387">
        <f t="shared" si="698"/>
        <v>0</v>
      </c>
      <c r="CC982" s="387">
        <f t="shared" si="680"/>
        <v>0</v>
      </c>
      <c r="CD982" s="387">
        <f t="shared" si="681"/>
        <v>0</v>
      </c>
      <c r="CE982" s="387">
        <f t="shared" si="682"/>
        <v>0</v>
      </c>
      <c r="CF982" s="387">
        <f t="shared" si="683"/>
        <v>0</v>
      </c>
      <c r="CG982" s="387">
        <f t="shared" si="684"/>
        <v>0</v>
      </c>
      <c r="CH982" s="387">
        <f t="shared" si="685"/>
        <v>0</v>
      </c>
      <c r="CI982" s="387">
        <f t="shared" si="686"/>
        <v>0</v>
      </c>
      <c r="CJ982" s="387">
        <f t="shared" si="699"/>
        <v>0</v>
      </c>
      <c r="CK982" s="387" t="str">
        <f t="shared" si="700"/>
        <v/>
      </c>
      <c r="CL982" s="387" t="str">
        <f t="shared" si="701"/>
        <v/>
      </c>
      <c r="CM982" s="387" t="str">
        <f t="shared" si="702"/>
        <v/>
      </c>
      <c r="CN982" s="387" t="str">
        <f t="shared" si="703"/>
        <v>0348-31</v>
      </c>
    </row>
    <row r="983" spans="1:92" ht="15.75" thickBot="1" x14ac:dyDescent="0.3">
      <c r="A983" s="376" t="s">
        <v>161</v>
      </c>
      <c r="B983" s="376" t="s">
        <v>162</v>
      </c>
      <c r="C983" s="376" t="s">
        <v>2168</v>
      </c>
      <c r="D983" s="376" t="s">
        <v>862</v>
      </c>
      <c r="E983" s="376" t="s">
        <v>224</v>
      </c>
      <c r="F983" s="382" t="s">
        <v>225</v>
      </c>
      <c r="G983" s="376" t="s">
        <v>1945</v>
      </c>
      <c r="H983" s="378"/>
      <c r="I983" s="378"/>
      <c r="J983" s="376" t="s">
        <v>215</v>
      </c>
      <c r="K983" s="376" t="s">
        <v>863</v>
      </c>
      <c r="L983" s="376" t="s">
        <v>252</v>
      </c>
      <c r="M983" s="376" t="s">
        <v>171</v>
      </c>
      <c r="N983" s="376" t="s">
        <v>172</v>
      </c>
      <c r="O983" s="379">
        <v>1</v>
      </c>
      <c r="P983" s="385">
        <v>1</v>
      </c>
      <c r="Q983" s="385">
        <v>1</v>
      </c>
      <c r="R983" s="380">
        <v>80</v>
      </c>
      <c r="S983" s="385">
        <v>1</v>
      </c>
      <c r="T983" s="380">
        <v>28839.01</v>
      </c>
      <c r="U983" s="380">
        <v>26.03</v>
      </c>
      <c r="V983" s="380">
        <v>15358.56</v>
      </c>
      <c r="W983" s="380">
        <v>38896</v>
      </c>
      <c r="X983" s="380">
        <v>20061.240000000002</v>
      </c>
      <c r="Y983" s="380">
        <v>38896</v>
      </c>
      <c r="Z983" s="380">
        <v>19897.88</v>
      </c>
      <c r="AA983" s="376" t="s">
        <v>2169</v>
      </c>
      <c r="AB983" s="376" t="s">
        <v>2170</v>
      </c>
      <c r="AC983" s="376" t="s">
        <v>2171</v>
      </c>
      <c r="AD983" s="376" t="s">
        <v>252</v>
      </c>
      <c r="AE983" s="376" t="s">
        <v>863</v>
      </c>
      <c r="AF983" s="376" t="s">
        <v>393</v>
      </c>
      <c r="AG983" s="376" t="s">
        <v>178</v>
      </c>
      <c r="AH983" s="381">
        <v>18.7</v>
      </c>
      <c r="AI983" s="381">
        <v>1724.2</v>
      </c>
      <c r="AJ983" s="376" t="s">
        <v>179</v>
      </c>
      <c r="AK983" s="376" t="s">
        <v>180</v>
      </c>
      <c r="AL983" s="376" t="s">
        <v>181</v>
      </c>
      <c r="AM983" s="376" t="s">
        <v>182</v>
      </c>
      <c r="AN983" s="376" t="s">
        <v>68</v>
      </c>
      <c r="AO983" s="379">
        <v>80</v>
      </c>
      <c r="AP983" s="385">
        <v>1</v>
      </c>
      <c r="AQ983" s="385">
        <v>1</v>
      </c>
      <c r="AR983" s="383" t="s">
        <v>183</v>
      </c>
      <c r="AS983" s="387">
        <f t="shared" si="687"/>
        <v>1</v>
      </c>
      <c r="AT983">
        <f t="shared" si="688"/>
        <v>1</v>
      </c>
      <c r="AU983" s="387">
        <f>IF(AT983=0,"",IF(AND(AT983=1,M983="F",SUMIF(C2:C1334,C983,AS2:AS1334)&lt;=1),SUMIF(C2:C1334,C983,AS2:AS1334),IF(AND(AT983=1,M983="F",SUMIF(C2:C1334,C983,AS2:AS1334)&gt;1),1,"")))</f>
        <v>1</v>
      </c>
      <c r="AV983" s="387" t="str">
        <f>IF(AT983=0,"",IF(AND(AT983=3,M983="F",SUMIF(C2:C1334,C983,AS2:AS1334)&lt;=1),SUMIF(C2:C1334,C983,AS2:AS1334),IF(AND(AT983=3,M983="F",SUMIF(C2:C1334,C983,AS2:AS1334)&gt;1),1,"")))</f>
        <v/>
      </c>
      <c r="AW983" s="387">
        <f>SUMIF(C2:C1334,C983,O2:O1334)</f>
        <v>1</v>
      </c>
      <c r="AX983" s="387">
        <f>IF(AND(M983="F",AS983&lt;&gt;0),SUMIF(C2:C1334,C983,W2:W1334),0)</f>
        <v>38896</v>
      </c>
      <c r="AY983" s="387">
        <f t="shared" si="689"/>
        <v>38896</v>
      </c>
      <c r="AZ983" s="387" t="str">
        <f t="shared" si="690"/>
        <v/>
      </c>
      <c r="BA983" s="387">
        <f t="shared" si="691"/>
        <v>0</v>
      </c>
      <c r="BB983" s="387">
        <f t="shared" si="660"/>
        <v>11650</v>
      </c>
      <c r="BC983" s="387">
        <f t="shared" si="661"/>
        <v>0</v>
      </c>
      <c r="BD983" s="387">
        <f t="shared" si="662"/>
        <v>2411.5520000000001</v>
      </c>
      <c r="BE983" s="387">
        <f t="shared" si="663"/>
        <v>563.99200000000008</v>
      </c>
      <c r="BF983" s="387">
        <f t="shared" si="664"/>
        <v>4644.1824000000006</v>
      </c>
      <c r="BG983" s="387">
        <f t="shared" si="665"/>
        <v>280.44015999999999</v>
      </c>
      <c r="BH983" s="387">
        <f t="shared" si="666"/>
        <v>190.59039999999999</v>
      </c>
      <c r="BI983" s="387">
        <f t="shared" si="667"/>
        <v>215.28935999999999</v>
      </c>
      <c r="BJ983" s="387">
        <f t="shared" si="668"/>
        <v>105.01920000000001</v>
      </c>
      <c r="BK983" s="387">
        <f t="shared" si="669"/>
        <v>0</v>
      </c>
      <c r="BL983" s="387">
        <f t="shared" si="692"/>
        <v>8411.0655200000019</v>
      </c>
      <c r="BM983" s="387">
        <f t="shared" si="693"/>
        <v>0</v>
      </c>
      <c r="BN983" s="387">
        <f t="shared" si="670"/>
        <v>11650</v>
      </c>
      <c r="BO983" s="387">
        <f t="shared" si="671"/>
        <v>0</v>
      </c>
      <c r="BP983" s="387">
        <f t="shared" si="672"/>
        <v>2411.5520000000001</v>
      </c>
      <c r="BQ983" s="387">
        <f t="shared" si="673"/>
        <v>563.99200000000008</v>
      </c>
      <c r="BR983" s="387">
        <f t="shared" si="674"/>
        <v>4644.1824000000006</v>
      </c>
      <c r="BS983" s="387">
        <f t="shared" si="675"/>
        <v>280.44015999999999</v>
      </c>
      <c r="BT983" s="387">
        <f t="shared" si="676"/>
        <v>0</v>
      </c>
      <c r="BU983" s="387">
        <f t="shared" si="677"/>
        <v>215.28935999999999</v>
      </c>
      <c r="BV983" s="387">
        <f t="shared" si="678"/>
        <v>132.24639999999999</v>
      </c>
      <c r="BW983" s="387">
        <f t="shared" si="679"/>
        <v>0</v>
      </c>
      <c r="BX983" s="387">
        <f t="shared" si="694"/>
        <v>8247.7023200000003</v>
      </c>
      <c r="BY983" s="387">
        <f t="shared" si="695"/>
        <v>0</v>
      </c>
      <c r="BZ983" s="387">
        <f t="shared" si="696"/>
        <v>0</v>
      </c>
      <c r="CA983" s="387">
        <f t="shared" si="697"/>
        <v>0</v>
      </c>
      <c r="CB983" s="387">
        <f t="shared" si="698"/>
        <v>0</v>
      </c>
      <c r="CC983" s="387">
        <f t="shared" si="680"/>
        <v>0</v>
      </c>
      <c r="CD983" s="387">
        <f t="shared" si="681"/>
        <v>0</v>
      </c>
      <c r="CE983" s="387">
        <f t="shared" si="682"/>
        <v>0</v>
      </c>
      <c r="CF983" s="387">
        <f t="shared" si="683"/>
        <v>-190.59039999999999</v>
      </c>
      <c r="CG983" s="387">
        <f t="shared" si="684"/>
        <v>0</v>
      </c>
      <c r="CH983" s="387">
        <f t="shared" si="685"/>
        <v>27.227199999999986</v>
      </c>
      <c r="CI983" s="387">
        <f t="shared" si="686"/>
        <v>0</v>
      </c>
      <c r="CJ983" s="387">
        <f t="shared" si="699"/>
        <v>-163.36320000000001</v>
      </c>
      <c r="CK983" s="387" t="str">
        <f t="shared" si="700"/>
        <v/>
      </c>
      <c r="CL983" s="387" t="str">
        <f t="shared" si="701"/>
        <v/>
      </c>
      <c r="CM983" s="387" t="str">
        <f t="shared" si="702"/>
        <v/>
      </c>
      <c r="CN983" s="387" t="str">
        <f t="shared" si="703"/>
        <v>0348-31</v>
      </c>
    </row>
    <row r="984" spans="1:92" ht="15.75" thickBot="1" x14ac:dyDescent="0.3">
      <c r="A984" s="376" t="s">
        <v>161</v>
      </c>
      <c r="B984" s="376" t="s">
        <v>162</v>
      </c>
      <c r="C984" s="376" t="s">
        <v>1150</v>
      </c>
      <c r="D984" s="376" t="s">
        <v>726</v>
      </c>
      <c r="E984" s="376" t="s">
        <v>224</v>
      </c>
      <c r="F984" s="382" t="s">
        <v>225</v>
      </c>
      <c r="G984" s="376" t="s">
        <v>1945</v>
      </c>
      <c r="H984" s="378"/>
      <c r="I984" s="378"/>
      <c r="J984" s="376" t="s">
        <v>215</v>
      </c>
      <c r="K984" s="376" t="s">
        <v>727</v>
      </c>
      <c r="L984" s="376" t="s">
        <v>170</v>
      </c>
      <c r="M984" s="376" t="s">
        <v>171</v>
      </c>
      <c r="N984" s="376" t="s">
        <v>172</v>
      </c>
      <c r="O984" s="379">
        <v>1</v>
      </c>
      <c r="P984" s="385">
        <v>0</v>
      </c>
      <c r="Q984" s="385">
        <v>0</v>
      </c>
      <c r="R984" s="380">
        <v>80</v>
      </c>
      <c r="S984" s="385">
        <v>0</v>
      </c>
      <c r="T984" s="380">
        <v>236.94</v>
      </c>
      <c r="U984" s="380">
        <v>0</v>
      </c>
      <c r="V984" s="380">
        <v>90.71</v>
      </c>
      <c r="W984" s="380">
        <v>0</v>
      </c>
      <c r="X984" s="380">
        <v>0</v>
      </c>
      <c r="Y984" s="380">
        <v>0</v>
      </c>
      <c r="Z984" s="380">
        <v>0</v>
      </c>
      <c r="AA984" s="376" t="s">
        <v>1151</v>
      </c>
      <c r="AB984" s="376" t="s">
        <v>1152</v>
      </c>
      <c r="AC984" s="376" t="s">
        <v>1153</v>
      </c>
      <c r="AD984" s="376" t="s">
        <v>324</v>
      </c>
      <c r="AE984" s="376" t="s">
        <v>727</v>
      </c>
      <c r="AF984" s="376" t="s">
        <v>177</v>
      </c>
      <c r="AG984" s="376" t="s">
        <v>178</v>
      </c>
      <c r="AH984" s="381">
        <v>37.340000000000003</v>
      </c>
      <c r="AI984" s="379">
        <v>53695</v>
      </c>
      <c r="AJ984" s="376" t="s">
        <v>179</v>
      </c>
      <c r="AK984" s="376" t="s">
        <v>180</v>
      </c>
      <c r="AL984" s="376" t="s">
        <v>181</v>
      </c>
      <c r="AM984" s="376" t="s">
        <v>182</v>
      </c>
      <c r="AN984" s="376" t="s">
        <v>68</v>
      </c>
      <c r="AO984" s="379">
        <v>80</v>
      </c>
      <c r="AP984" s="385">
        <v>1</v>
      </c>
      <c r="AQ984" s="385">
        <v>0</v>
      </c>
      <c r="AR984" s="383" t="s">
        <v>183</v>
      </c>
      <c r="AS984" s="387">
        <f t="shared" si="687"/>
        <v>0</v>
      </c>
      <c r="AT984">
        <f t="shared" si="688"/>
        <v>0</v>
      </c>
      <c r="AU984" s="387" t="str">
        <f>IF(AT984=0,"",IF(AND(AT984=1,M984="F",SUMIF(C2:C1334,C984,AS2:AS1334)&lt;=1),SUMIF(C2:C1334,C984,AS2:AS1334),IF(AND(AT984=1,M984="F",SUMIF(C2:C1334,C984,AS2:AS1334)&gt;1),1,"")))</f>
        <v/>
      </c>
      <c r="AV984" s="387" t="str">
        <f>IF(AT984=0,"",IF(AND(AT984=3,M984="F",SUMIF(C2:C1334,C984,AS2:AS1334)&lt;=1),SUMIF(C2:C1334,C984,AS2:AS1334),IF(AND(AT984=3,M984="F",SUMIF(C2:C1334,C984,AS2:AS1334)&gt;1),1,"")))</f>
        <v/>
      </c>
      <c r="AW984" s="387">
        <f>SUMIF(C2:C1334,C984,O2:O1334)</f>
        <v>2</v>
      </c>
      <c r="AX984" s="387">
        <f>IF(AND(M984="F",AS984&lt;&gt;0),SUMIF(C2:C1334,C984,W2:W1334),0)</f>
        <v>0</v>
      </c>
      <c r="AY984" s="387" t="str">
        <f t="shared" si="689"/>
        <v/>
      </c>
      <c r="AZ984" s="387" t="str">
        <f t="shared" si="690"/>
        <v/>
      </c>
      <c r="BA984" s="387">
        <f t="shared" si="691"/>
        <v>0</v>
      </c>
      <c r="BB984" s="387">
        <f t="shared" si="660"/>
        <v>0</v>
      </c>
      <c r="BC984" s="387">
        <f t="shared" si="661"/>
        <v>0</v>
      </c>
      <c r="BD984" s="387">
        <f t="shared" si="662"/>
        <v>0</v>
      </c>
      <c r="BE984" s="387">
        <f t="shared" si="663"/>
        <v>0</v>
      </c>
      <c r="BF984" s="387">
        <f t="shared" si="664"/>
        <v>0</v>
      </c>
      <c r="BG984" s="387">
        <f t="shared" si="665"/>
        <v>0</v>
      </c>
      <c r="BH984" s="387">
        <f t="shared" si="666"/>
        <v>0</v>
      </c>
      <c r="BI984" s="387">
        <f t="shared" si="667"/>
        <v>0</v>
      </c>
      <c r="BJ984" s="387">
        <f t="shared" si="668"/>
        <v>0</v>
      </c>
      <c r="BK984" s="387">
        <f t="shared" si="669"/>
        <v>0</v>
      </c>
      <c r="BL984" s="387">
        <f t="shared" si="692"/>
        <v>0</v>
      </c>
      <c r="BM984" s="387">
        <f t="shared" si="693"/>
        <v>0</v>
      </c>
      <c r="BN984" s="387">
        <f t="shared" si="670"/>
        <v>0</v>
      </c>
      <c r="BO984" s="387">
        <f t="shared" si="671"/>
        <v>0</v>
      </c>
      <c r="BP984" s="387">
        <f t="shared" si="672"/>
        <v>0</v>
      </c>
      <c r="BQ984" s="387">
        <f t="shared" si="673"/>
        <v>0</v>
      </c>
      <c r="BR984" s="387">
        <f t="shared" si="674"/>
        <v>0</v>
      </c>
      <c r="BS984" s="387">
        <f t="shared" si="675"/>
        <v>0</v>
      </c>
      <c r="BT984" s="387">
        <f t="shared" si="676"/>
        <v>0</v>
      </c>
      <c r="BU984" s="387">
        <f t="shared" si="677"/>
        <v>0</v>
      </c>
      <c r="BV984" s="387">
        <f t="shared" si="678"/>
        <v>0</v>
      </c>
      <c r="BW984" s="387">
        <f t="shared" si="679"/>
        <v>0</v>
      </c>
      <c r="BX984" s="387">
        <f t="shared" si="694"/>
        <v>0</v>
      </c>
      <c r="BY984" s="387">
        <f t="shared" si="695"/>
        <v>0</v>
      </c>
      <c r="BZ984" s="387">
        <f t="shared" si="696"/>
        <v>0</v>
      </c>
      <c r="CA984" s="387">
        <f t="shared" si="697"/>
        <v>0</v>
      </c>
      <c r="CB984" s="387">
        <f t="shared" si="698"/>
        <v>0</v>
      </c>
      <c r="CC984" s="387">
        <f t="shared" si="680"/>
        <v>0</v>
      </c>
      <c r="CD984" s="387">
        <f t="shared" si="681"/>
        <v>0</v>
      </c>
      <c r="CE984" s="387">
        <f t="shared" si="682"/>
        <v>0</v>
      </c>
      <c r="CF984" s="387">
        <f t="shared" si="683"/>
        <v>0</v>
      </c>
      <c r="CG984" s="387">
        <f t="shared" si="684"/>
        <v>0</v>
      </c>
      <c r="CH984" s="387">
        <f t="shared" si="685"/>
        <v>0</v>
      </c>
      <c r="CI984" s="387">
        <f t="shared" si="686"/>
        <v>0</v>
      </c>
      <c r="CJ984" s="387">
        <f t="shared" si="699"/>
        <v>0</v>
      </c>
      <c r="CK984" s="387" t="str">
        <f t="shared" si="700"/>
        <v/>
      </c>
      <c r="CL984" s="387" t="str">
        <f t="shared" si="701"/>
        <v/>
      </c>
      <c r="CM984" s="387" t="str">
        <f t="shared" si="702"/>
        <v/>
      </c>
      <c r="CN984" s="387" t="str">
        <f t="shared" si="703"/>
        <v>0348-31</v>
      </c>
    </row>
    <row r="985" spans="1:92" ht="15.75" thickBot="1" x14ac:dyDescent="0.3">
      <c r="A985" s="376" t="s">
        <v>161</v>
      </c>
      <c r="B985" s="376" t="s">
        <v>162</v>
      </c>
      <c r="C985" s="376" t="s">
        <v>1491</v>
      </c>
      <c r="D985" s="376" t="s">
        <v>862</v>
      </c>
      <c r="E985" s="376" t="s">
        <v>224</v>
      </c>
      <c r="F985" s="382" t="s">
        <v>225</v>
      </c>
      <c r="G985" s="376" t="s">
        <v>1945</v>
      </c>
      <c r="H985" s="378"/>
      <c r="I985" s="378"/>
      <c r="J985" s="376" t="s">
        <v>168</v>
      </c>
      <c r="K985" s="376" t="s">
        <v>863</v>
      </c>
      <c r="L985" s="376" t="s">
        <v>252</v>
      </c>
      <c r="M985" s="376" t="s">
        <v>171</v>
      </c>
      <c r="N985" s="376" t="s">
        <v>172</v>
      </c>
      <c r="O985" s="379">
        <v>1</v>
      </c>
      <c r="P985" s="385">
        <v>0.3</v>
      </c>
      <c r="Q985" s="385">
        <v>0.3</v>
      </c>
      <c r="R985" s="380">
        <v>80</v>
      </c>
      <c r="S985" s="385">
        <v>0.3</v>
      </c>
      <c r="T985" s="380">
        <v>9578.77</v>
      </c>
      <c r="U985" s="380">
        <v>0</v>
      </c>
      <c r="V985" s="380">
        <v>5100.6499999999996</v>
      </c>
      <c r="W985" s="380">
        <v>11718.72</v>
      </c>
      <c r="X985" s="380">
        <v>6029.16</v>
      </c>
      <c r="Y985" s="380">
        <v>11718.72</v>
      </c>
      <c r="Z985" s="380">
        <v>5979.94</v>
      </c>
      <c r="AA985" s="376" t="s">
        <v>1492</v>
      </c>
      <c r="AB985" s="376" t="s">
        <v>1493</v>
      </c>
      <c r="AC985" s="376" t="s">
        <v>1494</v>
      </c>
      <c r="AD985" s="376" t="s">
        <v>170</v>
      </c>
      <c r="AE985" s="376" t="s">
        <v>863</v>
      </c>
      <c r="AF985" s="376" t="s">
        <v>393</v>
      </c>
      <c r="AG985" s="376" t="s">
        <v>178</v>
      </c>
      <c r="AH985" s="381">
        <v>18.78</v>
      </c>
      <c r="AI985" s="381">
        <v>3356.8</v>
      </c>
      <c r="AJ985" s="376" t="s">
        <v>179</v>
      </c>
      <c r="AK985" s="376" t="s">
        <v>180</v>
      </c>
      <c r="AL985" s="376" t="s">
        <v>181</v>
      </c>
      <c r="AM985" s="376" t="s">
        <v>182</v>
      </c>
      <c r="AN985" s="376" t="s">
        <v>68</v>
      </c>
      <c r="AO985" s="379">
        <v>80</v>
      </c>
      <c r="AP985" s="385">
        <v>1</v>
      </c>
      <c r="AQ985" s="385">
        <v>0.3</v>
      </c>
      <c r="AR985" s="383" t="s">
        <v>183</v>
      </c>
      <c r="AS985" s="387">
        <f t="shared" si="687"/>
        <v>0.3</v>
      </c>
      <c r="AT985">
        <f t="shared" si="688"/>
        <v>1</v>
      </c>
      <c r="AU985" s="387">
        <f>IF(AT985=0,"",IF(AND(AT985=1,M985="F",SUMIF(C2:C1334,C985,AS2:AS1334)&lt;=1),SUMIF(C2:C1334,C985,AS2:AS1334),IF(AND(AT985=1,M985="F",SUMIF(C2:C1334,C985,AS2:AS1334)&gt;1),1,"")))</f>
        <v>1</v>
      </c>
      <c r="AV985" s="387" t="str">
        <f>IF(AT985=0,"",IF(AND(AT985=3,M985="F",SUMIF(C2:C1334,C985,AS2:AS1334)&lt;=1),SUMIF(C2:C1334,C985,AS2:AS1334),IF(AND(AT985=3,M985="F",SUMIF(C2:C1334,C985,AS2:AS1334)&gt;1),1,"")))</f>
        <v/>
      </c>
      <c r="AW985" s="387">
        <f>SUMIF(C2:C1334,C985,O2:O1334)</f>
        <v>3</v>
      </c>
      <c r="AX985" s="387">
        <f>IF(AND(M985="F",AS985&lt;&gt;0),SUMIF(C2:C1334,C985,W2:W1334),0)</f>
        <v>39062.400000000001</v>
      </c>
      <c r="AY985" s="387">
        <f t="shared" si="689"/>
        <v>11718.72</v>
      </c>
      <c r="AZ985" s="387" t="str">
        <f t="shared" si="690"/>
        <v/>
      </c>
      <c r="BA985" s="387">
        <f t="shared" si="691"/>
        <v>0</v>
      </c>
      <c r="BB985" s="387">
        <f t="shared" si="660"/>
        <v>3495</v>
      </c>
      <c r="BC985" s="387">
        <f t="shared" si="661"/>
        <v>0</v>
      </c>
      <c r="BD985" s="387">
        <f t="shared" si="662"/>
        <v>726.56063999999992</v>
      </c>
      <c r="BE985" s="387">
        <f t="shared" si="663"/>
        <v>169.92143999999999</v>
      </c>
      <c r="BF985" s="387">
        <f t="shared" si="664"/>
        <v>1399.2151679999999</v>
      </c>
      <c r="BG985" s="387">
        <f t="shared" si="665"/>
        <v>84.491971199999995</v>
      </c>
      <c r="BH985" s="387">
        <f t="shared" si="666"/>
        <v>57.421727999999995</v>
      </c>
      <c r="BI985" s="387">
        <f t="shared" si="667"/>
        <v>64.863115199999996</v>
      </c>
      <c r="BJ985" s="387">
        <f t="shared" si="668"/>
        <v>31.640543999999998</v>
      </c>
      <c r="BK985" s="387">
        <f t="shared" si="669"/>
        <v>0</v>
      </c>
      <c r="BL985" s="387">
        <f t="shared" si="692"/>
        <v>2534.1146063999995</v>
      </c>
      <c r="BM985" s="387">
        <f t="shared" si="693"/>
        <v>0</v>
      </c>
      <c r="BN985" s="387">
        <f t="shared" si="670"/>
        <v>3495</v>
      </c>
      <c r="BO985" s="387">
        <f t="shared" si="671"/>
        <v>0</v>
      </c>
      <c r="BP985" s="387">
        <f t="shared" si="672"/>
        <v>726.56063999999992</v>
      </c>
      <c r="BQ985" s="387">
        <f t="shared" si="673"/>
        <v>169.92143999999999</v>
      </c>
      <c r="BR985" s="387">
        <f t="shared" si="674"/>
        <v>1399.2151679999999</v>
      </c>
      <c r="BS985" s="387">
        <f t="shared" si="675"/>
        <v>84.491971199999995</v>
      </c>
      <c r="BT985" s="387">
        <f t="shared" si="676"/>
        <v>0</v>
      </c>
      <c r="BU985" s="387">
        <f t="shared" si="677"/>
        <v>64.863115199999996</v>
      </c>
      <c r="BV985" s="387">
        <f t="shared" si="678"/>
        <v>39.843647999999995</v>
      </c>
      <c r="BW985" s="387">
        <f t="shared" si="679"/>
        <v>0</v>
      </c>
      <c r="BX985" s="387">
        <f t="shared" si="694"/>
        <v>2484.8959823999999</v>
      </c>
      <c r="BY985" s="387">
        <f t="shared" si="695"/>
        <v>0</v>
      </c>
      <c r="BZ985" s="387">
        <f t="shared" si="696"/>
        <v>0</v>
      </c>
      <c r="CA985" s="387">
        <f t="shared" si="697"/>
        <v>0</v>
      </c>
      <c r="CB985" s="387">
        <f t="shared" si="698"/>
        <v>0</v>
      </c>
      <c r="CC985" s="387">
        <f t="shared" si="680"/>
        <v>0</v>
      </c>
      <c r="CD985" s="387">
        <f t="shared" si="681"/>
        <v>0</v>
      </c>
      <c r="CE985" s="387">
        <f t="shared" si="682"/>
        <v>0</v>
      </c>
      <c r="CF985" s="387">
        <f t="shared" si="683"/>
        <v>-57.421727999999995</v>
      </c>
      <c r="CG985" s="387">
        <f t="shared" si="684"/>
        <v>0</v>
      </c>
      <c r="CH985" s="387">
        <f t="shared" si="685"/>
        <v>8.2031039999999962</v>
      </c>
      <c r="CI985" s="387">
        <f t="shared" si="686"/>
        <v>0</v>
      </c>
      <c r="CJ985" s="387">
        <f t="shared" si="699"/>
        <v>-49.218623999999998</v>
      </c>
      <c r="CK985" s="387" t="str">
        <f t="shared" si="700"/>
        <v/>
      </c>
      <c r="CL985" s="387" t="str">
        <f t="shared" si="701"/>
        <v/>
      </c>
      <c r="CM985" s="387" t="str">
        <f t="shared" si="702"/>
        <v/>
      </c>
      <c r="CN985" s="387" t="str">
        <f t="shared" si="703"/>
        <v>0348-31</v>
      </c>
    </row>
    <row r="986" spans="1:92" ht="15.75" thickBot="1" x14ac:dyDescent="0.3">
      <c r="A986" s="376" t="s">
        <v>161</v>
      </c>
      <c r="B986" s="376" t="s">
        <v>162</v>
      </c>
      <c r="C986" s="376" t="s">
        <v>348</v>
      </c>
      <c r="D986" s="376" t="s">
        <v>349</v>
      </c>
      <c r="E986" s="376" t="s">
        <v>224</v>
      </c>
      <c r="F986" s="382" t="s">
        <v>225</v>
      </c>
      <c r="G986" s="376" t="s">
        <v>1945</v>
      </c>
      <c r="H986" s="378"/>
      <c r="I986" s="378"/>
      <c r="J986" s="376" t="s">
        <v>239</v>
      </c>
      <c r="K986" s="376" t="s">
        <v>350</v>
      </c>
      <c r="L986" s="376" t="s">
        <v>351</v>
      </c>
      <c r="M986" s="376" t="s">
        <v>171</v>
      </c>
      <c r="N986" s="376" t="s">
        <v>172</v>
      </c>
      <c r="O986" s="379">
        <v>1</v>
      </c>
      <c r="P986" s="385">
        <v>0.75</v>
      </c>
      <c r="Q986" s="385">
        <v>0.75</v>
      </c>
      <c r="R986" s="380">
        <v>80</v>
      </c>
      <c r="S986" s="385">
        <v>0.75</v>
      </c>
      <c r="T986" s="380">
        <v>60093.99</v>
      </c>
      <c r="U986" s="380">
        <v>0</v>
      </c>
      <c r="V986" s="380">
        <v>20147.32</v>
      </c>
      <c r="W986" s="380">
        <v>69778.8</v>
      </c>
      <c r="X986" s="380">
        <v>23827.14</v>
      </c>
      <c r="Y986" s="380">
        <v>69778.8</v>
      </c>
      <c r="Z986" s="380">
        <v>23534.07</v>
      </c>
      <c r="AA986" s="376" t="s">
        <v>352</v>
      </c>
      <c r="AB986" s="376" t="s">
        <v>353</v>
      </c>
      <c r="AC986" s="376" t="s">
        <v>354</v>
      </c>
      <c r="AD986" s="376" t="s">
        <v>351</v>
      </c>
      <c r="AE986" s="376" t="s">
        <v>350</v>
      </c>
      <c r="AF986" s="376" t="s">
        <v>355</v>
      </c>
      <c r="AG986" s="376" t="s">
        <v>178</v>
      </c>
      <c r="AH986" s="381">
        <v>44.73</v>
      </c>
      <c r="AI986" s="379">
        <v>49048</v>
      </c>
      <c r="AJ986" s="376" t="s">
        <v>179</v>
      </c>
      <c r="AK986" s="376" t="s">
        <v>180</v>
      </c>
      <c r="AL986" s="376" t="s">
        <v>181</v>
      </c>
      <c r="AM986" s="376" t="s">
        <v>182</v>
      </c>
      <c r="AN986" s="376" t="s">
        <v>68</v>
      </c>
      <c r="AO986" s="379">
        <v>80</v>
      </c>
      <c r="AP986" s="385">
        <v>1</v>
      </c>
      <c r="AQ986" s="385">
        <v>0.75</v>
      </c>
      <c r="AR986" s="383" t="s">
        <v>183</v>
      </c>
      <c r="AS986" s="387">
        <f t="shared" si="687"/>
        <v>0.75</v>
      </c>
      <c r="AT986">
        <f t="shared" si="688"/>
        <v>1</v>
      </c>
      <c r="AU986" s="387">
        <f>IF(AT986=0,"",IF(AND(AT986=1,M986="F",SUMIF(C2:C1334,C986,AS2:AS1334)&lt;=1),SUMIF(C2:C1334,C986,AS2:AS1334),IF(AND(AT986=1,M986="F",SUMIF(C2:C1334,C986,AS2:AS1334)&gt;1),1,"")))</f>
        <v>1</v>
      </c>
      <c r="AV986" s="387" t="str">
        <f>IF(AT986=0,"",IF(AND(AT986=3,M986="F",SUMIF(C2:C1334,C986,AS2:AS1334)&lt;=1),SUMIF(C2:C1334,C986,AS2:AS1334),IF(AND(AT986=3,M986="F",SUMIF(C2:C1334,C986,AS2:AS1334)&gt;1),1,"")))</f>
        <v/>
      </c>
      <c r="AW986" s="387">
        <f>SUMIF(C2:C1334,C986,O2:O1334)</f>
        <v>4</v>
      </c>
      <c r="AX986" s="387">
        <f>IF(AND(M986="F",AS986&lt;&gt;0),SUMIF(C2:C1334,C986,W2:W1334),0)</f>
        <v>93038.399999999994</v>
      </c>
      <c r="AY986" s="387">
        <f t="shared" si="689"/>
        <v>69778.8</v>
      </c>
      <c r="AZ986" s="387" t="str">
        <f t="shared" si="690"/>
        <v/>
      </c>
      <c r="BA986" s="387">
        <f t="shared" si="691"/>
        <v>0</v>
      </c>
      <c r="BB986" s="387">
        <f t="shared" si="660"/>
        <v>8737.5</v>
      </c>
      <c r="BC986" s="387">
        <f t="shared" si="661"/>
        <v>0</v>
      </c>
      <c r="BD986" s="387">
        <f t="shared" si="662"/>
        <v>4326.2856000000002</v>
      </c>
      <c r="BE986" s="387">
        <f t="shared" si="663"/>
        <v>1011.7926000000001</v>
      </c>
      <c r="BF986" s="387">
        <f t="shared" si="664"/>
        <v>8331.5887200000016</v>
      </c>
      <c r="BG986" s="387">
        <f t="shared" si="665"/>
        <v>503.10514800000004</v>
      </c>
      <c r="BH986" s="387">
        <f t="shared" si="666"/>
        <v>341.91611999999998</v>
      </c>
      <c r="BI986" s="387">
        <f t="shared" si="667"/>
        <v>386.22565800000001</v>
      </c>
      <c r="BJ986" s="387">
        <f t="shared" si="668"/>
        <v>188.40276000000003</v>
      </c>
      <c r="BK986" s="387">
        <f t="shared" si="669"/>
        <v>0</v>
      </c>
      <c r="BL986" s="387">
        <f t="shared" si="692"/>
        <v>15089.316606000002</v>
      </c>
      <c r="BM986" s="387">
        <f t="shared" si="693"/>
        <v>0</v>
      </c>
      <c r="BN986" s="387">
        <f t="shared" si="670"/>
        <v>8737.5</v>
      </c>
      <c r="BO986" s="387">
        <f t="shared" si="671"/>
        <v>0</v>
      </c>
      <c r="BP986" s="387">
        <f t="shared" si="672"/>
        <v>4326.2856000000002</v>
      </c>
      <c r="BQ986" s="387">
        <f t="shared" si="673"/>
        <v>1011.7926000000001</v>
      </c>
      <c r="BR986" s="387">
        <f t="shared" si="674"/>
        <v>8331.5887200000016</v>
      </c>
      <c r="BS986" s="387">
        <f t="shared" si="675"/>
        <v>503.10514800000004</v>
      </c>
      <c r="BT986" s="387">
        <f t="shared" si="676"/>
        <v>0</v>
      </c>
      <c r="BU986" s="387">
        <f t="shared" si="677"/>
        <v>386.22565800000001</v>
      </c>
      <c r="BV986" s="387">
        <f t="shared" si="678"/>
        <v>237.24791999999999</v>
      </c>
      <c r="BW986" s="387">
        <f t="shared" si="679"/>
        <v>0</v>
      </c>
      <c r="BX986" s="387">
        <f t="shared" si="694"/>
        <v>14796.245646000001</v>
      </c>
      <c r="BY986" s="387">
        <f t="shared" si="695"/>
        <v>0</v>
      </c>
      <c r="BZ986" s="387">
        <f t="shared" si="696"/>
        <v>0</v>
      </c>
      <c r="CA986" s="387">
        <f t="shared" si="697"/>
        <v>0</v>
      </c>
      <c r="CB986" s="387">
        <f t="shared" si="698"/>
        <v>0</v>
      </c>
      <c r="CC986" s="387">
        <f t="shared" si="680"/>
        <v>0</v>
      </c>
      <c r="CD986" s="387">
        <f t="shared" si="681"/>
        <v>0</v>
      </c>
      <c r="CE986" s="387">
        <f t="shared" si="682"/>
        <v>0</v>
      </c>
      <c r="CF986" s="387">
        <f t="shared" si="683"/>
        <v>-341.91611999999998</v>
      </c>
      <c r="CG986" s="387">
        <f t="shared" si="684"/>
        <v>0</v>
      </c>
      <c r="CH986" s="387">
        <f t="shared" si="685"/>
        <v>48.845159999999979</v>
      </c>
      <c r="CI986" s="387">
        <f t="shared" si="686"/>
        <v>0</v>
      </c>
      <c r="CJ986" s="387">
        <f t="shared" si="699"/>
        <v>-293.07096000000001</v>
      </c>
      <c r="CK986" s="387" t="str">
        <f t="shared" si="700"/>
        <v/>
      </c>
      <c r="CL986" s="387" t="str">
        <f t="shared" si="701"/>
        <v/>
      </c>
      <c r="CM986" s="387" t="str">
        <f t="shared" si="702"/>
        <v/>
      </c>
      <c r="CN986" s="387" t="str">
        <f t="shared" si="703"/>
        <v>0348-31</v>
      </c>
    </row>
    <row r="987" spans="1:92" ht="15.75" thickBot="1" x14ac:dyDescent="0.3">
      <c r="A987" s="376" t="s">
        <v>161</v>
      </c>
      <c r="B987" s="376" t="s">
        <v>162</v>
      </c>
      <c r="C987" s="376" t="s">
        <v>2172</v>
      </c>
      <c r="D987" s="376" t="s">
        <v>2173</v>
      </c>
      <c r="E987" s="376" t="s">
        <v>224</v>
      </c>
      <c r="F987" s="382" t="s">
        <v>225</v>
      </c>
      <c r="G987" s="376" t="s">
        <v>1945</v>
      </c>
      <c r="H987" s="378"/>
      <c r="I987" s="378"/>
      <c r="J987" s="376" t="s">
        <v>215</v>
      </c>
      <c r="K987" s="376" t="s">
        <v>2174</v>
      </c>
      <c r="L987" s="376" t="s">
        <v>296</v>
      </c>
      <c r="M987" s="376" t="s">
        <v>171</v>
      </c>
      <c r="N987" s="376" t="s">
        <v>172</v>
      </c>
      <c r="O987" s="379">
        <v>1</v>
      </c>
      <c r="P987" s="385">
        <v>1</v>
      </c>
      <c r="Q987" s="385">
        <v>1</v>
      </c>
      <c r="R987" s="380">
        <v>80</v>
      </c>
      <c r="S987" s="385">
        <v>1</v>
      </c>
      <c r="T987" s="380">
        <v>59007.27</v>
      </c>
      <c r="U987" s="380">
        <v>122.81</v>
      </c>
      <c r="V987" s="380">
        <v>23775.91</v>
      </c>
      <c r="W987" s="380">
        <v>59176</v>
      </c>
      <c r="X987" s="380">
        <v>24446.78</v>
      </c>
      <c r="Y987" s="380">
        <v>59176</v>
      </c>
      <c r="Z987" s="380">
        <v>24198.240000000002</v>
      </c>
      <c r="AA987" s="376" t="s">
        <v>2175</v>
      </c>
      <c r="AB987" s="376" t="s">
        <v>2176</v>
      </c>
      <c r="AC987" s="376" t="s">
        <v>916</v>
      </c>
      <c r="AD987" s="376" t="s">
        <v>170</v>
      </c>
      <c r="AE987" s="376" t="s">
        <v>2174</v>
      </c>
      <c r="AF987" s="376" t="s">
        <v>301</v>
      </c>
      <c r="AG987" s="376" t="s">
        <v>178</v>
      </c>
      <c r="AH987" s="381">
        <v>28.45</v>
      </c>
      <c r="AI987" s="379">
        <v>52673</v>
      </c>
      <c r="AJ987" s="376" t="s">
        <v>179</v>
      </c>
      <c r="AK987" s="376" t="s">
        <v>180</v>
      </c>
      <c r="AL987" s="376" t="s">
        <v>181</v>
      </c>
      <c r="AM987" s="376" t="s">
        <v>182</v>
      </c>
      <c r="AN987" s="376" t="s">
        <v>68</v>
      </c>
      <c r="AO987" s="379">
        <v>80</v>
      </c>
      <c r="AP987" s="385">
        <v>1</v>
      </c>
      <c r="AQ987" s="385">
        <v>1</v>
      </c>
      <c r="AR987" s="383" t="s">
        <v>183</v>
      </c>
      <c r="AS987" s="387">
        <f t="shared" si="687"/>
        <v>1</v>
      </c>
      <c r="AT987">
        <f t="shared" si="688"/>
        <v>1</v>
      </c>
      <c r="AU987" s="387">
        <f>IF(AT987=0,"",IF(AND(AT987=1,M987="F",SUMIF(C2:C1334,C987,AS2:AS1334)&lt;=1),SUMIF(C2:C1334,C987,AS2:AS1334),IF(AND(AT987=1,M987="F",SUMIF(C2:C1334,C987,AS2:AS1334)&gt;1),1,"")))</f>
        <v>1</v>
      </c>
      <c r="AV987" s="387" t="str">
        <f>IF(AT987=0,"",IF(AND(AT987=3,M987="F",SUMIF(C2:C1334,C987,AS2:AS1334)&lt;=1),SUMIF(C2:C1334,C987,AS2:AS1334),IF(AND(AT987=3,M987="F",SUMIF(C2:C1334,C987,AS2:AS1334)&gt;1),1,"")))</f>
        <v/>
      </c>
      <c r="AW987" s="387">
        <f>SUMIF(C2:C1334,C987,O2:O1334)</f>
        <v>1</v>
      </c>
      <c r="AX987" s="387">
        <f>IF(AND(M987="F",AS987&lt;&gt;0),SUMIF(C2:C1334,C987,W2:W1334),0)</f>
        <v>59176</v>
      </c>
      <c r="AY987" s="387">
        <f t="shared" si="689"/>
        <v>59176</v>
      </c>
      <c r="AZ987" s="387" t="str">
        <f t="shared" si="690"/>
        <v/>
      </c>
      <c r="BA987" s="387">
        <f t="shared" si="691"/>
        <v>0</v>
      </c>
      <c r="BB987" s="387">
        <f t="shared" si="660"/>
        <v>11650</v>
      </c>
      <c r="BC987" s="387">
        <f t="shared" si="661"/>
        <v>0</v>
      </c>
      <c r="BD987" s="387">
        <f t="shared" si="662"/>
        <v>3668.9119999999998</v>
      </c>
      <c r="BE987" s="387">
        <f t="shared" si="663"/>
        <v>858.05200000000002</v>
      </c>
      <c r="BF987" s="387">
        <f t="shared" si="664"/>
        <v>7065.6144000000004</v>
      </c>
      <c r="BG987" s="387">
        <f t="shared" si="665"/>
        <v>426.65896000000004</v>
      </c>
      <c r="BH987" s="387">
        <f t="shared" si="666"/>
        <v>289.9624</v>
      </c>
      <c r="BI987" s="387">
        <f t="shared" si="667"/>
        <v>327.53915999999998</v>
      </c>
      <c r="BJ987" s="387">
        <f t="shared" si="668"/>
        <v>159.77520000000001</v>
      </c>
      <c r="BK987" s="387">
        <f t="shared" si="669"/>
        <v>0</v>
      </c>
      <c r="BL987" s="387">
        <f t="shared" si="692"/>
        <v>12796.514120000002</v>
      </c>
      <c r="BM987" s="387">
        <f t="shared" si="693"/>
        <v>0</v>
      </c>
      <c r="BN987" s="387">
        <f t="shared" si="670"/>
        <v>11650</v>
      </c>
      <c r="BO987" s="387">
        <f t="shared" si="671"/>
        <v>0</v>
      </c>
      <c r="BP987" s="387">
        <f t="shared" si="672"/>
        <v>3668.9119999999998</v>
      </c>
      <c r="BQ987" s="387">
        <f t="shared" si="673"/>
        <v>858.05200000000002</v>
      </c>
      <c r="BR987" s="387">
        <f t="shared" si="674"/>
        <v>7065.6144000000004</v>
      </c>
      <c r="BS987" s="387">
        <f t="shared" si="675"/>
        <v>426.65896000000004</v>
      </c>
      <c r="BT987" s="387">
        <f t="shared" si="676"/>
        <v>0</v>
      </c>
      <c r="BU987" s="387">
        <f t="shared" si="677"/>
        <v>327.53915999999998</v>
      </c>
      <c r="BV987" s="387">
        <f t="shared" si="678"/>
        <v>201.19839999999999</v>
      </c>
      <c r="BW987" s="387">
        <f t="shared" si="679"/>
        <v>0</v>
      </c>
      <c r="BX987" s="387">
        <f t="shared" si="694"/>
        <v>12547.974920000001</v>
      </c>
      <c r="BY987" s="387">
        <f t="shared" si="695"/>
        <v>0</v>
      </c>
      <c r="BZ987" s="387">
        <f t="shared" si="696"/>
        <v>0</v>
      </c>
      <c r="CA987" s="387">
        <f t="shared" si="697"/>
        <v>0</v>
      </c>
      <c r="CB987" s="387">
        <f t="shared" si="698"/>
        <v>0</v>
      </c>
      <c r="CC987" s="387">
        <f t="shared" si="680"/>
        <v>0</v>
      </c>
      <c r="CD987" s="387">
        <f t="shared" si="681"/>
        <v>0</v>
      </c>
      <c r="CE987" s="387">
        <f t="shared" si="682"/>
        <v>0</v>
      </c>
      <c r="CF987" s="387">
        <f t="shared" si="683"/>
        <v>-289.9624</v>
      </c>
      <c r="CG987" s="387">
        <f t="shared" si="684"/>
        <v>0</v>
      </c>
      <c r="CH987" s="387">
        <f t="shared" si="685"/>
        <v>41.42319999999998</v>
      </c>
      <c r="CI987" s="387">
        <f t="shared" si="686"/>
        <v>0</v>
      </c>
      <c r="CJ987" s="387">
        <f t="shared" si="699"/>
        <v>-248.53920000000002</v>
      </c>
      <c r="CK987" s="387" t="str">
        <f t="shared" si="700"/>
        <v/>
      </c>
      <c r="CL987" s="387" t="str">
        <f t="shared" si="701"/>
        <v/>
      </c>
      <c r="CM987" s="387" t="str">
        <f t="shared" si="702"/>
        <v/>
      </c>
      <c r="CN987" s="387" t="str">
        <f t="shared" si="703"/>
        <v>0348-31</v>
      </c>
    </row>
    <row r="988" spans="1:92" ht="15.75" thickBot="1" x14ac:dyDescent="0.3">
      <c r="A988" s="376" t="s">
        <v>161</v>
      </c>
      <c r="B988" s="376" t="s">
        <v>162</v>
      </c>
      <c r="C988" s="376" t="s">
        <v>1947</v>
      </c>
      <c r="D988" s="376" t="s">
        <v>574</v>
      </c>
      <c r="E988" s="376" t="s">
        <v>224</v>
      </c>
      <c r="F988" s="382" t="s">
        <v>225</v>
      </c>
      <c r="G988" s="376" t="s">
        <v>1945</v>
      </c>
      <c r="H988" s="378"/>
      <c r="I988" s="378"/>
      <c r="J988" s="376" t="s">
        <v>215</v>
      </c>
      <c r="K988" s="376" t="s">
        <v>575</v>
      </c>
      <c r="L988" s="376" t="s">
        <v>351</v>
      </c>
      <c r="M988" s="376" t="s">
        <v>566</v>
      </c>
      <c r="N988" s="376" t="s">
        <v>172</v>
      </c>
      <c r="O988" s="379">
        <v>0</v>
      </c>
      <c r="P988" s="385">
        <v>0</v>
      </c>
      <c r="Q988" s="385">
        <v>0</v>
      </c>
      <c r="R988" s="380">
        <v>80</v>
      </c>
      <c r="S988" s="385">
        <v>0</v>
      </c>
      <c r="T988" s="380">
        <v>15117.2</v>
      </c>
      <c r="U988" s="380">
        <v>0</v>
      </c>
      <c r="V988" s="380">
        <v>4891.7299999999996</v>
      </c>
      <c r="W988" s="380">
        <v>0</v>
      </c>
      <c r="X988" s="380">
        <v>0</v>
      </c>
      <c r="Y988" s="380">
        <v>0</v>
      </c>
      <c r="Z988" s="380">
        <v>0</v>
      </c>
      <c r="AA988" s="378"/>
      <c r="AB988" s="376" t="s">
        <v>45</v>
      </c>
      <c r="AC988" s="376" t="s">
        <v>45</v>
      </c>
      <c r="AD988" s="378"/>
      <c r="AE988" s="378"/>
      <c r="AF988" s="378"/>
      <c r="AG988" s="378"/>
      <c r="AH988" s="379">
        <v>0</v>
      </c>
      <c r="AI988" s="379">
        <v>0</v>
      </c>
      <c r="AJ988" s="378"/>
      <c r="AK988" s="378"/>
      <c r="AL988" s="376" t="s">
        <v>181</v>
      </c>
      <c r="AM988" s="378"/>
      <c r="AN988" s="378"/>
      <c r="AO988" s="379">
        <v>0</v>
      </c>
      <c r="AP988" s="385">
        <v>0</v>
      </c>
      <c r="AQ988" s="385">
        <v>0</v>
      </c>
      <c r="AR988" s="384"/>
      <c r="AS988" s="387">
        <f t="shared" si="687"/>
        <v>0</v>
      </c>
      <c r="AT988">
        <f t="shared" si="688"/>
        <v>0</v>
      </c>
      <c r="AU988" s="387" t="str">
        <f>IF(AT988=0,"",IF(AND(AT988=1,M988="F",SUMIF(C2:C1334,C988,AS2:AS1334)&lt;=1),SUMIF(C2:C1334,C988,AS2:AS1334),IF(AND(AT988=1,M988="F",SUMIF(C2:C1334,C988,AS2:AS1334)&gt;1),1,"")))</f>
        <v/>
      </c>
      <c r="AV988" s="387" t="str">
        <f>IF(AT988=0,"",IF(AND(AT988=3,M988="F",SUMIF(C2:C1334,C988,AS2:AS1334)&lt;=1),SUMIF(C2:C1334,C988,AS2:AS1334),IF(AND(AT988=3,M988="F",SUMIF(C2:C1334,C988,AS2:AS1334)&gt;1),1,"")))</f>
        <v/>
      </c>
      <c r="AW988" s="387">
        <f>SUMIF(C2:C1334,C988,O2:O1334)</f>
        <v>0</v>
      </c>
      <c r="AX988" s="387">
        <f>IF(AND(M988="F",AS988&lt;&gt;0),SUMIF(C2:C1334,C988,W2:W1334),0)</f>
        <v>0</v>
      </c>
      <c r="AY988" s="387" t="str">
        <f t="shared" si="689"/>
        <v/>
      </c>
      <c r="AZ988" s="387" t="str">
        <f t="shared" si="690"/>
        <v/>
      </c>
      <c r="BA988" s="387">
        <f t="shared" si="691"/>
        <v>0</v>
      </c>
      <c r="BB988" s="387">
        <f t="shared" si="660"/>
        <v>0</v>
      </c>
      <c r="BC988" s="387">
        <f t="shared" si="661"/>
        <v>0</v>
      </c>
      <c r="BD988" s="387">
        <f t="shared" si="662"/>
        <v>0</v>
      </c>
      <c r="BE988" s="387">
        <f t="shared" si="663"/>
        <v>0</v>
      </c>
      <c r="BF988" s="387">
        <f t="shared" si="664"/>
        <v>0</v>
      </c>
      <c r="BG988" s="387">
        <f t="shared" si="665"/>
        <v>0</v>
      </c>
      <c r="BH988" s="387">
        <f t="shared" si="666"/>
        <v>0</v>
      </c>
      <c r="BI988" s="387">
        <f t="shared" si="667"/>
        <v>0</v>
      </c>
      <c r="BJ988" s="387">
        <f t="shared" si="668"/>
        <v>0</v>
      </c>
      <c r="BK988" s="387">
        <f t="shared" si="669"/>
        <v>0</v>
      </c>
      <c r="BL988" s="387">
        <f t="shared" si="692"/>
        <v>0</v>
      </c>
      <c r="BM988" s="387">
        <f t="shared" si="693"/>
        <v>0</v>
      </c>
      <c r="BN988" s="387">
        <f t="shared" si="670"/>
        <v>0</v>
      </c>
      <c r="BO988" s="387">
        <f t="shared" si="671"/>
        <v>0</v>
      </c>
      <c r="BP988" s="387">
        <f t="shared" si="672"/>
        <v>0</v>
      </c>
      <c r="BQ988" s="387">
        <f t="shared" si="673"/>
        <v>0</v>
      </c>
      <c r="BR988" s="387">
        <f t="shared" si="674"/>
        <v>0</v>
      </c>
      <c r="BS988" s="387">
        <f t="shared" si="675"/>
        <v>0</v>
      </c>
      <c r="BT988" s="387">
        <f t="shared" si="676"/>
        <v>0</v>
      </c>
      <c r="BU988" s="387">
        <f t="shared" si="677"/>
        <v>0</v>
      </c>
      <c r="BV988" s="387">
        <f t="shared" si="678"/>
        <v>0</v>
      </c>
      <c r="BW988" s="387">
        <f t="shared" si="679"/>
        <v>0</v>
      </c>
      <c r="BX988" s="387">
        <f t="shared" si="694"/>
        <v>0</v>
      </c>
      <c r="BY988" s="387">
        <f t="shared" si="695"/>
        <v>0</v>
      </c>
      <c r="BZ988" s="387">
        <f t="shared" si="696"/>
        <v>0</v>
      </c>
      <c r="CA988" s="387">
        <f t="shared" si="697"/>
        <v>0</v>
      </c>
      <c r="CB988" s="387">
        <f t="shared" si="698"/>
        <v>0</v>
      </c>
      <c r="CC988" s="387">
        <f t="shared" si="680"/>
        <v>0</v>
      </c>
      <c r="CD988" s="387">
        <f t="shared" si="681"/>
        <v>0</v>
      </c>
      <c r="CE988" s="387">
        <f t="shared" si="682"/>
        <v>0</v>
      </c>
      <c r="CF988" s="387">
        <f t="shared" si="683"/>
        <v>0</v>
      </c>
      <c r="CG988" s="387">
        <f t="shared" si="684"/>
        <v>0</v>
      </c>
      <c r="CH988" s="387">
        <f t="shared" si="685"/>
        <v>0</v>
      </c>
      <c r="CI988" s="387">
        <f t="shared" si="686"/>
        <v>0</v>
      </c>
      <c r="CJ988" s="387">
        <f t="shared" si="699"/>
        <v>0</v>
      </c>
      <c r="CK988" s="387" t="str">
        <f t="shared" si="700"/>
        <v/>
      </c>
      <c r="CL988" s="387" t="str">
        <f t="shared" si="701"/>
        <v/>
      </c>
      <c r="CM988" s="387" t="str">
        <f t="shared" si="702"/>
        <v/>
      </c>
      <c r="CN988" s="387" t="str">
        <f t="shared" si="703"/>
        <v>0348-31</v>
      </c>
    </row>
    <row r="989" spans="1:92" ht="15.75" thickBot="1" x14ac:dyDescent="0.3">
      <c r="A989" s="376" t="s">
        <v>161</v>
      </c>
      <c r="B989" s="376" t="s">
        <v>162</v>
      </c>
      <c r="C989" s="376" t="s">
        <v>459</v>
      </c>
      <c r="D989" s="376" t="s">
        <v>368</v>
      </c>
      <c r="E989" s="376" t="s">
        <v>224</v>
      </c>
      <c r="F989" s="382" t="s">
        <v>225</v>
      </c>
      <c r="G989" s="376" t="s">
        <v>1945</v>
      </c>
      <c r="H989" s="378"/>
      <c r="I989" s="378"/>
      <c r="J989" s="376" t="s">
        <v>239</v>
      </c>
      <c r="K989" s="376" t="s">
        <v>424</v>
      </c>
      <c r="L989" s="376" t="s">
        <v>210</v>
      </c>
      <c r="M989" s="376" t="s">
        <v>171</v>
      </c>
      <c r="N989" s="376" t="s">
        <v>172</v>
      </c>
      <c r="O989" s="379">
        <v>1</v>
      </c>
      <c r="P989" s="385">
        <v>0.85</v>
      </c>
      <c r="Q989" s="385">
        <v>0.85</v>
      </c>
      <c r="R989" s="380">
        <v>80</v>
      </c>
      <c r="S989" s="385">
        <v>0.85</v>
      </c>
      <c r="T989" s="380">
        <v>80193.240000000005</v>
      </c>
      <c r="U989" s="380">
        <v>0</v>
      </c>
      <c r="V989" s="380">
        <v>27365.41</v>
      </c>
      <c r="W989" s="380">
        <v>77650.559999999998</v>
      </c>
      <c r="X989" s="380">
        <v>26694.39</v>
      </c>
      <c r="Y989" s="380">
        <v>77650.559999999998</v>
      </c>
      <c r="Z989" s="380">
        <v>26368.26</v>
      </c>
      <c r="AA989" s="376" t="s">
        <v>460</v>
      </c>
      <c r="AB989" s="376" t="s">
        <v>461</v>
      </c>
      <c r="AC989" s="376" t="s">
        <v>462</v>
      </c>
      <c r="AD989" s="376" t="s">
        <v>463</v>
      </c>
      <c r="AE989" s="376" t="s">
        <v>424</v>
      </c>
      <c r="AF989" s="376" t="s">
        <v>245</v>
      </c>
      <c r="AG989" s="376" t="s">
        <v>178</v>
      </c>
      <c r="AH989" s="381">
        <v>43.92</v>
      </c>
      <c r="AI989" s="381">
        <v>48998.2</v>
      </c>
      <c r="AJ989" s="376" t="s">
        <v>179</v>
      </c>
      <c r="AK989" s="376" t="s">
        <v>180</v>
      </c>
      <c r="AL989" s="376" t="s">
        <v>181</v>
      </c>
      <c r="AM989" s="376" t="s">
        <v>182</v>
      </c>
      <c r="AN989" s="376" t="s">
        <v>68</v>
      </c>
      <c r="AO989" s="379">
        <v>80</v>
      </c>
      <c r="AP989" s="385">
        <v>1</v>
      </c>
      <c r="AQ989" s="385">
        <v>0.85</v>
      </c>
      <c r="AR989" s="383" t="s">
        <v>183</v>
      </c>
      <c r="AS989" s="387">
        <f t="shared" si="687"/>
        <v>0.85</v>
      </c>
      <c r="AT989">
        <f t="shared" si="688"/>
        <v>1</v>
      </c>
      <c r="AU989" s="387">
        <f>IF(AT989=0,"",IF(AND(AT989=1,M989="F",SUMIF(C2:C1334,C989,AS2:AS1334)&lt;=1),SUMIF(C2:C1334,C989,AS2:AS1334),IF(AND(AT989=1,M989="F",SUMIF(C2:C1334,C989,AS2:AS1334)&gt;1),1,"")))</f>
        <v>1</v>
      </c>
      <c r="AV989" s="387" t="str">
        <f>IF(AT989=0,"",IF(AND(AT989=3,M989="F",SUMIF(C2:C1334,C989,AS2:AS1334)&lt;=1),SUMIF(C2:C1334,C989,AS2:AS1334),IF(AND(AT989=3,M989="F",SUMIF(C2:C1334,C989,AS2:AS1334)&gt;1),1,"")))</f>
        <v/>
      </c>
      <c r="AW989" s="387">
        <f>SUMIF(C2:C1334,C989,O2:O1334)</f>
        <v>3</v>
      </c>
      <c r="AX989" s="387">
        <f>IF(AND(M989="F",AS989&lt;&gt;0),SUMIF(C2:C1334,C989,W2:W1334),0)</f>
        <v>91353.600000000006</v>
      </c>
      <c r="AY989" s="387">
        <f t="shared" si="689"/>
        <v>77650.559999999998</v>
      </c>
      <c r="AZ989" s="387" t="str">
        <f t="shared" si="690"/>
        <v/>
      </c>
      <c r="BA989" s="387">
        <f t="shared" si="691"/>
        <v>0</v>
      </c>
      <c r="BB989" s="387">
        <f t="shared" si="660"/>
        <v>9902.5</v>
      </c>
      <c r="BC989" s="387">
        <f t="shared" si="661"/>
        <v>0</v>
      </c>
      <c r="BD989" s="387">
        <f t="shared" si="662"/>
        <v>4814.3347199999998</v>
      </c>
      <c r="BE989" s="387">
        <f t="shared" si="663"/>
        <v>1125.9331199999999</v>
      </c>
      <c r="BF989" s="387">
        <f t="shared" si="664"/>
        <v>9271.4768640000002</v>
      </c>
      <c r="BG989" s="387">
        <f t="shared" si="665"/>
        <v>559.86053760000004</v>
      </c>
      <c r="BH989" s="387">
        <f t="shared" si="666"/>
        <v>380.48774399999996</v>
      </c>
      <c r="BI989" s="387">
        <f t="shared" si="667"/>
        <v>429.7958496</v>
      </c>
      <c r="BJ989" s="387">
        <f t="shared" si="668"/>
        <v>209.65651199999999</v>
      </c>
      <c r="BK989" s="387">
        <f t="shared" si="669"/>
        <v>0</v>
      </c>
      <c r="BL989" s="387">
        <f t="shared" si="692"/>
        <v>16791.545347200001</v>
      </c>
      <c r="BM989" s="387">
        <f t="shared" si="693"/>
        <v>0</v>
      </c>
      <c r="BN989" s="387">
        <f t="shared" si="670"/>
        <v>9902.5</v>
      </c>
      <c r="BO989" s="387">
        <f t="shared" si="671"/>
        <v>0</v>
      </c>
      <c r="BP989" s="387">
        <f t="shared" si="672"/>
        <v>4814.3347199999998</v>
      </c>
      <c r="BQ989" s="387">
        <f t="shared" si="673"/>
        <v>1125.9331199999999</v>
      </c>
      <c r="BR989" s="387">
        <f t="shared" si="674"/>
        <v>9271.4768640000002</v>
      </c>
      <c r="BS989" s="387">
        <f t="shared" si="675"/>
        <v>559.86053760000004</v>
      </c>
      <c r="BT989" s="387">
        <f t="shared" si="676"/>
        <v>0</v>
      </c>
      <c r="BU989" s="387">
        <f t="shared" si="677"/>
        <v>429.7958496</v>
      </c>
      <c r="BV989" s="387">
        <f t="shared" si="678"/>
        <v>264.01190399999996</v>
      </c>
      <c r="BW989" s="387">
        <f t="shared" si="679"/>
        <v>0</v>
      </c>
      <c r="BX989" s="387">
        <f t="shared" si="694"/>
        <v>16465.4129952</v>
      </c>
      <c r="BY989" s="387">
        <f t="shared" si="695"/>
        <v>0</v>
      </c>
      <c r="BZ989" s="387">
        <f t="shared" si="696"/>
        <v>0</v>
      </c>
      <c r="CA989" s="387">
        <f t="shared" si="697"/>
        <v>0</v>
      </c>
      <c r="CB989" s="387">
        <f t="shared" si="698"/>
        <v>0</v>
      </c>
      <c r="CC989" s="387">
        <f t="shared" si="680"/>
        <v>0</v>
      </c>
      <c r="CD989" s="387">
        <f t="shared" si="681"/>
        <v>0</v>
      </c>
      <c r="CE989" s="387">
        <f t="shared" si="682"/>
        <v>0</v>
      </c>
      <c r="CF989" s="387">
        <f t="shared" si="683"/>
        <v>-380.48774399999996</v>
      </c>
      <c r="CG989" s="387">
        <f t="shared" si="684"/>
        <v>0</v>
      </c>
      <c r="CH989" s="387">
        <f t="shared" si="685"/>
        <v>54.355391999999974</v>
      </c>
      <c r="CI989" s="387">
        <f t="shared" si="686"/>
        <v>0</v>
      </c>
      <c r="CJ989" s="387">
        <f t="shared" si="699"/>
        <v>-326.13235199999997</v>
      </c>
      <c r="CK989" s="387" t="str">
        <f t="shared" si="700"/>
        <v/>
      </c>
      <c r="CL989" s="387" t="str">
        <f t="shared" si="701"/>
        <v/>
      </c>
      <c r="CM989" s="387" t="str">
        <f t="shared" si="702"/>
        <v/>
      </c>
      <c r="CN989" s="387" t="str">
        <f t="shared" si="703"/>
        <v>0348-31</v>
      </c>
    </row>
    <row r="990" spans="1:92" ht="15.75" thickBot="1" x14ac:dyDescent="0.3">
      <c r="A990" s="376" t="s">
        <v>161</v>
      </c>
      <c r="B990" s="376" t="s">
        <v>162</v>
      </c>
      <c r="C990" s="376" t="s">
        <v>1723</v>
      </c>
      <c r="D990" s="376" t="s">
        <v>792</v>
      </c>
      <c r="E990" s="376" t="s">
        <v>224</v>
      </c>
      <c r="F990" s="382" t="s">
        <v>225</v>
      </c>
      <c r="G990" s="376" t="s">
        <v>1945</v>
      </c>
      <c r="H990" s="378"/>
      <c r="I990" s="378"/>
      <c r="J990" s="376" t="s">
        <v>239</v>
      </c>
      <c r="K990" s="376" t="s">
        <v>793</v>
      </c>
      <c r="L990" s="376" t="s">
        <v>170</v>
      </c>
      <c r="M990" s="376" t="s">
        <v>171</v>
      </c>
      <c r="N990" s="376" t="s">
        <v>172</v>
      </c>
      <c r="O990" s="379">
        <v>1</v>
      </c>
      <c r="P990" s="385">
        <v>0.2</v>
      </c>
      <c r="Q990" s="385">
        <v>0.2</v>
      </c>
      <c r="R990" s="380">
        <v>80</v>
      </c>
      <c r="S990" s="385">
        <v>0.2</v>
      </c>
      <c r="T990" s="380">
        <v>9268.36</v>
      </c>
      <c r="U990" s="380">
        <v>0</v>
      </c>
      <c r="V990" s="380">
        <v>3655.02</v>
      </c>
      <c r="W990" s="380">
        <v>13091.52</v>
      </c>
      <c r="X990" s="380">
        <v>5161.03</v>
      </c>
      <c r="Y990" s="380">
        <v>13091.52</v>
      </c>
      <c r="Z990" s="380">
        <v>5106.05</v>
      </c>
      <c r="AA990" s="376" t="s">
        <v>1724</v>
      </c>
      <c r="AB990" s="376" t="s">
        <v>1725</v>
      </c>
      <c r="AC990" s="376" t="s">
        <v>1726</v>
      </c>
      <c r="AD990" s="376" t="s">
        <v>324</v>
      </c>
      <c r="AE990" s="376" t="s">
        <v>793</v>
      </c>
      <c r="AF990" s="376" t="s">
        <v>177</v>
      </c>
      <c r="AG990" s="376" t="s">
        <v>178</v>
      </c>
      <c r="AH990" s="381">
        <v>31.47</v>
      </c>
      <c r="AI990" s="379">
        <v>60469</v>
      </c>
      <c r="AJ990" s="376" t="s">
        <v>179</v>
      </c>
      <c r="AK990" s="376" t="s">
        <v>180</v>
      </c>
      <c r="AL990" s="376" t="s">
        <v>181</v>
      </c>
      <c r="AM990" s="376" t="s">
        <v>182</v>
      </c>
      <c r="AN990" s="376" t="s">
        <v>68</v>
      </c>
      <c r="AO990" s="379">
        <v>80</v>
      </c>
      <c r="AP990" s="385">
        <v>1</v>
      </c>
      <c r="AQ990" s="385">
        <v>0.2</v>
      </c>
      <c r="AR990" s="383" t="s">
        <v>183</v>
      </c>
      <c r="AS990" s="387">
        <f t="shared" si="687"/>
        <v>0.2</v>
      </c>
      <c r="AT990">
        <f t="shared" si="688"/>
        <v>1</v>
      </c>
      <c r="AU990" s="387">
        <f>IF(AT990=0,"",IF(AND(AT990=1,M990="F",SUMIF(C2:C1334,C990,AS2:AS1334)&lt;=1),SUMIF(C2:C1334,C990,AS2:AS1334),IF(AND(AT990=1,M990="F",SUMIF(C2:C1334,C990,AS2:AS1334)&gt;1),1,"")))</f>
        <v>1</v>
      </c>
      <c r="AV990" s="387" t="str">
        <f>IF(AT990=0,"",IF(AND(AT990=3,M990="F",SUMIF(C2:C1334,C990,AS2:AS1334)&lt;=1),SUMIF(C2:C1334,C990,AS2:AS1334),IF(AND(AT990=3,M990="F",SUMIF(C2:C1334,C990,AS2:AS1334)&gt;1),1,"")))</f>
        <v/>
      </c>
      <c r="AW990" s="387">
        <f>SUMIF(C2:C1334,C990,O2:O1334)</f>
        <v>3</v>
      </c>
      <c r="AX990" s="387">
        <f>IF(AND(M990="F",AS990&lt;&gt;0),SUMIF(C2:C1334,C990,W2:W1334),0)</f>
        <v>65457.600000000006</v>
      </c>
      <c r="AY990" s="387">
        <f t="shared" si="689"/>
        <v>13091.52</v>
      </c>
      <c r="AZ990" s="387" t="str">
        <f t="shared" si="690"/>
        <v/>
      </c>
      <c r="BA990" s="387">
        <f t="shared" si="691"/>
        <v>0</v>
      </c>
      <c r="BB990" s="387">
        <f t="shared" si="660"/>
        <v>2330</v>
      </c>
      <c r="BC990" s="387">
        <f t="shared" si="661"/>
        <v>0</v>
      </c>
      <c r="BD990" s="387">
        <f t="shared" si="662"/>
        <v>811.67424000000005</v>
      </c>
      <c r="BE990" s="387">
        <f t="shared" si="663"/>
        <v>189.82704000000001</v>
      </c>
      <c r="BF990" s="387">
        <f t="shared" si="664"/>
        <v>1563.1274880000001</v>
      </c>
      <c r="BG990" s="387">
        <f t="shared" si="665"/>
        <v>94.389859200000004</v>
      </c>
      <c r="BH990" s="387">
        <f t="shared" si="666"/>
        <v>64.148448000000002</v>
      </c>
      <c r="BI990" s="387">
        <f t="shared" si="667"/>
        <v>72.461563200000001</v>
      </c>
      <c r="BJ990" s="387">
        <f t="shared" si="668"/>
        <v>35.347104000000002</v>
      </c>
      <c r="BK990" s="387">
        <f t="shared" si="669"/>
        <v>0</v>
      </c>
      <c r="BL990" s="387">
        <f t="shared" si="692"/>
        <v>2830.9757423999999</v>
      </c>
      <c r="BM990" s="387">
        <f t="shared" si="693"/>
        <v>0</v>
      </c>
      <c r="BN990" s="387">
        <f t="shared" si="670"/>
        <v>2330</v>
      </c>
      <c r="BO990" s="387">
        <f t="shared" si="671"/>
        <v>0</v>
      </c>
      <c r="BP990" s="387">
        <f t="shared" si="672"/>
        <v>811.67424000000005</v>
      </c>
      <c r="BQ990" s="387">
        <f t="shared" si="673"/>
        <v>189.82704000000001</v>
      </c>
      <c r="BR990" s="387">
        <f t="shared" si="674"/>
        <v>1563.1274880000001</v>
      </c>
      <c r="BS990" s="387">
        <f t="shared" si="675"/>
        <v>94.389859200000004</v>
      </c>
      <c r="BT990" s="387">
        <f t="shared" si="676"/>
        <v>0</v>
      </c>
      <c r="BU990" s="387">
        <f t="shared" si="677"/>
        <v>72.461563200000001</v>
      </c>
      <c r="BV990" s="387">
        <f t="shared" si="678"/>
        <v>44.511167999999998</v>
      </c>
      <c r="BW990" s="387">
        <f t="shared" si="679"/>
        <v>0</v>
      </c>
      <c r="BX990" s="387">
        <f t="shared" si="694"/>
        <v>2775.9913584000001</v>
      </c>
      <c r="BY990" s="387">
        <f t="shared" si="695"/>
        <v>0</v>
      </c>
      <c r="BZ990" s="387">
        <f t="shared" si="696"/>
        <v>0</v>
      </c>
      <c r="CA990" s="387">
        <f t="shared" si="697"/>
        <v>0</v>
      </c>
      <c r="CB990" s="387">
        <f t="shared" si="698"/>
        <v>0</v>
      </c>
      <c r="CC990" s="387">
        <f t="shared" si="680"/>
        <v>0</v>
      </c>
      <c r="CD990" s="387">
        <f t="shared" si="681"/>
        <v>0</v>
      </c>
      <c r="CE990" s="387">
        <f t="shared" si="682"/>
        <v>0</v>
      </c>
      <c r="CF990" s="387">
        <f t="shared" si="683"/>
        <v>-64.148448000000002</v>
      </c>
      <c r="CG990" s="387">
        <f t="shared" si="684"/>
        <v>0</v>
      </c>
      <c r="CH990" s="387">
        <f t="shared" si="685"/>
        <v>9.1640639999999962</v>
      </c>
      <c r="CI990" s="387">
        <f t="shared" si="686"/>
        <v>0</v>
      </c>
      <c r="CJ990" s="387">
        <f t="shared" si="699"/>
        <v>-54.984384000000006</v>
      </c>
      <c r="CK990" s="387" t="str">
        <f t="shared" si="700"/>
        <v/>
      </c>
      <c r="CL990" s="387" t="str">
        <f t="shared" si="701"/>
        <v/>
      </c>
      <c r="CM990" s="387" t="str">
        <f t="shared" si="702"/>
        <v/>
      </c>
      <c r="CN990" s="387" t="str">
        <f t="shared" si="703"/>
        <v>0348-31</v>
      </c>
    </row>
    <row r="991" spans="1:92" ht="15.75" thickBot="1" x14ac:dyDescent="0.3">
      <c r="A991" s="376" t="s">
        <v>161</v>
      </c>
      <c r="B991" s="376" t="s">
        <v>162</v>
      </c>
      <c r="C991" s="376" t="s">
        <v>1488</v>
      </c>
      <c r="D991" s="376" t="s">
        <v>862</v>
      </c>
      <c r="E991" s="376" t="s">
        <v>224</v>
      </c>
      <c r="F991" s="382" t="s">
        <v>225</v>
      </c>
      <c r="G991" s="376" t="s">
        <v>1945</v>
      </c>
      <c r="H991" s="378"/>
      <c r="I991" s="378"/>
      <c r="J991" s="376" t="s">
        <v>168</v>
      </c>
      <c r="K991" s="376" t="s">
        <v>863</v>
      </c>
      <c r="L991" s="376" t="s">
        <v>252</v>
      </c>
      <c r="M991" s="376" t="s">
        <v>171</v>
      </c>
      <c r="N991" s="376" t="s">
        <v>172</v>
      </c>
      <c r="O991" s="379">
        <v>1</v>
      </c>
      <c r="P991" s="385">
        <v>0.05</v>
      </c>
      <c r="Q991" s="385">
        <v>0.05</v>
      </c>
      <c r="R991" s="380">
        <v>80</v>
      </c>
      <c r="S991" s="385">
        <v>0.05</v>
      </c>
      <c r="T991" s="380">
        <v>3312.98</v>
      </c>
      <c r="U991" s="380">
        <v>0</v>
      </c>
      <c r="V991" s="380">
        <v>1617.88</v>
      </c>
      <c r="W991" s="380">
        <v>2166.3200000000002</v>
      </c>
      <c r="X991" s="380">
        <v>1050.96</v>
      </c>
      <c r="Y991" s="380">
        <v>2166.3200000000002</v>
      </c>
      <c r="Z991" s="380">
        <v>1041.8599999999999</v>
      </c>
      <c r="AA991" s="376" t="s">
        <v>1489</v>
      </c>
      <c r="AB991" s="376" t="s">
        <v>1490</v>
      </c>
      <c r="AC991" s="376" t="s">
        <v>366</v>
      </c>
      <c r="AD991" s="376" t="s">
        <v>324</v>
      </c>
      <c r="AE991" s="376" t="s">
        <v>863</v>
      </c>
      <c r="AF991" s="376" t="s">
        <v>393</v>
      </c>
      <c r="AG991" s="376" t="s">
        <v>178</v>
      </c>
      <c r="AH991" s="381">
        <v>20.83</v>
      </c>
      <c r="AI991" s="381">
        <v>18094.3</v>
      </c>
      <c r="AJ991" s="376" t="s">
        <v>179</v>
      </c>
      <c r="AK991" s="376" t="s">
        <v>180</v>
      </c>
      <c r="AL991" s="376" t="s">
        <v>181</v>
      </c>
      <c r="AM991" s="376" t="s">
        <v>182</v>
      </c>
      <c r="AN991" s="376" t="s">
        <v>68</v>
      </c>
      <c r="AO991" s="379">
        <v>80</v>
      </c>
      <c r="AP991" s="385">
        <v>1</v>
      </c>
      <c r="AQ991" s="385">
        <v>0.05</v>
      </c>
      <c r="AR991" s="383" t="s">
        <v>183</v>
      </c>
      <c r="AS991" s="387">
        <f t="shared" si="687"/>
        <v>0.05</v>
      </c>
      <c r="AT991">
        <f t="shared" si="688"/>
        <v>1</v>
      </c>
      <c r="AU991" s="387">
        <f>IF(AT991=0,"",IF(AND(AT991=1,M991="F",SUMIF(C2:C1334,C991,AS2:AS1334)&lt;=1),SUMIF(C2:C1334,C991,AS2:AS1334),IF(AND(AT991=1,M991="F",SUMIF(C2:C1334,C991,AS2:AS1334)&gt;1),1,"")))</f>
        <v>1</v>
      </c>
      <c r="AV991" s="387" t="str">
        <f>IF(AT991=0,"",IF(AND(AT991=3,M991="F",SUMIF(C2:C1334,C991,AS2:AS1334)&lt;=1),SUMIF(C2:C1334,C991,AS2:AS1334),IF(AND(AT991=3,M991="F",SUMIF(C2:C1334,C991,AS2:AS1334)&gt;1),1,"")))</f>
        <v/>
      </c>
      <c r="AW991" s="387">
        <f>SUMIF(C2:C1334,C991,O2:O1334)</f>
        <v>3</v>
      </c>
      <c r="AX991" s="387">
        <f>IF(AND(M991="F",AS991&lt;&gt;0),SUMIF(C2:C1334,C991,W2:W1334),0)</f>
        <v>43326.400000000001</v>
      </c>
      <c r="AY991" s="387">
        <f t="shared" si="689"/>
        <v>2166.3200000000002</v>
      </c>
      <c r="AZ991" s="387" t="str">
        <f t="shared" si="690"/>
        <v/>
      </c>
      <c r="BA991" s="387">
        <f t="shared" si="691"/>
        <v>0</v>
      </c>
      <c r="BB991" s="387">
        <f t="shared" si="660"/>
        <v>582.5</v>
      </c>
      <c r="BC991" s="387">
        <f t="shared" si="661"/>
        <v>0</v>
      </c>
      <c r="BD991" s="387">
        <f t="shared" si="662"/>
        <v>134.31184000000002</v>
      </c>
      <c r="BE991" s="387">
        <f t="shared" si="663"/>
        <v>31.411640000000006</v>
      </c>
      <c r="BF991" s="387">
        <f t="shared" si="664"/>
        <v>258.65860800000002</v>
      </c>
      <c r="BG991" s="387">
        <f t="shared" si="665"/>
        <v>15.619167200000001</v>
      </c>
      <c r="BH991" s="387">
        <f t="shared" si="666"/>
        <v>10.614968000000001</v>
      </c>
      <c r="BI991" s="387">
        <f t="shared" si="667"/>
        <v>11.990581200000001</v>
      </c>
      <c r="BJ991" s="387">
        <f t="shared" si="668"/>
        <v>5.8490640000000012</v>
      </c>
      <c r="BK991" s="387">
        <f t="shared" si="669"/>
        <v>0</v>
      </c>
      <c r="BL991" s="387">
        <f t="shared" si="692"/>
        <v>468.45586840000004</v>
      </c>
      <c r="BM991" s="387">
        <f t="shared" si="693"/>
        <v>0</v>
      </c>
      <c r="BN991" s="387">
        <f t="shared" si="670"/>
        <v>582.5</v>
      </c>
      <c r="BO991" s="387">
        <f t="shared" si="671"/>
        <v>0</v>
      </c>
      <c r="BP991" s="387">
        <f t="shared" si="672"/>
        <v>134.31184000000002</v>
      </c>
      <c r="BQ991" s="387">
        <f t="shared" si="673"/>
        <v>31.411640000000006</v>
      </c>
      <c r="BR991" s="387">
        <f t="shared" si="674"/>
        <v>258.65860800000002</v>
      </c>
      <c r="BS991" s="387">
        <f t="shared" si="675"/>
        <v>15.619167200000001</v>
      </c>
      <c r="BT991" s="387">
        <f t="shared" si="676"/>
        <v>0</v>
      </c>
      <c r="BU991" s="387">
        <f t="shared" si="677"/>
        <v>11.990581200000001</v>
      </c>
      <c r="BV991" s="387">
        <f t="shared" si="678"/>
        <v>7.365488</v>
      </c>
      <c r="BW991" s="387">
        <f t="shared" si="679"/>
        <v>0</v>
      </c>
      <c r="BX991" s="387">
        <f t="shared" si="694"/>
        <v>459.3573244000001</v>
      </c>
      <c r="BY991" s="387">
        <f t="shared" si="695"/>
        <v>0</v>
      </c>
      <c r="BZ991" s="387">
        <f t="shared" si="696"/>
        <v>0</v>
      </c>
      <c r="CA991" s="387">
        <f t="shared" si="697"/>
        <v>0</v>
      </c>
      <c r="CB991" s="387">
        <f t="shared" si="698"/>
        <v>0</v>
      </c>
      <c r="CC991" s="387">
        <f t="shared" si="680"/>
        <v>0</v>
      </c>
      <c r="CD991" s="387">
        <f t="shared" si="681"/>
        <v>0</v>
      </c>
      <c r="CE991" s="387">
        <f t="shared" si="682"/>
        <v>0</v>
      </c>
      <c r="CF991" s="387">
        <f t="shared" si="683"/>
        <v>-10.614968000000001</v>
      </c>
      <c r="CG991" s="387">
        <f t="shared" si="684"/>
        <v>0</v>
      </c>
      <c r="CH991" s="387">
        <f t="shared" si="685"/>
        <v>1.5164239999999993</v>
      </c>
      <c r="CI991" s="387">
        <f t="shared" si="686"/>
        <v>0</v>
      </c>
      <c r="CJ991" s="387">
        <f t="shared" si="699"/>
        <v>-9.0985440000000022</v>
      </c>
      <c r="CK991" s="387" t="str">
        <f t="shared" si="700"/>
        <v/>
      </c>
      <c r="CL991" s="387" t="str">
        <f t="shared" si="701"/>
        <v/>
      </c>
      <c r="CM991" s="387" t="str">
        <f t="shared" si="702"/>
        <v/>
      </c>
      <c r="CN991" s="387" t="str">
        <f t="shared" si="703"/>
        <v>0348-31</v>
      </c>
    </row>
    <row r="992" spans="1:92" ht="15.75" thickBot="1" x14ac:dyDescent="0.3">
      <c r="A992" s="376" t="s">
        <v>161</v>
      </c>
      <c r="B992" s="376" t="s">
        <v>162</v>
      </c>
      <c r="C992" s="376" t="s">
        <v>1131</v>
      </c>
      <c r="D992" s="376" t="s">
        <v>1088</v>
      </c>
      <c r="E992" s="376" t="s">
        <v>224</v>
      </c>
      <c r="F992" s="382" t="s">
        <v>225</v>
      </c>
      <c r="G992" s="376" t="s">
        <v>1945</v>
      </c>
      <c r="H992" s="378"/>
      <c r="I992" s="378"/>
      <c r="J992" s="376" t="s">
        <v>215</v>
      </c>
      <c r="K992" s="376" t="s">
        <v>1089</v>
      </c>
      <c r="L992" s="376" t="s">
        <v>181</v>
      </c>
      <c r="M992" s="376" t="s">
        <v>171</v>
      </c>
      <c r="N992" s="376" t="s">
        <v>172</v>
      </c>
      <c r="O992" s="379">
        <v>1</v>
      </c>
      <c r="P992" s="385">
        <v>1</v>
      </c>
      <c r="Q992" s="385">
        <v>1</v>
      </c>
      <c r="R992" s="380">
        <v>80</v>
      </c>
      <c r="S992" s="385">
        <v>1</v>
      </c>
      <c r="T992" s="380">
        <v>0</v>
      </c>
      <c r="U992" s="380">
        <v>0</v>
      </c>
      <c r="V992" s="380">
        <v>0</v>
      </c>
      <c r="W992" s="380">
        <v>79851.199999999997</v>
      </c>
      <c r="X992" s="380">
        <v>28917.79</v>
      </c>
      <c r="Y992" s="380">
        <v>79851.199999999997</v>
      </c>
      <c r="Z992" s="380">
        <v>28582.42</v>
      </c>
      <c r="AA992" s="376" t="s">
        <v>1132</v>
      </c>
      <c r="AB992" s="376" t="s">
        <v>1133</v>
      </c>
      <c r="AC992" s="376" t="s">
        <v>533</v>
      </c>
      <c r="AD992" s="376" t="s">
        <v>653</v>
      </c>
      <c r="AE992" s="376" t="s">
        <v>1089</v>
      </c>
      <c r="AF992" s="376" t="s">
        <v>211</v>
      </c>
      <c r="AG992" s="376" t="s">
        <v>178</v>
      </c>
      <c r="AH992" s="381">
        <v>38.39</v>
      </c>
      <c r="AI992" s="379">
        <v>34389</v>
      </c>
      <c r="AJ992" s="376" t="s">
        <v>179</v>
      </c>
      <c r="AK992" s="376" t="s">
        <v>180</v>
      </c>
      <c r="AL992" s="376" t="s">
        <v>181</v>
      </c>
      <c r="AM992" s="376" t="s">
        <v>182</v>
      </c>
      <c r="AN992" s="376" t="s">
        <v>68</v>
      </c>
      <c r="AO992" s="379">
        <v>80</v>
      </c>
      <c r="AP992" s="385">
        <v>1</v>
      </c>
      <c r="AQ992" s="385">
        <v>1</v>
      </c>
      <c r="AR992" s="383" t="s">
        <v>183</v>
      </c>
      <c r="AS992" s="387">
        <f t="shared" si="687"/>
        <v>1</v>
      </c>
      <c r="AT992">
        <f t="shared" si="688"/>
        <v>1</v>
      </c>
      <c r="AU992" s="387">
        <f>IF(AT992=0,"",IF(AND(AT992=1,M992="F",SUMIF(C2:C1334,C992,AS2:AS1334)&lt;=1),SUMIF(C2:C1334,C992,AS2:AS1334),IF(AND(AT992=1,M992="F",SUMIF(C2:C1334,C992,AS2:AS1334)&gt;1),1,"")))</f>
        <v>1</v>
      </c>
      <c r="AV992" s="387" t="str">
        <f>IF(AT992=0,"",IF(AND(AT992=3,M992="F",SUMIF(C2:C1334,C992,AS2:AS1334)&lt;=1),SUMIF(C2:C1334,C992,AS2:AS1334),IF(AND(AT992=3,M992="F",SUMIF(C2:C1334,C992,AS2:AS1334)&gt;1),1,"")))</f>
        <v/>
      </c>
      <c r="AW992" s="387">
        <f>SUMIF(C2:C1334,C992,O2:O1334)</f>
        <v>2</v>
      </c>
      <c r="AX992" s="387">
        <f>IF(AND(M992="F",AS992&lt;&gt;0),SUMIF(C2:C1334,C992,W2:W1334),0)</f>
        <v>79851.199999999997</v>
      </c>
      <c r="AY992" s="387">
        <f t="shared" si="689"/>
        <v>79851.199999999997</v>
      </c>
      <c r="AZ992" s="387" t="str">
        <f t="shared" si="690"/>
        <v/>
      </c>
      <c r="BA992" s="387">
        <f t="shared" si="691"/>
        <v>0</v>
      </c>
      <c r="BB992" s="387">
        <f t="shared" si="660"/>
        <v>11650</v>
      </c>
      <c r="BC992" s="387">
        <f t="shared" si="661"/>
        <v>0</v>
      </c>
      <c r="BD992" s="387">
        <f t="shared" si="662"/>
        <v>4950.7743999999993</v>
      </c>
      <c r="BE992" s="387">
        <f t="shared" si="663"/>
        <v>1157.8424</v>
      </c>
      <c r="BF992" s="387">
        <f t="shared" si="664"/>
        <v>9534.2332800000004</v>
      </c>
      <c r="BG992" s="387">
        <f t="shared" si="665"/>
        <v>575.72715200000005</v>
      </c>
      <c r="BH992" s="387">
        <f t="shared" si="666"/>
        <v>391.27087999999998</v>
      </c>
      <c r="BI992" s="387">
        <f t="shared" si="667"/>
        <v>441.97639199999998</v>
      </c>
      <c r="BJ992" s="387">
        <f t="shared" si="668"/>
        <v>215.59824</v>
      </c>
      <c r="BK992" s="387">
        <f t="shared" si="669"/>
        <v>0</v>
      </c>
      <c r="BL992" s="387">
        <f t="shared" si="692"/>
        <v>17267.422744</v>
      </c>
      <c r="BM992" s="387">
        <f t="shared" si="693"/>
        <v>0</v>
      </c>
      <c r="BN992" s="387">
        <f t="shared" si="670"/>
        <v>11650</v>
      </c>
      <c r="BO992" s="387">
        <f t="shared" si="671"/>
        <v>0</v>
      </c>
      <c r="BP992" s="387">
        <f t="shared" si="672"/>
        <v>4950.7743999999993</v>
      </c>
      <c r="BQ992" s="387">
        <f t="shared" si="673"/>
        <v>1157.8424</v>
      </c>
      <c r="BR992" s="387">
        <f t="shared" si="674"/>
        <v>9534.2332800000004</v>
      </c>
      <c r="BS992" s="387">
        <f t="shared" si="675"/>
        <v>575.72715200000005</v>
      </c>
      <c r="BT992" s="387">
        <f t="shared" si="676"/>
        <v>0</v>
      </c>
      <c r="BU992" s="387">
        <f t="shared" si="677"/>
        <v>441.97639199999998</v>
      </c>
      <c r="BV992" s="387">
        <f t="shared" si="678"/>
        <v>271.49408</v>
      </c>
      <c r="BW992" s="387">
        <f t="shared" si="679"/>
        <v>0</v>
      </c>
      <c r="BX992" s="387">
        <f t="shared" si="694"/>
        <v>16932.047704000001</v>
      </c>
      <c r="BY992" s="387">
        <f t="shared" si="695"/>
        <v>0</v>
      </c>
      <c r="BZ992" s="387">
        <f t="shared" si="696"/>
        <v>0</v>
      </c>
      <c r="CA992" s="387">
        <f t="shared" si="697"/>
        <v>0</v>
      </c>
      <c r="CB992" s="387">
        <f t="shared" si="698"/>
        <v>0</v>
      </c>
      <c r="CC992" s="387">
        <f t="shared" si="680"/>
        <v>0</v>
      </c>
      <c r="CD992" s="387">
        <f t="shared" si="681"/>
        <v>0</v>
      </c>
      <c r="CE992" s="387">
        <f t="shared" si="682"/>
        <v>0</v>
      </c>
      <c r="CF992" s="387">
        <f t="shared" si="683"/>
        <v>-391.27087999999998</v>
      </c>
      <c r="CG992" s="387">
        <f t="shared" si="684"/>
        <v>0</v>
      </c>
      <c r="CH992" s="387">
        <f t="shared" si="685"/>
        <v>55.895839999999971</v>
      </c>
      <c r="CI992" s="387">
        <f t="shared" si="686"/>
        <v>0</v>
      </c>
      <c r="CJ992" s="387">
        <f t="shared" si="699"/>
        <v>-335.37504000000001</v>
      </c>
      <c r="CK992" s="387" t="str">
        <f t="shared" si="700"/>
        <v/>
      </c>
      <c r="CL992" s="387" t="str">
        <f t="shared" si="701"/>
        <v/>
      </c>
      <c r="CM992" s="387" t="str">
        <f t="shared" si="702"/>
        <v/>
      </c>
      <c r="CN992" s="387" t="str">
        <f t="shared" si="703"/>
        <v>0348-31</v>
      </c>
    </row>
    <row r="993" spans="1:92" ht="15.75" thickBot="1" x14ac:dyDescent="0.3">
      <c r="A993" s="376" t="s">
        <v>161</v>
      </c>
      <c r="B993" s="376" t="s">
        <v>162</v>
      </c>
      <c r="C993" s="376" t="s">
        <v>1300</v>
      </c>
      <c r="D993" s="376" t="s">
        <v>862</v>
      </c>
      <c r="E993" s="376" t="s">
        <v>224</v>
      </c>
      <c r="F993" s="382" t="s">
        <v>225</v>
      </c>
      <c r="G993" s="376" t="s">
        <v>1945</v>
      </c>
      <c r="H993" s="378"/>
      <c r="I993" s="378"/>
      <c r="J993" s="376" t="s">
        <v>239</v>
      </c>
      <c r="K993" s="376" t="s">
        <v>863</v>
      </c>
      <c r="L993" s="376" t="s">
        <v>252</v>
      </c>
      <c r="M993" s="376" t="s">
        <v>272</v>
      </c>
      <c r="N993" s="376" t="s">
        <v>172</v>
      </c>
      <c r="O993" s="379">
        <v>0</v>
      </c>
      <c r="P993" s="385">
        <v>0.3</v>
      </c>
      <c r="Q993" s="385">
        <v>0.3</v>
      </c>
      <c r="R993" s="380">
        <v>80</v>
      </c>
      <c r="S993" s="385">
        <v>0.3</v>
      </c>
      <c r="T993" s="380">
        <v>12117.77</v>
      </c>
      <c r="U993" s="380">
        <v>169.41</v>
      </c>
      <c r="V993" s="380">
        <v>6795.08</v>
      </c>
      <c r="W993" s="380">
        <v>12698.4</v>
      </c>
      <c r="X993" s="380">
        <v>5561.89</v>
      </c>
      <c r="Y993" s="380">
        <v>12698.4</v>
      </c>
      <c r="Z993" s="380">
        <v>5498.4</v>
      </c>
      <c r="AA993" s="378"/>
      <c r="AB993" s="376" t="s">
        <v>45</v>
      </c>
      <c r="AC993" s="376" t="s">
        <v>45</v>
      </c>
      <c r="AD993" s="378"/>
      <c r="AE993" s="378"/>
      <c r="AF993" s="378"/>
      <c r="AG993" s="378"/>
      <c r="AH993" s="379">
        <v>0</v>
      </c>
      <c r="AI993" s="379">
        <v>0</v>
      </c>
      <c r="AJ993" s="378"/>
      <c r="AK993" s="378"/>
      <c r="AL993" s="376" t="s">
        <v>181</v>
      </c>
      <c r="AM993" s="378"/>
      <c r="AN993" s="378"/>
      <c r="AO993" s="379">
        <v>0</v>
      </c>
      <c r="AP993" s="385">
        <v>0</v>
      </c>
      <c r="AQ993" s="385">
        <v>0</v>
      </c>
      <c r="AR993" s="384"/>
      <c r="AS993" s="387">
        <f t="shared" si="687"/>
        <v>0</v>
      </c>
      <c r="AT993">
        <f t="shared" si="688"/>
        <v>0</v>
      </c>
      <c r="AU993" s="387" t="str">
        <f>IF(AT993=0,"",IF(AND(AT993=1,M993="F",SUMIF(C2:C1334,C993,AS2:AS1334)&lt;=1),SUMIF(C2:C1334,C993,AS2:AS1334),IF(AND(AT993=1,M993="F",SUMIF(C2:C1334,C993,AS2:AS1334)&gt;1),1,"")))</f>
        <v/>
      </c>
      <c r="AV993" s="387" t="str">
        <f>IF(AT993=0,"",IF(AND(AT993=3,M993="F",SUMIF(C2:C1334,C993,AS2:AS1334)&lt;=1),SUMIF(C2:C1334,C993,AS2:AS1334),IF(AND(AT993=3,M993="F",SUMIF(C2:C1334,C993,AS2:AS1334)&gt;1),1,"")))</f>
        <v/>
      </c>
      <c r="AW993" s="387">
        <f>SUMIF(C2:C1334,C993,O2:O1334)</f>
        <v>0</v>
      </c>
      <c r="AX993" s="387">
        <f>IF(AND(M993="F",AS993&lt;&gt;0),SUMIF(C2:C1334,C993,W2:W1334),0)</f>
        <v>0</v>
      </c>
      <c r="AY993" s="387" t="str">
        <f t="shared" si="689"/>
        <v/>
      </c>
      <c r="AZ993" s="387" t="str">
        <f t="shared" si="690"/>
        <v/>
      </c>
      <c r="BA993" s="387">
        <f t="shared" si="691"/>
        <v>0</v>
      </c>
      <c r="BB993" s="387">
        <f t="shared" si="660"/>
        <v>0</v>
      </c>
      <c r="BC993" s="387">
        <f t="shared" si="661"/>
        <v>0</v>
      </c>
      <c r="BD993" s="387">
        <f t="shared" si="662"/>
        <v>0</v>
      </c>
      <c r="BE993" s="387">
        <f t="shared" si="663"/>
        <v>0</v>
      </c>
      <c r="BF993" s="387">
        <f t="shared" si="664"/>
        <v>0</v>
      </c>
      <c r="BG993" s="387">
        <f t="shared" si="665"/>
        <v>0</v>
      </c>
      <c r="BH993" s="387">
        <f t="shared" si="666"/>
        <v>0</v>
      </c>
      <c r="BI993" s="387">
        <f t="shared" si="667"/>
        <v>0</v>
      </c>
      <c r="BJ993" s="387">
        <f t="shared" si="668"/>
        <v>0</v>
      </c>
      <c r="BK993" s="387">
        <f t="shared" si="669"/>
        <v>0</v>
      </c>
      <c r="BL993" s="387">
        <f t="shared" si="692"/>
        <v>0</v>
      </c>
      <c r="BM993" s="387">
        <f t="shared" si="693"/>
        <v>0</v>
      </c>
      <c r="BN993" s="387">
        <f t="shared" si="670"/>
        <v>0</v>
      </c>
      <c r="BO993" s="387">
        <f t="shared" si="671"/>
        <v>0</v>
      </c>
      <c r="BP993" s="387">
        <f t="shared" si="672"/>
        <v>0</v>
      </c>
      <c r="BQ993" s="387">
        <f t="shared" si="673"/>
        <v>0</v>
      </c>
      <c r="BR993" s="387">
        <f t="shared" si="674"/>
        <v>0</v>
      </c>
      <c r="BS993" s="387">
        <f t="shared" si="675"/>
        <v>0</v>
      </c>
      <c r="BT993" s="387">
        <f t="shared" si="676"/>
        <v>0</v>
      </c>
      <c r="BU993" s="387">
        <f t="shared" si="677"/>
        <v>0</v>
      </c>
      <c r="BV993" s="387">
        <f t="shared" si="678"/>
        <v>0</v>
      </c>
      <c r="BW993" s="387">
        <f t="shared" si="679"/>
        <v>0</v>
      </c>
      <c r="BX993" s="387">
        <f t="shared" si="694"/>
        <v>0</v>
      </c>
      <c r="BY993" s="387">
        <f t="shared" si="695"/>
        <v>0</v>
      </c>
      <c r="BZ993" s="387">
        <f t="shared" si="696"/>
        <v>0</v>
      </c>
      <c r="CA993" s="387">
        <f t="shared" si="697"/>
        <v>0</v>
      </c>
      <c r="CB993" s="387">
        <f t="shared" si="698"/>
        <v>0</v>
      </c>
      <c r="CC993" s="387">
        <f t="shared" si="680"/>
        <v>0</v>
      </c>
      <c r="CD993" s="387">
        <f t="shared" si="681"/>
        <v>0</v>
      </c>
      <c r="CE993" s="387">
        <f t="shared" si="682"/>
        <v>0</v>
      </c>
      <c r="CF993" s="387">
        <f t="shared" si="683"/>
        <v>0</v>
      </c>
      <c r="CG993" s="387">
        <f t="shared" si="684"/>
        <v>0</v>
      </c>
      <c r="CH993" s="387">
        <f t="shared" si="685"/>
        <v>0</v>
      </c>
      <c r="CI993" s="387">
        <f t="shared" si="686"/>
        <v>0</v>
      </c>
      <c r="CJ993" s="387">
        <f t="shared" si="699"/>
        <v>0</v>
      </c>
      <c r="CK993" s="387" t="str">
        <f t="shared" si="700"/>
        <v/>
      </c>
      <c r="CL993" s="387" t="str">
        <f t="shared" si="701"/>
        <v/>
      </c>
      <c r="CM993" s="387" t="str">
        <f t="shared" si="702"/>
        <v/>
      </c>
      <c r="CN993" s="387" t="str">
        <f t="shared" si="703"/>
        <v>0348-31</v>
      </c>
    </row>
    <row r="994" spans="1:92" ht="15.75" thickBot="1" x14ac:dyDescent="0.3">
      <c r="A994" s="376" t="s">
        <v>161</v>
      </c>
      <c r="B994" s="376" t="s">
        <v>162</v>
      </c>
      <c r="C994" s="376" t="s">
        <v>2177</v>
      </c>
      <c r="D994" s="376" t="s">
        <v>238</v>
      </c>
      <c r="E994" s="376" t="s">
        <v>224</v>
      </c>
      <c r="F994" s="382" t="s">
        <v>225</v>
      </c>
      <c r="G994" s="376" t="s">
        <v>1945</v>
      </c>
      <c r="H994" s="378"/>
      <c r="I994" s="378"/>
      <c r="J994" s="376" t="s">
        <v>215</v>
      </c>
      <c r="K994" s="376" t="s">
        <v>285</v>
      </c>
      <c r="L994" s="376" t="s">
        <v>170</v>
      </c>
      <c r="M994" s="376" t="s">
        <v>171</v>
      </c>
      <c r="N994" s="376" t="s">
        <v>172</v>
      </c>
      <c r="O994" s="379">
        <v>1</v>
      </c>
      <c r="P994" s="385">
        <v>1</v>
      </c>
      <c r="Q994" s="385">
        <v>1</v>
      </c>
      <c r="R994" s="380">
        <v>80</v>
      </c>
      <c r="S994" s="385">
        <v>1</v>
      </c>
      <c r="T994" s="380">
        <v>49098.6</v>
      </c>
      <c r="U994" s="380">
        <v>93.6</v>
      </c>
      <c r="V994" s="380">
        <v>21853.42</v>
      </c>
      <c r="W994" s="380">
        <v>51355.199999999997</v>
      </c>
      <c r="X994" s="380">
        <v>22755.54</v>
      </c>
      <c r="Y994" s="380">
        <v>51355.199999999997</v>
      </c>
      <c r="Z994" s="380">
        <v>22539.85</v>
      </c>
      <c r="AA994" s="376" t="s">
        <v>2178</v>
      </c>
      <c r="AB994" s="376" t="s">
        <v>1964</v>
      </c>
      <c r="AC994" s="376" t="s">
        <v>2179</v>
      </c>
      <c r="AD994" s="376" t="s">
        <v>2180</v>
      </c>
      <c r="AE994" s="376" t="s">
        <v>285</v>
      </c>
      <c r="AF994" s="376" t="s">
        <v>177</v>
      </c>
      <c r="AG994" s="376" t="s">
        <v>178</v>
      </c>
      <c r="AH994" s="381">
        <v>24.69</v>
      </c>
      <c r="AI994" s="381">
        <v>7351.5</v>
      </c>
      <c r="AJ994" s="376" t="s">
        <v>179</v>
      </c>
      <c r="AK994" s="376" t="s">
        <v>180</v>
      </c>
      <c r="AL994" s="376" t="s">
        <v>181</v>
      </c>
      <c r="AM994" s="376" t="s">
        <v>182</v>
      </c>
      <c r="AN994" s="376" t="s">
        <v>68</v>
      </c>
      <c r="AO994" s="379">
        <v>80</v>
      </c>
      <c r="AP994" s="385">
        <v>1</v>
      </c>
      <c r="AQ994" s="385">
        <v>1</v>
      </c>
      <c r="AR994" s="383" t="s">
        <v>183</v>
      </c>
      <c r="AS994" s="387">
        <f t="shared" si="687"/>
        <v>1</v>
      </c>
      <c r="AT994">
        <f t="shared" si="688"/>
        <v>1</v>
      </c>
      <c r="AU994" s="387">
        <f>IF(AT994=0,"",IF(AND(AT994=1,M994="F",SUMIF(C2:C1334,C994,AS2:AS1334)&lt;=1),SUMIF(C2:C1334,C994,AS2:AS1334),IF(AND(AT994=1,M994="F",SUMIF(C2:C1334,C994,AS2:AS1334)&gt;1),1,"")))</f>
        <v>1</v>
      </c>
      <c r="AV994" s="387" t="str">
        <f>IF(AT994=0,"",IF(AND(AT994=3,M994="F",SUMIF(C2:C1334,C994,AS2:AS1334)&lt;=1),SUMIF(C2:C1334,C994,AS2:AS1334),IF(AND(AT994=3,M994="F",SUMIF(C2:C1334,C994,AS2:AS1334)&gt;1),1,"")))</f>
        <v/>
      </c>
      <c r="AW994" s="387">
        <f>SUMIF(C2:C1334,C994,O2:O1334)</f>
        <v>1</v>
      </c>
      <c r="AX994" s="387">
        <f>IF(AND(M994="F",AS994&lt;&gt;0),SUMIF(C2:C1334,C994,W2:W1334),0)</f>
        <v>51355.199999999997</v>
      </c>
      <c r="AY994" s="387">
        <f t="shared" si="689"/>
        <v>51355.199999999997</v>
      </c>
      <c r="AZ994" s="387" t="str">
        <f t="shared" si="690"/>
        <v/>
      </c>
      <c r="BA994" s="387">
        <f t="shared" si="691"/>
        <v>0</v>
      </c>
      <c r="BB994" s="387">
        <f t="shared" si="660"/>
        <v>11650</v>
      </c>
      <c r="BC994" s="387">
        <f t="shared" si="661"/>
        <v>0</v>
      </c>
      <c r="BD994" s="387">
        <f t="shared" si="662"/>
        <v>3184.0223999999998</v>
      </c>
      <c r="BE994" s="387">
        <f t="shared" si="663"/>
        <v>744.65039999999999</v>
      </c>
      <c r="BF994" s="387">
        <f t="shared" si="664"/>
        <v>6131.81088</v>
      </c>
      <c r="BG994" s="387">
        <f t="shared" si="665"/>
        <v>370.27099199999998</v>
      </c>
      <c r="BH994" s="387">
        <f t="shared" si="666"/>
        <v>251.64047999999997</v>
      </c>
      <c r="BI994" s="387">
        <f t="shared" si="667"/>
        <v>284.25103200000001</v>
      </c>
      <c r="BJ994" s="387">
        <f t="shared" si="668"/>
        <v>138.65904</v>
      </c>
      <c r="BK994" s="387">
        <f t="shared" si="669"/>
        <v>0</v>
      </c>
      <c r="BL994" s="387">
        <f t="shared" si="692"/>
        <v>11105.305224</v>
      </c>
      <c r="BM994" s="387">
        <f t="shared" si="693"/>
        <v>0</v>
      </c>
      <c r="BN994" s="387">
        <f t="shared" si="670"/>
        <v>11650</v>
      </c>
      <c r="BO994" s="387">
        <f t="shared" si="671"/>
        <v>0</v>
      </c>
      <c r="BP994" s="387">
        <f t="shared" si="672"/>
        <v>3184.0223999999998</v>
      </c>
      <c r="BQ994" s="387">
        <f t="shared" si="673"/>
        <v>744.65039999999999</v>
      </c>
      <c r="BR994" s="387">
        <f t="shared" si="674"/>
        <v>6131.81088</v>
      </c>
      <c r="BS994" s="387">
        <f t="shared" si="675"/>
        <v>370.27099199999998</v>
      </c>
      <c r="BT994" s="387">
        <f t="shared" si="676"/>
        <v>0</v>
      </c>
      <c r="BU994" s="387">
        <f t="shared" si="677"/>
        <v>284.25103200000001</v>
      </c>
      <c r="BV994" s="387">
        <f t="shared" si="678"/>
        <v>174.60767999999999</v>
      </c>
      <c r="BW994" s="387">
        <f t="shared" si="679"/>
        <v>0</v>
      </c>
      <c r="BX994" s="387">
        <f t="shared" si="694"/>
        <v>10889.613383999998</v>
      </c>
      <c r="BY994" s="387">
        <f t="shared" si="695"/>
        <v>0</v>
      </c>
      <c r="BZ994" s="387">
        <f t="shared" si="696"/>
        <v>0</v>
      </c>
      <c r="CA994" s="387">
        <f t="shared" si="697"/>
        <v>0</v>
      </c>
      <c r="CB994" s="387">
        <f t="shared" si="698"/>
        <v>0</v>
      </c>
      <c r="CC994" s="387">
        <f t="shared" si="680"/>
        <v>0</v>
      </c>
      <c r="CD994" s="387">
        <f t="shared" si="681"/>
        <v>0</v>
      </c>
      <c r="CE994" s="387">
        <f t="shared" si="682"/>
        <v>0</v>
      </c>
      <c r="CF994" s="387">
        <f t="shared" si="683"/>
        <v>-251.64047999999997</v>
      </c>
      <c r="CG994" s="387">
        <f t="shared" si="684"/>
        <v>0</v>
      </c>
      <c r="CH994" s="387">
        <f t="shared" si="685"/>
        <v>35.948639999999983</v>
      </c>
      <c r="CI994" s="387">
        <f t="shared" si="686"/>
        <v>0</v>
      </c>
      <c r="CJ994" s="387">
        <f t="shared" si="699"/>
        <v>-215.69183999999998</v>
      </c>
      <c r="CK994" s="387" t="str">
        <f t="shared" si="700"/>
        <v/>
      </c>
      <c r="CL994" s="387" t="str">
        <f t="shared" si="701"/>
        <v/>
      </c>
      <c r="CM994" s="387" t="str">
        <f t="shared" si="702"/>
        <v/>
      </c>
      <c r="CN994" s="387" t="str">
        <f t="shared" si="703"/>
        <v>0348-31</v>
      </c>
    </row>
    <row r="995" spans="1:92" ht="15.75" thickBot="1" x14ac:dyDescent="0.3">
      <c r="A995" s="376" t="s">
        <v>161</v>
      </c>
      <c r="B995" s="376" t="s">
        <v>162</v>
      </c>
      <c r="C995" s="376" t="s">
        <v>1381</v>
      </c>
      <c r="D995" s="376" t="s">
        <v>862</v>
      </c>
      <c r="E995" s="376" t="s">
        <v>224</v>
      </c>
      <c r="F995" s="382" t="s">
        <v>225</v>
      </c>
      <c r="G995" s="376" t="s">
        <v>1945</v>
      </c>
      <c r="H995" s="378"/>
      <c r="I995" s="378"/>
      <c r="J995" s="376" t="s">
        <v>205</v>
      </c>
      <c r="K995" s="376" t="s">
        <v>863</v>
      </c>
      <c r="L995" s="376" t="s">
        <v>252</v>
      </c>
      <c r="M995" s="376" t="s">
        <v>171</v>
      </c>
      <c r="N995" s="376" t="s">
        <v>172</v>
      </c>
      <c r="O995" s="379">
        <v>1</v>
      </c>
      <c r="P995" s="385">
        <v>0.25</v>
      </c>
      <c r="Q995" s="385">
        <v>0.25</v>
      </c>
      <c r="R995" s="380">
        <v>80</v>
      </c>
      <c r="S995" s="385">
        <v>0.25</v>
      </c>
      <c r="T995" s="380">
        <v>11796.93</v>
      </c>
      <c r="U995" s="380">
        <v>0</v>
      </c>
      <c r="V995" s="380">
        <v>5123.76</v>
      </c>
      <c r="W995" s="380">
        <v>13702</v>
      </c>
      <c r="X995" s="380">
        <v>5875.54</v>
      </c>
      <c r="Y995" s="380">
        <v>13702</v>
      </c>
      <c r="Z995" s="380">
        <v>5818</v>
      </c>
      <c r="AA995" s="376" t="s">
        <v>1382</v>
      </c>
      <c r="AB995" s="376" t="s">
        <v>1383</v>
      </c>
      <c r="AC995" s="376" t="s">
        <v>1384</v>
      </c>
      <c r="AD995" s="376" t="s">
        <v>268</v>
      </c>
      <c r="AE995" s="376" t="s">
        <v>863</v>
      </c>
      <c r="AF995" s="376" t="s">
        <v>393</v>
      </c>
      <c r="AG995" s="376" t="s">
        <v>178</v>
      </c>
      <c r="AH995" s="381">
        <v>26.35</v>
      </c>
      <c r="AI995" s="381">
        <v>61864.3</v>
      </c>
      <c r="AJ995" s="376" t="s">
        <v>179</v>
      </c>
      <c r="AK995" s="376" t="s">
        <v>180</v>
      </c>
      <c r="AL995" s="376" t="s">
        <v>181</v>
      </c>
      <c r="AM995" s="376" t="s">
        <v>182</v>
      </c>
      <c r="AN995" s="376" t="s">
        <v>68</v>
      </c>
      <c r="AO995" s="379">
        <v>80</v>
      </c>
      <c r="AP995" s="385">
        <v>1</v>
      </c>
      <c r="AQ995" s="385">
        <v>0.25</v>
      </c>
      <c r="AR995" s="383" t="s">
        <v>183</v>
      </c>
      <c r="AS995" s="387">
        <f t="shared" si="687"/>
        <v>0.25</v>
      </c>
      <c r="AT995">
        <f t="shared" si="688"/>
        <v>1</v>
      </c>
      <c r="AU995" s="387">
        <f>IF(AT995=0,"",IF(AND(AT995=1,M995="F",SUMIF(C2:C1334,C995,AS2:AS1334)&lt;=1),SUMIF(C2:C1334,C995,AS2:AS1334),IF(AND(AT995=1,M995="F",SUMIF(C2:C1334,C995,AS2:AS1334)&gt;1),1,"")))</f>
        <v>1</v>
      </c>
      <c r="AV995" s="387" t="str">
        <f>IF(AT995=0,"",IF(AND(AT995=3,M995="F",SUMIF(C2:C1334,C995,AS2:AS1334)&lt;=1),SUMIF(C2:C1334,C995,AS2:AS1334),IF(AND(AT995=3,M995="F",SUMIF(C2:C1334,C995,AS2:AS1334)&gt;1),1,"")))</f>
        <v/>
      </c>
      <c r="AW995" s="387">
        <f>SUMIF(C2:C1334,C995,O2:O1334)</f>
        <v>3</v>
      </c>
      <c r="AX995" s="387">
        <f>IF(AND(M995="F",AS995&lt;&gt;0),SUMIF(C2:C1334,C995,W2:W1334),0)</f>
        <v>54808</v>
      </c>
      <c r="AY995" s="387">
        <f t="shared" si="689"/>
        <v>13702</v>
      </c>
      <c r="AZ995" s="387" t="str">
        <f t="shared" si="690"/>
        <v/>
      </c>
      <c r="BA995" s="387">
        <f t="shared" si="691"/>
        <v>0</v>
      </c>
      <c r="BB995" s="387">
        <f t="shared" si="660"/>
        <v>2912.5</v>
      </c>
      <c r="BC995" s="387">
        <f t="shared" si="661"/>
        <v>0</v>
      </c>
      <c r="BD995" s="387">
        <f t="shared" si="662"/>
        <v>849.524</v>
      </c>
      <c r="BE995" s="387">
        <f t="shared" si="663"/>
        <v>198.679</v>
      </c>
      <c r="BF995" s="387">
        <f t="shared" si="664"/>
        <v>1636.0188000000001</v>
      </c>
      <c r="BG995" s="387">
        <f t="shared" si="665"/>
        <v>98.791420000000002</v>
      </c>
      <c r="BH995" s="387">
        <f t="shared" si="666"/>
        <v>67.139799999999994</v>
      </c>
      <c r="BI995" s="387">
        <f t="shared" si="667"/>
        <v>75.84057</v>
      </c>
      <c r="BJ995" s="387">
        <f t="shared" si="668"/>
        <v>36.995400000000004</v>
      </c>
      <c r="BK995" s="387">
        <f t="shared" si="669"/>
        <v>0</v>
      </c>
      <c r="BL995" s="387">
        <f t="shared" si="692"/>
        <v>2962.9889899999998</v>
      </c>
      <c r="BM995" s="387">
        <f t="shared" si="693"/>
        <v>0</v>
      </c>
      <c r="BN995" s="387">
        <f t="shared" si="670"/>
        <v>2912.5</v>
      </c>
      <c r="BO995" s="387">
        <f t="shared" si="671"/>
        <v>0</v>
      </c>
      <c r="BP995" s="387">
        <f t="shared" si="672"/>
        <v>849.524</v>
      </c>
      <c r="BQ995" s="387">
        <f t="shared" si="673"/>
        <v>198.679</v>
      </c>
      <c r="BR995" s="387">
        <f t="shared" si="674"/>
        <v>1636.0188000000001</v>
      </c>
      <c r="BS995" s="387">
        <f t="shared" si="675"/>
        <v>98.791420000000002</v>
      </c>
      <c r="BT995" s="387">
        <f t="shared" si="676"/>
        <v>0</v>
      </c>
      <c r="BU995" s="387">
        <f t="shared" si="677"/>
        <v>75.84057</v>
      </c>
      <c r="BV995" s="387">
        <f t="shared" si="678"/>
        <v>46.586799999999997</v>
      </c>
      <c r="BW995" s="387">
        <f t="shared" si="679"/>
        <v>0</v>
      </c>
      <c r="BX995" s="387">
        <f t="shared" si="694"/>
        <v>2905.4405900000002</v>
      </c>
      <c r="BY995" s="387">
        <f t="shared" si="695"/>
        <v>0</v>
      </c>
      <c r="BZ995" s="387">
        <f t="shared" si="696"/>
        <v>0</v>
      </c>
      <c r="CA995" s="387">
        <f t="shared" si="697"/>
        <v>0</v>
      </c>
      <c r="CB995" s="387">
        <f t="shared" si="698"/>
        <v>0</v>
      </c>
      <c r="CC995" s="387">
        <f t="shared" si="680"/>
        <v>0</v>
      </c>
      <c r="CD995" s="387">
        <f t="shared" si="681"/>
        <v>0</v>
      </c>
      <c r="CE995" s="387">
        <f t="shared" si="682"/>
        <v>0</v>
      </c>
      <c r="CF995" s="387">
        <f t="shared" si="683"/>
        <v>-67.139799999999994</v>
      </c>
      <c r="CG995" s="387">
        <f t="shared" si="684"/>
        <v>0</v>
      </c>
      <c r="CH995" s="387">
        <f t="shared" si="685"/>
        <v>9.5913999999999948</v>
      </c>
      <c r="CI995" s="387">
        <f t="shared" si="686"/>
        <v>0</v>
      </c>
      <c r="CJ995" s="387">
        <f t="shared" si="699"/>
        <v>-57.548400000000001</v>
      </c>
      <c r="CK995" s="387" t="str">
        <f t="shared" si="700"/>
        <v/>
      </c>
      <c r="CL995" s="387" t="str">
        <f t="shared" si="701"/>
        <v/>
      </c>
      <c r="CM995" s="387" t="str">
        <f t="shared" si="702"/>
        <v/>
      </c>
      <c r="CN995" s="387" t="str">
        <f t="shared" si="703"/>
        <v>0348-31</v>
      </c>
    </row>
    <row r="996" spans="1:92" ht="15.75" thickBot="1" x14ac:dyDescent="0.3">
      <c r="A996" s="376" t="s">
        <v>161</v>
      </c>
      <c r="B996" s="376" t="s">
        <v>162</v>
      </c>
      <c r="C996" s="376" t="s">
        <v>2181</v>
      </c>
      <c r="D996" s="376" t="s">
        <v>1326</v>
      </c>
      <c r="E996" s="376" t="s">
        <v>224</v>
      </c>
      <c r="F996" s="382" t="s">
        <v>225</v>
      </c>
      <c r="G996" s="376" t="s">
        <v>1945</v>
      </c>
      <c r="H996" s="378"/>
      <c r="I996" s="378"/>
      <c r="J996" s="376" t="s">
        <v>215</v>
      </c>
      <c r="K996" s="376" t="s">
        <v>1327</v>
      </c>
      <c r="L996" s="376" t="s">
        <v>296</v>
      </c>
      <c r="M996" s="376" t="s">
        <v>171</v>
      </c>
      <c r="N996" s="376" t="s">
        <v>172</v>
      </c>
      <c r="O996" s="379">
        <v>1</v>
      </c>
      <c r="P996" s="385">
        <v>1</v>
      </c>
      <c r="Q996" s="385">
        <v>1</v>
      </c>
      <c r="R996" s="380">
        <v>80</v>
      </c>
      <c r="S996" s="385">
        <v>1</v>
      </c>
      <c r="T996" s="380">
        <v>0</v>
      </c>
      <c r="U996" s="380">
        <v>0</v>
      </c>
      <c r="V996" s="380">
        <v>0</v>
      </c>
      <c r="W996" s="380">
        <v>41225.599999999999</v>
      </c>
      <c r="X996" s="380">
        <v>20564.990000000002</v>
      </c>
      <c r="Y996" s="380">
        <v>41225.599999999999</v>
      </c>
      <c r="Z996" s="380">
        <v>20391.849999999999</v>
      </c>
      <c r="AA996" s="376" t="s">
        <v>2182</v>
      </c>
      <c r="AB996" s="376" t="s">
        <v>1551</v>
      </c>
      <c r="AC996" s="376" t="s">
        <v>2183</v>
      </c>
      <c r="AD996" s="376" t="s">
        <v>912</v>
      </c>
      <c r="AE996" s="376" t="s">
        <v>1327</v>
      </c>
      <c r="AF996" s="376" t="s">
        <v>301</v>
      </c>
      <c r="AG996" s="376" t="s">
        <v>178</v>
      </c>
      <c r="AH996" s="381">
        <v>19.82</v>
      </c>
      <c r="AI996" s="379">
        <v>688</v>
      </c>
      <c r="AJ996" s="376" t="s">
        <v>179</v>
      </c>
      <c r="AK996" s="376" t="s">
        <v>180</v>
      </c>
      <c r="AL996" s="376" t="s">
        <v>181</v>
      </c>
      <c r="AM996" s="376" t="s">
        <v>182</v>
      </c>
      <c r="AN996" s="376" t="s">
        <v>68</v>
      </c>
      <c r="AO996" s="379">
        <v>80</v>
      </c>
      <c r="AP996" s="385">
        <v>1</v>
      </c>
      <c r="AQ996" s="385">
        <v>1</v>
      </c>
      <c r="AR996" s="383" t="s">
        <v>183</v>
      </c>
      <c r="AS996" s="387">
        <f t="shared" si="687"/>
        <v>1</v>
      </c>
      <c r="AT996">
        <f t="shared" si="688"/>
        <v>1</v>
      </c>
      <c r="AU996" s="387">
        <f>IF(AT996=0,"",IF(AND(AT996=1,M996="F",SUMIF(C2:C1334,C996,AS2:AS1334)&lt;=1),SUMIF(C2:C1334,C996,AS2:AS1334),IF(AND(AT996=1,M996="F",SUMIF(C2:C1334,C996,AS2:AS1334)&gt;1),1,"")))</f>
        <v>1</v>
      </c>
      <c r="AV996" s="387" t="str">
        <f>IF(AT996=0,"",IF(AND(AT996=3,M996="F",SUMIF(C2:C1334,C996,AS2:AS1334)&lt;=1),SUMIF(C2:C1334,C996,AS2:AS1334),IF(AND(AT996=3,M996="F",SUMIF(C2:C1334,C996,AS2:AS1334)&gt;1),1,"")))</f>
        <v/>
      </c>
      <c r="AW996" s="387">
        <f>SUMIF(C2:C1334,C996,O2:O1334)</f>
        <v>1</v>
      </c>
      <c r="AX996" s="387">
        <f>IF(AND(M996="F",AS996&lt;&gt;0),SUMIF(C2:C1334,C996,W2:W1334),0)</f>
        <v>41225.599999999999</v>
      </c>
      <c r="AY996" s="387">
        <f t="shared" si="689"/>
        <v>41225.599999999999</v>
      </c>
      <c r="AZ996" s="387" t="str">
        <f t="shared" si="690"/>
        <v/>
      </c>
      <c r="BA996" s="387">
        <f t="shared" si="691"/>
        <v>0</v>
      </c>
      <c r="BB996" s="387">
        <f t="shared" si="660"/>
        <v>11650</v>
      </c>
      <c r="BC996" s="387">
        <f t="shared" si="661"/>
        <v>0</v>
      </c>
      <c r="BD996" s="387">
        <f t="shared" si="662"/>
        <v>2555.9872</v>
      </c>
      <c r="BE996" s="387">
        <f t="shared" si="663"/>
        <v>597.77120000000002</v>
      </c>
      <c r="BF996" s="387">
        <f t="shared" si="664"/>
        <v>4922.3366400000004</v>
      </c>
      <c r="BG996" s="387">
        <f t="shared" si="665"/>
        <v>297.23657600000001</v>
      </c>
      <c r="BH996" s="387">
        <f t="shared" si="666"/>
        <v>202.00543999999999</v>
      </c>
      <c r="BI996" s="387">
        <f t="shared" si="667"/>
        <v>228.183696</v>
      </c>
      <c r="BJ996" s="387">
        <f t="shared" si="668"/>
        <v>111.30912000000001</v>
      </c>
      <c r="BK996" s="387">
        <f t="shared" si="669"/>
        <v>0</v>
      </c>
      <c r="BL996" s="387">
        <f t="shared" si="692"/>
        <v>8914.8298720000003</v>
      </c>
      <c r="BM996" s="387">
        <f t="shared" si="693"/>
        <v>0</v>
      </c>
      <c r="BN996" s="387">
        <f t="shared" si="670"/>
        <v>11650</v>
      </c>
      <c r="BO996" s="387">
        <f t="shared" si="671"/>
        <v>0</v>
      </c>
      <c r="BP996" s="387">
        <f t="shared" si="672"/>
        <v>2555.9872</v>
      </c>
      <c r="BQ996" s="387">
        <f t="shared" si="673"/>
        <v>597.77120000000002</v>
      </c>
      <c r="BR996" s="387">
        <f t="shared" si="674"/>
        <v>4922.3366400000004</v>
      </c>
      <c r="BS996" s="387">
        <f t="shared" si="675"/>
        <v>297.23657600000001</v>
      </c>
      <c r="BT996" s="387">
        <f t="shared" si="676"/>
        <v>0</v>
      </c>
      <c r="BU996" s="387">
        <f t="shared" si="677"/>
        <v>228.183696</v>
      </c>
      <c r="BV996" s="387">
        <f t="shared" si="678"/>
        <v>140.16703999999999</v>
      </c>
      <c r="BW996" s="387">
        <f t="shared" si="679"/>
        <v>0</v>
      </c>
      <c r="BX996" s="387">
        <f t="shared" si="694"/>
        <v>8741.6823519999998</v>
      </c>
      <c r="BY996" s="387">
        <f t="shared" si="695"/>
        <v>0</v>
      </c>
      <c r="BZ996" s="387">
        <f t="shared" si="696"/>
        <v>0</v>
      </c>
      <c r="CA996" s="387">
        <f t="shared" si="697"/>
        <v>0</v>
      </c>
      <c r="CB996" s="387">
        <f t="shared" si="698"/>
        <v>0</v>
      </c>
      <c r="CC996" s="387">
        <f t="shared" si="680"/>
        <v>0</v>
      </c>
      <c r="CD996" s="387">
        <f t="shared" si="681"/>
        <v>0</v>
      </c>
      <c r="CE996" s="387">
        <f t="shared" si="682"/>
        <v>0</v>
      </c>
      <c r="CF996" s="387">
        <f t="shared" si="683"/>
        <v>-202.00543999999999</v>
      </c>
      <c r="CG996" s="387">
        <f t="shared" si="684"/>
        <v>0</v>
      </c>
      <c r="CH996" s="387">
        <f t="shared" si="685"/>
        <v>28.857919999999986</v>
      </c>
      <c r="CI996" s="387">
        <f t="shared" si="686"/>
        <v>0</v>
      </c>
      <c r="CJ996" s="387">
        <f t="shared" si="699"/>
        <v>-173.14752000000001</v>
      </c>
      <c r="CK996" s="387" t="str">
        <f t="shared" si="700"/>
        <v/>
      </c>
      <c r="CL996" s="387" t="str">
        <f t="shared" si="701"/>
        <v/>
      </c>
      <c r="CM996" s="387" t="str">
        <f t="shared" si="702"/>
        <v/>
      </c>
      <c r="CN996" s="387" t="str">
        <f t="shared" si="703"/>
        <v>0348-31</v>
      </c>
    </row>
    <row r="997" spans="1:92" ht="15.75" thickBot="1" x14ac:dyDescent="0.3">
      <c r="A997" s="376" t="s">
        <v>161</v>
      </c>
      <c r="B997" s="376" t="s">
        <v>162</v>
      </c>
      <c r="C997" s="376" t="s">
        <v>1116</v>
      </c>
      <c r="D997" s="376" t="s">
        <v>868</v>
      </c>
      <c r="E997" s="376" t="s">
        <v>224</v>
      </c>
      <c r="F997" s="382" t="s">
        <v>225</v>
      </c>
      <c r="G997" s="376" t="s">
        <v>1945</v>
      </c>
      <c r="H997" s="378"/>
      <c r="I997" s="378"/>
      <c r="J997" s="376" t="s">
        <v>215</v>
      </c>
      <c r="K997" s="376" t="s">
        <v>894</v>
      </c>
      <c r="L997" s="376" t="s">
        <v>170</v>
      </c>
      <c r="M997" s="376" t="s">
        <v>171</v>
      </c>
      <c r="N997" s="376" t="s">
        <v>172</v>
      </c>
      <c r="O997" s="379">
        <v>1</v>
      </c>
      <c r="P997" s="385">
        <v>1</v>
      </c>
      <c r="Q997" s="385">
        <v>1</v>
      </c>
      <c r="R997" s="380">
        <v>80</v>
      </c>
      <c r="S997" s="385">
        <v>1</v>
      </c>
      <c r="T997" s="380">
        <v>0</v>
      </c>
      <c r="U997" s="380">
        <v>0</v>
      </c>
      <c r="V997" s="380">
        <v>0</v>
      </c>
      <c r="W997" s="380">
        <v>59966.400000000001</v>
      </c>
      <c r="X997" s="380">
        <v>24617.69</v>
      </c>
      <c r="Y997" s="380">
        <v>59966.400000000001</v>
      </c>
      <c r="Z997" s="380">
        <v>24365.84</v>
      </c>
      <c r="AA997" s="376" t="s">
        <v>1117</v>
      </c>
      <c r="AB997" s="376" t="s">
        <v>259</v>
      </c>
      <c r="AC997" s="376" t="s">
        <v>1118</v>
      </c>
      <c r="AD997" s="376" t="s">
        <v>180</v>
      </c>
      <c r="AE997" s="376" t="s">
        <v>894</v>
      </c>
      <c r="AF997" s="376" t="s">
        <v>177</v>
      </c>
      <c r="AG997" s="376" t="s">
        <v>178</v>
      </c>
      <c r="AH997" s="381">
        <v>28.83</v>
      </c>
      <c r="AI997" s="381">
        <v>20808.3</v>
      </c>
      <c r="AJ997" s="376" t="s">
        <v>179</v>
      </c>
      <c r="AK997" s="376" t="s">
        <v>180</v>
      </c>
      <c r="AL997" s="376" t="s">
        <v>181</v>
      </c>
      <c r="AM997" s="376" t="s">
        <v>182</v>
      </c>
      <c r="AN997" s="376" t="s">
        <v>68</v>
      </c>
      <c r="AO997" s="379">
        <v>80</v>
      </c>
      <c r="AP997" s="385">
        <v>1</v>
      </c>
      <c r="AQ997" s="385">
        <v>1</v>
      </c>
      <c r="AR997" s="383" t="s">
        <v>183</v>
      </c>
      <c r="AS997" s="387">
        <f t="shared" si="687"/>
        <v>1</v>
      </c>
      <c r="AT997">
        <f t="shared" si="688"/>
        <v>1</v>
      </c>
      <c r="AU997" s="387">
        <f>IF(AT997=0,"",IF(AND(AT997=1,M997="F",SUMIF(C2:C1334,C997,AS2:AS1334)&lt;=1),SUMIF(C2:C1334,C997,AS2:AS1334),IF(AND(AT997=1,M997="F",SUMIF(C2:C1334,C997,AS2:AS1334)&gt;1),1,"")))</f>
        <v>1</v>
      </c>
      <c r="AV997" s="387" t="str">
        <f>IF(AT997=0,"",IF(AND(AT997=3,M997="F",SUMIF(C2:C1334,C997,AS2:AS1334)&lt;=1),SUMIF(C2:C1334,C997,AS2:AS1334),IF(AND(AT997=3,M997="F",SUMIF(C2:C1334,C997,AS2:AS1334)&gt;1),1,"")))</f>
        <v/>
      </c>
      <c r="AW997" s="387">
        <f>SUMIF(C2:C1334,C997,O2:O1334)</f>
        <v>2</v>
      </c>
      <c r="AX997" s="387">
        <f>IF(AND(M997="F",AS997&lt;&gt;0),SUMIF(C2:C1334,C997,W2:W1334),0)</f>
        <v>59966.400000000001</v>
      </c>
      <c r="AY997" s="387">
        <f t="shared" si="689"/>
        <v>59966.400000000001</v>
      </c>
      <c r="AZ997" s="387" t="str">
        <f t="shared" si="690"/>
        <v/>
      </c>
      <c r="BA997" s="387">
        <f t="shared" si="691"/>
        <v>0</v>
      </c>
      <c r="BB997" s="387">
        <f t="shared" si="660"/>
        <v>11650</v>
      </c>
      <c r="BC997" s="387">
        <f t="shared" si="661"/>
        <v>0</v>
      </c>
      <c r="BD997" s="387">
        <f t="shared" si="662"/>
        <v>3717.9168</v>
      </c>
      <c r="BE997" s="387">
        <f t="shared" si="663"/>
        <v>869.51280000000008</v>
      </c>
      <c r="BF997" s="387">
        <f t="shared" si="664"/>
        <v>7159.9881600000008</v>
      </c>
      <c r="BG997" s="387">
        <f t="shared" si="665"/>
        <v>432.35774400000003</v>
      </c>
      <c r="BH997" s="387">
        <f t="shared" si="666"/>
        <v>293.83535999999998</v>
      </c>
      <c r="BI997" s="387">
        <f t="shared" si="667"/>
        <v>331.91402399999998</v>
      </c>
      <c r="BJ997" s="387">
        <f t="shared" si="668"/>
        <v>161.90928000000002</v>
      </c>
      <c r="BK997" s="387">
        <f t="shared" si="669"/>
        <v>0</v>
      </c>
      <c r="BL997" s="387">
        <f t="shared" si="692"/>
        <v>12967.434168</v>
      </c>
      <c r="BM997" s="387">
        <f t="shared" si="693"/>
        <v>0</v>
      </c>
      <c r="BN997" s="387">
        <f t="shared" si="670"/>
        <v>11650</v>
      </c>
      <c r="BO997" s="387">
        <f t="shared" si="671"/>
        <v>0</v>
      </c>
      <c r="BP997" s="387">
        <f t="shared" si="672"/>
        <v>3717.9168</v>
      </c>
      <c r="BQ997" s="387">
        <f t="shared" si="673"/>
        <v>869.51280000000008</v>
      </c>
      <c r="BR997" s="387">
        <f t="shared" si="674"/>
        <v>7159.9881600000008</v>
      </c>
      <c r="BS997" s="387">
        <f t="shared" si="675"/>
        <v>432.35774400000003</v>
      </c>
      <c r="BT997" s="387">
        <f t="shared" si="676"/>
        <v>0</v>
      </c>
      <c r="BU997" s="387">
        <f t="shared" si="677"/>
        <v>331.91402399999998</v>
      </c>
      <c r="BV997" s="387">
        <f t="shared" si="678"/>
        <v>203.88576</v>
      </c>
      <c r="BW997" s="387">
        <f t="shared" si="679"/>
        <v>0</v>
      </c>
      <c r="BX997" s="387">
        <f t="shared" si="694"/>
        <v>12715.575288</v>
      </c>
      <c r="BY997" s="387">
        <f t="shared" si="695"/>
        <v>0</v>
      </c>
      <c r="BZ997" s="387">
        <f t="shared" si="696"/>
        <v>0</v>
      </c>
      <c r="CA997" s="387">
        <f t="shared" si="697"/>
        <v>0</v>
      </c>
      <c r="CB997" s="387">
        <f t="shared" si="698"/>
        <v>0</v>
      </c>
      <c r="CC997" s="387">
        <f t="shared" si="680"/>
        <v>0</v>
      </c>
      <c r="CD997" s="387">
        <f t="shared" si="681"/>
        <v>0</v>
      </c>
      <c r="CE997" s="387">
        <f t="shared" si="682"/>
        <v>0</v>
      </c>
      <c r="CF997" s="387">
        <f t="shared" si="683"/>
        <v>-293.83535999999998</v>
      </c>
      <c r="CG997" s="387">
        <f t="shared" si="684"/>
        <v>0</v>
      </c>
      <c r="CH997" s="387">
        <f t="shared" si="685"/>
        <v>41.976479999999981</v>
      </c>
      <c r="CI997" s="387">
        <f t="shared" si="686"/>
        <v>0</v>
      </c>
      <c r="CJ997" s="387">
        <f t="shared" si="699"/>
        <v>-251.85888</v>
      </c>
      <c r="CK997" s="387" t="str">
        <f t="shared" si="700"/>
        <v/>
      </c>
      <c r="CL997" s="387" t="str">
        <f t="shared" si="701"/>
        <v/>
      </c>
      <c r="CM997" s="387" t="str">
        <f t="shared" si="702"/>
        <v/>
      </c>
      <c r="CN997" s="387" t="str">
        <f t="shared" si="703"/>
        <v>0348-31</v>
      </c>
    </row>
    <row r="998" spans="1:92" ht="15.75" thickBot="1" x14ac:dyDescent="0.3">
      <c r="A998" s="376" t="s">
        <v>161</v>
      </c>
      <c r="B998" s="376" t="s">
        <v>162</v>
      </c>
      <c r="C998" s="376" t="s">
        <v>848</v>
      </c>
      <c r="D998" s="376" t="s">
        <v>792</v>
      </c>
      <c r="E998" s="376" t="s">
        <v>224</v>
      </c>
      <c r="F998" s="382" t="s">
        <v>225</v>
      </c>
      <c r="G998" s="376" t="s">
        <v>1945</v>
      </c>
      <c r="H998" s="378"/>
      <c r="I998" s="378"/>
      <c r="J998" s="376" t="s">
        <v>168</v>
      </c>
      <c r="K998" s="376" t="s">
        <v>793</v>
      </c>
      <c r="L998" s="376" t="s">
        <v>170</v>
      </c>
      <c r="M998" s="376" t="s">
        <v>171</v>
      </c>
      <c r="N998" s="376" t="s">
        <v>172</v>
      </c>
      <c r="O998" s="379">
        <v>1</v>
      </c>
      <c r="P998" s="385">
        <v>0.05</v>
      </c>
      <c r="Q998" s="385">
        <v>0.05</v>
      </c>
      <c r="R998" s="380">
        <v>80</v>
      </c>
      <c r="S998" s="385">
        <v>0.05</v>
      </c>
      <c r="T998" s="380">
        <v>2630.79</v>
      </c>
      <c r="U998" s="380">
        <v>0</v>
      </c>
      <c r="V998" s="380">
        <v>1211.19</v>
      </c>
      <c r="W998" s="380">
        <v>2416.96</v>
      </c>
      <c r="X998" s="380">
        <v>1105.1600000000001</v>
      </c>
      <c r="Y998" s="380">
        <v>2416.96</v>
      </c>
      <c r="Z998" s="380">
        <v>1095.01</v>
      </c>
      <c r="AA998" s="376" t="s">
        <v>849</v>
      </c>
      <c r="AB998" s="376" t="s">
        <v>850</v>
      </c>
      <c r="AC998" s="376" t="s">
        <v>851</v>
      </c>
      <c r="AD998" s="376" t="s">
        <v>279</v>
      </c>
      <c r="AE998" s="376" t="s">
        <v>793</v>
      </c>
      <c r="AF998" s="376" t="s">
        <v>177</v>
      </c>
      <c r="AG998" s="376" t="s">
        <v>178</v>
      </c>
      <c r="AH998" s="381">
        <v>23.24</v>
      </c>
      <c r="AI998" s="381">
        <v>19019.400000000001</v>
      </c>
      <c r="AJ998" s="376" t="s">
        <v>179</v>
      </c>
      <c r="AK998" s="376" t="s">
        <v>180</v>
      </c>
      <c r="AL998" s="376" t="s">
        <v>181</v>
      </c>
      <c r="AM998" s="376" t="s">
        <v>182</v>
      </c>
      <c r="AN998" s="376" t="s">
        <v>68</v>
      </c>
      <c r="AO998" s="379">
        <v>80</v>
      </c>
      <c r="AP998" s="385">
        <v>1</v>
      </c>
      <c r="AQ998" s="385">
        <v>0.05</v>
      </c>
      <c r="AR998" s="383" t="s">
        <v>183</v>
      </c>
      <c r="AS998" s="387">
        <f t="shared" si="687"/>
        <v>0.05</v>
      </c>
      <c r="AT998">
        <f t="shared" si="688"/>
        <v>1</v>
      </c>
      <c r="AU998" s="387">
        <f>IF(AT998=0,"",IF(AND(AT998=1,M998="F",SUMIF(C2:C1334,C998,AS2:AS1334)&lt;=1),SUMIF(C2:C1334,C998,AS2:AS1334),IF(AND(AT998=1,M998="F",SUMIF(C2:C1334,C998,AS2:AS1334)&gt;1),1,"")))</f>
        <v>1</v>
      </c>
      <c r="AV998" s="387" t="str">
        <f>IF(AT998=0,"",IF(AND(AT998=3,M998="F",SUMIF(C2:C1334,C998,AS2:AS1334)&lt;=1),SUMIF(C2:C1334,C998,AS2:AS1334),IF(AND(AT998=3,M998="F",SUMIF(C2:C1334,C998,AS2:AS1334)&gt;1),1,"")))</f>
        <v/>
      </c>
      <c r="AW998" s="387">
        <f>SUMIF(C2:C1334,C998,O2:O1334)</f>
        <v>4</v>
      </c>
      <c r="AX998" s="387">
        <f>IF(AND(M998="F",AS998&lt;&gt;0),SUMIF(C2:C1334,C998,W2:W1334),0)</f>
        <v>48339.199999999997</v>
      </c>
      <c r="AY998" s="387">
        <f t="shared" si="689"/>
        <v>2416.96</v>
      </c>
      <c r="AZ998" s="387" t="str">
        <f t="shared" si="690"/>
        <v/>
      </c>
      <c r="BA998" s="387">
        <f t="shared" si="691"/>
        <v>0</v>
      </c>
      <c r="BB998" s="387">
        <f t="shared" si="660"/>
        <v>582.5</v>
      </c>
      <c r="BC998" s="387">
        <f t="shared" si="661"/>
        <v>0</v>
      </c>
      <c r="BD998" s="387">
        <f t="shared" si="662"/>
        <v>149.85151999999999</v>
      </c>
      <c r="BE998" s="387">
        <f t="shared" si="663"/>
        <v>35.045920000000002</v>
      </c>
      <c r="BF998" s="387">
        <f t="shared" si="664"/>
        <v>288.58502400000003</v>
      </c>
      <c r="BG998" s="387">
        <f t="shared" si="665"/>
        <v>17.426281599999999</v>
      </c>
      <c r="BH998" s="387">
        <f t="shared" si="666"/>
        <v>11.843104</v>
      </c>
      <c r="BI998" s="387">
        <f t="shared" si="667"/>
        <v>13.377873600000001</v>
      </c>
      <c r="BJ998" s="387">
        <f t="shared" si="668"/>
        <v>6.525792</v>
      </c>
      <c r="BK998" s="387">
        <f t="shared" si="669"/>
        <v>0</v>
      </c>
      <c r="BL998" s="387">
        <f t="shared" si="692"/>
        <v>522.65551520000008</v>
      </c>
      <c r="BM998" s="387">
        <f t="shared" si="693"/>
        <v>0</v>
      </c>
      <c r="BN998" s="387">
        <f t="shared" si="670"/>
        <v>582.5</v>
      </c>
      <c r="BO998" s="387">
        <f t="shared" si="671"/>
        <v>0</v>
      </c>
      <c r="BP998" s="387">
        <f t="shared" si="672"/>
        <v>149.85151999999999</v>
      </c>
      <c r="BQ998" s="387">
        <f t="shared" si="673"/>
        <v>35.045920000000002</v>
      </c>
      <c r="BR998" s="387">
        <f t="shared" si="674"/>
        <v>288.58502400000003</v>
      </c>
      <c r="BS998" s="387">
        <f t="shared" si="675"/>
        <v>17.426281599999999</v>
      </c>
      <c r="BT998" s="387">
        <f t="shared" si="676"/>
        <v>0</v>
      </c>
      <c r="BU998" s="387">
        <f t="shared" si="677"/>
        <v>13.377873600000001</v>
      </c>
      <c r="BV998" s="387">
        <f t="shared" si="678"/>
        <v>8.2176639999999992</v>
      </c>
      <c r="BW998" s="387">
        <f t="shared" si="679"/>
        <v>0</v>
      </c>
      <c r="BX998" s="387">
        <f t="shared" si="694"/>
        <v>512.50428320000003</v>
      </c>
      <c r="BY998" s="387">
        <f t="shared" si="695"/>
        <v>0</v>
      </c>
      <c r="BZ998" s="387">
        <f t="shared" si="696"/>
        <v>0</v>
      </c>
      <c r="CA998" s="387">
        <f t="shared" si="697"/>
        <v>0</v>
      </c>
      <c r="CB998" s="387">
        <f t="shared" si="698"/>
        <v>0</v>
      </c>
      <c r="CC998" s="387">
        <f t="shared" si="680"/>
        <v>0</v>
      </c>
      <c r="CD998" s="387">
        <f t="shared" si="681"/>
        <v>0</v>
      </c>
      <c r="CE998" s="387">
        <f t="shared" si="682"/>
        <v>0</v>
      </c>
      <c r="CF998" s="387">
        <f t="shared" si="683"/>
        <v>-11.843104</v>
      </c>
      <c r="CG998" s="387">
        <f t="shared" si="684"/>
        <v>0</v>
      </c>
      <c r="CH998" s="387">
        <f t="shared" si="685"/>
        <v>1.6918719999999992</v>
      </c>
      <c r="CI998" s="387">
        <f t="shared" si="686"/>
        <v>0</v>
      </c>
      <c r="CJ998" s="387">
        <f t="shared" si="699"/>
        <v>-10.151232</v>
      </c>
      <c r="CK998" s="387" t="str">
        <f t="shared" si="700"/>
        <v/>
      </c>
      <c r="CL998" s="387" t="str">
        <f t="shared" si="701"/>
        <v/>
      </c>
      <c r="CM998" s="387" t="str">
        <f t="shared" si="702"/>
        <v/>
      </c>
      <c r="CN998" s="387" t="str">
        <f t="shared" si="703"/>
        <v>0348-31</v>
      </c>
    </row>
    <row r="999" spans="1:92" ht="15.75" thickBot="1" x14ac:dyDescent="0.3">
      <c r="A999" s="376" t="s">
        <v>161</v>
      </c>
      <c r="B999" s="376" t="s">
        <v>162</v>
      </c>
      <c r="C999" s="376" t="s">
        <v>2184</v>
      </c>
      <c r="D999" s="376" t="s">
        <v>862</v>
      </c>
      <c r="E999" s="376" t="s">
        <v>224</v>
      </c>
      <c r="F999" s="382" t="s">
        <v>225</v>
      </c>
      <c r="G999" s="376" t="s">
        <v>1945</v>
      </c>
      <c r="H999" s="378"/>
      <c r="I999" s="378"/>
      <c r="J999" s="376" t="s">
        <v>215</v>
      </c>
      <c r="K999" s="376" t="s">
        <v>863</v>
      </c>
      <c r="L999" s="376" t="s">
        <v>252</v>
      </c>
      <c r="M999" s="376" t="s">
        <v>171</v>
      </c>
      <c r="N999" s="376" t="s">
        <v>172</v>
      </c>
      <c r="O999" s="379">
        <v>1</v>
      </c>
      <c r="P999" s="385">
        <v>1</v>
      </c>
      <c r="Q999" s="385">
        <v>1</v>
      </c>
      <c r="R999" s="380">
        <v>80</v>
      </c>
      <c r="S999" s="385">
        <v>1</v>
      </c>
      <c r="T999" s="380">
        <v>28955</v>
      </c>
      <c r="U999" s="380">
        <v>0</v>
      </c>
      <c r="V999" s="380">
        <v>16725.38</v>
      </c>
      <c r="W999" s="380">
        <v>38625.599999999999</v>
      </c>
      <c r="X999" s="380">
        <v>20002.75</v>
      </c>
      <c r="Y999" s="380">
        <v>38625.599999999999</v>
      </c>
      <c r="Z999" s="380">
        <v>19840.53</v>
      </c>
      <c r="AA999" s="376" t="s">
        <v>2185</v>
      </c>
      <c r="AB999" s="376" t="s">
        <v>2186</v>
      </c>
      <c r="AC999" s="376" t="s">
        <v>1686</v>
      </c>
      <c r="AD999" s="376" t="s">
        <v>170</v>
      </c>
      <c r="AE999" s="376" t="s">
        <v>863</v>
      </c>
      <c r="AF999" s="376" t="s">
        <v>393</v>
      </c>
      <c r="AG999" s="376" t="s">
        <v>178</v>
      </c>
      <c r="AH999" s="381">
        <v>18.57</v>
      </c>
      <c r="AI999" s="381">
        <v>1772.5</v>
      </c>
      <c r="AJ999" s="376" t="s">
        <v>179</v>
      </c>
      <c r="AK999" s="376" t="s">
        <v>180</v>
      </c>
      <c r="AL999" s="376" t="s">
        <v>181</v>
      </c>
      <c r="AM999" s="376" t="s">
        <v>182</v>
      </c>
      <c r="AN999" s="376" t="s">
        <v>68</v>
      </c>
      <c r="AO999" s="379">
        <v>80</v>
      </c>
      <c r="AP999" s="385">
        <v>1</v>
      </c>
      <c r="AQ999" s="385">
        <v>1</v>
      </c>
      <c r="AR999" s="383" t="s">
        <v>183</v>
      </c>
      <c r="AS999" s="387">
        <f t="shared" si="687"/>
        <v>1</v>
      </c>
      <c r="AT999">
        <f t="shared" si="688"/>
        <v>1</v>
      </c>
      <c r="AU999" s="387">
        <f>IF(AT999=0,"",IF(AND(AT999=1,M999="F",SUMIF(C2:C1334,C999,AS2:AS1334)&lt;=1),SUMIF(C2:C1334,C999,AS2:AS1334),IF(AND(AT999=1,M999="F",SUMIF(C2:C1334,C999,AS2:AS1334)&gt;1),1,"")))</f>
        <v>1</v>
      </c>
      <c r="AV999" s="387" t="str">
        <f>IF(AT999=0,"",IF(AND(AT999=3,M999="F",SUMIF(C2:C1334,C999,AS2:AS1334)&lt;=1),SUMIF(C2:C1334,C999,AS2:AS1334),IF(AND(AT999=3,M999="F",SUMIF(C2:C1334,C999,AS2:AS1334)&gt;1),1,"")))</f>
        <v/>
      </c>
      <c r="AW999" s="387">
        <f>SUMIF(C2:C1334,C999,O2:O1334)</f>
        <v>1</v>
      </c>
      <c r="AX999" s="387">
        <f>IF(AND(M999="F",AS999&lt;&gt;0),SUMIF(C2:C1334,C999,W2:W1334),0)</f>
        <v>38625.599999999999</v>
      </c>
      <c r="AY999" s="387">
        <f t="shared" si="689"/>
        <v>38625.599999999999</v>
      </c>
      <c r="AZ999" s="387" t="str">
        <f t="shared" si="690"/>
        <v/>
      </c>
      <c r="BA999" s="387">
        <f t="shared" si="691"/>
        <v>0</v>
      </c>
      <c r="BB999" s="387">
        <f t="shared" si="660"/>
        <v>11650</v>
      </c>
      <c r="BC999" s="387">
        <f t="shared" si="661"/>
        <v>0</v>
      </c>
      <c r="BD999" s="387">
        <f t="shared" si="662"/>
        <v>2394.7871999999998</v>
      </c>
      <c r="BE999" s="387">
        <f t="shared" si="663"/>
        <v>560.07119999999998</v>
      </c>
      <c r="BF999" s="387">
        <f t="shared" si="664"/>
        <v>4611.8966399999999</v>
      </c>
      <c r="BG999" s="387">
        <f t="shared" si="665"/>
        <v>278.49057599999998</v>
      </c>
      <c r="BH999" s="387">
        <f t="shared" si="666"/>
        <v>189.26543999999998</v>
      </c>
      <c r="BI999" s="387">
        <f t="shared" si="667"/>
        <v>213.79269599999998</v>
      </c>
      <c r="BJ999" s="387">
        <f t="shared" si="668"/>
        <v>104.28912</v>
      </c>
      <c r="BK999" s="387">
        <f t="shared" si="669"/>
        <v>0</v>
      </c>
      <c r="BL999" s="387">
        <f t="shared" si="692"/>
        <v>8352.5928719999993</v>
      </c>
      <c r="BM999" s="387">
        <f t="shared" si="693"/>
        <v>0</v>
      </c>
      <c r="BN999" s="387">
        <f t="shared" si="670"/>
        <v>11650</v>
      </c>
      <c r="BO999" s="387">
        <f t="shared" si="671"/>
        <v>0</v>
      </c>
      <c r="BP999" s="387">
        <f t="shared" si="672"/>
        <v>2394.7871999999998</v>
      </c>
      <c r="BQ999" s="387">
        <f t="shared" si="673"/>
        <v>560.07119999999998</v>
      </c>
      <c r="BR999" s="387">
        <f t="shared" si="674"/>
        <v>4611.8966399999999</v>
      </c>
      <c r="BS999" s="387">
        <f t="shared" si="675"/>
        <v>278.49057599999998</v>
      </c>
      <c r="BT999" s="387">
        <f t="shared" si="676"/>
        <v>0</v>
      </c>
      <c r="BU999" s="387">
        <f t="shared" si="677"/>
        <v>213.79269599999998</v>
      </c>
      <c r="BV999" s="387">
        <f t="shared" si="678"/>
        <v>131.32703999999998</v>
      </c>
      <c r="BW999" s="387">
        <f t="shared" si="679"/>
        <v>0</v>
      </c>
      <c r="BX999" s="387">
        <f t="shared" si="694"/>
        <v>8190.3653520000007</v>
      </c>
      <c r="BY999" s="387">
        <f t="shared" si="695"/>
        <v>0</v>
      </c>
      <c r="BZ999" s="387">
        <f t="shared" si="696"/>
        <v>0</v>
      </c>
      <c r="CA999" s="387">
        <f t="shared" si="697"/>
        <v>0</v>
      </c>
      <c r="CB999" s="387">
        <f t="shared" si="698"/>
        <v>0</v>
      </c>
      <c r="CC999" s="387">
        <f t="shared" si="680"/>
        <v>0</v>
      </c>
      <c r="CD999" s="387">
        <f t="shared" si="681"/>
        <v>0</v>
      </c>
      <c r="CE999" s="387">
        <f t="shared" si="682"/>
        <v>0</v>
      </c>
      <c r="CF999" s="387">
        <f t="shared" si="683"/>
        <v>-189.26543999999998</v>
      </c>
      <c r="CG999" s="387">
        <f t="shared" si="684"/>
        <v>0</v>
      </c>
      <c r="CH999" s="387">
        <f t="shared" si="685"/>
        <v>27.037919999999986</v>
      </c>
      <c r="CI999" s="387">
        <f t="shared" si="686"/>
        <v>0</v>
      </c>
      <c r="CJ999" s="387">
        <f t="shared" si="699"/>
        <v>-162.22752</v>
      </c>
      <c r="CK999" s="387" t="str">
        <f t="shared" si="700"/>
        <v/>
      </c>
      <c r="CL999" s="387" t="str">
        <f t="shared" si="701"/>
        <v/>
      </c>
      <c r="CM999" s="387" t="str">
        <f t="shared" si="702"/>
        <v/>
      </c>
      <c r="CN999" s="387" t="str">
        <f t="shared" si="703"/>
        <v>0348-31</v>
      </c>
    </row>
    <row r="1000" spans="1:92" ht="15.75" thickBot="1" x14ac:dyDescent="0.3">
      <c r="A1000" s="376" t="s">
        <v>161</v>
      </c>
      <c r="B1000" s="376" t="s">
        <v>162</v>
      </c>
      <c r="C1000" s="376" t="s">
        <v>1190</v>
      </c>
      <c r="D1000" s="376" t="s">
        <v>868</v>
      </c>
      <c r="E1000" s="376" t="s">
        <v>224</v>
      </c>
      <c r="F1000" s="382" t="s">
        <v>225</v>
      </c>
      <c r="G1000" s="376" t="s">
        <v>1945</v>
      </c>
      <c r="H1000" s="378"/>
      <c r="I1000" s="378"/>
      <c r="J1000" s="376" t="s">
        <v>215</v>
      </c>
      <c r="K1000" s="376" t="s">
        <v>869</v>
      </c>
      <c r="L1000" s="376" t="s">
        <v>296</v>
      </c>
      <c r="M1000" s="376" t="s">
        <v>171</v>
      </c>
      <c r="N1000" s="376" t="s">
        <v>172</v>
      </c>
      <c r="O1000" s="379">
        <v>1</v>
      </c>
      <c r="P1000" s="385">
        <v>1</v>
      </c>
      <c r="Q1000" s="385">
        <v>1</v>
      </c>
      <c r="R1000" s="380">
        <v>80</v>
      </c>
      <c r="S1000" s="385">
        <v>1</v>
      </c>
      <c r="T1000" s="380">
        <v>0</v>
      </c>
      <c r="U1000" s="380">
        <v>0</v>
      </c>
      <c r="V1000" s="380">
        <v>0</v>
      </c>
      <c r="W1000" s="380">
        <v>58323.199999999997</v>
      </c>
      <c r="X1000" s="380">
        <v>24262.37</v>
      </c>
      <c r="Y1000" s="380">
        <v>58323.199999999997</v>
      </c>
      <c r="Z1000" s="380">
        <v>24017.41</v>
      </c>
      <c r="AA1000" s="376" t="s">
        <v>1191</v>
      </c>
      <c r="AB1000" s="376" t="s">
        <v>1192</v>
      </c>
      <c r="AC1000" s="376" t="s">
        <v>1193</v>
      </c>
      <c r="AD1000" s="376" t="s">
        <v>1194</v>
      </c>
      <c r="AE1000" s="376" t="s">
        <v>869</v>
      </c>
      <c r="AF1000" s="376" t="s">
        <v>301</v>
      </c>
      <c r="AG1000" s="376" t="s">
        <v>178</v>
      </c>
      <c r="AH1000" s="381">
        <v>28.04</v>
      </c>
      <c r="AI1000" s="379">
        <v>24857</v>
      </c>
      <c r="AJ1000" s="376" t="s">
        <v>179</v>
      </c>
      <c r="AK1000" s="376" t="s">
        <v>180</v>
      </c>
      <c r="AL1000" s="376" t="s">
        <v>181</v>
      </c>
      <c r="AM1000" s="376" t="s">
        <v>182</v>
      </c>
      <c r="AN1000" s="376" t="s">
        <v>68</v>
      </c>
      <c r="AO1000" s="379">
        <v>80</v>
      </c>
      <c r="AP1000" s="385">
        <v>1</v>
      </c>
      <c r="AQ1000" s="385">
        <v>1</v>
      </c>
      <c r="AR1000" s="383" t="s">
        <v>183</v>
      </c>
      <c r="AS1000" s="387">
        <f t="shared" si="687"/>
        <v>1</v>
      </c>
      <c r="AT1000">
        <f t="shared" si="688"/>
        <v>1</v>
      </c>
      <c r="AU1000" s="387">
        <f>IF(AT1000=0,"",IF(AND(AT1000=1,M1000="F",SUMIF(C2:C1334,C1000,AS2:AS1334)&lt;=1),SUMIF(C2:C1334,C1000,AS2:AS1334),IF(AND(AT1000=1,M1000="F",SUMIF(C2:C1334,C1000,AS2:AS1334)&gt;1),1,"")))</f>
        <v>1</v>
      </c>
      <c r="AV1000" s="387" t="str">
        <f>IF(AT1000=0,"",IF(AND(AT1000=3,M1000="F",SUMIF(C2:C1334,C1000,AS2:AS1334)&lt;=1),SUMIF(C2:C1334,C1000,AS2:AS1334),IF(AND(AT1000=3,M1000="F",SUMIF(C2:C1334,C1000,AS2:AS1334)&gt;1),1,"")))</f>
        <v/>
      </c>
      <c r="AW1000" s="387">
        <f>SUMIF(C2:C1334,C1000,O2:O1334)</f>
        <v>2</v>
      </c>
      <c r="AX1000" s="387">
        <f>IF(AND(M1000="F",AS1000&lt;&gt;0),SUMIF(C2:C1334,C1000,W2:W1334),0)</f>
        <v>58323.199999999997</v>
      </c>
      <c r="AY1000" s="387">
        <f t="shared" si="689"/>
        <v>58323.199999999997</v>
      </c>
      <c r="AZ1000" s="387" t="str">
        <f t="shared" si="690"/>
        <v/>
      </c>
      <c r="BA1000" s="387">
        <f t="shared" si="691"/>
        <v>0</v>
      </c>
      <c r="BB1000" s="387">
        <f t="shared" si="660"/>
        <v>11650</v>
      </c>
      <c r="BC1000" s="387">
        <f t="shared" si="661"/>
        <v>0</v>
      </c>
      <c r="BD1000" s="387">
        <f t="shared" si="662"/>
        <v>3616.0383999999999</v>
      </c>
      <c r="BE1000" s="387">
        <f t="shared" si="663"/>
        <v>845.68640000000005</v>
      </c>
      <c r="BF1000" s="387">
        <f t="shared" si="664"/>
        <v>6963.7900799999998</v>
      </c>
      <c r="BG1000" s="387">
        <f t="shared" si="665"/>
        <v>420.51027199999999</v>
      </c>
      <c r="BH1000" s="387">
        <f t="shared" si="666"/>
        <v>285.78368</v>
      </c>
      <c r="BI1000" s="387">
        <f t="shared" si="667"/>
        <v>322.81891200000001</v>
      </c>
      <c r="BJ1000" s="387">
        <f t="shared" si="668"/>
        <v>157.47264000000001</v>
      </c>
      <c r="BK1000" s="387">
        <f t="shared" si="669"/>
        <v>0</v>
      </c>
      <c r="BL1000" s="387">
        <f t="shared" si="692"/>
        <v>12612.100383999999</v>
      </c>
      <c r="BM1000" s="387">
        <f t="shared" si="693"/>
        <v>0</v>
      </c>
      <c r="BN1000" s="387">
        <f t="shared" si="670"/>
        <v>11650</v>
      </c>
      <c r="BO1000" s="387">
        <f t="shared" si="671"/>
        <v>0</v>
      </c>
      <c r="BP1000" s="387">
        <f t="shared" si="672"/>
        <v>3616.0383999999999</v>
      </c>
      <c r="BQ1000" s="387">
        <f t="shared" si="673"/>
        <v>845.68640000000005</v>
      </c>
      <c r="BR1000" s="387">
        <f t="shared" si="674"/>
        <v>6963.7900799999998</v>
      </c>
      <c r="BS1000" s="387">
        <f t="shared" si="675"/>
        <v>420.51027199999999</v>
      </c>
      <c r="BT1000" s="387">
        <f t="shared" si="676"/>
        <v>0</v>
      </c>
      <c r="BU1000" s="387">
        <f t="shared" si="677"/>
        <v>322.81891200000001</v>
      </c>
      <c r="BV1000" s="387">
        <f t="shared" si="678"/>
        <v>198.29887999999997</v>
      </c>
      <c r="BW1000" s="387">
        <f t="shared" si="679"/>
        <v>0</v>
      </c>
      <c r="BX1000" s="387">
        <f t="shared" si="694"/>
        <v>12367.142943999999</v>
      </c>
      <c r="BY1000" s="387">
        <f t="shared" si="695"/>
        <v>0</v>
      </c>
      <c r="BZ1000" s="387">
        <f t="shared" si="696"/>
        <v>0</v>
      </c>
      <c r="CA1000" s="387">
        <f t="shared" si="697"/>
        <v>0</v>
      </c>
      <c r="CB1000" s="387">
        <f t="shared" si="698"/>
        <v>0</v>
      </c>
      <c r="CC1000" s="387">
        <f t="shared" si="680"/>
        <v>0</v>
      </c>
      <c r="CD1000" s="387">
        <f t="shared" si="681"/>
        <v>0</v>
      </c>
      <c r="CE1000" s="387">
        <f t="shared" si="682"/>
        <v>0</v>
      </c>
      <c r="CF1000" s="387">
        <f t="shared" si="683"/>
        <v>-285.78368</v>
      </c>
      <c r="CG1000" s="387">
        <f t="shared" si="684"/>
        <v>0</v>
      </c>
      <c r="CH1000" s="387">
        <f t="shared" si="685"/>
        <v>40.826239999999977</v>
      </c>
      <c r="CI1000" s="387">
        <f t="shared" si="686"/>
        <v>0</v>
      </c>
      <c r="CJ1000" s="387">
        <f t="shared" si="699"/>
        <v>-244.95744000000002</v>
      </c>
      <c r="CK1000" s="387" t="str">
        <f t="shared" si="700"/>
        <v/>
      </c>
      <c r="CL1000" s="387" t="str">
        <f t="shared" si="701"/>
        <v/>
      </c>
      <c r="CM1000" s="387" t="str">
        <f t="shared" si="702"/>
        <v/>
      </c>
      <c r="CN1000" s="387" t="str">
        <f t="shared" si="703"/>
        <v>0348-31</v>
      </c>
    </row>
    <row r="1001" spans="1:92" ht="15.75" thickBot="1" x14ac:dyDescent="0.3">
      <c r="A1001" s="376" t="s">
        <v>161</v>
      </c>
      <c r="B1001" s="376" t="s">
        <v>162</v>
      </c>
      <c r="C1001" s="376" t="s">
        <v>1316</v>
      </c>
      <c r="D1001" s="376" t="s">
        <v>862</v>
      </c>
      <c r="E1001" s="376" t="s">
        <v>224</v>
      </c>
      <c r="F1001" s="382" t="s">
        <v>225</v>
      </c>
      <c r="G1001" s="376" t="s">
        <v>1945</v>
      </c>
      <c r="H1001" s="378"/>
      <c r="I1001" s="378"/>
      <c r="J1001" s="376" t="s">
        <v>239</v>
      </c>
      <c r="K1001" s="376" t="s">
        <v>863</v>
      </c>
      <c r="L1001" s="376" t="s">
        <v>252</v>
      </c>
      <c r="M1001" s="376" t="s">
        <v>272</v>
      </c>
      <c r="N1001" s="376" t="s">
        <v>172</v>
      </c>
      <c r="O1001" s="379">
        <v>0</v>
      </c>
      <c r="P1001" s="385">
        <v>0.7</v>
      </c>
      <c r="Q1001" s="385">
        <v>0.7</v>
      </c>
      <c r="R1001" s="380">
        <v>80</v>
      </c>
      <c r="S1001" s="385">
        <v>0.7</v>
      </c>
      <c r="T1001" s="380">
        <v>29863.87</v>
      </c>
      <c r="U1001" s="380">
        <v>0</v>
      </c>
      <c r="V1001" s="380">
        <v>14823.69</v>
      </c>
      <c r="W1001" s="380">
        <v>29629.599999999999</v>
      </c>
      <c r="X1001" s="380">
        <v>12977.76</v>
      </c>
      <c r="Y1001" s="380">
        <v>29629.599999999999</v>
      </c>
      <c r="Z1001" s="380">
        <v>12829.61</v>
      </c>
      <c r="AA1001" s="378"/>
      <c r="AB1001" s="376" t="s">
        <v>45</v>
      </c>
      <c r="AC1001" s="376" t="s">
        <v>45</v>
      </c>
      <c r="AD1001" s="378"/>
      <c r="AE1001" s="378"/>
      <c r="AF1001" s="378"/>
      <c r="AG1001" s="378"/>
      <c r="AH1001" s="379">
        <v>0</v>
      </c>
      <c r="AI1001" s="379">
        <v>0</v>
      </c>
      <c r="AJ1001" s="378"/>
      <c r="AK1001" s="378"/>
      <c r="AL1001" s="376" t="s">
        <v>181</v>
      </c>
      <c r="AM1001" s="378"/>
      <c r="AN1001" s="378"/>
      <c r="AO1001" s="379">
        <v>0</v>
      </c>
      <c r="AP1001" s="385">
        <v>0</v>
      </c>
      <c r="AQ1001" s="385">
        <v>0</v>
      </c>
      <c r="AR1001" s="384"/>
      <c r="AS1001" s="387">
        <f t="shared" si="687"/>
        <v>0</v>
      </c>
      <c r="AT1001">
        <f t="shared" si="688"/>
        <v>0</v>
      </c>
      <c r="AU1001" s="387" t="str">
        <f>IF(AT1001=0,"",IF(AND(AT1001=1,M1001="F",SUMIF(C2:C1334,C1001,AS2:AS1334)&lt;=1),SUMIF(C2:C1334,C1001,AS2:AS1334),IF(AND(AT1001=1,M1001="F",SUMIF(C2:C1334,C1001,AS2:AS1334)&gt;1),1,"")))</f>
        <v/>
      </c>
      <c r="AV1001" s="387" t="str">
        <f>IF(AT1001=0,"",IF(AND(AT1001=3,M1001="F",SUMIF(C2:C1334,C1001,AS2:AS1334)&lt;=1),SUMIF(C2:C1334,C1001,AS2:AS1334),IF(AND(AT1001=3,M1001="F",SUMIF(C2:C1334,C1001,AS2:AS1334)&gt;1),1,"")))</f>
        <v/>
      </c>
      <c r="AW1001" s="387">
        <f>SUMIF(C2:C1334,C1001,O2:O1334)</f>
        <v>0</v>
      </c>
      <c r="AX1001" s="387">
        <f>IF(AND(M1001="F",AS1001&lt;&gt;0),SUMIF(C2:C1334,C1001,W2:W1334),0)</f>
        <v>0</v>
      </c>
      <c r="AY1001" s="387" t="str">
        <f t="shared" si="689"/>
        <v/>
      </c>
      <c r="AZ1001" s="387" t="str">
        <f t="shared" si="690"/>
        <v/>
      </c>
      <c r="BA1001" s="387">
        <f t="shared" si="691"/>
        <v>0</v>
      </c>
      <c r="BB1001" s="387">
        <f t="shared" si="660"/>
        <v>0</v>
      </c>
      <c r="BC1001" s="387">
        <f t="shared" si="661"/>
        <v>0</v>
      </c>
      <c r="BD1001" s="387">
        <f t="shared" si="662"/>
        <v>0</v>
      </c>
      <c r="BE1001" s="387">
        <f t="shared" si="663"/>
        <v>0</v>
      </c>
      <c r="BF1001" s="387">
        <f t="shared" si="664"/>
        <v>0</v>
      </c>
      <c r="BG1001" s="387">
        <f t="shared" si="665"/>
        <v>0</v>
      </c>
      <c r="BH1001" s="387">
        <f t="shared" si="666"/>
        <v>0</v>
      </c>
      <c r="BI1001" s="387">
        <f t="shared" si="667"/>
        <v>0</v>
      </c>
      <c r="BJ1001" s="387">
        <f t="shared" si="668"/>
        <v>0</v>
      </c>
      <c r="BK1001" s="387">
        <f t="shared" si="669"/>
        <v>0</v>
      </c>
      <c r="BL1001" s="387">
        <f t="shared" si="692"/>
        <v>0</v>
      </c>
      <c r="BM1001" s="387">
        <f t="shared" si="693"/>
        <v>0</v>
      </c>
      <c r="BN1001" s="387">
        <f t="shared" si="670"/>
        <v>0</v>
      </c>
      <c r="BO1001" s="387">
        <f t="shared" si="671"/>
        <v>0</v>
      </c>
      <c r="BP1001" s="387">
        <f t="shared" si="672"/>
        <v>0</v>
      </c>
      <c r="BQ1001" s="387">
        <f t="shared" si="673"/>
        <v>0</v>
      </c>
      <c r="BR1001" s="387">
        <f t="shared" si="674"/>
        <v>0</v>
      </c>
      <c r="BS1001" s="387">
        <f t="shared" si="675"/>
        <v>0</v>
      </c>
      <c r="BT1001" s="387">
        <f t="shared" si="676"/>
        <v>0</v>
      </c>
      <c r="BU1001" s="387">
        <f t="shared" si="677"/>
        <v>0</v>
      </c>
      <c r="BV1001" s="387">
        <f t="shared" si="678"/>
        <v>0</v>
      </c>
      <c r="BW1001" s="387">
        <f t="shared" si="679"/>
        <v>0</v>
      </c>
      <c r="BX1001" s="387">
        <f t="shared" si="694"/>
        <v>0</v>
      </c>
      <c r="BY1001" s="387">
        <f t="shared" si="695"/>
        <v>0</v>
      </c>
      <c r="BZ1001" s="387">
        <f t="shared" si="696"/>
        <v>0</v>
      </c>
      <c r="CA1001" s="387">
        <f t="shared" si="697"/>
        <v>0</v>
      </c>
      <c r="CB1001" s="387">
        <f t="shared" si="698"/>
        <v>0</v>
      </c>
      <c r="CC1001" s="387">
        <f t="shared" si="680"/>
        <v>0</v>
      </c>
      <c r="CD1001" s="387">
        <f t="shared" si="681"/>
        <v>0</v>
      </c>
      <c r="CE1001" s="387">
        <f t="shared" si="682"/>
        <v>0</v>
      </c>
      <c r="CF1001" s="387">
        <f t="shared" si="683"/>
        <v>0</v>
      </c>
      <c r="CG1001" s="387">
        <f t="shared" si="684"/>
        <v>0</v>
      </c>
      <c r="CH1001" s="387">
        <f t="shared" si="685"/>
        <v>0</v>
      </c>
      <c r="CI1001" s="387">
        <f t="shared" si="686"/>
        <v>0</v>
      </c>
      <c r="CJ1001" s="387">
        <f t="shared" si="699"/>
        <v>0</v>
      </c>
      <c r="CK1001" s="387" t="str">
        <f t="shared" si="700"/>
        <v/>
      </c>
      <c r="CL1001" s="387" t="str">
        <f t="shared" si="701"/>
        <v/>
      </c>
      <c r="CM1001" s="387" t="str">
        <f t="shared" si="702"/>
        <v/>
      </c>
      <c r="CN1001" s="387" t="str">
        <f t="shared" si="703"/>
        <v>0348-31</v>
      </c>
    </row>
    <row r="1002" spans="1:92" ht="15.75" thickBot="1" x14ac:dyDescent="0.3">
      <c r="A1002" s="376" t="s">
        <v>161</v>
      </c>
      <c r="B1002" s="376" t="s">
        <v>162</v>
      </c>
      <c r="C1002" s="376" t="s">
        <v>1524</v>
      </c>
      <c r="D1002" s="376" t="s">
        <v>862</v>
      </c>
      <c r="E1002" s="376" t="s">
        <v>224</v>
      </c>
      <c r="F1002" s="382" t="s">
        <v>225</v>
      </c>
      <c r="G1002" s="376" t="s">
        <v>1945</v>
      </c>
      <c r="H1002" s="378"/>
      <c r="I1002" s="378"/>
      <c r="J1002" s="376" t="s">
        <v>168</v>
      </c>
      <c r="K1002" s="376" t="s">
        <v>863</v>
      </c>
      <c r="L1002" s="376" t="s">
        <v>252</v>
      </c>
      <c r="M1002" s="376" t="s">
        <v>171</v>
      </c>
      <c r="N1002" s="376" t="s">
        <v>172</v>
      </c>
      <c r="O1002" s="379">
        <v>1</v>
      </c>
      <c r="P1002" s="385">
        <v>0.25</v>
      </c>
      <c r="Q1002" s="385">
        <v>0.25</v>
      </c>
      <c r="R1002" s="380">
        <v>80</v>
      </c>
      <c r="S1002" s="385">
        <v>0.25</v>
      </c>
      <c r="T1002" s="380">
        <v>9161.0300000000007</v>
      </c>
      <c r="U1002" s="380">
        <v>0</v>
      </c>
      <c r="V1002" s="380">
        <v>4535.93</v>
      </c>
      <c r="W1002" s="380">
        <v>12422.8</v>
      </c>
      <c r="X1002" s="380">
        <v>5598.92</v>
      </c>
      <c r="Y1002" s="380">
        <v>12422.8</v>
      </c>
      <c r="Z1002" s="380">
        <v>5546.74</v>
      </c>
      <c r="AA1002" s="376" t="s">
        <v>1525</v>
      </c>
      <c r="AB1002" s="376" t="s">
        <v>1526</v>
      </c>
      <c r="AC1002" s="376" t="s">
        <v>622</v>
      </c>
      <c r="AD1002" s="376" t="s">
        <v>686</v>
      </c>
      <c r="AE1002" s="376" t="s">
        <v>863</v>
      </c>
      <c r="AF1002" s="376" t="s">
        <v>393</v>
      </c>
      <c r="AG1002" s="376" t="s">
        <v>178</v>
      </c>
      <c r="AH1002" s="381">
        <v>23.89</v>
      </c>
      <c r="AI1002" s="379">
        <v>43814</v>
      </c>
      <c r="AJ1002" s="376" t="s">
        <v>179</v>
      </c>
      <c r="AK1002" s="376" t="s">
        <v>180</v>
      </c>
      <c r="AL1002" s="376" t="s">
        <v>181</v>
      </c>
      <c r="AM1002" s="376" t="s">
        <v>182</v>
      </c>
      <c r="AN1002" s="376" t="s">
        <v>68</v>
      </c>
      <c r="AO1002" s="379">
        <v>80</v>
      </c>
      <c r="AP1002" s="385">
        <v>1</v>
      </c>
      <c r="AQ1002" s="385">
        <v>0.25</v>
      </c>
      <c r="AR1002" s="383" t="s">
        <v>183</v>
      </c>
      <c r="AS1002" s="387">
        <f t="shared" si="687"/>
        <v>0.25</v>
      </c>
      <c r="AT1002">
        <f t="shared" si="688"/>
        <v>1</v>
      </c>
      <c r="AU1002" s="387">
        <f>IF(AT1002=0,"",IF(AND(AT1002=1,M1002="F",SUMIF(C2:C1334,C1002,AS2:AS1334)&lt;=1),SUMIF(C2:C1334,C1002,AS2:AS1334),IF(AND(AT1002=1,M1002="F",SUMIF(C2:C1334,C1002,AS2:AS1334)&gt;1),1,"")))</f>
        <v>1</v>
      </c>
      <c r="AV1002" s="387" t="str">
        <f>IF(AT1002=0,"",IF(AND(AT1002=3,M1002="F",SUMIF(C2:C1334,C1002,AS2:AS1334)&lt;=1),SUMIF(C2:C1334,C1002,AS2:AS1334),IF(AND(AT1002=3,M1002="F",SUMIF(C2:C1334,C1002,AS2:AS1334)&gt;1),1,"")))</f>
        <v/>
      </c>
      <c r="AW1002" s="387">
        <f>SUMIF(C2:C1334,C1002,O2:O1334)</f>
        <v>3</v>
      </c>
      <c r="AX1002" s="387">
        <f>IF(AND(M1002="F",AS1002&lt;&gt;0),SUMIF(C2:C1334,C1002,W2:W1334),0)</f>
        <v>49691.199999999997</v>
      </c>
      <c r="AY1002" s="387">
        <f t="shared" si="689"/>
        <v>12422.8</v>
      </c>
      <c r="AZ1002" s="387" t="str">
        <f t="shared" si="690"/>
        <v/>
      </c>
      <c r="BA1002" s="387">
        <f t="shared" si="691"/>
        <v>0</v>
      </c>
      <c r="BB1002" s="387">
        <f t="shared" si="660"/>
        <v>2912.5</v>
      </c>
      <c r="BC1002" s="387">
        <f t="shared" si="661"/>
        <v>0</v>
      </c>
      <c r="BD1002" s="387">
        <f t="shared" si="662"/>
        <v>770.21359999999993</v>
      </c>
      <c r="BE1002" s="387">
        <f t="shared" si="663"/>
        <v>180.13059999999999</v>
      </c>
      <c r="BF1002" s="387">
        <f t="shared" si="664"/>
        <v>1483.28232</v>
      </c>
      <c r="BG1002" s="387">
        <f t="shared" si="665"/>
        <v>89.568387999999999</v>
      </c>
      <c r="BH1002" s="387">
        <f t="shared" si="666"/>
        <v>60.871719999999996</v>
      </c>
      <c r="BI1002" s="387">
        <f t="shared" si="667"/>
        <v>68.760198000000003</v>
      </c>
      <c r="BJ1002" s="387">
        <f t="shared" si="668"/>
        <v>33.541559999999997</v>
      </c>
      <c r="BK1002" s="387">
        <f t="shared" si="669"/>
        <v>0</v>
      </c>
      <c r="BL1002" s="387">
        <f t="shared" si="692"/>
        <v>2686.3683860000001</v>
      </c>
      <c r="BM1002" s="387">
        <f t="shared" si="693"/>
        <v>0</v>
      </c>
      <c r="BN1002" s="387">
        <f t="shared" si="670"/>
        <v>2912.5</v>
      </c>
      <c r="BO1002" s="387">
        <f t="shared" si="671"/>
        <v>0</v>
      </c>
      <c r="BP1002" s="387">
        <f t="shared" si="672"/>
        <v>770.21359999999993</v>
      </c>
      <c r="BQ1002" s="387">
        <f t="shared" si="673"/>
        <v>180.13059999999999</v>
      </c>
      <c r="BR1002" s="387">
        <f t="shared" si="674"/>
        <v>1483.28232</v>
      </c>
      <c r="BS1002" s="387">
        <f t="shared" si="675"/>
        <v>89.568387999999999</v>
      </c>
      <c r="BT1002" s="387">
        <f t="shared" si="676"/>
        <v>0</v>
      </c>
      <c r="BU1002" s="387">
        <f t="shared" si="677"/>
        <v>68.760198000000003</v>
      </c>
      <c r="BV1002" s="387">
        <f t="shared" si="678"/>
        <v>42.237519999999996</v>
      </c>
      <c r="BW1002" s="387">
        <f t="shared" si="679"/>
        <v>0</v>
      </c>
      <c r="BX1002" s="387">
        <f t="shared" si="694"/>
        <v>2634.192626</v>
      </c>
      <c r="BY1002" s="387">
        <f t="shared" si="695"/>
        <v>0</v>
      </c>
      <c r="BZ1002" s="387">
        <f t="shared" si="696"/>
        <v>0</v>
      </c>
      <c r="CA1002" s="387">
        <f t="shared" si="697"/>
        <v>0</v>
      </c>
      <c r="CB1002" s="387">
        <f t="shared" si="698"/>
        <v>0</v>
      </c>
      <c r="CC1002" s="387">
        <f t="shared" si="680"/>
        <v>0</v>
      </c>
      <c r="CD1002" s="387">
        <f t="shared" si="681"/>
        <v>0</v>
      </c>
      <c r="CE1002" s="387">
        <f t="shared" si="682"/>
        <v>0</v>
      </c>
      <c r="CF1002" s="387">
        <f t="shared" si="683"/>
        <v>-60.871719999999996</v>
      </c>
      <c r="CG1002" s="387">
        <f t="shared" si="684"/>
        <v>0</v>
      </c>
      <c r="CH1002" s="387">
        <f t="shared" si="685"/>
        <v>8.6959599999999959</v>
      </c>
      <c r="CI1002" s="387">
        <f t="shared" si="686"/>
        <v>0</v>
      </c>
      <c r="CJ1002" s="387">
        <f t="shared" si="699"/>
        <v>-52.175759999999997</v>
      </c>
      <c r="CK1002" s="387" t="str">
        <f t="shared" si="700"/>
        <v/>
      </c>
      <c r="CL1002" s="387" t="str">
        <f t="shared" si="701"/>
        <v/>
      </c>
      <c r="CM1002" s="387" t="str">
        <f t="shared" si="702"/>
        <v/>
      </c>
      <c r="CN1002" s="387" t="str">
        <f t="shared" si="703"/>
        <v>0348-31</v>
      </c>
    </row>
    <row r="1003" spans="1:92" ht="15.75" thickBot="1" x14ac:dyDescent="0.3">
      <c r="A1003" s="376" t="s">
        <v>161</v>
      </c>
      <c r="B1003" s="376" t="s">
        <v>162</v>
      </c>
      <c r="C1003" s="376" t="s">
        <v>367</v>
      </c>
      <c r="D1003" s="376" t="s">
        <v>368</v>
      </c>
      <c r="E1003" s="376" t="s">
        <v>224</v>
      </c>
      <c r="F1003" s="382" t="s">
        <v>225</v>
      </c>
      <c r="G1003" s="376" t="s">
        <v>1945</v>
      </c>
      <c r="H1003" s="378"/>
      <c r="I1003" s="378"/>
      <c r="J1003" s="376" t="s">
        <v>215</v>
      </c>
      <c r="K1003" s="376" t="s">
        <v>369</v>
      </c>
      <c r="L1003" s="376" t="s">
        <v>170</v>
      </c>
      <c r="M1003" s="376" t="s">
        <v>171</v>
      </c>
      <c r="N1003" s="376" t="s">
        <v>172</v>
      </c>
      <c r="O1003" s="379">
        <v>1</v>
      </c>
      <c r="P1003" s="385">
        <v>0</v>
      </c>
      <c r="Q1003" s="385">
        <v>0</v>
      </c>
      <c r="R1003" s="380">
        <v>80</v>
      </c>
      <c r="S1003" s="385">
        <v>0</v>
      </c>
      <c r="T1003" s="380">
        <v>1639.89</v>
      </c>
      <c r="U1003" s="380">
        <v>0</v>
      </c>
      <c r="V1003" s="380">
        <v>588.70000000000005</v>
      </c>
      <c r="W1003" s="380">
        <v>0</v>
      </c>
      <c r="X1003" s="380">
        <v>0</v>
      </c>
      <c r="Y1003" s="380">
        <v>0</v>
      </c>
      <c r="Z1003" s="380">
        <v>0</v>
      </c>
      <c r="AA1003" s="376" t="s">
        <v>370</v>
      </c>
      <c r="AB1003" s="376" t="s">
        <v>371</v>
      </c>
      <c r="AC1003" s="376" t="s">
        <v>372</v>
      </c>
      <c r="AD1003" s="376" t="s">
        <v>373</v>
      </c>
      <c r="AE1003" s="376" t="s">
        <v>369</v>
      </c>
      <c r="AF1003" s="376" t="s">
        <v>177</v>
      </c>
      <c r="AG1003" s="376" t="s">
        <v>178</v>
      </c>
      <c r="AH1003" s="381">
        <v>39.47</v>
      </c>
      <c r="AI1003" s="381">
        <v>37447.699999999997</v>
      </c>
      <c r="AJ1003" s="376" t="s">
        <v>179</v>
      </c>
      <c r="AK1003" s="376" t="s">
        <v>180</v>
      </c>
      <c r="AL1003" s="376" t="s">
        <v>181</v>
      </c>
      <c r="AM1003" s="376" t="s">
        <v>182</v>
      </c>
      <c r="AN1003" s="376" t="s">
        <v>68</v>
      </c>
      <c r="AO1003" s="379">
        <v>80</v>
      </c>
      <c r="AP1003" s="385">
        <v>1</v>
      </c>
      <c r="AQ1003" s="385">
        <v>0</v>
      </c>
      <c r="AR1003" s="383" t="s">
        <v>183</v>
      </c>
      <c r="AS1003" s="387">
        <f t="shared" si="687"/>
        <v>0</v>
      </c>
      <c r="AT1003">
        <f t="shared" si="688"/>
        <v>0</v>
      </c>
      <c r="AU1003" s="387" t="str">
        <f>IF(AT1003=0,"",IF(AND(AT1003=1,M1003="F",SUMIF(C2:C1334,C1003,AS2:AS1334)&lt;=1),SUMIF(C2:C1334,C1003,AS2:AS1334),IF(AND(AT1003=1,M1003="F",SUMIF(C2:C1334,C1003,AS2:AS1334)&gt;1),1,"")))</f>
        <v/>
      </c>
      <c r="AV1003" s="387" t="str">
        <f>IF(AT1003=0,"",IF(AND(AT1003=3,M1003="F",SUMIF(C2:C1334,C1003,AS2:AS1334)&lt;=1),SUMIF(C2:C1334,C1003,AS2:AS1334),IF(AND(AT1003=3,M1003="F",SUMIF(C2:C1334,C1003,AS2:AS1334)&gt;1),1,"")))</f>
        <v/>
      </c>
      <c r="AW1003" s="387">
        <f>SUMIF(C2:C1334,C1003,O2:O1334)</f>
        <v>4</v>
      </c>
      <c r="AX1003" s="387">
        <f>IF(AND(M1003="F",AS1003&lt;&gt;0),SUMIF(C2:C1334,C1003,W2:W1334),0)</f>
        <v>0</v>
      </c>
      <c r="AY1003" s="387" t="str">
        <f t="shared" si="689"/>
        <v/>
      </c>
      <c r="AZ1003" s="387" t="str">
        <f t="shared" si="690"/>
        <v/>
      </c>
      <c r="BA1003" s="387">
        <f t="shared" si="691"/>
        <v>0</v>
      </c>
      <c r="BB1003" s="387">
        <f t="shared" si="660"/>
        <v>0</v>
      </c>
      <c r="BC1003" s="387">
        <f t="shared" si="661"/>
        <v>0</v>
      </c>
      <c r="BD1003" s="387">
        <f t="shared" si="662"/>
        <v>0</v>
      </c>
      <c r="BE1003" s="387">
        <f t="shared" si="663"/>
        <v>0</v>
      </c>
      <c r="BF1003" s="387">
        <f t="shared" si="664"/>
        <v>0</v>
      </c>
      <c r="BG1003" s="387">
        <f t="shared" si="665"/>
        <v>0</v>
      </c>
      <c r="BH1003" s="387">
        <f t="shared" si="666"/>
        <v>0</v>
      </c>
      <c r="BI1003" s="387">
        <f t="shared" si="667"/>
        <v>0</v>
      </c>
      <c r="BJ1003" s="387">
        <f t="shared" si="668"/>
        <v>0</v>
      </c>
      <c r="BK1003" s="387">
        <f t="shared" si="669"/>
        <v>0</v>
      </c>
      <c r="BL1003" s="387">
        <f t="shared" si="692"/>
        <v>0</v>
      </c>
      <c r="BM1003" s="387">
        <f t="shared" si="693"/>
        <v>0</v>
      </c>
      <c r="BN1003" s="387">
        <f t="shared" si="670"/>
        <v>0</v>
      </c>
      <c r="BO1003" s="387">
        <f t="shared" si="671"/>
        <v>0</v>
      </c>
      <c r="BP1003" s="387">
        <f t="shared" si="672"/>
        <v>0</v>
      </c>
      <c r="BQ1003" s="387">
        <f t="shared" si="673"/>
        <v>0</v>
      </c>
      <c r="BR1003" s="387">
        <f t="shared" si="674"/>
        <v>0</v>
      </c>
      <c r="BS1003" s="387">
        <f t="shared" si="675"/>
        <v>0</v>
      </c>
      <c r="BT1003" s="387">
        <f t="shared" si="676"/>
        <v>0</v>
      </c>
      <c r="BU1003" s="387">
        <f t="shared" si="677"/>
        <v>0</v>
      </c>
      <c r="BV1003" s="387">
        <f t="shared" si="678"/>
        <v>0</v>
      </c>
      <c r="BW1003" s="387">
        <f t="shared" si="679"/>
        <v>0</v>
      </c>
      <c r="BX1003" s="387">
        <f t="shared" si="694"/>
        <v>0</v>
      </c>
      <c r="BY1003" s="387">
        <f t="shared" si="695"/>
        <v>0</v>
      </c>
      <c r="BZ1003" s="387">
        <f t="shared" si="696"/>
        <v>0</v>
      </c>
      <c r="CA1003" s="387">
        <f t="shared" si="697"/>
        <v>0</v>
      </c>
      <c r="CB1003" s="387">
        <f t="shared" si="698"/>
        <v>0</v>
      </c>
      <c r="CC1003" s="387">
        <f t="shared" si="680"/>
        <v>0</v>
      </c>
      <c r="CD1003" s="387">
        <f t="shared" si="681"/>
        <v>0</v>
      </c>
      <c r="CE1003" s="387">
        <f t="shared" si="682"/>
        <v>0</v>
      </c>
      <c r="CF1003" s="387">
        <f t="shared" si="683"/>
        <v>0</v>
      </c>
      <c r="CG1003" s="387">
        <f t="shared" si="684"/>
        <v>0</v>
      </c>
      <c r="CH1003" s="387">
        <f t="shared" si="685"/>
        <v>0</v>
      </c>
      <c r="CI1003" s="387">
        <f t="shared" si="686"/>
        <v>0</v>
      </c>
      <c r="CJ1003" s="387">
        <f t="shared" si="699"/>
        <v>0</v>
      </c>
      <c r="CK1003" s="387" t="str">
        <f t="shared" si="700"/>
        <v/>
      </c>
      <c r="CL1003" s="387" t="str">
        <f t="shared" si="701"/>
        <v/>
      </c>
      <c r="CM1003" s="387" t="str">
        <f t="shared" si="702"/>
        <v/>
      </c>
      <c r="CN1003" s="387" t="str">
        <f t="shared" si="703"/>
        <v>0348-31</v>
      </c>
    </row>
    <row r="1004" spans="1:92" ht="15.75" thickBot="1" x14ac:dyDescent="0.3">
      <c r="A1004" s="376" t="s">
        <v>161</v>
      </c>
      <c r="B1004" s="376" t="s">
        <v>162</v>
      </c>
      <c r="C1004" s="376" t="s">
        <v>1202</v>
      </c>
      <c r="D1004" s="376" t="s">
        <v>270</v>
      </c>
      <c r="E1004" s="376" t="s">
        <v>224</v>
      </c>
      <c r="F1004" s="382" t="s">
        <v>225</v>
      </c>
      <c r="G1004" s="376" t="s">
        <v>1945</v>
      </c>
      <c r="H1004" s="378"/>
      <c r="I1004" s="378"/>
      <c r="J1004" s="376" t="s">
        <v>215</v>
      </c>
      <c r="K1004" s="376" t="s">
        <v>271</v>
      </c>
      <c r="L1004" s="376" t="s">
        <v>217</v>
      </c>
      <c r="M1004" s="376" t="s">
        <v>171</v>
      </c>
      <c r="N1004" s="376" t="s">
        <v>172</v>
      </c>
      <c r="O1004" s="379">
        <v>1</v>
      </c>
      <c r="P1004" s="385">
        <v>1</v>
      </c>
      <c r="Q1004" s="385">
        <v>1</v>
      </c>
      <c r="R1004" s="380">
        <v>80</v>
      </c>
      <c r="S1004" s="385">
        <v>1</v>
      </c>
      <c r="T1004" s="380">
        <v>24051.599999999999</v>
      </c>
      <c r="U1004" s="380">
        <v>69.17</v>
      </c>
      <c r="V1004" s="380">
        <v>13006.29</v>
      </c>
      <c r="W1004" s="380">
        <v>32614.400000000001</v>
      </c>
      <c r="X1004" s="380">
        <v>18702.82</v>
      </c>
      <c r="Y1004" s="380">
        <v>32614.400000000001</v>
      </c>
      <c r="Z1004" s="380">
        <v>18565.84</v>
      </c>
      <c r="AA1004" s="376" t="s">
        <v>1203</v>
      </c>
      <c r="AB1004" s="376" t="s">
        <v>977</v>
      </c>
      <c r="AC1004" s="376" t="s">
        <v>587</v>
      </c>
      <c r="AD1004" s="376" t="s">
        <v>1204</v>
      </c>
      <c r="AE1004" s="376" t="s">
        <v>271</v>
      </c>
      <c r="AF1004" s="376" t="s">
        <v>221</v>
      </c>
      <c r="AG1004" s="376" t="s">
        <v>178</v>
      </c>
      <c r="AH1004" s="381">
        <v>15.68</v>
      </c>
      <c r="AI1004" s="379">
        <v>880</v>
      </c>
      <c r="AJ1004" s="376" t="s">
        <v>179</v>
      </c>
      <c r="AK1004" s="376" t="s">
        <v>180</v>
      </c>
      <c r="AL1004" s="376" t="s">
        <v>181</v>
      </c>
      <c r="AM1004" s="376" t="s">
        <v>182</v>
      </c>
      <c r="AN1004" s="376" t="s">
        <v>68</v>
      </c>
      <c r="AO1004" s="379">
        <v>80</v>
      </c>
      <c r="AP1004" s="385">
        <v>1</v>
      </c>
      <c r="AQ1004" s="385">
        <v>1</v>
      </c>
      <c r="AR1004" s="383" t="s">
        <v>183</v>
      </c>
      <c r="AS1004" s="387">
        <f t="shared" si="687"/>
        <v>1</v>
      </c>
      <c r="AT1004">
        <f t="shared" si="688"/>
        <v>1</v>
      </c>
      <c r="AU1004" s="387">
        <f>IF(AT1004=0,"",IF(AND(AT1004=1,M1004="F",SUMIF(C2:C1334,C1004,AS2:AS1334)&lt;=1),SUMIF(C2:C1334,C1004,AS2:AS1334),IF(AND(AT1004=1,M1004="F",SUMIF(C2:C1334,C1004,AS2:AS1334)&gt;1),1,"")))</f>
        <v>1</v>
      </c>
      <c r="AV1004" s="387" t="str">
        <f>IF(AT1004=0,"",IF(AND(AT1004=3,M1004="F",SUMIF(C2:C1334,C1004,AS2:AS1334)&lt;=1),SUMIF(C2:C1334,C1004,AS2:AS1334),IF(AND(AT1004=3,M1004="F",SUMIF(C2:C1334,C1004,AS2:AS1334)&gt;1),1,"")))</f>
        <v/>
      </c>
      <c r="AW1004" s="387">
        <f>SUMIF(C2:C1334,C1004,O2:O1334)</f>
        <v>2</v>
      </c>
      <c r="AX1004" s="387">
        <f>IF(AND(M1004="F",AS1004&lt;&gt;0),SUMIF(C2:C1334,C1004,W2:W1334),0)</f>
        <v>32614.400000000001</v>
      </c>
      <c r="AY1004" s="387">
        <f t="shared" si="689"/>
        <v>32614.400000000001</v>
      </c>
      <c r="AZ1004" s="387" t="str">
        <f t="shared" si="690"/>
        <v/>
      </c>
      <c r="BA1004" s="387">
        <f t="shared" si="691"/>
        <v>0</v>
      </c>
      <c r="BB1004" s="387">
        <f t="shared" si="660"/>
        <v>11650</v>
      </c>
      <c r="BC1004" s="387">
        <f t="shared" si="661"/>
        <v>0</v>
      </c>
      <c r="BD1004" s="387">
        <f t="shared" si="662"/>
        <v>2022.0928000000001</v>
      </c>
      <c r="BE1004" s="387">
        <f t="shared" si="663"/>
        <v>472.90880000000004</v>
      </c>
      <c r="BF1004" s="387">
        <f t="shared" si="664"/>
        <v>3894.1593600000006</v>
      </c>
      <c r="BG1004" s="387">
        <f t="shared" si="665"/>
        <v>235.14982400000002</v>
      </c>
      <c r="BH1004" s="387">
        <f t="shared" si="666"/>
        <v>159.81056000000001</v>
      </c>
      <c r="BI1004" s="387">
        <f t="shared" si="667"/>
        <v>180.52070399999999</v>
      </c>
      <c r="BJ1004" s="387">
        <f t="shared" si="668"/>
        <v>88.058880000000002</v>
      </c>
      <c r="BK1004" s="387">
        <f t="shared" si="669"/>
        <v>0</v>
      </c>
      <c r="BL1004" s="387">
        <f t="shared" si="692"/>
        <v>7052.7009280000002</v>
      </c>
      <c r="BM1004" s="387">
        <f t="shared" si="693"/>
        <v>0</v>
      </c>
      <c r="BN1004" s="387">
        <f t="shared" si="670"/>
        <v>11650</v>
      </c>
      <c r="BO1004" s="387">
        <f t="shared" si="671"/>
        <v>0</v>
      </c>
      <c r="BP1004" s="387">
        <f t="shared" si="672"/>
        <v>2022.0928000000001</v>
      </c>
      <c r="BQ1004" s="387">
        <f t="shared" si="673"/>
        <v>472.90880000000004</v>
      </c>
      <c r="BR1004" s="387">
        <f t="shared" si="674"/>
        <v>3894.1593600000006</v>
      </c>
      <c r="BS1004" s="387">
        <f t="shared" si="675"/>
        <v>235.14982400000002</v>
      </c>
      <c r="BT1004" s="387">
        <f t="shared" si="676"/>
        <v>0</v>
      </c>
      <c r="BU1004" s="387">
        <f t="shared" si="677"/>
        <v>180.52070399999999</v>
      </c>
      <c r="BV1004" s="387">
        <f t="shared" si="678"/>
        <v>110.88896</v>
      </c>
      <c r="BW1004" s="387">
        <f t="shared" si="679"/>
        <v>0</v>
      </c>
      <c r="BX1004" s="387">
        <f t="shared" si="694"/>
        <v>6915.7204480000009</v>
      </c>
      <c r="BY1004" s="387">
        <f t="shared" si="695"/>
        <v>0</v>
      </c>
      <c r="BZ1004" s="387">
        <f t="shared" si="696"/>
        <v>0</v>
      </c>
      <c r="CA1004" s="387">
        <f t="shared" si="697"/>
        <v>0</v>
      </c>
      <c r="CB1004" s="387">
        <f t="shared" si="698"/>
        <v>0</v>
      </c>
      <c r="CC1004" s="387">
        <f t="shared" si="680"/>
        <v>0</v>
      </c>
      <c r="CD1004" s="387">
        <f t="shared" si="681"/>
        <v>0</v>
      </c>
      <c r="CE1004" s="387">
        <f t="shared" si="682"/>
        <v>0</v>
      </c>
      <c r="CF1004" s="387">
        <f t="shared" si="683"/>
        <v>-159.81056000000001</v>
      </c>
      <c r="CG1004" s="387">
        <f t="shared" si="684"/>
        <v>0</v>
      </c>
      <c r="CH1004" s="387">
        <f t="shared" si="685"/>
        <v>22.830079999999992</v>
      </c>
      <c r="CI1004" s="387">
        <f t="shared" si="686"/>
        <v>0</v>
      </c>
      <c r="CJ1004" s="387">
        <f t="shared" si="699"/>
        <v>-136.98048000000003</v>
      </c>
      <c r="CK1004" s="387" t="str">
        <f t="shared" si="700"/>
        <v/>
      </c>
      <c r="CL1004" s="387" t="str">
        <f t="shared" si="701"/>
        <v/>
      </c>
      <c r="CM1004" s="387" t="str">
        <f t="shared" si="702"/>
        <v/>
      </c>
      <c r="CN1004" s="387" t="str">
        <f t="shared" si="703"/>
        <v>0348-31</v>
      </c>
    </row>
    <row r="1005" spans="1:92" ht="15.75" thickBot="1" x14ac:dyDescent="0.3">
      <c r="A1005" s="376" t="s">
        <v>161</v>
      </c>
      <c r="B1005" s="376" t="s">
        <v>162</v>
      </c>
      <c r="C1005" s="376" t="s">
        <v>2187</v>
      </c>
      <c r="D1005" s="376" t="s">
        <v>700</v>
      </c>
      <c r="E1005" s="376" t="s">
        <v>224</v>
      </c>
      <c r="F1005" s="382" t="s">
        <v>225</v>
      </c>
      <c r="G1005" s="376" t="s">
        <v>1945</v>
      </c>
      <c r="H1005" s="378"/>
      <c r="I1005" s="378"/>
      <c r="J1005" s="376" t="s">
        <v>215</v>
      </c>
      <c r="K1005" s="376" t="s">
        <v>701</v>
      </c>
      <c r="L1005" s="376" t="s">
        <v>170</v>
      </c>
      <c r="M1005" s="376" t="s">
        <v>171</v>
      </c>
      <c r="N1005" s="376" t="s">
        <v>172</v>
      </c>
      <c r="O1005" s="379">
        <v>1</v>
      </c>
      <c r="P1005" s="385">
        <v>1</v>
      </c>
      <c r="Q1005" s="385">
        <v>1</v>
      </c>
      <c r="R1005" s="380">
        <v>80</v>
      </c>
      <c r="S1005" s="385">
        <v>1</v>
      </c>
      <c r="T1005" s="380">
        <v>53216.02</v>
      </c>
      <c r="U1005" s="380">
        <v>0</v>
      </c>
      <c r="V1005" s="380">
        <v>22836.75</v>
      </c>
      <c r="W1005" s="380">
        <v>55681.599999999999</v>
      </c>
      <c r="X1005" s="380">
        <v>23691.11</v>
      </c>
      <c r="Y1005" s="380">
        <v>55681.599999999999</v>
      </c>
      <c r="Z1005" s="380">
        <v>23457.25</v>
      </c>
      <c r="AA1005" s="376" t="s">
        <v>2188</v>
      </c>
      <c r="AB1005" s="376" t="s">
        <v>2189</v>
      </c>
      <c r="AC1005" s="376" t="s">
        <v>1546</v>
      </c>
      <c r="AD1005" s="376" t="s">
        <v>170</v>
      </c>
      <c r="AE1005" s="376" t="s">
        <v>701</v>
      </c>
      <c r="AF1005" s="376" t="s">
        <v>177</v>
      </c>
      <c r="AG1005" s="376" t="s">
        <v>178</v>
      </c>
      <c r="AH1005" s="381">
        <v>26.77</v>
      </c>
      <c r="AI1005" s="381">
        <v>44781.7</v>
      </c>
      <c r="AJ1005" s="376" t="s">
        <v>179</v>
      </c>
      <c r="AK1005" s="376" t="s">
        <v>180</v>
      </c>
      <c r="AL1005" s="376" t="s">
        <v>181</v>
      </c>
      <c r="AM1005" s="376" t="s">
        <v>182</v>
      </c>
      <c r="AN1005" s="376" t="s">
        <v>68</v>
      </c>
      <c r="AO1005" s="379">
        <v>80</v>
      </c>
      <c r="AP1005" s="385">
        <v>1</v>
      </c>
      <c r="AQ1005" s="385">
        <v>1</v>
      </c>
      <c r="AR1005" s="383" t="s">
        <v>183</v>
      </c>
      <c r="AS1005" s="387">
        <f t="shared" si="687"/>
        <v>1</v>
      </c>
      <c r="AT1005">
        <f t="shared" si="688"/>
        <v>1</v>
      </c>
      <c r="AU1005" s="387">
        <f>IF(AT1005=0,"",IF(AND(AT1005=1,M1005="F",SUMIF(C2:C1334,C1005,AS2:AS1334)&lt;=1),SUMIF(C2:C1334,C1005,AS2:AS1334),IF(AND(AT1005=1,M1005="F",SUMIF(C2:C1334,C1005,AS2:AS1334)&gt;1),1,"")))</f>
        <v>1</v>
      </c>
      <c r="AV1005" s="387" t="str">
        <f>IF(AT1005=0,"",IF(AND(AT1005=3,M1005="F",SUMIF(C2:C1334,C1005,AS2:AS1334)&lt;=1),SUMIF(C2:C1334,C1005,AS2:AS1334),IF(AND(AT1005=3,M1005="F",SUMIF(C2:C1334,C1005,AS2:AS1334)&gt;1),1,"")))</f>
        <v/>
      </c>
      <c r="AW1005" s="387">
        <f>SUMIF(C2:C1334,C1005,O2:O1334)</f>
        <v>1</v>
      </c>
      <c r="AX1005" s="387">
        <f>IF(AND(M1005="F",AS1005&lt;&gt;0),SUMIF(C2:C1334,C1005,W2:W1334),0)</f>
        <v>55681.599999999999</v>
      </c>
      <c r="AY1005" s="387">
        <f t="shared" si="689"/>
        <v>55681.599999999999</v>
      </c>
      <c r="AZ1005" s="387" t="str">
        <f t="shared" si="690"/>
        <v/>
      </c>
      <c r="BA1005" s="387">
        <f t="shared" si="691"/>
        <v>0</v>
      </c>
      <c r="BB1005" s="387">
        <f t="shared" si="660"/>
        <v>11650</v>
      </c>
      <c r="BC1005" s="387">
        <f t="shared" si="661"/>
        <v>0</v>
      </c>
      <c r="BD1005" s="387">
        <f t="shared" si="662"/>
        <v>3452.2592</v>
      </c>
      <c r="BE1005" s="387">
        <f t="shared" si="663"/>
        <v>807.38319999999999</v>
      </c>
      <c r="BF1005" s="387">
        <f t="shared" si="664"/>
        <v>6648.3830400000006</v>
      </c>
      <c r="BG1005" s="387">
        <f t="shared" si="665"/>
        <v>401.464336</v>
      </c>
      <c r="BH1005" s="387">
        <f t="shared" si="666"/>
        <v>272.83983999999998</v>
      </c>
      <c r="BI1005" s="387">
        <f t="shared" si="667"/>
        <v>308.19765599999999</v>
      </c>
      <c r="BJ1005" s="387">
        <f t="shared" si="668"/>
        <v>150.34031999999999</v>
      </c>
      <c r="BK1005" s="387">
        <f t="shared" si="669"/>
        <v>0</v>
      </c>
      <c r="BL1005" s="387">
        <f t="shared" si="692"/>
        <v>12040.867592000002</v>
      </c>
      <c r="BM1005" s="387">
        <f t="shared" si="693"/>
        <v>0</v>
      </c>
      <c r="BN1005" s="387">
        <f t="shared" si="670"/>
        <v>11650</v>
      </c>
      <c r="BO1005" s="387">
        <f t="shared" si="671"/>
        <v>0</v>
      </c>
      <c r="BP1005" s="387">
        <f t="shared" si="672"/>
        <v>3452.2592</v>
      </c>
      <c r="BQ1005" s="387">
        <f t="shared" si="673"/>
        <v>807.38319999999999</v>
      </c>
      <c r="BR1005" s="387">
        <f t="shared" si="674"/>
        <v>6648.3830400000006</v>
      </c>
      <c r="BS1005" s="387">
        <f t="shared" si="675"/>
        <v>401.464336</v>
      </c>
      <c r="BT1005" s="387">
        <f t="shared" si="676"/>
        <v>0</v>
      </c>
      <c r="BU1005" s="387">
        <f t="shared" si="677"/>
        <v>308.19765599999999</v>
      </c>
      <c r="BV1005" s="387">
        <f t="shared" si="678"/>
        <v>189.31743999999998</v>
      </c>
      <c r="BW1005" s="387">
        <f t="shared" si="679"/>
        <v>0</v>
      </c>
      <c r="BX1005" s="387">
        <f t="shared" si="694"/>
        <v>11807.004872000003</v>
      </c>
      <c r="BY1005" s="387">
        <f t="shared" si="695"/>
        <v>0</v>
      </c>
      <c r="BZ1005" s="387">
        <f t="shared" si="696"/>
        <v>0</v>
      </c>
      <c r="CA1005" s="387">
        <f t="shared" si="697"/>
        <v>0</v>
      </c>
      <c r="CB1005" s="387">
        <f t="shared" si="698"/>
        <v>0</v>
      </c>
      <c r="CC1005" s="387">
        <f t="shared" si="680"/>
        <v>0</v>
      </c>
      <c r="CD1005" s="387">
        <f t="shared" si="681"/>
        <v>0</v>
      </c>
      <c r="CE1005" s="387">
        <f t="shared" si="682"/>
        <v>0</v>
      </c>
      <c r="CF1005" s="387">
        <f t="shared" si="683"/>
        <v>-272.83983999999998</v>
      </c>
      <c r="CG1005" s="387">
        <f t="shared" si="684"/>
        <v>0</v>
      </c>
      <c r="CH1005" s="387">
        <f t="shared" si="685"/>
        <v>38.977119999999978</v>
      </c>
      <c r="CI1005" s="387">
        <f t="shared" si="686"/>
        <v>0</v>
      </c>
      <c r="CJ1005" s="387">
        <f t="shared" si="699"/>
        <v>-233.86272</v>
      </c>
      <c r="CK1005" s="387" t="str">
        <f t="shared" si="700"/>
        <v/>
      </c>
      <c r="CL1005" s="387" t="str">
        <f t="shared" si="701"/>
        <v/>
      </c>
      <c r="CM1005" s="387" t="str">
        <f t="shared" si="702"/>
        <v/>
      </c>
      <c r="CN1005" s="387" t="str">
        <f t="shared" si="703"/>
        <v>0348-31</v>
      </c>
    </row>
    <row r="1006" spans="1:92" ht="15.75" thickBot="1" x14ac:dyDescent="0.3">
      <c r="A1006" s="376" t="s">
        <v>161</v>
      </c>
      <c r="B1006" s="376" t="s">
        <v>162</v>
      </c>
      <c r="C1006" s="376" t="s">
        <v>696</v>
      </c>
      <c r="D1006" s="376" t="s">
        <v>681</v>
      </c>
      <c r="E1006" s="376" t="s">
        <v>224</v>
      </c>
      <c r="F1006" s="382" t="s">
        <v>225</v>
      </c>
      <c r="G1006" s="376" t="s">
        <v>1945</v>
      </c>
      <c r="H1006" s="378"/>
      <c r="I1006" s="378"/>
      <c r="J1006" s="376" t="s">
        <v>239</v>
      </c>
      <c r="K1006" s="376" t="s">
        <v>682</v>
      </c>
      <c r="L1006" s="376" t="s">
        <v>296</v>
      </c>
      <c r="M1006" s="376" t="s">
        <v>171</v>
      </c>
      <c r="N1006" s="376" t="s">
        <v>172</v>
      </c>
      <c r="O1006" s="379">
        <v>1</v>
      </c>
      <c r="P1006" s="385">
        <v>0.1</v>
      </c>
      <c r="Q1006" s="385">
        <v>0.1</v>
      </c>
      <c r="R1006" s="380">
        <v>80</v>
      </c>
      <c r="S1006" s="385">
        <v>0.1</v>
      </c>
      <c r="T1006" s="380">
        <v>3295.81</v>
      </c>
      <c r="U1006" s="380">
        <v>0</v>
      </c>
      <c r="V1006" s="380">
        <v>1592.68</v>
      </c>
      <c r="W1006" s="380">
        <v>4480.32</v>
      </c>
      <c r="X1006" s="380">
        <v>2133.86</v>
      </c>
      <c r="Y1006" s="380">
        <v>4480.32</v>
      </c>
      <c r="Z1006" s="380">
        <v>2115.04</v>
      </c>
      <c r="AA1006" s="376" t="s">
        <v>697</v>
      </c>
      <c r="AB1006" s="376" t="s">
        <v>698</v>
      </c>
      <c r="AC1006" s="376" t="s">
        <v>542</v>
      </c>
      <c r="AD1006" s="376" t="s">
        <v>180</v>
      </c>
      <c r="AE1006" s="376" t="s">
        <v>682</v>
      </c>
      <c r="AF1006" s="376" t="s">
        <v>301</v>
      </c>
      <c r="AG1006" s="376" t="s">
        <v>178</v>
      </c>
      <c r="AH1006" s="381">
        <v>21.54</v>
      </c>
      <c r="AI1006" s="381">
        <v>43319.3</v>
      </c>
      <c r="AJ1006" s="376" t="s">
        <v>179</v>
      </c>
      <c r="AK1006" s="376" t="s">
        <v>180</v>
      </c>
      <c r="AL1006" s="376" t="s">
        <v>181</v>
      </c>
      <c r="AM1006" s="376" t="s">
        <v>182</v>
      </c>
      <c r="AN1006" s="376" t="s">
        <v>68</v>
      </c>
      <c r="AO1006" s="379">
        <v>80</v>
      </c>
      <c r="AP1006" s="385">
        <v>1</v>
      </c>
      <c r="AQ1006" s="385">
        <v>0.1</v>
      </c>
      <c r="AR1006" s="383" t="s">
        <v>183</v>
      </c>
      <c r="AS1006" s="387">
        <f t="shared" si="687"/>
        <v>0.1</v>
      </c>
      <c r="AT1006">
        <f t="shared" si="688"/>
        <v>1</v>
      </c>
      <c r="AU1006" s="387">
        <f>IF(AT1006=0,"",IF(AND(AT1006=1,M1006="F",SUMIF(C2:C1334,C1006,AS2:AS1334)&lt;=1),SUMIF(C2:C1334,C1006,AS2:AS1334),IF(AND(AT1006=1,M1006="F",SUMIF(C2:C1334,C1006,AS2:AS1334)&gt;1),1,"")))</f>
        <v>1</v>
      </c>
      <c r="AV1006" s="387" t="str">
        <f>IF(AT1006=0,"",IF(AND(AT1006=3,M1006="F",SUMIF(C2:C1334,C1006,AS2:AS1334)&lt;=1),SUMIF(C2:C1334,C1006,AS2:AS1334),IF(AND(AT1006=3,M1006="F",SUMIF(C2:C1334,C1006,AS2:AS1334)&gt;1),1,"")))</f>
        <v/>
      </c>
      <c r="AW1006" s="387">
        <f>SUMIF(C2:C1334,C1006,O2:O1334)</f>
        <v>3</v>
      </c>
      <c r="AX1006" s="387">
        <f>IF(AND(M1006="F",AS1006&lt;&gt;0),SUMIF(C2:C1334,C1006,W2:W1334),0)</f>
        <v>44803.199999999997</v>
      </c>
      <c r="AY1006" s="387">
        <f t="shared" si="689"/>
        <v>4480.32</v>
      </c>
      <c r="AZ1006" s="387" t="str">
        <f t="shared" si="690"/>
        <v/>
      </c>
      <c r="BA1006" s="387">
        <f t="shared" si="691"/>
        <v>0</v>
      </c>
      <c r="BB1006" s="387">
        <f t="shared" si="660"/>
        <v>1165</v>
      </c>
      <c r="BC1006" s="387">
        <f t="shared" si="661"/>
        <v>0</v>
      </c>
      <c r="BD1006" s="387">
        <f t="shared" si="662"/>
        <v>277.77983999999998</v>
      </c>
      <c r="BE1006" s="387">
        <f t="shared" si="663"/>
        <v>64.964640000000003</v>
      </c>
      <c r="BF1006" s="387">
        <f t="shared" si="664"/>
        <v>534.95020799999998</v>
      </c>
      <c r="BG1006" s="387">
        <f t="shared" si="665"/>
        <v>32.303107199999999</v>
      </c>
      <c r="BH1006" s="387">
        <f t="shared" si="666"/>
        <v>21.953567999999997</v>
      </c>
      <c r="BI1006" s="387">
        <f t="shared" si="667"/>
        <v>24.798571199999998</v>
      </c>
      <c r="BJ1006" s="387">
        <f t="shared" si="668"/>
        <v>12.096864</v>
      </c>
      <c r="BK1006" s="387">
        <f t="shared" si="669"/>
        <v>0</v>
      </c>
      <c r="BL1006" s="387">
        <f t="shared" si="692"/>
        <v>968.8467983999999</v>
      </c>
      <c r="BM1006" s="387">
        <f t="shared" si="693"/>
        <v>0</v>
      </c>
      <c r="BN1006" s="387">
        <f t="shared" si="670"/>
        <v>1165</v>
      </c>
      <c r="BO1006" s="387">
        <f t="shared" si="671"/>
        <v>0</v>
      </c>
      <c r="BP1006" s="387">
        <f t="shared" si="672"/>
        <v>277.77983999999998</v>
      </c>
      <c r="BQ1006" s="387">
        <f t="shared" si="673"/>
        <v>64.964640000000003</v>
      </c>
      <c r="BR1006" s="387">
        <f t="shared" si="674"/>
        <v>534.95020799999998</v>
      </c>
      <c r="BS1006" s="387">
        <f t="shared" si="675"/>
        <v>32.303107199999999</v>
      </c>
      <c r="BT1006" s="387">
        <f t="shared" si="676"/>
        <v>0</v>
      </c>
      <c r="BU1006" s="387">
        <f t="shared" si="677"/>
        <v>24.798571199999998</v>
      </c>
      <c r="BV1006" s="387">
        <f t="shared" si="678"/>
        <v>15.233087999999999</v>
      </c>
      <c r="BW1006" s="387">
        <f t="shared" si="679"/>
        <v>0</v>
      </c>
      <c r="BX1006" s="387">
        <f t="shared" si="694"/>
        <v>950.02945439999985</v>
      </c>
      <c r="BY1006" s="387">
        <f t="shared" si="695"/>
        <v>0</v>
      </c>
      <c r="BZ1006" s="387">
        <f t="shared" si="696"/>
        <v>0</v>
      </c>
      <c r="CA1006" s="387">
        <f t="shared" si="697"/>
        <v>0</v>
      </c>
      <c r="CB1006" s="387">
        <f t="shared" si="698"/>
        <v>0</v>
      </c>
      <c r="CC1006" s="387">
        <f t="shared" si="680"/>
        <v>0</v>
      </c>
      <c r="CD1006" s="387">
        <f t="shared" si="681"/>
        <v>0</v>
      </c>
      <c r="CE1006" s="387">
        <f t="shared" si="682"/>
        <v>0</v>
      </c>
      <c r="CF1006" s="387">
        <f t="shared" si="683"/>
        <v>-21.953567999999997</v>
      </c>
      <c r="CG1006" s="387">
        <f t="shared" si="684"/>
        <v>0</v>
      </c>
      <c r="CH1006" s="387">
        <f t="shared" si="685"/>
        <v>3.1362239999999981</v>
      </c>
      <c r="CI1006" s="387">
        <f t="shared" si="686"/>
        <v>0</v>
      </c>
      <c r="CJ1006" s="387">
        <f t="shared" si="699"/>
        <v>-18.817343999999999</v>
      </c>
      <c r="CK1006" s="387" t="str">
        <f t="shared" si="700"/>
        <v/>
      </c>
      <c r="CL1006" s="387" t="str">
        <f t="shared" si="701"/>
        <v/>
      </c>
      <c r="CM1006" s="387" t="str">
        <f t="shared" si="702"/>
        <v/>
      </c>
      <c r="CN1006" s="387" t="str">
        <f t="shared" si="703"/>
        <v>0348-31</v>
      </c>
    </row>
    <row r="1007" spans="1:92" ht="15.75" thickBot="1" x14ac:dyDescent="0.3">
      <c r="A1007" s="376" t="s">
        <v>161</v>
      </c>
      <c r="B1007" s="376" t="s">
        <v>162</v>
      </c>
      <c r="C1007" s="376" t="s">
        <v>2190</v>
      </c>
      <c r="D1007" s="376" t="s">
        <v>270</v>
      </c>
      <c r="E1007" s="376" t="s">
        <v>224</v>
      </c>
      <c r="F1007" s="382" t="s">
        <v>225</v>
      </c>
      <c r="G1007" s="376" t="s">
        <v>1945</v>
      </c>
      <c r="H1007" s="378"/>
      <c r="I1007" s="378"/>
      <c r="J1007" s="376" t="s">
        <v>215</v>
      </c>
      <c r="K1007" s="376" t="s">
        <v>271</v>
      </c>
      <c r="L1007" s="376" t="s">
        <v>217</v>
      </c>
      <c r="M1007" s="376" t="s">
        <v>171</v>
      </c>
      <c r="N1007" s="376" t="s">
        <v>172</v>
      </c>
      <c r="O1007" s="379">
        <v>1</v>
      </c>
      <c r="P1007" s="385">
        <v>1</v>
      </c>
      <c r="Q1007" s="385">
        <v>1</v>
      </c>
      <c r="R1007" s="380">
        <v>80</v>
      </c>
      <c r="S1007" s="385">
        <v>1</v>
      </c>
      <c r="T1007" s="380">
        <v>29081.65</v>
      </c>
      <c r="U1007" s="380">
        <v>169.08</v>
      </c>
      <c r="V1007" s="380">
        <v>16696.53</v>
      </c>
      <c r="W1007" s="380">
        <v>32614.400000000001</v>
      </c>
      <c r="X1007" s="380">
        <v>18702.82</v>
      </c>
      <c r="Y1007" s="380">
        <v>32614.400000000001</v>
      </c>
      <c r="Z1007" s="380">
        <v>18565.84</v>
      </c>
      <c r="AA1007" s="376" t="s">
        <v>2191</v>
      </c>
      <c r="AB1007" s="376" t="s">
        <v>2192</v>
      </c>
      <c r="AC1007" s="376" t="s">
        <v>939</v>
      </c>
      <c r="AD1007" s="376" t="s">
        <v>2193</v>
      </c>
      <c r="AE1007" s="376" t="s">
        <v>271</v>
      </c>
      <c r="AF1007" s="376" t="s">
        <v>221</v>
      </c>
      <c r="AG1007" s="376" t="s">
        <v>178</v>
      </c>
      <c r="AH1007" s="381">
        <v>15.68</v>
      </c>
      <c r="AI1007" s="381">
        <v>1420.7</v>
      </c>
      <c r="AJ1007" s="376" t="s">
        <v>179</v>
      </c>
      <c r="AK1007" s="376" t="s">
        <v>180</v>
      </c>
      <c r="AL1007" s="376" t="s">
        <v>181</v>
      </c>
      <c r="AM1007" s="376" t="s">
        <v>182</v>
      </c>
      <c r="AN1007" s="376" t="s">
        <v>68</v>
      </c>
      <c r="AO1007" s="379">
        <v>80</v>
      </c>
      <c r="AP1007" s="385">
        <v>1</v>
      </c>
      <c r="AQ1007" s="385">
        <v>1</v>
      </c>
      <c r="AR1007" s="383" t="s">
        <v>183</v>
      </c>
      <c r="AS1007" s="387">
        <f t="shared" si="687"/>
        <v>1</v>
      </c>
      <c r="AT1007">
        <f t="shared" si="688"/>
        <v>1</v>
      </c>
      <c r="AU1007" s="387">
        <f>IF(AT1007=0,"",IF(AND(AT1007=1,M1007="F",SUMIF(C2:C1334,C1007,AS2:AS1334)&lt;=1),SUMIF(C2:C1334,C1007,AS2:AS1334),IF(AND(AT1007=1,M1007="F",SUMIF(C2:C1334,C1007,AS2:AS1334)&gt;1),1,"")))</f>
        <v>1</v>
      </c>
      <c r="AV1007" s="387" t="str">
        <f>IF(AT1007=0,"",IF(AND(AT1007=3,M1007="F",SUMIF(C2:C1334,C1007,AS2:AS1334)&lt;=1),SUMIF(C2:C1334,C1007,AS2:AS1334),IF(AND(AT1007=3,M1007="F",SUMIF(C2:C1334,C1007,AS2:AS1334)&gt;1),1,"")))</f>
        <v/>
      </c>
      <c r="AW1007" s="387">
        <f>SUMIF(C2:C1334,C1007,O2:O1334)</f>
        <v>1</v>
      </c>
      <c r="AX1007" s="387">
        <f>IF(AND(M1007="F",AS1007&lt;&gt;0),SUMIF(C2:C1334,C1007,W2:W1334),0)</f>
        <v>32614.400000000001</v>
      </c>
      <c r="AY1007" s="387">
        <f t="shared" si="689"/>
        <v>32614.400000000001</v>
      </c>
      <c r="AZ1007" s="387" t="str">
        <f t="shared" si="690"/>
        <v/>
      </c>
      <c r="BA1007" s="387">
        <f t="shared" si="691"/>
        <v>0</v>
      </c>
      <c r="BB1007" s="387">
        <f t="shared" si="660"/>
        <v>11650</v>
      </c>
      <c r="BC1007" s="387">
        <f t="shared" si="661"/>
        <v>0</v>
      </c>
      <c r="BD1007" s="387">
        <f t="shared" si="662"/>
        <v>2022.0928000000001</v>
      </c>
      <c r="BE1007" s="387">
        <f t="shared" si="663"/>
        <v>472.90880000000004</v>
      </c>
      <c r="BF1007" s="387">
        <f t="shared" si="664"/>
        <v>3894.1593600000006</v>
      </c>
      <c r="BG1007" s="387">
        <f t="shared" si="665"/>
        <v>235.14982400000002</v>
      </c>
      <c r="BH1007" s="387">
        <f t="shared" si="666"/>
        <v>159.81056000000001</v>
      </c>
      <c r="BI1007" s="387">
        <f t="shared" si="667"/>
        <v>180.52070399999999</v>
      </c>
      <c r="BJ1007" s="387">
        <f t="shared" si="668"/>
        <v>88.058880000000002</v>
      </c>
      <c r="BK1007" s="387">
        <f t="shared" si="669"/>
        <v>0</v>
      </c>
      <c r="BL1007" s="387">
        <f t="shared" si="692"/>
        <v>7052.7009280000002</v>
      </c>
      <c r="BM1007" s="387">
        <f t="shared" si="693"/>
        <v>0</v>
      </c>
      <c r="BN1007" s="387">
        <f t="shared" si="670"/>
        <v>11650</v>
      </c>
      <c r="BO1007" s="387">
        <f t="shared" si="671"/>
        <v>0</v>
      </c>
      <c r="BP1007" s="387">
        <f t="shared" si="672"/>
        <v>2022.0928000000001</v>
      </c>
      <c r="BQ1007" s="387">
        <f t="shared" si="673"/>
        <v>472.90880000000004</v>
      </c>
      <c r="BR1007" s="387">
        <f t="shared" si="674"/>
        <v>3894.1593600000006</v>
      </c>
      <c r="BS1007" s="387">
        <f t="shared" si="675"/>
        <v>235.14982400000002</v>
      </c>
      <c r="BT1007" s="387">
        <f t="shared" si="676"/>
        <v>0</v>
      </c>
      <c r="BU1007" s="387">
        <f t="shared" si="677"/>
        <v>180.52070399999999</v>
      </c>
      <c r="BV1007" s="387">
        <f t="shared" si="678"/>
        <v>110.88896</v>
      </c>
      <c r="BW1007" s="387">
        <f t="shared" si="679"/>
        <v>0</v>
      </c>
      <c r="BX1007" s="387">
        <f t="shared" si="694"/>
        <v>6915.7204480000009</v>
      </c>
      <c r="BY1007" s="387">
        <f t="shared" si="695"/>
        <v>0</v>
      </c>
      <c r="BZ1007" s="387">
        <f t="shared" si="696"/>
        <v>0</v>
      </c>
      <c r="CA1007" s="387">
        <f t="shared" si="697"/>
        <v>0</v>
      </c>
      <c r="CB1007" s="387">
        <f t="shared" si="698"/>
        <v>0</v>
      </c>
      <c r="CC1007" s="387">
        <f t="shared" si="680"/>
        <v>0</v>
      </c>
      <c r="CD1007" s="387">
        <f t="shared" si="681"/>
        <v>0</v>
      </c>
      <c r="CE1007" s="387">
        <f t="shared" si="682"/>
        <v>0</v>
      </c>
      <c r="CF1007" s="387">
        <f t="shared" si="683"/>
        <v>-159.81056000000001</v>
      </c>
      <c r="CG1007" s="387">
        <f t="shared" si="684"/>
        <v>0</v>
      </c>
      <c r="CH1007" s="387">
        <f t="shared" si="685"/>
        <v>22.830079999999992</v>
      </c>
      <c r="CI1007" s="387">
        <f t="shared" si="686"/>
        <v>0</v>
      </c>
      <c r="CJ1007" s="387">
        <f t="shared" si="699"/>
        <v>-136.98048000000003</v>
      </c>
      <c r="CK1007" s="387" t="str">
        <f t="shared" si="700"/>
        <v/>
      </c>
      <c r="CL1007" s="387" t="str">
        <f t="shared" si="701"/>
        <v/>
      </c>
      <c r="CM1007" s="387" t="str">
        <f t="shared" si="702"/>
        <v/>
      </c>
      <c r="CN1007" s="387" t="str">
        <f t="shared" si="703"/>
        <v>0348-31</v>
      </c>
    </row>
    <row r="1008" spans="1:92" ht="15.75" thickBot="1" x14ac:dyDescent="0.3">
      <c r="A1008" s="376" t="s">
        <v>161</v>
      </c>
      <c r="B1008" s="376" t="s">
        <v>162</v>
      </c>
      <c r="C1008" s="376" t="s">
        <v>1167</v>
      </c>
      <c r="D1008" s="376" t="s">
        <v>1168</v>
      </c>
      <c r="E1008" s="376" t="s">
        <v>224</v>
      </c>
      <c r="F1008" s="382" t="s">
        <v>225</v>
      </c>
      <c r="G1008" s="376" t="s">
        <v>1945</v>
      </c>
      <c r="H1008" s="378"/>
      <c r="I1008" s="378"/>
      <c r="J1008" s="376" t="s">
        <v>215</v>
      </c>
      <c r="K1008" s="376" t="s">
        <v>1169</v>
      </c>
      <c r="L1008" s="376" t="s">
        <v>210</v>
      </c>
      <c r="M1008" s="376" t="s">
        <v>171</v>
      </c>
      <c r="N1008" s="376" t="s">
        <v>172</v>
      </c>
      <c r="O1008" s="379">
        <v>1</v>
      </c>
      <c r="P1008" s="385">
        <v>1</v>
      </c>
      <c r="Q1008" s="385">
        <v>1</v>
      </c>
      <c r="R1008" s="380">
        <v>80</v>
      </c>
      <c r="S1008" s="385">
        <v>1</v>
      </c>
      <c r="T1008" s="380">
        <v>0</v>
      </c>
      <c r="U1008" s="380">
        <v>0</v>
      </c>
      <c r="V1008" s="380">
        <v>0</v>
      </c>
      <c r="W1008" s="380">
        <v>57366.400000000001</v>
      </c>
      <c r="X1008" s="380">
        <v>24055.439999999999</v>
      </c>
      <c r="Y1008" s="380">
        <v>57366.400000000001</v>
      </c>
      <c r="Z1008" s="380">
        <v>23814.51</v>
      </c>
      <c r="AA1008" s="376" t="s">
        <v>1170</v>
      </c>
      <c r="AB1008" s="376" t="s">
        <v>1171</v>
      </c>
      <c r="AC1008" s="376" t="s">
        <v>765</v>
      </c>
      <c r="AD1008" s="376" t="s">
        <v>300</v>
      </c>
      <c r="AE1008" s="376" t="s">
        <v>1169</v>
      </c>
      <c r="AF1008" s="376" t="s">
        <v>245</v>
      </c>
      <c r="AG1008" s="376" t="s">
        <v>178</v>
      </c>
      <c r="AH1008" s="381">
        <v>27.58</v>
      </c>
      <c r="AI1008" s="381">
        <v>24917.4</v>
      </c>
      <c r="AJ1008" s="376" t="s">
        <v>179</v>
      </c>
      <c r="AK1008" s="376" t="s">
        <v>180</v>
      </c>
      <c r="AL1008" s="376" t="s">
        <v>181</v>
      </c>
      <c r="AM1008" s="376" t="s">
        <v>182</v>
      </c>
      <c r="AN1008" s="376" t="s">
        <v>68</v>
      </c>
      <c r="AO1008" s="379">
        <v>80</v>
      </c>
      <c r="AP1008" s="385">
        <v>1</v>
      </c>
      <c r="AQ1008" s="385">
        <v>1</v>
      </c>
      <c r="AR1008" s="383" t="s">
        <v>183</v>
      </c>
      <c r="AS1008" s="387">
        <f t="shared" si="687"/>
        <v>1</v>
      </c>
      <c r="AT1008">
        <f t="shared" si="688"/>
        <v>1</v>
      </c>
      <c r="AU1008" s="387">
        <f>IF(AT1008=0,"",IF(AND(AT1008=1,M1008="F",SUMIF(C2:C1334,C1008,AS2:AS1334)&lt;=1),SUMIF(C2:C1334,C1008,AS2:AS1334),IF(AND(AT1008=1,M1008="F",SUMIF(C2:C1334,C1008,AS2:AS1334)&gt;1),1,"")))</f>
        <v>1</v>
      </c>
      <c r="AV1008" s="387" t="str">
        <f>IF(AT1008=0,"",IF(AND(AT1008=3,M1008="F",SUMIF(C2:C1334,C1008,AS2:AS1334)&lt;=1),SUMIF(C2:C1334,C1008,AS2:AS1334),IF(AND(AT1008=3,M1008="F",SUMIF(C2:C1334,C1008,AS2:AS1334)&gt;1),1,"")))</f>
        <v/>
      </c>
      <c r="AW1008" s="387">
        <f>SUMIF(C2:C1334,C1008,O2:O1334)</f>
        <v>2</v>
      </c>
      <c r="AX1008" s="387">
        <f>IF(AND(M1008="F",AS1008&lt;&gt;0),SUMIF(C2:C1334,C1008,W2:W1334),0)</f>
        <v>57366.400000000001</v>
      </c>
      <c r="AY1008" s="387">
        <f t="shared" si="689"/>
        <v>57366.400000000001</v>
      </c>
      <c r="AZ1008" s="387" t="str">
        <f t="shared" si="690"/>
        <v/>
      </c>
      <c r="BA1008" s="387">
        <f t="shared" si="691"/>
        <v>0</v>
      </c>
      <c r="BB1008" s="387">
        <f t="shared" si="660"/>
        <v>11650</v>
      </c>
      <c r="BC1008" s="387">
        <f t="shared" si="661"/>
        <v>0</v>
      </c>
      <c r="BD1008" s="387">
        <f t="shared" si="662"/>
        <v>3556.7168000000001</v>
      </c>
      <c r="BE1008" s="387">
        <f t="shared" si="663"/>
        <v>831.81280000000004</v>
      </c>
      <c r="BF1008" s="387">
        <f t="shared" si="664"/>
        <v>6849.5481600000003</v>
      </c>
      <c r="BG1008" s="387">
        <f t="shared" si="665"/>
        <v>413.61174400000004</v>
      </c>
      <c r="BH1008" s="387">
        <f t="shared" si="666"/>
        <v>281.09535999999997</v>
      </c>
      <c r="BI1008" s="387">
        <f t="shared" si="667"/>
        <v>317.52302400000002</v>
      </c>
      <c r="BJ1008" s="387">
        <f t="shared" si="668"/>
        <v>154.88928000000001</v>
      </c>
      <c r="BK1008" s="387">
        <f t="shared" si="669"/>
        <v>0</v>
      </c>
      <c r="BL1008" s="387">
        <f t="shared" si="692"/>
        <v>12405.197167999999</v>
      </c>
      <c r="BM1008" s="387">
        <f t="shared" si="693"/>
        <v>0</v>
      </c>
      <c r="BN1008" s="387">
        <f t="shared" si="670"/>
        <v>11650</v>
      </c>
      <c r="BO1008" s="387">
        <f t="shared" si="671"/>
        <v>0</v>
      </c>
      <c r="BP1008" s="387">
        <f t="shared" si="672"/>
        <v>3556.7168000000001</v>
      </c>
      <c r="BQ1008" s="387">
        <f t="shared" si="673"/>
        <v>831.81280000000004</v>
      </c>
      <c r="BR1008" s="387">
        <f t="shared" si="674"/>
        <v>6849.5481600000003</v>
      </c>
      <c r="BS1008" s="387">
        <f t="shared" si="675"/>
        <v>413.61174400000004</v>
      </c>
      <c r="BT1008" s="387">
        <f t="shared" si="676"/>
        <v>0</v>
      </c>
      <c r="BU1008" s="387">
        <f t="shared" si="677"/>
        <v>317.52302400000002</v>
      </c>
      <c r="BV1008" s="387">
        <f t="shared" si="678"/>
        <v>195.04576</v>
      </c>
      <c r="BW1008" s="387">
        <f t="shared" si="679"/>
        <v>0</v>
      </c>
      <c r="BX1008" s="387">
        <f t="shared" si="694"/>
        <v>12164.258288000001</v>
      </c>
      <c r="BY1008" s="387">
        <f t="shared" si="695"/>
        <v>0</v>
      </c>
      <c r="BZ1008" s="387">
        <f t="shared" si="696"/>
        <v>0</v>
      </c>
      <c r="CA1008" s="387">
        <f t="shared" si="697"/>
        <v>0</v>
      </c>
      <c r="CB1008" s="387">
        <f t="shared" si="698"/>
        <v>0</v>
      </c>
      <c r="CC1008" s="387">
        <f t="shared" si="680"/>
        <v>0</v>
      </c>
      <c r="CD1008" s="387">
        <f t="shared" si="681"/>
        <v>0</v>
      </c>
      <c r="CE1008" s="387">
        <f t="shared" si="682"/>
        <v>0</v>
      </c>
      <c r="CF1008" s="387">
        <f t="shared" si="683"/>
        <v>-281.09535999999997</v>
      </c>
      <c r="CG1008" s="387">
        <f t="shared" si="684"/>
        <v>0</v>
      </c>
      <c r="CH1008" s="387">
        <f t="shared" si="685"/>
        <v>40.156479999999981</v>
      </c>
      <c r="CI1008" s="387">
        <f t="shared" si="686"/>
        <v>0</v>
      </c>
      <c r="CJ1008" s="387">
        <f t="shared" si="699"/>
        <v>-240.93887999999998</v>
      </c>
      <c r="CK1008" s="387" t="str">
        <f t="shared" si="700"/>
        <v/>
      </c>
      <c r="CL1008" s="387" t="str">
        <f t="shared" si="701"/>
        <v/>
      </c>
      <c r="CM1008" s="387" t="str">
        <f t="shared" si="702"/>
        <v/>
      </c>
      <c r="CN1008" s="387" t="str">
        <f t="shared" si="703"/>
        <v>0348-31</v>
      </c>
    </row>
    <row r="1009" spans="1:92" ht="15.75" thickBot="1" x14ac:dyDescent="0.3">
      <c r="A1009" s="376" t="s">
        <v>161</v>
      </c>
      <c r="B1009" s="376" t="s">
        <v>162</v>
      </c>
      <c r="C1009" s="376" t="s">
        <v>1346</v>
      </c>
      <c r="D1009" s="376" t="s">
        <v>862</v>
      </c>
      <c r="E1009" s="376" t="s">
        <v>224</v>
      </c>
      <c r="F1009" s="382" t="s">
        <v>225</v>
      </c>
      <c r="G1009" s="376" t="s">
        <v>1945</v>
      </c>
      <c r="H1009" s="378"/>
      <c r="I1009" s="378"/>
      <c r="J1009" s="376" t="s">
        <v>239</v>
      </c>
      <c r="K1009" s="376" t="s">
        <v>863</v>
      </c>
      <c r="L1009" s="376" t="s">
        <v>252</v>
      </c>
      <c r="M1009" s="376" t="s">
        <v>171</v>
      </c>
      <c r="N1009" s="376" t="s">
        <v>172</v>
      </c>
      <c r="O1009" s="379">
        <v>1</v>
      </c>
      <c r="P1009" s="385">
        <v>0.7</v>
      </c>
      <c r="Q1009" s="385">
        <v>0.7</v>
      </c>
      <c r="R1009" s="380">
        <v>80</v>
      </c>
      <c r="S1009" s="385">
        <v>0.7</v>
      </c>
      <c r="T1009" s="380">
        <v>32391.23</v>
      </c>
      <c r="U1009" s="380">
        <v>0</v>
      </c>
      <c r="V1009" s="380">
        <v>15700.62</v>
      </c>
      <c r="W1009" s="380">
        <v>32527.040000000001</v>
      </c>
      <c r="X1009" s="380">
        <v>15188.94</v>
      </c>
      <c r="Y1009" s="380">
        <v>32527.040000000001</v>
      </c>
      <c r="Z1009" s="380">
        <v>15052.33</v>
      </c>
      <c r="AA1009" s="376" t="s">
        <v>1347</v>
      </c>
      <c r="AB1009" s="376" t="s">
        <v>1348</v>
      </c>
      <c r="AC1009" s="376" t="s">
        <v>1242</v>
      </c>
      <c r="AD1009" s="376" t="s">
        <v>300</v>
      </c>
      <c r="AE1009" s="376" t="s">
        <v>863</v>
      </c>
      <c r="AF1009" s="376" t="s">
        <v>393</v>
      </c>
      <c r="AG1009" s="376" t="s">
        <v>178</v>
      </c>
      <c r="AH1009" s="381">
        <v>22.34</v>
      </c>
      <c r="AI1009" s="381">
        <v>25360.3</v>
      </c>
      <c r="AJ1009" s="376" t="s">
        <v>179</v>
      </c>
      <c r="AK1009" s="376" t="s">
        <v>180</v>
      </c>
      <c r="AL1009" s="376" t="s">
        <v>181</v>
      </c>
      <c r="AM1009" s="376" t="s">
        <v>182</v>
      </c>
      <c r="AN1009" s="376" t="s">
        <v>68</v>
      </c>
      <c r="AO1009" s="379">
        <v>80</v>
      </c>
      <c r="AP1009" s="385">
        <v>1</v>
      </c>
      <c r="AQ1009" s="385">
        <v>0.7</v>
      </c>
      <c r="AR1009" s="383" t="s">
        <v>183</v>
      </c>
      <c r="AS1009" s="387">
        <f t="shared" si="687"/>
        <v>0.7</v>
      </c>
      <c r="AT1009">
        <f t="shared" si="688"/>
        <v>1</v>
      </c>
      <c r="AU1009" s="387">
        <f>IF(AT1009=0,"",IF(AND(AT1009=1,M1009="F",SUMIF(C2:C1334,C1009,AS2:AS1334)&lt;=1),SUMIF(C2:C1334,C1009,AS2:AS1334),IF(AND(AT1009=1,M1009="F",SUMIF(C2:C1334,C1009,AS2:AS1334)&gt;1),1,"")))</f>
        <v>1</v>
      </c>
      <c r="AV1009" s="387" t="str">
        <f>IF(AT1009=0,"",IF(AND(AT1009=3,M1009="F",SUMIF(C2:C1334,C1009,AS2:AS1334)&lt;=1),SUMIF(C2:C1334,C1009,AS2:AS1334),IF(AND(AT1009=3,M1009="F",SUMIF(C2:C1334,C1009,AS2:AS1334)&gt;1),1,"")))</f>
        <v/>
      </c>
      <c r="AW1009" s="387">
        <f>SUMIF(C2:C1334,C1009,O2:O1334)</f>
        <v>3</v>
      </c>
      <c r="AX1009" s="387">
        <f>IF(AND(M1009="F",AS1009&lt;&gt;0),SUMIF(C2:C1334,C1009,W2:W1334),0)</f>
        <v>46467.199999999997</v>
      </c>
      <c r="AY1009" s="387">
        <f t="shared" si="689"/>
        <v>32527.040000000001</v>
      </c>
      <c r="AZ1009" s="387" t="str">
        <f t="shared" si="690"/>
        <v/>
      </c>
      <c r="BA1009" s="387">
        <f t="shared" si="691"/>
        <v>0</v>
      </c>
      <c r="BB1009" s="387">
        <f t="shared" si="660"/>
        <v>8154.9999999999991</v>
      </c>
      <c r="BC1009" s="387">
        <f t="shared" si="661"/>
        <v>0</v>
      </c>
      <c r="BD1009" s="387">
        <f t="shared" si="662"/>
        <v>2016.6764800000001</v>
      </c>
      <c r="BE1009" s="387">
        <f t="shared" si="663"/>
        <v>471.64208000000002</v>
      </c>
      <c r="BF1009" s="387">
        <f t="shared" si="664"/>
        <v>3883.7285760000004</v>
      </c>
      <c r="BG1009" s="387">
        <f t="shared" si="665"/>
        <v>234.51995840000001</v>
      </c>
      <c r="BH1009" s="387">
        <f t="shared" si="666"/>
        <v>159.382496</v>
      </c>
      <c r="BI1009" s="387">
        <f t="shared" si="667"/>
        <v>180.03716640000002</v>
      </c>
      <c r="BJ1009" s="387">
        <f t="shared" si="668"/>
        <v>87.823008000000002</v>
      </c>
      <c r="BK1009" s="387">
        <f t="shared" si="669"/>
        <v>0</v>
      </c>
      <c r="BL1009" s="387">
        <f t="shared" si="692"/>
        <v>7033.8097648000021</v>
      </c>
      <c r="BM1009" s="387">
        <f t="shared" si="693"/>
        <v>0</v>
      </c>
      <c r="BN1009" s="387">
        <f t="shared" si="670"/>
        <v>8154.9999999999991</v>
      </c>
      <c r="BO1009" s="387">
        <f t="shared" si="671"/>
        <v>0</v>
      </c>
      <c r="BP1009" s="387">
        <f t="shared" si="672"/>
        <v>2016.6764800000001</v>
      </c>
      <c r="BQ1009" s="387">
        <f t="shared" si="673"/>
        <v>471.64208000000002</v>
      </c>
      <c r="BR1009" s="387">
        <f t="shared" si="674"/>
        <v>3883.7285760000004</v>
      </c>
      <c r="BS1009" s="387">
        <f t="shared" si="675"/>
        <v>234.51995840000001</v>
      </c>
      <c r="BT1009" s="387">
        <f t="shared" si="676"/>
        <v>0</v>
      </c>
      <c r="BU1009" s="387">
        <f t="shared" si="677"/>
        <v>180.03716640000002</v>
      </c>
      <c r="BV1009" s="387">
        <f t="shared" si="678"/>
        <v>110.59193599999999</v>
      </c>
      <c r="BW1009" s="387">
        <f t="shared" si="679"/>
        <v>0</v>
      </c>
      <c r="BX1009" s="387">
        <f t="shared" si="694"/>
        <v>6897.1961968000014</v>
      </c>
      <c r="BY1009" s="387">
        <f t="shared" si="695"/>
        <v>0</v>
      </c>
      <c r="BZ1009" s="387">
        <f t="shared" si="696"/>
        <v>0</v>
      </c>
      <c r="CA1009" s="387">
        <f t="shared" si="697"/>
        <v>0</v>
      </c>
      <c r="CB1009" s="387">
        <f t="shared" si="698"/>
        <v>0</v>
      </c>
      <c r="CC1009" s="387">
        <f t="shared" si="680"/>
        <v>0</v>
      </c>
      <c r="CD1009" s="387">
        <f t="shared" si="681"/>
        <v>0</v>
      </c>
      <c r="CE1009" s="387">
        <f t="shared" si="682"/>
        <v>0</v>
      </c>
      <c r="CF1009" s="387">
        <f t="shared" si="683"/>
        <v>-159.382496</v>
      </c>
      <c r="CG1009" s="387">
        <f t="shared" si="684"/>
        <v>0</v>
      </c>
      <c r="CH1009" s="387">
        <f t="shared" si="685"/>
        <v>22.768927999999988</v>
      </c>
      <c r="CI1009" s="387">
        <f t="shared" si="686"/>
        <v>0</v>
      </c>
      <c r="CJ1009" s="387">
        <f t="shared" si="699"/>
        <v>-136.61356800000001</v>
      </c>
      <c r="CK1009" s="387" t="str">
        <f t="shared" si="700"/>
        <v/>
      </c>
      <c r="CL1009" s="387" t="str">
        <f t="shared" si="701"/>
        <v/>
      </c>
      <c r="CM1009" s="387" t="str">
        <f t="shared" si="702"/>
        <v/>
      </c>
      <c r="CN1009" s="387" t="str">
        <f t="shared" si="703"/>
        <v>0348-31</v>
      </c>
    </row>
    <row r="1010" spans="1:92" ht="15.75" thickBot="1" x14ac:dyDescent="0.3">
      <c r="A1010" s="376" t="s">
        <v>161</v>
      </c>
      <c r="B1010" s="376" t="s">
        <v>162</v>
      </c>
      <c r="C1010" s="376" t="s">
        <v>1412</v>
      </c>
      <c r="D1010" s="376" t="s">
        <v>862</v>
      </c>
      <c r="E1010" s="376" t="s">
        <v>224</v>
      </c>
      <c r="F1010" s="382" t="s">
        <v>225</v>
      </c>
      <c r="G1010" s="376" t="s">
        <v>1945</v>
      </c>
      <c r="H1010" s="378"/>
      <c r="I1010" s="378"/>
      <c r="J1010" s="376" t="s">
        <v>168</v>
      </c>
      <c r="K1010" s="376" t="s">
        <v>863</v>
      </c>
      <c r="L1010" s="376" t="s">
        <v>252</v>
      </c>
      <c r="M1010" s="376" t="s">
        <v>171</v>
      </c>
      <c r="N1010" s="376" t="s">
        <v>172</v>
      </c>
      <c r="O1010" s="379">
        <v>1</v>
      </c>
      <c r="P1010" s="385">
        <v>0.3</v>
      </c>
      <c r="Q1010" s="385">
        <v>0.3</v>
      </c>
      <c r="R1010" s="380">
        <v>80</v>
      </c>
      <c r="S1010" s="385">
        <v>0.3</v>
      </c>
      <c r="T1010" s="380">
        <v>9827.81</v>
      </c>
      <c r="U1010" s="380">
        <v>1385.34</v>
      </c>
      <c r="V1010" s="380">
        <v>5200.0600000000004</v>
      </c>
      <c r="W1010" s="380">
        <v>14620.32</v>
      </c>
      <c r="X1010" s="380">
        <v>6656.63</v>
      </c>
      <c r="Y1010" s="380">
        <v>14620.32</v>
      </c>
      <c r="Z1010" s="380">
        <v>6595.22</v>
      </c>
      <c r="AA1010" s="376" t="s">
        <v>1413</v>
      </c>
      <c r="AB1010" s="376" t="s">
        <v>1414</v>
      </c>
      <c r="AC1010" s="376" t="s">
        <v>1415</v>
      </c>
      <c r="AD1010" s="376" t="s">
        <v>686</v>
      </c>
      <c r="AE1010" s="376" t="s">
        <v>863</v>
      </c>
      <c r="AF1010" s="376" t="s">
        <v>393</v>
      </c>
      <c r="AG1010" s="376" t="s">
        <v>178</v>
      </c>
      <c r="AH1010" s="381">
        <v>23.43</v>
      </c>
      <c r="AI1010" s="381">
        <v>32862.1</v>
      </c>
      <c r="AJ1010" s="376" t="s">
        <v>179</v>
      </c>
      <c r="AK1010" s="376" t="s">
        <v>180</v>
      </c>
      <c r="AL1010" s="376" t="s">
        <v>181</v>
      </c>
      <c r="AM1010" s="376" t="s">
        <v>182</v>
      </c>
      <c r="AN1010" s="376" t="s">
        <v>68</v>
      </c>
      <c r="AO1010" s="379">
        <v>80</v>
      </c>
      <c r="AP1010" s="385">
        <v>1</v>
      </c>
      <c r="AQ1010" s="385">
        <v>0.3</v>
      </c>
      <c r="AR1010" s="383" t="s">
        <v>183</v>
      </c>
      <c r="AS1010" s="387">
        <f t="shared" si="687"/>
        <v>0.3</v>
      </c>
      <c r="AT1010">
        <f t="shared" si="688"/>
        <v>1</v>
      </c>
      <c r="AU1010" s="387">
        <f>IF(AT1010=0,"",IF(AND(AT1010=1,M1010="F",SUMIF(C2:C1334,C1010,AS2:AS1334)&lt;=1),SUMIF(C2:C1334,C1010,AS2:AS1334),IF(AND(AT1010=1,M1010="F",SUMIF(C2:C1334,C1010,AS2:AS1334)&gt;1),1,"")))</f>
        <v>1</v>
      </c>
      <c r="AV1010" s="387" t="str">
        <f>IF(AT1010=0,"",IF(AND(AT1010=3,M1010="F",SUMIF(C2:C1334,C1010,AS2:AS1334)&lt;=1),SUMIF(C2:C1334,C1010,AS2:AS1334),IF(AND(AT1010=3,M1010="F",SUMIF(C2:C1334,C1010,AS2:AS1334)&gt;1),1,"")))</f>
        <v/>
      </c>
      <c r="AW1010" s="387">
        <f>SUMIF(C2:C1334,C1010,O2:O1334)</f>
        <v>3</v>
      </c>
      <c r="AX1010" s="387">
        <f>IF(AND(M1010="F",AS1010&lt;&gt;0),SUMIF(C2:C1334,C1010,W2:W1334),0)</f>
        <v>48734.400000000001</v>
      </c>
      <c r="AY1010" s="387">
        <f t="shared" si="689"/>
        <v>14620.32</v>
      </c>
      <c r="AZ1010" s="387" t="str">
        <f t="shared" si="690"/>
        <v/>
      </c>
      <c r="BA1010" s="387">
        <f t="shared" si="691"/>
        <v>0</v>
      </c>
      <c r="BB1010" s="387">
        <f t="shared" si="660"/>
        <v>3495</v>
      </c>
      <c r="BC1010" s="387">
        <f t="shared" si="661"/>
        <v>0</v>
      </c>
      <c r="BD1010" s="387">
        <f t="shared" si="662"/>
        <v>906.45983999999999</v>
      </c>
      <c r="BE1010" s="387">
        <f t="shared" si="663"/>
        <v>211.99464</v>
      </c>
      <c r="BF1010" s="387">
        <f t="shared" si="664"/>
        <v>1745.6662080000001</v>
      </c>
      <c r="BG1010" s="387">
        <f t="shared" si="665"/>
        <v>105.41250720000001</v>
      </c>
      <c r="BH1010" s="387">
        <f t="shared" si="666"/>
        <v>71.639567999999997</v>
      </c>
      <c r="BI1010" s="387">
        <f t="shared" si="667"/>
        <v>80.923471199999994</v>
      </c>
      <c r="BJ1010" s="387">
        <f t="shared" si="668"/>
        <v>39.474864000000004</v>
      </c>
      <c r="BK1010" s="387">
        <f t="shared" si="669"/>
        <v>0</v>
      </c>
      <c r="BL1010" s="387">
        <f t="shared" si="692"/>
        <v>3161.5710983999998</v>
      </c>
      <c r="BM1010" s="387">
        <f t="shared" si="693"/>
        <v>0</v>
      </c>
      <c r="BN1010" s="387">
        <f t="shared" si="670"/>
        <v>3495</v>
      </c>
      <c r="BO1010" s="387">
        <f t="shared" si="671"/>
        <v>0</v>
      </c>
      <c r="BP1010" s="387">
        <f t="shared" si="672"/>
        <v>906.45983999999999</v>
      </c>
      <c r="BQ1010" s="387">
        <f t="shared" si="673"/>
        <v>211.99464</v>
      </c>
      <c r="BR1010" s="387">
        <f t="shared" si="674"/>
        <v>1745.6662080000001</v>
      </c>
      <c r="BS1010" s="387">
        <f t="shared" si="675"/>
        <v>105.41250720000001</v>
      </c>
      <c r="BT1010" s="387">
        <f t="shared" si="676"/>
        <v>0</v>
      </c>
      <c r="BU1010" s="387">
        <f t="shared" si="677"/>
        <v>80.923471199999994</v>
      </c>
      <c r="BV1010" s="387">
        <f t="shared" si="678"/>
        <v>49.709087999999994</v>
      </c>
      <c r="BW1010" s="387">
        <f t="shared" si="679"/>
        <v>0</v>
      </c>
      <c r="BX1010" s="387">
        <f t="shared" si="694"/>
        <v>3100.1657544000004</v>
      </c>
      <c r="BY1010" s="387">
        <f t="shared" si="695"/>
        <v>0</v>
      </c>
      <c r="BZ1010" s="387">
        <f t="shared" si="696"/>
        <v>0</v>
      </c>
      <c r="CA1010" s="387">
        <f t="shared" si="697"/>
        <v>0</v>
      </c>
      <c r="CB1010" s="387">
        <f t="shared" si="698"/>
        <v>0</v>
      </c>
      <c r="CC1010" s="387">
        <f t="shared" si="680"/>
        <v>0</v>
      </c>
      <c r="CD1010" s="387">
        <f t="shared" si="681"/>
        <v>0</v>
      </c>
      <c r="CE1010" s="387">
        <f t="shared" si="682"/>
        <v>0</v>
      </c>
      <c r="CF1010" s="387">
        <f t="shared" si="683"/>
        <v>-71.639567999999997</v>
      </c>
      <c r="CG1010" s="387">
        <f t="shared" si="684"/>
        <v>0</v>
      </c>
      <c r="CH1010" s="387">
        <f t="shared" si="685"/>
        <v>10.234223999999996</v>
      </c>
      <c r="CI1010" s="387">
        <f t="shared" si="686"/>
        <v>0</v>
      </c>
      <c r="CJ1010" s="387">
        <f t="shared" si="699"/>
        <v>-61.405343999999999</v>
      </c>
      <c r="CK1010" s="387" t="str">
        <f t="shared" si="700"/>
        <v/>
      </c>
      <c r="CL1010" s="387" t="str">
        <f t="shared" si="701"/>
        <v/>
      </c>
      <c r="CM1010" s="387" t="str">
        <f t="shared" si="702"/>
        <v/>
      </c>
      <c r="CN1010" s="387" t="str">
        <f t="shared" si="703"/>
        <v>0348-31</v>
      </c>
    </row>
    <row r="1011" spans="1:92" ht="15.75" thickBot="1" x14ac:dyDescent="0.3">
      <c r="A1011" s="376" t="s">
        <v>161</v>
      </c>
      <c r="B1011" s="376" t="s">
        <v>162</v>
      </c>
      <c r="C1011" s="376" t="s">
        <v>2194</v>
      </c>
      <c r="D1011" s="376" t="s">
        <v>862</v>
      </c>
      <c r="E1011" s="376" t="s">
        <v>224</v>
      </c>
      <c r="F1011" s="382" t="s">
        <v>225</v>
      </c>
      <c r="G1011" s="376" t="s">
        <v>1945</v>
      </c>
      <c r="H1011" s="378"/>
      <c r="I1011" s="378"/>
      <c r="J1011" s="376" t="s">
        <v>215</v>
      </c>
      <c r="K1011" s="376" t="s">
        <v>863</v>
      </c>
      <c r="L1011" s="376" t="s">
        <v>252</v>
      </c>
      <c r="M1011" s="376" t="s">
        <v>171</v>
      </c>
      <c r="N1011" s="376" t="s">
        <v>172</v>
      </c>
      <c r="O1011" s="379">
        <v>1</v>
      </c>
      <c r="P1011" s="385">
        <v>1</v>
      </c>
      <c r="Q1011" s="385">
        <v>1</v>
      </c>
      <c r="R1011" s="380">
        <v>80</v>
      </c>
      <c r="S1011" s="385">
        <v>1</v>
      </c>
      <c r="T1011" s="380">
        <v>33612.04</v>
      </c>
      <c r="U1011" s="380">
        <v>0</v>
      </c>
      <c r="V1011" s="380">
        <v>18619.82</v>
      </c>
      <c r="W1011" s="380">
        <v>38688</v>
      </c>
      <c r="X1011" s="380">
        <v>20016.25</v>
      </c>
      <c r="Y1011" s="380">
        <v>38688</v>
      </c>
      <c r="Z1011" s="380">
        <v>19853.759999999998</v>
      </c>
      <c r="AA1011" s="376" t="s">
        <v>2195</v>
      </c>
      <c r="AB1011" s="376" t="s">
        <v>2196</v>
      </c>
      <c r="AC1011" s="376" t="s">
        <v>1783</v>
      </c>
      <c r="AD1011" s="376" t="s">
        <v>296</v>
      </c>
      <c r="AE1011" s="376" t="s">
        <v>863</v>
      </c>
      <c r="AF1011" s="376" t="s">
        <v>393</v>
      </c>
      <c r="AG1011" s="376" t="s">
        <v>178</v>
      </c>
      <c r="AH1011" s="381">
        <v>18.600000000000001</v>
      </c>
      <c r="AI1011" s="381">
        <v>21660.7</v>
      </c>
      <c r="AJ1011" s="376" t="s">
        <v>179</v>
      </c>
      <c r="AK1011" s="376" t="s">
        <v>180</v>
      </c>
      <c r="AL1011" s="376" t="s">
        <v>181</v>
      </c>
      <c r="AM1011" s="376" t="s">
        <v>182</v>
      </c>
      <c r="AN1011" s="376" t="s">
        <v>68</v>
      </c>
      <c r="AO1011" s="379">
        <v>80</v>
      </c>
      <c r="AP1011" s="385">
        <v>1</v>
      </c>
      <c r="AQ1011" s="385">
        <v>1</v>
      </c>
      <c r="AR1011" s="383" t="s">
        <v>183</v>
      </c>
      <c r="AS1011" s="387">
        <f t="shared" si="687"/>
        <v>1</v>
      </c>
      <c r="AT1011">
        <f t="shared" si="688"/>
        <v>1</v>
      </c>
      <c r="AU1011" s="387">
        <f>IF(AT1011=0,"",IF(AND(AT1011=1,M1011="F",SUMIF(C2:C1334,C1011,AS2:AS1334)&lt;=1),SUMIF(C2:C1334,C1011,AS2:AS1334),IF(AND(AT1011=1,M1011="F",SUMIF(C2:C1334,C1011,AS2:AS1334)&gt;1),1,"")))</f>
        <v>1</v>
      </c>
      <c r="AV1011" s="387" t="str">
        <f>IF(AT1011=0,"",IF(AND(AT1011=3,M1011="F",SUMIF(C2:C1334,C1011,AS2:AS1334)&lt;=1),SUMIF(C2:C1334,C1011,AS2:AS1334),IF(AND(AT1011=3,M1011="F",SUMIF(C2:C1334,C1011,AS2:AS1334)&gt;1),1,"")))</f>
        <v/>
      </c>
      <c r="AW1011" s="387">
        <f>SUMIF(C2:C1334,C1011,O2:O1334)</f>
        <v>1</v>
      </c>
      <c r="AX1011" s="387">
        <f>IF(AND(M1011="F",AS1011&lt;&gt;0),SUMIF(C2:C1334,C1011,W2:W1334),0)</f>
        <v>38688</v>
      </c>
      <c r="AY1011" s="387">
        <f t="shared" si="689"/>
        <v>38688</v>
      </c>
      <c r="AZ1011" s="387" t="str">
        <f t="shared" si="690"/>
        <v/>
      </c>
      <c r="BA1011" s="387">
        <f t="shared" si="691"/>
        <v>0</v>
      </c>
      <c r="BB1011" s="387">
        <f t="shared" si="660"/>
        <v>11650</v>
      </c>
      <c r="BC1011" s="387">
        <f t="shared" si="661"/>
        <v>0</v>
      </c>
      <c r="BD1011" s="387">
        <f t="shared" si="662"/>
        <v>2398.6559999999999</v>
      </c>
      <c r="BE1011" s="387">
        <f t="shared" si="663"/>
        <v>560.976</v>
      </c>
      <c r="BF1011" s="387">
        <f t="shared" si="664"/>
        <v>4619.3472000000002</v>
      </c>
      <c r="BG1011" s="387">
        <f t="shared" si="665"/>
        <v>278.94048000000004</v>
      </c>
      <c r="BH1011" s="387">
        <f t="shared" si="666"/>
        <v>189.5712</v>
      </c>
      <c r="BI1011" s="387">
        <f t="shared" si="667"/>
        <v>214.13808</v>
      </c>
      <c r="BJ1011" s="387">
        <f t="shared" si="668"/>
        <v>104.4576</v>
      </c>
      <c r="BK1011" s="387">
        <f t="shared" si="669"/>
        <v>0</v>
      </c>
      <c r="BL1011" s="387">
        <f t="shared" si="692"/>
        <v>8366.0865599999997</v>
      </c>
      <c r="BM1011" s="387">
        <f t="shared" si="693"/>
        <v>0</v>
      </c>
      <c r="BN1011" s="387">
        <f t="shared" si="670"/>
        <v>11650</v>
      </c>
      <c r="BO1011" s="387">
        <f t="shared" si="671"/>
        <v>0</v>
      </c>
      <c r="BP1011" s="387">
        <f t="shared" si="672"/>
        <v>2398.6559999999999</v>
      </c>
      <c r="BQ1011" s="387">
        <f t="shared" si="673"/>
        <v>560.976</v>
      </c>
      <c r="BR1011" s="387">
        <f t="shared" si="674"/>
        <v>4619.3472000000002</v>
      </c>
      <c r="BS1011" s="387">
        <f t="shared" si="675"/>
        <v>278.94048000000004</v>
      </c>
      <c r="BT1011" s="387">
        <f t="shared" si="676"/>
        <v>0</v>
      </c>
      <c r="BU1011" s="387">
        <f t="shared" si="677"/>
        <v>214.13808</v>
      </c>
      <c r="BV1011" s="387">
        <f t="shared" si="678"/>
        <v>131.53919999999999</v>
      </c>
      <c r="BW1011" s="387">
        <f t="shared" si="679"/>
        <v>0</v>
      </c>
      <c r="BX1011" s="387">
        <f t="shared" si="694"/>
        <v>8203.5969599999989</v>
      </c>
      <c r="BY1011" s="387">
        <f t="shared" si="695"/>
        <v>0</v>
      </c>
      <c r="BZ1011" s="387">
        <f t="shared" si="696"/>
        <v>0</v>
      </c>
      <c r="CA1011" s="387">
        <f t="shared" si="697"/>
        <v>0</v>
      </c>
      <c r="CB1011" s="387">
        <f t="shared" si="698"/>
        <v>0</v>
      </c>
      <c r="CC1011" s="387">
        <f t="shared" si="680"/>
        <v>0</v>
      </c>
      <c r="CD1011" s="387">
        <f t="shared" si="681"/>
        <v>0</v>
      </c>
      <c r="CE1011" s="387">
        <f t="shared" si="682"/>
        <v>0</v>
      </c>
      <c r="CF1011" s="387">
        <f t="shared" si="683"/>
        <v>-189.5712</v>
      </c>
      <c r="CG1011" s="387">
        <f t="shared" si="684"/>
        <v>0</v>
      </c>
      <c r="CH1011" s="387">
        <f t="shared" si="685"/>
        <v>27.081599999999987</v>
      </c>
      <c r="CI1011" s="387">
        <f t="shared" si="686"/>
        <v>0</v>
      </c>
      <c r="CJ1011" s="387">
        <f t="shared" si="699"/>
        <v>-162.48960000000002</v>
      </c>
      <c r="CK1011" s="387" t="str">
        <f t="shared" si="700"/>
        <v/>
      </c>
      <c r="CL1011" s="387" t="str">
        <f t="shared" si="701"/>
        <v/>
      </c>
      <c r="CM1011" s="387" t="str">
        <f t="shared" si="702"/>
        <v/>
      </c>
      <c r="CN1011" s="387" t="str">
        <f t="shared" si="703"/>
        <v>0348-31</v>
      </c>
    </row>
    <row r="1012" spans="1:92" ht="15.75" thickBot="1" x14ac:dyDescent="0.3">
      <c r="A1012" s="376" t="s">
        <v>161</v>
      </c>
      <c r="B1012" s="376" t="s">
        <v>162</v>
      </c>
      <c r="C1012" s="376" t="s">
        <v>1141</v>
      </c>
      <c r="D1012" s="376" t="s">
        <v>868</v>
      </c>
      <c r="E1012" s="376" t="s">
        <v>224</v>
      </c>
      <c r="F1012" s="382" t="s">
        <v>225</v>
      </c>
      <c r="G1012" s="376" t="s">
        <v>1945</v>
      </c>
      <c r="H1012" s="378"/>
      <c r="I1012" s="378"/>
      <c r="J1012" s="376" t="s">
        <v>215</v>
      </c>
      <c r="K1012" s="376" t="s">
        <v>869</v>
      </c>
      <c r="L1012" s="376" t="s">
        <v>296</v>
      </c>
      <c r="M1012" s="376" t="s">
        <v>171</v>
      </c>
      <c r="N1012" s="376" t="s">
        <v>172</v>
      </c>
      <c r="O1012" s="379">
        <v>1</v>
      </c>
      <c r="P1012" s="385">
        <v>1</v>
      </c>
      <c r="Q1012" s="385">
        <v>1</v>
      </c>
      <c r="R1012" s="380">
        <v>80</v>
      </c>
      <c r="S1012" s="385">
        <v>1</v>
      </c>
      <c r="T1012" s="380">
        <v>0</v>
      </c>
      <c r="U1012" s="380">
        <v>0</v>
      </c>
      <c r="V1012" s="380">
        <v>0</v>
      </c>
      <c r="W1012" s="380">
        <v>42848</v>
      </c>
      <c r="X1012" s="380">
        <v>20915.84</v>
      </c>
      <c r="Y1012" s="380">
        <v>42848</v>
      </c>
      <c r="Z1012" s="380">
        <v>20735.89</v>
      </c>
      <c r="AA1012" s="376" t="s">
        <v>1142</v>
      </c>
      <c r="AB1012" s="376" t="s">
        <v>1143</v>
      </c>
      <c r="AC1012" s="376" t="s">
        <v>1144</v>
      </c>
      <c r="AD1012" s="376" t="s">
        <v>1145</v>
      </c>
      <c r="AE1012" s="376" t="s">
        <v>873</v>
      </c>
      <c r="AF1012" s="376" t="s">
        <v>393</v>
      </c>
      <c r="AG1012" s="376" t="s">
        <v>178</v>
      </c>
      <c r="AH1012" s="381">
        <v>20.6</v>
      </c>
      <c r="AI1012" s="379">
        <v>320</v>
      </c>
      <c r="AJ1012" s="376" t="s">
        <v>179</v>
      </c>
      <c r="AK1012" s="376" t="s">
        <v>180</v>
      </c>
      <c r="AL1012" s="376" t="s">
        <v>181</v>
      </c>
      <c r="AM1012" s="376" t="s">
        <v>182</v>
      </c>
      <c r="AN1012" s="376" t="s">
        <v>68</v>
      </c>
      <c r="AO1012" s="379">
        <v>80</v>
      </c>
      <c r="AP1012" s="385">
        <v>1</v>
      </c>
      <c r="AQ1012" s="385">
        <v>1</v>
      </c>
      <c r="AR1012" s="383">
        <v>3</v>
      </c>
      <c r="AS1012" s="387">
        <f t="shared" si="687"/>
        <v>1</v>
      </c>
      <c r="AT1012">
        <f t="shared" si="688"/>
        <v>1</v>
      </c>
      <c r="AU1012" s="387">
        <f>IF(AT1012=0,"",IF(AND(AT1012=1,M1012="F",SUMIF(C2:C1334,C1012,AS2:AS1334)&lt;=1),SUMIF(C2:C1334,C1012,AS2:AS1334),IF(AND(AT1012=1,M1012="F",SUMIF(C2:C1334,C1012,AS2:AS1334)&gt;1),1,"")))</f>
        <v>1</v>
      </c>
      <c r="AV1012" s="387" t="str">
        <f>IF(AT1012=0,"",IF(AND(AT1012=3,M1012="F",SUMIF(C2:C1334,C1012,AS2:AS1334)&lt;=1),SUMIF(C2:C1334,C1012,AS2:AS1334),IF(AND(AT1012=3,M1012="F",SUMIF(C2:C1334,C1012,AS2:AS1334)&gt;1),1,"")))</f>
        <v/>
      </c>
      <c r="AW1012" s="387">
        <f>SUMIF(C2:C1334,C1012,O2:O1334)</f>
        <v>2</v>
      </c>
      <c r="AX1012" s="387">
        <f>IF(AND(M1012="F",AS1012&lt;&gt;0),SUMIF(C2:C1334,C1012,W2:W1334),0)</f>
        <v>42848</v>
      </c>
      <c r="AY1012" s="387">
        <f t="shared" si="689"/>
        <v>42848</v>
      </c>
      <c r="AZ1012" s="387" t="str">
        <f t="shared" si="690"/>
        <v/>
      </c>
      <c r="BA1012" s="387">
        <f t="shared" si="691"/>
        <v>0</v>
      </c>
      <c r="BB1012" s="387">
        <f t="shared" si="660"/>
        <v>11650</v>
      </c>
      <c r="BC1012" s="387">
        <f t="shared" si="661"/>
        <v>0</v>
      </c>
      <c r="BD1012" s="387">
        <f t="shared" si="662"/>
        <v>2656.576</v>
      </c>
      <c r="BE1012" s="387">
        <f t="shared" si="663"/>
        <v>621.29600000000005</v>
      </c>
      <c r="BF1012" s="387">
        <f t="shared" si="664"/>
        <v>5116.0511999999999</v>
      </c>
      <c r="BG1012" s="387">
        <f t="shared" si="665"/>
        <v>308.93407999999999</v>
      </c>
      <c r="BH1012" s="387">
        <f t="shared" si="666"/>
        <v>209.95519999999999</v>
      </c>
      <c r="BI1012" s="387">
        <f t="shared" si="667"/>
        <v>237.16368</v>
      </c>
      <c r="BJ1012" s="387">
        <f t="shared" si="668"/>
        <v>115.68960000000001</v>
      </c>
      <c r="BK1012" s="387">
        <f t="shared" si="669"/>
        <v>0</v>
      </c>
      <c r="BL1012" s="387">
        <f t="shared" si="692"/>
        <v>9265.6657599999999</v>
      </c>
      <c r="BM1012" s="387">
        <f t="shared" si="693"/>
        <v>0</v>
      </c>
      <c r="BN1012" s="387">
        <f t="shared" si="670"/>
        <v>11650</v>
      </c>
      <c r="BO1012" s="387">
        <f t="shared" si="671"/>
        <v>0</v>
      </c>
      <c r="BP1012" s="387">
        <f t="shared" si="672"/>
        <v>2656.576</v>
      </c>
      <c r="BQ1012" s="387">
        <f t="shared" si="673"/>
        <v>621.29600000000005</v>
      </c>
      <c r="BR1012" s="387">
        <f t="shared" si="674"/>
        <v>5116.0511999999999</v>
      </c>
      <c r="BS1012" s="387">
        <f t="shared" si="675"/>
        <v>308.93407999999999</v>
      </c>
      <c r="BT1012" s="387">
        <f t="shared" si="676"/>
        <v>0</v>
      </c>
      <c r="BU1012" s="387">
        <f t="shared" si="677"/>
        <v>237.16368</v>
      </c>
      <c r="BV1012" s="387">
        <f t="shared" si="678"/>
        <v>145.6832</v>
      </c>
      <c r="BW1012" s="387">
        <f t="shared" si="679"/>
        <v>0</v>
      </c>
      <c r="BX1012" s="387">
        <f t="shared" si="694"/>
        <v>9085.7041599999993</v>
      </c>
      <c r="BY1012" s="387">
        <f t="shared" si="695"/>
        <v>0</v>
      </c>
      <c r="BZ1012" s="387">
        <f t="shared" si="696"/>
        <v>0</v>
      </c>
      <c r="CA1012" s="387">
        <f t="shared" si="697"/>
        <v>0</v>
      </c>
      <c r="CB1012" s="387">
        <f t="shared" si="698"/>
        <v>0</v>
      </c>
      <c r="CC1012" s="387">
        <f t="shared" si="680"/>
        <v>0</v>
      </c>
      <c r="CD1012" s="387">
        <f t="shared" si="681"/>
        <v>0</v>
      </c>
      <c r="CE1012" s="387">
        <f t="shared" si="682"/>
        <v>0</v>
      </c>
      <c r="CF1012" s="387">
        <f t="shared" si="683"/>
        <v>-209.95519999999999</v>
      </c>
      <c r="CG1012" s="387">
        <f t="shared" si="684"/>
        <v>0</v>
      </c>
      <c r="CH1012" s="387">
        <f t="shared" si="685"/>
        <v>29.993599999999986</v>
      </c>
      <c r="CI1012" s="387">
        <f t="shared" si="686"/>
        <v>0</v>
      </c>
      <c r="CJ1012" s="387">
        <f t="shared" si="699"/>
        <v>-179.9616</v>
      </c>
      <c r="CK1012" s="387" t="str">
        <f t="shared" si="700"/>
        <v/>
      </c>
      <c r="CL1012" s="387" t="str">
        <f t="shared" si="701"/>
        <v/>
      </c>
      <c r="CM1012" s="387" t="str">
        <f t="shared" si="702"/>
        <v/>
      </c>
      <c r="CN1012" s="387" t="str">
        <f t="shared" si="703"/>
        <v>0348-31</v>
      </c>
    </row>
    <row r="1013" spans="1:92" ht="15.75" thickBot="1" x14ac:dyDescent="0.3">
      <c r="A1013" s="376" t="s">
        <v>161</v>
      </c>
      <c r="B1013" s="376" t="s">
        <v>162</v>
      </c>
      <c r="C1013" s="376" t="s">
        <v>1343</v>
      </c>
      <c r="D1013" s="376" t="s">
        <v>1344</v>
      </c>
      <c r="E1013" s="376" t="s">
        <v>224</v>
      </c>
      <c r="F1013" s="382" t="s">
        <v>225</v>
      </c>
      <c r="G1013" s="376" t="s">
        <v>1945</v>
      </c>
      <c r="H1013" s="378"/>
      <c r="I1013" s="378"/>
      <c r="J1013" s="376" t="s">
        <v>215</v>
      </c>
      <c r="K1013" s="376" t="s">
        <v>1345</v>
      </c>
      <c r="L1013" s="376" t="s">
        <v>252</v>
      </c>
      <c r="M1013" s="376" t="s">
        <v>272</v>
      </c>
      <c r="N1013" s="376" t="s">
        <v>172</v>
      </c>
      <c r="O1013" s="379">
        <v>0</v>
      </c>
      <c r="P1013" s="385">
        <v>1</v>
      </c>
      <c r="Q1013" s="385">
        <v>1</v>
      </c>
      <c r="R1013" s="380">
        <v>80</v>
      </c>
      <c r="S1013" s="385">
        <v>1</v>
      </c>
      <c r="T1013" s="380">
        <v>10353.209999999999</v>
      </c>
      <c r="U1013" s="380">
        <v>0</v>
      </c>
      <c r="V1013" s="380">
        <v>5292.86</v>
      </c>
      <c r="W1013" s="380">
        <v>42328</v>
      </c>
      <c r="X1013" s="380">
        <v>18539.66</v>
      </c>
      <c r="Y1013" s="380">
        <v>42328</v>
      </c>
      <c r="Z1013" s="380">
        <v>18328.02</v>
      </c>
      <c r="AA1013" s="378"/>
      <c r="AB1013" s="376" t="s">
        <v>45</v>
      </c>
      <c r="AC1013" s="376" t="s">
        <v>45</v>
      </c>
      <c r="AD1013" s="378"/>
      <c r="AE1013" s="378"/>
      <c r="AF1013" s="378"/>
      <c r="AG1013" s="378"/>
      <c r="AH1013" s="379">
        <v>0</v>
      </c>
      <c r="AI1013" s="379">
        <v>0</v>
      </c>
      <c r="AJ1013" s="378"/>
      <c r="AK1013" s="378"/>
      <c r="AL1013" s="376" t="s">
        <v>181</v>
      </c>
      <c r="AM1013" s="378"/>
      <c r="AN1013" s="378"/>
      <c r="AO1013" s="379">
        <v>0</v>
      </c>
      <c r="AP1013" s="385">
        <v>0</v>
      </c>
      <c r="AQ1013" s="385">
        <v>0</v>
      </c>
      <c r="AR1013" s="384"/>
      <c r="AS1013" s="387">
        <f t="shared" si="687"/>
        <v>0</v>
      </c>
      <c r="AT1013">
        <f t="shared" si="688"/>
        <v>0</v>
      </c>
      <c r="AU1013" s="387" t="str">
        <f>IF(AT1013=0,"",IF(AND(AT1013=1,M1013="F",SUMIF(C2:C1334,C1013,AS2:AS1334)&lt;=1),SUMIF(C2:C1334,C1013,AS2:AS1334),IF(AND(AT1013=1,M1013="F",SUMIF(C2:C1334,C1013,AS2:AS1334)&gt;1),1,"")))</f>
        <v/>
      </c>
      <c r="AV1013" s="387" t="str">
        <f>IF(AT1013=0,"",IF(AND(AT1013=3,M1013="F",SUMIF(C2:C1334,C1013,AS2:AS1334)&lt;=1),SUMIF(C2:C1334,C1013,AS2:AS1334),IF(AND(AT1013=3,M1013="F",SUMIF(C2:C1334,C1013,AS2:AS1334)&gt;1),1,"")))</f>
        <v/>
      </c>
      <c r="AW1013" s="387">
        <f>SUMIF(C2:C1334,C1013,O2:O1334)</f>
        <v>0</v>
      </c>
      <c r="AX1013" s="387">
        <f>IF(AND(M1013="F",AS1013&lt;&gt;0),SUMIF(C2:C1334,C1013,W2:W1334),0)</f>
        <v>0</v>
      </c>
      <c r="AY1013" s="387" t="str">
        <f t="shared" si="689"/>
        <v/>
      </c>
      <c r="AZ1013" s="387" t="str">
        <f t="shared" si="690"/>
        <v/>
      </c>
      <c r="BA1013" s="387">
        <f t="shared" si="691"/>
        <v>0</v>
      </c>
      <c r="BB1013" s="387">
        <f t="shared" si="660"/>
        <v>0</v>
      </c>
      <c r="BC1013" s="387">
        <f t="shared" si="661"/>
        <v>0</v>
      </c>
      <c r="BD1013" s="387">
        <f t="shared" si="662"/>
        <v>0</v>
      </c>
      <c r="BE1013" s="387">
        <f t="shared" si="663"/>
        <v>0</v>
      </c>
      <c r="BF1013" s="387">
        <f t="shared" si="664"/>
        <v>0</v>
      </c>
      <c r="BG1013" s="387">
        <f t="shared" si="665"/>
        <v>0</v>
      </c>
      <c r="BH1013" s="387">
        <f t="shared" si="666"/>
        <v>0</v>
      </c>
      <c r="BI1013" s="387">
        <f t="shared" si="667"/>
        <v>0</v>
      </c>
      <c r="BJ1013" s="387">
        <f t="shared" si="668"/>
        <v>0</v>
      </c>
      <c r="BK1013" s="387">
        <f t="shared" si="669"/>
        <v>0</v>
      </c>
      <c r="BL1013" s="387">
        <f t="shared" si="692"/>
        <v>0</v>
      </c>
      <c r="BM1013" s="387">
        <f t="shared" si="693"/>
        <v>0</v>
      </c>
      <c r="BN1013" s="387">
        <f t="shared" si="670"/>
        <v>0</v>
      </c>
      <c r="BO1013" s="387">
        <f t="shared" si="671"/>
        <v>0</v>
      </c>
      <c r="BP1013" s="387">
        <f t="shared" si="672"/>
        <v>0</v>
      </c>
      <c r="BQ1013" s="387">
        <f t="shared" si="673"/>
        <v>0</v>
      </c>
      <c r="BR1013" s="387">
        <f t="shared" si="674"/>
        <v>0</v>
      </c>
      <c r="BS1013" s="387">
        <f t="shared" si="675"/>
        <v>0</v>
      </c>
      <c r="BT1013" s="387">
        <f t="shared" si="676"/>
        <v>0</v>
      </c>
      <c r="BU1013" s="387">
        <f t="shared" si="677"/>
        <v>0</v>
      </c>
      <c r="BV1013" s="387">
        <f t="shared" si="678"/>
        <v>0</v>
      </c>
      <c r="BW1013" s="387">
        <f t="shared" si="679"/>
        <v>0</v>
      </c>
      <c r="BX1013" s="387">
        <f t="shared" si="694"/>
        <v>0</v>
      </c>
      <c r="BY1013" s="387">
        <f t="shared" si="695"/>
        <v>0</v>
      </c>
      <c r="BZ1013" s="387">
        <f t="shared" si="696"/>
        <v>0</v>
      </c>
      <c r="CA1013" s="387">
        <f t="shared" si="697"/>
        <v>0</v>
      </c>
      <c r="CB1013" s="387">
        <f t="shared" si="698"/>
        <v>0</v>
      </c>
      <c r="CC1013" s="387">
        <f t="shared" si="680"/>
        <v>0</v>
      </c>
      <c r="CD1013" s="387">
        <f t="shared" si="681"/>
        <v>0</v>
      </c>
      <c r="CE1013" s="387">
        <f t="shared" si="682"/>
        <v>0</v>
      </c>
      <c r="CF1013" s="387">
        <f t="shared" si="683"/>
        <v>0</v>
      </c>
      <c r="CG1013" s="387">
        <f t="shared" si="684"/>
        <v>0</v>
      </c>
      <c r="CH1013" s="387">
        <f t="shared" si="685"/>
        <v>0</v>
      </c>
      <c r="CI1013" s="387">
        <f t="shared" si="686"/>
        <v>0</v>
      </c>
      <c r="CJ1013" s="387">
        <f t="shared" si="699"/>
        <v>0</v>
      </c>
      <c r="CK1013" s="387" t="str">
        <f t="shared" si="700"/>
        <v/>
      </c>
      <c r="CL1013" s="387" t="str">
        <f t="shared" si="701"/>
        <v/>
      </c>
      <c r="CM1013" s="387" t="str">
        <f t="shared" si="702"/>
        <v/>
      </c>
      <c r="CN1013" s="387" t="str">
        <f t="shared" si="703"/>
        <v>0348-31</v>
      </c>
    </row>
    <row r="1014" spans="1:92" ht="15.75" thickBot="1" x14ac:dyDescent="0.3">
      <c r="A1014" s="376" t="s">
        <v>161</v>
      </c>
      <c r="B1014" s="376" t="s">
        <v>162</v>
      </c>
      <c r="C1014" s="376" t="s">
        <v>852</v>
      </c>
      <c r="D1014" s="376" t="s">
        <v>786</v>
      </c>
      <c r="E1014" s="376" t="s">
        <v>224</v>
      </c>
      <c r="F1014" s="382" t="s">
        <v>225</v>
      </c>
      <c r="G1014" s="376" t="s">
        <v>1945</v>
      </c>
      <c r="H1014" s="378"/>
      <c r="I1014" s="378"/>
      <c r="J1014" s="376" t="s">
        <v>239</v>
      </c>
      <c r="K1014" s="376" t="s">
        <v>787</v>
      </c>
      <c r="L1014" s="376" t="s">
        <v>181</v>
      </c>
      <c r="M1014" s="376" t="s">
        <v>171</v>
      </c>
      <c r="N1014" s="376" t="s">
        <v>172</v>
      </c>
      <c r="O1014" s="379">
        <v>1</v>
      </c>
      <c r="P1014" s="385">
        <v>0.2</v>
      </c>
      <c r="Q1014" s="385">
        <v>0.2</v>
      </c>
      <c r="R1014" s="380">
        <v>80</v>
      </c>
      <c r="S1014" s="385">
        <v>0.2</v>
      </c>
      <c r="T1014" s="380">
        <v>7549.06</v>
      </c>
      <c r="U1014" s="380">
        <v>0</v>
      </c>
      <c r="V1014" s="380">
        <v>3016.75</v>
      </c>
      <c r="W1014" s="380">
        <v>14955.2</v>
      </c>
      <c r="X1014" s="380">
        <v>5564.05</v>
      </c>
      <c r="Y1014" s="380">
        <v>14955.2</v>
      </c>
      <c r="Z1014" s="380">
        <v>5501.24</v>
      </c>
      <c r="AA1014" s="376" t="s">
        <v>853</v>
      </c>
      <c r="AB1014" s="376" t="s">
        <v>854</v>
      </c>
      <c r="AC1014" s="376" t="s">
        <v>855</v>
      </c>
      <c r="AD1014" s="376" t="s">
        <v>856</v>
      </c>
      <c r="AE1014" s="376" t="s">
        <v>787</v>
      </c>
      <c r="AF1014" s="376" t="s">
        <v>211</v>
      </c>
      <c r="AG1014" s="376" t="s">
        <v>178</v>
      </c>
      <c r="AH1014" s="381">
        <v>35.950000000000003</v>
      </c>
      <c r="AI1014" s="381">
        <v>23289.1</v>
      </c>
      <c r="AJ1014" s="376" t="s">
        <v>179</v>
      </c>
      <c r="AK1014" s="376" t="s">
        <v>180</v>
      </c>
      <c r="AL1014" s="376" t="s">
        <v>181</v>
      </c>
      <c r="AM1014" s="376" t="s">
        <v>182</v>
      </c>
      <c r="AN1014" s="376" t="s">
        <v>68</v>
      </c>
      <c r="AO1014" s="379">
        <v>80</v>
      </c>
      <c r="AP1014" s="385">
        <v>1</v>
      </c>
      <c r="AQ1014" s="385">
        <v>0.2</v>
      </c>
      <c r="AR1014" s="383" t="s">
        <v>183</v>
      </c>
      <c r="AS1014" s="387">
        <f t="shared" si="687"/>
        <v>0.2</v>
      </c>
      <c r="AT1014">
        <f t="shared" si="688"/>
        <v>1</v>
      </c>
      <c r="AU1014" s="387">
        <f>IF(AT1014=0,"",IF(AND(AT1014=1,M1014="F",SUMIF(C2:C1334,C1014,AS2:AS1334)&lt;=1),SUMIF(C2:C1334,C1014,AS2:AS1334),IF(AND(AT1014=1,M1014="F",SUMIF(C2:C1334,C1014,AS2:AS1334)&gt;1),1,"")))</f>
        <v>1</v>
      </c>
      <c r="AV1014" s="387" t="str">
        <f>IF(AT1014=0,"",IF(AND(AT1014=3,M1014="F",SUMIF(C2:C1334,C1014,AS2:AS1334)&lt;=1),SUMIF(C2:C1334,C1014,AS2:AS1334),IF(AND(AT1014=3,M1014="F",SUMIF(C2:C1334,C1014,AS2:AS1334)&gt;1),1,"")))</f>
        <v/>
      </c>
      <c r="AW1014" s="387">
        <f>SUMIF(C2:C1334,C1014,O2:O1334)</f>
        <v>4</v>
      </c>
      <c r="AX1014" s="387">
        <f>IF(AND(M1014="F",AS1014&lt;&gt;0),SUMIF(C2:C1334,C1014,W2:W1334),0)</f>
        <v>74776</v>
      </c>
      <c r="AY1014" s="387">
        <f t="shared" si="689"/>
        <v>14955.2</v>
      </c>
      <c r="AZ1014" s="387" t="str">
        <f t="shared" si="690"/>
        <v/>
      </c>
      <c r="BA1014" s="387">
        <f t="shared" si="691"/>
        <v>0</v>
      </c>
      <c r="BB1014" s="387">
        <f t="shared" si="660"/>
        <v>2330</v>
      </c>
      <c r="BC1014" s="387">
        <f t="shared" si="661"/>
        <v>0</v>
      </c>
      <c r="BD1014" s="387">
        <f t="shared" si="662"/>
        <v>927.22239999999999</v>
      </c>
      <c r="BE1014" s="387">
        <f t="shared" si="663"/>
        <v>216.85040000000001</v>
      </c>
      <c r="BF1014" s="387">
        <f t="shared" si="664"/>
        <v>1785.6508800000001</v>
      </c>
      <c r="BG1014" s="387">
        <f t="shared" si="665"/>
        <v>107.826992</v>
      </c>
      <c r="BH1014" s="387">
        <f t="shared" si="666"/>
        <v>73.280479999999997</v>
      </c>
      <c r="BI1014" s="387">
        <f t="shared" si="667"/>
        <v>82.777032000000005</v>
      </c>
      <c r="BJ1014" s="387">
        <f t="shared" si="668"/>
        <v>40.379040000000003</v>
      </c>
      <c r="BK1014" s="387">
        <f t="shared" si="669"/>
        <v>0</v>
      </c>
      <c r="BL1014" s="387">
        <f t="shared" si="692"/>
        <v>3233.9872239999995</v>
      </c>
      <c r="BM1014" s="387">
        <f t="shared" si="693"/>
        <v>0</v>
      </c>
      <c r="BN1014" s="387">
        <f t="shared" si="670"/>
        <v>2330</v>
      </c>
      <c r="BO1014" s="387">
        <f t="shared" si="671"/>
        <v>0</v>
      </c>
      <c r="BP1014" s="387">
        <f t="shared" si="672"/>
        <v>927.22239999999999</v>
      </c>
      <c r="BQ1014" s="387">
        <f t="shared" si="673"/>
        <v>216.85040000000001</v>
      </c>
      <c r="BR1014" s="387">
        <f t="shared" si="674"/>
        <v>1785.6508800000001</v>
      </c>
      <c r="BS1014" s="387">
        <f t="shared" si="675"/>
        <v>107.826992</v>
      </c>
      <c r="BT1014" s="387">
        <f t="shared" si="676"/>
        <v>0</v>
      </c>
      <c r="BU1014" s="387">
        <f t="shared" si="677"/>
        <v>82.777032000000005</v>
      </c>
      <c r="BV1014" s="387">
        <f t="shared" si="678"/>
        <v>50.847679999999997</v>
      </c>
      <c r="BW1014" s="387">
        <f t="shared" si="679"/>
        <v>0</v>
      </c>
      <c r="BX1014" s="387">
        <f t="shared" si="694"/>
        <v>3171.1753839999997</v>
      </c>
      <c r="BY1014" s="387">
        <f t="shared" si="695"/>
        <v>0</v>
      </c>
      <c r="BZ1014" s="387">
        <f t="shared" si="696"/>
        <v>0</v>
      </c>
      <c r="CA1014" s="387">
        <f t="shared" si="697"/>
        <v>0</v>
      </c>
      <c r="CB1014" s="387">
        <f t="shared" si="698"/>
        <v>0</v>
      </c>
      <c r="CC1014" s="387">
        <f t="shared" si="680"/>
        <v>0</v>
      </c>
      <c r="CD1014" s="387">
        <f t="shared" si="681"/>
        <v>0</v>
      </c>
      <c r="CE1014" s="387">
        <f t="shared" si="682"/>
        <v>0</v>
      </c>
      <c r="CF1014" s="387">
        <f t="shared" si="683"/>
        <v>-73.280479999999997</v>
      </c>
      <c r="CG1014" s="387">
        <f t="shared" si="684"/>
        <v>0</v>
      </c>
      <c r="CH1014" s="387">
        <f t="shared" si="685"/>
        <v>10.468639999999995</v>
      </c>
      <c r="CI1014" s="387">
        <f t="shared" si="686"/>
        <v>0</v>
      </c>
      <c r="CJ1014" s="387">
        <f t="shared" si="699"/>
        <v>-62.811840000000004</v>
      </c>
      <c r="CK1014" s="387" t="str">
        <f t="shared" si="700"/>
        <v/>
      </c>
      <c r="CL1014" s="387" t="str">
        <f t="shared" si="701"/>
        <v/>
      </c>
      <c r="CM1014" s="387" t="str">
        <f t="shared" si="702"/>
        <v/>
      </c>
      <c r="CN1014" s="387" t="str">
        <f t="shared" si="703"/>
        <v>0348-31</v>
      </c>
    </row>
    <row r="1015" spans="1:92" ht="15.75" thickBot="1" x14ac:dyDescent="0.3">
      <c r="A1015" s="376" t="s">
        <v>161</v>
      </c>
      <c r="B1015" s="376" t="s">
        <v>162</v>
      </c>
      <c r="C1015" s="376" t="s">
        <v>2197</v>
      </c>
      <c r="D1015" s="376" t="s">
        <v>862</v>
      </c>
      <c r="E1015" s="376" t="s">
        <v>224</v>
      </c>
      <c r="F1015" s="382" t="s">
        <v>225</v>
      </c>
      <c r="G1015" s="376" t="s">
        <v>1945</v>
      </c>
      <c r="H1015" s="378"/>
      <c r="I1015" s="378"/>
      <c r="J1015" s="376" t="s">
        <v>215</v>
      </c>
      <c r="K1015" s="376" t="s">
        <v>863</v>
      </c>
      <c r="L1015" s="376" t="s">
        <v>252</v>
      </c>
      <c r="M1015" s="376" t="s">
        <v>171</v>
      </c>
      <c r="N1015" s="376" t="s">
        <v>172</v>
      </c>
      <c r="O1015" s="379">
        <v>1</v>
      </c>
      <c r="P1015" s="385">
        <v>1</v>
      </c>
      <c r="Q1015" s="385">
        <v>1</v>
      </c>
      <c r="R1015" s="380">
        <v>80</v>
      </c>
      <c r="S1015" s="385">
        <v>1</v>
      </c>
      <c r="T1015" s="380">
        <v>31518.2</v>
      </c>
      <c r="U1015" s="380">
        <v>462.49</v>
      </c>
      <c r="V1015" s="380">
        <v>16548.53</v>
      </c>
      <c r="W1015" s="380">
        <v>41766.400000000001</v>
      </c>
      <c r="X1015" s="380">
        <v>20681.939999999999</v>
      </c>
      <c r="Y1015" s="380">
        <v>41766.400000000001</v>
      </c>
      <c r="Z1015" s="380">
        <v>20506.53</v>
      </c>
      <c r="AA1015" s="376" t="s">
        <v>2198</v>
      </c>
      <c r="AB1015" s="376" t="s">
        <v>2199</v>
      </c>
      <c r="AC1015" s="376" t="s">
        <v>889</v>
      </c>
      <c r="AD1015" s="376" t="s">
        <v>432</v>
      </c>
      <c r="AE1015" s="376" t="s">
        <v>863</v>
      </c>
      <c r="AF1015" s="376" t="s">
        <v>393</v>
      </c>
      <c r="AG1015" s="376" t="s">
        <v>178</v>
      </c>
      <c r="AH1015" s="381">
        <v>20.079999999999998</v>
      </c>
      <c r="AI1015" s="379">
        <v>4040</v>
      </c>
      <c r="AJ1015" s="376" t="s">
        <v>179</v>
      </c>
      <c r="AK1015" s="376" t="s">
        <v>180</v>
      </c>
      <c r="AL1015" s="376" t="s">
        <v>181</v>
      </c>
      <c r="AM1015" s="376" t="s">
        <v>182</v>
      </c>
      <c r="AN1015" s="376" t="s">
        <v>68</v>
      </c>
      <c r="AO1015" s="379">
        <v>80</v>
      </c>
      <c r="AP1015" s="385">
        <v>1</v>
      </c>
      <c r="AQ1015" s="385">
        <v>1</v>
      </c>
      <c r="AR1015" s="383" t="s">
        <v>183</v>
      </c>
      <c r="AS1015" s="387">
        <f t="shared" si="687"/>
        <v>1</v>
      </c>
      <c r="AT1015">
        <f t="shared" si="688"/>
        <v>1</v>
      </c>
      <c r="AU1015" s="387">
        <f>IF(AT1015=0,"",IF(AND(AT1015=1,M1015="F",SUMIF(C2:C1334,C1015,AS2:AS1334)&lt;=1),SUMIF(C2:C1334,C1015,AS2:AS1334),IF(AND(AT1015=1,M1015="F",SUMIF(C2:C1334,C1015,AS2:AS1334)&gt;1),1,"")))</f>
        <v>1</v>
      </c>
      <c r="AV1015" s="387" t="str">
        <f>IF(AT1015=0,"",IF(AND(AT1015=3,M1015="F",SUMIF(C2:C1334,C1015,AS2:AS1334)&lt;=1),SUMIF(C2:C1334,C1015,AS2:AS1334),IF(AND(AT1015=3,M1015="F",SUMIF(C2:C1334,C1015,AS2:AS1334)&gt;1),1,"")))</f>
        <v/>
      </c>
      <c r="AW1015" s="387">
        <f>SUMIF(C2:C1334,C1015,O2:O1334)</f>
        <v>1</v>
      </c>
      <c r="AX1015" s="387">
        <f>IF(AND(M1015="F",AS1015&lt;&gt;0),SUMIF(C2:C1334,C1015,W2:W1334),0)</f>
        <v>41766.400000000001</v>
      </c>
      <c r="AY1015" s="387">
        <f t="shared" si="689"/>
        <v>41766.400000000001</v>
      </c>
      <c r="AZ1015" s="387" t="str">
        <f t="shared" si="690"/>
        <v/>
      </c>
      <c r="BA1015" s="387">
        <f t="shared" si="691"/>
        <v>0</v>
      </c>
      <c r="BB1015" s="387">
        <f t="shared" si="660"/>
        <v>11650</v>
      </c>
      <c r="BC1015" s="387">
        <f t="shared" si="661"/>
        <v>0</v>
      </c>
      <c r="BD1015" s="387">
        <f t="shared" si="662"/>
        <v>2589.5167999999999</v>
      </c>
      <c r="BE1015" s="387">
        <f t="shared" si="663"/>
        <v>605.61280000000011</v>
      </c>
      <c r="BF1015" s="387">
        <f t="shared" si="664"/>
        <v>4986.9081600000009</v>
      </c>
      <c r="BG1015" s="387">
        <f t="shared" si="665"/>
        <v>301.13574400000005</v>
      </c>
      <c r="BH1015" s="387">
        <f t="shared" si="666"/>
        <v>204.65536</v>
      </c>
      <c r="BI1015" s="387">
        <f t="shared" si="667"/>
        <v>231.17702400000002</v>
      </c>
      <c r="BJ1015" s="387">
        <f t="shared" si="668"/>
        <v>112.76928000000001</v>
      </c>
      <c r="BK1015" s="387">
        <f t="shared" si="669"/>
        <v>0</v>
      </c>
      <c r="BL1015" s="387">
        <f t="shared" si="692"/>
        <v>9031.7751680000019</v>
      </c>
      <c r="BM1015" s="387">
        <f t="shared" si="693"/>
        <v>0</v>
      </c>
      <c r="BN1015" s="387">
        <f t="shared" si="670"/>
        <v>11650</v>
      </c>
      <c r="BO1015" s="387">
        <f t="shared" si="671"/>
        <v>0</v>
      </c>
      <c r="BP1015" s="387">
        <f t="shared" si="672"/>
        <v>2589.5167999999999</v>
      </c>
      <c r="BQ1015" s="387">
        <f t="shared" si="673"/>
        <v>605.61280000000011</v>
      </c>
      <c r="BR1015" s="387">
        <f t="shared" si="674"/>
        <v>4986.9081600000009</v>
      </c>
      <c r="BS1015" s="387">
        <f t="shared" si="675"/>
        <v>301.13574400000005</v>
      </c>
      <c r="BT1015" s="387">
        <f t="shared" si="676"/>
        <v>0</v>
      </c>
      <c r="BU1015" s="387">
        <f t="shared" si="677"/>
        <v>231.17702400000002</v>
      </c>
      <c r="BV1015" s="387">
        <f t="shared" si="678"/>
        <v>142.00576000000001</v>
      </c>
      <c r="BW1015" s="387">
        <f t="shared" si="679"/>
        <v>0</v>
      </c>
      <c r="BX1015" s="387">
        <f t="shared" si="694"/>
        <v>8856.3562880000009</v>
      </c>
      <c r="BY1015" s="387">
        <f t="shared" si="695"/>
        <v>0</v>
      </c>
      <c r="BZ1015" s="387">
        <f t="shared" si="696"/>
        <v>0</v>
      </c>
      <c r="CA1015" s="387">
        <f t="shared" si="697"/>
        <v>0</v>
      </c>
      <c r="CB1015" s="387">
        <f t="shared" si="698"/>
        <v>0</v>
      </c>
      <c r="CC1015" s="387">
        <f t="shared" si="680"/>
        <v>0</v>
      </c>
      <c r="CD1015" s="387">
        <f t="shared" si="681"/>
        <v>0</v>
      </c>
      <c r="CE1015" s="387">
        <f t="shared" si="682"/>
        <v>0</v>
      </c>
      <c r="CF1015" s="387">
        <f t="shared" si="683"/>
        <v>-204.65536</v>
      </c>
      <c r="CG1015" s="387">
        <f t="shared" si="684"/>
        <v>0</v>
      </c>
      <c r="CH1015" s="387">
        <f t="shared" si="685"/>
        <v>29.236479999999986</v>
      </c>
      <c r="CI1015" s="387">
        <f t="shared" si="686"/>
        <v>0</v>
      </c>
      <c r="CJ1015" s="387">
        <f t="shared" si="699"/>
        <v>-175.41888</v>
      </c>
      <c r="CK1015" s="387" t="str">
        <f t="shared" si="700"/>
        <v/>
      </c>
      <c r="CL1015" s="387" t="str">
        <f t="shared" si="701"/>
        <v/>
      </c>
      <c r="CM1015" s="387" t="str">
        <f t="shared" si="702"/>
        <v/>
      </c>
      <c r="CN1015" s="387" t="str">
        <f t="shared" si="703"/>
        <v>0348-31</v>
      </c>
    </row>
    <row r="1016" spans="1:92" ht="15.75" thickBot="1" x14ac:dyDescent="0.3">
      <c r="A1016" s="376" t="s">
        <v>161</v>
      </c>
      <c r="B1016" s="376" t="s">
        <v>162</v>
      </c>
      <c r="C1016" s="376" t="s">
        <v>1229</v>
      </c>
      <c r="D1016" s="376" t="s">
        <v>868</v>
      </c>
      <c r="E1016" s="376" t="s">
        <v>224</v>
      </c>
      <c r="F1016" s="382" t="s">
        <v>225</v>
      </c>
      <c r="G1016" s="376" t="s">
        <v>1945</v>
      </c>
      <c r="H1016" s="378"/>
      <c r="I1016" s="378"/>
      <c r="J1016" s="376" t="s">
        <v>215</v>
      </c>
      <c r="K1016" s="376" t="s">
        <v>894</v>
      </c>
      <c r="L1016" s="376" t="s">
        <v>170</v>
      </c>
      <c r="M1016" s="376" t="s">
        <v>171</v>
      </c>
      <c r="N1016" s="376" t="s">
        <v>172</v>
      </c>
      <c r="O1016" s="379">
        <v>1</v>
      </c>
      <c r="P1016" s="385">
        <v>1</v>
      </c>
      <c r="Q1016" s="385">
        <v>1</v>
      </c>
      <c r="R1016" s="380">
        <v>80</v>
      </c>
      <c r="S1016" s="385">
        <v>1</v>
      </c>
      <c r="T1016" s="380">
        <v>0</v>
      </c>
      <c r="U1016" s="380">
        <v>0</v>
      </c>
      <c r="V1016" s="380">
        <v>0</v>
      </c>
      <c r="W1016" s="380">
        <v>60632</v>
      </c>
      <c r="X1016" s="380">
        <v>24761.64</v>
      </c>
      <c r="Y1016" s="380">
        <v>60632</v>
      </c>
      <c r="Z1016" s="380">
        <v>24506.99</v>
      </c>
      <c r="AA1016" s="376" t="s">
        <v>1230</v>
      </c>
      <c r="AB1016" s="376" t="s">
        <v>1231</v>
      </c>
      <c r="AC1016" s="376" t="s">
        <v>1232</v>
      </c>
      <c r="AD1016" s="376" t="s">
        <v>170</v>
      </c>
      <c r="AE1016" s="376" t="s">
        <v>894</v>
      </c>
      <c r="AF1016" s="376" t="s">
        <v>177</v>
      </c>
      <c r="AG1016" s="376" t="s">
        <v>178</v>
      </c>
      <c r="AH1016" s="381">
        <v>29.15</v>
      </c>
      <c r="AI1016" s="381">
        <v>27242.9</v>
      </c>
      <c r="AJ1016" s="376" t="s">
        <v>179</v>
      </c>
      <c r="AK1016" s="376" t="s">
        <v>180</v>
      </c>
      <c r="AL1016" s="376" t="s">
        <v>181</v>
      </c>
      <c r="AM1016" s="376" t="s">
        <v>182</v>
      </c>
      <c r="AN1016" s="376" t="s">
        <v>68</v>
      </c>
      <c r="AO1016" s="379">
        <v>80</v>
      </c>
      <c r="AP1016" s="385">
        <v>1</v>
      </c>
      <c r="AQ1016" s="385">
        <v>1</v>
      </c>
      <c r="AR1016" s="383" t="s">
        <v>183</v>
      </c>
      <c r="AS1016" s="387">
        <f t="shared" si="687"/>
        <v>1</v>
      </c>
      <c r="AT1016">
        <f t="shared" si="688"/>
        <v>1</v>
      </c>
      <c r="AU1016" s="387">
        <f>IF(AT1016=0,"",IF(AND(AT1016=1,M1016="F",SUMIF(C2:C1334,C1016,AS2:AS1334)&lt;=1),SUMIF(C2:C1334,C1016,AS2:AS1334),IF(AND(AT1016=1,M1016="F",SUMIF(C2:C1334,C1016,AS2:AS1334)&gt;1),1,"")))</f>
        <v>1</v>
      </c>
      <c r="AV1016" s="387" t="str">
        <f>IF(AT1016=0,"",IF(AND(AT1016=3,M1016="F",SUMIF(C2:C1334,C1016,AS2:AS1334)&lt;=1),SUMIF(C2:C1334,C1016,AS2:AS1334),IF(AND(AT1016=3,M1016="F",SUMIF(C2:C1334,C1016,AS2:AS1334)&gt;1),1,"")))</f>
        <v/>
      </c>
      <c r="AW1016" s="387">
        <f>SUMIF(C2:C1334,C1016,O2:O1334)</f>
        <v>2</v>
      </c>
      <c r="AX1016" s="387">
        <f>IF(AND(M1016="F",AS1016&lt;&gt;0),SUMIF(C2:C1334,C1016,W2:W1334),0)</f>
        <v>60632</v>
      </c>
      <c r="AY1016" s="387">
        <f t="shared" si="689"/>
        <v>60632</v>
      </c>
      <c r="AZ1016" s="387" t="str">
        <f t="shared" si="690"/>
        <v/>
      </c>
      <c r="BA1016" s="387">
        <f t="shared" si="691"/>
        <v>0</v>
      </c>
      <c r="BB1016" s="387">
        <f t="shared" si="660"/>
        <v>11650</v>
      </c>
      <c r="BC1016" s="387">
        <f t="shared" si="661"/>
        <v>0</v>
      </c>
      <c r="BD1016" s="387">
        <f t="shared" si="662"/>
        <v>3759.1840000000002</v>
      </c>
      <c r="BE1016" s="387">
        <f t="shared" si="663"/>
        <v>879.1640000000001</v>
      </c>
      <c r="BF1016" s="387">
        <f t="shared" si="664"/>
        <v>7239.4608000000007</v>
      </c>
      <c r="BG1016" s="387">
        <f t="shared" si="665"/>
        <v>437.15672000000001</v>
      </c>
      <c r="BH1016" s="387">
        <f t="shared" si="666"/>
        <v>297.09679999999997</v>
      </c>
      <c r="BI1016" s="387">
        <f t="shared" si="667"/>
        <v>335.59811999999999</v>
      </c>
      <c r="BJ1016" s="387">
        <f t="shared" si="668"/>
        <v>163.7064</v>
      </c>
      <c r="BK1016" s="387">
        <f t="shared" si="669"/>
        <v>0</v>
      </c>
      <c r="BL1016" s="387">
        <f t="shared" si="692"/>
        <v>13111.366840000001</v>
      </c>
      <c r="BM1016" s="387">
        <f t="shared" si="693"/>
        <v>0</v>
      </c>
      <c r="BN1016" s="387">
        <f t="shared" si="670"/>
        <v>11650</v>
      </c>
      <c r="BO1016" s="387">
        <f t="shared" si="671"/>
        <v>0</v>
      </c>
      <c r="BP1016" s="387">
        <f t="shared" si="672"/>
        <v>3759.1840000000002</v>
      </c>
      <c r="BQ1016" s="387">
        <f t="shared" si="673"/>
        <v>879.1640000000001</v>
      </c>
      <c r="BR1016" s="387">
        <f t="shared" si="674"/>
        <v>7239.4608000000007</v>
      </c>
      <c r="BS1016" s="387">
        <f t="shared" si="675"/>
        <v>437.15672000000001</v>
      </c>
      <c r="BT1016" s="387">
        <f t="shared" si="676"/>
        <v>0</v>
      </c>
      <c r="BU1016" s="387">
        <f t="shared" si="677"/>
        <v>335.59811999999999</v>
      </c>
      <c r="BV1016" s="387">
        <f t="shared" si="678"/>
        <v>206.14879999999999</v>
      </c>
      <c r="BW1016" s="387">
        <f t="shared" si="679"/>
        <v>0</v>
      </c>
      <c r="BX1016" s="387">
        <f t="shared" si="694"/>
        <v>12856.712440000003</v>
      </c>
      <c r="BY1016" s="387">
        <f t="shared" si="695"/>
        <v>0</v>
      </c>
      <c r="BZ1016" s="387">
        <f t="shared" si="696"/>
        <v>0</v>
      </c>
      <c r="CA1016" s="387">
        <f t="shared" si="697"/>
        <v>0</v>
      </c>
      <c r="CB1016" s="387">
        <f t="shared" si="698"/>
        <v>0</v>
      </c>
      <c r="CC1016" s="387">
        <f t="shared" si="680"/>
        <v>0</v>
      </c>
      <c r="CD1016" s="387">
        <f t="shared" si="681"/>
        <v>0</v>
      </c>
      <c r="CE1016" s="387">
        <f t="shared" si="682"/>
        <v>0</v>
      </c>
      <c r="CF1016" s="387">
        <f t="shared" si="683"/>
        <v>-297.09679999999997</v>
      </c>
      <c r="CG1016" s="387">
        <f t="shared" si="684"/>
        <v>0</v>
      </c>
      <c r="CH1016" s="387">
        <f t="shared" si="685"/>
        <v>42.442399999999978</v>
      </c>
      <c r="CI1016" s="387">
        <f t="shared" si="686"/>
        <v>0</v>
      </c>
      <c r="CJ1016" s="387">
        <f t="shared" si="699"/>
        <v>-254.65440000000001</v>
      </c>
      <c r="CK1016" s="387" t="str">
        <f t="shared" si="700"/>
        <v/>
      </c>
      <c r="CL1016" s="387" t="str">
        <f t="shared" si="701"/>
        <v/>
      </c>
      <c r="CM1016" s="387" t="str">
        <f t="shared" si="702"/>
        <v/>
      </c>
      <c r="CN1016" s="387" t="str">
        <f t="shared" si="703"/>
        <v>0348-31</v>
      </c>
    </row>
    <row r="1017" spans="1:92" ht="15.75" thickBot="1" x14ac:dyDescent="0.3">
      <c r="A1017" s="376" t="s">
        <v>161</v>
      </c>
      <c r="B1017" s="376" t="s">
        <v>162</v>
      </c>
      <c r="C1017" s="376" t="s">
        <v>1565</v>
      </c>
      <c r="D1017" s="376" t="s">
        <v>862</v>
      </c>
      <c r="E1017" s="376" t="s">
        <v>224</v>
      </c>
      <c r="F1017" s="382" t="s">
        <v>225</v>
      </c>
      <c r="G1017" s="376" t="s">
        <v>1945</v>
      </c>
      <c r="H1017" s="378"/>
      <c r="I1017" s="378"/>
      <c r="J1017" s="376" t="s">
        <v>168</v>
      </c>
      <c r="K1017" s="376" t="s">
        <v>863</v>
      </c>
      <c r="L1017" s="376" t="s">
        <v>252</v>
      </c>
      <c r="M1017" s="376" t="s">
        <v>171</v>
      </c>
      <c r="N1017" s="376" t="s">
        <v>172</v>
      </c>
      <c r="O1017" s="379">
        <v>2</v>
      </c>
      <c r="P1017" s="385">
        <v>0.3</v>
      </c>
      <c r="Q1017" s="385">
        <v>0.3</v>
      </c>
      <c r="R1017" s="380">
        <v>80</v>
      </c>
      <c r="S1017" s="385">
        <v>0.3</v>
      </c>
      <c r="T1017" s="380">
        <v>15021.49</v>
      </c>
      <c r="U1017" s="380">
        <v>0</v>
      </c>
      <c r="V1017" s="380">
        <v>6765.54</v>
      </c>
      <c r="W1017" s="380">
        <v>11687.52</v>
      </c>
      <c r="X1017" s="380">
        <v>6022.41</v>
      </c>
      <c r="Y1017" s="380">
        <v>11687.52</v>
      </c>
      <c r="Z1017" s="380">
        <v>5973.33</v>
      </c>
      <c r="AA1017" s="376" t="s">
        <v>1566</v>
      </c>
      <c r="AB1017" s="376" t="s">
        <v>1567</v>
      </c>
      <c r="AC1017" s="376" t="s">
        <v>577</v>
      </c>
      <c r="AD1017" s="376" t="s">
        <v>198</v>
      </c>
      <c r="AE1017" s="376" t="s">
        <v>863</v>
      </c>
      <c r="AF1017" s="376" t="s">
        <v>393</v>
      </c>
      <c r="AG1017" s="376" t="s">
        <v>178</v>
      </c>
      <c r="AH1017" s="381">
        <v>26.33</v>
      </c>
      <c r="AI1017" s="379">
        <v>56840</v>
      </c>
      <c r="AJ1017" s="376" t="s">
        <v>179</v>
      </c>
      <c r="AK1017" s="376" t="s">
        <v>180</v>
      </c>
      <c r="AL1017" s="376" t="s">
        <v>181</v>
      </c>
      <c r="AM1017" s="376" t="s">
        <v>182</v>
      </c>
      <c r="AN1017" s="376" t="s">
        <v>68</v>
      </c>
      <c r="AO1017" s="379">
        <v>80</v>
      </c>
      <c r="AP1017" s="385">
        <v>1</v>
      </c>
      <c r="AQ1017" s="385">
        <v>0.3</v>
      </c>
      <c r="AR1017" s="383" t="s">
        <v>183</v>
      </c>
      <c r="AS1017" s="387">
        <f t="shared" si="687"/>
        <v>0.3</v>
      </c>
      <c r="AT1017">
        <f t="shared" si="688"/>
        <v>1</v>
      </c>
      <c r="AU1017" s="387">
        <f>IF(AT1017=0,"",IF(AND(AT1017=1,M1017="F",SUMIF(C2:C1334,C1017,AS2:AS1334)&lt;=1),SUMIF(C2:C1334,C1017,AS2:AS1334),IF(AND(AT1017=1,M1017="F",SUMIF(C2:C1334,C1017,AS2:AS1334)&gt;1),1,"")))</f>
        <v>1</v>
      </c>
      <c r="AV1017" s="387" t="str">
        <f>IF(AT1017=0,"",IF(AND(AT1017=3,M1017="F",SUMIF(C2:C1334,C1017,AS2:AS1334)&lt;=1),SUMIF(C2:C1334,C1017,AS2:AS1334),IF(AND(AT1017=3,M1017="F",SUMIF(C2:C1334,C1017,AS2:AS1334)&gt;1),1,"")))</f>
        <v/>
      </c>
      <c r="AW1017" s="387">
        <f>SUMIF(C2:C1334,C1017,O2:O1334)</f>
        <v>12</v>
      </c>
      <c r="AX1017" s="387">
        <f>IF(AND(M1017="F",AS1017&lt;&gt;0),SUMIF(C2:C1334,C1017,W2:W1334),0)</f>
        <v>77916.800000000003</v>
      </c>
      <c r="AY1017" s="387">
        <f t="shared" si="689"/>
        <v>11687.52</v>
      </c>
      <c r="AZ1017" s="387" t="str">
        <f t="shared" si="690"/>
        <v/>
      </c>
      <c r="BA1017" s="387">
        <f t="shared" si="691"/>
        <v>0</v>
      </c>
      <c r="BB1017" s="387">
        <f t="shared" si="660"/>
        <v>3495</v>
      </c>
      <c r="BC1017" s="387">
        <f t="shared" si="661"/>
        <v>0</v>
      </c>
      <c r="BD1017" s="387">
        <f t="shared" si="662"/>
        <v>724.62624000000005</v>
      </c>
      <c r="BE1017" s="387">
        <f t="shared" si="663"/>
        <v>169.46904000000001</v>
      </c>
      <c r="BF1017" s="387">
        <f t="shared" si="664"/>
        <v>1395.4898880000001</v>
      </c>
      <c r="BG1017" s="387">
        <f t="shared" si="665"/>
        <v>84.267019200000007</v>
      </c>
      <c r="BH1017" s="387">
        <f t="shared" si="666"/>
        <v>57.268847999999998</v>
      </c>
      <c r="BI1017" s="387">
        <f t="shared" si="667"/>
        <v>64.690423199999998</v>
      </c>
      <c r="BJ1017" s="387">
        <f t="shared" si="668"/>
        <v>31.556304000000004</v>
      </c>
      <c r="BK1017" s="387">
        <f t="shared" si="669"/>
        <v>0</v>
      </c>
      <c r="BL1017" s="387">
        <f t="shared" si="692"/>
        <v>2527.3677624000006</v>
      </c>
      <c r="BM1017" s="387">
        <f t="shared" si="693"/>
        <v>0</v>
      </c>
      <c r="BN1017" s="387">
        <f t="shared" si="670"/>
        <v>3495</v>
      </c>
      <c r="BO1017" s="387">
        <f t="shared" si="671"/>
        <v>0</v>
      </c>
      <c r="BP1017" s="387">
        <f t="shared" si="672"/>
        <v>724.62624000000005</v>
      </c>
      <c r="BQ1017" s="387">
        <f t="shared" si="673"/>
        <v>169.46904000000001</v>
      </c>
      <c r="BR1017" s="387">
        <f t="shared" si="674"/>
        <v>1395.4898880000001</v>
      </c>
      <c r="BS1017" s="387">
        <f t="shared" si="675"/>
        <v>84.267019200000007</v>
      </c>
      <c r="BT1017" s="387">
        <f t="shared" si="676"/>
        <v>0</v>
      </c>
      <c r="BU1017" s="387">
        <f t="shared" si="677"/>
        <v>64.690423199999998</v>
      </c>
      <c r="BV1017" s="387">
        <f t="shared" si="678"/>
        <v>39.737567999999996</v>
      </c>
      <c r="BW1017" s="387">
        <f t="shared" si="679"/>
        <v>0</v>
      </c>
      <c r="BX1017" s="387">
        <f t="shared" si="694"/>
        <v>2478.2801784000003</v>
      </c>
      <c r="BY1017" s="387">
        <f t="shared" si="695"/>
        <v>0</v>
      </c>
      <c r="BZ1017" s="387">
        <f t="shared" si="696"/>
        <v>0</v>
      </c>
      <c r="CA1017" s="387">
        <f t="shared" si="697"/>
        <v>0</v>
      </c>
      <c r="CB1017" s="387">
        <f t="shared" si="698"/>
        <v>0</v>
      </c>
      <c r="CC1017" s="387">
        <f t="shared" si="680"/>
        <v>0</v>
      </c>
      <c r="CD1017" s="387">
        <f t="shared" si="681"/>
        <v>0</v>
      </c>
      <c r="CE1017" s="387">
        <f t="shared" si="682"/>
        <v>0</v>
      </c>
      <c r="CF1017" s="387">
        <f t="shared" si="683"/>
        <v>-57.268847999999998</v>
      </c>
      <c r="CG1017" s="387">
        <f t="shared" si="684"/>
        <v>0</v>
      </c>
      <c r="CH1017" s="387">
        <f t="shared" si="685"/>
        <v>8.181263999999997</v>
      </c>
      <c r="CI1017" s="387">
        <f t="shared" si="686"/>
        <v>0</v>
      </c>
      <c r="CJ1017" s="387">
        <f t="shared" si="699"/>
        <v>-49.087584</v>
      </c>
      <c r="CK1017" s="387" t="str">
        <f t="shared" si="700"/>
        <v/>
      </c>
      <c r="CL1017" s="387" t="str">
        <f t="shared" si="701"/>
        <v/>
      </c>
      <c r="CM1017" s="387" t="str">
        <f t="shared" si="702"/>
        <v/>
      </c>
      <c r="CN1017" s="387" t="str">
        <f t="shared" si="703"/>
        <v>0348-31</v>
      </c>
    </row>
    <row r="1018" spans="1:92" ht="15.75" thickBot="1" x14ac:dyDescent="0.3">
      <c r="A1018" s="376" t="s">
        <v>161</v>
      </c>
      <c r="B1018" s="376" t="s">
        <v>162</v>
      </c>
      <c r="C1018" s="376" t="s">
        <v>403</v>
      </c>
      <c r="D1018" s="376" t="s">
        <v>238</v>
      </c>
      <c r="E1018" s="376" t="s">
        <v>224</v>
      </c>
      <c r="F1018" s="382" t="s">
        <v>225</v>
      </c>
      <c r="G1018" s="376" t="s">
        <v>1945</v>
      </c>
      <c r="H1018" s="378"/>
      <c r="I1018" s="378"/>
      <c r="J1018" s="376" t="s">
        <v>239</v>
      </c>
      <c r="K1018" s="376" t="s">
        <v>343</v>
      </c>
      <c r="L1018" s="376" t="s">
        <v>296</v>
      </c>
      <c r="M1018" s="376" t="s">
        <v>171</v>
      </c>
      <c r="N1018" s="376" t="s">
        <v>172</v>
      </c>
      <c r="O1018" s="379">
        <v>1</v>
      </c>
      <c r="P1018" s="385">
        <v>0</v>
      </c>
      <c r="Q1018" s="385">
        <v>0</v>
      </c>
      <c r="R1018" s="380">
        <v>80</v>
      </c>
      <c r="S1018" s="385">
        <v>0</v>
      </c>
      <c r="T1018" s="380">
        <v>325.07</v>
      </c>
      <c r="U1018" s="380">
        <v>0</v>
      </c>
      <c r="V1018" s="380">
        <v>148.46</v>
      </c>
      <c r="W1018" s="380">
        <v>0</v>
      </c>
      <c r="X1018" s="380">
        <v>0</v>
      </c>
      <c r="Y1018" s="380">
        <v>0</v>
      </c>
      <c r="Z1018" s="380">
        <v>0</v>
      </c>
      <c r="AA1018" s="376" t="s">
        <v>404</v>
      </c>
      <c r="AB1018" s="376" t="s">
        <v>405</v>
      </c>
      <c r="AC1018" s="376" t="s">
        <v>229</v>
      </c>
      <c r="AD1018" s="376" t="s">
        <v>406</v>
      </c>
      <c r="AE1018" s="376" t="s">
        <v>343</v>
      </c>
      <c r="AF1018" s="376" t="s">
        <v>301</v>
      </c>
      <c r="AG1018" s="376" t="s">
        <v>178</v>
      </c>
      <c r="AH1018" s="381">
        <v>22.23</v>
      </c>
      <c r="AI1018" s="381">
        <v>63543.7</v>
      </c>
      <c r="AJ1018" s="376" t="s">
        <v>179</v>
      </c>
      <c r="AK1018" s="376" t="s">
        <v>180</v>
      </c>
      <c r="AL1018" s="376" t="s">
        <v>181</v>
      </c>
      <c r="AM1018" s="376" t="s">
        <v>182</v>
      </c>
      <c r="AN1018" s="376" t="s">
        <v>68</v>
      </c>
      <c r="AO1018" s="379">
        <v>80</v>
      </c>
      <c r="AP1018" s="385">
        <v>1</v>
      </c>
      <c r="AQ1018" s="385">
        <v>0</v>
      </c>
      <c r="AR1018" s="383" t="s">
        <v>183</v>
      </c>
      <c r="AS1018" s="387">
        <f t="shared" si="687"/>
        <v>0</v>
      </c>
      <c r="AT1018">
        <f t="shared" si="688"/>
        <v>0</v>
      </c>
      <c r="AU1018" s="387" t="str">
        <f>IF(AT1018=0,"",IF(AND(AT1018=1,M1018="F",SUMIF(C2:C1334,C1018,AS2:AS1334)&lt;=1),SUMIF(C2:C1334,C1018,AS2:AS1334),IF(AND(AT1018=1,M1018="F",SUMIF(C2:C1334,C1018,AS2:AS1334)&gt;1),1,"")))</f>
        <v/>
      </c>
      <c r="AV1018" s="387" t="str">
        <f>IF(AT1018=0,"",IF(AND(AT1018=3,M1018="F",SUMIF(C2:C1334,C1018,AS2:AS1334)&lt;=1),SUMIF(C2:C1334,C1018,AS2:AS1334),IF(AND(AT1018=3,M1018="F",SUMIF(C2:C1334,C1018,AS2:AS1334)&gt;1),1,"")))</f>
        <v/>
      </c>
      <c r="AW1018" s="387">
        <f>SUMIF(C2:C1334,C1018,O2:O1334)</f>
        <v>3</v>
      </c>
      <c r="AX1018" s="387">
        <f>IF(AND(M1018="F",AS1018&lt;&gt;0),SUMIF(C2:C1334,C1018,W2:W1334),0)</f>
        <v>0</v>
      </c>
      <c r="AY1018" s="387" t="str">
        <f t="shared" si="689"/>
        <v/>
      </c>
      <c r="AZ1018" s="387" t="str">
        <f t="shared" si="690"/>
        <v/>
      </c>
      <c r="BA1018" s="387">
        <f t="shared" si="691"/>
        <v>0</v>
      </c>
      <c r="BB1018" s="387">
        <f t="shared" si="660"/>
        <v>0</v>
      </c>
      <c r="BC1018" s="387">
        <f t="shared" si="661"/>
        <v>0</v>
      </c>
      <c r="BD1018" s="387">
        <f t="shared" si="662"/>
        <v>0</v>
      </c>
      <c r="BE1018" s="387">
        <f t="shared" si="663"/>
        <v>0</v>
      </c>
      <c r="BF1018" s="387">
        <f t="shared" si="664"/>
        <v>0</v>
      </c>
      <c r="BG1018" s="387">
        <f t="shared" si="665"/>
        <v>0</v>
      </c>
      <c r="BH1018" s="387">
        <f t="shared" si="666"/>
        <v>0</v>
      </c>
      <c r="BI1018" s="387">
        <f t="shared" si="667"/>
        <v>0</v>
      </c>
      <c r="BJ1018" s="387">
        <f t="shared" si="668"/>
        <v>0</v>
      </c>
      <c r="BK1018" s="387">
        <f t="shared" si="669"/>
        <v>0</v>
      </c>
      <c r="BL1018" s="387">
        <f t="shared" si="692"/>
        <v>0</v>
      </c>
      <c r="BM1018" s="387">
        <f t="shared" si="693"/>
        <v>0</v>
      </c>
      <c r="BN1018" s="387">
        <f t="shared" si="670"/>
        <v>0</v>
      </c>
      <c r="BO1018" s="387">
        <f t="shared" si="671"/>
        <v>0</v>
      </c>
      <c r="BP1018" s="387">
        <f t="shared" si="672"/>
        <v>0</v>
      </c>
      <c r="BQ1018" s="387">
        <f t="shared" si="673"/>
        <v>0</v>
      </c>
      <c r="BR1018" s="387">
        <f t="shared" si="674"/>
        <v>0</v>
      </c>
      <c r="BS1018" s="387">
        <f t="shared" si="675"/>
        <v>0</v>
      </c>
      <c r="BT1018" s="387">
        <f t="shared" si="676"/>
        <v>0</v>
      </c>
      <c r="BU1018" s="387">
        <f t="shared" si="677"/>
        <v>0</v>
      </c>
      <c r="BV1018" s="387">
        <f t="shared" si="678"/>
        <v>0</v>
      </c>
      <c r="BW1018" s="387">
        <f t="shared" si="679"/>
        <v>0</v>
      </c>
      <c r="BX1018" s="387">
        <f t="shared" si="694"/>
        <v>0</v>
      </c>
      <c r="BY1018" s="387">
        <f t="shared" si="695"/>
        <v>0</v>
      </c>
      <c r="BZ1018" s="387">
        <f t="shared" si="696"/>
        <v>0</v>
      </c>
      <c r="CA1018" s="387">
        <f t="shared" si="697"/>
        <v>0</v>
      </c>
      <c r="CB1018" s="387">
        <f t="shared" si="698"/>
        <v>0</v>
      </c>
      <c r="CC1018" s="387">
        <f t="shared" si="680"/>
        <v>0</v>
      </c>
      <c r="CD1018" s="387">
        <f t="shared" si="681"/>
        <v>0</v>
      </c>
      <c r="CE1018" s="387">
        <f t="shared" si="682"/>
        <v>0</v>
      </c>
      <c r="CF1018" s="387">
        <f t="shared" si="683"/>
        <v>0</v>
      </c>
      <c r="CG1018" s="387">
        <f t="shared" si="684"/>
        <v>0</v>
      </c>
      <c r="CH1018" s="387">
        <f t="shared" si="685"/>
        <v>0</v>
      </c>
      <c r="CI1018" s="387">
        <f t="shared" si="686"/>
        <v>0</v>
      </c>
      <c r="CJ1018" s="387">
        <f t="shared" si="699"/>
        <v>0</v>
      </c>
      <c r="CK1018" s="387" t="str">
        <f t="shared" si="700"/>
        <v/>
      </c>
      <c r="CL1018" s="387" t="str">
        <f t="shared" si="701"/>
        <v/>
      </c>
      <c r="CM1018" s="387" t="str">
        <f t="shared" si="702"/>
        <v/>
      </c>
      <c r="CN1018" s="387" t="str">
        <f t="shared" si="703"/>
        <v>0348-31</v>
      </c>
    </row>
    <row r="1019" spans="1:92" ht="15.75" thickBot="1" x14ac:dyDescent="0.3">
      <c r="A1019" s="376" t="s">
        <v>161</v>
      </c>
      <c r="B1019" s="376" t="s">
        <v>162</v>
      </c>
      <c r="C1019" s="376" t="s">
        <v>1974</v>
      </c>
      <c r="D1019" s="376" t="s">
        <v>655</v>
      </c>
      <c r="E1019" s="376" t="s">
        <v>224</v>
      </c>
      <c r="F1019" s="382" t="s">
        <v>225</v>
      </c>
      <c r="G1019" s="376" t="s">
        <v>1945</v>
      </c>
      <c r="H1019" s="378"/>
      <c r="I1019" s="378"/>
      <c r="J1019" s="376" t="s">
        <v>215</v>
      </c>
      <c r="K1019" s="376" t="s">
        <v>656</v>
      </c>
      <c r="L1019" s="376" t="s">
        <v>210</v>
      </c>
      <c r="M1019" s="376" t="s">
        <v>171</v>
      </c>
      <c r="N1019" s="376" t="s">
        <v>172</v>
      </c>
      <c r="O1019" s="379">
        <v>1</v>
      </c>
      <c r="P1019" s="385">
        <v>1</v>
      </c>
      <c r="Q1019" s="385">
        <v>1</v>
      </c>
      <c r="R1019" s="380">
        <v>80</v>
      </c>
      <c r="S1019" s="385">
        <v>1</v>
      </c>
      <c r="T1019" s="380">
        <v>27304.89</v>
      </c>
      <c r="U1019" s="380">
        <v>274.5</v>
      </c>
      <c r="V1019" s="380">
        <v>10468.5</v>
      </c>
      <c r="W1019" s="380">
        <v>66768</v>
      </c>
      <c r="X1019" s="380">
        <v>26088.54</v>
      </c>
      <c r="Y1019" s="380">
        <v>66768</v>
      </c>
      <c r="Z1019" s="380">
        <v>25808.12</v>
      </c>
      <c r="AA1019" s="376" t="s">
        <v>1975</v>
      </c>
      <c r="AB1019" s="376" t="s">
        <v>1976</v>
      </c>
      <c r="AC1019" s="376" t="s">
        <v>912</v>
      </c>
      <c r="AD1019" s="376" t="s">
        <v>170</v>
      </c>
      <c r="AE1019" s="376" t="s">
        <v>656</v>
      </c>
      <c r="AF1019" s="376" t="s">
        <v>245</v>
      </c>
      <c r="AG1019" s="376" t="s">
        <v>178</v>
      </c>
      <c r="AH1019" s="381">
        <v>32.1</v>
      </c>
      <c r="AI1019" s="381">
        <v>21071.200000000001</v>
      </c>
      <c r="AJ1019" s="376" t="s">
        <v>179</v>
      </c>
      <c r="AK1019" s="376" t="s">
        <v>180</v>
      </c>
      <c r="AL1019" s="376" t="s">
        <v>181</v>
      </c>
      <c r="AM1019" s="376" t="s">
        <v>182</v>
      </c>
      <c r="AN1019" s="376" t="s">
        <v>68</v>
      </c>
      <c r="AO1019" s="379">
        <v>80</v>
      </c>
      <c r="AP1019" s="385">
        <v>1</v>
      </c>
      <c r="AQ1019" s="385">
        <v>1</v>
      </c>
      <c r="AR1019" s="383" t="s">
        <v>183</v>
      </c>
      <c r="AS1019" s="387">
        <f t="shared" si="687"/>
        <v>1</v>
      </c>
      <c r="AT1019">
        <f t="shared" si="688"/>
        <v>1</v>
      </c>
      <c r="AU1019" s="387">
        <f>IF(AT1019=0,"",IF(AND(AT1019=1,M1019="F",SUMIF(C2:C1334,C1019,AS2:AS1334)&lt;=1),SUMIF(C2:C1334,C1019,AS2:AS1334),IF(AND(AT1019=1,M1019="F",SUMIF(C2:C1334,C1019,AS2:AS1334)&gt;1),1,"")))</f>
        <v>1</v>
      </c>
      <c r="AV1019" s="387" t="str">
        <f>IF(AT1019=0,"",IF(AND(AT1019=3,M1019="F",SUMIF(C2:C1334,C1019,AS2:AS1334)&lt;=1),SUMIF(C2:C1334,C1019,AS2:AS1334),IF(AND(AT1019=3,M1019="F",SUMIF(C2:C1334,C1019,AS2:AS1334)&gt;1),1,"")))</f>
        <v/>
      </c>
      <c r="AW1019" s="387">
        <f>SUMIF(C2:C1334,C1019,O2:O1334)</f>
        <v>2</v>
      </c>
      <c r="AX1019" s="387">
        <f>IF(AND(M1019="F",AS1019&lt;&gt;0),SUMIF(C2:C1334,C1019,W2:W1334),0)</f>
        <v>66768</v>
      </c>
      <c r="AY1019" s="387">
        <f t="shared" si="689"/>
        <v>66768</v>
      </c>
      <c r="AZ1019" s="387" t="str">
        <f t="shared" si="690"/>
        <v/>
      </c>
      <c r="BA1019" s="387">
        <f t="shared" si="691"/>
        <v>0</v>
      </c>
      <c r="BB1019" s="387">
        <f t="shared" si="660"/>
        <v>11650</v>
      </c>
      <c r="BC1019" s="387">
        <f t="shared" si="661"/>
        <v>0</v>
      </c>
      <c r="BD1019" s="387">
        <f t="shared" si="662"/>
        <v>4139.616</v>
      </c>
      <c r="BE1019" s="387">
        <f t="shared" si="663"/>
        <v>968.13600000000008</v>
      </c>
      <c r="BF1019" s="387">
        <f t="shared" si="664"/>
        <v>7972.0992000000006</v>
      </c>
      <c r="BG1019" s="387">
        <f t="shared" si="665"/>
        <v>481.39728000000002</v>
      </c>
      <c r="BH1019" s="387">
        <f t="shared" si="666"/>
        <v>327.16320000000002</v>
      </c>
      <c r="BI1019" s="387">
        <f t="shared" si="667"/>
        <v>369.56088</v>
      </c>
      <c r="BJ1019" s="387">
        <f t="shared" si="668"/>
        <v>180.27360000000002</v>
      </c>
      <c r="BK1019" s="387">
        <f t="shared" si="669"/>
        <v>0</v>
      </c>
      <c r="BL1019" s="387">
        <f t="shared" si="692"/>
        <v>14438.246160000002</v>
      </c>
      <c r="BM1019" s="387">
        <f t="shared" si="693"/>
        <v>0</v>
      </c>
      <c r="BN1019" s="387">
        <f t="shared" si="670"/>
        <v>11650</v>
      </c>
      <c r="BO1019" s="387">
        <f t="shared" si="671"/>
        <v>0</v>
      </c>
      <c r="BP1019" s="387">
        <f t="shared" si="672"/>
        <v>4139.616</v>
      </c>
      <c r="BQ1019" s="387">
        <f t="shared" si="673"/>
        <v>968.13600000000008</v>
      </c>
      <c r="BR1019" s="387">
        <f t="shared" si="674"/>
        <v>7972.0992000000006</v>
      </c>
      <c r="BS1019" s="387">
        <f t="shared" si="675"/>
        <v>481.39728000000002</v>
      </c>
      <c r="BT1019" s="387">
        <f t="shared" si="676"/>
        <v>0</v>
      </c>
      <c r="BU1019" s="387">
        <f t="shared" si="677"/>
        <v>369.56088</v>
      </c>
      <c r="BV1019" s="387">
        <f t="shared" si="678"/>
        <v>227.01119999999997</v>
      </c>
      <c r="BW1019" s="387">
        <f t="shared" si="679"/>
        <v>0</v>
      </c>
      <c r="BX1019" s="387">
        <f t="shared" si="694"/>
        <v>14157.82056</v>
      </c>
      <c r="BY1019" s="387">
        <f t="shared" si="695"/>
        <v>0</v>
      </c>
      <c r="BZ1019" s="387">
        <f t="shared" si="696"/>
        <v>0</v>
      </c>
      <c r="CA1019" s="387">
        <f t="shared" si="697"/>
        <v>0</v>
      </c>
      <c r="CB1019" s="387">
        <f t="shared" si="698"/>
        <v>0</v>
      </c>
      <c r="CC1019" s="387">
        <f t="shared" si="680"/>
        <v>0</v>
      </c>
      <c r="CD1019" s="387">
        <f t="shared" si="681"/>
        <v>0</v>
      </c>
      <c r="CE1019" s="387">
        <f t="shared" si="682"/>
        <v>0</v>
      </c>
      <c r="CF1019" s="387">
        <f t="shared" si="683"/>
        <v>-327.16320000000002</v>
      </c>
      <c r="CG1019" s="387">
        <f t="shared" si="684"/>
        <v>0</v>
      </c>
      <c r="CH1019" s="387">
        <f t="shared" si="685"/>
        <v>46.737599999999979</v>
      </c>
      <c r="CI1019" s="387">
        <f t="shared" si="686"/>
        <v>0</v>
      </c>
      <c r="CJ1019" s="387">
        <f t="shared" si="699"/>
        <v>-280.42560000000003</v>
      </c>
      <c r="CK1019" s="387" t="str">
        <f t="shared" si="700"/>
        <v/>
      </c>
      <c r="CL1019" s="387" t="str">
        <f t="shared" si="701"/>
        <v/>
      </c>
      <c r="CM1019" s="387" t="str">
        <f t="shared" si="702"/>
        <v/>
      </c>
      <c r="CN1019" s="387" t="str">
        <f t="shared" si="703"/>
        <v>0348-31</v>
      </c>
    </row>
    <row r="1020" spans="1:92" ht="15.75" thickBot="1" x14ac:dyDescent="0.3">
      <c r="A1020" s="376" t="s">
        <v>161</v>
      </c>
      <c r="B1020" s="376" t="s">
        <v>162</v>
      </c>
      <c r="C1020" s="376" t="s">
        <v>1385</v>
      </c>
      <c r="D1020" s="376" t="s">
        <v>792</v>
      </c>
      <c r="E1020" s="376" t="s">
        <v>224</v>
      </c>
      <c r="F1020" s="382" t="s">
        <v>225</v>
      </c>
      <c r="G1020" s="376" t="s">
        <v>1945</v>
      </c>
      <c r="H1020" s="378"/>
      <c r="I1020" s="378"/>
      <c r="J1020" s="376" t="s">
        <v>215</v>
      </c>
      <c r="K1020" s="376" t="s">
        <v>793</v>
      </c>
      <c r="L1020" s="376" t="s">
        <v>170</v>
      </c>
      <c r="M1020" s="376" t="s">
        <v>272</v>
      </c>
      <c r="N1020" s="376" t="s">
        <v>172</v>
      </c>
      <c r="O1020" s="379">
        <v>0</v>
      </c>
      <c r="P1020" s="385">
        <v>1</v>
      </c>
      <c r="Q1020" s="385">
        <v>1</v>
      </c>
      <c r="R1020" s="380">
        <v>80</v>
      </c>
      <c r="S1020" s="385">
        <v>1</v>
      </c>
      <c r="T1020" s="380">
        <v>3559.29</v>
      </c>
      <c r="U1020" s="380">
        <v>0</v>
      </c>
      <c r="V1020" s="380">
        <v>1561.48</v>
      </c>
      <c r="W1020" s="380">
        <v>53476.800000000003</v>
      </c>
      <c r="X1020" s="380">
        <v>23422.83</v>
      </c>
      <c r="Y1020" s="380">
        <v>53476.800000000003</v>
      </c>
      <c r="Z1020" s="380">
        <v>23155.45</v>
      </c>
      <c r="AA1020" s="378"/>
      <c r="AB1020" s="376" t="s">
        <v>45</v>
      </c>
      <c r="AC1020" s="376" t="s">
        <v>45</v>
      </c>
      <c r="AD1020" s="378"/>
      <c r="AE1020" s="378"/>
      <c r="AF1020" s="378"/>
      <c r="AG1020" s="378"/>
      <c r="AH1020" s="379">
        <v>0</v>
      </c>
      <c r="AI1020" s="379">
        <v>0</v>
      </c>
      <c r="AJ1020" s="378"/>
      <c r="AK1020" s="378"/>
      <c r="AL1020" s="376" t="s">
        <v>181</v>
      </c>
      <c r="AM1020" s="378"/>
      <c r="AN1020" s="378"/>
      <c r="AO1020" s="379">
        <v>0</v>
      </c>
      <c r="AP1020" s="385">
        <v>0</v>
      </c>
      <c r="AQ1020" s="385">
        <v>0</v>
      </c>
      <c r="AR1020" s="384"/>
      <c r="AS1020" s="387">
        <f t="shared" si="687"/>
        <v>0</v>
      </c>
      <c r="AT1020">
        <f t="shared" si="688"/>
        <v>0</v>
      </c>
      <c r="AU1020" s="387" t="str">
        <f>IF(AT1020=0,"",IF(AND(AT1020=1,M1020="F",SUMIF(C2:C1334,C1020,AS2:AS1334)&lt;=1),SUMIF(C2:C1334,C1020,AS2:AS1334),IF(AND(AT1020=1,M1020="F",SUMIF(C2:C1334,C1020,AS2:AS1334)&gt;1),1,"")))</f>
        <v/>
      </c>
      <c r="AV1020" s="387" t="str">
        <f>IF(AT1020=0,"",IF(AND(AT1020=3,M1020="F",SUMIF(C2:C1334,C1020,AS2:AS1334)&lt;=1),SUMIF(C2:C1334,C1020,AS2:AS1334),IF(AND(AT1020=3,M1020="F",SUMIF(C2:C1334,C1020,AS2:AS1334)&gt;1),1,"")))</f>
        <v/>
      </c>
      <c r="AW1020" s="387">
        <f>SUMIF(C2:C1334,C1020,O2:O1334)</f>
        <v>0</v>
      </c>
      <c r="AX1020" s="387">
        <f>IF(AND(M1020="F",AS1020&lt;&gt;0),SUMIF(C2:C1334,C1020,W2:W1334),0)</f>
        <v>0</v>
      </c>
      <c r="AY1020" s="387" t="str">
        <f t="shared" si="689"/>
        <v/>
      </c>
      <c r="AZ1020" s="387" t="str">
        <f t="shared" si="690"/>
        <v/>
      </c>
      <c r="BA1020" s="387">
        <f t="shared" si="691"/>
        <v>0</v>
      </c>
      <c r="BB1020" s="387">
        <f t="shared" si="660"/>
        <v>0</v>
      </c>
      <c r="BC1020" s="387">
        <f t="shared" si="661"/>
        <v>0</v>
      </c>
      <c r="BD1020" s="387">
        <f t="shared" si="662"/>
        <v>0</v>
      </c>
      <c r="BE1020" s="387">
        <f t="shared" si="663"/>
        <v>0</v>
      </c>
      <c r="BF1020" s="387">
        <f t="shared" si="664"/>
        <v>0</v>
      </c>
      <c r="BG1020" s="387">
        <f t="shared" si="665"/>
        <v>0</v>
      </c>
      <c r="BH1020" s="387">
        <f t="shared" si="666"/>
        <v>0</v>
      </c>
      <c r="BI1020" s="387">
        <f t="shared" si="667"/>
        <v>0</v>
      </c>
      <c r="BJ1020" s="387">
        <f t="shared" si="668"/>
        <v>0</v>
      </c>
      <c r="BK1020" s="387">
        <f t="shared" si="669"/>
        <v>0</v>
      </c>
      <c r="BL1020" s="387">
        <f t="shared" si="692"/>
        <v>0</v>
      </c>
      <c r="BM1020" s="387">
        <f t="shared" si="693"/>
        <v>0</v>
      </c>
      <c r="BN1020" s="387">
        <f t="shared" si="670"/>
        <v>0</v>
      </c>
      <c r="BO1020" s="387">
        <f t="shared" si="671"/>
        <v>0</v>
      </c>
      <c r="BP1020" s="387">
        <f t="shared" si="672"/>
        <v>0</v>
      </c>
      <c r="BQ1020" s="387">
        <f t="shared" si="673"/>
        <v>0</v>
      </c>
      <c r="BR1020" s="387">
        <f t="shared" si="674"/>
        <v>0</v>
      </c>
      <c r="BS1020" s="387">
        <f t="shared" si="675"/>
        <v>0</v>
      </c>
      <c r="BT1020" s="387">
        <f t="shared" si="676"/>
        <v>0</v>
      </c>
      <c r="BU1020" s="387">
        <f t="shared" si="677"/>
        <v>0</v>
      </c>
      <c r="BV1020" s="387">
        <f t="shared" si="678"/>
        <v>0</v>
      </c>
      <c r="BW1020" s="387">
        <f t="shared" si="679"/>
        <v>0</v>
      </c>
      <c r="BX1020" s="387">
        <f t="shared" si="694"/>
        <v>0</v>
      </c>
      <c r="BY1020" s="387">
        <f t="shared" si="695"/>
        <v>0</v>
      </c>
      <c r="BZ1020" s="387">
        <f t="shared" si="696"/>
        <v>0</v>
      </c>
      <c r="CA1020" s="387">
        <f t="shared" si="697"/>
        <v>0</v>
      </c>
      <c r="CB1020" s="387">
        <f t="shared" si="698"/>
        <v>0</v>
      </c>
      <c r="CC1020" s="387">
        <f t="shared" si="680"/>
        <v>0</v>
      </c>
      <c r="CD1020" s="387">
        <f t="shared" si="681"/>
        <v>0</v>
      </c>
      <c r="CE1020" s="387">
        <f t="shared" si="682"/>
        <v>0</v>
      </c>
      <c r="CF1020" s="387">
        <f t="shared" si="683"/>
        <v>0</v>
      </c>
      <c r="CG1020" s="387">
        <f t="shared" si="684"/>
        <v>0</v>
      </c>
      <c r="CH1020" s="387">
        <f t="shared" si="685"/>
        <v>0</v>
      </c>
      <c r="CI1020" s="387">
        <f t="shared" si="686"/>
        <v>0</v>
      </c>
      <c r="CJ1020" s="387">
        <f t="shared" si="699"/>
        <v>0</v>
      </c>
      <c r="CK1020" s="387" t="str">
        <f t="shared" si="700"/>
        <v/>
      </c>
      <c r="CL1020" s="387" t="str">
        <f t="shared" si="701"/>
        <v/>
      </c>
      <c r="CM1020" s="387" t="str">
        <f t="shared" si="702"/>
        <v/>
      </c>
      <c r="CN1020" s="387" t="str">
        <f t="shared" si="703"/>
        <v>0348-31</v>
      </c>
    </row>
    <row r="1021" spans="1:92" ht="15.75" thickBot="1" x14ac:dyDescent="0.3">
      <c r="A1021" s="376" t="s">
        <v>161</v>
      </c>
      <c r="B1021" s="376" t="s">
        <v>162</v>
      </c>
      <c r="C1021" s="376" t="s">
        <v>1360</v>
      </c>
      <c r="D1021" s="376" t="s">
        <v>862</v>
      </c>
      <c r="E1021" s="376" t="s">
        <v>224</v>
      </c>
      <c r="F1021" s="382" t="s">
        <v>225</v>
      </c>
      <c r="G1021" s="376" t="s">
        <v>1945</v>
      </c>
      <c r="H1021" s="378"/>
      <c r="I1021" s="378"/>
      <c r="J1021" s="376" t="s">
        <v>215</v>
      </c>
      <c r="K1021" s="376" t="s">
        <v>863</v>
      </c>
      <c r="L1021" s="376" t="s">
        <v>252</v>
      </c>
      <c r="M1021" s="376" t="s">
        <v>272</v>
      </c>
      <c r="N1021" s="376" t="s">
        <v>172</v>
      </c>
      <c r="O1021" s="379">
        <v>0</v>
      </c>
      <c r="P1021" s="385">
        <v>1</v>
      </c>
      <c r="Q1021" s="385">
        <v>1</v>
      </c>
      <c r="R1021" s="380">
        <v>80</v>
      </c>
      <c r="S1021" s="385">
        <v>1</v>
      </c>
      <c r="T1021" s="380">
        <v>3230.62</v>
      </c>
      <c r="U1021" s="380">
        <v>0</v>
      </c>
      <c r="V1021" s="380">
        <v>1647.81</v>
      </c>
      <c r="W1021" s="380">
        <v>42328</v>
      </c>
      <c r="X1021" s="380">
        <v>18539.66</v>
      </c>
      <c r="Y1021" s="380">
        <v>42328</v>
      </c>
      <c r="Z1021" s="380">
        <v>18328.02</v>
      </c>
      <c r="AA1021" s="378"/>
      <c r="AB1021" s="376" t="s">
        <v>45</v>
      </c>
      <c r="AC1021" s="376" t="s">
        <v>45</v>
      </c>
      <c r="AD1021" s="378"/>
      <c r="AE1021" s="378"/>
      <c r="AF1021" s="378"/>
      <c r="AG1021" s="378"/>
      <c r="AH1021" s="379">
        <v>0</v>
      </c>
      <c r="AI1021" s="379">
        <v>0</v>
      </c>
      <c r="AJ1021" s="378"/>
      <c r="AK1021" s="378"/>
      <c r="AL1021" s="376" t="s">
        <v>181</v>
      </c>
      <c r="AM1021" s="378"/>
      <c r="AN1021" s="378"/>
      <c r="AO1021" s="379">
        <v>0</v>
      </c>
      <c r="AP1021" s="385">
        <v>0</v>
      </c>
      <c r="AQ1021" s="385">
        <v>0</v>
      </c>
      <c r="AR1021" s="384"/>
      <c r="AS1021" s="387">
        <f t="shared" si="687"/>
        <v>0</v>
      </c>
      <c r="AT1021">
        <f t="shared" si="688"/>
        <v>0</v>
      </c>
      <c r="AU1021" s="387" t="str">
        <f>IF(AT1021=0,"",IF(AND(AT1021=1,M1021="F",SUMIF(C2:C1334,C1021,AS2:AS1334)&lt;=1),SUMIF(C2:C1334,C1021,AS2:AS1334),IF(AND(AT1021=1,M1021="F",SUMIF(C2:C1334,C1021,AS2:AS1334)&gt;1),1,"")))</f>
        <v/>
      </c>
      <c r="AV1021" s="387" t="str">
        <f>IF(AT1021=0,"",IF(AND(AT1021=3,M1021="F",SUMIF(C2:C1334,C1021,AS2:AS1334)&lt;=1),SUMIF(C2:C1334,C1021,AS2:AS1334),IF(AND(AT1021=3,M1021="F",SUMIF(C2:C1334,C1021,AS2:AS1334)&gt;1),1,"")))</f>
        <v/>
      </c>
      <c r="AW1021" s="387">
        <f>SUMIF(C2:C1334,C1021,O2:O1334)</f>
        <v>0</v>
      </c>
      <c r="AX1021" s="387">
        <f>IF(AND(M1021="F",AS1021&lt;&gt;0),SUMIF(C2:C1334,C1021,W2:W1334),0)</f>
        <v>0</v>
      </c>
      <c r="AY1021" s="387" t="str">
        <f t="shared" si="689"/>
        <v/>
      </c>
      <c r="AZ1021" s="387" t="str">
        <f t="shared" si="690"/>
        <v/>
      </c>
      <c r="BA1021" s="387">
        <f t="shared" si="691"/>
        <v>0</v>
      </c>
      <c r="BB1021" s="387">
        <f t="shared" si="660"/>
        <v>0</v>
      </c>
      <c r="BC1021" s="387">
        <f t="shared" si="661"/>
        <v>0</v>
      </c>
      <c r="BD1021" s="387">
        <f t="shared" si="662"/>
        <v>0</v>
      </c>
      <c r="BE1021" s="387">
        <f t="shared" si="663"/>
        <v>0</v>
      </c>
      <c r="BF1021" s="387">
        <f t="shared" si="664"/>
        <v>0</v>
      </c>
      <c r="BG1021" s="387">
        <f t="shared" si="665"/>
        <v>0</v>
      </c>
      <c r="BH1021" s="387">
        <f t="shared" si="666"/>
        <v>0</v>
      </c>
      <c r="BI1021" s="387">
        <f t="shared" si="667"/>
        <v>0</v>
      </c>
      <c r="BJ1021" s="387">
        <f t="shared" si="668"/>
        <v>0</v>
      </c>
      <c r="BK1021" s="387">
        <f t="shared" si="669"/>
        <v>0</v>
      </c>
      <c r="BL1021" s="387">
        <f t="shared" si="692"/>
        <v>0</v>
      </c>
      <c r="BM1021" s="387">
        <f t="shared" si="693"/>
        <v>0</v>
      </c>
      <c r="BN1021" s="387">
        <f t="shared" si="670"/>
        <v>0</v>
      </c>
      <c r="BO1021" s="387">
        <f t="shared" si="671"/>
        <v>0</v>
      </c>
      <c r="BP1021" s="387">
        <f t="shared" si="672"/>
        <v>0</v>
      </c>
      <c r="BQ1021" s="387">
        <f t="shared" si="673"/>
        <v>0</v>
      </c>
      <c r="BR1021" s="387">
        <f t="shared" si="674"/>
        <v>0</v>
      </c>
      <c r="BS1021" s="387">
        <f t="shared" si="675"/>
        <v>0</v>
      </c>
      <c r="BT1021" s="387">
        <f t="shared" si="676"/>
        <v>0</v>
      </c>
      <c r="BU1021" s="387">
        <f t="shared" si="677"/>
        <v>0</v>
      </c>
      <c r="BV1021" s="387">
        <f t="shared" si="678"/>
        <v>0</v>
      </c>
      <c r="BW1021" s="387">
        <f t="shared" si="679"/>
        <v>0</v>
      </c>
      <c r="BX1021" s="387">
        <f t="shared" si="694"/>
        <v>0</v>
      </c>
      <c r="BY1021" s="387">
        <f t="shared" si="695"/>
        <v>0</v>
      </c>
      <c r="BZ1021" s="387">
        <f t="shared" si="696"/>
        <v>0</v>
      </c>
      <c r="CA1021" s="387">
        <f t="shared" si="697"/>
        <v>0</v>
      </c>
      <c r="CB1021" s="387">
        <f t="shared" si="698"/>
        <v>0</v>
      </c>
      <c r="CC1021" s="387">
        <f t="shared" si="680"/>
        <v>0</v>
      </c>
      <c r="CD1021" s="387">
        <f t="shared" si="681"/>
        <v>0</v>
      </c>
      <c r="CE1021" s="387">
        <f t="shared" si="682"/>
        <v>0</v>
      </c>
      <c r="CF1021" s="387">
        <f t="shared" si="683"/>
        <v>0</v>
      </c>
      <c r="CG1021" s="387">
        <f t="shared" si="684"/>
        <v>0</v>
      </c>
      <c r="CH1021" s="387">
        <f t="shared" si="685"/>
        <v>0</v>
      </c>
      <c r="CI1021" s="387">
        <f t="shared" si="686"/>
        <v>0</v>
      </c>
      <c r="CJ1021" s="387">
        <f t="shared" si="699"/>
        <v>0</v>
      </c>
      <c r="CK1021" s="387" t="str">
        <f t="shared" si="700"/>
        <v/>
      </c>
      <c r="CL1021" s="387" t="str">
        <f t="shared" si="701"/>
        <v/>
      </c>
      <c r="CM1021" s="387" t="str">
        <f t="shared" si="702"/>
        <v/>
      </c>
      <c r="CN1021" s="387" t="str">
        <f t="shared" si="703"/>
        <v>0348-31</v>
      </c>
    </row>
    <row r="1022" spans="1:92" ht="15.75" thickBot="1" x14ac:dyDescent="0.3">
      <c r="A1022" s="376" t="s">
        <v>161</v>
      </c>
      <c r="B1022" s="376" t="s">
        <v>162</v>
      </c>
      <c r="C1022" s="376" t="s">
        <v>1709</v>
      </c>
      <c r="D1022" s="376" t="s">
        <v>862</v>
      </c>
      <c r="E1022" s="376" t="s">
        <v>224</v>
      </c>
      <c r="F1022" s="382" t="s">
        <v>225</v>
      </c>
      <c r="G1022" s="376" t="s">
        <v>1945</v>
      </c>
      <c r="H1022" s="378"/>
      <c r="I1022" s="378"/>
      <c r="J1022" s="376" t="s">
        <v>239</v>
      </c>
      <c r="K1022" s="376" t="s">
        <v>863</v>
      </c>
      <c r="L1022" s="376" t="s">
        <v>252</v>
      </c>
      <c r="M1022" s="376" t="s">
        <v>171</v>
      </c>
      <c r="N1022" s="376" t="s">
        <v>172</v>
      </c>
      <c r="O1022" s="379">
        <v>1</v>
      </c>
      <c r="P1022" s="385">
        <v>0.25</v>
      </c>
      <c r="Q1022" s="385">
        <v>0.25</v>
      </c>
      <c r="R1022" s="380">
        <v>80</v>
      </c>
      <c r="S1022" s="385">
        <v>0.25</v>
      </c>
      <c r="T1022" s="380">
        <v>13244.17</v>
      </c>
      <c r="U1022" s="380">
        <v>0</v>
      </c>
      <c r="V1022" s="380">
        <v>5707.23</v>
      </c>
      <c r="W1022" s="380">
        <v>13078</v>
      </c>
      <c r="X1022" s="380">
        <v>5740.6</v>
      </c>
      <c r="Y1022" s="380">
        <v>13078</v>
      </c>
      <c r="Z1022" s="380">
        <v>5685.68</v>
      </c>
      <c r="AA1022" s="376" t="s">
        <v>1710</v>
      </c>
      <c r="AB1022" s="376" t="s">
        <v>1711</v>
      </c>
      <c r="AC1022" s="376" t="s">
        <v>1712</v>
      </c>
      <c r="AD1022" s="376" t="s">
        <v>1713</v>
      </c>
      <c r="AE1022" s="376" t="s">
        <v>863</v>
      </c>
      <c r="AF1022" s="376" t="s">
        <v>393</v>
      </c>
      <c r="AG1022" s="376" t="s">
        <v>178</v>
      </c>
      <c r="AH1022" s="381">
        <v>25.15</v>
      </c>
      <c r="AI1022" s="381">
        <v>73305.5</v>
      </c>
      <c r="AJ1022" s="376" t="s">
        <v>179</v>
      </c>
      <c r="AK1022" s="376" t="s">
        <v>180</v>
      </c>
      <c r="AL1022" s="376" t="s">
        <v>181</v>
      </c>
      <c r="AM1022" s="376" t="s">
        <v>182</v>
      </c>
      <c r="AN1022" s="376" t="s">
        <v>68</v>
      </c>
      <c r="AO1022" s="379">
        <v>80</v>
      </c>
      <c r="AP1022" s="385">
        <v>1</v>
      </c>
      <c r="AQ1022" s="385">
        <v>0.25</v>
      </c>
      <c r="AR1022" s="383" t="s">
        <v>183</v>
      </c>
      <c r="AS1022" s="387">
        <f t="shared" si="687"/>
        <v>0.25</v>
      </c>
      <c r="AT1022">
        <f t="shared" si="688"/>
        <v>1</v>
      </c>
      <c r="AU1022" s="387">
        <f>IF(AT1022=0,"",IF(AND(AT1022=1,M1022="F",SUMIF(C2:C1334,C1022,AS2:AS1334)&lt;=1),SUMIF(C2:C1334,C1022,AS2:AS1334),IF(AND(AT1022=1,M1022="F",SUMIF(C2:C1334,C1022,AS2:AS1334)&gt;1),1,"")))</f>
        <v>1</v>
      </c>
      <c r="AV1022" s="387" t="str">
        <f>IF(AT1022=0,"",IF(AND(AT1022=3,M1022="F",SUMIF(C2:C1334,C1022,AS2:AS1334)&lt;=1),SUMIF(C2:C1334,C1022,AS2:AS1334),IF(AND(AT1022=3,M1022="F",SUMIF(C2:C1334,C1022,AS2:AS1334)&gt;1),1,"")))</f>
        <v/>
      </c>
      <c r="AW1022" s="387">
        <f>SUMIF(C2:C1334,C1022,O2:O1334)</f>
        <v>3</v>
      </c>
      <c r="AX1022" s="387">
        <f>IF(AND(M1022="F",AS1022&lt;&gt;0),SUMIF(C2:C1334,C1022,W2:W1334),0)</f>
        <v>52312</v>
      </c>
      <c r="AY1022" s="387">
        <f t="shared" si="689"/>
        <v>13078</v>
      </c>
      <c r="AZ1022" s="387" t="str">
        <f t="shared" si="690"/>
        <v/>
      </c>
      <c r="BA1022" s="387">
        <f t="shared" si="691"/>
        <v>0</v>
      </c>
      <c r="BB1022" s="387">
        <f t="shared" si="660"/>
        <v>2912.5</v>
      </c>
      <c r="BC1022" s="387">
        <f t="shared" si="661"/>
        <v>0</v>
      </c>
      <c r="BD1022" s="387">
        <f t="shared" si="662"/>
        <v>810.83600000000001</v>
      </c>
      <c r="BE1022" s="387">
        <f t="shared" si="663"/>
        <v>189.631</v>
      </c>
      <c r="BF1022" s="387">
        <f t="shared" si="664"/>
        <v>1561.5132000000001</v>
      </c>
      <c r="BG1022" s="387">
        <f t="shared" si="665"/>
        <v>94.292380000000009</v>
      </c>
      <c r="BH1022" s="387">
        <f t="shared" si="666"/>
        <v>64.0822</v>
      </c>
      <c r="BI1022" s="387">
        <f t="shared" si="667"/>
        <v>72.38673</v>
      </c>
      <c r="BJ1022" s="387">
        <f t="shared" si="668"/>
        <v>35.310600000000001</v>
      </c>
      <c r="BK1022" s="387">
        <f t="shared" si="669"/>
        <v>0</v>
      </c>
      <c r="BL1022" s="387">
        <f t="shared" si="692"/>
        <v>2828.0521099999996</v>
      </c>
      <c r="BM1022" s="387">
        <f t="shared" si="693"/>
        <v>0</v>
      </c>
      <c r="BN1022" s="387">
        <f t="shared" si="670"/>
        <v>2912.5</v>
      </c>
      <c r="BO1022" s="387">
        <f t="shared" si="671"/>
        <v>0</v>
      </c>
      <c r="BP1022" s="387">
        <f t="shared" si="672"/>
        <v>810.83600000000001</v>
      </c>
      <c r="BQ1022" s="387">
        <f t="shared" si="673"/>
        <v>189.631</v>
      </c>
      <c r="BR1022" s="387">
        <f t="shared" si="674"/>
        <v>1561.5132000000001</v>
      </c>
      <c r="BS1022" s="387">
        <f t="shared" si="675"/>
        <v>94.292380000000009</v>
      </c>
      <c r="BT1022" s="387">
        <f t="shared" si="676"/>
        <v>0</v>
      </c>
      <c r="BU1022" s="387">
        <f t="shared" si="677"/>
        <v>72.38673</v>
      </c>
      <c r="BV1022" s="387">
        <f t="shared" si="678"/>
        <v>44.465199999999996</v>
      </c>
      <c r="BW1022" s="387">
        <f t="shared" si="679"/>
        <v>0</v>
      </c>
      <c r="BX1022" s="387">
        <f t="shared" si="694"/>
        <v>2773.1245100000001</v>
      </c>
      <c r="BY1022" s="387">
        <f t="shared" si="695"/>
        <v>0</v>
      </c>
      <c r="BZ1022" s="387">
        <f t="shared" si="696"/>
        <v>0</v>
      </c>
      <c r="CA1022" s="387">
        <f t="shared" si="697"/>
        <v>0</v>
      </c>
      <c r="CB1022" s="387">
        <f t="shared" si="698"/>
        <v>0</v>
      </c>
      <c r="CC1022" s="387">
        <f t="shared" si="680"/>
        <v>0</v>
      </c>
      <c r="CD1022" s="387">
        <f t="shared" si="681"/>
        <v>0</v>
      </c>
      <c r="CE1022" s="387">
        <f t="shared" si="682"/>
        <v>0</v>
      </c>
      <c r="CF1022" s="387">
        <f t="shared" si="683"/>
        <v>-64.0822</v>
      </c>
      <c r="CG1022" s="387">
        <f t="shared" si="684"/>
        <v>0</v>
      </c>
      <c r="CH1022" s="387">
        <f t="shared" si="685"/>
        <v>9.154599999999995</v>
      </c>
      <c r="CI1022" s="387">
        <f t="shared" si="686"/>
        <v>0</v>
      </c>
      <c r="CJ1022" s="387">
        <f t="shared" si="699"/>
        <v>-54.927600000000005</v>
      </c>
      <c r="CK1022" s="387" t="str">
        <f t="shared" si="700"/>
        <v/>
      </c>
      <c r="CL1022" s="387" t="str">
        <f t="shared" si="701"/>
        <v/>
      </c>
      <c r="CM1022" s="387" t="str">
        <f t="shared" si="702"/>
        <v/>
      </c>
      <c r="CN1022" s="387" t="str">
        <f t="shared" si="703"/>
        <v>0348-31</v>
      </c>
    </row>
    <row r="1023" spans="1:92" ht="15.75" thickBot="1" x14ac:dyDescent="0.3">
      <c r="A1023" s="376" t="s">
        <v>161</v>
      </c>
      <c r="B1023" s="376" t="s">
        <v>162</v>
      </c>
      <c r="C1023" s="376" t="s">
        <v>699</v>
      </c>
      <c r="D1023" s="376" t="s">
        <v>700</v>
      </c>
      <c r="E1023" s="376" t="s">
        <v>224</v>
      </c>
      <c r="F1023" s="382" t="s">
        <v>225</v>
      </c>
      <c r="G1023" s="376" t="s">
        <v>1945</v>
      </c>
      <c r="H1023" s="378"/>
      <c r="I1023" s="378"/>
      <c r="J1023" s="376" t="s">
        <v>215</v>
      </c>
      <c r="K1023" s="376" t="s">
        <v>701</v>
      </c>
      <c r="L1023" s="376" t="s">
        <v>170</v>
      </c>
      <c r="M1023" s="376" t="s">
        <v>171</v>
      </c>
      <c r="N1023" s="376" t="s">
        <v>172</v>
      </c>
      <c r="O1023" s="379">
        <v>1</v>
      </c>
      <c r="P1023" s="385">
        <v>1</v>
      </c>
      <c r="Q1023" s="385">
        <v>1</v>
      </c>
      <c r="R1023" s="380">
        <v>80</v>
      </c>
      <c r="S1023" s="385">
        <v>1</v>
      </c>
      <c r="T1023" s="380">
        <v>70632.320000000007</v>
      </c>
      <c r="U1023" s="380">
        <v>4781.72</v>
      </c>
      <c r="V1023" s="380">
        <v>27048.69</v>
      </c>
      <c r="W1023" s="380">
        <v>75379.199999999997</v>
      </c>
      <c r="X1023" s="380">
        <v>27950.720000000001</v>
      </c>
      <c r="Y1023" s="380">
        <v>75379.199999999997</v>
      </c>
      <c r="Z1023" s="380">
        <v>27634.13</v>
      </c>
      <c r="AA1023" s="376" t="s">
        <v>702</v>
      </c>
      <c r="AB1023" s="376" t="s">
        <v>703</v>
      </c>
      <c r="AC1023" s="376" t="s">
        <v>704</v>
      </c>
      <c r="AD1023" s="376" t="s">
        <v>583</v>
      </c>
      <c r="AE1023" s="376" t="s">
        <v>701</v>
      </c>
      <c r="AF1023" s="376" t="s">
        <v>177</v>
      </c>
      <c r="AG1023" s="376" t="s">
        <v>178</v>
      </c>
      <c r="AH1023" s="381">
        <v>36.24</v>
      </c>
      <c r="AI1023" s="381">
        <v>56635.199999999997</v>
      </c>
      <c r="AJ1023" s="376" t="s">
        <v>179</v>
      </c>
      <c r="AK1023" s="376" t="s">
        <v>180</v>
      </c>
      <c r="AL1023" s="376" t="s">
        <v>181</v>
      </c>
      <c r="AM1023" s="376" t="s">
        <v>182</v>
      </c>
      <c r="AN1023" s="376" t="s">
        <v>68</v>
      </c>
      <c r="AO1023" s="379">
        <v>80</v>
      </c>
      <c r="AP1023" s="385">
        <v>1</v>
      </c>
      <c r="AQ1023" s="385">
        <v>1</v>
      </c>
      <c r="AR1023" s="383" t="s">
        <v>183</v>
      </c>
      <c r="AS1023" s="387">
        <f t="shared" si="687"/>
        <v>1</v>
      </c>
      <c r="AT1023">
        <f t="shared" si="688"/>
        <v>1</v>
      </c>
      <c r="AU1023" s="387">
        <f>IF(AT1023=0,"",IF(AND(AT1023=1,M1023="F",SUMIF(C2:C1334,C1023,AS2:AS1334)&lt;=1),SUMIF(C2:C1334,C1023,AS2:AS1334),IF(AND(AT1023=1,M1023="F",SUMIF(C2:C1334,C1023,AS2:AS1334)&gt;1),1,"")))</f>
        <v>1</v>
      </c>
      <c r="AV1023" s="387" t="str">
        <f>IF(AT1023=0,"",IF(AND(AT1023=3,M1023="F",SUMIF(C2:C1334,C1023,AS2:AS1334)&lt;=1),SUMIF(C2:C1334,C1023,AS2:AS1334),IF(AND(AT1023=3,M1023="F",SUMIF(C2:C1334,C1023,AS2:AS1334)&gt;1),1,"")))</f>
        <v/>
      </c>
      <c r="AW1023" s="387">
        <f>SUMIF(C2:C1334,C1023,O2:O1334)</f>
        <v>3</v>
      </c>
      <c r="AX1023" s="387">
        <f>IF(AND(M1023="F",AS1023&lt;&gt;0),SUMIF(C2:C1334,C1023,W2:W1334),0)</f>
        <v>75379.199999999997</v>
      </c>
      <c r="AY1023" s="387">
        <f t="shared" si="689"/>
        <v>75379.199999999997</v>
      </c>
      <c r="AZ1023" s="387" t="str">
        <f t="shared" si="690"/>
        <v/>
      </c>
      <c r="BA1023" s="387">
        <f t="shared" si="691"/>
        <v>0</v>
      </c>
      <c r="BB1023" s="387">
        <f t="shared" si="660"/>
        <v>11650</v>
      </c>
      <c r="BC1023" s="387">
        <f t="shared" si="661"/>
        <v>0</v>
      </c>
      <c r="BD1023" s="387">
        <f t="shared" si="662"/>
        <v>4673.5104000000001</v>
      </c>
      <c r="BE1023" s="387">
        <f t="shared" si="663"/>
        <v>1092.9983999999999</v>
      </c>
      <c r="BF1023" s="387">
        <f t="shared" si="664"/>
        <v>9000.2764800000004</v>
      </c>
      <c r="BG1023" s="387">
        <f t="shared" si="665"/>
        <v>543.48403199999996</v>
      </c>
      <c r="BH1023" s="387">
        <f t="shared" si="666"/>
        <v>369.35807999999997</v>
      </c>
      <c r="BI1023" s="387">
        <f t="shared" si="667"/>
        <v>417.22387199999997</v>
      </c>
      <c r="BJ1023" s="387">
        <f t="shared" si="668"/>
        <v>203.52384000000001</v>
      </c>
      <c r="BK1023" s="387">
        <f t="shared" si="669"/>
        <v>0</v>
      </c>
      <c r="BL1023" s="387">
        <f t="shared" si="692"/>
        <v>16300.375104000001</v>
      </c>
      <c r="BM1023" s="387">
        <f t="shared" si="693"/>
        <v>0</v>
      </c>
      <c r="BN1023" s="387">
        <f t="shared" si="670"/>
        <v>11650</v>
      </c>
      <c r="BO1023" s="387">
        <f t="shared" si="671"/>
        <v>0</v>
      </c>
      <c r="BP1023" s="387">
        <f t="shared" si="672"/>
        <v>4673.5104000000001</v>
      </c>
      <c r="BQ1023" s="387">
        <f t="shared" si="673"/>
        <v>1092.9983999999999</v>
      </c>
      <c r="BR1023" s="387">
        <f t="shared" si="674"/>
        <v>9000.2764800000004</v>
      </c>
      <c r="BS1023" s="387">
        <f t="shared" si="675"/>
        <v>543.48403199999996</v>
      </c>
      <c r="BT1023" s="387">
        <f t="shared" si="676"/>
        <v>0</v>
      </c>
      <c r="BU1023" s="387">
        <f t="shared" si="677"/>
        <v>417.22387199999997</v>
      </c>
      <c r="BV1023" s="387">
        <f t="shared" si="678"/>
        <v>256.28927999999996</v>
      </c>
      <c r="BW1023" s="387">
        <f t="shared" si="679"/>
        <v>0</v>
      </c>
      <c r="BX1023" s="387">
        <f t="shared" si="694"/>
        <v>15983.782464</v>
      </c>
      <c r="BY1023" s="387">
        <f t="shared" si="695"/>
        <v>0</v>
      </c>
      <c r="BZ1023" s="387">
        <f t="shared" si="696"/>
        <v>0</v>
      </c>
      <c r="CA1023" s="387">
        <f t="shared" si="697"/>
        <v>0</v>
      </c>
      <c r="CB1023" s="387">
        <f t="shared" si="698"/>
        <v>0</v>
      </c>
      <c r="CC1023" s="387">
        <f t="shared" si="680"/>
        <v>0</v>
      </c>
      <c r="CD1023" s="387">
        <f t="shared" si="681"/>
        <v>0</v>
      </c>
      <c r="CE1023" s="387">
        <f t="shared" si="682"/>
        <v>0</v>
      </c>
      <c r="CF1023" s="387">
        <f t="shared" si="683"/>
        <v>-369.35807999999997</v>
      </c>
      <c r="CG1023" s="387">
        <f t="shared" si="684"/>
        <v>0</v>
      </c>
      <c r="CH1023" s="387">
        <f t="shared" si="685"/>
        <v>52.76543999999997</v>
      </c>
      <c r="CI1023" s="387">
        <f t="shared" si="686"/>
        <v>0</v>
      </c>
      <c r="CJ1023" s="387">
        <f t="shared" si="699"/>
        <v>-316.59264000000002</v>
      </c>
      <c r="CK1023" s="387" t="str">
        <f t="shared" si="700"/>
        <v/>
      </c>
      <c r="CL1023" s="387" t="str">
        <f t="shared" si="701"/>
        <v/>
      </c>
      <c r="CM1023" s="387" t="str">
        <f t="shared" si="702"/>
        <v/>
      </c>
      <c r="CN1023" s="387" t="str">
        <f t="shared" si="703"/>
        <v>0348-31</v>
      </c>
    </row>
    <row r="1024" spans="1:92" ht="15.75" thickBot="1" x14ac:dyDescent="0.3">
      <c r="A1024" s="376" t="s">
        <v>161</v>
      </c>
      <c r="B1024" s="376" t="s">
        <v>162</v>
      </c>
      <c r="C1024" s="376" t="s">
        <v>2200</v>
      </c>
      <c r="D1024" s="376" t="s">
        <v>270</v>
      </c>
      <c r="E1024" s="376" t="s">
        <v>224</v>
      </c>
      <c r="F1024" s="382" t="s">
        <v>225</v>
      </c>
      <c r="G1024" s="376" t="s">
        <v>1945</v>
      </c>
      <c r="H1024" s="378"/>
      <c r="I1024" s="378"/>
      <c r="J1024" s="376" t="s">
        <v>215</v>
      </c>
      <c r="K1024" s="376" t="s">
        <v>271</v>
      </c>
      <c r="L1024" s="376" t="s">
        <v>217</v>
      </c>
      <c r="M1024" s="376" t="s">
        <v>171</v>
      </c>
      <c r="N1024" s="376" t="s">
        <v>172</v>
      </c>
      <c r="O1024" s="379">
        <v>1</v>
      </c>
      <c r="P1024" s="385">
        <v>1</v>
      </c>
      <c r="Q1024" s="385">
        <v>1</v>
      </c>
      <c r="R1024" s="380">
        <v>80</v>
      </c>
      <c r="S1024" s="385">
        <v>1</v>
      </c>
      <c r="T1024" s="380">
        <v>43078.81</v>
      </c>
      <c r="U1024" s="380">
        <v>0</v>
      </c>
      <c r="V1024" s="380">
        <v>20544.259999999998</v>
      </c>
      <c r="W1024" s="380">
        <v>44928</v>
      </c>
      <c r="X1024" s="380">
        <v>21365.65</v>
      </c>
      <c r="Y1024" s="380">
        <v>44928</v>
      </c>
      <c r="Z1024" s="380">
        <v>21176.959999999999</v>
      </c>
      <c r="AA1024" s="376" t="s">
        <v>2201</v>
      </c>
      <c r="AB1024" s="376" t="s">
        <v>412</v>
      </c>
      <c r="AC1024" s="376" t="s">
        <v>2202</v>
      </c>
      <c r="AD1024" s="376" t="s">
        <v>170</v>
      </c>
      <c r="AE1024" s="376" t="s">
        <v>271</v>
      </c>
      <c r="AF1024" s="376" t="s">
        <v>221</v>
      </c>
      <c r="AG1024" s="376" t="s">
        <v>178</v>
      </c>
      <c r="AH1024" s="381">
        <v>21.6</v>
      </c>
      <c r="AI1024" s="381">
        <v>49072.2</v>
      </c>
      <c r="AJ1024" s="376" t="s">
        <v>179</v>
      </c>
      <c r="AK1024" s="376" t="s">
        <v>180</v>
      </c>
      <c r="AL1024" s="376" t="s">
        <v>181</v>
      </c>
      <c r="AM1024" s="376" t="s">
        <v>182</v>
      </c>
      <c r="AN1024" s="376" t="s">
        <v>68</v>
      </c>
      <c r="AO1024" s="379">
        <v>80</v>
      </c>
      <c r="AP1024" s="385">
        <v>1</v>
      </c>
      <c r="AQ1024" s="385">
        <v>1</v>
      </c>
      <c r="AR1024" s="383" t="s">
        <v>183</v>
      </c>
      <c r="AS1024" s="387">
        <f t="shared" si="687"/>
        <v>1</v>
      </c>
      <c r="AT1024">
        <f t="shared" si="688"/>
        <v>1</v>
      </c>
      <c r="AU1024" s="387">
        <f>IF(AT1024=0,"",IF(AND(AT1024=1,M1024="F",SUMIF(C2:C1334,C1024,AS2:AS1334)&lt;=1),SUMIF(C2:C1334,C1024,AS2:AS1334),IF(AND(AT1024=1,M1024="F",SUMIF(C2:C1334,C1024,AS2:AS1334)&gt;1),1,"")))</f>
        <v>1</v>
      </c>
      <c r="AV1024" s="387" t="str">
        <f>IF(AT1024=0,"",IF(AND(AT1024=3,M1024="F",SUMIF(C2:C1334,C1024,AS2:AS1334)&lt;=1),SUMIF(C2:C1334,C1024,AS2:AS1334),IF(AND(AT1024=3,M1024="F",SUMIF(C2:C1334,C1024,AS2:AS1334)&gt;1),1,"")))</f>
        <v/>
      </c>
      <c r="AW1024" s="387">
        <f>SUMIF(C2:C1334,C1024,O2:O1334)</f>
        <v>1</v>
      </c>
      <c r="AX1024" s="387">
        <f>IF(AND(M1024="F",AS1024&lt;&gt;0),SUMIF(C2:C1334,C1024,W2:W1334),0)</f>
        <v>44928</v>
      </c>
      <c r="AY1024" s="387">
        <f t="shared" si="689"/>
        <v>44928</v>
      </c>
      <c r="AZ1024" s="387" t="str">
        <f t="shared" si="690"/>
        <v/>
      </c>
      <c r="BA1024" s="387">
        <f t="shared" si="691"/>
        <v>0</v>
      </c>
      <c r="BB1024" s="387">
        <f t="shared" si="660"/>
        <v>11650</v>
      </c>
      <c r="BC1024" s="387">
        <f t="shared" si="661"/>
        <v>0</v>
      </c>
      <c r="BD1024" s="387">
        <f t="shared" si="662"/>
        <v>2785.5360000000001</v>
      </c>
      <c r="BE1024" s="387">
        <f t="shared" si="663"/>
        <v>651.45600000000002</v>
      </c>
      <c r="BF1024" s="387">
        <f t="shared" si="664"/>
        <v>5364.4032000000007</v>
      </c>
      <c r="BG1024" s="387">
        <f t="shared" si="665"/>
        <v>323.93088</v>
      </c>
      <c r="BH1024" s="387">
        <f t="shared" si="666"/>
        <v>220.1472</v>
      </c>
      <c r="BI1024" s="387">
        <f t="shared" si="667"/>
        <v>248.67648</v>
      </c>
      <c r="BJ1024" s="387">
        <f t="shared" si="668"/>
        <v>121.30560000000001</v>
      </c>
      <c r="BK1024" s="387">
        <f t="shared" si="669"/>
        <v>0</v>
      </c>
      <c r="BL1024" s="387">
        <f t="shared" si="692"/>
        <v>9715.4553599999999</v>
      </c>
      <c r="BM1024" s="387">
        <f t="shared" si="693"/>
        <v>0</v>
      </c>
      <c r="BN1024" s="387">
        <f t="shared" si="670"/>
        <v>11650</v>
      </c>
      <c r="BO1024" s="387">
        <f t="shared" si="671"/>
        <v>0</v>
      </c>
      <c r="BP1024" s="387">
        <f t="shared" si="672"/>
        <v>2785.5360000000001</v>
      </c>
      <c r="BQ1024" s="387">
        <f t="shared" si="673"/>
        <v>651.45600000000002</v>
      </c>
      <c r="BR1024" s="387">
        <f t="shared" si="674"/>
        <v>5364.4032000000007</v>
      </c>
      <c r="BS1024" s="387">
        <f t="shared" si="675"/>
        <v>323.93088</v>
      </c>
      <c r="BT1024" s="387">
        <f t="shared" si="676"/>
        <v>0</v>
      </c>
      <c r="BU1024" s="387">
        <f t="shared" si="677"/>
        <v>248.67648</v>
      </c>
      <c r="BV1024" s="387">
        <f t="shared" si="678"/>
        <v>152.7552</v>
      </c>
      <c r="BW1024" s="387">
        <f t="shared" si="679"/>
        <v>0</v>
      </c>
      <c r="BX1024" s="387">
        <f t="shared" si="694"/>
        <v>9526.7577600000004</v>
      </c>
      <c r="BY1024" s="387">
        <f t="shared" si="695"/>
        <v>0</v>
      </c>
      <c r="BZ1024" s="387">
        <f t="shared" si="696"/>
        <v>0</v>
      </c>
      <c r="CA1024" s="387">
        <f t="shared" si="697"/>
        <v>0</v>
      </c>
      <c r="CB1024" s="387">
        <f t="shared" si="698"/>
        <v>0</v>
      </c>
      <c r="CC1024" s="387">
        <f t="shared" si="680"/>
        <v>0</v>
      </c>
      <c r="CD1024" s="387">
        <f t="shared" si="681"/>
        <v>0</v>
      </c>
      <c r="CE1024" s="387">
        <f t="shared" si="682"/>
        <v>0</v>
      </c>
      <c r="CF1024" s="387">
        <f t="shared" si="683"/>
        <v>-220.1472</v>
      </c>
      <c r="CG1024" s="387">
        <f t="shared" si="684"/>
        <v>0</v>
      </c>
      <c r="CH1024" s="387">
        <f t="shared" si="685"/>
        <v>31.449599999999986</v>
      </c>
      <c r="CI1024" s="387">
        <f t="shared" si="686"/>
        <v>0</v>
      </c>
      <c r="CJ1024" s="387">
        <f t="shared" si="699"/>
        <v>-188.69760000000002</v>
      </c>
      <c r="CK1024" s="387" t="str">
        <f t="shared" si="700"/>
        <v/>
      </c>
      <c r="CL1024" s="387" t="str">
        <f t="shared" si="701"/>
        <v/>
      </c>
      <c r="CM1024" s="387" t="str">
        <f t="shared" si="702"/>
        <v/>
      </c>
      <c r="CN1024" s="387" t="str">
        <f t="shared" si="703"/>
        <v>0348-31</v>
      </c>
    </row>
    <row r="1025" spans="1:92" ht="15.75" thickBot="1" x14ac:dyDescent="0.3">
      <c r="A1025" s="376" t="s">
        <v>161</v>
      </c>
      <c r="B1025" s="376" t="s">
        <v>162</v>
      </c>
      <c r="C1025" s="376" t="s">
        <v>1212</v>
      </c>
      <c r="D1025" s="376" t="s">
        <v>1088</v>
      </c>
      <c r="E1025" s="376" t="s">
        <v>224</v>
      </c>
      <c r="F1025" s="382" t="s">
        <v>225</v>
      </c>
      <c r="G1025" s="376" t="s">
        <v>1945</v>
      </c>
      <c r="H1025" s="378"/>
      <c r="I1025" s="378"/>
      <c r="J1025" s="376" t="s">
        <v>215</v>
      </c>
      <c r="K1025" s="376" t="s">
        <v>1089</v>
      </c>
      <c r="L1025" s="376" t="s">
        <v>181</v>
      </c>
      <c r="M1025" s="376" t="s">
        <v>171</v>
      </c>
      <c r="N1025" s="376" t="s">
        <v>172</v>
      </c>
      <c r="O1025" s="379">
        <v>1</v>
      </c>
      <c r="P1025" s="385">
        <v>1</v>
      </c>
      <c r="Q1025" s="385">
        <v>1</v>
      </c>
      <c r="R1025" s="380">
        <v>80</v>
      </c>
      <c r="S1025" s="385">
        <v>1</v>
      </c>
      <c r="T1025" s="380">
        <v>0</v>
      </c>
      <c r="U1025" s="380">
        <v>0</v>
      </c>
      <c r="V1025" s="380">
        <v>0</v>
      </c>
      <c r="W1025" s="380">
        <v>79560</v>
      </c>
      <c r="X1025" s="380">
        <v>28854.83</v>
      </c>
      <c r="Y1025" s="380">
        <v>79560</v>
      </c>
      <c r="Z1025" s="380">
        <v>28520.68</v>
      </c>
      <c r="AA1025" s="376" t="s">
        <v>1213</v>
      </c>
      <c r="AB1025" s="376" t="s">
        <v>1214</v>
      </c>
      <c r="AC1025" s="376" t="s">
        <v>1037</v>
      </c>
      <c r="AD1025" s="376" t="s">
        <v>686</v>
      </c>
      <c r="AE1025" s="376" t="s">
        <v>1089</v>
      </c>
      <c r="AF1025" s="376" t="s">
        <v>211</v>
      </c>
      <c r="AG1025" s="376" t="s">
        <v>178</v>
      </c>
      <c r="AH1025" s="381">
        <v>38.25</v>
      </c>
      <c r="AI1025" s="381">
        <v>63043.199999999997</v>
      </c>
      <c r="AJ1025" s="376" t="s">
        <v>179</v>
      </c>
      <c r="AK1025" s="376" t="s">
        <v>180</v>
      </c>
      <c r="AL1025" s="376" t="s">
        <v>181</v>
      </c>
      <c r="AM1025" s="376" t="s">
        <v>182</v>
      </c>
      <c r="AN1025" s="376" t="s">
        <v>68</v>
      </c>
      <c r="AO1025" s="379">
        <v>80</v>
      </c>
      <c r="AP1025" s="385">
        <v>1</v>
      </c>
      <c r="AQ1025" s="385">
        <v>1</v>
      </c>
      <c r="AR1025" s="383" t="s">
        <v>183</v>
      </c>
      <c r="AS1025" s="387">
        <f t="shared" si="687"/>
        <v>1</v>
      </c>
      <c r="AT1025">
        <f t="shared" si="688"/>
        <v>1</v>
      </c>
      <c r="AU1025" s="387">
        <f>IF(AT1025=0,"",IF(AND(AT1025=1,M1025="F",SUMIF(C2:C1334,C1025,AS2:AS1334)&lt;=1),SUMIF(C2:C1334,C1025,AS2:AS1334),IF(AND(AT1025=1,M1025="F",SUMIF(C2:C1334,C1025,AS2:AS1334)&gt;1),1,"")))</f>
        <v>1</v>
      </c>
      <c r="AV1025" s="387" t="str">
        <f>IF(AT1025=0,"",IF(AND(AT1025=3,M1025="F",SUMIF(C2:C1334,C1025,AS2:AS1334)&lt;=1),SUMIF(C2:C1334,C1025,AS2:AS1334),IF(AND(AT1025=3,M1025="F",SUMIF(C2:C1334,C1025,AS2:AS1334)&gt;1),1,"")))</f>
        <v/>
      </c>
      <c r="AW1025" s="387">
        <f>SUMIF(C2:C1334,C1025,O2:O1334)</f>
        <v>2</v>
      </c>
      <c r="AX1025" s="387">
        <f>IF(AND(M1025="F",AS1025&lt;&gt;0),SUMIF(C2:C1334,C1025,W2:W1334),0)</f>
        <v>79560</v>
      </c>
      <c r="AY1025" s="387">
        <f t="shared" si="689"/>
        <v>79560</v>
      </c>
      <c r="AZ1025" s="387" t="str">
        <f t="shared" si="690"/>
        <v/>
      </c>
      <c r="BA1025" s="387">
        <f t="shared" si="691"/>
        <v>0</v>
      </c>
      <c r="BB1025" s="387">
        <f t="shared" si="660"/>
        <v>11650</v>
      </c>
      <c r="BC1025" s="387">
        <f t="shared" si="661"/>
        <v>0</v>
      </c>
      <c r="BD1025" s="387">
        <f t="shared" si="662"/>
        <v>4932.72</v>
      </c>
      <c r="BE1025" s="387">
        <f t="shared" si="663"/>
        <v>1153.6200000000001</v>
      </c>
      <c r="BF1025" s="387">
        <f t="shared" si="664"/>
        <v>9499.4639999999999</v>
      </c>
      <c r="BG1025" s="387">
        <f t="shared" si="665"/>
        <v>573.62760000000003</v>
      </c>
      <c r="BH1025" s="387">
        <f t="shared" si="666"/>
        <v>389.84399999999999</v>
      </c>
      <c r="BI1025" s="387">
        <f t="shared" si="667"/>
        <v>440.3646</v>
      </c>
      <c r="BJ1025" s="387">
        <f t="shared" si="668"/>
        <v>214.81200000000001</v>
      </c>
      <c r="BK1025" s="387">
        <f t="shared" si="669"/>
        <v>0</v>
      </c>
      <c r="BL1025" s="387">
        <f t="shared" si="692"/>
        <v>17204.452200000003</v>
      </c>
      <c r="BM1025" s="387">
        <f t="shared" si="693"/>
        <v>0</v>
      </c>
      <c r="BN1025" s="387">
        <f t="shared" si="670"/>
        <v>11650</v>
      </c>
      <c r="BO1025" s="387">
        <f t="shared" si="671"/>
        <v>0</v>
      </c>
      <c r="BP1025" s="387">
        <f t="shared" si="672"/>
        <v>4932.72</v>
      </c>
      <c r="BQ1025" s="387">
        <f t="shared" si="673"/>
        <v>1153.6200000000001</v>
      </c>
      <c r="BR1025" s="387">
        <f t="shared" si="674"/>
        <v>9499.4639999999999</v>
      </c>
      <c r="BS1025" s="387">
        <f t="shared" si="675"/>
        <v>573.62760000000003</v>
      </c>
      <c r="BT1025" s="387">
        <f t="shared" si="676"/>
        <v>0</v>
      </c>
      <c r="BU1025" s="387">
        <f t="shared" si="677"/>
        <v>440.3646</v>
      </c>
      <c r="BV1025" s="387">
        <f t="shared" si="678"/>
        <v>270.50399999999996</v>
      </c>
      <c r="BW1025" s="387">
        <f t="shared" si="679"/>
        <v>0</v>
      </c>
      <c r="BX1025" s="387">
        <f t="shared" si="694"/>
        <v>16870.300200000001</v>
      </c>
      <c r="BY1025" s="387">
        <f t="shared" si="695"/>
        <v>0</v>
      </c>
      <c r="BZ1025" s="387">
        <f t="shared" si="696"/>
        <v>0</v>
      </c>
      <c r="CA1025" s="387">
        <f t="shared" si="697"/>
        <v>0</v>
      </c>
      <c r="CB1025" s="387">
        <f t="shared" si="698"/>
        <v>0</v>
      </c>
      <c r="CC1025" s="387">
        <f t="shared" si="680"/>
        <v>0</v>
      </c>
      <c r="CD1025" s="387">
        <f t="shared" si="681"/>
        <v>0</v>
      </c>
      <c r="CE1025" s="387">
        <f t="shared" si="682"/>
        <v>0</v>
      </c>
      <c r="CF1025" s="387">
        <f t="shared" si="683"/>
        <v>-389.84399999999999</v>
      </c>
      <c r="CG1025" s="387">
        <f t="shared" si="684"/>
        <v>0</v>
      </c>
      <c r="CH1025" s="387">
        <f t="shared" si="685"/>
        <v>55.691999999999972</v>
      </c>
      <c r="CI1025" s="387">
        <f t="shared" si="686"/>
        <v>0</v>
      </c>
      <c r="CJ1025" s="387">
        <f t="shared" si="699"/>
        <v>-334.15200000000004</v>
      </c>
      <c r="CK1025" s="387" t="str">
        <f t="shared" si="700"/>
        <v/>
      </c>
      <c r="CL1025" s="387" t="str">
        <f t="shared" si="701"/>
        <v/>
      </c>
      <c r="CM1025" s="387" t="str">
        <f t="shared" si="702"/>
        <v/>
      </c>
      <c r="CN1025" s="387" t="str">
        <f t="shared" si="703"/>
        <v>0348-31</v>
      </c>
    </row>
    <row r="1026" spans="1:92" ht="15.75" thickBot="1" x14ac:dyDescent="0.3">
      <c r="A1026" s="376" t="s">
        <v>161</v>
      </c>
      <c r="B1026" s="376" t="s">
        <v>162</v>
      </c>
      <c r="C1026" s="376" t="s">
        <v>2203</v>
      </c>
      <c r="D1026" s="376" t="s">
        <v>862</v>
      </c>
      <c r="E1026" s="376" t="s">
        <v>224</v>
      </c>
      <c r="F1026" s="382" t="s">
        <v>225</v>
      </c>
      <c r="G1026" s="376" t="s">
        <v>1945</v>
      </c>
      <c r="H1026" s="378"/>
      <c r="I1026" s="378"/>
      <c r="J1026" s="376" t="s">
        <v>215</v>
      </c>
      <c r="K1026" s="376" t="s">
        <v>863</v>
      </c>
      <c r="L1026" s="376" t="s">
        <v>252</v>
      </c>
      <c r="M1026" s="376" t="s">
        <v>272</v>
      </c>
      <c r="N1026" s="376" t="s">
        <v>877</v>
      </c>
      <c r="O1026" s="379">
        <v>0</v>
      </c>
      <c r="P1026" s="385">
        <v>1</v>
      </c>
      <c r="Q1026" s="385">
        <v>1</v>
      </c>
      <c r="R1026" s="380">
        <v>80</v>
      </c>
      <c r="S1026" s="385">
        <v>1</v>
      </c>
      <c r="T1026" s="380">
        <v>0</v>
      </c>
      <c r="U1026" s="380">
        <v>0</v>
      </c>
      <c r="V1026" s="380">
        <v>0</v>
      </c>
      <c r="W1026" s="380">
        <v>42328</v>
      </c>
      <c r="X1026" s="380">
        <v>18539.66</v>
      </c>
      <c r="Y1026" s="380">
        <v>42328</v>
      </c>
      <c r="Z1026" s="380">
        <v>18328.02</v>
      </c>
      <c r="AA1026" s="378"/>
      <c r="AB1026" s="376" t="s">
        <v>45</v>
      </c>
      <c r="AC1026" s="376" t="s">
        <v>45</v>
      </c>
      <c r="AD1026" s="378"/>
      <c r="AE1026" s="378"/>
      <c r="AF1026" s="378"/>
      <c r="AG1026" s="378"/>
      <c r="AH1026" s="379">
        <v>0</v>
      </c>
      <c r="AI1026" s="379">
        <v>0</v>
      </c>
      <c r="AJ1026" s="378"/>
      <c r="AK1026" s="378"/>
      <c r="AL1026" s="376" t="s">
        <v>181</v>
      </c>
      <c r="AM1026" s="378"/>
      <c r="AN1026" s="378"/>
      <c r="AO1026" s="379">
        <v>0</v>
      </c>
      <c r="AP1026" s="385">
        <v>0</v>
      </c>
      <c r="AQ1026" s="385">
        <v>0</v>
      </c>
      <c r="AR1026" s="384"/>
      <c r="AS1026" s="387">
        <f t="shared" si="687"/>
        <v>0</v>
      </c>
      <c r="AT1026">
        <f t="shared" si="688"/>
        <v>0</v>
      </c>
      <c r="AU1026" s="387" t="str">
        <f>IF(AT1026=0,"",IF(AND(AT1026=1,M1026="F",SUMIF(C2:C1334,C1026,AS2:AS1334)&lt;=1),SUMIF(C2:C1334,C1026,AS2:AS1334),IF(AND(AT1026=1,M1026="F",SUMIF(C2:C1334,C1026,AS2:AS1334)&gt;1),1,"")))</f>
        <v/>
      </c>
      <c r="AV1026" s="387" t="str">
        <f>IF(AT1026=0,"",IF(AND(AT1026=3,M1026="F",SUMIF(C2:C1334,C1026,AS2:AS1334)&lt;=1),SUMIF(C2:C1334,C1026,AS2:AS1334),IF(AND(AT1026=3,M1026="F",SUMIF(C2:C1334,C1026,AS2:AS1334)&gt;1),1,"")))</f>
        <v/>
      </c>
      <c r="AW1026" s="387">
        <f>SUMIF(C2:C1334,C1026,O2:O1334)</f>
        <v>0</v>
      </c>
      <c r="AX1026" s="387">
        <f>IF(AND(M1026="F",AS1026&lt;&gt;0),SUMIF(C2:C1334,C1026,W2:W1334),0)</f>
        <v>0</v>
      </c>
      <c r="AY1026" s="387" t="str">
        <f t="shared" si="689"/>
        <v/>
      </c>
      <c r="AZ1026" s="387" t="str">
        <f t="shared" si="690"/>
        <v/>
      </c>
      <c r="BA1026" s="387">
        <f t="shared" si="691"/>
        <v>0</v>
      </c>
      <c r="BB1026" s="387">
        <f t="shared" ref="BB1026:BB1089" si="704">IF(AND(AT1026=1,AK1026="E",AU1026&gt;=0.75,AW1026=1),Health,IF(AND(AT1026=1,AK1026="E",AU1026&gt;=0.75),Health*P1026,IF(AND(AT1026=1,AK1026="E",AU1026&gt;=0.5,AW1026=1),PTHealth,IF(AND(AT1026=1,AK1026="E",AU1026&gt;=0.5),PTHealth*P1026,0))))</f>
        <v>0</v>
      </c>
      <c r="BC1026" s="387">
        <f t="shared" ref="BC1026:BC1089" si="705">IF(AND(AT1026=3,AK1026="E",AV1026&gt;=0.75,AW1026=1),Health,IF(AND(AT1026=3,AK1026="E",AV1026&gt;=0.75),Health*P1026,IF(AND(AT1026=3,AK1026="E",AV1026&gt;=0.5,AW1026=1),PTHealth,IF(AND(AT1026=3,AK1026="E",AV1026&gt;=0.5),PTHealth*P1026,0))))</f>
        <v>0</v>
      </c>
      <c r="BD1026" s="387">
        <f t="shared" ref="BD1026:BD1089" si="706">IF(AND(AT1026&lt;&gt;0,AX1026&gt;=MAXSSDI),SSDI*MAXSSDI*P1026,IF(AT1026&lt;&gt;0,SSDI*W1026,0))</f>
        <v>0</v>
      </c>
      <c r="BE1026" s="387">
        <f t="shared" ref="BE1026:BE1089" si="707">IF(AT1026&lt;&gt;0,SSHI*W1026,0)</f>
        <v>0</v>
      </c>
      <c r="BF1026" s="387">
        <f t="shared" ref="BF1026:BF1089" si="708">IF(AND(AT1026&lt;&gt;0,AN1026&lt;&gt;"NE"),VLOOKUP(AN1026,Retirement_Rates,3,FALSE)*W1026,0)</f>
        <v>0</v>
      </c>
      <c r="BG1026" s="387">
        <f t="shared" ref="BG1026:BG1089" si="709">IF(AND(AT1026&lt;&gt;0,AJ1026&lt;&gt;"PF"),Life*W1026,0)</f>
        <v>0</v>
      </c>
      <c r="BH1026" s="387">
        <f t="shared" ref="BH1026:BH1089" si="710">IF(AND(AT1026&lt;&gt;0,AM1026="Y"),UI*W1026,0)</f>
        <v>0</v>
      </c>
      <c r="BI1026" s="387">
        <f t="shared" ref="BI1026:BI1089" si="711">IF(AND(AT1026&lt;&gt;0,N1026&lt;&gt;"NR"),DHR*W1026,0)</f>
        <v>0</v>
      </c>
      <c r="BJ1026" s="387">
        <f t="shared" ref="BJ1026:BJ1089" si="712">IF(AT1026&lt;&gt;0,WC*W1026,0)</f>
        <v>0</v>
      </c>
      <c r="BK1026" s="387">
        <f t="shared" ref="BK1026:BK1089" si="713">IF(OR(AND(AT1026&lt;&gt;0,AJ1026&lt;&gt;"PF",AN1026&lt;&gt;"NE",AG1026&lt;&gt;"A"),AND(AL1026="E",OR(AT1026=1,AT1026=3))),Sick*W1026,0)</f>
        <v>0</v>
      </c>
      <c r="BL1026" s="387">
        <f t="shared" si="692"/>
        <v>0</v>
      </c>
      <c r="BM1026" s="387">
        <f t="shared" si="693"/>
        <v>0</v>
      </c>
      <c r="BN1026" s="387">
        <f t="shared" ref="BN1026:BN1089" si="714">IF(AND(AT1026=1,AK1026="E",AU1026&gt;=0.75,AW1026=1),HealthBY,IF(AND(AT1026=1,AK1026="E",AU1026&gt;=0.75),HealthBY*P1026,IF(AND(AT1026=1,AK1026="E",AU1026&gt;=0.5,AW1026=1),PTHealthBY,IF(AND(AT1026=1,AK1026="E",AU1026&gt;=0.5),PTHealthBY*P1026,0))))</f>
        <v>0</v>
      </c>
      <c r="BO1026" s="387">
        <f t="shared" ref="BO1026:BO1089" si="715">IF(AND(AT1026=3,AK1026="E",AV1026&gt;=0.75,AW1026=1),HealthBY,IF(AND(AT1026=3,AK1026="E",AV1026&gt;=0.75),HealthBY*P1026,IF(AND(AT1026=3,AK1026="E",AV1026&gt;=0.5,AW1026=1),PTHealthBY,IF(AND(AT1026=3,AK1026="E",AV1026&gt;=0.5),PTHealthBY*P1026,0))))</f>
        <v>0</v>
      </c>
      <c r="BP1026" s="387">
        <f t="shared" ref="BP1026:BP1089" si="716">IF(AND(AT1026&lt;&gt;0,(AX1026+BA1026)&gt;=MAXSSDIBY),SSDIBY*MAXSSDIBY*P1026,IF(AT1026&lt;&gt;0,SSDIBY*W1026,0))</f>
        <v>0</v>
      </c>
      <c r="BQ1026" s="387">
        <f t="shared" ref="BQ1026:BQ1089" si="717">IF(AT1026&lt;&gt;0,SSHIBY*W1026,0)</f>
        <v>0</v>
      </c>
      <c r="BR1026" s="387">
        <f t="shared" ref="BR1026:BR1089" si="718">IF(AND(AT1026&lt;&gt;0,AN1026&lt;&gt;"NE"),VLOOKUP(AN1026,Retirement_Rates,4,FALSE)*W1026,0)</f>
        <v>0</v>
      </c>
      <c r="BS1026" s="387">
        <f t="shared" ref="BS1026:BS1089" si="719">IF(AND(AT1026&lt;&gt;0,AJ1026&lt;&gt;"PF"),LifeBY*W1026,0)</f>
        <v>0</v>
      </c>
      <c r="BT1026" s="387">
        <f t="shared" ref="BT1026:BT1089" si="720">IF(AND(AT1026&lt;&gt;0,AM1026="Y"),UIBY*W1026,0)</f>
        <v>0</v>
      </c>
      <c r="BU1026" s="387">
        <f t="shared" ref="BU1026:BU1089" si="721">IF(AND(AT1026&lt;&gt;0,N1026&lt;&gt;"NR"),DHRBY*W1026,0)</f>
        <v>0</v>
      </c>
      <c r="BV1026" s="387">
        <f t="shared" ref="BV1026:BV1089" si="722">IF(AT1026&lt;&gt;0,WCBY*W1026,0)</f>
        <v>0</v>
      </c>
      <c r="BW1026" s="387">
        <f t="shared" ref="BW1026:BW1089" si="723">IF(OR(AND(AT1026&lt;&gt;0,AJ1026&lt;&gt;"PF",AN1026&lt;&gt;"NE",AG1026&lt;&gt;"A"),AND(AL1026="E",OR(AT1026=1,AT1026=3))),SickBY*W1026,0)</f>
        <v>0</v>
      </c>
      <c r="BX1026" s="387">
        <f t="shared" si="694"/>
        <v>0</v>
      </c>
      <c r="BY1026" s="387">
        <f t="shared" si="695"/>
        <v>0</v>
      </c>
      <c r="BZ1026" s="387">
        <f t="shared" si="696"/>
        <v>0</v>
      </c>
      <c r="CA1026" s="387">
        <f t="shared" si="697"/>
        <v>0</v>
      </c>
      <c r="CB1026" s="387">
        <f t="shared" si="698"/>
        <v>0</v>
      </c>
      <c r="CC1026" s="387">
        <f t="shared" ref="CC1026:CC1089" si="724">IF(AT1026&lt;&gt;0,SSHICHG*Y1026,0)</f>
        <v>0</v>
      </c>
      <c r="CD1026" s="387">
        <f t="shared" ref="CD1026:CD1089" si="725">IF(AND(AT1026&lt;&gt;0,AN1026&lt;&gt;"NE"),VLOOKUP(AN1026,Retirement_Rates,5,FALSE)*Y1026,0)</f>
        <v>0</v>
      </c>
      <c r="CE1026" s="387">
        <f t="shared" ref="CE1026:CE1089" si="726">IF(AND(AT1026&lt;&gt;0,AJ1026&lt;&gt;"PF"),LifeCHG*Y1026,0)</f>
        <v>0</v>
      </c>
      <c r="CF1026" s="387">
        <f t="shared" ref="CF1026:CF1089" si="727">IF(AND(AT1026&lt;&gt;0,AM1026="Y"),UICHG*Y1026,0)</f>
        <v>0</v>
      </c>
      <c r="CG1026" s="387">
        <f t="shared" ref="CG1026:CG1089" si="728">IF(AND(AT1026&lt;&gt;0,N1026&lt;&gt;"NR"),DHRCHG*Y1026,0)</f>
        <v>0</v>
      </c>
      <c r="CH1026" s="387">
        <f t="shared" ref="CH1026:CH1089" si="729">IF(AT1026&lt;&gt;0,WCCHG*Y1026,0)</f>
        <v>0</v>
      </c>
      <c r="CI1026" s="387">
        <f t="shared" ref="CI1026:CI1089" si="730">IF(OR(AND(AT1026&lt;&gt;0,AJ1026&lt;&gt;"PF",AN1026&lt;&gt;"NE",AG1026&lt;&gt;"A"),AND(AL1026="E",OR(AT1026=1,AT1026=3))),SickCHG*Y1026,0)</f>
        <v>0</v>
      </c>
      <c r="CJ1026" s="387">
        <f t="shared" si="699"/>
        <v>0</v>
      </c>
      <c r="CK1026" s="387" t="str">
        <f t="shared" si="700"/>
        <v/>
      </c>
      <c r="CL1026" s="387" t="str">
        <f t="shared" si="701"/>
        <v/>
      </c>
      <c r="CM1026" s="387" t="str">
        <f t="shared" si="702"/>
        <v/>
      </c>
      <c r="CN1026" s="387" t="str">
        <f t="shared" si="703"/>
        <v>0348-31</v>
      </c>
    </row>
    <row r="1027" spans="1:92" ht="15.75" thickBot="1" x14ac:dyDescent="0.3">
      <c r="A1027" s="376" t="s">
        <v>161</v>
      </c>
      <c r="B1027" s="376" t="s">
        <v>162</v>
      </c>
      <c r="C1027" s="376" t="s">
        <v>1390</v>
      </c>
      <c r="D1027" s="376" t="s">
        <v>862</v>
      </c>
      <c r="E1027" s="376" t="s">
        <v>224</v>
      </c>
      <c r="F1027" s="382" t="s">
        <v>225</v>
      </c>
      <c r="G1027" s="376" t="s">
        <v>1945</v>
      </c>
      <c r="H1027" s="378"/>
      <c r="I1027" s="378"/>
      <c r="J1027" s="376" t="s">
        <v>215</v>
      </c>
      <c r="K1027" s="376" t="s">
        <v>863</v>
      </c>
      <c r="L1027" s="376" t="s">
        <v>252</v>
      </c>
      <c r="M1027" s="376" t="s">
        <v>272</v>
      </c>
      <c r="N1027" s="376" t="s">
        <v>172</v>
      </c>
      <c r="O1027" s="379">
        <v>0</v>
      </c>
      <c r="P1027" s="385">
        <v>0</v>
      </c>
      <c r="Q1027" s="385">
        <v>0</v>
      </c>
      <c r="R1027" s="380">
        <v>80</v>
      </c>
      <c r="S1027" s="385">
        <v>0</v>
      </c>
      <c r="T1027" s="380">
        <v>6841.19</v>
      </c>
      <c r="U1027" s="380">
        <v>0</v>
      </c>
      <c r="V1027" s="380">
        <v>3834.83</v>
      </c>
      <c r="W1027" s="380">
        <v>0</v>
      </c>
      <c r="X1027" s="380">
        <v>0</v>
      </c>
      <c r="Y1027" s="380">
        <v>0</v>
      </c>
      <c r="Z1027" s="380">
        <v>0</v>
      </c>
      <c r="AA1027" s="378"/>
      <c r="AB1027" s="376" t="s">
        <v>45</v>
      </c>
      <c r="AC1027" s="376" t="s">
        <v>45</v>
      </c>
      <c r="AD1027" s="378"/>
      <c r="AE1027" s="378"/>
      <c r="AF1027" s="378"/>
      <c r="AG1027" s="378"/>
      <c r="AH1027" s="379">
        <v>0</v>
      </c>
      <c r="AI1027" s="379">
        <v>0</v>
      </c>
      <c r="AJ1027" s="378"/>
      <c r="AK1027" s="378"/>
      <c r="AL1027" s="376" t="s">
        <v>181</v>
      </c>
      <c r="AM1027" s="378"/>
      <c r="AN1027" s="378"/>
      <c r="AO1027" s="379">
        <v>0</v>
      </c>
      <c r="AP1027" s="385">
        <v>0</v>
      </c>
      <c r="AQ1027" s="385">
        <v>0</v>
      </c>
      <c r="AR1027" s="384"/>
      <c r="AS1027" s="387">
        <f t="shared" ref="AS1027:AS1090" si="731">IF(((AO1027/80)*AP1027*P1027)&gt;1,AQ1027,((AO1027/80)*AP1027*P1027))</f>
        <v>0</v>
      </c>
      <c r="AT1027">
        <f t="shared" ref="AT1027:AT1090" si="732">IF(AND(M1027="F",N1027&lt;&gt;"NG",AS1027&lt;&gt;0,AND(AR1027&lt;&gt;6,AR1027&lt;&gt;36,AR1027&lt;&gt;56),AG1027&lt;&gt;"A",OR(AG1027="H",AJ1027="FS")),1,IF(AND(M1027="F",N1027&lt;&gt;"NG",AS1027&lt;&gt;0,AG1027="A"),3,0))</f>
        <v>0</v>
      </c>
      <c r="AU1027" s="387" t="str">
        <f>IF(AT1027=0,"",IF(AND(AT1027=1,M1027="F",SUMIF(C2:C1334,C1027,AS2:AS1334)&lt;=1),SUMIF(C2:C1334,C1027,AS2:AS1334),IF(AND(AT1027=1,M1027="F",SUMIF(C2:C1334,C1027,AS2:AS1334)&gt;1),1,"")))</f>
        <v/>
      </c>
      <c r="AV1027" s="387" t="str">
        <f>IF(AT1027=0,"",IF(AND(AT1027=3,M1027="F",SUMIF(C2:C1334,C1027,AS2:AS1334)&lt;=1),SUMIF(C2:C1334,C1027,AS2:AS1334),IF(AND(AT1027=3,M1027="F",SUMIF(C2:C1334,C1027,AS2:AS1334)&gt;1),1,"")))</f>
        <v/>
      </c>
      <c r="AW1027" s="387">
        <f>SUMIF(C2:C1334,C1027,O2:O1334)</f>
        <v>0</v>
      </c>
      <c r="AX1027" s="387">
        <f>IF(AND(M1027="F",AS1027&lt;&gt;0),SUMIF(C2:C1334,C1027,W2:W1334),0)</f>
        <v>0</v>
      </c>
      <c r="AY1027" s="387" t="str">
        <f t="shared" ref="AY1027:AY1090" si="733">IF(AT1027=1,W1027,"")</f>
        <v/>
      </c>
      <c r="AZ1027" s="387" t="str">
        <f t="shared" ref="AZ1027:AZ1090" si="734">IF(AT1027=3,W1027,"")</f>
        <v/>
      </c>
      <c r="BA1027" s="387">
        <f t="shared" ref="BA1027:BA1090" si="735">IF(AT1027=1,Y1027-W1027,0)</f>
        <v>0</v>
      </c>
      <c r="BB1027" s="387">
        <f t="shared" si="704"/>
        <v>0</v>
      </c>
      <c r="BC1027" s="387">
        <f t="shared" si="705"/>
        <v>0</v>
      </c>
      <c r="BD1027" s="387">
        <f t="shared" si="706"/>
        <v>0</v>
      </c>
      <c r="BE1027" s="387">
        <f t="shared" si="707"/>
        <v>0</v>
      </c>
      <c r="BF1027" s="387">
        <f t="shared" si="708"/>
        <v>0</v>
      </c>
      <c r="BG1027" s="387">
        <f t="shared" si="709"/>
        <v>0</v>
      </c>
      <c r="BH1027" s="387">
        <f t="shared" si="710"/>
        <v>0</v>
      </c>
      <c r="BI1027" s="387">
        <f t="shared" si="711"/>
        <v>0</v>
      </c>
      <c r="BJ1027" s="387">
        <f t="shared" si="712"/>
        <v>0</v>
      </c>
      <c r="BK1027" s="387">
        <f t="shared" si="713"/>
        <v>0</v>
      </c>
      <c r="BL1027" s="387">
        <f t="shared" ref="BL1027:BL1090" si="736">IF(AT1027=1,SUM(BD1027:BK1027),0)</f>
        <v>0</v>
      </c>
      <c r="BM1027" s="387">
        <f t="shared" ref="BM1027:BM1090" si="737">IF(AT1027=3,SUM(BD1027:BK1027),0)</f>
        <v>0</v>
      </c>
      <c r="BN1027" s="387">
        <f t="shared" si="714"/>
        <v>0</v>
      </c>
      <c r="BO1027" s="387">
        <f t="shared" si="715"/>
        <v>0</v>
      </c>
      <c r="BP1027" s="387">
        <f t="shared" si="716"/>
        <v>0</v>
      </c>
      <c r="BQ1027" s="387">
        <f t="shared" si="717"/>
        <v>0</v>
      </c>
      <c r="BR1027" s="387">
        <f t="shared" si="718"/>
        <v>0</v>
      </c>
      <c r="BS1027" s="387">
        <f t="shared" si="719"/>
        <v>0</v>
      </c>
      <c r="BT1027" s="387">
        <f t="shared" si="720"/>
        <v>0</v>
      </c>
      <c r="BU1027" s="387">
        <f t="shared" si="721"/>
        <v>0</v>
      </c>
      <c r="BV1027" s="387">
        <f t="shared" si="722"/>
        <v>0</v>
      </c>
      <c r="BW1027" s="387">
        <f t="shared" si="723"/>
        <v>0</v>
      </c>
      <c r="BX1027" s="387">
        <f t="shared" ref="BX1027:BX1090" si="738">IF(AT1027=1,SUM(BP1027:BW1027),0)</f>
        <v>0</v>
      </c>
      <c r="BY1027" s="387">
        <f t="shared" ref="BY1027:BY1090" si="739">IF(AT1027=3,SUM(BP1027:BW1027),0)</f>
        <v>0</v>
      </c>
      <c r="BZ1027" s="387">
        <f t="shared" ref="BZ1027:BZ1090" si="740">IF(AT1027=1,BN1027-BB1027,0)</f>
        <v>0</v>
      </c>
      <c r="CA1027" s="387">
        <f t="shared" ref="CA1027:CA1090" si="741">IF(AT1027=3,BO1027-BC1027,0)</f>
        <v>0</v>
      </c>
      <c r="CB1027" s="387">
        <f t="shared" ref="CB1027:CB1090" si="742">BP1027-BD1027</f>
        <v>0</v>
      </c>
      <c r="CC1027" s="387">
        <f t="shared" si="724"/>
        <v>0</v>
      </c>
      <c r="CD1027" s="387">
        <f t="shared" si="725"/>
        <v>0</v>
      </c>
      <c r="CE1027" s="387">
        <f t="shared" si="726"/>
        <v>0</v>
      </c>
      <c r="CF1027" s="387">
        <f t="shared" si="727"/>
        <v>0</v>
      </c>
      <c r="CG1027" s="387">
        <f t="shared" si="728"/>
        <v>0</v>
      </c>
      <c r="CH1027" s="387">
        <f t="shared" si="729"/>
        <v>0</v>
      </c>
      <c r="CI1027" s="387">
        <f t="shared" si="730"/>
        <v>0</v>
      </c>
      <c r="CJ1027" s="387">
        <f t="shared" ref="CJ1027:CJ1090" si="743">IF(AT1027=1,SUM(CB1027:CI1027),0)</f>
        <v>0</v>
      </c>
      <c r="CK1027" s="387" t="str">
        <f t="shared" ref="CK1027:CK1090" si="744">IF(AT1027=3,SUM(CB1027:CI1027),"")</f>
        <v/>
      </c>
      <c r="CL1027" s="387" t="str">
        <f t="shared" ref="CL1027:CL1090" si="745">IF(OR(N1027="NG",AG1027="D"),(T1027+U1027),"")</f>
        <v/>
      </c>
      <c r="CM1027" s="387" t="str">
        <f t="shared" ref="CM1027:CM1090" si="746">IF(OR(N1027="NG",AG1027="D"),V1027,"")</f>
        <v/>
      </c>
      <c r="CN1027" s="387" t="str">
        <f t="shared" ref="CN1027:CN1090" si="747">E1027 &amp; "-" &amp; F1027</f>
        <v>0348-31</v>
      </c>
    </row>
    <row r="1028" spans="1:92" ht="15.75" thickBot="1" x14ac:dyDescent="0.3">
      <c r="A1028" s="376" t="s">
        <v>161</v>
      </c>
      <c r="B1028" s="376" t="s">
        <v>162</v>
      </c>
      <c r="C1028" s="376" t="s">
        <v>2204</v>
      </c>
      <c r="D1028" s="376" t="s">
        <v>2173</v>
      </c>
      <c r="E1028" s="376" t="s">
        <v>224</v>
      </c>
      <c r="F1028" s="382" t="s">
        <v>225</v>
      </c>
      <c r="G1028" s="376" t="s">
        <v>1945</v>
      </c>
      <c r="H1028" s="378"/>
      <c r="I1028" s="378"/>
      <c r="J1028" s="376" t="s">
        <v>215</v>
      </c>
      <c r="K1028" s="376" t="s">
        <v>2174</v>
      </c>
      <c r="L1028" s="376" t="s">
        <v>296</v>
      </c>
      <c r="M1028" s="376" t="s">
        <v>171</v>
      </c>
      <c r="N1028" s="376" t="s">
        <v>172</v>
      </c>
      <c r="O1028" s="379">
        <v>1</v>
      </c>
      <c r="P1028" s="385">
        <v>1</v>
      </c>
      <c r="Q1028" s="385">
        <v>1</v>
      </c>
      <c r="R1028" s="380">
        <v>80</v>
      </c>
      <c r="S1028" s="385">
        <v>1</v>
      </c>
      <c r="T1028" s="380">
        <v>52943.21</v>
      </c>
      <c r="U1028" s="380">
        <v>0</v>
      </c>
      <c r="V1028" s="380">
        <v>22780.68</v>
      </c>
      <c r="W1028" s="380">
        <v>62212.800000000003</v>
      </c>
      <c r="X1028" s="380">
        <v>25103.48</v>
      </c>
      <c r="Y1028" s="380">
        <v>62212.800000000003</v>
      </c>
      <c r="Z1028" s="380">
        <v>24842.19</v>
      </c>
      <c r="AA1028" s="376" t="s">
        <v>2205</v>
      </c>
      <c r="AB1028" s="376" t="s">
        <v>2206</v>
      </c>
      <c r="AC1028" s="376" t="s">
        <v>2207</v>
      </c>
      <c r="AD1028" s="376" t="s">
        <v>252</v>
      </c>
      <c r="AE1028" s="376" t="s">
        <v>2174</v>
      </c>
      <c r="AF1028" s="376" t="s">
        <v>301</v>
      </c>
      <c r="AG1028" s="376" t="s">
        <v>178</v>
      </c>
      <c r="AH1028" s="381">
        <v>29.91</v>
      </c>
      <c r="AI1028" s="381">
        <v>49332.4</v>
      </c>
      <c r="AJ1028" s="376" t="s">
        <v>179</v>
      </c>
      <c r="AK1028" s="376" t="s">
        <v>180</v>
      </c>
      <c r="AL1028" s="376" t="s">
        <v>181</v>
      </c>
      <c r="AM1028" s="376" t="s">
        <v>182</v>
      </c>
      <c r="AN1028" s="376" t="s">
        <v>68</v>
      </c>
      <c r="AO1028" s="379">
        <v>80</v>
      </c>
      <c r="AP1028" s="385">
        <v>1</v>
      </c>
      <c r="AQ1028" s="385">
        <v>1</v>
      </c>
      <c r="AR1028" s="383" t="s">
        <v>183</v>
      </c>
      <c r="AS1028" s="387">
        <f t="shared" si="731"/>
        <v>1</v>
      </c>
      <c r="AT1028">
        <f t="shared" si="732"/>
        <v>1</v>
      </c>
      <c r="AU1028" s="387">
        <f>IF(AT1028=0,"",IF(AND(AT1028=1,M1028="F",SUMIF(C2:C1334,C1028,AS2:AS1334)&lt;=1),SUMIF(C2:C1334,C1028,AS2:AS1334),IF(AND(AT1028=1,M1028="F",SUMIF(C2:C1334,C1028,AS2:AS1334)&gt;1),1,"")))</f>
        <v>1</v>
      </c>
      <c r="AV1028" s="387" t="str">
        <f>IF(AT1028=0,"",IF(AND(AT1028=3,M1028="F",SUMIF(C2:C1334,C1028,AS2:AS1334)&lt;=1),SUMIF(C2:C1334,C1028,AS2:AS1334),IF(AND(AT1028=3,M1028="F",SUMIF(C2:C1334,C1028,AS2:AS1334)&gt;1),1,"")))</f>
        <v/>
      </c>
      <c r="AW1028" s="387">
        <f>SUMIF(C2:C1334,C1028,O2:O1334)</f>
        <v>1</v>
      </c>
      <c r="AX1028" s="387">
        <f>IF(AND(M1028="F",AS1028&lt;&gt;0),SUMIF(C2:C1334,C1028,W2:W1334),0)</f>
        <v>62212.800000000003</v>
      </c>
      <c r="AY1028" s="387">
        <f t="shared" si="733"/>
        <v>62212.800000000003</v>
      </c>
      <c r="AZ1028" s="387" t="str">
        <f t="shared" si="734"/>
        <v/>
      </c>
      <c r="BA1028" s="387">
        <f t="shared" si="735"/>
        <v>0</v>
      </c>
      <c r="BB1028" s="387">
        <f t="shared" si="704"/>
        <v>11650</v>
      </c>
      <c r="BC1028" s="387">
        <f t="shared" si="705"/>
        <v>0</v>
      </c>
      <c r="BD1028" s="387">
        <f t="shared" si="706"/>
        <v>3857.1936000000001</v>
      </c>
      <c r="BE1028" s="387">
        <f t="shared" si="707"/>
        <v>902.08560000000011</v>
      </c>
      <c r="BF1028" s="387">
        <f t="shared" si="708"/>
        <v>7428.2083200000006</v>
      </c>
      <c r="BG1028" s="387">
        <f t="shared" si="709"/>
        <v>448.55428800000004</v>
      </c>
      <c r="BH1028" s="387">
        <f t="shared" si="710"/>
        <v>304.84271999999999</v>
      </c>
      <c r="BI1028" s="387">
        <f t="shared" si="711"/>
        <v>344.347848</v>
      </c>
      <c r="BJ1028" s="387">
        <f t="shared" si="712"/>
        <v>167.97456000000003</v>
      </c>
      <c r="BK1028" s="387">
        <f t="shared" si="713"/>
        <v>0</v>
      </c>
      <c r="BL1028" s="387">
        <f t="shared" si="736"/>
        <v>13453.206936</v>
      </c>
      <c r="BM1028" s="387">
        <f t="shared" si="737"/>
        <v>0</v>
      </c>
      <c r="BN1028" s="387">
        <f t="shared" si="714"/>
        <v>11650</v>
      </c>
      <c r="BO1028" s="387">
        <f t="shared" si="715"/>
        <v>0</v>
      </c>
      <c r="BP1028" s="387">
        <f t="shared" si="716"/>
        <v>3857.1936000000001</v>
      </c>
      <c r="BQ1028" s="387">
        <f t="shared" si="717"/>
        <v>902.08560000000011</v>
      </c>
      <c r="BR1028" s="387">
        <f t="shared" si="718"/>
        <v>7428.2083200000006</v>
      </c>
      <c r="BS1028" s="387">
        <f t="shared" si="719"/>
        <v>448.55428800000004</v>
      </c>
      <c r="BT1028" s="387">
        <f t="shared" si="720"/>
        <v>0</v>
      </c>
      <c r="BU1028" s="387">
        <f t="shared" si="721"/>
        <v>344.347848</v>
      </c>
      <c r="BV1028" s="387">
        <f t="shared" si="722"/>
        <v>211.52351999999999</v>
      </c>
      <c r="BW1028" s="387">
        <f t="shared" si="723"/>
        <v>0</v>
      </c>
      <c r="BX1028" s="387">
        <f t="shared" si="738"/>
        <v>13191.913176</v>
      </c>
      <c r="BY1028" s="387">
        <f t="shared" si="739"/>
        <v>0</v>
      </c>
      <c r="BZ1028" s="387">
        <f t="shared" si="740"/>
        <v>0</v>
      </c>
      <c r="CA1028" s="387">
        <f t="shared" si="741"/>
        <v>0</v>
      </c>
      <c r="CB1028" s="387">
        <f t="shared" si="742"/>
        <v>0</v>
      </c>
      <c r="CC1028" s="387">
        <f t="shared" si="724"/>
        <v>0</v>
      </c>
      <c r="CD1028" s="387">
        <f t="shared" si="725"/>
        <v>0</v>
      </c>
      <c r="CE1028" s="387">
        <f t="shared" si="726"/>
        <v>0</v>
      </c>
      <c r="CF1028" s="387">
        <f t="shared" si="727"/>
        <v>-304.84271999999999</v>
      </c>
      <c r="CG1028" s="387">
        <f t="shared" si="728"/>
        <v>0</v>
      </c>
      <c r="CH1028" s="387">
        <f t="shared" si="729"/>
        <v>43.54895999999998</v>
      </c>
      <c r="CI1028" s="387">
        <f t="shared" si="730"/>
        <v>0</v>
      </c>
      <c r="CJ1028" s="387">
        <f t="shared" si="743"/>
        <v>-261.29376000000002</v>
      </c>
      <c r="CK1028" s="387" t="str">
        <f t="shared" si="744"/>
        <v/>
      </c>
      <c r="CL1028" s="387" t="str">
        <f t="shared" si="745"/>
        <v/>
      </c>
      <c r="CM1028" s="387" t="str">
        <f t="shared" si="746"/>
        <v/>
      </c>
      <c r="CN1028" s="387" t="str">
        <f t="shared" si="747"/>
        <v>0348-31</v>
      </c>
    </row>
    <row r="1029" spans="1:92" ht="15.75" thickBot="1" x14ac:dyDescent="0.3">
      <c r="A1029" s="376" t="s">
        <v>161</v>
      </c>
      <c r="B1029" s="376" t="s">
        <v>162</v>
      </c>
      <c r="C1029" s="376" t="s">
        <v>2208</v>
      </c>
      <c r="D1029" s="376" t="s">
        <v>974</v>
      </c>
      <c r="E1029" s="376" t="s">
        <v>224</v>
      </c>
      <c r="F1029" s="382" t="s">
        <v>225</v>
      </c>
      <c r="G1029" s="376" t="s">
        <v>1945</v>
      </c>
      <c r="H1029" s="378"/>
      <c r="I1029" s="378"/>
      <c r="J1029" s="376" t="s">
        <v>215</v>
      </c>
      <c r="K1029" s="376" t="s">
        <v>975</v>
      </c>
      <c r="L1029" s="376" t="s">
        <v>296</v>
      </c>
      <c r="M1029" s="376" t="s">
        <v>171</v>
      </c>
      <c r="N1029" s="376" t="s">
        <v>172</v>
      </c>
      <c r="O1029" s="379">
        <v>1</v>
      </c>
      <c r="P1029" s="385">
        <v>1</v>
      </c>
      <c r="Q1029" s="385">
        <v>1</v>
      </c>
      <c r="R1029" s="380">
        <v>80</v>
      </c>
      <c r="S1029" s="385">
        <v>1</v>
      </c>
      <c r="T1029" s="380">
        <v>43198.89</v>
      </c>
      <c r="U1029" s="380">
        <v>2635.16</v>
      </c>
      <c r="V1029" s="380">
        <v>21077.48</v>
      </c>
      <c r="W1029" s="380">
        <v>49649.599999999999</v>
      </c>
      <c r="X1029" s="380">
        <v>22386.69</v>
      </c>
      <c r="Y1029" s="380">
        <v>49649.599999999999</v>
      </c>
      <c r="Z1029" s="380">
        <v>22178.16</v>
      </c>
      <c r="AA1029" s="376" t="s">
        <v>2209</v>
      </c>
      <c r="AB1029" s="376" t="s">
        <v>2210</v>
      </c>
      <c r="AC1029" s="376" t="s">
        <v>945</v>
      </c>
      <c r="AD1029" s="376" t="s">
        <v>441</v>
      </c>
      <c r="AE1029" s="376" t="s">
        <v>975</v>
      </c>
      <c r="AF1029" s="376" t="s">
        <v>301</v>
      </c>
      <c r="AG1029" s="376" t="s">
        <v>178</v>
      </c>
      <c r="AH1029" s="381">
        <v>23.87</v>
      </c>
      <c r="AI1029" s="381">
        <v>23723.599999999999</v>
      </c>
      <c r="AJ1029" s="376" t="s">
        <v>179</v>
      </c>
      <c r="AK1029" s="376" t="s">
        <v>180</v>
      </c>
      <c r="AL1029" s="376" t="s">
        <v>181</v>
      </c>
      <c r="AM1029" s="376" t="s">
        <v>182</v>
      </c>
      <c r="AN1029" s="376" t="s">
        <v>68</v>
      </c>
      <c r="AO1029" s="379">
        <v>80</v>
      </c>
      <c r="AP1029" s="385">
        <v>1</v>
      </c>
      <c r="AQ1029" s="385">
        <v>1</v>
      </c>
      <c r="AR1029" s="383" t="s">
        <v>183</v>
      </c>
      <c r="AS1029" s="387">
        <f t="shared" si="731"/>
        <v>1</v>
      </c>
      <c r="AT1029">
        <f t="shared" si="732"/>
        <v>1</v>
      </c>
      <c r="AU1029" s="387">
        <f>IF(AT1029=0,"",IF(AND(AT1029=1,M1029="F",SUMIF(C2:C1334,C1029,AS2:AS1334)&lt;=1),SUMIF(C2:C1334,C1029,AS2:AS1334),IF(AND(AT1029=1,M1029="F",SUMIF(C2:C1334,C1029,AS2:AS1334)&gt;1),1,"")))</f>
        <v>1</v>
      </c>
      <c r="AV1029" s="387" t="str">
        <f>IF(AT1029=0,"",IF(AND(AT1029=3,M1029="F",SUMIF(C2:C1334,C1029,AS2:AS1334)&lt;=1),SUMIF(C2:C1334,C1029,AS2:AS1334),IF(AND(AT1029=3,M1029="F",SUMIF(C2:C1334,C1029,AS2:AS1334)&gt;1),1,"")))</f>
        <v/>
      </c>
      <c r="AW1029" s="387">
        <f>SUMIF(C2:C1334,C1029,O2:O1334)</f>
        <v>1</v>
      </c>
      <c r="AX1029" s="387">
        <f>IF(AND(M1029="F",AS1029&lt;&gt;0),SUMIF(C2:C1334,C1029,W2:W1334),0)</f>
        <v>49649.599999999999</v>
      </c>
      <c r="AY1029" s="387">
        <f t="shared" si="733"/>
        <v>49649.599999999999</v>
      </c>
      <c r="AZ1029" s="387" t="str">
        <f t="shared" si="734"/>
        <v/>
      </c>
      <c r="BA1029" s="387">
        <f t="shared" si="735"/>
        <v>0</v>
      </c>
      <c r="BB1029" s="387">
        <f t="shared" si="704"/>
        <v>11650</v>
      </c>
      <c r="BC1029" s="387">
        <f t="shared" si="705"/>
        <v>0</v>
      </c>
      <c r="BD1029" s="387">
        <f t="shared" si="706"/>
        <v>3078.2752</v>
      </c>
      <c r="BE1029" s="387">
        <f t="shared" si="707"/>
        <v>719.91920000000005</v>
      </c>
      <c r="BF1029" s="387">
        <f t="shared" si="708"/>
        <v>5928.1622400000006</v>
      </c>
      <c r="BG1029" s="387">
        <f t="shared" si="709"/>
        <v>357.97361599999999</v>
      </c>
      <c r="BH1029" s="387">
        <f t="shared" si="710"/>
        <v>243.28303999999997</v>
      </c>
      <c r="BI1029" s="387">
        <f t="shared" si="711"/>
        <v>274.81053600000001</v>
      </c>
      <c r="BJ1029" s="387">
        <f t="shared" si="712"/>
        <v>134.05392000000001</v>
      </c>
      <c r="BK1029" s="387">
        <f t="shared" si="713"/>
        <v>0</v>
      </c>
      <c r="BL1029" s="387">
        <f t="shared" si="736"/>
        <v>10736.477752000003</v>
      </c>
      <c r="BM1029" s="387">
        <f t="shared" si="737"/>
        <v>0</v>
      </c>
      <c r="BN1029" s="387">
        <f t="shared" si="714"/>
        <v>11650</v>
      </c>
      <c r="BO1029" s="387">
        <f t="shared" si="715"/>
        <v>0</v>
      </c>
      <c r="BP1029" s="387">
        <f t="shared" si="716"/>
        <v>3078.2752</v>
      </c>
      <c r="BQ1029" s="387">
        <f t="shared" si="717"/>
        <v>719.91920000000005</v>
      </c>
      <c r="BR1029" s="387">
        <f t="shared" si="718"/>
        <v>5928.1622400000006</v>
      </c>
      <c r="BS1029" s="387">
        <f t="shared" si="719"/>
        <v>357.97361599999999</v>
      </c>
      <c r="BT1029" s="387">
        <f t="shared" si="720"/>
        <v>0</v>
      </c>
      <c r="BU1029" s="387">
        <f t="shared" si="721"/>
        <v>274.81053600000001</v>
      </c>
      <c r="BV1029" s="387">
        <f t="shared" si="722"/>
        <v>168.80864</v>
      </c>
      <c r="BW1029" s="387">
        <f t="shared" si="723"/>
        <v>0</v>
      </c>
      <c r="BX1029" s="387">
        <f t="shared" si="738"/>
        <v>10527.949432000001</v>
      </c>
      <c r="BY1029" s="387">
        <f t="shared" si="739"/>
        <v>0</v>
      </c>
      <c r="BZ1029" s="387">
        <f t="shared" si="740"/>
        <v>0</v>
      </c>
      <c r="CA1029" s="387">
        <f t="shared" si="741"/>
        <v>0</v>
      </c>
      <c r="CB1029" s="387">
        <f t="shared" si="742"/>
        <v>0</v>
      </c>
      <c r="CC1029" s="387">
        <f t="shared" si="724"/>
        <v>0</v>
      </c>
      <c r="CD1029" s="387">
        <f t="shared" si="725"/>
        <v>0</v>
      </c>
      <c r="CE1029" s="387">
        <f t="shared" si="726"/>
        <v>0</v>
      </c>
      <c r="CF1029" s="387">
        <f t="shared" si="727"/>
        <v>-243.28303999999997</v>
      </c>
      <c r="CG1029" s="387">
        <f t="shared" si="728"/>
        <v>0</v>
      </c>
      <c r="CH1029" s="387">
        <f t="shared" si="729"/>
        <v>34.754719999999985</v>
      </c>
      <c r="CI1029" s="387">
        <f t="shared" si="730"/>
        <v>0</v>
      </c>
      <c r="CJ1029" s="387">
        <f t="shared" si="743"/>
        <v>-208.52831999999998</v>
      </c>
      <c r="CK1029" s="387" t="str">
        <f t="shared" si="744"/>
        <v/>
      </c>
      <c r="CL1029" s="387" t="str">
        <f t="shared" si="745"/>
        <v/>
      </c>
      <c r="CM1029" s="387" t="str">
        <f t="shared" si="746"/>
        <v/>
      </c>
      <c r="CN1029" s="387" t="str">
        <f t="shared" si="747"/>
        <v>0348-31</v>
      </c>
    </row>
    <row r="1030" spans="1:92" ht="15.75" thickBot="1" x14ac:dyDescent="0.3">
      <c r="A1030" s="376" t="s">
        <v>161</v>
      </c>
      <c r="B1030" s="376" t="s">
        <v>162</v>
      </c>
      <c r="C1030" s="376" t="s">
        <v>2211</v>
      </c>
      <c r="D1030" s="376" t="s">
        <v>862</v>
      </c>
      <c r="E1030" s="376" t="s">
        <v>224</v>
      </c>
      <c r="F1030" s="382" t="s">
        <v>225</v>
      </c>
      <c r="G1030" s="376" t="s">
        <v>1945</v>
      </c>
      <c r="H1030" s="378"/>
      <c r="I1030" s="378"/>
      <c r="J1030" s="376" t="s">
        <v>215</v>
      </c>
      <c r="K1030" s="376" t="s">
        <v>863</v>
      </c>
      <c r="L1030" s="376" t="s">
        <v>252</v>
      </c>
      <c r="M1030" s="376" t="s">
        <v>171</v>
      </c>
      <c r="N1030" s="376" t="s">
        <v>172</v>
      </c>
      <c r="O1030" s="379">
        <v>1</v>
      </c>
      <c r="P1030" s="385">
        <v>1</v>
      </c>
      <c r="Q1030" s="385">
        <v>1</v>
      </c>
      <c r="R1030" s="380">
        <v>80</v>
      </c>
      <c r="S1030" s="385">
        <v>1</v>
      </c>
      <c r="T1030" s="380">
        <v>35659.08</v>
      </c>
      <c r="U1030" s="380">
        <v>372.53</v>
      </c>
      <c r="V1030" s="380">
        <v>19142.080000000002</v>
      </c>
      <c r="W1030" s="380">
        <v>40851.199999999997</v>
      </c>
      <c r="X1030" s="380">
        <v>20484.04</v>
      </c>
      <c r="Y1030" s="380">
        <v>40851.199999999997</v>
      </c>
      <c r="Z1030" s="380">
        <v>20312.47</v>
      </c>
      <c r="AA1030" s="376" t="s">
        <v>2212</v>
      </c>
      <c r="AB1030" s="376" t="s">
        <v>2213</v>
      </c>
      <c r="AC1030" s="376" t="s">
        <v>1707</v>
      </c>
      <c r="AD1030" s="376" t="s">
        <v>324</v>
      </c>
      <c r="AE1030" s="376" t="s">
        <v>863</v>
      </c>
      <c r="AF1030" s="376" t="s">
        <v>393</v>
      </c>
      <c r="AG1030" s="376" t="s">
        <v>178</v>
      </c>
      <c r="AH1030" s="381">
        <v>19.64</v>
      </c>
      <c r="AI1030" s="381">
        <v>2019.9</v>
      </c>
      <c r="AJ1030" s="376" t="s">
        <v>179</v>
      </c>
      <c r="AK1030" s="376" t="s">
        <v>180</v>
      </c>
      <c r="AL1030" s="376" t="s">
        <v>181</v>
      </c>
      <c r="AM1030" s="376" t="s">
        <v>182</v>
      </c>
      <c r="AN1030" s="376" t="s">
        <v>68</v>
      </c>
      <c r="AO1030" s="379">
        <v>80</v>
      </c>
      <c r="AP1030" s="385">
        <v>1</v>
      </c>
      <c r="AQ1030" s="385">
        <v>1</v>
      </c>
      <c r="AR1030" s="383" t="s">
        <v>183</v>
      </c>
      <c r="AS1030" s="387">
        <f t="shared" si="731"/>
        <v>1</v>
      </c>
      <c r="AT1030">
        <f t="shared" si="732"/>
        <v>1</v>
      </c>
      <c r="AU1030" s="387">
        <f>IF(AT1030=0,"",IF(AND(AT1030=1,M1030="F",SUMIF(C2:C1334,C1030,AS2:AS1334)&lt;=1),SUMIF(C2:C1334,C1030,AS2:AS1334),IF(AND(AT1030=1,M1030="F",SUMIF(C2:C1334,C1030,AS2:AS1334)&gt;1),1,"")))</f>
        <v>1</v>
      </c>
      <c r="AV1030" s="387" t="str">
        <f>IF(AT1030=0,"",IF(AND(AT1030=3,M1030="F",SUMIF(C2:C1334,C1030,AS2:AS1334)&lt;=1),SUMIF(C2:C1334,C1030,AS2:AS1334),IF(AND(AT1030=3,M1030="F",SUMIF(C2:C1334,C1030,AS2:AS1334)&gt;1),1,"")))</f>
        <v/>
      </c>
      <c r="AW1030" s="387">
        <f>SUMIF(C2:C1334,C1030,O2:O1334)</f>
        <v>1</v>
      </c>
      <c r="AX1030" s="387">
        <f>IF(AND(M1030="F",AS1030&lt;&gt;0),SUMIF(C2:C1334,C1030,W2:W1334),0)</f>
        <v>40851.199999999997</v>
      </c>
      <c r="AY1030" s="387">
        <f t="shared" si="733"/>
        <v>40851.199999999997</v>
      </c>
      <c r="AZ1030" s="387" t="str">
        <f t="shared" si="734"/>
        <v/>
      </c>
      <c r="BA1030" s="387">
        <f t="shared" si="735"/>
        <v>0</v>
      </c>
      <c r="BB1030" s="387">
        <f t="shared" si="704"/>
        <v>11650</v>
      </c>
      <c r="BC1030" s="387">
        <f t="shared" si="705"/>
        <v>0</v>
      </c>
      <c r="BD1030" s="387">
        <f t="shared" si="706"/>
        <v>2532.7743999999998</v>
      </c>
      <c r="BE1030" s="387">
        <f t="shared" si="707"/>
        <v>592.3424</v>
      </c>
      <c r="BF1030" s="387">
        <f t="shared" si="708"/>
        <v>4877.63328</v>
      </c>
      <c r="BG1030" s="387">
        <f t="shared" si="709"/>
        <v>294.53715199999999</v>
      </c>
      <c r="BH1030" s="387">
        <f t="shared" si="710"/>
        <v>200.17087999999998</v>
      </c>
      <c r="BI1030" s="387">
        <f t="shared" si="711"/>
        <v>226.111392</v>
      </c>
      <c r="BJ1030" s="387">
        <f t="shared" si="712"/>
        <v>110.29823999999999</v>
      </c>
      <c r="BK1030" s="387">
        <f t="shared" si="713"/>
        <v>0</v>
      </c>
      <c r="BL1030" s="387">
        <f t="shared" si="736"/>
        <v>8833.867744000001</v>
      </c>
      <c r="BM1030" s="387">
        <f t="shared" si="737"/>
        <v>0</v>
      </c>
      <c r="BN1030" s="387">
        <f t="shared" si="714"/>
        <v>11650</v>
      </c>
      <c r="BO1030" s="387">
        <f t="shared" si="715"/>
        <v>0</v>
      </c>
      <c r="BP1030" s="387">
        <f t="shared" si="716"/>
        <v>2532.7743999999998</v>
      </c>
      <c r="BQ1030" s="387">
        <f t="shared" si="717"/>
        <v>592.3424</v>
      </c>
      <c r="BR1030" s="387">
        <f t="shared" si="718"/>
        <v>4877.63328</v>
      </c>
      <c r="BS1030" s="387">
        <f t="shared" si="719"/>
        <v>294.53715199999999</v>
      </c>
      <c r="BT1030" s="387">
        <f t="shared" si="720"/>
        <v>0</v>
      </c>
      <c r="BU1030" s="387">
        <f t="shared" si="721"/>
        <v>226.111392</v>
      </c>
      <c r="BV1030" s="387">
        <f t="shared" si="722"/>
        <v>138.89407999999997</v>
      </c>
      <c r="BW1030" s="387">
        <f t="shared" si="723"/>
        <v>0</v>
      </c>
      <c r="BX1030" s="387">
        <f t="shared" si="738"/>
        <v>8662.2927040000013</v>
      </c>
      <c r="BY1030" s="387">
        <f t="shared" si="739"/>
        <v>0</v>
      </c>
      <c r="BZ1030" s="387">
        <f t="shared" si="740"/>
        <v>0</v>
      </c>
      <c r="CA1030" s="387">
        <f t="shared" si="741"/>
        <v>0</v>
      </c>
      <c r="CB1030" s="387">
        <f t="shared" si="742"/>
        <v>0</v>
      </c>
      <c r="CC1030" s="387">
        <f t="shared" si="724"/>
        <v>0</v>
      </c>
      <c r="CD1030" s="387">
        <f t="shared" si="725"/>
        <v>0</v>
      </c>
      <c r="CE1030" s="387">
        <f t="shared" si="726"/>
        <v>0</v>
      </c>
      <c r="CF1030" s="387">
        <f t="shared" si="727"/>
        <v>-200.17087999999998</v>
      </c>
      <c r="CG1030" s="387">
        <f t="shared" si="728"/>
        <v>0</v>
      </c>
      <c r="CH1030" s="387">
        <f t="shared" si="729"/>
        <v>28.595839999999985</v>
      </c>
      <c r="CI1030" s="387">
        <f t="shared" si="730"/>
        <v>0</v>
      </c>
      <c r="CJ1030" s="387">
        <f t="shared" si="743"/>
        <v>-171.57504</v>
      </c>
      <c r="CK1030" s="387" t="str">
        <f t="shared" si="744"/>
        <v/>
      </c>
      <c r="CL1030" s="387" t="str">
        <f t="shared" si="745"/>
        <v/>
      </c>
      <c r="CM1030" s="387" t="str">
        <f t="shared" si="746"/>
        <v/>
      </c>
      <c r="CN1030" s="387" t="str">
        <f t="shared" si="747"/>
        <v>0348-31</v>
      </c>
    </row>
    <row r="1031" spans="1:92" ht="15.75" thickBot="1" x14ac:dyDescent="0.3">
      <c r="A1031" s="376" t="s">
        <v>161</v>
      </c>
      <c r="B1031" s="376" t="s">
        <v>162</v>
      </c>
      <c r="C1031" s="376" t="s">
        <v>1181</v>
      </c>
      <c r="D1031" s="376" t="s">
        <v>868</v>
      </c>
      <c r="E1031" s="376" t="s">
        <v>224</v>
      </c>
      <c r="F1031" s="382" t="s">
        <v>225</v>
      </c>
      <c r="G1031" s="376" t="s">
        <v>1945</v>
      </c>
      <c r="H1031" s="378"/>
      <c r="I1031" s="378"/>
      <c r="J1031" s="376" t="s">
        <v>215</v>
      </c>
      <c r="K1031" s="376" t="s">
        <v>894</v>
      </c>
      <c r="L1031" s="376" t="s">
        <v>170</v>
      </c>
      <c r="M1031" s="376" t="s">
        <v>171</v>
      </c>
      <c r="N1031" s="376" t="s">
        <v>172</v>
      </c>
      <c r="O1031" s="379">
        <v>1</v>
      </c>
      <c r="P1031" s="385">
        <v>1</v>
      </c>
      <c r="Q1031" s="385">
        <v>1</v>
      </c>
      <c r="R1031" s="380">
        <v>80</v>
      </c>
      <c r="S1031" s="385">
        <v>1</v>
      </c>
      <c r="T1031" s="380">
        <v>0</v>
      </c>
      <c r="U1031" s="380">
        <v>0</v>
      </c>
      <c r="V1031" s="380">
        <v>0</v>
      </c>
      <c r="W1031" s="380">
        <v>57574.400000000001</v>
      </c>
      <c r="X1031" s="380">
        <v>24100.44</v>
      </c>
      <c r="Y1031" s="380">
        <v>57574.400000000001</v>
      </c>
      <c r="Z1031" s="380">
        <v>23858.63</v>
      </c>
      <c r="AA1031" s="376" t="s">
        <v>1182</v>
      </c>
      <c r="AB1031" s="376" t="s">
        <v>1183</v>
      </c>
      <c r="AC1031" s="376" t="s">
        <v>1184</v>
      </c>
      <c r="AD1031" s="376" t="s">
        <v>1185</v>
      </c>
      <c r="AE1031" s="376" t="s">
        <v>894</v>
      </c>
      <c r="AF1031" s="376" t="s">
        <v>177</v>
      </c>
      <c r="AG1031" s="376" t="s">
        <v>178</v>
      </c>
      <c r="AH1031" s="381">
        <v>27.68</v>
      </c>
      <c r="AI1031" s="381">
        <v>20388.599999999999</v>
      </c>
      <c r="AJ1031" s="376" t="s">
        <v>179</v>
      </c>
      <c r="AK1031" s="376" t="s">
        <v>180</v>
      </c>
      <c r="AL1031" s="376" t="s">
        <v>181</v>
      </c>
      <c r="AM1031" s="376" t="s">
        <v>182</v>
      </c>
      <c r="AN1031" s="376" t="s">
        <v>68</v>
      </c>
      <c r="AO1031" s="379">
        <v>80</v>
      </c>
      <c r="AP1031" s="385">
        <v>1</v>
      </c>
      <c r="AQ1031" s="385">
        <v>1</v>
      </c>
      <c r="AR1031" s="383" t="s">
        <v>183</v>
      </c>
      <c r="AS1031" s="387">
        <f t="shared" si="731"/>
        <v>1</v>
      </c>
      <c r="AT1031">
        <f t="shared" si="732"/>
        <v>1</v>
      </c>
      <c r="AU1031" s="387">
        <f>IF(AT1031=0,"",IF(AND(AT1031=1,M1031="F",SUMIF(C2:C1334,C1031,AS2:AS1334)&lt;=1),SUMIF(C2:C1334,C1031,AS2:AS1334),IF(AND(AT1031=1,M1031="F",SUMIF(C2:C1334,C1031,AS2:AS1334)&gt;1),1,"")))</f>
        <v>1</v>
      </c>
      <c r="AV1031" s="387" t="str">
        <f>IF(AT1031=0,"",IF(AND(AT1031=3,M1031="F",SUMIF(C2:C1334,C1031,AS2:AS1334)&lt;=1),SUMIF(C2:C1334,C1031,AS2:AS1334),IF(AND(AT1031=3,M1031="F",SUMIF(C2:C1334,C1031,AS2:AS1334)&gt;1),1,"")))</f>
        <v/>
      </c>
      <c r="AW1031" s="387">
        <f>SUMIF(C2:C1334,C1031,O2:O1334)</f>
        <v>2</v>
      </c>
      <c r="AX1031" s="387">
        <f>IF(AND(M1031="F",AS1031&lt;&gt;0),SUMIF(C2:C1334,C1031,W2:W1334),0)</f>
        <v>57574.400000000001</v>
      </c>
      <c r="AY1031" s="387">
        <f t="shared" si="733"/>
        <v>57574.400000000001</v>
      </c>
      <c r="AZ1031" s="387" t="str">
        <f t="shared" si="734"/>
        <v/>
      </c>
      <c r="BA1031" s="387">
        <f t="shared" si="735"/>
        <v>0</v>
      </c>
      <c r="BB1031" s="387">
        <f t="shared" si="704"/>
        <v>11650</v>
      </c>
      <c r="BC1031" s="387">
        <f t="shared" si="705"/>
        <v>0</v>
      </c>
      <c r="BD1031" s="387">
        <f t="shared" si="706"/>
        <v>3569.6127999999999</v>
      </c>
      <c r="BE1031" s="387">
        <f t="shared" si="707"/>
        <v>834.82880000000011</v>
      </c>
      <c r="BF1031" s="387">
        <f t="shared" si="708"/>
        <v>6874.3833600000007</v>
      </c>
      <c r="BG1031" s="387">
        <f t="shared" si="709"/>
        <v>415.111424</v>
      </c>
      <c r="BH1031" s="387">
        <f t="shared" si="710"/>
        <v>282.11455999999998</v>
      </c>
      <c r="BI1031" s="387">
        <f t="shared" si="711"/>
        <v>318.67430400000001</v>
      </c>
      <c r="BJ1031" s="387">
        <f t="shared" si="712"/>
        <v>155.45088000000001</v>
      </c>
      <c r="BK1031" s="387">
        <f t="shared" si="713"/>
        <v>0</v>
      </c>
      <c r="BL1031" s="387">
        <f t="shared" si="736"/>
        <v>12450.176128000003</v>
      </c>
      <c r="BM1031" s="387">
        <f t="shared" si="737"/>
        <v>0</v>
      </c>
      <c r="BN1031" s="387">
        <f t="shared" si="714"/>
        <v>11650</v>
      </c>
      <c r="BO1031" s="387">
        <f t="shared" si="715"/>
        <v>0</v>
      </c>
      <c r="BP1031" s="387">
        <f t="shared" si="716"/>
        <v>3569.6127999999999</v>
      </c>
      <c r="BQ1031" s="387">
        <f t="shared" si="717"/>
        <v>834.82880000000011</v>
      </c>
      <c r="BR1031" s="387">
        <f t="shared" si="718"/>
        <v>6874.3833600000007</v>
      </c>
      <c r="BS1031" s="387">
        <f t="shared" si="719"/>
        <v>415.111424</v>
      </c>
      <c r="BT1031" s="387">
        <f t="shared" si="720"/>
        <v>0</v>
      </c>
      <c r="BU1031" s="387">
        <f t="shared" si="721"/>
        <v>318.67430400000001</v>
      </c>
      <c r="BV1031" s="387">
        <f t="shared" si="722"/>
        <v>195.75296</v>
      </c>
      <c r="BW1031" s="387">
        <f t="shared" si="723"/>
        <v>0</v>
      </c>
      <c r="BX1031" s="387">
        <f t="shared" si="738"/>
        <v>12208.363648000002</v>
      </c>
      <c r="BY1031" s="387">
        <f t="shared" si="739"/>
        <v>0</v>
      </c>
      <c r="BZ1031" s="387">
        <f t="shared" si="740"/>
        <v>0</v>
      </c>
      <c r="CA1031" s="387">
        <f t="shared" si="741"/>
        <v>0</v>
      </c>
      <c r="CB1031" s="387">
        <f t="shared" si="742"/>
        <v>0</v>
      </c>
      <c r="CC1031" s="387">
        <f t="shared" si="724"/>
        <v>0</v>
      </c>
      <c r="CD1031" s="387">
        <f t="shared" si="725"/>
        <v>0</v>
      </c>
      <c r="CE1031" s="387">
        <f t="shared" si="726"/>
        <v>0</v>
      </c>
      <c r="CF1031" s="387">
        <f t="shared" si="727"/>
        <v>-282.11455999999998</v>
      </c>
      <c r="CG1031" s="387">
        <f t="shared" si="728"/>
        <v>0</v>
      </c>
      <c r="CH1031" s="387">
        <f t="shared" si="729"/>
        <v>40.302079999999982</v>
      </c>
      <c r="CI1031" s="387">
        <f t="shared" si="730"/>
        <v>0</v>
      </c>
      <c r="CJ1031" s="387">
        <f t="shared" si="743"/>
        <v>-241.81247999999999</v>
      </c>
      <c r="CK1031" s="387" t="str">
        <f t="shared" si="744"/>
        <v/>
      </c>
      <c r="CL1031" s="387" t="str">
        <f t="shared" si="745"/>
        <v/>
      </c>
      <c r="CM1031" s="387" t="str">
        <f t="shared" si="746"/>
        <v/>
      </c>
      <c r="CN1031" s="387" t="str">
        <f t="shared" si="747"/>
        <v>0348-31</v>
      </c>
    </row>
    <row r="1032" spans="1:92" ht="15.75" thickBot="1" x14ac:dyDescent="0.3">
      <c r="A1032" s="376" t="s">
        <v>161</v>
      </c>
      <c r="B1032" s="376" t="s">
        <v>162</v>
      </c>
      <c r="C1032" s="376" t="s">
        <v>1361</v>
      </c>
      <c r="D1032" s="376" t="s">
        <v>792</v>
      </c>
      <c r="E1032" s="376" t="s">
        <v>224</v>
      </c>
      <c r="F1032" s="382" t="s">
        <v>225</v>
      </c>
      <c r="G1032" s="376" t="s">
        <v>1945</v>
      </c>
      <c r="H1032" s="378"/>
      <c r="I1032" s="378"/>
      <c r="J1032" s="376" t="s">
        <v>215</v>
      </c>
      <c r="K1032" s="376" t="s">
        <v>793</v>
      </c>
      <c r="L1032" s="376" t="s">
        <v>170</v>
      </c>
      <c r="M1032" s="376" t="s">
        <v>171</v>
      </c>
      <c r="N1032" s="376" t="s">
        <v>172</v>
      </c>
      <c r="O1032" s="379">
        <v>1</v>
      </c>
      <c r="P1032" s="385">
        <v>0</v>
      </c>
      <c r="Q1032" s="385">
        <v>0</v>
      </c>
      <c r="R1032" s="380">
        <v>80</v>
      </c>
      <c r="S1032" s="385">
        <v>0</v>
      </c>
      <c r="T1032" s="380">
        <v>100.93</v>
      </c>
      <c r="U1032" s="380">
        <v>0</v>
      </c>
      <c r="V1032" s="380">
        <v>47.27</v>
      </c>
      <c r="W1032" s="380">
        <v>0</v>
      </c>
      <c r="X1032" s="380">
        <v>0</v>
      </c>
      <c r="Y1032" s="380">
        <v>0</v>
      </c>
      <c r="Z1032" s="380">
        <v>0</v>
      </c>
      <c r="AA1032" s="376" t="s">
        <v>1362</v>
      </c>
      <c r="AB1032" s="376" t="s">
        <v>1363</v>
      </c>
      <c r="AC1032" s="376" t="s">
        <v>1364</v>
      </c>
      <c r="AD1032" s="376" t="s">
        <v>198</v>
      </c>
      <c r="AE1032" s="376" t="s">
        <v>793</v>
      </c>
      <c r="AF1032" s="376" t="s">
        <v>177</v>
      </c>
      <c r="AG1032" s="376" t="s">
        <v>178</v>
      </c>
      <c r="AH1032" s="381">
        <v>25.35</v>
      </c>
      <c r="AI1032" s="379">
        <v>32696</v>
      </c>
      <c r="AJ1032" s="376" t="s">
        <v>179</v>
      </c>
      <c r="AK1032" s="376" t="s">
        <v>180</v>
      </c>
      <c r="AL1032" s="376" t="s">
        <v>181</v>
      </c>
      <c r="AM1032" s="376" t="s">
        <v>182</v>
      </c>
      <c r="AN1032" s="376" t="s">
        <v>68</v>
      </c>
      <c r="AO1032" s="379">
        <v>80</v>
      </c>
      <c r="AP1032" s="385">
        <v>1</v>
      </c>
      <c r="AQ1032" s="385">
        <v>0</v>
      </c>
      <c r="AR1032" s="383" t="s">
        <v>183</v>
      </c>
      <c r="AS1032" s="387">
        <f t="shared" si="731"/>
        <v>0</v>
      </c>
      <c r="AT1032">
        <f t="shared" si="732"/>
        <v>0</v>
      </c>
      <c r="AU1032" s="387" t="str">
        <f>IF(AT1032=0,"",IF(AND(AT1032=1,M1032="F",SUMIF(C2:C1334,C1032,AS2:AS1334)&lt;=1),SUMIF(C2:C1334,C1032,AS2:AS1334),IF(AND(AT1032=1,M1032="F",SUMIF(C2:C1334,C1032,AS2:AS1334)&gt;1),1,"")))</f>
        <v/>
      </c>
      <c r="AV1032" s="387" t="str">
        <f>IF(AT1032=0,"",IF(AND(AT1032=3,M1032="F",SUMIF(C2:C1334,C1032,AS2:AS1334)&lt;=1),SUMIF(C2:C1334,C1032,AS2:AS1334),IF(AND(AT1032=3,M1032="F",SUMIF(C2:C1334,C1032,AS2:AS1334)&gt;1),1,"")))</f>
        <v/>
      </c>
      <c r="AW1032" s="387">
        <f>SUMIF(C2:C1334,C1032,O2:O1334)</f>
        <v>3</v>
      </c>
      <c r="AX1032" s="387">
        <f>IF(AND(M1032="F",AS1032&lt;&gt;0),SUMIF(C2:C1334,C1032,W2:W1334),0)</f>
        <v>0</v>
      </c>
      <c r="AY1032" s="387" t="str">
        <f t="shared" si="733"/>
        <v/>
      </c>
      <c r="AZ1032" s="387" t="str">
        <f t="shared" si="734"/>
        <v/>
      </c>
      <c r="BA1032" s="387">
        <f t="shared" si="735"/>
        <v>0</v>
      </c>
      <c r="BB1032" s="387">
        <f t="shared" si="704"/>
        <v>0</v>
      </c>
      <c r="BC1032" s="387">
        <f t="shared" si="705"/>
        <v>0</v>
      </c>
      <c r="BD1032" s="387">
        <f t="shared" si="706"/>
        <v>0</v>
      </c>
      <c r="BE1032" s="387">
        <f t="shared" si="707"/>
        <v>0</v>
      </c>
      <c r="BF1032" s="387">
        <f t="shared" si="708"/>
        <v>0</v>
      </c>
      <c r="BG1032" s="387">
        <f t="shared" si="709"/>
        <v>0</v>
      </c>
      <c r="BH1032" s="387">
        <f t="shared" si="710"/>
        <v>0</v>
      </c>
      <c r="BI1032" s="387">
        <f t="shared" si="711"/>
        <v>0</v>
      </c>
      <c r="BJ1032" s="387">
        <f t="shared" si="712"/>
        <v>0</v>
      </c>
      <c r="BK1032" s="387">
        <f t="shared" si="713"/>
        <v>0</v>
      </c>
      <c r="BL1032" s="387">
        <f t="shared" si="736"/>
        <v>0</v>
      </c>
      <c r="BM1032" s="387">
        <f t="shared" si="737"/>
        <v>0</v>
      </c>
      <c r="BN1032" s="387">
        <f t="shared" si="714"/>
        <v>0</v>
      </c>
      <c r="BO1032" s="387">
        <f t="shared" si="715"/>
        <v>0</v>
      </c>
      <c r="BP1032" s="387">
        <f t="shared" si="716"/>
        <v>0</v>
      </c>
      <c r="BQ1032" s="387">
        <f t="shared" si="717"/>
        <v>0</v>
      </c>
      <c r="BR1032" s="387">
        <f t="shared" si="718"/>
        <v>0</v>
      </c>
      <c r="BS1032" s="387">
        <f t="shared" si="719"/>
        <v>0</v>
      </c>
      <c r="BT1032" s="387">
        <f t="shared" si="720"/>
        <v>0</v>
      </c>
      <c r="BU1032" s="387">
        <f t="shared" si="721"/>
        <v>0</v>
      </c>
      <c r="BV1032" s="387">
        <f t="shared" si="722"/>
        <v>0</v>
      </c>
      <c r="BW1032" s="387">
        <f t="shared" si="723"/>
        <v>0</v>
      </c>
      <c r="BX1032" s="387">
        <f t="shared" si="738"/>
        <v>0</v>
      </c>
      <c r="BY1032" s="387">
        <f t="shared" si="739"/>
        <v>0</v>
      </c>
      <c r="BZ1032" s="387">
        <f t="shared" si="740"/>
        <v>0</v>
      </c>
      <c r="CA1032" s="387">
        <f t="shared" si="741"/>
        <v>0</v>
      </c>
      <c r="CB1032" s="387">
        <f t="shared" si="742"/>
        <v>0</v>
      </c>
      <c r="CC1032" s="387">
        <f t="shared" si="724"/>
        <v>0</v>
      </c>
      <c r="CD1032" s="387">
        <f t="shared" si="725"/>
        <v>0</v>
      </c>
      <c r="CE1032" s="387">
        <f t="shared" si="726"/>
        <v>0</v>
      </c>
      <c r="CF1032" s="387">
        <f t="shared" si="727"/>
        <v>0</v>
      </c>
      <c r="CG1032" s="387">
        <f t="shared" si="728"/>
        <v>0</v>
      </c>
      <c r="CH1032" s="387">
        <f t="shared" si="729"/>
        <v>0</v>
      </c>
      <c r="CI1032" s="387">
        <f t="shared" si="730"/>
        <v>0</v>
      </c>
      <c r="CJ1032" s="387">
        <f t="shared" si="743"/>
        <v>0</v>
      </c>
      <c r="CK1032" s="387" t="str">
        <f t="shared" si="744"/>
        <v/>
      </c>
      <c r="CL1032" s="387" t="str">
        <f t="shared" si="745"/>
        <v/>
      </c>
      <c r="CM1032" s="387" t="str">
        <f t="shared" si="746"/>
        <v/>
      </c>
      <c r="CN1032" s="387" t="str">
        <f t="shared" si="747"/>
        <v>0348-31</v>
      </c>
    </row>
    <row r="1033" spans="1:92" ht="15.75" thickBot="1" x14ac:dyDescent="0.3">
      <c r="A1033" s="376" t="s">
        <v>161</v>
      </c>
      <c r="B1033" s="376" t="s">
        <v>162</v>
      </c>
      <c r="C1033" s="376" t="s">
        <v>1568</v>
      </c>
      <c r="D1033" s="376" t="s">
        <v>792</v>
      </c>
      <c r="E1033" s="376" t="s">
        <v>224</v>
      </c>
      <c r="F1033" s="382" t="s">
        <v>225</v>
      </c>
      <c r="G1033" s="376" t="s">
        <v>1945</v>
      </c>
      <c r="H1033" s="378"/>
      <c r="I1033" s="378"/>
      <c r="J1033" s="376" t="s">
        <v>215</v>
      </c>
      <c r="K1033" s="376" t="s">
        <v>793</v>
      </c>
      <c r="L1033" s="376" t="s">
        <v>170</v>
      </c>
      <c r="M1033" s="376" t="s">
        <v>171</v>
      </c>
      <c r="N1033" s="376" t="s">
        <v>172</v>
      </c>
      <c r="O1033" s="379">
        <v>1</v>
      </c>
      <c r="P1033" s="385">
        <v>1</v>
      </c>
      <c r="Q1033" s="385">
        <v>1</v>
      </c>
      <c r="R1033" s="380">
        <v>80</v>
      </c>
      <c r="S1033" s="385">
        <v>1</v>
      </c>
      <c r="T1033" s="380">
        <v>39742.160000000003</v>
      </c>
      <c r="U1033" s="380">
        <v>0</v>
      </c>
      <c r="V1033" s="380">
        <v>16377.58</v>
      </c>
      <c r="W1033" s="380">
        <v>56284.800000000003</v>
      </c>
      <c r="X1033" s="380">
        <v>23821.54</v>
      </c>
      <c r="Y1033" s="380">
        <v>56284.800000000003</v>
      </c>
      <c r="Z1033" s="380">
        <v>23585.15</v>
      </c>
      <c r="AA1033" s="376" t="s">
        <v>1569</v>
      </c>
      <c r="AB1033" s="376" t="s">
        <v>1570</v>
      </c>
      <c r="AC1033" s="376" t="s">
        <v>1571</v>
      </c>
      <c r="AD1033" s="376" t="s">
        <v>170</v>
      </c>
      <c r="AE1033" s="376" t="s">
        <v>793</v>
      </c>
      <c r="AF1033" s="376" t="s">
        <v>177</v>
      </c>
      <c r="AG1033" s="376" t="s">
        <v>178</v>
      </c>
      <c r="AH1033" s="381">
        <v>27.06</v>
      </c>
      <c r="AI1033" s="381">
        <v>40712.9</v>
      </c>
      <c r="AJ1033" s="376" t="s">
        <v>179</v>
      </c>
      <c r="AK1033" s="376" t="s">
        <v>180</v>
      </c>
      <c r="AL1033" s="376" t="s">
        <v>181</v>
      </c>
      <c r="AM1033" s="376" t="s">
        <v>182</v>
      </c>
      <c r="AN1033" s="376" t="s">
        <v>68</v>
      </c>
      <c r="AO1033" s="379">
        <v>80</v>
      </c>
      <c r="AP1033" s="385">
        <v>1</v>
      </c>
      <c r="AQ1033" s="385">
        <v>1</v>
      </c>
      <c r="AR1033" s="383" t="s">
        <v>183</v>
      </c>
      <c r="AS1033" s="387">
        <f t="shared" si="731"/>
        <v>1</v>
      </c>
      <c r="AT1033">
        <f t="shared" si="732"/>
        <v>1</v>
      </c>
      <c r="AU1033" s="387">
        <f>IF(AT1033=0,"",IF(AND(AT1033=1,M1033="F",SUMIF(C2:C1334,C1033,AS2:AS1334)&lt;=1),SUMIF(C2:C1334,C1033,AS2:AS1334),IF(AND(AT1033=1,M1033="F",SUMIF(C2:C1334,C1033,AS2:AS1334)&gt;1),1,"")))</f>
        <v>1</v>
      </c>
      <c r="AV1033" s="387" t="str">
        <f>IF(AT1033=0,"",IF(AND(AT1033=3,M1033="F",SUMIF(C2:C1334,C1033,AS2:AS1334)&lt;=1),SUMIF(C2:C1334,C1033,AS2:AS1334),IF(AND(AT1033=3,M1033="F",SUMIF(C2:C1334,C1033,AS2:AS1334)&gt;1),1,"")))</f>
        <v/>
      </c>
      <c r="AW1033" s="387">
        <f>SUMIF(C2:C1334,C1033,O2:O1334)</f>
        <v>2</v>
      </c>
      <c r="AX1033" s="387">
        <f>IF(AND(M1033="F",AS1033&lt;&gt;0),SUMIF(C2:C1334,C1033,W2:W1334),0)</f>
        <v>56284.800000000003</v>
      </c>
      <c r="AY1033" s="387">
        <f t="shared" si="733"/>
        <v>56284.800000000003</v>
      </c>
      <c r="AZ1033" s="387" t="str">
        <f t="shared" si="734"/>
        <v/>
      </c>
      <c r="BA1033" s="387">
        <f t="shared" si="735"/>
        <v>0</v>
      </c>
      <c r="BB1033" s="387">
        <f t="shared" si="704"/>
        <v>11650</v>
      </c>
      <c r="BC1033" s="387">
        <f t="shared" si="705"/>
        <v>0</v>
      </c>
      <c r="BD1033" s="387">
        <f t="shared" si="706"/>
        <v>3489.6576</v>
      </c>
      <c r="BE1033" s="387">
        <f t="shared" si="707"/>
        <v>816.1296000000001</v>
      </c>
      <c r="BF1033" s="387">
        <f t="shared" si="708"/>
        <v>6720.4051200000004</v>
      </c>
      <c r="BG1033" s="387">
        <f t="shared" si="709"/>
        <v>405.81340800000004</v>
      </c>
      <c r="BH1033" s="387">
        <f t="shared" si="710"/>
        <v>275.79552000000001</v>
      </c>
      <c r="BI1033" s="387">
        <f t="shared" si="711"/>
        <v>311.53636800000004</v>
      </c>
      <c r="BJ1033" s="387">
        <f t="shared" si="712"/>
        <v>151.96896000000001</v>
      </c>
      <c r="BK1033" s="387">
        <f t="shared" si="713"/>
        <v>0</v>
      </c>
      <c r="BL1033" s="387">
        <f t="shared" si="736"/>
        <v>12171.306576000001</v>
      </c>
      <c r="BM1033" s="387">
        <f t="shared" si="737"/>
        <v>0</v>
      </c>
      <c r="BN1033" s="387">
        <f t="shared" si="714"/>
        <v>11650</v>
      </c>
      <c r="BO1033" s="387">
        <f t="shared" si="715"/>
        <v>0</v>
      </c>
      <c r="BP1033" s="387">
        <f t="shared" si="716"/>
        <v>3489.6576</v>
      </c>
      <c r="BQ1033" s="387">
        <f t="shared" si="717"/>
        <v>816.1296000000001</v>
      </c>
      <c r="BR1033" s="387">
        <f t="shared" si="718"/>
        <v>6720.4051200000004</v>
      </c>
      <c r="BS1033" s="387">
        <f t="shared" si="719"/>
        <v>405.81340800000004</v>
      </c>
      <c r="BT1033" s="387">
        <f t="shared" si="720"/>
        <v>0</v>
      </c>
      <c r="BU1033" s="387">
        <f t="shared" si="721"/>
        <v>311.53636800000004</v>
      </c>
      <c r="BV1033" s="387">
        <f t="shared" si="722"/>
        <v>191.36832000000001</v>
      </c>
      <c r="BW1033" s="387">
        <f t="shared" si="723"/>
        <v>0</v>
      </c>
      <c r="BX1033" s="387">
        <f t="shared" si="738"/>
        <v>11934.910416000001</v>
      </c>
      <c r="BY1033" s="387">
        <f t="shared" si="739"/>
        <v>0</v>
      </c>
      <c r="BZ1033" s="387">
        <f t="shared" si="740"/>
        <v>0</v>
      </c>
      <c r="CA1033" s="387">
        <f t="shared" si="741"/>
        <v>0</v>
      </c>
      <c r="CB1033" s="387">
        <f t="shared" si="742"/>
        <v>0</v>
      </c>
      <c r="CC1033" s="387">
        <f t="shared" si="724"/>
        <v>0</v>
      </c>
      <c r="CD1033" s="387">
        <f t="shared" si="725"/>
        <v>0</v>
      </c>
      <c r="CE1033" s="387">
        <f t="shared" si="726"/>
        <v>0</v>
      </c>
      <c r="CF1033" s="387">
        <f t="shared" si="727"/>
        <v>-275.79552000000001</v>
      </c>
      <c r="CG1033" s="387">
        <f t="shared" si="728"/>
        <v>0</v>
      </c>
      <c r="CH1033" s="387">
        <f t="shared" si="729"/>
        <v>39.39935999999998</v>
      </c>
      <c r="CI1033" s="387">
        <f t="shared" si="730"/>
        <v>0</v>
      </c>
      <c r="CJ1033" s="387">
        <f t="shared" si="743"/>
        <v>-236.39616000000004</v>
      </c>
      <c r="CK1033" s="387" t="str">
        <f t="shared" si="744"/>
        <v/>
      </c>
      <c r="CL1033" s="387" t="str">
        <f t="shared" si="745"/>
        <v/>
      </c>
      <c r="CM1033" s="387" t="str">
        <f t="shared" si="746"/>
        <v/>
      </c>
      <c r="CN1033" s="387" t="str">
        <f t="shared" si="747"/>
        <v>0348-31</v>
      </c>
    </row>
    <row r="1034" spans="1:92" ht="15.75" thickBot="1" x14ac:dyDescent="0.3">
      <c r="A1034" s="376" t="s">
        <v>161</v>
      </c>
      <c r="B1034" s="376" t="s">
        <v>162</v>
      </c>
      <c r="C1034" s="376" t="s">
        <v>1275</v>
      </c>
      <c r="D1034" s="376" t="s">
        <v>270</v>
      </c>
      <c r="E1034" s="376" t="s">
        <v>224</v>
      </c>
      <c r="F1034" s="382" t="s">
        <v>225</v>
      </c>
      <c r="G1034" s="376" t="s">
        <v>1945</v>
      </c>
      <c r="H1034" s="378"/>
      <c r="I1034" s="378"/>
      <c r="J1034" s="376" t="s">
        <v>215</v>
      </c>
      <c r="K1034" s="376" t="s">
        <v>271</v>
      </c>
      <c r="L1034" s="376" t="s">
        <v>217</v>
      </c>
      <c r="M1034" s="376" t="s">
        <v>171</v>
      </c>
      <c r="N1034" s="376" t="s">
        <v>172</v>
      </c>
      <c r="O1034" s="379">
        <v>1</v>
      </c>
      <c r="P1034" s="385">
        <v>1</v>
      </c>
      <c r="Q1034" s="385">
        <v>1</v>
      </c>
      <c r="R1034" s="380">
        <v>80</v>
      </c>
      <c r="S1034" s="385">
        <v>1</v>
      </c>
      <c r="T1034" s="380">
        <v>0</v>
      </c>
      <c r="U1034" s="380">
        <v>0</v>
      </c>
      <c r="V1034" s="380">
        <v>0</v>
      </c>
      <c r="W1034" s="380">
        <v>44012.800000000003</v>
      </c>
      <c r="X1034" s="380">
        <v>21167.74</v>
      </c>
      <c r="Y1034" s="380">
        <v>44012.800000000003</v>
      </c>
      <c r="Z1034" s="380">
        <v>20982.89</v>
      </c>
      <c r="AA1034" s="376" t="s">
        <v>1276</v>
      </c>
      <c r="AB1034" s="376" t="s">
        <v>1277</v>
      </c>
      <c r="AC1034" s="376" t="s">
        <v>1278</v>
      </c>
      <c r="AD1034" s="376" t="s">
        <v>324</v>
      </c>
      <c r="AE1034" s="376" t="s">
        <v>271</v>
      </c>
      <c r="AF1034" s="376" t="s">
        <v>221</v>
      </c>
      <c r="AG1034" s="376" t="s">
        <v>178</v>
      </c>
      <c r="AH1034" s="381">
        <v>21.16</v>
      </c>
      <c r="AI1034" s="381">
        <v>36013.9</v>
      </c>
      <c r="AJ1034" s="376" t="s">
        <v>179</v>
      </c>
      <c r="AK1034" s="376" t="s">
        <v>180</v>
      </c>
      <c r="AL1034" s="376" t="s">
        <v>181</v>
      </c>
      <c r="AM1034" s="376" t="s">
        <v>182</v>
      </c>
      <c r="AN1034" s="376" t="s">
        <v>68</v>
      </c>
      <c r="AO1034" s="379">
        <v>80</v>
      </c>
      <c r="AP1034" s="385">
        <v>1</v>
      </c>
      <c r="AQ1034" s="385">
        <v>1</v>
      </c>
      <c r="AR1034" s="383" t="s">
        <v>183</v>
      </c>
      <c r="AS1034" s="387">
        <f t="shared" si="731"/>
        <v>1</v>
      </c>
      <c r="AT1034">
        <f t="shared" si="732"/>
        <v>1</v>
      </c>
      <c r="AU1034" s="387">
        <f>IF(AT1034=0,"",IF(AND(AT1034=1,M1034="F",SUMIF(C2:C1334,C1034,AS2:AS1334)&lt;=1),SUMIF(C2:C1334,C1034,AS2:AS1334),IF(AND(AT1034=1,M1034="F",SUMIF(C2:C1334,C1034,AS2:AS1334)&gt;1),1,"")))</f>
        <v>1</v>
      </c>
      <c r="AV1034" s="387" t="str">
        <f>IF(AT1034=0,"",IF(AND(AT1034=3,M1034="F",SUMIF(C2:C1334,C1034,AS2:AS1334)&lt;=1),SUMIF(C2:C1334,C1034,AS2:AS1334),IF(AND(AT1034=3,M1034="F",SUMIF(C2:C1334,C1034,AS2:AS1334)&gt;1),1,"")))</f>
        <v/>
      </c>
      <c r="AW1034" s="387">
        <f>SUMIF(C2:C1334,C1034,O2:O1334)</f>
        <v>2</v>
      </c>
      <c r="AX1034" s="387">
        <f>IF(AND(M1034="F",AS1034&lt;&gt;0),SUMIF(C2:C1334,C1034,W2:W1334),0)</f>
        <v>44012.800000000003</v>
      </c>
      <c r="AY1034" s="387">
        <f t="shared" si="733"/>
        <v>44012.800000000003</v>
      </c>
      <c r="AZ1034" s="387" t="str">
        <f t="shared" si="734"/>
        <v/>
      </c>
      <c r="BA1034" s="387">
        <f t="shared" si="735"/>
        <v>0</v>
      </c>
      <c r="BB1034" s="387">
        <f t="shared" si="704"/>
        <v>11650</v>
      </c>
      <c r="BC1034" s="387">
        <f t="shared" si="705"/>
        <v>0</v>
      </c>
      <c r="BD1034" s="387">
        <f t="shared" si="706"/>
        <v>2728.7936</v>
      </c>
      <c r="BE1034" s="387">
        <f t="shared" si="707"/>
        <v>638.18560000000002</v>
      </c>
      <c r="BF1034" s="387">
        <f t="shared" si="708"/>
        <v>5255.1283200000007</v>
      </c>
      <c r="BG1034" s="387">
        <f t="shared" si="709"/>
        <v>317.33228800000001</v>
      </c>
      <c r="BH1034" s="387">
        <f t="shared" si="710"/>
        <v>215.66272000000001</v>
      </c>
      <c r="BI1034" s="387">
        <f t="shared" si="711"/>
        <v>243.610848</v>
      </c>
      <c r="BJ1034" s="387">
        <f t="shared" si="712"/>
        <v>118.83456000000001</v>
      </c>
      <c r="BK1034" s="387">
        <f t="shared" si="713"/>
        <v>0</v>
      </c>
      <c r="BL1034" s="387">
        <f t="shared" si="736"/>
        <v>9517.5479360000008</v>
      </c>
      <c r="BM1034" s="387">
        <f t="shared" si="737"/>
        <v>0</v>
      </c>
      <c r="BN1034" s="387">
        <f t="shared" si="714"/>
        <v>11650</v>
      </c>
      <c r="BO1034" s="387">
        <f t="shared" si="715"/>
        <v>0</v>
      </c>
      <c r="BP1034" s="387">
        <f t="shared" si="716"/>
        <v>2728.7936</v>
      </c>
      <c r="BQ1034" s="387">
        <f t="shared" si="717"/>
        <v>638.18560000000002</v>
      </c>
      <c r="BR1034" s="387">
        <f t="shared" si="718"/>
        <v>5255.1283200000007</v>
      </c>
      <c r="BS1034" s="387">
        <f t="shared" si="719"/>
        <v>317.33228800000001</v>
      </c>
      <c r="BT1034" s="387">
        <f t="shared" si="720"/>
        <v>0</v>
      </c>
      <c r="BU1034" s="387">
        <f t="shared" si="721"/>
        <v>243.610848</v>
      </c>
      <c r="BV1034" s="387">
        <f t="shared" si="722"/>
        <v>149.64352</v>
      </c>
      <c r="BW1034" s="387">
        <f t="shared" si="723"/>
        <v>0</v>
      </c>
      <c r="BX1034" s="387">
        <f t="shared" si="738"/>
        <v>9332.6941760000009</v>
      </c>
      <c r="BY1034" s="387">
        <f t="shared" si="739"/>
        <v>0</v>
      </c>
      <c r="BZ1034" s="387">
        <f t="shared" si="740"/>
        <v>0</v>
      </c>
      <c r="CA1034" s="387">
        <f t="shared" si="741"/>
        <v>0</v>
      </c>
      <c r="CB1034" s="387">
        <f t="shared" si="742"/>
        <v>0</v>
      </c>
      <c r="CC1034" s="387">
        <f t="shared" si="724"/>
        <v>0</v>
      </c>
      <c r="CD1034" s="387">
        <f t="shared" si="725"/>
        <v>0</v>
      </c>
      <c r="CE1034" s="387">
        <f t="shared" si="726"/>
        <v>0</v>
      </c>
      <c r="CF1034" s="387">
        <f t="shared" si="727"/>
        <v>-215.66272000000001</v>
      </c>
      <c r="CG1034" s="387">
        <f t="shared" si="728"/>
        <v>0</v>
      </c>
      <c r="CH1034" s="387">
        <f t="shared" si="729"/>
        <v>30.808959999999988</v>
      </c>
      <c r="CI1034" s="387">
        <f t="shared" si="730"/>
        <v>0</v>
      </c>
      <c r="CJ1034" s="387">
        <f t="shared" si="743"/>
        <v>-184.85376000000002</v>
      </c>
      <c r="CK1034" s="387" t="str">
        <f t="shared" si="744"/>
        <v/>
      </c>
      <c r="CL1034" s="387" t="str">
        <f t="shared" si="745"/>
        <v/>
      </c>
      <c r="CM1034" s="387" t="str">
        <f t="shared" si="746"/>
        <v/>
      </c>
      <c r="CN1034" s="387" t="str">
        <f t="shared" si="747"/>
        <v>0348-31</v>
      </c>
    </row>
    <row r="1035" spans="1:92" ht="15.75" thickBot="1" x14ac:dyDescent="0.3">
      <c r="A1035" s="376" t="s">
        <v>161</v>
      </c>
      <c r="B1035" s="376" t="s">
        <v>162</v>
      </c>
      <c r="C1035" s="376" t="s">
        <v>2214</v>
      </c>
      <c r="D1035" s="376" t="s">
        <v>862</v>
      </c>
      <c r="E1035" s="376" t="s">
        <v>224</v>
      </c>
      <c r="F1035" s="382" t="s">
        <v>225</v>
      </c>
      <c r="G1035" s="376" t="s">
        <v>1945</v>
      </c>
      <c r="H1035" s="378"/>
      <c r="I1035" s="378"/>
      <c r="J1035" s="376" t="s">
        <v>215</v>
      </c>
      <c r="K1035" s="376" t="s">
        <v>863</v>
      </c>
      <c r="L1035" s="376" t="s">
        <v>252</v>
      </c>
      <c r="M1035" s="376" t="s">
        <v>272</v>
      </c>
      <c r="N1035" s="376" t="s">
        <v>172</v>
      </c>
      <c r="O1035" s="379">
        <v>0</v>
      </c>
      <c r="P1035" s="385">
        <v>1</v>
      </c>
      <c r="Q1035" s="385">
        <v>1</v>
      </c>
      <c r="R1035" s="380">
        <v>80</v>
      </c>
      <c r="S1035" s="385">
        <v>1</v>
      </c>
      <c r="T1035" s="380">
        <v>13615.4</v>
      </c>
      <c r="U1035" s="380">
        <v>782.5</v>
      </c>
      <c r="V1035" s="380">
        <v>8276.41</v>
      </c>
      <c r="W1035" s="380">
        <v>42328</v>
      </c>
      <c r="X1035" s="380">
        <v>18539.66</v>
      </c>
      <c r="Y1035" s="380">
        <v>42328</v>
      </c>
      <c r="Z1035" s="380">
        <v>18328.02</v>
      </c>
      <c r="AA1035" s="378"/>
      <c r="AB1035" s="376" t="s">
        <v>45</v>
      </c>
      <c r="AC1035" s="376" t="s">
        <v>45</v>
      </c>
      <c r="AD1035" s="378"/>
      <c r="AE1035" s="378"/>
      <c r="AF1035" s="378"/>
      <c r="AG1035" s="378"/>
      <c r="AH1035" s="379">
        <v>0</v>
      </c>
      <c r="AI1035" s="379">
        <v>0</v>
      </c>
      <c r="AJ1035" s="378"/>
      <c r="AK1035" s="378"/>
      <c r="AL1035" s="376" t="s">
        <v>181</v>
      </c>
      <c r="AM1035" s="378"/>
      <c r="AN1035" s="378"/>
      <c r="AO1035" s="379">
        <v>0</v>
      </c>
      <c r="AP1035" s="385">
        <v>0</v>
      </c>
      <c r="AQ1035" s="385">
        <v>0</v>
      </c>
      <c r="AR1035" s="384"/>
      <c r="AS1035" s="387">
        <f t="shared" si="731"/>
        <v>0</v>
      </c>
      <c r="AT1035">
        <f t="shared" si="732"/>
        <v>0</v>
      </c>
      <c r="AU1035" s="387" t="str">
        <f>IF(AT1035=0,"",IF(AND(AT1035=1,M1035="F",SUMIF(C2:C1334,C1035,AS2:AS1334)&lt;=1),SUMIF(C2:C1334,C1035,AS2:AS1334),IF(AND(AT1035=1,M1035="F",SUMIF(C2:C1334,C1035,AS2:AS1334)&gt;1),1,"")))</f>
        <v/>
      </c>
      <c r="AV1035" s="387" t="str">
        <f>IF(AT1035=0,"",IF(AND(AT1035=3,M1035="F",SUMIF(C2:C1334,C1035,AS2:AS1334)&lt;=1),SUMIF(C2:C1334,C1035,AS2:AS1334),IF(AND(AT1035=3,M1035="F",SUMIF(C2:C1334,C1035,AS2:AS1334)&gt;1),1,"")))</f>
        <v/>
      </c>
      <c r="AW1035" s="387">
        <f>SUMIF(C2:C1334,C1035,O2:O1334)</f>
        <v>0</v>
      </c>
      <c r="AX1035" s="387">
        <f>IF(AND(M1035="F",AS1035&lt;&gt;0),SUMIF(C2:C1334,C1035,W2:W1334),0)</f>
        <v>0</v>
      </c>
      <c r="AY1035" s="387" t="str">
        <f t="shared" si="733"/>
        <v/>
      </c>
      <c r="AZ1035" s="387" t="str">
        <f t="shared" si="734"/>
        <v/>
      </c>
      <c r="BA1035" s="387">
        <f t="shared" si="735"/>
        <v>0</v>
      </c>
      <c r="BB1035" s="387">
        <f t="shared" si="704"/>
        <v>0</v>
      </c>
      <c r="BC1035" s="387">
        <f t="shared" si="705"/>
        <v>0</v>
      </c>
      <c r="BD1035" s="387">
        <f t="shared" si="706"/>
        <v>0</v>
      </c>
      <c r="BE1035" s="387">
        <f t="shared" si="707"/>
        <v>0</v>
      </c>
      <c r="BF1035" s="387">
        <f t="shared" si="708"/>
        <v>0</v>
      </c>
      <c r="BG1035" s="387">
        <f t="shared" si="709"/>
        <v>0</v>
      </c>
      <c r="BH1035" s="387">
        <f t="shared" si="710"/>
        <v>0</v>
      </c>
      <c r="BI1035" s="387">
        <f t="shared" si="711"/>
        <v>0</v>
      </c>
      <c r="BJ1035" s="387">
        <f t="shared" si="712"/>
        <v>0</v>
      </c>
      <c r="BK1035" s="387">
        <f t="shared" si="713"/>
        <v>0</v>
      </c>
      <c r="BL1035" s="387">
        <f t="shared" si="736"/>
        <v>0</v>
      </c>
      <c r="BM1035" s="387">
        <f t="shared" si="737"/>
        <v>0</v>
      </c>
      <c r="BN1035" s="387">
        <f t="shared" si="714"/>
        <v>0</v>
      </c>
      <c r="BO1035" s="387">
        <f t="shared" si="715"/>
        <v>0</v>
      </c>
      <c r="BP1035" s="387">
        <f t="shared" si="716"/>
        <v>0</v>
      </c>
      <c r="BQ1035" s="387">
        <f t="shared" si="717"/>
        <v>0</v>
      </c>
      <c r="BR1035" s="387">
        <f t="shared" si="718"/>
        <v>0</v>
      </c>
      <c r="BS1035" s="387">
        <f t="shared" si="719"/>
        <v>0</v>
      </c>
      <c r="BT1035" s="387">
        <f t="shared" si="720"/>
        <v>0</v>
      </c>
      <c r="BU1035" s="387">
        <f t="shared" si="721"/>
        <v>0</v>
      </c>
      <c r="BV1035" s="387">
        <f t="shared" si="722"/>
        <v>0</v>
      </c>
      <c r="BW1035" s="387">
        <f t="shared" si="723"/>
        <v>0</v>
      </c>
      <c r="BX1035" s="387">
        <f t="shared" si="738"/>
        <v>0</v>
      </c>
      <c r="BY1035" s="387">
        <f t="shared" si="739"/>
        <v>0</v>
      </c>
      <c r="BZ1035" s="387">
        <f t="shared" si="740"/>
        <v>0</v>
      </c>
      <c r="CA1035" s="387">
        <f t="shared" si="741"/>
        <v>0</v>
      </c>
      <c r="CB1035" s="387">
        <f t="shared" si="742"/>
        <v>0</v>
      </c>
      <c r="CC1035" s="387">
        <f t="shared" si="724"/>
        <v>0</v>
      </c>
      <c r="CD1035" s="387">
        <f t="shared" si="725"/>
        <v>0</v>
      </c>
      <c r="CE1035" s="387">
        <f t="shared" si="726"/>
        <v>0</v>
      </c>
      <c r="CF1035" s="387">
        <f t="shared" si="727"/>
        <v>0</v>
      </c>
      <c r="CG1035" s="387">
        <f t="shared" si="728"/>
        <v>0</v>
      </c>
      <c r="CH1035" s="387">
        <f t="shared" si="729"/>
        <v>0</v>
      </c>
      <c r="CI1035" s="387">
        <f t="shared" si="730"/>
        <v>0</v>
      </c>
      <c r="CJ1035" s="387">
        <f t="shared" si="743"/>
        <v>0</v>
      </c>
      <c r="CK1035" s="387" t="str">
        <f t="shared" si="744"/>
        <v/>
      </c>
      <c r="CL1035" s="387" t="str">
        <f t="shared" si="745"/>
        <v/>
      </c>
      <c r="CM1035" s="387" t="str">
        <f t="shared" si="746"/>
        <v/>
      </c>
      <c r="CN1035" s="387" t="str">
        <f t="shared" si="747"/>
        <v>0348-31</v>
      </c>
    </row>
    <row r="1036" spans="1:92" ht="15.75" thickBot="1" x14ac:dyDescent="0.3">
      <c r="A1036" s="376" t="s">
        <v>161</v>
      </c>
      <c r="B1036" s="376" t="s">
        <v>162</v>
      </c>
      <c r="C1036" s="376" t="s">
        <v>1565</v>
      </c>
      <c r="D1036" s="376" t="s">
        <v>862</v>
      </c>
      <c r="E1036" s="376" t="s">
        <v>224</v>
      </c>
      <c r="F1036" s="382" t="s">
        <v>225</v>
      </c>
      <c r="G1036" s="376" t="s">
        <v>1945</v>
      </c>
      <c r="H1036" s="378"/>
      <c r="I1036" s="378"/>
      <c r="J1036" s="376" t="s">
        <v>168</v>
      </c>
      <c r="K1036" s="376" t="s">
        <v>863</v>
      </c>
      <c r="L1036" s="376" t="s">
        <v>252</v>
      </c>
      <c r="M1036" s="376" t="s">
        <v>171</v>
      </c>
      <c r="N1036" s="376" t="s">
        <v>172</v>
      </c>
      <c r="O1036" s="379">
        <v>2</v>
      </c>
      <c r="P1036" s="385">
        <v>0.3</v>
      </c>
      <c r="Q1036" s="385">
        <v>0.3</v>
      </c>
      <c r="R1036" s="380">
        <v>80</v>
      </c>
      <c r="S1036" s="385">
        <v>0.3</v>
      </c>
      <c r="T1036" s="380">
        <v>15021.49</v>
      </c>
      <c r="U1036" s="380">
        <v>0</v>
      </c>
      <c r="V1036" s="380">
        <v>6765.54</v>
      </c>
      <c r="W1036" s="380">
        <v>11687.52</v>
      </c>
      <c r="X1036" s="380">
        <v>6022.41</v>
      </c>
      <c r="Y1036" s="380">
        <v>11687.52</v>
      </c>
      <c r="Z1036" s="380">
        <v>5973.33</v>
      </c>
      <c r="AA1036" s="376" t="s">
        <v>1603</v>
      </c>
      <c r="AB1036" s="376" t="s">
        <v>1604</v>
      </c>
      <c r="AC1036" s="376" t="s">
        <v>1605</v>
      </c>
      <c r="AD1036" s="376" t="s">
        <v>170</v>
      </c>
      <c r="AE1036" s="376" t="s">
        <v>863</v>
      </c>
      <c r="AF1036" s="376" t="s">
        <v>393</v>
      </c>
      <c r="AG1036" s="376" t="s">
        <v>178</v>
      </c>
      <c r="AH1036" s="381">
        <v>18.73</v>
      </c>
      <c r="AI1036" s="381">
        <v>31335.4</v>
      </c>
      <c r="AJ1036" s="376" t="s">
        <v>179</v>
      </c>
      <c r="AK1036" s="376" t="s">
        <v>180</v>
      </c>
      <c r="AL1036" s="376" t="s">
        <v>181</v>
      </c>
      <c r="AM1036" s="376" t="s">
        <v>182</v>
      </c>
      <c r="AN1036" s="376" t="s">
        <v>68</v>
      </c>
      <c r="AO1036" s="379">
        <v>80</v>
      </c>
      <c r="AP1036" s="385">
        <v>1</v>
      </c>
      <c r="AQ1036" s="385">
        <v>0.3</v>
      </c>
      <c r="AR1036" s="383">
        <v>6</v>
      </c>
      <c r="AS1036" s="387">
        <f t="shared" si="731"/>
        <v>0.3</v>
      </c>
      <c r="AT1036">
        <f t="shared" si="732"/>
        <v>0</v>
      </c>
      <c r="AU1036" s="387" t="str">
        <f>IF(AT1036=0,"",IF(AND(AT1036=1,M1036="F",SUMIF(C2:C1334,C1036,AS2:AS1334)&lt;=1),SUMIF(C2:C1334,C1036,AS2:AS1334),IF(AND(AT1036=1,M1036="F",SUMIF(C2:C1334,C1036,AS2:AS1334)&gt;1),1,"")))</f>
        <v/>
      </c>
      <c r="AV1036" s="387" t="str">
        <f>IF(AT1036=0,"",IF(AND(AT1036=3,M1036="F",SUMIF(C2:C1334,C1036,AS2:AS1334)&lt;=1),SUMIF(C2:C1334,C1036,AS2:AS1334),IF(AND(AT1036=3,M1036="F",SUMIF(C2:C1334,C1036,AS2:AS1334)&gt;1),1,"")))</f>
        <v/>
      </c>
      <c r="AW1036" s="387">
        <f>SUMIF(C2:C1334,C1036,O2:O1334)</f>
        <v>12</v>
      </c>
      <c r="AX1036" s="387">
        <f>IF(AND(M1036="F",AS1036&lt;&gt;0),SUMIF(C2:C1334,C1036,W2:W1334),0)</f>
        <v>77916.800000000003</v>
      </c>
      <c r="AY1036" s="387" t="str">
        <f t="shared" si="733"/>
        <v/>
      </c>
      <c r="AZ1036" s="387" t="str">
        <f t="shared" si="734"/>
        <v/>
      </c>
      <c r="BA1036" s="387">
        <f t="shared" si="735"/>
        <v>0</v>
      </c>
      <c r="BB1036" s="387">
        <f t="shared" si="704"/>
        <v>0</v>
      </c>
      <c r="BC1036" s="387">
        <f t="shared" si="705"/>
        <v>0</v>
      </c>
      <c r="BD1036" s="387">
        <f t="shared" si="706"/>
        <v>0</v>
      </c>
      <c r="BE1036" s="387">
        <f t="shared" si="707"/>
        <v>0</v>
      </c>
      <c r="BF1036" s="387">
        <f t="shared" si="708"/>
        <v>0</v>
      </c>
      <c r="BG1036" s="387">
        <f t="shared" si="709"/>
        <v>0</v>
      </c>
      <c r="BH1036" s="387">
        <f t="shared" si="710"/>
        <v>0</v>
      </c>
      <c r="BI1036" s="387">
        <f t="shared" si="711"/>
        <v>0</v>
      </c>
      <c r="BJ1036" s="387">
        <f t="shared" si="712"/>
        <v>0</v>
      </c>
      <c r="BK1036" s="387">
        <f t="shared" si="713"/>
        <v>0</v>
      </c>
      <c r="BL1036" s="387">
        <f t="shared" si="736"/>
        <v>0</v>
      </c>
      <c r="BM1036" s="387">
        <f t="shared" si="737"/>
        <v>0</v>
      </c>
      <c r="BN1036" s="387">
        <f t="shared" si="714"/>
        <v>0</v>
      </c>
      <c r="BO1036" s="387">
        <f t="shared" si="715"/>
        <v>0</v>
      </c>
      <c r="BP1036" s="387">
        <f t="shared" si="716"/>
        <v>0</v>
      </c>
      <c r="BQ1036" s="387">
        <f t="shared" si="717"/>
        <v>0</v>
      </c>
      <c r="BR1036" s="387">
        <f t="shared" si="718"/>
        <v>0</v>
      </c>
      <c r="BS1036" s="387">
        <f t="shared" si="719"/>
        <v>0</v>
      </c>
      <c r="BT1036" s="387">
        <f t="shared" si="720"/>
        <v>0</v>
      </c>
      <c r="BU1036" s="387">
        <f t="shared" si="721"/>
        <v>0</v>
      </c>
      <c r="BV1036" s="387">
        <f t="shared" si="722"/>
        <v>0</v>
      </c>
      <c r="BW1036" s="387">
        <f t="shared" si="723"/>
        <v>0</v>
      </c>
      <c r="BX1036" s="387">
        <f t="shared" si="738"/>
        <v>0</v>
      </c>
      <c r="BY1036" s="387">
        <f t="shared" si="739"/>
        <v>0</v>
      </c>
      <c r="BZ1036" s="387">
        <f t="shared" si="740"/>
        <v>0</v>
      </c>
      <c r="CA1036" s="387">
        <f t="shared" si="741"/>
        <v>0</v>
      </c>
      <c r="CB1036" s="387">
        <f t="shared" si="742"/>
        <v>0</v>
      </c>
      <c r="CC1036" s="387">
        <f t="shared" si="724"/>
        <v>0</v>
      </c>
      <c r="CD1036" s="387">
        <f t="shared" si="725"/>
        <v>0</v>
      </c>
      <c r="CE1036" s="387">
        <f t="shared" si="726"/>
        <v>0</v>
      </c>
      <c r="CF1036" s="387">
        <f t="shared" si="727"/>
        <v>0</v>
      </c>
      <c r="CG1036" s="387">
        <f t="shared" si="728"/>
        <v>0</v>
      </c>
      <c r="CH1036" s="387">
        <f t="shared" si="729"/>
        <v>0</v>
      </c>
      <c r="CI1036" s="387">
        <f t="shared" si="730"/>
        <v>0</v>
      </c>
      <c r="CJ1036" s="387">
        <f t="shared" si="743"/>
        <v>0</v>
      </c>
      <c r="CK1036" s="387" t="str">
        <f t="shared" si="744"/>
        <v/>
      </c>
      <c r="CL1036" s="387" t="str">
        <f t="shared" si="745"/>
        <v/>
      </c>
      <c r="CM1036" s="387" t="str">
        <f t="shared" si="746"/>
        <v/>
      </c>
      <c r="CN1036" s="387" t="str">
        <f t="shared" si="747"/>
        <v>0348-31</v>
      </c>
    </row>
    <row r="1037" spans="1:92" ht="15.75" thickBot="1" x14ac:dyDescent="0.3">
      <c r="A1037" s="376" t="s">
        <v>161</v>
      </c>
      <c r="B1037" s="376" t="s">
        <v>162</v>
      </c>
      <c r="C1037" s="376" t="s">
        <v>423</v>
      </c>
      <c r="D1037" s="376" t="s">
        <v>368</v>
      </c>
      <c r="E1037" s="376" t="s">
        <v>224</v>
      </c>
      <c r="F1037" s="382" t="s">
        <v>225</v>
      </c>
      <c r="G1037" s="376" t="s">
        <v>1945</v>
      </c>
      <c r="H1037" s="378"/>
      <c r="I1037" s="378"/>
      <c r="J1037" s="376" t="s">
        <v>239</v>
      </c>
      <c r="K1037" s="376" t="s">
        <v>424</v>
      </c>
      <c r="L1037" s="376" t="s">
        <v>210</v>
      </c>
      <c r="M1037" s="376" t="s">
        <v>171</v>
      </c>
      <c r="N1037" s="376" t="s">
        <v>172</v>
      </c>
      <c r="O1037" s="379">
        <v>1</v>
      </c>
      <c r="P1037" s="385">
        <v>0.15</v>
      </c>
      <c r="Q1037" s="385">
        <v>0.15</v>
      </c>
      <c r="R1037" s="380">
        <v>80</v>
      </c>
      <c r="S1037" s="385">
        <v>0.15</v>
      </c>
      <c r="T1037" s="380">
        <v>45623.44</v>
      </c>
      <c r="U1037" s="380">
        <v>0</v>
      </c>
      <c r="V1037" s="380">
        <v>15643.1</v>
      </c>
      <c r="W1037" s="380">
        <v>13422.24</v>
      </c>
      <c r="X1037" s="380">
        <v>4650.05</v>
      </c>
      <c r="Y1037" s="380">
        <v>13422.24</v>
      </c>
      <c r="Z1037" s="380">
        <v>4593.68</v>
      </c>
      <c r="AA1037" s="376" t="s">
        <v>425</v>
      </c>
      <c r="AB1037" s="376" t="s">
        <v>426</v>
      </c>
      <c r="AC1037" s="376" t="s">
        <v>427</v>
      </c>
      <c r="AD1037" s="376" t="s">
        <v>428</v>
      </c>
      <c r="AE1037" s="376" t="s">
        <v>424</v>
      </c>
      <c r="AF1037" s="376" t="s">
        <v>245</v>
      </c>
      <c r="AG1037" s="376" t="s">
        <v>178</v>
      </c>
      <c r="AH1037" s="381">
        <v>43.02</v>
      </c>
      <c r="AI1037" s="381">
        <v>13905.9</v>
      </c>
      <c r="AJ1037" s="376" t="s">
        <v>179</v>
      </c>
      <c r="AK1037" s="376" t="s">
        <v>180</v>
      </c>
      <c r="AL1037" s="376" t="s">
        <v>181</v>
      </c>
      <c r="AM1037" s="376" t="s">
        <v>182</v>
      </c>
      <c r="AN1037" s="376" t="s">
        <v>68</v>
      </c>
      <c r="AO1037" s="379">
        <v>80</v>
      </c>
      <c r="AP1037" s="385">
        <v>1</v>
      </c>
      <c r="AQ1037" s="385">
        <v>0.15</v>
      </c>
      <c r="AR1037" s="383" t="s">
        <v>183</v>
      </c>
      <c r="AS1037" s="387">
        <f t="shared" si="731"/>
        <v>0.15</v>
      </c>
      <c r="AT1037">
        <f t="shared" si="732"/>
        <v>1</v>
      </c>
      <c r="AU1037" s="387">
        <f>IF(AT1037=0,"",IF(AND(AT1037=1,M1037="F",SUMIF(C2:C1334,C1037,AS2:AS1334)&lt;=1),SUMIF(C2:C1334,C1037,AS2:AS1334),IF(AND(AT1037=1,M1037="F",SUMIF(C2:C1334,C1037,AS2:AS1334)&gt;1),1,"")))</f>
        <v>1</v>
      </c>
      <c r="AV1037" s="387" t="str">
        <f>IF(AT1037=0,"",IF(AND(AT1037=3,M1037="F",SUMIF(C2:C1334,C1037,AS2:AS1334)&lt;=1),SUMIF(C2:C1334,C1037,AS2:AS1334),IF(AND(AT1037=3,M1037="F",SUMIF(C2:C1334,C1037,AS2:AS1334)&gt;1),1,"")))</f>
        <v/>
      </c>
      <c r="AW1037" s="387">
        <f>SUMIF(C2:C1334,C1037,O2:O1334)</f>
        <v>3</v>
      </c>
      <c r="AX1037" s="387">
        <f>IF(AND(M1037="F",AS1037&lt;&gt;0),SUMIF(C2:C1334,C1037,W2:W1334),0)</f>
        <v>89481.600000000006</v>
      </c>
      <c r="AY1037" s="387">
        <f t="shared" si="733"/>
        <v>13422.24</v>
      </c>
      <c r="AZ1037" s="387" t="str">
        <f t="shared" si="734"/>
        <v/>
      </c>
      <c r="BA1037" s="387">
        <f t="shared" si="735"/>
        <v>0</v>
      </c>
      <c r="BB1037" s="387">
        <f t="shared" si="704"/>
        <v>1747.5</v>
      </c>
      <c r="BC1037" s="387">
        <f t="shared" si="705"/>
        <v>0</v>
      </c>
      <c r="BD1037" s="387">
        <f t="shared" si="706"/>
        <v>832.17887999999994</v>
      </c>
      <c r="BE1037" s="387">
        <f t="shared" si="707"/>
        <v>194.62248</v>
      </c>
      <c r="BF1037" s="387">
        <f t="shared" si="708"/>
        <v>1602.615456</v>
      </c>
      <c r="BG1037" s="387">
        <f t="shared" si="709"/>
        <v>96.774350400000003</v>
      </c>
      <c r="BH1037" s="387">
        <f t="shared" si="710"/>
        <v>65.768975999999995</v>
      </c>
      <c r="BI1037" s="387">
        <f t="shared" si="711"/>
        <v>74.2920984</v>
      </c>
      <c r="BJ1037" s="387">
        <f t="shared" si="712"/>
        <v>36.240048000000002</v>
      </c>
      <c r="BK1037" s="387">
        <f t="shared" si="713"/>
        <v>0</v>
      </c>
      <c r="BL1037" s="387">
        <f t="shared" si="736"/>
        <v>2902.4922888000001</v>
      </c>
      <c r="BM1037" s="387">
        <f t="shared" si="737"/>
        <v>0</v>
      </c>
      <c r="BN1037" s="387">
        <f t="shared" si="714"/>
        <v>1747.5</v>
      </c>
      <c r="BO1037" s="387">
        <f t="shared" si="715"/>
        <v>0</v>
      </c>
      <c r="BP1037" s="387">
        <f t="shared" si="716"/>
        <v>832.17887999999994</v>
      </c>
      <c r="BQ1037" s="387">
        <f t="shared" si="717"/>
        <v>194.62248</v>
      </c>
      <c r="BR1037" s="387">
        <f t="shared" si="718"/>
        <v>1602.615456</v>
      </c>
      <c r="BS1037" s="387">
        <f t="shared" si="719"/>
        <v>96.774350400000003</v>
      </c>
      <c r="BT1037" s="387">
        <f t="shared" si="720"/>
        <v>0</v>
      </c>
      <c r="BU1037" s="387">
        <f t="shared" si="721"/>
        <v>74.2920984</v>
      </c>
      <c r="BV1037" s="387">
        <f t="shared" si="722"/>
        <v>45.635615999999999</v>
      </c>
      <c r="BW1037" s="387">
        <f t="shared" si="723"/>
        <v>0</v>
      </c>
      <c r="BX1037" s="387">
        <f t="shared" si="738"/>
        <v>2846.1188808000002</v>
      </c>
      <c r="BY1037" s="387">
        <f t="shared" si="739"/>
        <v>0</v>
      </c>
      <c r="BZ1037" s="387">
        <f t="shared" si="740"/>
        <v>0</v>
      </c>
      <c r="CA1037" s="387">
        <f t="shared" si="741"/>
        <v>0</v>
      </c>
      <c r="CB1037" s="387">
        <f t="shared" si="742"/>
        <v>0</v>
      </c>
      <c r="CC1037" s="387">
        <f t="shared" si="724"/>
        <v>0</v>
      </c>
      <c r="CD1037" s="387">
        <f t="shared" si="725"/>
        <v>0</v>
      </c>
      <c r="CE1037" s="387">
        <f t="shared" si="726"/>
        <v>0</v>
      </c>
      <c r="CF1037" s="387">
        <f t="shared" si="727"/>
        <v>-65.768975999999995</v>
      </c>
      <c r="CG1037" s="387">
        <f t="shared" si="728"/>
        <v>0</v>
      </c>
      <c r="CH1037" s="387">
        <f t="shared" si="729"/>
        <v>9.3955679999999955</v>
      </c>
      <c r="CI1037" s="387">
        <f t="shared" si="730"/>
        <v>0</v>
      </c>
      <c r="CJ1037" s="387">
        <f t="shared" si="743"/>
        <v>-56.373407999999998</v>
      </c>
      <c r="CK1037" s="387" t="str">
        <f t="shared" si="744"/>
        <v/>
      </c>
      <c r="CL1037" s="387" t="str">
        <f t="shared" si="745"/>
        <v/>
      </c>
      <c r="CM1037" s="387" t="str">
        <f t="shared" si="746"/>
        <v/>
      </c>
      <c r="CN1037" s="387" t="str">
        <f t="shared" si="747"/>
        <v>0348-31</v>
      </c>
    </row>
    <row r="1038" spans="1:92" ht="15.75" thickBot="1" x14ac:dyDescent="0.3">
      <c r="A1038" s="376" t="s">
        <v>161</v>
      </c>
      <c r="B1038" s="376" t="s">
        <v>162</v>
      </c>
      <c r="C1038" s="376" t="s">
        <v>1290</v>
      </c>
      <c r="D1038" s="376" t="s">
        <v>862</v>
      </c>
      <c r="E1038" s="376" t="s">
        <v>224</v>
      </c>
      <c r="F1038" s="382" t="s">
        <v>225</v>
      </c>
      <c r="G1038" s="376" t="s">
        <v>1945</v>
      </c>
      <c r="H1038" s="378"/>
      <c r="I1038" s="378"/>
      <c r="J1038" s="376" t="s">
        <v>215</v>
      </c>
      <c r="K1038" s="376" t="s">
        <v>863</v>
      </c>
      <c r="L1038" s="376" t="s">
        <v>252</v>
      </c>
      <c r="M1038" s="376" t="s">
        <v>171</v>
      </c>
      <c r="N1038" s="376" t="s">
        <v>172</v>
      </c>
      <c r="O1038" s="379">
        <v>1</v>
      </c>
      <c r="P1038" s="385">
        <v>1</v>
      </c>
      <c r="Q1038" s="385">
        <v>1</v>
      </c>
      <c r="R1038" s="380">
        <v>80</v>
      </c>
      <c r="S1038" s="385">
        <v>1</v>
      </c>
      <c r="T1038" s="380">
        <v>38951.120000000003</v>
      </c>
      <c r="U1038" s="380">
        <v>4839.25</v>
      </c>
      <c r="V1038" s="380">
        <v>20262.28</v>
      </c>
      <c r="W1038" s="380">
        <v>43222.400000000001</v>
      </c>
      <c r="X1038" s="380">
        <v>20996.81</v>
      </c>
      <c r="Y1038" s="380">
        <v>43222.400000000001</v>
      </c>
      <c r="Z1038" s="380">
        <v>20815.28</v>
      </c>
      <c r="AA1038" s="376" t="s">
        <v>1291</v>
      </c>
      <c r="AB1038" s="376" t="s">
        <v>1292</v>
      </c>
      <c r="AC1038" s="376" t="s">
        <v>1293</v>
      </c>
      <c r="AD1038" s="376" t="s">
        <v>268</v>
      </c>
      <c r="AE1038" s="376" t="s">
        <v>863</v>
      </c>
      <c r="AF1038" s="376" t="s">
        <v>393</v>
      </c>
      <c r="AG1038" s="376" t="s">
        <v>178</v>
      </c>
      <c r="AH1038" s="381">
        <v>20.78</v>
      </c>
      <c r="AI1038" s="381">
        <v>33475.300000000003</v>
      </c>
      <c r="AJ1038" s="376" t="s">
        <v>179</v>
      </c>
      <c r="AK1038" s="376" t="s">
        <v>180</v>
      </c>
      <c r="AL1038" s="376" t="s">
        <v>181</v>
      </c>
      <c r="AM1038" s="376" t="s">
        <v>182</v>
      </c>
      <c r="AN1038" s="376" t="s">
        <v>68</v>
      </c>
      <c r="AO1038" s="379">
        <v>80</v>
      </c>
      <c r="AP1038" s="385">
        <v>1</v>
      </c>
      <c r="AQ1038" s="385">
        <v>1</v>
      </c>
      <c r="AR1038" s="383" t="s">
        <v>183</v>
      </c>
      <c r="AS1038" s="387">
        <f t="shared" si="731"/>
        <v>1</v>
      </c>
      <c r="AT1038">
        <f t="shared" si="732"/>
        <v>1</v>
      </c>
      <c r="AU1038" s="387">
        <f>IF(AT1038=0,"",IF(AND(AT1038=1,M1038="F",SUMIF(C2:C1334,C1038,AS2:AS1334)&lt;=1),SUMIF(C2:C1334,C1038,AS2:AS1334),IF(AND(AT1038=1,M1038="F",SUMIF(C2:C1334,C1038,AS2:AS1334)&gt;1),1,"")))</f>
        <v>1</v>
      </c>
      <c r="AV1038" s="387" t="str">
        <f>IF(AT1038=0,"",IF(AND(AT1038=3,M1038="F",SUMIF(C2:C1334,C1038,AS2:AS1334)&lt;=1),SUMIF(C2:C1334,C1038,AS2:AS1334),IF(AND(AT1038=3,M1038="F",SUMIF(C2:C1334,C1038,AS2:AS1334)&gt;1),1,"")))</f>
        <v/>
      </c>
      <c r="AW1038" s="387">
        <f>SUMIF(C2:C1334,C1038,O2:O1334)</f>
        <v>2</v>
      </c>
      <c r="AX1038" s="387">
        <f>IF(AND(M1038="F",AS1038&lt;&gt;0),SUMIF(C2:C1334,C1038,W2:W1334),0)</f>
        <v>43222.400000000001</v>
      </c>
      <c r="AY1038" s="387">
        <f t="shared" si="733"/>
        <v>43222.400000000001</v>
      </c>
      <c r="AZ1038" s="387" t="str">
        <f t="shared" si="734"/>
        <v/>
      </c>
      <c r="BA1038" s="387">
        <f t="shared" si="735"/>
        <v>0</v>
      </c>
      <c r="BB1038" s="387">
        <f t="shared" si="704"/>
        <v>11650</v>
      </c>
      <c r="BC1038" s="387">
        <f t="shared" si="705"/>
        <v>0</v>
      </c>
      <c r="BD1038" s="387">
        <f t="shared" si="706"/>
        <v>2679.7888000000003</v>
      </c>
      <c r="BE1038" s="387">
        <f t="shared" si="707"/>
        <v>626.72480000000007</v>
      </c>
      <c r="BF1038" s="387">
        <f t="shared" si="708"/>
        <v>5160.7545600000003</v>
      </c>
      <c r="BG1038" s="387">
        <f t="shared" si="709"/>
        <v>311.63350400000002</v>
      </c>
      <c r="BH1038" s="387">
        <f t="shared" si="710"/>
        <v>211.78976</v>
      </c>
      <c r="BI1038" s="387">
        <f t="shared" si="711"/>
        <v>239.235984</v>
      </c>
      <c r="BJ1038" s="387">
        <f t="shared" si="712"/>
        <v>116.70048000000001</v>
      </c>
      <c r="BK1038" s="387">
        <f t="shared" si="713"/>
        <v>0</v>
      </c>
      <c r="BL1038" s="387">
        <f t="shared" si="736"/>
        <v>9346.6278879999991</v>
      </c>
      <c r="BM1038" s="387">
        <f t="shared" si="737"/>
        <v>0</v>
      </c>
      <c r="BN1038" s="387">
        <f t="shared" si="714"/>
        <v>11650</v>
      </c>
      <c r="BO1038" s="387">
        <f t="shared" si="715"/>
        <v>0</v>
      </c>
      <c r="BP1038" s="387">
        <f t="shared" si="716"/>
        <v>2679.7888000000003</v>
      </c>
      <c r="BQ1038" s="387">
        <f t="shared" si="717"/>
        <v>626.72480000000007</v>
      </c>
      <c r="BR1038" s="387">
        <f t="shared" si="718"/>
        <v>5160.7545600000003</v>
      </c>
      <c r="BS1038" s="387">
        <f t="shared" si="719"/>
        <v>311.63350400000002</v>
      </c>
      <c r="BT1038" s="387">
        <f t="shared" si="720"/>
        <v>0</v>
      </c>
      <c r="BU1038" s="387">
        <f t="shared" si="721"/>
        <v>239.235984</v>
      </c>
      <c r="BV1038" s="387">
        <f t="shared" si="722"/>
        <v>146.95615999999998</v>
      </c>
      <c r="BW1038" s="387">
        <f t="shared" si="723"/>
        <v>0</v>
      </c>
      <c r="BX1038" s="387">
        <f t="shared" si="738"/>
        <v>9165.0938079999996</v>
      </c>
      <c r="BY1038" s="387">
        <f t="shared" si="739"/>
        <v>0</v>
      </c>
      <c r="BZ1038" s="387">
        <f t="shared" si="740"/>
        <v>0</v>
      </c>
      <c r="CA1038" s="387">
        <f t="shared" si="741"/>
        <v>0</v>
      </c>
      <c r="CB1038" s="387">
        <f t="shared" si="742"/>
        <v>0</v>
      </c>
      <c r="CC1038" s="387">
        <f t="shared" si="724"/>
        <v>0</v>
      </c>
      <c r="CD1038" s="387">
        <f t="shared" si="725"/>
        <v>0</v>
      </c>
      <c r="CE1038" s="387">
        <f t="shared" si="726"/>
        <v>0</v>
      </c>
      <c r="CF1038" s="387">
        <f t="shared" si="727"/>
        <v>-211.78976</v>
      </c>
      <c r="CG1038" s="387">
        <f t="shared" si="728"/>
        <v>0</v>
      </c>
      <c r="CH1038" s="387">
        <f t="shared" si="729"/>
        <v>30.255679999999987</v>
      </c>
      <c r="CI1038" s="387">
        <f t="shared" si="730"/>
        <v>0</v>
      </c>
      <c r="CJ1038" s="387">
        <f t="shared" si="743"/>
        <v>-181.53408000000002</v>
      </c>
      <c r="CK1038" s="387" t="str">
        <f t="shared" si="744"/>
        <v/>
      </c>
      <c r="CL1038" s="387" t="str">
        <f t="shared" si="745"/>
        <v/>
      </c>
      <c r="CM1038" s="387" t="str">
        <f t="shared" si="746"/>
        <v/>
      </c>
      <c r="CN1038" s="387" t="str">
        <f t="shared" si="747"/>
        <v>0348-31</v>
      </c>
    </row>
    <row r="1039" spans="1:92" ht="15.75" thickBot="1" x14ac:dyDescent="0.3">
      <c r="A1039" s="376" t="s">
        <v>161</v>
      </c>
      <c r="B1039" s="376" t="s">
        <v>162</v>
      </c>
      <c r="C1039" s="376" t="s">
        <v>1956</v>
      </c>
      <c r="D1039" s="376" t="s">
        <v>1957</v>
      </c>
      <c r="E1039" s="376" t="s">
        <v>224</v>
      </c>
      <c r="F1039" s="382" t="s">
        <v>225</v>
      </c>
      <c r="G1039" s="376" t="s">
        <v>1945</v>
      </c>
      <c r="H1039" s="378"/>
      <c r="I1039" s="378"/>
      <c r="J1039" s="376" t="s">
        <v>215</v>
      </c>
      <c r="K1039" s="376" t="s">
        <v>1958</v>
      </c>
      <c r="L1039" s="376" t="s">
        <v>181</v>
      </c>
      <c r="M1039" s="376" t="s">
        <v>171</v>
      </c>
      <c r="N1039" s="376" t="s">
        <v>172</v>
      </c>
      <c r="O1039" s="379">
        <v>1</v>
      </c>
      <c r="P1039" s="385">
        <v>1</v>
      </c>
      <c r="Q1039" s="385">
        <v>1</v>
      </c>
      <c r="R1039" s="380">
        <v>80</v>
      </c>
      <c r="S1039" s="385">
        <v>1</v>
      </c>
      <c r="T1039" s="380">
        <v>57183.54</v>
      </c>
      <c r="U1039" s="380">
        <v>3927.54</v>
      </c>
      <c r="V1039" s="380">
        <v>22692.83</v>
      </c>
      <c r="W1039" s="380">
        <v>65187.199999999997</v>
      </c>
      <c r="X1039" s="380">
        <v>25746.69</v>
      </c>
      <c r="Y1039" s="380">
        <v>65187.199999999997</v>
      </c>
      <c r="Z1039" s="380">
        <v>25472.91</v>
      </c>
      <c r="AA1039" s="376" t="s">
        <v>1959</v>
      </c>
      <c r="AB1039" s="376" t="s">
        <v>1960</v>
      </c>
      <c r="AC1039" s="376" t="s">
        <v>577</v>
      </c>
      <c r="AD1039" s="376" t="s">
        <v>171</v>
      </c>
      <c r="AE1039" s="376" t="s">
        <v>1958</v>
      </c>
      <c r="AF1039" s="376" t="s">
        <v>211</v>
      </c>
      <c r="AG1039" s="376" t="s">
        <v>178</v>
      </c>
      <c r="AH1039" s="381">
        <v>31.34</v>
      </c>
      <c r="AI1039" s="381">
        <v>39068.699999999997</v>
      </c>
      <c r="AJ1039" s="376" t="s">
        <v>179</v>
      </c>
      <c r="AK1039" s="376" t="s">
        <v>180</v>
      </c>
      <c r="AL1039" s="376" t="s">
        <v>181</v>
      </c>
      <c r="AM1039" s="376" t="s">
        <v>182</v>
      </c>
      <c r="AN1039" s="376" t="s">
        <v>68</v>
      </c>
      <c r="AO1039" s="379">
        <v>80</v>
      </c>
      <c r="AP1039" s="385">
        <v>1</v>
      </c>
      <c r="AQ1039" s="385">
        <v>1</v>
      </c>
      <c r="AR1039" s="383" t="s">
        <v>183</v>
      </c>
      <c r="AS1039" s="387">
        <f t="shared" si="731"/>
        <v>1</v>
      </c>
      <c r="AT1039">
        <f t="shared" si="732"/>
        <v>1</v>
      </c>
      <c r="AU1039" s="387">
        <f>IF(AT1039=0,"",IF(AND(AT1039=1,M1039="F",SUMIF(C2:C1334,C1039,AS2:AS1334)&lt;=1),SUMIF(C2:C1334,C1039,AS2:AS1334),IF(AND(AT1039=1,M1039="F",SUMIF(C2:C1334,C1039,AS2:AS1334)&gt;1),1,"")))</f>
        <v>1</v>
      </c>
      <c r="AV1039" s="387" t="str">
        <f>IF(AT1039=0,"",IF(AND(AT1039=3,M1039="F",SUMIF(C2:C1334,C1039,AS2:AS1334)&lt;=1),SUMIF(C2:C1334,C1039,AS2:AS1334),IF(AND(AT1039=3,M1039="F",SUMIF(C2:C1334,C1039,AS2:AS1334)&gt;1),1,"")))</f>
        <v/>
      </c>
      <c r="AW1039" s="387">
        <f>SUMIF(C2:C1334,C1039,O2:O1334)</f>
        <v>2</v>
      </c>
      <c r="AX1039" s="387">
        <f>IF(AND(M1039="F",AS1039&lt;&gt;0),SUMIF(C2:C1334,C1039,W2:W1334),0)</f>
        <v>65187.199999999997</v>
      </c>
      <c r="AY1039" s="387">
        <f t="shared" si="733"/>
        <v>65187.199999999997</v>
      </c>
      <c r="AZ1039" s="387" t="str">
        <f t="shared" si="734"/>
        <v/>
      </c>
      <c r="BA1039" s="387">
        <f t="shared" si="735"/>
        <v>0</v>
      </c>
      <c r="BB1039" s="387">
        <f t="shared" si="704"/>
        <v>11650</v>
      </c>
      <c r="BC1039" s="387">
        <f t="shared" si="705"/>
        <v>0</v>
      </c>
      <c r="BD1039" s="387">
        <f t="shared" si="706"/>
        <v>4041.6063999999997</v>
      </c>
      <c r="BE1039" s="387">
        <f t="shared" si="707"/>
        <v>945.21439999999996</v>
      </c>
      <c r="BF1039" s="387">
        <f t="shared" si="708"/>
        <v>7783.3516799999998</v>
      </c>
      <c r="BG1039" s="387">
        <f t="shared" si="709"/>
        <v>469.99971199999999</v>
      </c>
      <c r="BH1039" s="387">
        <f t="shared" si="710"/>
        <v>319.41727999999995</v>
      </c>
      <c r="BI1039" s="387">
        <f t="shared" si="711"/>
        <v>360.81115199999999</v>
      </c>
      <c r="BJ1039" s="387">
        <f t="shared" si="712"/>
        <v>176.00543999999999</v>
      </c>
      <c r="BK1039" s="387">
        <f t="shared" si="713"/>
        <v>0</v>
      </c>
      <c r="BL1039" s="387">
        <f t="shared" si="736"/>
        <v>14096.406064000001</v>
      </c>
      <c r="BM1039" s="387">
        <f t="shared" si="737"/>
        <v>0</v>
      </c>
      <c r="BN1039" s="387">
        <f t="shared" si="714"/>
        <v>11650</v>
      </c>
      <c r="BO1039" s="387">
        <f t="shared" si="715"/>
        <v>0</v>
      </c>
      <c r="BP1039" s="387">
        <f t="shared" si="716"/>
        <v>4041.6063999999997</v>
      </c>
      <c r="BQ1039" s="387">
        <f t="shared" si="717"/>
        <v>945.21439999999996</v>
      </c>
      <c r="BR1039" s="387">
        <f t="shared" si="718"/>
        <v>7783.3516799999998</v>
      </c>
      <c r="BS1039" s="387">
        <f t="shared" si="719"/>
        <v>469.99971199999999</v>
      </c>
      <c r="BT1039" s="387">
        <f t="shared" si="720"/>
        <v>0</v>
      </c>
      <c r="BU1039" s="387">
        <f t="shared" si="721"/>
        <v>360.81115199999999</v>
      </c>
      <c r="BV1039" s="387">
        <f t="shared" si="722"/>
        <v>221.63647999999998</v>
      </c>
      <c r="BW1039" s="387">
        <f t="shared" si="723"/>
        <v>0</v>
      </c>
      <c r="BX1039" s="387">
        <f t="shared" si="738"/>
        <v>13822.619823999999</v>
      </c>
      <c r="BY1039" s="387">
        <f t="shared" si="739"/>
        <v>0</v>
      </c>
      <c r="BZ1039" s="387">
        <f t="shared" si="740"/>
        <v>0</v>
      </c>
      <c r="CA1039" s="387">
        <f t="shared" si="741"/>
        <v>0</v>
      </c>
      <c r="CB1039" s="387">
        <f t="shared" si="742"/>
        <v>0</v>
      </c>
      <c r="CC1039" s="387">
        <f t="shared" si="724"/>
        <v>0</v>
      </c>
      <c r="CD1039" s="387">
        <f t="shared" si="725"/>
        <v>0</v>
      </c>
      <c r="CE1039" s="387">
        <f t="shared" si="726"/>
        <v>0</v>
      </c>
      <c r="CF1039" s="387">
        <f t="shared" si="727"/>
        <v>-319.41727999999995</v>
      </c>
      <c r="CG1039" s="387">
        <f t="shared" si="728"/>
        <v>0</v>
      </c>
      <c r="CH1039" s="387">
        <f t="shared" si="729"/>
        <v>45.631039999999977</v>
      </c>
      <c r="CI1039" s="387">
        <f t="shared" si="730"/>
        <v>0</v>
      </c>
      <c r="CJ1039" s="387">
        <f t="shared" si="743"/>
        <v>-273.78623999999996</v>
      </c>
      <c r="CK1039" s="387" t="str">
        <f t="shared" si="744"/>
        <v/>
      </c>
      <c r="CL1039" s="387" t="str">
        <f t="shared" si="745"/>
        <v/>
      </c>
      <c r="CM1039" s="387" t="str">
        <f t="shared" si="746"/>
        <v/>
      </c>
      <c r="CN1039" s="387" t="str">
        <f t="shared" si="747"/>
        <v>0348-31</v>
      </c>
    </row>
    <row r="1040" spans="1:92" ht="15.75" thickBot="1" x14ac:dyDescent="0.3">
      <c r="A1040" s="376" t="s">
        <v>161</v>
      </c>
      <c r="B1040" s="376" t="s">
        <v>162</v>
      </c>
      <c r="C1040" s="376" t="s">
        <v>2215</v>
      </c>
      <c r="D1040" s="376" t="s">
        <v>974</v>
      </c>
      <c r="E1040" s="376" t="s">
        <v>224</v>
      </c>
      <c r="F1040" s="382" t="s">
        <v>225</v>
      </c>
      <c r="G1040" s="376" t="s">
        <v>1945</v>
      </c>
      <c r="H1040" s="378"/>
      <c r="I1040" s="378"/>
      <c r="J1040" s="376" t="s">
        <v>215</v>
      </c>
      <c r="K1040" s="376" t="s">
        <v>975</v>
      </c>
      <c r="L1040" s="376" t="s">
        <v>296</v>
      </c>
      <c r="M1040" s="376" t="s">
        <v>171</v>
      </c>
      <c r="N1040" s="376" t="s">
        <v>172</v>
      </c>
      <c r="O1040" s="379">
        <v>1</v>
      </c>
      <c r="P1040" s="385">
        <v>1</v>
      </c>
      <c r="Q1040" s="385">
        <v>1</v>
      </c>
      <c r="R1040" s="380">
        <v>80</v>
      </c>
      <c r="S1040" s="385">
        <v>1</v>
      </c>
      <c r="T1040" s="380">
        <v>44137.599999999999</v>
      </c>
      <c r="U1040" s="380">
        <v>1775.79</v>
      </c>
      <c r="V1040" s="380">
        <v>21107.54</v>
      </c>
      <c r="W1040" s="380">
        <v>50606.400000000001</v>
      </c>
      <c r="X1040" s="380">
        <v>22593.599999999999</v>
      </c>
      <c r="Y1040" s="380">
        <v>50606.400000000001</v>
      </c>
      <c r="Z1040" s="380">
        <v>22381.06</v>
      </c>
      <c r="AA1040" s="376" t="s">
        <v>2216</v>
      </c>
      <c r="AB1040" s="376" t="s">
        <v>2217</v>
      </c>
      <c r="AC1040" s="376" t="s">
        <v>840</v>
      </c>
      <c r="AD1040" s="376" t="s">
        <v>1355</v>
      </c>
      <c r="AE1040" s="376" t="s">
        <v>975</v>
      </c>
      <c r="AF1040" s="376" t="s">
        <v>301</v>
      </c>
      <c r="AG1040" s="376" t="s">
        <v>178</v>
      </c>
      <c r="AH1040" s="381">
        <v>24.33</v>
      </c>
      <c r="AI1040" s="379">
        <v>24503</v>
      </c>
      <c r="AJ1040" s="376" t="s">
        <v>179</v>
      </c>
      <c r="AK1040" s="376" t="s">
        <v>180</v>
      </c>
      <c r="AL1040" s="376" t="s">
        <v>181</v>
      </c>
      <c r="AM1040" s="376" t="s">
        <v>182</v>
      </c>
      <c r="AN1040" s="376" t="s">
        <v>68</v>
      </c>
      <c r="AO1040" s="379">
        <v>80</v>
      </c>
      <c r="AP1040" s="385">
        <v>1</v>
      </c>
      <c r="AQ1040" s="385">
        <v>1</v>
      </c>
      <c r="AR1040" s="383" t="s">
        <v>183</v>
      </c>
      <c r="AS1040" s="387">
        <f t="shared" si="731"/>
        <v>1</v>
      </c>
      <c r="AT1040">
        <f t="shared" si="732"/>
        <v>1</v>
      </c>
      <c r="AU1040" s="387">
        <f>IF(AT1040=0,"",IF(AND(AT1040=1,M1040="F",SUMIF(C2:C1334,C1040,AS2:AS1334)&lt;=1),SUMIF(C2:C1334,C1040,AS2:AS1334),IF(AND(AT1040=1,M1040="F",SUMIF(C2:C1334,C1040,AS2:AS1334)&gt;1),1,"")))</f>
        <v>1</v>
      </c>
      <c r="AV1040" s="387" t="str">
        <f>IF(AT1040=0,"",IF(AND(AT1040=3,M1040="F",SUMIF(C2:C1334,C1040,AS2:AS1334)&lt;=1),SUMIF(C2:C1334,C1040,AS2:AS1334),IF(AND(AT1040=3,M1040="F",SUMIF(C2:C1334,C1040,AS2:AS1334)&gt;1),1,"")))</f>
        <v/>
      </c>
      <c r="AW1040" s="387">
        <f>SUMIF(C2:C1334,C1040,O2:O1334)</f>
        <v>1</v>
      </c>
      <c r="AX1040" s="387">
        <f>IF(AND(M1040="F",AS1040&lt;&gt;0),SUMIF(C2:C1334,C1040,W2:W1334),0)</f>
        <v>50606.400000000001</v>
      </c>
      <c r="AY1040" s="387">
        <f t="shared" si="733"/>
        <v>50606.400000000001</v>
      </c>
      <c r="AZ1040" s="387" t="str">
        <f t="shared" si="734"/>
        <v/>
      </c>
      <c r="BA1040" s="387">
        <f t="shared" si="735"/>
        <v>0</v>
      </c>
      <c r="BB1040" s="387">
        <f t="shared" si="704"/>
        <v>11650</v>
      </c>
      <c r="BC1040" s="387">
        <f t="shared" si="705"/>
        <v>0</v>
      </c>
      <c r="BD1040" s="387">
        <f t="shared" si="706"/>
        <v>3137.5968000000003</v>
      </c>
      <c r="BE1040" s="387">
        <f t="shared" si="707"/>
        <v>733.79280000000006</v>
      </c>
      <c r="BF1040" s="387">
        <f t="shared" si="708"/>
        <v>6042.40416</v>
      </c>
      <c r="BG1040" s="387">
        <f t="shared" si="709"/>
        <v>364.87214400000005</v>
      </c>
      <c r="BH1040" s="387">
        <f t="shared" si="710"/>
        <v>247.97136</v>
      </c>
      <c r="BI1040" s="387">
        <f t="shared" si="711"/>
        <v>280.106424</v>
      </c>
      <c r="BJ1040" s="387">
        <f t="shared" si="712"/>
        <v>136.63728</v>
      </c>
      <c r="BK1040" s="387">
        <f t="shared" si="713"/>
        <v>0</v>
      </c>
      <c r="BL1040" s="387">
        <f t="shared" si="736"/>
        <v>10943.380968000001</v>
      </c>
      <c r="BM1040" s="387">
        <f t="shared" si="737"/>
        <v>0</v>
      </c>
      <c r="BN1040" s="387">
        <f t="shared" si="714"/>
        <v>11650</v>
      </c>
      <c r="BO1040" s="387">
        <f t="shared" si="715"/>
        <v>0</v>
      </c>
      <c r="BP1040" s="387">
        <f t="shared" si="716"/>
        <v>3137.5968000000003</v>
      </c>
      <c r="BQ1040" s="387">
        <f t="shared" si="717"/>
        <v>733.79280000000006</v>
      </c>
      <c r="BR1040" s="387">
        <f t="shared" si="718"/>
        <v>6042.40416</v>
      </c>
      <c r="BS1040" s="387">
        <f t="shared" si="719"/>
        <v>364.87214400000005</v>
      </c>
      <c r="BT1040" s="387">
        <f t="shared" si="720"/>
        <v>0</v>
      </c>
      <c r="BU1040" s="387">
        <f t="shared" si="721"/>
        <v>280.106424</v>
      </c>
      <c r="BV1040" s="387">
        <f t="shared" si="722"/>
        <v>172.06175999999999</v>
      </c>
      <c r="BW1040" s="387">
        <f t="shared" si="723"/>
        <v>0</v>
      </c>
      <c r="BX1040" s="387">
        <f t="shared" si="738"/>
        <v>10730.834088000001</v>
      </c>
      <c r="BY1040" s="387">
        <f t="shared" si="739"/>
        <v>0</v>
      </c>
      <c r="BZ1040" s="387">
        <f t="shared" si="740"/>
        <v>0</v>
      </c>
      <c r="CA1040" s="387">
        <f t="shared" si="741"/>
        <v>0</v>
      </c>
      <c r="CB1040" s="387">
        <f t="shared" si="742"/>
        <v>0</v>
      </c>
      <c r="CC1040" s="387">
        <f t="shared" si="724"/>
        <v>0</v>
      </c>
      <c r="CD1040" s="387">
        <f t="shared" si="725"/>
        <v>0</v>
      </c>
      <c r="CE1040" s="387">
        <f t="shared" si="726"/>
        <v>0</v>
      </c>
      <c r="CF1040" s="387">
        <f t="shared" si="727"/>
        <v>-247.97136</v>
      </c>
      <c r="CG1040" s="387">
        <f t="shared" si="728"/>
        <v>0</v>
      </c>
      <c r="CH1040" s="387">
        <f t="shared" si="729"/>
        <v>35.424479999999981</v>
      </c>
      <c r="CI1040" s="387">
        <f t="shared" si="730"/>
        <v>0</v>
      </c>
      <c r="CJ1040" s="387">
        <f t="shared" si="743"/>
        <v>-212.54688000000002</v>
      </c>
      <c r="CK1040" s="387" t="str">
        <f t="shared" si="744"/>
        <v/>
      </c>
      <c r="CL1040" s="387" t="str">
        <f t="shared" si="745"/>
        <v/>
      </c>
      <c r="CM1040" s="387" t="str">
        <f t="shared" si="746"/>
        <v/>
      </c>
      <c r="CN1040" s="387" t="str">
        <f t="shared" si="747"/>
        <v>0348-31</v>
      </c>
    </row>
    <row r="1041" spans="1:92" ht="15.75" thickBot="1" x14ac:dyDescent="0.3">
      <c r="A1041" s="376" t="s">
        <v>161</v>
      </c>
      <c r="B1041" s="376" t="s">
        <v>162</v>
      </c>
      <c r="C1041" s="376" t="s">
        <v>2218</v>
      </c>
      <c r="D1041" s="376" t="s">
        <v>270</v>
      </c>
      <c r="E1041" s="376" t="s">
        <v>224</v>
      </c>
      <c r="F1041" s="382" t="s">
        <v>225</v>
      </c>
      <c r="G1041" s="376" t="s">
        <v>1945</v>
      </c>
      <c r="H1041" s="378"/>
      <c r="I1041" s="378"/>
      <c r="J1041" s="376" t="s">
        <v>215</v>
      </c>
      <c r="K1041" s="376" t="s">
        <v>271</v>
      </c>
      <c r="L1041" s="376" t="s">
        <v>217</v>
      </c>
      <c r="M1041" s="376" t="s">
        <v>171</v>
      </c>
      <c r="N1041" s="376" t="s">
        <v>172</v>
      </c>
      <c r="O1041" s="379">
        <v>1</v>
      </c>
      <c r="P1041" s="385">
        <v>1</v>
      </c>
      <c r="Q1041" s="385">
        <v>1</v>
      </c>
      <c r="R1041" s="380">
        <v>80</v>
      </c>
      <c r="S1041" s="385">
        <v>1</v>
      </c>
      <c r="T1041" s="380">
        <v>32190.43</v>
      </c>
      <c r="U1041" s="380">
        <v>0</v>
      </c>
      <c r="V1041" s="380">
        <v>18866.68</v>
      </c>
      <c r="W1041" s="380">
        <v>33883.199999999997</v>
      </c>
      <c r="X1041" s="380">
        <v>18977.2</v>
      </c>
      <c r="Y1041" s="380">
        <v>33883.199999999997</v>
      </c>
      <c r="Z1041" s="380">
        <v>18834.900000000001</v>
      </c>
      <c r="AA1041" s="376" t="s">
        <v>2219</v>
      </c>
      <c r="AB1041" s="376" t="s">
        <v>2220</v>
      </c>
      <c r="AC1041" s="376" t="s">
        <v>2221</v>
      </c>
      <c r="AD1041" s="376" t="s">
        <v>219</v>
      </c>
      <c r="AE1041" s="376" t="s">
        <v>271</v>
      </c>
      <c r="AF1041" s="376" t="s">
        <v>221</v>
      </c>
      <c r="AG1041" s="376" t="s">
        <v>178</v>
      </c>
      <c r="AH1041" s="381">
        <v>16.29</v>
      </c>
      <c r="AI1041" s="379">
        <v>2960</v>
      </c>
      <c r="AJ1041" s="376" t="s">
        <v>179</v>
      </c>
      <c r="AK1041" s="376" t="s">
        <v>180</v>
      </c>
      <c r="AL1041" s="376" t="s">
        <v>181</v>
      </c>
      <c r="AM1041" s="376" t="s">
        <v>182</v>
      </c>
      <c r="AN1041" s="376" t="s">
        <v>68</v>
      </c>
      <c r="AO1041" s="379">
        <v>80</v>
      </c>
      <c r="AP1041" s="385">
        <v>1</v>
      </c>
      <c r="AQ1041" s="385">
        <v>1</v>
      </c>
      <c r="AR1041" s="383" t="s">
        <v>183</v>
      </c>
      <c r="AS1041" s="387">
        <f t="shared" si="731"/>
        <v>1</v>
      </c>
      <c r="AT1041">
        <f t="shared" si="732"/>
        <v>1</v>
      </c>
      <c r="AU1041" s="387">
        <f>IF(AT1041=0,"",IF(AND(AT1041=1,M1041="F",SUMIF(C2:C1334,C1041,AS2:AS1334)&lt;=1),SUMIF(C2:C1334,C1041,AS2:AS1334),IF(AND(AT1041=1,M1041="F",SUMIF(C2:C1334,C1041,AS2:AS1334)&gt;1),1,"")))</f>
        <v>1</v>
      </c>
      <c r="AV1041" s="387" t="str">
        <f>IF(AT1041=0,"",IF(AND(AT1041=3,M1041="F",SUMIF(C2:C1334,C1041,AS2:AS1334)&lt;=1),SUMIF(C2:C1334,C1041,AS2:AS1334),IF(AND(AT1041=3,M1041="F",SUMIF(C2:C1334,C1041,AS2:AS1334)&gt;1),1,"")))</f>
        <v/>
      </c>
      <c r="AW1041" s="387">
        <f>SUMIF(C2:C1334,C1041,O2:O1334)</f>
        <v>1</v>
      </c>
      <c r="AX1041" s="387">
        <f>IF(AND(M1041="F",AS1041&lt;&gt;0),SUMIF(C2:C1334,C1041,W2:W1334),0)</f>
        <v>33883.199999999997</v>
      </c>
      <c r="AY1041" s="387">
        <f t="shared" si="733"/>
        <v>33883.199999999997</v>
      </c>
      <c r="AZ1041" s="387" t="str">
        <f t="shared" si="734"/>
        <v/>
      </c>
      <c r="BA1041" s="387">
        <f t="shared" si="735"/>
        <v>0</v>
      </c>
      <c r="BB1041" s="387">
        <f t="shared" si="704"/>
        <v>11650</v>
      </c>
      <c r="BC1041" s="387">
        <f t="shared" si="705"/>
        <v>0</v>
      </c>
      <c r="BD1041" s="387">
        <f t="shared" si="706"/>
        <v>2100.7583999999997</v>
      </c>
      <c r="BE1041" s="387">
        <f t="shared" si="707"/>
        <v>491.3064</v>
      </c>
      <c r="BF1041" s="387">
        <f t="shared" si="708"/>
        <v>4045.6540799999998</v>
      </c>
      <c r="BG1041" s="387">
        <f t="shared" si="709"/>
        <v>244.29787199999998</v>
      </c>
      <c r="BH1041" s="387">
        <f t="shared" si="710"/>
        <v>166.02767999999998</v>
      </c>
      <c r="BI1041" s="387">
        <f t="shared" si="711"/>
        <v>187.54351199999999</v>
      </c>
      <c r="BJ1041" s="387">
        <f t="shared" si="712"/>
        <v>91.484639999999999</v>
      </c>
      <c r="BK1041" s="387">
        <f t="shared" si="713"/>
        <v>0</v>
      </c>
      <c r="BL1041" s="387">
        <f t="shared" si="736"/>
        <v>7327.0725839999996</v>
      </c>
      <c r="BM1041" s="387">
        <f t="shared" si="737"/>
        <v>0</v>
      </c>
      <c r="BN1041" s="387">
        <f t="shared" si="714"/>
        <v>11650</v>
      </c>
      <c r="BO1041" s="387">
        <f t="shared" si="715"/>
        <v>0</v>
      </c>
      <c r="BP1041" s="387">
        <f t="shared" si="716"/>
        <v>2100.7583999999997</v>
      </c>
      <c r="BQ1041" s="387">
        <f t="shared" si="717"/>
        <v>491.3064</v>
      </c>
      <c r="BR1041" s="387">
        <f t="shared" si="718"/>
        <v>4045.6540799999998</v>
      </c>
      <c r="BS1041" s="387">
        <f t="shared" si="719"/>
        <v>244.29787199999998</v>
      </c>
      <c r="BT1041" s="387">
        <f t="shared" si="720"/>
        <v>0</v>
      </c>
      <c r="BU1041" s="387">
        <f t="shared" si="721"/>
        <v>187.54351199999999</v>
      </c>
      <c r="BV1041" s="387">
        <f t="shared" si="722"/>
        <v>115.20287999999998</v>
      </c>
      <c r="BW1041" s="387">
        <f t="shared" si="723"/>
        <v>0</v>
      </c>
      <c r="BX1041" s="387">
        <f t="shared" si="738"/>
        <v>7184.7631439999996</v>
      </c>
      <c r="BY1041" s="387">
        <f t="shared" si="739"/>
        <v>0</v>
      </c>
      <c r="BZ1041" s="387">
        <f t="shared" si="740"/>
        <v>0</v>
      </c>
      <c r="CA1041" s="387">
        <f t="shared" si="741"/>
        <v>0</v>
      </c>
      <c r="CB1041" s="387">
        <f t="shared" si="742"/>
        <v>0</v>
      </c>
      <c r="CC1041" s="387">
        <f t="shared" si="724"/>
        <v>0</v>
      </c>
      <c r="CD1041" s="387">
        <f t="shared" si="725"/>
        <v>0</v>
      </c>
      <c r="CE1041" s="387">
        <f t="shared" si="726"/>
        <v>0</v>
      </c>
      <c r="CF1041" s="387">
        <f t="shared" si="727"/>
        <v>-166.02767999999998</v>
      </c>
      <c r="CG1041" s="387">
        <f t="shared" si="728"/>
        <v>0</v>
      </c>
      <c r="CH1041" s="387">
        <f t="shared" si="729"/>
        <v>23.718239999999987</v>
      </c>
      <c r="CI1041" s="387">
        <f t="shared" si="730"/>
        <v>0</v>
      </c>
      <c r="CJ1041" s="387">
        <f t="shared" si="743"/>
        <v>-142.30944</v>
      </c>
      <c r="CK1041" s="387" t="str">
        <f t="shared" si="744"/>
        <v/>
      </c>
      <c r="CL1041" s="387" t="str">
        <f t="shared" si="745"/>
        <v/>
      </c>
      <c r="CM1041" s="387" t="str">
        <f t="shared" si="746"/>
        <v/>
      </c>
      <c r="CN1041" s="387" t="str">
        <f t="shared" si="747"/>
        <v>0348-31</v>
      </c>
    </row>
    <row r="1042" spans="1:92" ht="15.75" thickBot="1" x14ac:dyDescent="0.3">
      <c r="A1042" s="376" t="s">
        <v>161</v>
      </c>
      <c r="B1042" s="376" t="s">
        <v>162</v>
      </c>
      <c r="C1042" s="376" t="s">
        <v>674</v>
      </c>
      <c r="D1042" s="376" t="s">
        <v>1088</v>
      </c>
      <c r="E1042" s="376" t="s">
        <v>224</v>
      </c>
      <c r="F1042" s="382" t="s">
        <v>225</v>
      </c>
      <c r="G1042" s="376" t="s">
        <v>1945</v>
      </c>
      <c r="H1042" s="378"/>
      <c r="I1042" s="378"/>
      <c r="J1042" s="376" t="s">
        <v>215</v>
      </c>
      <c r="K1042" s="376" t="s">
        <v>1089</v>
      </c>
      <c r="L1042" s="376" t="s">
        <v>181</v>
      </c>
      <c r="M1042" s="376" t="s">
        <v>171</v>
      </c>
      <c r="N1042" s="376" t="s">
        <v>172</v>
      </c>
      <c r="O1042" s="379">
        <v>1</v>
      </c>
      <c r="P1042" s="385">
        <v>1</v>
      </c>
      <c r="Q1042" s="385">
        <v>1</v>
      </c>
      <c r="R1042" s="380">
        <v>80</v>
      </c>
      <c r="S1042" s="385">
        <v>1</v>
      </c>
      <c r="T1042" s="380">
        <v>0</v>
      </c>
      <c r="U1042" s="380">
        <v>0</v>
      </c>
      <c r="V1042" s="380">
        <v>0</v>
      </c>
      <c r="W1042" s="380">
        <v>73964.800000000003</v>
      </c>
      <c r="X1042" s="380">
        <v>27644.84</v>
      </c>
      <c r="Y1042" s="380">
        <v>73964.800000000003</v>
      </c>
      <c r="Z1042" s="380">
        <v>27334.2</v>
      </c>
      <c r="AA1042" s="376" t="s">
        <v>1258</v>
      </c>
      <c r="AB1042" s="376" t="s">
        <v>1259</v>
      </c>
      <c r="AC1042" s="376" t="s">
        <v>1007</v>
      </c>
      <c r="AD1042" s="376" t="s">
        <v>351</v>
      </c>
      <c r="AE1042" s="376" t="s">
        <v>1089</v>
      </c>
      <c r="AF1042" s="376" t="s">
        <v>211</v>
      </c>
      <c r="AG1042" s="376" t="s">
        <v>178</v>
      </c>
      <c r="AH1042" s="381">
        <v>35.56</v>
      </c>
      <c r="AI1042" s="381">
        <v>32650.7</v>
      </c>
      <c r="AJ1042" s="376" t="s">
        <v>179</v>
      </c>
      <c r="AK1042" s="376" t="s">
        <v>180</v>
      </c>
      <c r="AL1042" s="376" t="s">
        <v>181</v>
      </c>
      <c r="AM1042" s="376" t="s">
        <v>182</v>
      </c>
      <c r="AN1042" s="376" t="s">
        <v>68</v>
      </c>
      <c r="AO1042" s="379">
        <v>80</v>
      </c>
      <c r="AP1042" s="385">
        <v>1</v>
      </c>
      <c r="AQ1042" s="385">
        <v>1</v>
      </c>
      <c r="AR1042" s="383" t="s">
        <v>183</v>
      </c>
      <c r="AS1042" s="387">
        <f t="shared" si="731"/>
        <v>1</v>
      </c>
      <c r="AT1042">
        <f t="shared" si="732"/>
        <v>1</v>
      </c>
      <c r="AU1042" s="387">
        <f>IF(AT1042=0,"",IF(AND(AT1042=1,M1042="F",SUMIF(C2:C1334,C1042,AS2:AS1334)&lt;=1),SUMIF(C2:C1334,C1042,AS2:AS1334),IF(AND(AT1042=1,M1042="F",SUMIF(C2:C1334,C1042,AS2:AS1334)&gt;1),1,"")))</f>
        <v>1</v>
      </c>
      <c r="AV1042" s="387" t="str">
        <f>IF(AT1042=0,"",IF(AND(AT1042=3,M1042="F",SUMIF(C2:C1334,C1042,AS2:AS1334)&lt;=1),SUMIF(C2:C1334,C1042,AS2:AS1334),IF(AND(AT1042=3,M1042="F",SUMIF(C2:C1334,C1042,AS2:AS1334)&gt;1),1,"")))</f>
        <v/>
      </c>
      <c r="AW1042" s="387">
        <f>SUMIF(C2:C1334,C1042,O2:O1334)</f>
        <v>2</v>
      </c>
      <c r="AX1042" s="387">
        <f>IF(AND(M1042="F",AS1042&lt;&gt;0),SUMIF(C2:C1334,C1042,W2:W1334),0)</f>
        <v>73964.800000000003</v>
      </c>
      <c r="AY1042" s="387">
        <f t="shared" si="733"/>
        <v>73964.800000000003</v>
      </c>
      <c r="AZ1042" s="387" t="str">
        <f t="shared" si="734"/>
        <v/>
      </c>
      <c r="BA1042" s="387">
        <f t="shared" si="735"/>
        <v>0</v>
      </c>
      <c r="BB1042" s="387">
        <f t="shared" si="704"/>
        <v>11650</v>
      </c>
      <c r="BC1042" s="387">
        <f t="shared" si="705"/>
        <v>0</v>
      </c>
      <c r="BD1042" s="387">
        <f t="shared" si="706"/>
        <v>4585.8176000000003</v>
      </c>
      <c r="BE1042" s="387">
        <f t="shared" si="707"/>
        <v>1072.4896000000001</v>
      </c>
      <c r="BF1042" s="387">
        <f t="shared" si="708"/>
        <v>8831.3971200000015</v>
      </c>
      <c r="BG1042" s="387">
        <f t="shared" si="709"/>
        <v>533.28620799999999</v>
      </c>
      <c r="BH1042" s="387">
        <f t="shared" si="710"/>
        <v>362.42752000000002</v>
      </c>
      <c r="BI1042" s="387">
        <f t="shared" si="711"/>
        <v>409.39516800000001</v>
      </c>
      <c r="BJ1042" s="387">
        <f t="shared" si="712"/>
        <v>199.70496000000003</v>
      </c>
      <c r="BK1042" s="387">
        <f t="shared" si="713"/>
        <v>0</v>
      </c>
      <c r="BL1042" s="387">
        <f t="shared" si="736"/>
        <v>15994.518175999998</v>
      </c>
      <c r="BM1042" s="387">
        <f t="shared" si="737"/>
        <v>0</v>
      </c>
      <c r="BN1042" s="387">
        <f t="shared" si="714"/>
        <v>11650</v>
      </c>
      <c r="BO1042" s="387">
        <f t="shared" si="715"/>
        <v>0</v>
      </c>
      <c r="BP1042" s="387">
        <f t="shared" si="716"/>
        <v>4585.8176000000003</v>
      </c>
      <c r="BQ1042" s="387">
        <f t="shared" si="717"/>
        <v>1072.4896000000001</v>
      </c>
      <c r="BR1042" s="387">
        <f t="shared" si="718"/>
        <v>8831.3971200000015</v>
      </c>
      <c r="BS1042" s="387">
        <f t="shared" si="719"/>
        <v>533.28620799999999</v>
      </c>
      <c r="BT1042" s="387">
        <f t="shared" si="720"/>
        <v>0</v>
      </c>
      <c r="BU1042" s="387">
        <f t="shared" si="721"/>
        <v>409.39516800000001</v>
      </c>
      <c r="BV1042" s="387">
        <f t="shared" si="722"/>
        <v>251.48032000000001</v>
      </c>
      <c r="BW1042" s="387">
        <f t="shared" si="723"/>
        <v>0</v>
      </c>
      <c r="BX1042" s="387">
        <f t="shared" si="738"/>
        <v>15683.866016000002</v>
      </c>
      <c r="BY1042" s="387">
        <f t="shared" si="739"/>
        <v>0</v>
      </c>
      <c r="BZ1042" s="387">
        <f t="shared" si="740"/>
        <v>0</v>
      </c>
      <c r="CA1042" s="387">
        <f t="shared" si="741"/>
        <v>0</v>
      </c>
      <c r="CB1042" s="387">
        <f t="shared" si="742"/>
        <v>0</v>
      </c>
      <c r="CC1042" s="387">
        <f t="shared" si="724"/>
        <v>0</v>
      </c>
      <c r="CD1042" s="387">
        <f t="shared" si="725"/>
        <v>0</v>
      </c>
      <c r="CE1042" s="387">
        <f t="shared" si="726"/>
        <v>0</v>
      </c>
      <c r="CF1042" s="387">
        <f t="shared" si="727"/>
        <v>-362.42752000000002</v>
      </c>
      <c r="CG1042" s="387">
        <f t="shared" si="728"/>
        <v>0</v>
      </c>
      <c r="CH1042" s="387">
        <f t="shared" si="729"/>
        <v>51.775359999999978</v>
      </c>
      <c r="CI1042" s="387">
        <f t="shared" si="730"/>
        <v>0</v>
      </c>
      <c r="CJ1042" s="387">
        <f t="shared" si="743"/>
        <v>-310.65216000000004</v>
      </c>
      <c r="CK1042" s="387" t="str">
        <f t="shared" si="744"/>
        <v/>
      </c>
      <c r="CL1042" s="387" t="str">
        <f t="shared" si="745"/>
        <v/>
      </c>
      <c r="CM1042" s="387" t="str">
        <f t="shared" si="746"/>
        <v/>
      </c>
      <c r="CN1042" s="387" t="str">
        <f t="shared" si="747"/>
        <v>0348-31</v>
      </c>
    </row>
    <row r="1043" spans="1:92" ht="15.75" thickBot="1" x14ac:dyDescent="0.3">
      <c r="A1043" s="376" t="s">
        <v>161</v>
      </c>
      <c r="B1043" s="376" t="s">
        <v>162</v>
      </c>
      <c r="C1043" s="376" t="s">
        <v>1389</v>
      </c>
      <c r="D1043" s="376" t="s">
        <v>862</v>
      </c>
      <c r="E1043" s="376" t="s">
        <v>224</v>
      </c>
      <c r="F1043" s="382" t="s">
        <v>225</v>
      </c>
      <c r="G1043" s="376" t="s">
        <v>1945</v>
      </c>
      <c r="H1043" s="378"/>
      <c r="I1043" s="378"/>
      <c r="J1043" s="376" t="s">
        <v>215</v>
      </c>
      <c r="K1043" s="376" t="s">
        <v>863</v>
      </c>
      <c r="L1043" s="376" t="s">
        <v>252</v>
      </c>
      <c r="M1043" s="376" t="s">
        <v>272</v>
      </c>
      <c r="N1043" s="376" t="s">
        <v>877</v>
      </c>
      <c r="O1043" s="379">
        <v>0</v>
      </c>
      <c r="P1043" s="385">
        <v>1</v>
      </c>
      <c r="Q1043" s="385">
        <v>1</v>
      </c>
      <c r="R1043" s="380">
        <v>80</v>
      </c>
      <c r="S1043" s="385">
        <v>1</v>
      </c>
      <c r="T1043" s="380">
        <v>0</v>
      </c>
      <c r="U1043" s="380">
        <v>0</v>
      </c>
      <c r="V1043" s="380">
        <v>0</v>
      </c>
      <c r="W1043" s="380">
        <v>42328</v>
      </c>
      <c r="X1043" s="380">
        <v>18539.66</v>
      </c>
      <c r="Y1043" s="380">
        <v>42328</v>
      </c>
      <c r="Z1043" s="380">
        <v>18328.02</v>
      </c>
      <c r="AA1043" s="378"/>
      <c r="AB1043" s="376" t="s">
        <v>45</v>
      </c>
      <c r="AC1043" s="376" t="s">
        <v>45</v>
      </c>
      <c r="AD1043" s="378"/>
      <c r="AE1043" s="378"/>
      <c r="AF1043" s="378"/>
      <c r="AG1043" s="378"/>
      <c r="AH1043" s="379">
        <v>0</v>
      </c>
      <c r="AI1043" s="379">
        <v>0</v>
      </c>
      <c r="AJ1043" s="378"/>
      <c r="AK1043" s="378"/>
      <c r="AL1043" s="376" t="s">
        <v>181</v>
      </c>
      <c r="AM1043" s="378"/>
      <c r="AN1043" s="378"/>
      <c r="AO1043" s="379">
        <v>0</v>
      </c>
      <c r="AP1043" s="385">
        <v>0</v>
      </c>
      <c r="AQ1043" s="385">
        <v>0</v>
      </c>
      <c r="AR1043" s="384"/>
      <c r="AS1043" s="387">
        <f t="shared" si="731"/>
        <v>0</v>
      </c>
      <c r="AT1043">
        <f t="shared" si="732"/>
        <v>0</v>
      </c>
      <c r="AU1043" s="387" t="str">
        <f>IF(AT1043=0,"",IF(AND(AT1043=1,M1043="F",SUMIF(C2:C1334,C1043,AS2:AS1334)&lt;=1),SUMIF(C2:C1334,C1043,AS2:AS1334),IF(AND(AT1043=1,M1043="F",SUMIF(C2:C1334,C1043,AS2:AS1334)&gt;1),1,"")))</f>
        <v/>
      </c>
      <c r="AV1043" s="387" t="str">
        <f>IF(AT1043=0,"",IF(AND(AT1043=3,M1043="F",SUMIF(C2:C1334,C1043,AS2:AS1334)&lt;=1),SUMIF(C2:C1334,C1043,AS2:AS1334),IF(AND(AT1043=3,M1043="F",SUMIF(C2:C1334,C1043,AS2:AS1334)&gt;1),1,"")))</f>
        <v/>
      </c>
      <c r="AW1043" s="387">
        <f>SUMIF(C2:C1334,C1043,O2:O1334)</f>
        <v>0</v>
      </c>
      <c r="AX1043" s="387">
        <f>IF(AND(M1043="F",AS1043&lt;&gt;0),SUMIF(C2:C1334,C1043,W2:W1334),0)</f>
        <v>0</v>
      </c>
      <c r="AY1043" s="387" t="str">
        <f t="shared" si="733"/>
        <v/>
      </c>
      <c r="AZ1043" s="387" t="str">
        <f t="shared" si="734"/>
        <v/>
      </c>
      <c r="BA1043" s="387">
        <f t="shared" si="735"/>
        <v>0</v>
      </c>
      <c r="BB1043" s="387">
        <f t="shared" si="704"/>
        <v>0</v>
      </c>
      <c r="BC1043" s="387">
        <f t="shared" si="705"/>
        <v>0</v>
      </c>
      <c r="BD1043" s="387">
        <f t="shared" si="706"/>
        <v>0</v>
      </c>
      <c r="BE1043" s="387">
        <f t="shared" si="707"/>
        <v>0</v>
      </c>
      <c r="BF1043" s="387">
        <f t="shared" si="708"/>
        <v>0</v>
      </c>
      <c r="BG1043" s="387">
        <f t="shared" si="709"/>
        <v>0</v>
      </c>
      <c r="BH1043" s="387">
        <f t="shared" si="710"/>
        <v>0</v>
      </c>
      <c r="BI1043" s="387">
        <f t="shared" si="711"/>
        <v>0</v>
      </c>
      <c r="BJ1043" s="387">
        <f t="shared" si="712"/>
        <v>0</v>
      </c>
      <c r="BK1043" s="387">
        <f t="shared" si="713"/>
        <v>0</v>
      </c>
      <c r="BL1043" s="387">
        <f t="shared" si="736"/>
        <v>0</v>
      </c>
      <c r="BM1043" s="387">
        <f t="shared" si="737"/>
        <v>0</v>
      </c>
      <c r="BN1043" s="387">
        <f t="shared" si="714"/>
        <v>0</v>
      </c>
      <c r="BO1043" s="387">
        <f t="shared" si="715"/>
        <v>0</v>
      </c>
      <c r="BP1043" s="387">
        <f t="shared" si="716"/>
        <v>0</v>
      </c>
      <c r="BQ1043" s="387">
        <f t="shared" si="717"/>
        <v>0</v>
      </c>
      <c r="BR1043" s="387">
        <f t="shared" si="718"/>
        <v>0</v>
      </c>
      <c r="BS1043" s="387">
        <f t="shared" si="719"/>
        <v>0</v>
      </c>
      <c r="BT1043" s="387">
        <f t="shared" si="720"/>
        <v>0</v>
      </c>
      <c r="BU1043" s="387">
        <f t="shared" si="721"/>
        <v>0</v>
      </c>
      <c r="BV1043" s="387">
        <f t="shared" si="722"/>
        <v>0</v>
      </c>
      <c r="BW1043" s="387">
        <f t="shared" si="723"/>
        <v>0</v>
      </c>
      <c r="BX1043" s="387">
        <f t="shared" si="738"/>
        <v>0</v>
      </c>
      <c r="BY1043" s="387">
        <f t="shared" si="739"/>
        <v>0</v>
      </c>
      <c r="BZ1043" s="387">
        <f t="shared" si="740"/>
        <v>0</v>
      </c>
      <c r="CA1043" s="387">
        <f t="shared" si="741"/>
        <v>0</v>
      </c>
      <c r="CB1043" s="387">
        <f t="shared" si="742"/>
        <v>0</v>
      </c>
      <c r="CC1043" s="387">
        <f t="shared" si="724"/>
        <v>0</v>
      </c>
      <c r="CD1043" s="387">
        <f t="shared" si="725"/>
        <v>0</v>
      </c>
      <c r="CE1043" s="387">
        <f t="shared" si="726"/>
        <v>0</v>
      </c>
      <c r="CF1043" s="387">
        <f t="shared" si="727"/>
        <v>0</v>
      </c>
      <c r="CG1043" s="387">
        <f t="shared" si="728"/>
        <v>0</v>
      </c>
      <c r="CH1043" s="387">
        <f t="shared" si="729"/>
        <v>0</v>
      </c>
      <c r="CI1043" s="387">
        <f t="shared" si="730"/>
        <v>0</v>
      </c>
      <c r="CJ1043" s="387">
        <f t="shared" si="743"/>
        <v>0</v>
      </c>
      <c r="CK1043" s="387" t="str">
        <f t="shared" si="744"/>
        <v/>
      </c>
      <c r="CL1043" s="387" t="str">
        <f t="shared" si="745"/>
        <v/>
      </c>
      <c r="CM1043" s="387" t="str">
        <f t="shared" si="746"/>
        <v/>
      </c>
      <c r="CN1043" s="387" t="str">
        <f t="shared" si="747"/>
        <v>0348-31</v>
      </c>
    </row>
    <row r="1044" spans="1:92" ht="15.75" thickBot="1" x14ac:dyDescent="0.3">
      <c r="A1044" s="376" t="s">
        <v>161</v>
      </c>
      <c r="B1044" s="376" t="s">
        <v>162</v>
      </c>
      <c r="C1044" s="376" t="s">
        <v>2222</v>
      </c>
      <c r="D1044" s="376" t="s">
        <v>2223</v>
      </c>
      <c r="E1044" s="376" t="s">
        <v>224</v>
      </c>
      <c r="F1044" s="382" t="s">
        <v>225</v>
      </c>
      <c r="G1044" s="376" t="s">
        <v>1945</v>
      </c>
      <c r="H1044" s="378"/>
      <c r="I1044" s="378"/>
      <c r="J1044" s="376" t="s">
        <v>215</v>
      </c>
      <c r="K1044" s="376" t="s">
        <v>2224</v>
      </c>
      <c r="L1044" s="376" t="s">
        <v>170</v>
      </c>
      <c r="M1044" s="376" t="s">
        <v>171</v>
      </c>
      <c r="N1044" s="376" t="s">
        <v>172</v>
      </c>
      <c r="O1044" s="379">
        <v>1</v>
      </c>
      <c r="P1044" s="385">
        <v>1</v>
      </c>
      <c r="Q1044" s="385">
        <v>1</v>
      </c>
      <c r="R1044" s="380">
        <v>80</v>
      </c>
      <c r="S1044" s="385">
        <v>1</v>
      </c>
      <c r="T1044" s="380">
        <v>59823.95</v>
      </c>
      <c r="U1044" s="380">
        <v>3552.91</v>
      </c>
      <c r="V1044" s="380">
        <v>24763.15</v>
      </c>
      <c r="W1044" s="380">
        <v>61380.800000000003</v>
      </c>
      <c r="X1044" s="380">
        <v>24923.55</v>
      </c>
      <c r="Y1044" s="380">
        <v>61380.800000000003</v>
      </c>
      <c r="Z1044" s="380">
        <v>24665.759999999998</v>
      </c>
      <c r="AA1044" s="376" t="s">
        <v>2225</v>
      </c>
      <c r="AB1044" s="376" t="s">
        <v>2226</v>
      </c>
      <c r="AC1044" s="376" t="s">
        <v>2227</v>
      </c>
      <c r="AD1044" s="376" t="s">
        <v>324</v>
      </c>
      <c r="AE1044" s="376" t="s">
        <v>2224</v>
      </c>
      <c r="AF1044" s="376" t="s">
        <v>177</v>
      </c>
      <c r="AG1044" s="376" t="s">
        <v>178</v>
      </c>
      <c r="AH1044" s="381">
        <v>29.51</v>
      </c>
      <c r="AI1044" s="381">
        <v>67109.8</v>
      </c>
      <c r="AJ1044" s="376" t="s">
        <v>179</v>
      </c>
      <c r="AK1044" s="376" t="s">
        <v>180</v>
      </c>
      <c r="AL1044" s="376" t="s">
        <v>181</v>
      </c>
      <c r="AM1044" s="376" t="s">
        <v>182</v>
      </c>
      <c r="AN1044" s="376" t="s">
        <v>68</v>
      </c>
      <c r="AO1044" s="379">
        <v>80</v>
      </c>
      <c r="AP1044" s="385">
        <v>1</v>
      </c>
      <c r="AQ1044" s="385">
        <v>1</v>
      </c>
      <c r="AR1044" s="383" t="s">
        <v>183</v>
      </c>
      <c r="AS1044" s="387">
        <f t="shared" si="731"/>
        <v>1</v>
      </c>
      <c r="AT1044">
        <f t="shared" si="732"/>
        <v>1</v>
      </c>
      <c r="AU1044" s="387">
        <f>IF(AT1044=0,"",IF(AND(AT1044=1,M1044="F",SUMIF(C2:C1334,C1044,AS2:AS1334)&lt;=1),SUMIF(C2:C1334,C1044,AS2:AS1334),IF(AND(AT1044=1,M1044="F",SUMIF(C2:C1334,C1044,AS2:AS1334)&gt;1),1,"")))</f>
        <v>1</v>
      </c>
      <c r="AV1044" s="387" t="str">
        <f>IF(AT1044=0,"",IF(AND(AT1044=3,M1044="F",SUMIF(C2:C1334,C1044,AS2:AS1334)&lt;=1),SUMIF(C2:C1334,C1044,AS2:AS1334),IF(AND(AT1044=3,M1044="F",SUMIF(C2:C1334,C1044,AS2:AS1334)&gt;1),1,"")))</f>
        <v/>
      </c>
      <c r="AW1044" s="387">
        <f>SUMIF(C2:C1334,C1044,O2:O1334)</f>
        <v>1</v>
      </c>
      <c r="AX1044" s="387">
        <f>IF(AND(M1044="F",AS1044&lt;&gt;0),SUMIF(C2:C1334,C1044,W2:W1334),0)</f>
        <v>61380.800000000003</v>
      </c>
      <c r="AY1044" s="387">
        <f t="shared" si="733"/>
        <v>61380.800000000003</v>
      </c>
      <c r="AZ1044" s="387" t="str">
        <f t="shared" si="734"/>
        <v/>
      </c>
      <c r="BA1044" s="387">
        <f t="shared" si="735"/>
        <v>0</v>
      </c>
      <c r="BB1044" s="387">
        <f t="shared" si="704"/>
        <v>11650</v>
      </c>
      <c r="BC1044" s="387">
        <f t="shared" si="705"/>
        <v>0</v>
      </c>
      <c r="BD1044" s="387">
        <f t="shared" si="706"/>
        <v>3805.6096000000002</v>
      </c>
      <c r="BE1044" s="387">
        <f t="shared" si="707"/>
        <v>890.02160000000003</v>
      </c>
      <c r="BF1044" s="387">
        <f t="shared" si="708"/>
        <v>7328.8675200000007</v>
      </c>
      <c r="BG1044" s="387">
        <f t="shared" si="709"/>
        <v>442.55556800000005</v>
      </c>
      <c r="BH1044" s="387">
        <f t="shared" si="710"/>
        <v>300.76591999999999</v>
      </c>
      <c r="BI1044" s="387">
        <f t="shared" si="711"/>
        <v>339.742728</v>
      </c>
      <c r="BJ1044" s="387">
        <f t="shared" si="712"/>
        <v>165.72816</v>
      </c>
      <c r="BK1044" s="387">
        <f t="shared" si="713"/>
        <v>0</v>
      </c>
      <c r="BL1044" s="387">
        <f t="shared" si="736"/>
        <v>13273.291095999999</v>
      </c>
      <c r="BM1044" s="387">
        <f t="shared" si="737"/>
        <v>0</v>
      </c>
      <c r="BN1044" s="387">
        <f t="shared" si="714"/>
        <v>11650</v>
      </c>
      <c r="BO1044" s="387">
        <f t="shared" si="715"/>
        <v>0</v>
      </c>
      <c r="BP1044" s="387">
        <f t="shared" si="716"/>
        <v>3805.6096000000002</v>
      </c>
      <c r="BQ1044" s="387">
        <f t="shared" si="717"/>
        <v>890.02160000000003</v>
      </c>
      <c r="BR1044" s="387">
        <f t="shared" si="718"/>
        <v>7328.8675200000007</v>
      </c>
      <c r="BS1044" s="387">
        <f t="shared" si="719"/>
        <v>442.55556800000005</v>
      </c>
      <c r="BT1044" s="387">
        <f t="shared" si="720"/>
        <v>0</v>
      </c>
      <c r="BU1044" s="387">
        <f t="shared" si="721"/>
        <v>339.742728</v>
      </c>
      <c r="BV1044" s="387">
        <f t="shared" si="722"/>
        <v>208.69471999999999</v>
      </c>
      <c r="BW1044" s="387">
        <f t="shared" si="723"/>
        <v>0</v>
      </c>
      <c r="BX1044" s="387">
        <f t="shared" si="738"/>
        <v>13015.491735999998</v>
      </c>
      <c r="BY1044" s="387">
        <f t="shared" si="739"/>
        <v>0</v>
      </c>
      <c r="BZ1044" s="387">
        <f t="shared" si="740"/>
        <v>0</v>
      </c>
      <c r="CA1044" s="387">
        <f t="shared" si="741"/>
        <v>0</v>
      </c>
      <c r="CB1044" s="387">
        <f t="shared" si="742"/>
        <v>0</v>
      </c>
      <c r="CC1044" s="387">
        <f t="shared" si="724"/>
        <v>0</v>
      </c>
      <c r="CD1044" s="387">
        <f t="shared" si="725"/>
        <v>0</v>
      </c>
      <c r="CE1044" s="387">
        <f t="shared" si="726"/>
        <v>0</v>
      </c>
      <c r="CF1044" s="387">
        <f t="shared" si="727"/>
        <v>-300.76591999999999</v>
      </c>
      <c r="CG1044" s="387">
        <f t="shared" si="728"/>
        <v>0</v>
      </c>
      <c r="CH1044" s="387">
        <f t="shared" si="729"/>
        <v>42.96655999999998</v>
      </c>
      <c r="CI1044" s="387">
        <f t="shared" si="730"/>
        <v>0</v>
      </c>
      <c r="CJ1044" s="387">
        <f t="shared" si="743"/>
        <v>-257.79936000000004</v>
      </c>
      <c r="CK1044" s="387" t="str">
        <f t="shared" si="744"/>
        <v/>
      </c>
      <c r="CL1044" s="387" t="str">
        <f t="shared" si="745"/>
        <v/>
      </c>
      <c r="CM1044" s="387" t="str">
        <f t="shared" si="746"/>
        <v/>
      </c>
      <c r="CN1044" s="387" t="str">
        <f t="shared" si="747"/>
        <v>0348-31</v>
      </c>
    </row>
    <row r="1045" spans="1:92" ht="15.75" thickBot="1" x14ac:dyDescent="0.3">
      <c r="A1045" s="376" t="s">
        <v>161</v>
      </c>
      <c r="B1045" s="376" t="s">
        <v>162</v>
      </c>
      <c r="C1045" s="376" t="s">
        <v>2228</v>
      </c>
      <c r="D1045" s="376" t="s">
        <v>862</v>
      </c>
      <c r="E1045" s="376" t="s">
        <v>224</v>
      </c>
      <c r="F1045" s="382" t="s">
        <v>225</v>
      </c>
      <c r="G1045" s="376" t="s">
        <v>1945</v>
      </c>
      <c r="H1045" s="378"/>
      <c r="I1045" s="378"/>
      <c r="J1045" s="376" t="s">
        <v>215</v>
      </c>
      <c r="K1045" s="376" t="s">
        <v>863</v>
      </c>
      <c r="L1045" s="376" t="s">
        <v>252</v>
      </c>
      <c r="M1045" s="376" t="s">
        <v>171</v>
      </c>
      <c r="N1045" s="376" t="s">
        <v>172</v>
      </c>
      <c r="O1045" s="379">
        <v>1</v>
      </c>
      <c r="P1045" s="385">
        <v>1</v>
      </c>
      <c r="Q1045" s="385">
        <v>1</v>
      </c>
      <c r="R1045" s="380">
        <v>80</v>
      </c>
      <c r="S1045" s="385">
        <v>1</v>
      </c>
      <c r="T1045" s="380">
        <v>36431.24</v>
      </c>
      <c r="U1045" s="380">
        <v>21.67</v>
      </c>
      <c r="V1045" s="380">
        <v>19242.53</v>
      </c>
      <c r="W1045" s="380">
        <v>39062.400000000001</v>
      </c>
      <c r="X1045" s="380">
        <v>20097.2</v>
      </c>
      <c r="Y1045" s="380">
        <v>39062.400000000001</v>
      </c>
      <c r="Z1045" s="380">
        <v>19933.150000000001</v>
      </c>
      <c r="AA1045" s="376" t="s">
        <v>2229</v>
      </c>
      <c r="AB1045" s="376" t="s">
        <v>2230</v>
      </c>
      <c r="AC1045" s="376" t="s">
        <v>855</v>
      </c>
      <c r="AD1045" s="376" t="s">
        <v>170</v>
      </c>
      <c r="AE1045" s="376" t="s">
        <v>863</v>
      </c>
      <c r="AF1045" s="376" t="s">
        <v>393</v>
      </c>
      <c r="AG1045" s="376" t="s">
        <v>178</v>
      </c>
      <c r="AH1045" s="381">
        <v>18.78</v>
      </c>
      <c r="AI1045" s="381">
        <v>2400.8000000000002</v>
      </c>
      <c r="AJ1045" s="376" t="s">
        <v>179</v>
      </c>
      <c r="AK1045" s="376" t="s">
        <v>180</v>
      </c>
      <c r="AL1045" s="376" t="s">
        <v>181</v>
      </c>
      <c r="AM1045" s="376" t="s">
        <v>182</v>
      </c>
      <c r="AN1045" s="376" t="s">
        <v>68</v>
      </c>
      <c r="AO1045" s="379">
        <v>80</v>
      </c>
      <c r="AP1045" s="385">
        <v>1</v>
      </c>
      <c r="AQ1045" s="385">
        <v>1</v>
      </c>
      <c r="AR1045" s="383" t="s">
        <v>183</v>
      </c>
      <c r="AS1045" s="387">
        <f t="shared" si="731"/>
        <v>1</v>
      </c>
      <c r="AT1045">
        <f t="shared" si="732"/>
        <v>1</v>
      </c>
      <c r="AU1045" s="387">
        <f>IF(AT1045=0,"",IF(AND(AT1045=1,M1045="F",SUMIF(C2:C1334,C1045,AS2:AS1334)&lt;=1),SUMIF(C2:C1334,C1045,AS2:AS1334),IF(AND(AT1045=1,M1045="F",SUMIF(C2:C1334,C1045,AS2:AS1334)&gt;1),1,"")))</f>
        <v>1</v>
      </c>
      <c r="AV1045" s="387" t="str">
        <f>IF(AT1045=0,"",IF(AND(AT1045=3,M1045="F",SUMIF(C2:C1334,C1045,AS2:AS1334)&lt;=1),SUMIF(C2:C1334,C1045,AS2:AS1334),IF(AND(AT1045=3,M1045="F",SUMIF(C2:C1334,C1045,AS2:AS1334)&gt;1),1,"")))</f>
        <v/>
      </c>
      <c r="AW1045" s="387">
        <f>SUMIF(C2:C1334,C1045,O2:O1334)</f>
        <v>1</v>
      </c>
      <c r="AX1045" s="387">
        <f>IF(AND(M1045="F",AS1045&lt;&gt;0),SUMIF(C2:C1334,C1045,W2:W1334),0)</f>
        <v>39062.400000000001</v>
      </c>
      <c r="AY1045" s="387">
        <f t="shared" si="733"/>
        <v>39062.400000000001</v>
      </c>
      <c r="AZ1045" s="387" t="str">
        <f t="shared" si="734"/>
        <v/>
      </c>
      <c r="BA1045" s="387">
        <f t="shared" si="735"/>
        <v>0</v>
      </c>
      <c r="BB1045" s="387">
        <f t="shared" si="704"/>
        <v>11650</v>
      </c>
      <c r="BC1045" s="387">
        <f t="shared" si="705"/>
        <v>0</v>
      </c>
      <c r="BD1045" s="387">
        <f t="shared" si="706"/>
        <v>2421.8688000000002</v>
      </c>
      <c r="BE1045" s="387">
        <f t="shared" si="707"/>
        <v>566.40480000000002</v>
      </c>
      <c r="BF1045" s="387">
        <f t="shared" si="708"/>
        <v>4664.0505600000006</v>
      </c>
      <c r="BG1045" s="387">
        <f t="shared" si="709"/>
        <v>281.639904</v>
      </c>
      <c r="BH1045" s="387">
        <f t="shared" si="710"/>
        <v>191.40576000000001</v>
      </c>
      <c r="BI1045" s="387">
        <f t="shared" si="711"/>
        <v>216.210384</v>
      </c>
      <c r="BJ1045" s="387">
        <f t="shared" si="712"/>
        <v>105.46848000000001</v>
      </c>
      <c r="BK1045" s="387">
        <f t="shared" si="713"/>
        <v>0</v>
      </c>
      <c r="BL1045" s="387">
        <f t="shared" si="736"/>
        <v>8447.0486880000008</v>
      </c>
      <c r="BM1045" s="387">
        <f t="shared" si="737"/>
        <v>0</v>
      </c>
      <c r="BN1045" s="387">
        <f t="shared" si="714"/>
        <v>11650</v>
      </c>
      <c r="BO1045" s="387">
        <f t="shared" si="715"/>
        <v>0</v>
      </c>
      <c r="BP1045" s="387">
        <f t="shared" si="716"/>
        <v>2421.8688000000002</v>
      </c>
      <c r="BQ1045" s="387">
        <f t="shared" si="717"/>
        <v>566.40480000000002</v>
      </c>
      <c r="BR1045" s="387">
        <f t="shared" si="718"/>
        <v>4664.0505600000006</v>
      </c>
      <c r="BS1045" s="387">
        <f t="shared" si="719"/>
        <v>281.639904</v>
      </c>
      <c r="BT1045" s="387">
        <f t="shared" si="720"/>
        <v>0</v>
      </c>
      <c r="BU1045" s="387">
        <f t="shared" si="721"/>
        <v>216.210384</v>
      </c>
      <c r="BV1045" s="387">
        <f t="shared" si="722"/>
        <v>132.81216000000001</v>
      </c>
      <c r="BW1045" s="387">
        <f t="shared" si="723"/>
        <v>0</v>
      </c>
      <c r="BX1045" s="387">
        <f t="shared" si="738"/>
        <v>8282.9866080000011</v>
      </c>
      <c r="BY1045" s="387">
        <f t="shared" si="739"/>
        <v>0</v>
      </c>
      <c r="BZ1045" s="387">
        <f t="shared" si="740"/>
        <v>0</v>
      </c>
      <c r="CA1045" s="387">
        <f t="shared" si="741"/>
        <v>0</v>
      </c>
      <c r="CB1045" s="387">
        <f t="shared" si="742"/>
        <v>0</v>
      </c>
      <c r="CC1045" s="387">
        <f t="shared" si="724"/>
        <v>0</v>
      </c>
      <c r="CD1045" s="387">
        <f t="shared" si="725"/>
        <v>0</v>
      </c>
      <c r="CE1045" s="387">
        <f t="shared" si="726"/>
        <v>0</v>
      </c>
      <c r="CF1045" s="387">
        <f t="shared" si="727"/>
        <v>-191.40576000000001</v>
      </c>
      <c r="CG1045" s="387">
        <f t="shared" si="728"/>
        <v>0</v>
      </c>
      <c r="CH1045" s="387">
        <f t="shared" si="729"/>
        <v>27.343679999999988</v>
      </c>
      <c r="CI1045" s="387">
        <f t="shared" si="730"/>
        <v>0</v>
      </c>
      <c r="CJ1045" s="387">
        <f t="shared" si="743"/>
        <v>-164.06208000000004</v>
      </c>
      <c r="CK1045" s="387" t="str">
        <f t="shared" si="744"/>
        <v/>
      </c>
      <c r="CL1045" s="387" t="str">
        <f t="shared" si="745"/>
        <v/>
      </c>
      <c r="CM1045" s="387" t="str">
        <f t="shared" si="746"/>
        <v/>
      </c>
      <c r="CN1045" s="387" t="str">
        <f t="shared" si="747"/>
        <v>0348-31</v>
      </c>
    </row>
    <row r="1046" spans="1:92" ht="15.75" thickBot="1" x14ac:dyDescent="0.3">
      <c r="A1046" s="376" t="s">
        <v>161</v>
      </c>
      <c r="B1046" s="376" t="s">
        <v>162</v>
      </c>
      <c r="C1046" s="376" t="s">
        <v>2231</v>
      </c>
      <c r="D1046" s="376" t="s">
        <v>862</v>
      </c>
      <c r="E1046" s="376" t="s">
        <v>224</v>
      </c>
      <c r="F1046" s="382" t="s">
        <v>225</v>
      </c>
      <c r="G1046" s="376" t="s">
        <v>1945</v>
      </c>
      <c r="H1046" s="378"/>
      <c r="I1046" s="378"/>
      <c r="J1046" s="376" t="s">
        <v>215</v>
      </c>
      <c r="K1046" s="376" t="s">
        <v>863</v>
      </c>
      <c r="L1046" s="376" t="s">
        <v>252</v>
      </c>
      <c r="M1046" s="376" t="s">
        <v>171</v>
      </c>
      <c r="N1046" s="376" t="s">
        <v>172</v>
      </c>
      <c r="O1046" s="379">
        <v>1</v>
      </c>
      <c r="P1046" s="385">
        <v>1</v>
      </c>
      <c r="Q1046" s="385">
        <v>1</v>
      </c>
      <c r="R1046" s="380">
        <v>80</v>
      </c>
      <c r="S1046" s="385">
        <v>1</v>
      </c>
      <c r="T1046" s="380">
        <v>31901.87</v>
      </c>
      <c r="U1046" s="380">
        <v>196.06</v>
      </c>
      <c r="V1046" s="380">
        <v>18325.23</v>
      </c>
      <c r="W1046" s="380">
        <v>38542.400000000001</v>
      </c>
      <c r="X1046" s="380">
        <v>19984.759999999998</v>
      </c>
      <c r="Y1046" s="380">
        <v>38542.400000000001</v>
      </c>
      <c r="Z1046" s="380">
        <v>19822.89</v>
      </c>
      <c r="AA1046" s="376" t="s">
        <v>2232</v>
      </c>
      <c r="AB1046" s="376" t="s">
        <v>2233</v>
      </c>
      <c r="AC1046" s="376" t="s">
        <v>441</v>
      </c>
      <c r="AD1046" s="376" t="s">
        <v>2130</v>
      </c>
      <c r="AE1046" s="376" t="s">
        <v>863</v>
      </c>
      <c r="AF1046" s="376" t="s">
        <v>393</v>
      </c>
      <c r="AG1046" s="376" t="s">
        <v>178</v>
      </c>
      <c r="AH1046" s="381">
        <v>18.53</v>
      </c>
      <c r="AI1046" s="379">
        <v>1440</v>
      </c>
      <c r="AJ1046" s="376" t="s">
        <v>179</v>
      </c>
      <c r="AK1046" s="376" t="s">
        <v>180</v>
      </c>
      <c r="AL1046" s="376" t="s">
        <v>181</v>
      </c>
      <c r="AM1046" s="376" t="s">
        <v>182</v>
      </c>
      <c r="AN1046" s="376" t="s">
        <v>68</v>
      </c>
      <c r="AO1046" s="379">
        <v>80</v>
      </c>
      <c r="AP1046" s="385">
        <v>1</v>
      </c>
      <c r="AQ1046" s="385">
        <v>1</v>
      </c>
      <c r="AR1046" s="383" t="s">
        <v>183</v>
      </c>
      <c r="AS1046" s="387">
        <f t="shared" si="731"/>
        <v>1</v>
      </c>
      <c r="AT1046">
        <f t="shared" si="732"/>
        <v>1</v>
      </c>
      <c r="AU1046" s="387">
        <f>IF(AT1046=0,"",IF(AND(AT1046=1,M1046="F",SUMIF(C2:C1334,C1046,AS2:AS1334)&lt;=1),SUMIF(C2:C1334,C1046,AS2:AS1334),IF(AND(AT1046=1,M1046="F",SUMIF(C2:C1334,C1046,AS2:AS1334)&gt;1),1,"")))</f>
        <v>1</v>
      </c>
      <c r="AV1046" s="387" t="str">
        <f>IF(AT1046=0,"",IF(AND(AT1046=3,M1046="F",SUMIF(C2:C1334,C1046,AS2:AS1334)&lt;=1),SUMIF(C2:C1334,C1046,AS2:AS1334),IF(AND(AT1046=3,M1046="F",SUMIF(C2:C1334,C1046,AS2:AS1334)&gt;1),1,"")))</f>
        <v/>
      </c>
      <c r="AW1046" s="387">
        <f>SUMIF(C2:C1334,C1046,O2:O1334)</f>
        <v>1</v>
      </c>
      <c r="AX1046" s="387">
        <f>IF(AND(M1046="F",AS1046&lt;&gt;0),SUMIF(C2:C1334,C1046,W2:W1334),0)</f>
        <v>38542.400000000001</v>
      </c>
      <c r="AY1046" s="387">
        <f t="shared" si="733"/>
        <v>38542.400000000001</v>
      </c>
      <c r="AZ1046" s="387" t="str">
        <f t="shared" si="734"/>
        <v/>
      </c>
      <c r="BA1046" s="387">
        <f t="shared" si="735"/>
        <v>0</v>
      </c>
      <c r="BB1046" s="387">
        <f t="shared" si="704"/>
        <v>11650</v>
      </c>
      <c r="BC1046" s="387">
        <f t="shared" si="705"/>
        <v>0</v>
      </c>
      <c r="BD1046" s="387">
        <f t="shared" si="706"/>
        <v>2389.6288</v>
      </c>
      <c r="BE1046" s="387">
        <f t="shared" si="707"/>
        <v>558.86480000000006</v>
      </c>
      <c r="BF1046" s="387">
        <f t="shared" si="708"/>
        <v>4601.9625600000008</v>
      </c>
      <c r="BG1046" s="387">
        <f t="shared" si="709"/>
        <v>277.89070400000003</v>
      </c>
      <c r="BH1046" s="387">
        <f t="shared" si="710"/>
        <v>188.85776000000001</v>
      </c>
      <c r="BI1046" s="387">
        <f t="shared" si="711"/>
        <v>213.33218400000001</v>
      </c>
      <c r="BJ1046" s="387">
        <f t="shared" si="712"/>
        <v>104.06448</v>
      </c>
      <c r="BK1046" s="387">
        <f t="shared" si="713"/>
        <v>0</v>
      </c>
      <c r="BL1046" s="387">
        <f t="shared" si="736"/>
        <v>8334.6012880000017</v>
      </c>
      <c r="BM1046" s="387">
        <f t="shared" si="737"/>
        <v>0</v>
      </c>
      <c r="BN1046" s="387">
        <f t="shared" si="714"/>
        <v>11650</v>
      </c>
      <c r="BO1046" s="387">
        <f t="shared" si="715"/>
        <v>0</v>
      </c>
      <c r="BP1046" s="387">
        <f t="shared" si="716"/>
        <v>2389.6288</v>
      </c>
      <c r="BQ1046" s="387">
        <f t="shared" si="717"/>
        <v>558.86480000000006</v>
      </c>
      <c r="BR1046" s="387">
        <f t="shared" si="718"/>
        <v>4601.9625600000008</v>
      </c>
      <c r="BS1046" s="387">
        <f t="shared" si="719"/>
        <v>277.89070400000003</v>
      </c>
      <c r="BT1046" s="387">
        <f t="shared" si="720"/>
        <v>0</v>
      </c>
      <c r="BU1046" s="387">
        <f t="shared" si="721"/>
        <v>213.33218400000001</v>
      </c>
      <c r="BV1046" s="387">
        <f t="shared" si="722"/>
        <v>131.04416000000001</v>
      </c>
      <c r="BW1046" s="387">
        <f t="shared" si="723"/>
        <v>0</v>
      </c>
      <c r="BX1046" s="387">
        <f t="shared" si="738"/>
        <v>8172.7232080000013</v>
      </c>
      <c r="BY1046" s="387">
        <f t="shared" si="739"/>
        <v>0</v>
      </c>
      <c r="BZ1046" s="387">
        <f t="shared" si="740"/>
        <v>0</v>
      </c>
      <c r="CA1046" s="387">
        <f t="shared" si="741"/>
        <v>0</v>
      </c>
      <c r="CB1046" s="387">
        <f t="shared" si="742"/>
        <v>0</v>
      </c>
      <c r="CC1046" s="387">
        <f t="shared" si="724"/>
        <v>0</v>
      </c>
      <c r="CD1046" s="387">
        <f t="shared" si="725"/>
        <v>0</v>
      </c>
      <c r="CE1046" s="387">
        <f t="shared" si="726"/>
        <v>0</v>
      </c>
      <c r="CF1046" s="387">
        <f t="shared" si="727"/>
        <v>-188.85776000000001</v>
      </c>
      <c r="CG1046" s="387">
        <f t="shared" si="728"/>
        <v>0</v>
      </c>
      <c r="CH1046" s="387">
        <f t="shared" si="729"/>
        <v>26.979679999999988</v>
      </c>
      <c r="CI1046" s="387">
        <f t="shared" si="730"/>
        <v>0</v>
      </c>
      <c r="CJ1046" s="387">
        <f t="shared" si="743"/>
        <v>-161.87808000000001</v>
      </c>
      <c r="CK1046" s="387" t="str">
        <f t="shared" si="744"/>
        <v/>
      </c>
      <c r="CL1046" s="387" t="str">
        <f t="shared" si="745"/>
        <v/>
      </c>
      <c r="CM1046" s="387" t="str">
        <f t="shared" si="746"/>
        <v/>
      </c>
      <c r="CN1046" s="387" t="str">
        <f t="shared" si="747"/>
        <v>0348-31</v>
      </c>
    </row>
    <row r="1047" spans="1:92" ht="15.75" thickBot="1" x14ac:dyDescent="0.3">
      <c r="A1047" s="376" t="s">
        <v>161</v>
      </c>
      <c r="B1047" s="376" t="s">
        <v>162</v>
      </c>
      <c r="C1047" s="376" t="s">
        <v>1222</v>
      </c>
      <c r="D1047" s="376" t="s">
        <v>868</v>
      </c>
      <c r="E1047" s="376" t="s">
        <v>224</v>
      </c>
      <c r="F1047" s="382" t="s">
        <v>225</v>
      </c>
      <c r="G1047" s="376" t="s">
        <v>1945</v>
      </c>
      <c r="H1047" s="378"/>
      <c r="I1047" s="378"/>
      <c r="J1047" s="376" t="s">
        <v>215</v>
      </c>
      <c r="K1047" s="376" t="s">
        <v>894</v>
      </c>
      <c r="L1047" s="376" t="s">
        <v>170</v>
      </c>
      <c r="M1047" s="376" t="s">
        <v>171</v>
      </c>
      <c r="N1047" s="376" t="s">
        <v>172</v>
      </c>
      <c r="O1047" s="379">
        <v>1</v>
      </c>
      <c r="P1047" s="385">
        <v>1</v>
      </c>
      <c r="Q1047" s="385">
        <v>1</v>
      </c>
      <c r="R1047" s="380">
        <v>80</v>
      </c>
      <c r="S1047" s="385">
        <v>1</v>
      </c>
      <c r="T1047" s="380">
        <v>0</v>
      </c>
      <c r="U1047" s="380">
        <v>0</v>
      </c>
      <c r="V1047" s="380">
        <v>0</v>
      </c>
      <c r="W1047" s="380">
        <v>62067.199999999997</v>
      </c>
      <c r="X1047" s="380">
        <v>25072</v>
      </c>
      <c r="Y1047" s="380">
        <v>62067.199999999997</v>
      </c>
      <c r="Z1047" s="380">
        <v>24811.32</v>
      </c>
      <c r="AA1047" s="376" t="s">
        <v>1223</v>
      </c>
      <c r="AB1047" s="376" t="s">
        <v>1224</v>
      </c>
      <c r="AC1047" s="376" t="s">
        <v>458</v>
      </c>
      <c r="AD1047" s="376" t="s">
        <v>1225</v>
      </c>
      <c r="AE1047" s="376" t="s">
        <v>894</v>
      </c>
      <c r="AF1047" s="376" t="s">
        <v>177</v>
      </c>
      <c r="AG1047" s="376" t="s">
        <v>178</v>
      </c>
      <c r="AH1047" s="381">
        <v>29.84</v>
      </c>
      <c r="AI1047" s="381">
        <v>24738.799999999999</v>
      </c>
      <c r="AJ1047" s="376" t="s">
        <v>179</v>
      </c>
      <c r="AK1047" s="376" t="s">
        <v>180</v>
      </c>
      <c r="AL1047" s="376" t="s">
        <v>181</v>
      </c>
      <c r="AM1047" s="376" t="s">
        <v>182</v>
      </c>
      <c r="AN1047" s="376" t="s">
        <v>68</v>
      </c>
      <c r="AO1047" s="379">
        <v>80</v>
      </c>
      <c r="AP1047" s="385">
        <v>1</v>
      </c>
      <c r="AQ1047" s="385">
        <v>1</v>
      </c>
      <c r="AR1047" s="383" t="s">
        <v>183</v>
      </c>
      <c r="AS1047" s="387">
        <f t="shared" si="731"/>
        <v>1</v>
      </c>
      <c r="AT1047">
        <f t="shared" si="732"/>
        <v>1</v>
      </c>
      <c r="AU1047" s="387">
        <f>IF(AT1047=0,"",IF(AND(AT1047=1,M1047="F",SUMIF(C2:C1334,C1047,AS2:AS1334)&lt;=1),SUMIF(C2:C1334,C1047,AS2:AS1334),IF(AND(AT1047=1,M1047="F",SUMIF(C2:C1334,C1047,AS2:AS1334)&gt;1),1,"")))</f>
        <v>1</v>
      </c>
      <c r="AV1047" s="387" t="str">
        <f>IF(AT1047=0,"",IF(AND(AT1047=3,M1047="F",SUMIF(C2:C1334,C1047,AS2:AS1334)&lt;=1),SUMIF(C2:C1334,C1047,AS2:AS1334),IF(AND(AT1047=3,M1047="F",SUMIF(C2:C1334,C1047,AS2:AS1334)&gt;1),1,"")))</f>
        <v/>
      </c>
      <c r="AW1047" s="387">
        <f>SUMIF(C2:C1334,C1047,O2:O1334)</f>
        <v>2</v>
      </c>
      <c r="AX1047" s="387">
        <f>IF(AND(M1047="F",AS1047&lt;&gt;0),SUMIF(C2:C1334,C1047,W2:W1334),0)</f>
        <v>62067.199999999997</v>
      </c>
      <c r="AY1047" s="387">
        <f t="shared" si="733"/>
        <v>62067.199999999997</v>
      </c>
      <c r="AZ1047" s="387" t="str">
        <f t="shared" si="734"/>
        <v/>
      </c>
      <c r="BA1047" s="387">
        <f t="shared" si="735"/>
        <v>0</v>
      </c>
      <c r="BB1047" s="387">
        <f t="shared" si="704"/>
        <v>11650</v>
      </c>
      <c r="BC1047" s="387">
        <f t="shared" si="705"/>
        <v>0</v>
      </c>
      <c r="BD1047" s="387">
        <f t="shared" si="706"/>
        <v>3848.1663999999996</v>
      </c>
      <c r="BE1047" s="387">
        <f t="shared" si="707"/>
        <v>899.97440000000006</v>
      </c>
      <c r="BF1047" s="387">
        <f t="shared" si="708"/>
        <v>7410.8236800000004</v>
      </c>
      <c r="BG1047" s="387">
        <f t="shared" si="709"/>
        <v>447.50451199999998</v>
      </c>
      <c r="BH1047" s="387">
        <f t="shared" si="710"/>
        <v>304.12927999999999</v>
      </c>
      <c r="BI1047" s="387">
        <f t="shared" si="711"/>
        <v>343.54195199999998</v>
      </c>
      <c r="BJ1047" s="387">
        <f t="shared" si="712"/>
        <v>167.58144000000001</v>
      </c>
      <c r="BK1047" s="387">
        <f t="shared" si="713"/>
        <v>0</v>
      </c>
      <c r="BL1047" s="387">
        <f t="shared" si="736"/>
        <v>13421.721663999997</v>
      </c>
      <c r="BM1047" s="387">
        <f t="shared" si="737"/>
        <v>0</v>
      </c>
      <c r="BN1047" s="387">
        <f t="shared" si="714"/>
        <v>11650</v>
      </c>
      <c r="BO1047" s="387">
        <f t="shared" si="715"/>
        <v>0</v>
      </c>
      <c r="BP1047" s="387">
        <f t="shared" si="716"/>
        <v>3848.1663999999996</v>
      </c>
      <c r="BQ1047" s="387">
        <f t="shared" si="717"/>
        <v>899.97440000000006</v>
      </c>
      <c r="BR1047" s="387">
        <f t="shared" si="718"/>
        <v>7410.8236800000004</v>
      </c>
      <c r="BS1047" s="387">
        <f t="shared" si="719"/>
        <v>447.50451199999998</v>
      </c>
      <c r="BT1047" s="387">
        <f t="shared" si="720"/>
        <v>0</v>
      </c>
      <c r="BU1047" s="387">
        <f t="shared" si="721"/>
        <v>343.54195199999998</v>
      </c>
      <c r="BV1047" s="387">
        <f t="shared" si="722"/>
        <v>211.02847999999997</v>
      </c>
      <c r="BW1047" s="387">
        <f t="shared" si="723"/>
        <v>0</v>
      </c>
      <c r="BX1047" s="387">
        <f t="shared" si="738"/>
        <v>13161.039423999999</v>
      </c>
      <c r="BY1047" s="387">
        <f t="shared" si="739"/>
        <v>0</v>
      </c>
      <c r="BZ1047" s="387">
        <f t="shared" si="740"/>
        <v>0</v>
      </c>
      <c r="CA1047" s="387">
        <f t="shared" si="741"/>
        <v>0</v>
      </c>
      <c r="CB1047" s="387">
        <f t="shared" si="742"/>
        <v>0</v>
      </c>
      <c r="CC1047" s="387">
        <f t="shared" si="724"/>
        <v>0</v>
      </c>
      <c r="CD1047" s="387">
        <f t="shared" si="725"/>
        <v>0</v>
      </c>
      <c r="CE1047" s="387">
        <f t="shared" si="726"/>
        <v>0</v>
      </c>
      <c r="CF1047" s="387">
        <f t="shared" si="727"/>
        <v>-304.12927999999999</v>
      </c>
      <c r="CG1047" s="387">
        <f t="shared" si="728"/>
        <v>0</v>
      </c>
      <c r="CH1047" s="387">
        <f t="shared" si="729"/>
        <v>43.44703999999998</v>
      </c>
      <c r="CI1047" s="387">
        <f t="shared" si="730"/>
        <v>0</v>
      </c>
      <c r="CJ1047" s="387">
        <f t="shared" si="743"/>
        <v>-260.68224000000004</v>
      </c>
      <c r="CK1047" s="387" t="str">
        <f t="shared" si="744"/>
        <v/>
      </c>
      <c r="CL1047" s="387" t="str">
        <f t="shared" si="745"/>
        <v/>
      </c>
      <c r="CM1047" s="387" t="str">
        <f t="shared" si="746"/>
        <v/>
      </c>
      <c r="CN1047" s="387" t="str">
        <f t="shared" si="747"/>
        <v>0348-31</v>
      </c>
    </row>
    <row r="1048" spans="1:92" ht="15.75" thickBot="1" x14ac:dyDescent="0.3">
      <c r="A1048" s="376" t="s">
        <v>161</v>
      </c>
      <c r="B1048" s="376" t="s">
        <v>162</v>
      </c>
      <c r="C1048" s="376" t="s">
        <v>2234</v>
      </c>
      <c r="D1048" s="376" t="s">
        <v>238</v>
      </c>
      <c r="E1048" s="376" t="s">
        <v>224</v>
      </c>
      <c r="F1048" s="382" t="s">
        <v>225</v>
      </c>
      <c r="G1048" s="376" t="s">
        <v>1945</v>
      </c>
      <c r="H1048" s="378"/>
      <c r="I1048" s="378"/>
      <c r="J1048" s="376" t="s">
        <v>215</v>
      </c>
      <c r="K1048" s="376" t="s">
        <v>285</v>
      </c>
      <c r="L1048" s="376" t="s">
        <v>170</v>
      </c>
      <c r="M1048" s="376" t="s">
        <v>272</v>
      </c>
      <c r="N1048" s="376" t="s">
        <v>172</v>
      </c>
      <c r="O1048" s="379">
        <v>0</v>
      </c>
      <c r="P1048" s="385">
        <v>1</v>
      </c>
      <c r="Q1048" s="385">
        <v>1</v>
      </c>
      <c r="R1048" s="380">
        <v>80</v>
      </c>
      <c r="S1048" s="385">
        <v>1</v>
      </c>
      <c r="T1048" s="380">
        <v>0</v>
      </c>
      <c r="U1048" s="380">
        <v>0</v>
      </c>
      <c r="V1048" s="380">
        <v>0</v>
      </c>
      <c r="W1048" s="380">
        <v>53476.800000000003</v>
      </c>
      <c r="X1048" s="380">
        <v>23422.83</v>
      </c>
      <c r="Y1048" s="380">
        <v>53476.800000000003</v>
      </c>
      <c r="Z1048" s="380">
        <v>23155.45</v>
      </c>
      <c r="AA1048" s="378"/>
      <c r="AB1048" s="376" t="s">
        <v>45</v>
      </c>
      <c r="AC1048" s="376" t="s">
        <v>45</v>
      </c>
      <c r="AD1048" s="378"/>
      <c r="AE1048" s="378"/>
      <c r="AF1048" s="378"/>
      <c r="AG1048" s="378"/>
      <c r="AH1048" s="379">
        <v>0</v>
      </c>
      <c r="AI1048" s="379">
        <v>0</v>
      </c>
      <c r="AJ1048" s="378"/>
      <c r="AK1048" s="378"/>
      <c r="AL1048" s="376" t="s">
        <v>181</v>
      </c>
      <c r="AM1048" s="378"/>
      <c r="AN1048" s="378"/>
      <c r="AO1048" s="379">
        <v>0</v>
      </c>
      <c r="AP1048" s="385">
        <v>0</v>
      </c>
      <c r="AQ1048" s="385">
        <v>0</v>
      </c>
      <c r="AR1048" s="384"/>
      <c r="AS1048" s="387">
        <f t="shared" si="731"/>
        <v>0</v>
      </c>
      <c r="AT1048">
        <f t="shared" si="732"/>
        <v>0</v>
      </c>
      <c r="AU1048" s="387" t="str">
        <f>IF(AT1048=0,"",IF(AND(AT1048=1,M1048="F",SUMIF(C2:C1334,C1048,AS2:AS1334)&lt;=1),SUMIF(C2:C1334,C1048,AS2:AS1334),IF(AND(AT1048=1,M1048="F",SUMIF(C2:C1334,C1048,AS2:AS1334)&gt;1),1,"")))</f>
        <v/>
      </c>
      <c r="AV1048" s="387" t="str">
        <f>IF(AT1048=0,"",IF(AND(AT1048=3,M1048="F",SUMIF(C2:C1334,C1048,AS2:AS1334)&lt;=1),SUMIF(C2:C1334,C1048,AS2:AS1334),IF(AND(AT1048=3,M1048="F",SUMIF(C2:C1334,C1048,AS2:AS1334)&gt;1),1,"")))</f>
        <v/>
      </c>
      <c r="AW1048" s="387">
        <f>SUMIF(C2:C1334,C1048,O2:O1334)</f>
        <v>0</v>
      </c>
      <c r="AX1048" s="387">
        <f>IF(AND(M1048="F",AS1048&lt;&gt;0),SUMIF(C2:C1334,C1048,W2:W1334),0)</f>
        <v>0</v>
      </c>
      <c r="AY1048" s="387" t="str">
        <f t="shared" si="733"/>
        <v/>
      </c>
      <c r="AZ1048" s="387" t="str">
        <f t="shared" si="734"/>
        <v/>
      </c>
      <c r="BA1048" s="387">
        <f t="shared" si="735"/>
        <v>0</v>
      </c>
      <c r="BB1048" s="387">
        <f t="shared" si="704"/>
        <v>0</v>
      </c>
      <c r="BC1048" s="387">
        <f t="shared" si="705"/>
        <v>0</v>
      </c>
      <c r="BD1048" s="387">
        <f t="shared" si="706"/>
        <v>0</v>
      </c>
      <c r="BE1048" s="387">
        <f t="shared" si="707"/>
        <v>0</v>
      </c>
      <c r="BF1048" s="387">
        <f t="shared" si="708"/>
        <v>0</v>
      </c>
      <c r="BG1048" s="387">
        <f t="shared" si="709"/>
        <v>0</v>
      </c>
      <c r="BH1048" s="387">
        <f t="shared" si="710"/>
        <v>0</v>
      </c>
      <c r="BI1048" s="387">
        <f t="shared" si="711"/>
        <v>0</v>
      </c>
      <c r="BJ1048" s="387">
        <f t="shared" si="712"/>
        <v>0</v>
      </c>
      <c r="BK1048" s="387">
        <f t="shared" si="713"/>
        <v>0</v>
      </c>
      <c r="BL1048" s="387">
        <f t="shared" si="736"/>
        <v>0</v>
      </c>
      <c r="BM1048" s="387">
        <f t="shared" si="737"/>
        <v>0</v>
      </c>
      <c r="BN1048" s="387">
        <f t="shared" si="714"/>
        <v>0</v>
      </c>
      <c r="BO1048" s="387">
        <f t="shared" si="715"/>
        <v>0</v>
      </c>
      <c r="BP1048" s="387">
        <f t="shared" si="716"/>
        <v>0</v>
      </c>
      <c r="BQ1048" s="387">
        <f t="shared" si="717"/>
        <v>0</v>
      </c>
      <c r="BR1048" s="387">
        <f t="shared" si="718"/>
        <v>0</v>
      </c>
      <c r="BS1048" s="387">
        <f t="shared" si="719"/>
        <v>0</v>
      </c>
      <c r="BT1048" s="387">
        <f t="shared" si="720"/>
        <v>0</v>
      </c>
      <c r="BU1048" s="387">
        <f t="shared" si="721"/>
        <v>0</v>
      </c>
      <c r="BV1048" s="387">
        <f t="shared" si="722"/>
        <v>0</v>
      </c>
      <c r="BW1048" s="387">
        <f t="shared" si="723"/>
        <v>0</v>
      </c>
      <c r="BX1048" s="387">
        <f t="shared" si="738"/>
        <v>0</v>
      </c>
      <c r="BY1048" s="387">
        <f t="shared" si="739"/>
        <v>0</v>
      </c>
      <c r="BZ1048" s="387">
        <f t="shared" si="740"/>
        <v>0</v>
      </c>
      <c r="CA1048" s="387">
        <f t="shared" si="741"/>
        <v>0</v>
      </c>
      <c r="CB1048" s="387">
        <f t="shared" si="742"/>
        <v>0</v>
      </c>
      <c r="CC1048" s="387">
        <f t="shared" si="724"/>
        <v>0</v>
      </c>
      <c r="CD1048" s="387">
        <f t="shared" si="725"/>
        <v>0</v>
      </c>
      <c r="CE1048" s="387">
        <f t="shared" si="726"/>
        <v>0</v>
      </c>
      <c r="CF1048" s="387">
        <f t="shared" si="727"/>
        <v>0</v>
      </c>
      <c r="CG1048" s="387">
        <f t="shared" si="728"/>
        <v>0</v>
      </c>
      <c r="CH1048" s="387">
        <f t="shared" si="729"/>
        <v>0</v>
      </c>
      <c r="CI1048" s="387">
        <f t="shared" si="730"/>
        <v>0</v>
      </c>
      <c r="CJ1048" s="387">
        <f t="shared" si="743"/>
        <v>0</v>
      </c>
      <c r="CK1048" s="387" t="str">
        <f t="shared" si="744"/>
        <v/>
      </c>
      <c r="CL1048" s="387" t="str">
        <f t="shared" si="745"/>
        <v/>
      </c>
      <c r="CM1048" s="387" t="str">
        <f t="shared" si="746"/>
        <v/>
      </c>
      <c r="CN1048" s="387" t="str">
        <f t="shared" si="747"/>
        <v>0348-31</v>
      </c>
    </row>
    <row r="1049" spans="1:92" ht="15.75" thickBot="1" x14ac:dyDescent="0.3">
      <c r="A1049" s="376" t="s">
        <v>161</v>
      </c>
      <c r="B1049" s="376" t="s">
        <v>162</v>
      </c>
      <c r="C1049" s="376" t="s">
        <v>503</v>
      </c>
      <c r="D1049" s="376" t="s">
        <v>504</v>
      </c>
      <c r="E1049" s="376" t="s">
        <v>224</v>
      </c>
      <c r="F1049" s="382" t="s">
        <v>225</v>
      </c>
      <c r="G1049" s="376" t="s">
        <v>1945</v>
      </c>
      <c r="H1049" s="378"/>
      <c r="I1049" s="378"/>
      <c r="J1049" s="376" t="s">
        <v>239</v>
      </c>
      <c r="K1049" s="376" t="s">
        <v>505</v>
      </c>
      <c r="L1049" s="376" t="s">
        <v>432</v>
      </c>
      <c r="M1049" s="376" t="s">
        <v>171</v>
      </c>
      <c r="N1049" s="376" t="s">
        <v>172</v>
      </c>
      <c r="O1049" s="379">
        <v>1</v>
      </c>
      <c r="P1049" s="385">
        <v>0.15</v>
      </c>
      <c r="Q1049" s="385">
        <v>0.15</v>
      </c>
      <c r="R1049" s="380">
        <v>80</v>
      </c>
      <c r="S1049" s="385">
        <v>0.15</v>
      </c>
      <c r="T1049" s="380">
        <v>40633.53</v>
      </c>
      <c r="U1049" s="380">
        <v>0</v>
      </c>
      <c r="V1049" s="380">
        <v>13113.05</v>
      </c>
      <c r="W1049" s="380">
        <v>16517.28</v>
      </c>
      <c r="X1049" s="380">
        <v>5319.35</v>
      </c>
      <c r="Y1049" s="380">
        <v>16517.28</v>
      </c>
      <c r="Z1049" s="380">
        <v>5249.98</v>
      </c>
      <c r="AA1049" s="376" t="s">
        <v>506</v>
      </c>
      <c r="AB1049" s="376" t="s">
        <v>507</v>
      </c>
      <c r="AC1049" s="376" t="s">
        <v>508</v>
      </c>
      <c r="AD1049" s="376" t="s">
        <v>324</v>
      </c>
      <c r="AE1049" s="376" t="s">
        <v>505</v>
      </c>
      <c r="AF1049" s="376" t="s">
        <v>436</v>
      </c>
      <c r="AG1049" s="376" t="s">
        <v>178</v>
      </c>
      <c r="AH1049" s="381">
        <v>52.94</v>
      </c>
      <c r="AI1049" s="381">
        <v>18153.5</v>
      </c>
      <c r="AJ1049" s="376" t="s">
        <v>179</v>
      </c>
      <c r="AK1049" s="376" t="s">
        <v>180</v>
      </c>
      <c r="AL1049" s="376" t="s">
        <v>181</v>
      </c>
      <c r="AM1049" s="376" t="s">
        <v>182</v>
      </c>
      <c r="AN1049" s="376" t="s">
        <v>68</v>
      </c>
      <c r="AO1049" s="379">
        <v>80</v>
      </c>
      <c r="AP1049" s="385">
        <v>1</v>
      </c>
      <c r="AQ1049" s="385">
        <v>0.15</v>
      </c>
      <c r="AR1049" s="383" t="s">
        <v>183</v>
      </c>
      <c r="AS1049" s="387">
        <f t="shared" si="731"/>
        <v>0.15</v>
      </c>
      <c r="AT1049">
        <f t="shared" si="732"/>
        <v>1</v>
      </c>
      <c r="AU1049" s="387">
        <f>IF(AT1049=0,"",IF(AND(AT1049=1,M1049="F",SUMIF(C2:C1334,C1049,AS2:AS1334)&lt;=1),SUMIF(C2:C1334,C1049,AS2:AS1334),IF(AND(AT1049=1,M1049="F",SUMIF(C2:C1334,C1049,AS2:AS1334)&gt;1),1,"")))</f>
        <v>1</v>
      </c>
      <c r="AV1049" s="387" t="str">
        <f>IF(AT1049=0,"",IF(AND(AT1049=3,M1049="F",SUMIF(C2:C1334,C1049,AS2:AS1334)&lt;=1),SUMIF(C2:C1334,C1049,AS2:AS1334),IF(AND(AT1049=3,M1049="F",SUMIF(C2:C1334,C1049,AS2:AS1334)&gt;1),1,"")))</f>
        <v/>
      </c>
      <c r="AW1049" s="387">
        <f>SUMIF(C2:C1334,C1049,O2:O1334)</f>
        <v>3</v>
      </c>
      <c r="AX1049" s="387">
        <f>IF(AND(M1049="F",AS1049&lt;&gt;0),SUMIF(C2:C1334,C1049,W2:W1334),0)</f>
        <v>110115.2</v>
      </c>
      <c r="AY1049" s="387">
        <f t="shared" si="733"/>
        <v>16517.28</v>
      </c>
      <c r="AZ1049" s="387" t="str">
        <f t="shared" si="734"/>
        <v/>
      </c>
      <c r="BA1049" s="387">
        <f t="shared" si="735"/>
        <v>0</v>
      </c>
      <c r="BB1049" s="387">
        <f t="shared" si="704"/>
        <v>1747.5</v>
      </c>
      <c r="BC1049" s="387">
        <f t="shared" si="705"/>
        <v>0</v>
      </c>
      <c r="BD1049" s="387">
        <f t="shared" si="706"/>
        <v>1024.0713599999999</v>
      </c>
      <c r="BE1049" s="387">
        <f t="shared" si="707"/>
        <v>239.50056000000001</v>
      </c>
      <c r="BF1049" s="387">
        <f t="shared" si="708"/>
        <v>1972.1632319999999</v>
      </c>
      <c r="BG1049" s="387">
        <f t="shared" si="709"/>
        <v>119.0895888</v>
      </c>
      <c r="BH1049" s="387">
        <f t="shared" si="710"/>
        <v>80.934671999999992</v>
      </c>
      <c r="BI1049" s="387">
        <f t="shared" si="711"/>
        <v>91.423144799999989</v>
      </c>
      <c r="BJ1049" s="387">
        <f t="shared" si="712"/>
        <v>44.596655999999996</v>
      </c>
      <c r="BK1049" s="387">
        <f t="shared" si="713"/>
        <v>0</v>
      </c>
      <c r="BL1049" s="387">
        <f t="shared" si="736"/>
        <v>3571.7792135999998</v>
      </c>
      <c r="BM1049" s="387">
        <f t="shared" si="737"/>
        <v>0</v>
      </c>
      <c r="BN1049" s="387">
        <f t="shared" si="714"/>
        <v>1747.5</v>
      </c>
      <c r="BO1049" s="387">
        <f t="shared" si="715"/>
        <v>0</v>
      </c>
      <c r="BP1049" s="387">
        <f t="shared" si="716"/>
        <v>1024.0713599999999</v>
      </c>
      <c r="BQ1049" s="387">
        <f t="shared" si="717"/>
        <v>239.50056000000001</v>
      </c>
      <c r="BR1049" s="387">
        <f t="shared" si="718"/>
        <v>1972.1632319999999</v>
      </c>
      <c r="BS1049" s="387">
        <f t="shared" si="719"/>
        <v>119.0895888</v>
      </c>
      <c r="BT1049" s="387">
        <f t="shared" si="720"/>
        <v>0</v>
      </c>
      <c r="BU1049" s="387">
        <f t="shared" si="721"/>
        <v>91.423144799999989</v>
      </c>
      <c r="BV1049" s="387">
        <f t="shared" si="722"/>
        <v>56.158751999999993</v>
      </c>
      <c r="BW1049" s="387">
        <f t="shared" si="723"/>
        <v>0</v>
      </c>
      <c r="BX1049" s="387">
        <f t="shared" si="738"/>
        <v>3502.4066375999996</v>
      </c>
      <c r="BY1049" s="387">
        <f t="shared" si="739"/>
        <v>0</v>
      </c>
      <c r="BZ1049" s="387">
        <f t="shared" si="740"/>
        <v>0</v>
      </c>
      <c r="CA1049" s="387">
        <f t="shared" si="741"/>
        <v>0</v>
      </c>
      <c r="CB1049" s="387">
        <f t="shared" si="742"/>
        <v>0</v>
      </c>
      <c r="CC1049" s="387">
        <f t="shared" si="724"/>
        <v>0</v>
      </c>
      <c r="CD1049" s="387">
        <f t="shared" si="725"/>
        <v>0</v>
      </c>
      <c r="CE1049" s="387">
        <f t="shared" si="726"/>
        <v>0</v>
      </c>
      <c r="CF1049" s="387">
        <f t="shared" si="727"/>
        <v>-80.934671999999992</v>
      </c>
      <c r="CG1049" s="387">
        <f t="shared" si="728"/>
        <v>0</v>
      </c>
      <c r="CH1049" s="387">
        <f t="shared" si="729"/>
        <v>11.562095999999993</v>
      </c>
      <c r="CI1049" s="387">
        <f t="shared" si="730"/>
        <v>0</v>
      </c>
      <c r="CJ1049" s="387">
        <f t="shared" si="743"/>
        <v>-69.372575999999995</v>
      </c>
      <c r="CK1049" s="387" t="str">
        <f t="shared" si="744"/>
        <v/>
      </c>
      <c r="CL1049" s="387" t="str">
        <f t="shared" si="745"/>
        <v/>
      </c>
      <c r="CM1049" s="387" t="str">
        <f t="shared" si="746"/>
        <v/>
      </c>
      <c r="CN1049" s="387" t="str">
        <f t="shared" si="747"/>
        <v>0348-31</v>
      </c>
    </row>
    <row r="1050" spans="1:92" ht="15.75" thickBot="1" x14ac:dyDescent="0.3">
      <c r="A1050" s="376" t="s">
        <v>161</v>
      </c>
      <c r="B1050" s="376" t="s">
        <v>162</v>
      </c>
      <c r="C1050" s="376" t="s">
        <v>2235</v>
      </c>
      <c r="D1050" s="376" t="s">
        <v>792</v>
      </c>
      <c r="E1050" s="376" t="s">
        <v>224</v>
      </c>
      <c r="F1050" s="382" t="s">
        <v>225</v>
      </c>
      <c r="G1050" s="376" t="s">
        <v>1945</v>
      </c>
      <c r="H1050" s="378"/>
      <c r="I1050" s="378"/>
      <c r="J1050" s="376" t="s">
        <v>215</v>
      </c>
      <c r="K1050" s="376" t="s">
        <v>793</v>
      </c>
      <c r="L1050" s="376" t="s">
        <v>170</v>
      </c>
      <c r="M1050" s="376" t="s">
        <v>171</v>
      </c>
      <c r="N1050" s="376" t="s">
        <v>172</v>
      </c>
      <c r="O1050" s="379">
        <v>1</v>
      </c>
      <c r="P1050" s="385">
        <v>1</v>
      </c>
      <c r="Q1050" s="385">
        <v>1</v>
      </c>
      <c r="R1050" s="380">
        <v>80</v>
      </c>
      <c r="S1050" s="385">
        <v>1</v>
      </c>
      <c r="T1050" s="380">
        <v>35926.03</v>
      </c>
      <c r="U1050" s="380">
        <v>0</v>
      </c>
      <c r="V1050" s="380">
        <v>16071.14</v>
      </c>
      <c r="W1050" s="380">
        <v>49025.599999999999</v>
      </c>
      <c r="X1050" s="380">
        <v>22251.75</v>
      </c>
      <c r="Y1050" s="380">
        <v>49025.599999999999</v>
      </c>
      <c r="Z1050" s="380">
        <v>22045.85</v>
      </c>
      <c r="AA1050" s="376" t="s">
        <v>2236</v>
      </c>
      <c r="AB1050" s="376" t="s">
        <v>2237</v>
      </c>
      <c r="AC1050" s="376" t="s">
        <v>2018</v>
      </c>
      <c r="AD1050" s="376" t="s">
        <v>1270</v>
      </c>
      <c r="AE1050" s="376" t="s">
        <v>793</v>
      </c>
      <c r="AF1050" s="376" t="s">
        <v>177</v>
      </c>
      <c r="AG1050" s="376" t="s">
        <v>178</v>
      </c>
      <c r="AH1050" s="381">
        <v>23.57</v>
      </c>
      <c r="AI1050" s="381">
        <v>15554.9</v>
      </c>
      <c r="AJ1050" s="376" t="s">
        <v>179</v>
      </c>
      <c r="AK1050" s="376" t="s">
        <v>180</v>
      </c>
      <c r="AL1050" s="376" t="s">
        <v>181</v>
      </c>
      <c r="AM1050" s="376" t="s">
        <v>182</v>
      </c>
      <c r="AN1050" s="376" t="s">
        <v>68</v>
      </c>
      <c r="AO1050" s="379">
        <v>80</v>
      </c>
      <c r="AP1050" s="385">
        <v>1</v>
      </c>
      <c r="AQ1050" s="385">
        <v>1</v>
      </c>
      <c r="AR1050" s="383" t="s">
        <v>183</v>
      </c>
      <c r="AS1050" s="387">
        <f t="shared" si="731"/>
        <v>1</v>
      </c>
      <c r="AT1050">
        <f t="shared" si="732"/>
        <v>1</v>
      </c>
      <c r="AU1050" s="387">
        <f>IF(AT1050=0,"",IF(AND(AT1050=1,M1050="F",SUMIF(C2:C1334,C1050,AS2:AS1334)&lt;=1),SUMIF(C2:C1334,C1050,AS2:AS1334),IF(AND(AT1050=1,M1050="F",SUMIF(C2:C1334,C1050,AS2:AS1334)&gt;1),1,"")))</f>
        <v>1</v>
      </c>
      <c r="AV1050" s="387" t="str">
        <f>IF(AT1050=0,"",IF(AND(AT1050=3,M1050="F",SUMIF(C2:C1334,C1050,AS2:AS1334)&lt;=1),SUMIF(C2:C1334,C1050,AS2:AS1334),IF(AND(AT1050=3,M1050="F",SUMIF(C2:C1334,C1050,AS2:AS1334)&gt;1),1,"")))</f>
        <v/>
      </c>
      <c r="AW1050" s="387">
        <f>SUMIF(C2:C1334,C1050,O2:O1334)</f>
        <v>1</v>
      </c>
      <c r="AX1050" s="387">
        <f>IF(AND(M1050="F",AS1050&lt;&gt;0),SUMIF(C2:C1334,C1050,W2:W1334),0)</f>
        <v>49025.599999999999</v>
      </c>
      <c r="AY1050" s="387">
        <f t="shared" si="733"/>
        <v>49025.599999999999</v>
      </c>
      <c r="AZ1050" s="387" t="str">
        <f t="shared" si="734"/>
        <v/>
      </c>
      <c r="BA1050" s="387">
        <f t="shared" si="735"/>
        <v>0</v>
      </c>
      <c r="BB1050" s="387">
        <f t="shared" si="704"/>
        <v>11650</v>
      </c>
      <c r="BC1050" s="387">
        <f t="shared" si="705"/>
        <v>0</v>
      </c>
      <c r="BD1050" s="387">
        <f t="shared" si="706"/>
        <v>3039.5871999999999</v>
      </c>
      <c r="BE1050" s="387">
        <f t="shared" si="707"/>
        <v>710.87120000000004</v>
      </c>
      <c r="BF1050" s="387">
        <f t="shared" si="708"/>
        <v>5853.6566400000002</v>
      </c>
      <c r="BG1050" s="387">
        <f t="shared" si="709"/>
        <v>353.47457600000001</v>
      </c>
      <c r="BH1050" s="387">
        <f t="shared" si="710"/>
        <v>240.22543999999999</v>
      </c>
      <c r="BI1050" s="387">
        <f t="shared" si="711"/>
        <v>271.356696</v>
      </c>
      <c r="BJ1050" s="387">
        <f t="shared" si="712"/>
        <v>132.36912000000001</v>
      </c>
      <c r="BK1050" s="387">
        <f t="shared" si="713"/>
        <v>0</v>
      </c>
      <c r="BL1050" s="387">
        <f t="shared" si="736"/>
        <v>10601.540872000001</v>
      </c>
      <c r="BM1050" s="387">
        <f t="shared" si="737"/>
        <v>0</v>
      </c>
      <c r="BN1050" s="387">
        <f t="shared" si="714"/>
        <v>11650</v>
      </c>
      <c r="BO1050" s="387">
        <f t="shared" si="715"/>
        <v>0</v>
      </c>
      <c r="BP1050" s="387">
        <f t="shared" si="716"/>
        <v>3039.5871999999999</v>
      </c>
      <c r="BQ1050" s="387">
        <f t="shared" si="717"/>
        <v>710.87120000000004</v>
      </c>
      <c r="BR1050" s="387">
        <f t="shared" si="718"/>
        <v>5853.6566400000002</v>
      </c>
      <c r="BS1050" s="387">
        <f t="shared" si="719"/>
        <v>353.47457600000001</v>
      </c>
      <c r="BT1050" s="387">
        <f t="shared" si="720"/>
        <v>0</v>
      </c>
      <c r="BU1050" s="387">
        <f t="shared" si="721"/>
        <v>271.356696</v>
      </c>
      <c r="BV1050" s="387">
        <f t="shared" si="722"/>
        <v>166.68704</v>
      </c>
      <c r="BW1050" s="387">
        <f t="shared" si="723"/>
        <v>0</v>
      </c>
      <c r="BX1050" s="387">
        <f t="shared" si="738"/>
        <v>10395.633352000003</v>
      </c>
      <c r="BY1050" s="387">
        <f t="shared" si="739"/>
        <v>0</v>
      </c>
      <c r="BZ1050" s="387">
        <f t="shared" si="740"/>
        <v>0</v>
      </c>
      <c r="CA1050" s="387">
        <f t="shared" si="741"/>
        <v>0</v>
      </c>
      <c r="CB1050" s="387">
        <f t="shared" si="742"/>
        <v>0</v>
      </c>
      <c r="CC1050" s="387">
        <f t="shared" si="724"/>
        <v>0</v>
      </c>
      <c r="CD1050" s="387">
        <f t="shared" si="725"/>
        <v>0</v>
      </c>
      <c r="CE1050" s="387">
        <f t="shared" si="726"/>
        <v>0</v>
      </c>
      <c r="CF1050" s="387">
        <f t="shared" si="727"/>
        <v>-240.22543999999999</v>
      </c>
      <c r="CG1050" s="387">
        <f t="shared" si="728"/>
        <v>0</v>
      </c>
      <c r="CH1050" s="387">
        <f t="shared" si="729"/>
        <v>34.31791999999998</v>
      </c>
      <c r="CI1050" s="387">
        <f t="shared" si="730"/>
        <v>0</v>
      </c>
      <c r="CJ1050" s="387">
        <f t="shared" si="743"/>
        <v>-205.90752000000001</v>
      </c>
      <c r="CK1050" s="387" t="str">
        <f t="shared" si="744"/>
        <v/>
      </c>
      <c r="CL1050" s="387" t="str">
        <f t="shared" si="745"/>
        <v/>
      </c>
      <c r="CM1050" s="387" t="str">
        <f t="shared" si="746"/>
        <v/>
      </c>
      <c r="CN1050" s="387" t="str">
        <f t="shared" si="747"/>
        <v>0348-31</v>
      </c>
    </row>
    <row r="1051" spans="1:92" ht="15.75" thickBot="1" x14ac:dyDescent="0.3">
      <c r="A1051" s="376" t="s">
        <v>161</v>
      </c>
      <c r="B1051" s="376" t="s">
        <v>162</v>
      </c>
      <c r="C1051" s="376" t="s">
        <v>1312</v>
      </c>
      <c r="D1051" s="376" t="s">
        <v>1061</v>
      </c>
      <c r="E1051" s="376" t="s">
        <v>224</v>
      </c>
      <c r="F1051" s="382" t="s">
        <v>225</v>
      </c>
      <c r="G1051" s="376" t="s">
        <v>1945</v>
      </c>
      <c r="H1051" s="378"/>
      <c r="I1051" s="378"/>
      <c r="J1051" s="376" t="s">
        <v>215</v>
      </c>
      <c r="K1051" s="376" t="s">
        <v>1062</v>
      </c>
      <c r="L1051" s="376" t="s">
        <v>217</v>
      </c>
      <c r="M1051" s="376" t="s">
        <v>171</v>
      </c>
      <c r="N1051" s="376" t="s">
        <v>172</v>
      </c>
      <c r="O1051" s="379">
        <v>1</v>
      </c>
      <c r="P1051" s="385">
        <v>1</v>
      </c>
      <c r="Q1051" s="385">
        <v>1</v>
      </c>
      <c r="R1051" s="380">
        <v>80</v>
      </c>
      <c r="S1051" s="385">
        <v>1</v>
      </c>
      <c r="T1051" s="380">
        <v>0</v>
      </c>
      <c r="U1051" s="380">
        <v>0</v>
      </c>
      <c r="V1051" s="380">
        <v>0</v>
      </c>
      <c r="W1051" s="380">
        <v>36296</v>
      </c>
      <c r="X1051" s="380">
        <v>19498.98</v>
      </c>
      <c r="Y1051" s="380">
        <v>36296</v>
      </c>
      <c r="Z1051" s="380">
        <v>19346.54</v>
      </c>
      <c r="AA1051" s="376" t="s">
        <v>1313</v>
      </c>
      <c r="AB1051" s="376" t="s">
        <v>1314</v>
      </c>
      <c r="AC1051" s="376" t="s">
        <v>916</v>
      </c>
      <c r="AD1051" s="376" t="s">
        <v>1315</v>
      </c>
      <c r="AE1051" s="376" t="s">
        <v>1062</v>
      </c>
      <c r="AF1051" s="376" t="s">
        <v>221</v>
      </c>
      <c r="AG1051" s="376" t="s">
        <v>178</v>
      </c>
      <c r="AH1051" s="381">
        <v>17.45</v>
      </c>
      <c r="AI1051" s="381">
        <v>12476.9</v>
      </c>
      <c r="AJ1051" s="376" t="s">
        <v>179</v>
      </c>
      <c r="AK1051" s="376" t="s">
        <v>180</v>
      </c>
      <c r="AL1051" s="376" t="s">
        <v>181</v>
      </c>
      <c r="AM1051" s="376" t="s">
        <v>182</v>
      </c>
      <c r="AN1051" s="376" t="s">
        <v>68</v>
      </c>
      <c r="AO1051" s="379">
        <v>80</v>
      </c>
      <c r="AP1051" s="385">
        <v>1</v>
      </c>
      <c r="AQ1051" s="385">
        <v>1</v>
      </c>
      <c r="AR1051" s="383" t="s">
        <v>183</v>
      </c>
      <c r="AS1051" s="387">
        <f t="shared" si="731"/>
        <v>1</v>
      </c>
      <c r="AT1051">
        <f t="shared" si="732"/>
        <v>1</v>
      </c>
      <c r="AU1051" s="387">
        <f>IF(AT1051=0,"",IF(AND(AT1051=1,M1051="F",SUMIF(C2:C1334,C1051,AS2:AS1334)&lt;=1),SUMIF(C2:C1334,C1051,AS2:AS1334),IF(AND(AT1051=1,M1051="F",SUMIF(C2:C1334,C1051,AS2:AS1334)&gt;1),1,"")))</f>
        <v>1</v>
      </c>
      <c r="AV1051" s="387" t="str">
        <f>IF(AT1051=0,"",IF(AND(AT1051=3,M1051="F",SUMIF(C2:C1334,C1051,AS2:AS1334)&lt;=1),SUMIF(C2:C1334,C1051,AS2:AS1334),IF(AND(AT1051=3,M1051="F",SUMIF(C2:C1334,C1051,AS2:AS1334)&gt;1),1,"")))</f>
        <v/>
      </c>
      <c r="AW1051" s="387">
        <f>SUMIF(C2:C1334,C1051,O2:O1334)</f>
        <v>2</v>
      </c>
      <c r="AX1051" s="387">
        <f>IF(AND(M1051="F",AS1051&lt;&gt;0),SUMIF(C2:C1334,C1051,W2:W1334),0)</f>
        <v>36296</v>
      </c>
      <c r="AY1051" s="387">
        <f t="shared" si="733"/>
        <v>36296</v>
      </c>
      <c r="AZ1051" s="387" t="str">
        <f t="shared" si="734"/>
        <v/>
      </c>
      <c r="BA1051" s="387">
        <f t="shared" si="735"/>
        <v>0</v>
      </c>
      <c r="BB1051" s="387">
        <f t="shared" si="704"/>
        <v>11650</v>
      </c>
      <c r="BC1051" s="387">
        <f t="shared" si="705"/>
        <v>0</v>
      </c>
      <c r="BD1051" s="387">
        <f t="shared" si="706"/>
        <v>2250.3519999999999</v>
      </c>
      <c r="BE1051" s="387">
        <f t="shared" si="707"/>
        <v>526.29200000000003</v>
      </c>
      <c r="BF1051" s="387">
        <f t="shared" si="708"/>
        <v>4333.7424000000001</v>
      </c>
      <c r="BG1051" s="387">
        <f t="shared" si="709"/>
        <v>261.69416000000001</v>
      </c>
      <c r="BH1051" s="387">
        <f t="shared" si="710"/>
        <v>177.85040000000001</v>
      </c>
      <c r="BI1051" s="387">
        <f t="shared" si="711"/>
        <v>200.89836</v>
      </c>
      <c r="BJ1051" s="387">
        <f t="shared" si="712"/>
        <v>97.999200000000002</v>
      </c>
      <c r="BK1051" s="387">
        <f t="shared" si="713"/>
        <v>0</v>
      </c>
      <c r="BL1051" s="387">
        <f t="shared" si="736"/>
        <v>7848.82852</v>
      </c>
      <c r="BM1051" s="387">
        <f t="shared" si="737"/>
        <v>0</v>
      </c>
      <c r="BN1051" s="387">
        <f t="shared" si="714"/>
        <v>11650</v>
      </c>
      <c r="BO1051" s="387">
        <f t="shared" si="715"/>
        <v>0</v>
      </c>
      <c r="BP1051" s="387">
        <f t="shared" si="716"/>
        <v>2250.3519999999999</v>
      </c>
      <c r="BQ1051" s="387">
        <f t="shared" si="717"/>
        <v>526.29200000000003</v>
      </c>
      <c r="BR1051" s="387">
        <f t="shared" si="718"/>
        <v>4333.7424000000001</v>
      </c>
      <c r="BS1051" s="387">
        <f t="shared" si="719"/>
        <v>261.69416000000001</v>
      </c>
      <c r="BT1051" s="387">
        <f t="shared" si="720"/>
        <v>0</v>
      </c>
      <c r="BU1051" s="387">
        <f t="shared" si="721"/>
        <v>200.89836</v>
      </c>
      <c r="BV1051" s="387">
        <f t="shared" si="722"/>
        <v>123.40639999999999</v>
      </c>
      <c r="BW1051" s="387">
        <f t="shared" si="723"/>
        <v>0</v>
      </c>
      <c r="BX1051" s="387">
        <f t="shared" si="738"/>
        <v>7696.3853199999994</v>
      </c>
      <c r="BY1051" s="387">
        <f t="shared" si="739"/>
        <v>0</v>
      </c>
      <c r="BZ1051" s="387">
        <f t="shared" si="740"/>
        <v>0</v>
      </c>
      <c r="CA1051" s="387">
        <f t="shared" si="741"/>
        <v>0</v>
      </c>
      <c r="CB1051" s="387">
        <f t="shared" si="742"/>
        <v>0</v>
      </c>
      <c r="CC1051" s="387">
        <f t="shared" si="724"/>
        <v>0</v>
      </c>
      <c r="CD1051" s="387">
        <f t="shared" si="725"/>
        <v>0</v>
      </c>
      <c r="CE1051" s="387">
        <f t="shared" si="726"/>
        <v>0</v>
      </c>
      <c r="CF1051" s="387">
        <f t="shared" si="727"/>
        <v>-177.85040000000001</v>
      </c>
      <c r="CG1051" s="387">
        <f t="shared" si="728"/>
        <v>0</v>
      </c>
      <c r="CH1051" s="387">
        <f t="shared" si="729"/>
        <v>25.407199999999989</v>
      </c>
      <c r="CI1051" s="387">
        <f t="shared" si="730"/>
        <v>0</v>
      </c>
      <c r="CJ1051" s="387">
        <f t="shared" si="743"/>
        <v>-152.44320000000002</v>
      </c>
      <c r="CK1051" s="387" t="str">
        <f t="shared" si="744"/>
        <v/>
      </c>
      <c r="CL1051" s="387" t="str">
        <f t="shared" si="745"/>
        <v/>
      </c>
      <c r="CM1051" s="387" t="str">
        <f t="shared" si="746"/>
        <v/>
      </c>
      <c r="CN1051" s="387" t="str">
        <f t="shared" si="747"/>
        <v>0348-31</v>
      </c>
    </row>
    <row r="1052" spans="1:92" ht="15.75" thickBot="1" x14ac:dyDescent="0.3">
      <c r="A1052" s="376" t="s">
        <v>161</v>
      </c>
      <c r="B1052" s="376" t="s">
        <v>162</v>
      </c>
      <c r="C1052" s="376" t="s">
        <v>1442</v>
      </c>
      <c r="D1052" s="376" t="s">
        <v>862</v>
      </c>
      <c r="E1052" s="376" t="s">
        <v>224</v>
      </c>
      <c r="F1052" s="382" t="s">
        <v>225</v>
      </c>
      <c r="G1052" s="376" t="s">
        <v>1945</v>
      </c>
      <c r="H1052" s="378"/>
      <c r="I1052" s="378"/>
      <c r="J1052" s="376" t="s">
        <v>215</v>
      </c>
      <c r="K1052" s="376" t="s">
        <v>863</v>
      </c>
      <c r="L1052" s="376" t="s">
        <v>252</v>
      </c>
      <c r="M1052" s="376" t="s">
        <v>272</v>
      </c>
      <c r="N1052" s="376" t="s">
        <v>172</v>
      </c>
      <c r="O1052" s="379">
        <v>0</v>
      </c>
      <c r="P1052" s="385">
        <v>1</v>
      </c>
      <c r="Q1052" s="385">
        <v>1</v>
      </c>
      <c r="R1052" s="380">
        <v>80</v>
      </c>
      <c r="S1052" s="385">
        <v>1</v>
      </c>
      <c r="T1052" s="380">
        <v>18253.98</v>
      </c>
      <c r="U1052" s="380">
        <v>0</v>
      </c>
      <c r="V1052" s="380">
        <v>9717.31</v>
      </c>
      <c r="W1052" s="380">
        <v>42328</v>
      </c>
      <c r="X1052" s="380">
        <v>18539.66</v>
      </c>
      <c r="Y1052" s="380">
        <v>42328</v>
      </c>
      <c r="Z1052" s="380">
        <v>18328.02</v>
      </c>
      <c r="AA1052" s="378"/>
      <c r="AB1052" s="376" t="s">
        <v>45</v>
      </c>
      <c r="AC1052" s="376" t="s">
        <v>45</v>
      </c>
      <c r="AD1052" s="378"/>
      <c r="AE1052" s="378"/>
      <c r="AF1052" s="378"/>
      <c r="AG1052" s="378"/>
      <c r="AH1052" s="379">
        <v>0</v>
      </c>
      <c r="AI1052" s="379">
        <v>0</v>
      </c>
      <c r="AJ1052" s="378"/>
      <c r="AK1052" s="378"/>
      <c r="AL1052" s="376" t="s">
        <v>181</v>
      </c>
      <c r="AM1052" s="378"/>
      <c r="AN1052" s="378"/>
      <c r="AO1052" s="379">
        <v>0</v>
      </c>
      <c r="AP1052" s="385">
        <v>0</v>
      </c>
      <c r="AQ1052" s="385">
        <v>0</v>
      </c>
      <c r="AR1052" s="384"/>
      <c r="AS1052" s="387">
        <f t="shared" si="731"/>
        <v>0</v>
      </c>
      <c r="AT1052">
        <f t="shared" si="732"/>
        <v>0</v>
      </c>
      <c r="AU1052" s="387" t="str">
        <f>IF(AT1052=0,"",IF(AND(AT1052=1,M1052="F",SUMIF(C2:C1334,C1052,AS2:AS1334)&lt;=1),SUMIF(C2:C1334,C1052,AS2:AS1334),IF(AND(AT1052=1,M1052="F",SUMIF(C2:C1334,C1052,AS2:AS1334)&gt;1),1,"")))</f>
        <v/>
      </c>
      <c r="AV1052" s="387" t="str">
        <f>IF(AT1052=0,"",IF(AND(AT1052=3,M1052="F",SUMIF(C2:C1334,C1052,AS2:AS1334)&lt;=1),SUMIF(C2:C1334,C1052,AS2:AS1334),IF(AND(AT1052=3,M1052="F",SUMIF(C2:C1334,C1052,AS2:AS1334)&gt;1),1,"")))</f>
        <v/>
      </c>
      <c r="AW1052" s="387">
        <f>SUMIF(C2:C1334,C1052,O2:O1334)</f>
        <v>0</v>
      </c>
      <c r="AX1052" s="387">
        <f>IF(AND(M1052="F",AS1052&lt;&gt;0),SUMIF(C2:C1334,C1052,W2:W1334),0)</f>
        <v>0</v>
      </c>
      <c r="AY1052" s="387" t="str">
        <f t="shared" si="733"/>
        <v/>
      </c>
      <c r="AZ1052" s="387" t="str">
        <f t="shared" si="734"/>
        <v/>
      </c>
      <c r="BA1052" s="387">
        <f t="shared" si="735"/>
        <v>0</v>
      </c>
      <c r="BB1052" s="387">
        <f t="shared" si="704"/>
        <v>0</v>
      </c>
      <c r="BC1052" s="387">
        <f t="shared" si="705"/>
        <v>0</v>
      </c>
      <c r="BD1052" s="387">
        <f t="shared" si="706"/>
        <v>0</v>
      </c>
      <c r="BE1052" s="387">
        <f t="shared" si="707"/>
        <v>0</v>
      </c>
      <c r="BF1052" s="387">
        <f t="shared" si="708"/>
        <v>0</v>
      </c>
      <c r="BG1052" s="387">
        <f t="shared" si="709"/>
        <v>0</v>
      </c>
      <c r="BH1052" s="387">
        <f t="shared" si="710"/>
        <v>0</v>
      </c>
      <c r="BI1052" s="387">
        <f t="shared" si="711"/>
        <v>0</v>
      </c>
      <c r="BJ1052" s="387">
        <f t="shared" si="712"/>
        <v>0</v>
      </c>
      <c r="BK1052" s="387">
        <f t="shared" si="713"/>
        <v>0</v>
      </c>
      <c r="BL1052" s="387">
        <f t="shared" si="736"/>
        <v>0</v>
      </c>
      <c r="BM1052" s="387">
        <f t="shared" si="737"/>
        <v>0</v>
      </c>
      <c r="BN1052" s="387">
        <f t="shared" si="714"/>
        <v>0</v>
      </c>
      <c r="BO1052" s="387">
        <f t="shared" si="715"/>
        <v>0</v>
      </c>
      <c r="BP1052" s="387">
        <f t="shared" si="716"/>
        <v>0</v>
      </c>
      <c r="BQ1052" s="387">
        <f t="shared" si="717"/>
        <v>0</v>
      </c>
      <c r="BR1052" s="387">
        <f t="shared" si="718"/>
        <v>0</v>
      </c>
      <c r="BS1052" s="387">
        <f t="shared" si="719"/>
        <v>0</v>
      </c>
      <c r="BT1052" s="387">
        <f t="shared" si="720"/>
        <v>0</v>
      </c>
      <c r="BU1052" s="387">
        <f t="shared" si="721"/>
        <v>0</v>
      </c>
      <c r="BV1052" s="387">
        <f t="shared" si="722"/>
        <v>0</v>
      </c>
      <c r="BW1052" s="387">
        <f t="shared" si="723"/>
        <v>0</v>
      </c>
      <c r="BX1052" s="387">
        <f t="shared" si="738"/>
        <v>0</v>
      </c>
      <c r="BY1052" s="387">
        <f t="shared" si="739"/>
        <v>0</v>
      </c>
      <c r="BZ1052" s="387">
        <f t="shared" si="740"/>
        <v>0</v>
      </c>
      <c r="CA1052" s="387">
        <f t="shared" si="741"/>
        <v>0</v>
      </c>
      <c r="CB1052" s="387">
        <f t="shared" si="742"/>
        <v>0</v>
      </c>
      <c r="CC1052" s="387">
        <f t="shared" si="724"/>
        <v>0</v>
      </c>
      <c r="CD1052" s="387">
        <f t="shared" si="725"/>
        <v>0</v>
      </c>
      <c r="CE1052" s="387">
        <f t="shared" si="726"/>
        <v>0</v>
      </c>
      <c r="CF1052" s="387">
        <f t="shared" si="727"/>
        <v>0</v>
      </c>
      <c r="CG1052" s="387">
        <f t="shared" si="728"/>
        <v>0</v>
      </c>
      <c r="CH1052" s="387">
        <f t="shared" si="729"/>
        <v>0</v>
      </c>
      <c r="CI1052" s="387">
        <f t="shared" si="730"/>
        <v>0</v>
      </c>
      <c r="CJ1052" s="387">
        <f t="shared" si="743"/>
        <v>0</v>
      </c>
      <c r="CK1052" s="387" t="str">
        <f t="shared" si="744"/>
        <v/>
      </c>
      <c r="CL1052" s="387" t="str">
        <f t="shared" si="745"/>
        <v/>
      </c>
      <c r="CM1052" s="387" t="str">
        <f t="shared" si="746"/>
        <v/>
      </c>
      <c r="CN1052" s="387" t="str">
        <f t="shared" si="747"/>
        <v>0348-31</v>
      </c>
    </row>
    <row r="1053" spans="1:92" ht="15.75" thickBot="1" x14ac:dyDescent="0.3">
      <c r="A1053" s="376" t="s">
        <v>161</v>
      </c>
      <c r="B1053" s="376" t="s">
        <v>162</v>
      </c>
      <c r="C1053" s="376" t="s">
        <v>2238</v>
      </c>
      <c r="D1053" s="376" t="s">
        <v>862</v>
      </c>
      <c r="E1053" s="376" t="s">
        <v>224</v>
      </c>
      <c r="F1053" s="382" t="s">
        <v>225</v>
      </c>
      <c r="G1053" s="376" t="s">
        <v>1945</v>
      </c>
      <c r="H1053" s="378"/>
      <c r="I1053" s="378"/>
      <c r="J1053" s="376" t="s">
        <v>215</v>
      </c>
      <c r="K1053" s="376" t="s">
        <v>863</v>
      </c>
      <c r="L1053" s="376" t="s">
        <v>252</v>
      </c>
      <c r="M1053" s="376" t="s">
        <v>171</v>
      </c>
      <c r="N1053" s="376" t="s">
        <v>172</v>
      </c>
      <c r="O1053" s="379">
        <v>1</v>
      </c>
      <c r="P1053" s="385">
        <v>1</v>
      </c>
      <c r="Q1053" s="385">
        <v>1</v>
      </c>
      <c r="R1053" s="380">
        <v>80</v>
      </c>
      <c r="S1053" s="385">
        <v>1</v>
      </c>
      <c r="T1053" s="380">
        <v>37296.03</v>
      </c>
      <c r="U1053" s="380">
        <v>72.540000000000006</v>
      </c>
      <c r="V1053" s="380">
        <v>18739.43</v>
      </c>
      <c r="W1053" s="380">
        <v>40768</v>
      </c>
      <c r="X1053" s="380">
        <v>20466.04</v>
      </c>
      <c r="Y1053" s="380">
        <v>40768</v>
      </c>
      <c r="Z1053" s="380">
        <v>20294.82</v>
      </c>
      <c r="AA1053" s="376" t="s">
        <v>2239</v>
      </c>
      <c r="AB1053" s="376" t="s">
        <v>2240</v>
      </c>
      <c r="AC1053" s="376" t="s">
        <v>1149</v>
      </c>
      <c r="AD1053" s="376" t="s">
        <v>1368</v>
      </c>
      <c r="AE1053" s="376" t="s">
        <v>863</v>
      </c>
      <c r="AF1053" s="376" t="s">
        <v>393</v>
      </c>
      <c r="AG1053" s="376" t="s">
        <v>178</v>
      </c>
      <c r="AH1053" s="381">
        <v>19.600000000000001</v>
      </c>
      <c r="AI1053" s="379">
        <v>3960</v>
      </c>
      <c r="AJ1053" s="376" t="s">
        <v>179</v>
      </c>
      <c r="AK1053" s="376" t="s">
        <v>180</v>
      </c>
      <c r="AL1053" s="376" t="s">
        <v>181</v>
      </c>
      <c r="AM1053" s="376" t="s">
        <v>182</v>
      </c>
      <c r="AN1053" s="376" t="s">
        <v>68</v>
      </c>
      <c r="AO1053" s="379">
        <v>80</v>
      </c>
      <c r="AP1053" s="385">
        <v>1</v>
      </c>
      <c r="AQ1053" s="385">
        <v>1</v>
      </c>
      <c r="AR1053" s="383" t="s">
        <v>183</v>
      </c>
      <c r="AS1053" s="387">
        <f t="shared" si="731"/>
        <v>1</v>
      </c>
      <c r="AT1053">
        <f t="shared" si="732"/>
        <v>1</v>
      </c>
      <c r="AU1053" s="387">
        <f>IF(AT1053=0,"",IF(AND(AT1053=1,M1053="F",SUMIF(C2:C1334,C1053,AS2:AS1334)&lt;=1),SUMIF(C2:C1334,C1053,AS2:AS1334),IF(AND(AT1053=1,M1053="F",SUMIF(C2:C1334,C1053,AS2:AS1334)&gt;1),1,"")))</f>
        <v>1</v>
      </c>
      <c r="AV1053" s="387" t="str">
        <f>IF(AT1053=0,"",IF(AND(AT1053=3,M1053="F",SUMIF(C2:C1334,C1053,AS2:AS1334)&lt;=1),SUMIF(C2:C1334,C1053,AS2:AS1334),IF(AND(AT1053=3,M1053="F",SUMIF(C2:C1334,C1053,AS2:AS1334)&gt;1),1,"")))</f>
        <v/>
      </c>
      <c r="AW1053" s="387">
        <f>SUMIF(C2:C1334,C1053,O2:O1334)</f>
        <v>1</v>
      </c>
      <c r="AX1053" s="387">
        <f>IF(AND(M1053="F",AS1053&lt;&gt;0),SUMIF(C2:C1334,C1053,W2:W1334),0)</f>
        <v>40768</v>
      </c>
      <c r="AY1053" s="387">
        <f t="shared" si="733"/>
        <v>40768</v>
      </c>
      <c r="AZ1053" s="387" t="str">
        <f t="shared" si="734"/>
        <v/>
      </c>
      <c r="BA1053" s="387">
        <f t="shared" si="735"/>
        <v>0</v>
      </c>
      <c r="BB1053" s="387">
        <f t="shared" si="704"/>
        <v>11650</v>
      </c>
      <c r="BC1053" s="387">
        <f t="shared" si="705"/>
        <v>0</v>
      </c>
      <c r="BD1053" s="387">
        <f t="shared" si="706"/>
        <v>2527.616</v>
      </c>
      <c r="BE1053" s="387">
        <f t="shared" si="707"/>
        <v>591.13600000000008</v>
      </c>
      <c r="BF1053" s="387">
        <f t="shared" si="708"/>
        <v>4867.6992</v>
      </c>
      <c r="BG1053" s="387">
        <f t="shared" si="709"/>
        <v>293.93727999999999</v>
      </c>
      <c r="BH1053" s="387">
        <f t="shared" si="710"/>
        <v>199.76319999999998</v>
      </c>
      <c r="BI1053" s="387">
        <f t="shared" si="711"/>
        <v>225.65088</v>
      </c>
      <c r="BJ1053" s="387">
        <f t="shared" si="712"/>
        <v>110.0736</v>
      </c>
      <c r="BK1053" s="387">
        <f t="shared" si="713"/>
        <v>0</v>
      </c>
      <c r="BL1053" s="387">
        <f t="shared" si="736"/>
        <v>8815.876159999998</v>
      </c>
      <c r="BM1053" s="387">
        <f t="shared" si="737"/>
        <v>0</v>
      </c>
      <c r="BN1053" s="387">
        <f t="shared" si="714"/>
        <v>11650</v>
      </c>
      <c r="BO1053" s="387">
        <f t="shared" si="715"/>
        <v>0</v>
      </c>
      <c r="BP1053" s="387">
        <f t="shared" si="716"/>
        <v>2527.616</v>
      </c>
      <c r="BQ1053" s="387">
        <f t="shared" si="717"/>
        <v>591.13600000000008</v>
      </c>
      <c r="BR1053" s="387">
        <f t="shared" si="718"/>
        <v>4867.6992</v>
      </c>
      <c r="BS1053" s="387">
        <f t="shared" si="719"/>
        <v>293.93727999999999</v>
      </c>
      <c r="BT1053" s="387">
        <f t="shared" si="720"/>
        <v>0</v>
      </c>
      <c r="BU1053" s="387">
        <f t="shared" si="721"/>
        <v>225.65088</v>
      </c>
      <c r="BV1053" s="387">
        <f t="shared" si="722"/>
        <v>138.6112</v>
      </c>
      <c r="BW1053" s="387">
        <f t="shared" si="723"/>
        <v>0</v>
      </c>
      <c r="BX1053" s="387">
        <f t="shared" si="738"/>
        <v>8644.6505599999982</v>
      </c>
      <c r="BY1053" s="387">
        <f t="shared" si="739"/>
        <v>0</v>
      </c>
      <c r="BZ1053" s="387">
        <f t="shared" si="740"/>
        <v>0</v>
      </c>
      <c r="CA1053" s="387">
        <f t="shared" si="741"/>
        <v>0</v>
      </c>
      <c r="CB1053" s="387">
        <f t="shared" si="742"/>
        <v>0</v>
      </c>
      <c r="CC1053" s="387">
        <f t="shared" si="724"/>
        <v>0</v>
      </c>
      <c r="CD1053" s="387">
        <f t="shared" si="725"/>
        <v>0</v>
      </c>
      <c r="CE1053" s="387">
        <f t="shared" si="726"/>
        <v>0</v>
      </c>
      <c r="CF1053" s="387">
        <f t="shared" si="727"/>
        <v>-199.76319999999998</v>
      </c>
      <c r="CG1053" s="387">
        <f t="shared" si="728"/>
        <v>0</v>
      </c>
      <c r="CH1053" s="387">
        <f t="shared" si="729"/>
        <v>28.537599999999987</v>
      </c>
      <c r="CI1053" s="387">
        <f t="shared" si="730"/>
        <v>0</v>
      </c>
      <c r="CJ1053" s="387">
        <f t="shared" si="743"/>
        <v>-171.22559999999999</v>
      </c>
      <c r="CK1053" s="387" t="str">
        <f t="shared" si="744"/>
        <v/>
      </c>
      <c r="CL1053" s="387" t="str">
        <f t="shared" si="745"/>
        <v/>
      </c>
      <c r="CM1053" s="387" t="str">
        <f t="shared" si="746"/>
        <v/>
      </c>
      <c r="CN1053" s="387" t="str">
        <f t="shared" si="747"/>
        <v>0348-31</v>
      </c>
    </row>
    <row r="1054" spans="1:92" ht="15.75" thickBot="1" x14ac:dyDescent="0.3">
      <c r="A1054" s="376" t="s">
        <v>161</v>
      </c>
      <c r="B1054" s="376" t="s">
        <v>162</v>
      </c>
      <c r="C1054" s="376" t="s">
        <v>1846</v>
      </c>
      <c r="D1054" s="376" t="s">
        <v>375</v>
      </c>
      <c r="E1054" s="376" t="s">
        <v>224</v>
      </c>
      <c r="F1054" s="382" t="s">
        <v>225</v>
      </c>
      <c r="G1054" s="376" t="s">
        <v>1945</v>
      </c>
      <c r="H1054" s="378"/>
      <c r="I1054" s="378"/>
      <c r="J1054" s="376" t="s">
        <v>215</v>
      </c>
      <c r="K1054" s="376" t="s">
        <v>448</v>
      </c>
      <c r="L1054" s="376" t="s">
        <v>217</v>
      </c>
      <c r="M1054" s="376" t="s">
        <v>171</v>
      </c>
      <c r="N1054" s="376" t="s">
        <v>172</v>
      </c>
      <c r="O1054" s="379">
        <v>1</v>
      </c>
      <c r="P1054" s="385">
        <v>1</v>
      </c>
      <c r="Q1054" s="385">
        <v>1</v>
      </c>
      <c r="R1054" s="380">
        <v>80</v>
      </c>
      <c r="S1054" s="385">
        <v>1</v>
      </c>
      <c r="T1054" s="380">
        <v>41779.230000000003</v>
      </c>
      <c r="U1054" s="380">
        <v>158.03</v>
      </c>
      <c r="V1054" s="380">
        <v>20112.54</v>
      </c>
      <c r="W1054" s="380">
        <v>44512</v>
      </c>
      <c r="X1054" s="380">
        <v>21275.69</v>
      </c>
      <c r="Y1054" s="380">
        <v>44512</v>
      </c>
      <c r="Z1054" s="380">
        <v>21088.75</v>
      </c>
      <c r="AA1054" s="376" t="s">
        <v>1847</v>
      </c>
      <c r="AB1054" s="376" t="s">
        <v>1848</v>
      </c>
      <c r="AC1054" s="376" t="s">
        <v>1849</v>
      </c>
      <c r="AD1054" s="376" t="s">
        <v>1850</v>
      </c>
      <c r="AE1054" s="376" t="s">
        <v>448</v>
      </c>
      <c r="AF1054" s="376" t="s">
        <v>221</v>
      </c>
      <c r="AG1054" s="376" t="s">
        <v>178</v>
      </c>
      <c r="AH1054" s="381">
        <v>21.4</v>
      </c>
      <c r="AI1054" s="379">
        <v>29017</v>
      </c>
      <c r="AJ1054" s="376" t="s">
        <v>179</v>
      </c>
      <c r="AK1054" s="376" t="s">
        <v>180</v>
      </c>
      <c r="AL1054" s="376" t="s">
        <v>181</v>
      </c>
      <c r="AM1054" s="376" t="s">
        <v>182</v>
      </c>
      <c r="AN1054" s="376" t="s">
        <v>68</v>
      </c>
      <c r="AO1054" s="379">
        <v>80</v>
      </c>
      <c r="AP1054" s="385">
        <v>1</v>
      </c>
      <c r="AQ1054" s="385">
        <v>1</v>
      </c>
      <c r="AR1054" s="383" t="s">
        <v>183</v>
      </c>
      <c r="AS1054" s="387">
        <f t="shared" si="731"/>
        <v>1</v>
      </c>
      <c r="AT1054">
        <f t="shared" si="732"/>
        <v>1</v>
      </c>
      <c r="AU1054" s="387">
        <f>IF(AT1054=0,"",IF(AND(AT1054=1,M1054="F",SUMIF(C2:C1334,C1054,AS2:AS1334)&lt;=1),SUMIF(C2:C1334,C1054,AS2:AS1334),IF(AND(AT1054=1,M1054="F",SUMIF(C2:C1334,C1054,AS2:AS1334)&gt;1),1,"")))</f>
        <v>1</v>
      </c>
      <c r="AV1054" s="387" t="str">
        <f>IF(AT1054=0,"",IF(AND(AT1054=3,M1054="F",SUMIF(C2:C1334,C1054,AS2:AS1334)&lt;=1),SUMIF(C2:C1334,C1054,AS2:AS1334),IF(AND(AT1054=3,M1054="F",SUMIF(C2:C1334,C1054,AS2:AS1334)&gt;1),1,"")))</f>
        <v/>
      </c>
      <c r="AW1054" s="387">
        <f>SUMIF(C2:C1334,C1054,O2:O1334)</f>
        <v>2</v>
      </c>
      <c r="AX1054" s="387">
        <f>IF(AND(M1054="F",AS1054&lt;&gt;0),SUMIF(C2:C1334,C1054,W2:W1334),0)</f>
        <v>44512</v>
      </c>
      <c r="AY1054" s="387">
        <f t="shared" si="733"/>
        <v>44512</v>
      </c>
      <c r="AZ1054" s="387" t="str">
        <f t="shared" si="734"/>
        <v/>
      </c>
      <c r="BA1054" s="387">
        <f t="shared" si="735"/>
        <v>0</v>
      </c>
      <c r="BB1054" s="387">
        <f t="shared" si="704"/>
        <v>11650</v>
      </c>
      <c r="BC1054" s="387">
        <f t="shared" si="705"/>
        <v>0</v>
      </c>
      <c r="BD1054" s="387">
        <f t="shared" si="706"/>
        <v>2759.7440000000001</v>
      </c>
      <c r="BE1054" s="387">
        <f t="shared" si="707"/>
        <v>645.42399999999998</v>
      </c>
      <c r="BF1054" s="387">
        <f t="shared" si="708"/>
        <v>5314.7328000000007</v>
      </c>
      <c r="BG1054" s="387">
        <f t="shared" si="709"/>
        <v>320.93152000000003</v>
      </c>
      <c r="BH1054" s="387">
        <f t="shared" si="710"/>
        <v>218.1088</v>
      </c>
      <c r="BI1054" s="387">
        <f t="shared" si="711"/>
        <v>246.37392</v>
      </c>
      <c r="BJ1054" s="387">
        <f t="shared" si="712"/>
        <v>120.1824</v>
      </c>
      <c r="BK1054" s="387">
        <f t="shared" si="713"/>
        <v>0</v>
      </c>
      <c r="BL1054" s="387">
        <f t="shared" si="736"/>
        <v>9625.497440000001</v>
      </c>
      <c r="BM1054" s="387">
        <f t="shared" si="737"/>
        <v>0</v>
      </c>
      <c r="BN1054" s="387">
        <f t="shared" si="714"/>
        <v>11650</v>
      </c>
      <c r="BO1054" s="387">
        <f t="shared" si="715"/>
        <v>0</v>
      </c>
      <c r="BP1054" s="387">
        <f t="shared" si="716"/>
        <v>2759.7440000000001</v>
      </c>
      <c r="BQ1054" s="387">
        <f t="shared" si="717"/>
        <v>645.42399999999998</v>
      </c>
      <c r="BR1054" s="387">
        <f t="shared" si="718"/>
        <v>5314.7328000000007</v>
      </c>
      <c r="BS1054" s="387">
        <f t="shared" si="719"/>
        <v>320.93152000000003</v>
      </c>
      <c r="BT1054" s="387">
        <f t="shared" si="720"/>
        <v>0</v>
      </c>
      <c r="BU1054" s="387">
        <f t="shared" si="721"/>
        <v>246.37392</v>
      </c>
      <c r="BV1054" s="387">
        <f t="shared" si="722"/>
        <v>151.3408</v>
      </c>
      <c r="BW1054" s="387">
        <f t="shared" si="723"/>
        <v>0</v>
      </c>
      <c r="BX1054" s="387">
        <f t="shared" si="738"/>
        <v>9438.5470400000013</v>
      </c>
      <c r="BY1054" s="387">
        <f t="shared" si="739"/>
        <v>0</v>
      </c>
      <c r="BZ1054" s="387">
        <f t="shared" si="740"/>
        <v>0</v>
      </c>
      <c r="CA1054" s="387">
        <f t="shared" si="741"/>
        <v>0</v>
      </c>
      <c r="CB1054" s="387">
        <f t="shared" si="742"/>
        <v>0</v>
      </c>
      <c r="CC1054" s="387">
        <f t="shared" si="724"/>
        <v>0</v>
      </c>
      <c r="CD1054" s="387">
        <f t="shared" si="725"/>
        <v>0</v>
      </c>
      <c r="CE1054" s="387">
        <f t="shared" si="726"/>
        <v>0</v>
      </c>
      <c r="CF1054" s="387">
        <f t="shared" si="727"/>
        <v>-218.1088</v>
      </c>
      <c r="CG1054" s="387">
        <f t="shared" si="728"/>
        <v>0</v>
      </c>
      <c r="CH1054" s="387">
        <f t="shared" si="729"/>
        <v>31.158399999999986</v>
      </c>
      <c r="CI1054" s="387">
        <f t="shared" si="730"/>
        <v>0</v>
      </c>
      <c r="CJ1054" s="387">
        <f t="shared" si="743"/>
        <v>-186.9504</v>
      </c>
      <c r="CK1054" s="387" t="str">
        <f t="shared" si="744"/>
        <v/>
      </c>
      <c r="CL1054" s="387" t="str">
        <f t="shared" si="745"/>
        <v/>
      </c>
      <c r="CM1054" s="387" t="str">
        <f t="shared" si="746"/>
        <v/>
      </c>
      <c r="CN1054" s="387" t="str">
        <f t="shared" si="747"/>
        <v>0348-31</v>
      </c>
    </row>
    <row r="1055" spans="1:92" ht="15.75" thickBot="1" x14ac:dyDescent="0.3">
      <c r="A1055" s="376" t="s">
        <v>161</v>
      </c>
      <c r="B1055" s="376" t="s">
        <v>162</v>
      </c>
      <c r="C1055" s="376" t="s">
        <v>1325</v>
      </c>
      <c r="D1055" s="376" t="s">
        <v>1326</v>
      </c>
      <c r="E1055" s="376" t="s">
        <v>224</v>
      </c>
      <c r="F1055" s="382" t="s">
        <v>225</v>
      </c>
      <c r="G1055" s="376" t="s">
        <v>1945</v>
      </c>
      <c r="H1055" s="378"/>
      <c r="I1055" s="378"/>
      <c r="J1055" s="376" t="s">
        <v>215</v>
      </c>
      <c r="K1055" s="376" t="s">
        <v>1327</v>
      </c>
      <c r="L1055" s="376" t="s">
        <v>296</v>
      </c>
      <c r="M1055" s="376" t="s">
        <v>171</v>
      </c>
      <c r="N1055" s="376" t="s">
        <v>172</v>
      </c>
      <c r="O1055" s="379">
        <v>1</v>
      </c>
      <c r="P1055" s="385">
        <v>1</v>
      </c>
      <c r="Q1055" s="385">
        <v>1</v>
      </c>
      <c r="R1055" s="380">
        <v>80</v>
      </c>
      <c r="S1055" s="385">
        <v>1</v>
      </c>
      <c r="T1055" s="380">
        <v>39899.25</v>
      </c>
      <c r="U1055" s="380">
        <v>5.83</v>
      </c>
      <c r="V1055" s="380">
        <v>19705.509999999998</v>
      </c>
      <c r="W1055" s="380">
        <v>43139.199999999997</v>
      </c>
      <c r="X1055" s="380">
        <v>20978.83</v>
      </c>
      <c r="Y1055" s="380">
        <v>43139.199999999997</v>
      </c>
      <c r="Z1055" s="380">
        <v>20797.650000000001</v>
      </c>
      <c r="AA1055" s="376" t="s">
        <v>1328</v>
      </c>
      <c r="AB1055" s="376" t="s">
        <v>1329</v>
      </c>
      <c r="AC1055" s="376" t="s">
        <v>1330</v>
      </c>
      <c r="AD1055" s="376" t="s">
        <v>1331</v>
      </c>
      <c r="AE1055" s="376" t="s">
        <v>1327</v>
      </c>
      <c r="AF1055" s="376" t="s">
        <v>301</v>
      </c>
      <c r="AG1055" s="376" t="s">
        <v>178</v>
      </c>
      <c r="AH1055" s="381">
        <v>20.74</v>
      </c>
      <c r="AI1055" s="381">
        <v>13518.6</v>
      </c>
      <c r="AJ1055" s="376" t="s">
        <v>179</v>
      </c>
      <c r="AK1055" s="376" t="s">
        <v>180</v>
      </c>
      <c r="AL1055" s="376" t="s">
        <v>181</v>
      </c>
      <c r="AM1055" s="376" t="s">
        <v>182</v>
      </c>
      <c r="AN1055" s="376" t="s">
        <v>68</v>
      </c>
      <c r="AO1055" s="379">
        <v>80</v>
      </c>
      <c r="AP1055" s="385">
        <v>1</v>
      </c>
      <c r="AQ1055" s="385">
        <v>1</v>
      </c>
      <c r="AR1055" s="383" t="s">
        <v>183</v>
      </c>
      <c r="AS1055" s="387">
        <f t="shared" si="731"/>
        <v>1</v>
      </c>
      <c r="AT1055">
        <f t="shared" si="732"/>
        <v>1</v>
      </c>
      <c r="AU1055" s="387">
        <f>IF(AT1055=0,"",IF(AND(AT1055=1,M1055="F",SUMIF(C2:C1334,C1055,AS2:AS1334)&lt;=1),SUMIF(C2:C1334,C1055,AS2:AS1334),IF(AND(AT1055=1,M1055="F",SUMIF(C2:C1334,C1055,AS2:AS1334)&gt;1),1,"")))</f>
        <v>1</v>
      </c>
      <c r="AV1055" s="387" t="str">
        <f>IF(AT1055=0,"",IF(AND(AT1055=3,M1055="F",SUMIF(C2:C1334,C1055,AS2:AS1334)&lt;=1),SUMIF(C2:C1334,C1055,AS2:AS1334),IF(AND(AT1055=3,M1055="F",SUMIF(C2:C1334,C1055,AS2:AS1334)&gt;1),1,"")))</f>
        <v/>
      </c>
      <c r="AW1055" s="387">
        <f>SUMIF(C2:C1334,C1055,O2:O1334)</f>
        <v>2</v>
      </c>
      <c r="AX1055" s="387">
        <f>IF(AND(M1055="F",AS1055&lt;&gt;0),SUMIF(C2:C1334,C1055,W2:W1334),0)</f>
        <v>43139.199999999997</v>
      </c>
      <c r="AY1055" s="387">
        <f t="shared" si="733"/>
        <v>43139.199999999997</v>
      </c>
      <c r="AZ1055" s="387" t="str">
        <f t="shared" si="734"/>
        <v/>
      </c>
      <c r="BA1055" s="387">
        <f t="shared" si="735"/>
        <v>0</v>
      </c>
      <c r="BB1055" s="387">
        <f t="shared" si="704"/>
        <v>11650</v>
      </c>
      <c r="BC1055" s="387">
        <f t="shared" si="705"/>
        <v>0</v>
      </c>
      <c r="BD1055" s="387">
        <f t="shared" si="706"/>
        <v>2674.6304</v>
      </c>
      <c r="BE1055" s="387">
        <f t="shared" si="707"/>
        <v>625.51840000000004</v>
      </c>
      <c r="BF1055" s="387">
        <f t="shared" si="708"/>
        <v>5150.8204800000003</v>
      </c>
      <c r="BG1055" s="387">
        <f t="shared" si="709"/>
        <v>311.03363200000001</v>
      </c>
      <c r="BH1055" s="387">
        <f t="shared" si="710"/>
        <v>211.38207999999997</v>
      </c>
      <c r="BI1055" s="387">
        <f t="shared" si="711"/>
        <v>238.77547199999998</v>
      </c>
      <c r="BJ1055" s="387">
        <f t="shared" si="712"/>
        <v>116.47584000000001</v>
      </c>
      <c r="BK1055" s="387">
        <f t="shared" si="713"/>
        <v>0</v>
      </c>
      <c r="BL1055" s="387">
        <f t="shared" si="736"/>
        <v>9328.6363039999997</v>
      </c>
      <c r="BM1055" s="387">
        <f t="shared" si="737"/>
        <v>0</v>
      </c>
      <c r="BN1055" s="387">
        <f t="shared" si="714"/>
        <v>11650</v>
      </c>
      <c r="BO1055" s="387">
        <f t="shared" si="715"/>
        <v>0</v>
      </c>
      <c r="BP1055" s="387">
        <f t="shared" si="716"/>
        <v>2674.6304</v>
      </c>
      <c r="BQ1055" s="387">
        <f t="shared" si="717"/>
        <v>625.51840000000004</v>
      </c>
      <c r="BR1055" s="387">
        <f t="shared" si="718"/>
        <v>5150.8204800000003</v>
      </c>
      <c r="BS1055" s="387">
        <f t="shared" si="719"/>
        <v>311.03363200000001</v>
      </c>
      <c r="BT1055" s="387">
        <f t="shared" si="720"/>
        <v>0</v>
      </c>
      <c r="BU1055" s="387">
        <f t="shared" si="721"/>
        <v>238.77547199999998</v>
      </c>
      <c r="BV1055" s="387">
        <f t="shared" si="722"/>
        <v>146.67327999999998</v>
      </c>
      <c r="BW1055" s="387">
        <f t="shared" si="723"/>
        <v>0</v>
      </c>
      <c r="BX1055" s="387">
        <f t="shared" si="738"/>
        <v>9147.4516640000002</v>
      </c>
      <c r="BY1055" s="387">
        <f t="shared" si="739"/>
        <v>0</v>
      </c>
      <c r="BZ1055" s="387">
        <f t="shared" si="740"/>
        <v>0</v>
      </c>
      <c r="CA1055" s="387">
        <f t="shared" si="741"/>
        <v>0</v>
      </c>
      <c r="CB1055" s="387">
        <f t="shared" si="742"/>
        <v>0</v>
      </c>
      <c r="CC1055" s="387">
        <f t="shared" si="724"/>
        <v>0</v>
      </c>
      <c r="CD1055" s="387">
        <f t="shared" si="725"/>
        <v>0</v>
      </c>
      <c r="CE1055" s="387">
        <f t="shared" si="726"/>
        <v>0</v>
      </c>
      <c r="CF1055" s="387">
        <f t="shared" si="727"/>
        <v>-211.38207999999997</v>
      </c>
      <c r="CG1055" s="387">
        <f t="shared" si="728"/>
        <v>0</v>
      </c>
      <c r="CH1055" s="387">
        <f t="shared" si="729"/>
        <v>30.197439999999983</v>
      </c>
      <c r="CI1055" s="387">
        <f t="shared" si="730"/>
        <v>0</v>
      </c>
      <c r="CJ1055" s="387">
        <f t="shared" si="743"/>
        <v>-181.18464</v>
      </c>
      <c r="CK1055" s="387" t="str">
        <f t="shared" si="744"/>
        <v/>
      </c>
      <c r="CL1055" s="387" t="str">
        <f t="shared" si="745"/>
        <v/>
      </c>
      <c r="CM1055" s="387" t="str">
        <f t="shared" si="746"/>
        <v/>
      </c>
      <c r="CN1055" s="387" t="str">
        <f t="shared" si="747"/>
        <v>0348-31</v>
      </c>
    </row>
    <row r="1056" spans="1:92" ht="15.75" thickBot="1" x14ac:dyDescent="0.3">
      <c r="A1056" s="376" t="s">
        <v>161</v>
      </c>
      <c r="B1056" s="376" t="s">
        <v>162</v>
      </c>
      <c r="C1056" s="376" t="s">
        <v>2241</v>
      </c>
      <c r="D1056" s="376" t="s">
        <v>1949</v>
      </c>
      <c r="E1056" s="376" t="s">
        <v>224</v>
      </c>
      <c r="F1056" s="382" t="s">
        <v>225</v>
      </c>
      <c r="G1056" s="376" t="s">
        <v>1945</v>
      </c>
      <c r="H1056" s="378"/>
      <c r="I1056" s="378"/>
      <c r="J1056" s="376" t="s">
        <v>215</v>
      </c>
      <c r="K1056" s="376" t="s">
        <v>1950</v>
      </c>
      <c r="L1056" s="376" t="s">
        <v>170</v>
      </c>
      <c r="M1056" s="376" t="s">
        <v>272</v>
      </c>
      <c r="N1056" s="376" t="s">
        <v>172</v>
      </c>
      <c r="O1056" s="379">
        <v>0</v>
      </c>
      <c r="P1056" s="385">
        <v>1</v>
      </c>
      <c r="Q1056" s="385">
        <v>1</v>
      </c>
      <c r="R1056" s="380">
        <v>80</v>
      </c>
      <c r="S1056" s="385">
        <v>1</v>
      </c>
      <c r="T1056" s="380">
        <v>44241.2</v>
      </c>
      <c r="U1056" s="380">
        <v>460.32</v>
      </c>
      <c r="V1056" s="380">
        <v>20486.34</v>
      </c>
      <c r="W1056" s="380">
        <v>53476.800000000003</v>
      </c>
      <c r="X1056" s="380">
        <v>23422.83</v>
      </c>
      <c r="Y1056" s="380">
        <v>53476.800000000003</v>
      </c>
      <c r="Z1056" s="380">
        <v>23155.45</v>
      </c>
      <c r="AA1056" s="378"/>
      <c r="AB1056" s="376" t="s">
        <v>45</v>
      </c>
      <c r="AC1056" s="376" t="s">
        <v>45</v>
      </c>
      <c r="AD1056" s="378"/>
      <c r="AE1056" s="378"/>
      <c r="AF1056" s="378"/>
      <c r="AG1056" s="378"/>
      <c r="AH1056" s="379">
        <v>0</v>
      </c>
      <c r="AI1056" s="379">
        <v>0</v>
      </c>
      <c r="AJ1056" s="378"/>
      <c r="AK1056" s="378"/>
      <c r="AL1056" s="376" t="s">
        <v>181</v>
      </c>
      <c r="AM1056" s="378"/>
      <c r="AN1056" s="378"/>
      <c r="AO1056" s="379">
        <v>0</v>
      </c>
      <c r="AP1056" s="385">
        <v>0</v>
      </c>
      <c r="AQ1056" s="385">
        <v>0</v>
      </c>
      <c r="AR1056" s="384"/>
      <c r="AS1056" s="387">
        <f t="shared" si="731"/>
        <v>0</v>
      </c>
      <c r="AT1056">
        <f t="shared" si="732"/>
        <v>0</v>
      </c>
      <c r="AU1056" s="387" t="str">
        <f>IF(AT1056=0,"",IF(AND(AT1056=1,M1056="F",SUMIF(C2:C1334,C1056,AS2:AS1334)&lt;=1),SUMIF(C2:C1334,C1056,AS2:AS1334),IF(AND(AT1056=1,M1056="F",SUMIF(C2:C1334,C1056,AS2:AS1334)&gt;1),1,"")))</f>
        <v/>
      </c>
      <c r="AV1056" s="387" t="str">
        <f>IF(AT1056=0,"",IF(AND(AT1056=3,M1056="F",SUMIF(C2:C1334,C1056,AS2:AS1334)&lt;=1),SUMIF(C2:C1334,C1056,AS2:AS1334),IF(AND(AT1056=3,M1056="F",SUMIF(C2:C1334,C1056,AS2:AS1334)&gt;1),1,"")))</f>
        <v/>
      </c>
      <c r="AW1056" s="387">
        <f>SUMIF(C2:C1334,C1056,O2:O1334)</f>
        <v>0</v>
      </c>
      <c r="AX1056" s="387">
        <f>IF(AND(M1056="F",AS1056&lt;&gt;0),SUMIF(C2:C1334,C1056,W2:W1334),0)</f>
        <v>0</v>
      </c>
      <c r="AY1056" s="387" t="str">
        <f t="shared" si="733"/>
        <v/>
      </c>
      <c r="AZ1056" s="387" t="str">
        <f t="shared" si="734"/>
        <v/>
      </c>
      <c r="BA1056" s="387">
        <f t="shared" si="735"/>
        <v>0</v>
      </c>
      <c r="BB1056" s="387">
        <f t="shared" si="704"/>
        <v>0</v>
      </c>
      <c r="BC1056" s="387">
        <f t="shared" si="705"/>
        <v>0</v>
      </c>
      <c r="BD1056" s="387">
        <f t="shared" si="706"/>
        <v>0</v>
      </c>
      <c r="BE1056" s="387">
        <f t="shared" si="707"/>
        <v>0</v>
      </c>
      <c r="BF1056" s="387">
        <f t="shared" si="708"/>
        <v>0</v>
      </c>
      <c r="BG1056" s="387">
        <f t="shared" si="709"/>
        <v>0</v>
      </c>
      <c r="BH1056" s="387">
        <f t="shared" si="710"/>
        <v>0</v>
      </c>
      <c r="BI1056" s="387">
        <f t="shared" si="711"/>
        <v>0</v>
      </c>
      <c r="BJ1056" s="387">
        <f t="shared" si="712"/>
        <v>0</v>
      </c>
      <c r="BK1056" s="387">
        <f t="shared" si="713"/>
        <v>0</v>
      </c>
      <c r="BL1056" s="387">
        <f t="shared" si="736"/>
        <v>0</v>
      </c>
      <c r="BM1056" s="387">
        <f t="shared" si="737"/>
        <v>0</v>
      </c>
      <c r="BN1056" s="387">
        <f t="shared" si="714"/>
        <v>0</v>
      </c>
      <c r="BO1056" s="387">
        <f t="shared" si="715"/>
        <v>0</v>
      </c>
      <c r="BP1056" s="387">
        <f t="shared" si="716"/>
        <v>0</v>
      </c>
      <c r="BQ1056" s="387">
        <f t="shared" si="717"/>
        <v>0</v>
      </c>
      <c r="BR1056" s="387">
        <f t="shared" si="718"/>
        <v>0</v>
      </c>
      <c r="BS1056" s="387">
        <f t="shared" si="719"/>
        <v>0</v>
      </c>
      <c r="BT1056" s="387">
        <f t="shared" si="720"/>
        <v>0</v>
      </c>
      <c r="BU1056" s="387">
        <f t="shared" si="721"/>
        <v>0</v>
      </c>
      <c r="BV1056" s="387">
        <f t="shared" si="722"/>
        <v>0</v>
      </c>
      <c r="BW1056" s="387">
        <f t="shared" si="723"/>
        <v>0</v>
      </c>
      <c r="BX1056" s="387">
        <f t="shared" si="738"/>
        <v>0</v>
      </c>
      <c r="BY1056" s="387">
        <f t="shared" si="739"/>
        <v>0</v>
      </c>
      <c r="BZ1056" s="387">
        <f t="shared" si="740"/>
        <v>0</v>
      </c>
      <c r="CA1056" s="387">
        <f t="shared" si="741"/>
        <v>0</v>
      </c>
      <c r="CB1056" s="387">
        <f t="shared" si="742"/>
        <v>0</v>
      </c>
      <c r="CC1056" s="387">
        <f t="shared" si="724"/>
        <v>0</v>
      </c>
      <c r="CD1056" s="387">
        <f t="shared" si="725"/>
        <v>0</v>
      </c>
      <c r="CE1056" s="387">
        <f t="shared" si="726"/>
        <v>0</v>
      </c>
      <c r="CF1056" s="387">
        <f t="shared" si="727"/>
        <v>0</v>
      </c>
      <c r="CG1056" s="387">
        <f t="shared" si="728"/>
        <v>0</v>
      </c>
      <c r="CH1056" s="387">
        <f t="shared" si="729"/>
        <v>0</v>
      </c>
      <c r="CI1056" s="387">
        <f t="shared" si="730"/>
        <v>0</v>
      </c>
      <c r="CJ1056" s="387">
        <f t="shared" si="743"/>
        <v>0</v>
      </c>
      <c r="CK1056" s="387" t="str">
        <f t="shared" si="744"/>
        <v/>
      </c>
      <c r="CL1056" s="387" t="str">
        <f t="shared" si="745"/>
        <v/>
      </c>
      <c r="CM1056" s="387" t="str">
        <f t="shared" si="746"/>
        <v/>
      </c>
      <c r="CN1056" s="387" t="str">
        <f t="shared" si="747"/>
        <v>0348-31</v>
      </c>
    </row>
    <row r="1057" spans="1:92" ht="15.75" thickBot="1" x14ac:dyDescent="0.3">
      <c r="A1057" s="376" t="s">
        <v>161</v>
      </c>
      <c r="B1057" s="376" t="s">
        <v>162</v>
      </c>
      <c r="C1057" s="376" t="s">
        <v>1744</v>
      </c>
      <c r="D1057" s="376" t="s">
        <v>792</v>
      </c>
      <c r="E1057" s="376" t="s">
        <v>224</v>
      </c>
      <c r="F1057" s="382" t="s">
        <v>225</v>
      </c>
      <c r="G1057" s="376" t="s">
        <v>1945</v>
      </c>
      <c r="H1057" s="378"/>
      <c r="I1057" s="378"/>
      <c r="J1057" s="376" t="s">
        <v>239</v>
      </c>
      <c r="K1057" s="376" t="s">
        <v>793</v>
      </c>
      <c r="L1057" s="376" t="s">
        <v>170</v>
      </c>
      <c r="M1057" s="376" t="s">
        <v>171</v>
      </c>
      <c r="N1057" s="376" t="s">
        <v>172</v>
      </c>
      <c r="O1057" s="379">
        <v>1</v>
      </c>
      <c r="P1057" s="385">
        <v>0.5</v>
      </c>
      <c r="Q1057" s="385">
        <v>0.5</v>
      </c>
      <c r="R1057" s="380">
        <v>80</v>
      </c>
      <c r="S1057" s="385">
        <v>0.5</v>
      </c>
      <c r="T1057" s="380">
        <v>26112.55</v>
      </c>
      <c r="U1057" s="380">
        <v>1373.9</v>
      </c>
      <c r="V1057" s="380">
        <v>11597.78</v>
      </c>
      <c r="W1057" s="380">
        <v>25584</v>
      </c>
      <c r="X1057" s="380">
        <v>11357.52</v>
      </c>
      <c r="Y1057" s="380">
        <v>25584</v>
      </c>
      <c r="Z1057" s="380">
        <v>11250.07</v>
      </c>
      <c r="AA1057" s="376" t="s">
        <v>1745</v>
      </c>
      <c r="AB1057" s="376" t="s">
        <v>1746</v>
      </c>
      <c r="AC1057" s="376" t="s">
        <v>1747</v>
      </c>
      <c r="AD1057" s="376" t="s">
        <v>1748</v>
      </c>
      <c r="AE1057" s="376" t="s">
        <v>793</v>
      </c>
      <c r="AF1057" s="376" t="s">
        <v>177</v>
      </c>
      <c r="AG1057" s="376" t="s">
        <v>178</v>
      </c>
      <c r="AH1057" s="381">
        <v>24.6</v>
      </c>
      <c r="AI1057" s="381">
        <v>62754.6</v>
      </c>
      <c r="AJ1057" s="376" t="s">
        <v>179</v>
      </c>
      <c r="AK1057" s="376" t="s">
        <v>180</v>
      </c>
      <c r="AL1057" s="376" t="s">
        <v>181</v>
      </c>
      <c r="AM1057" s="376" t="s">
        <v>182</v>
      </c>
      <c r="AN1057" s="376" t="s">
        <v>68</v>
      </c>
      <c r="AO1057" s="379">
        <v>80</v>
      </c>
      <c r="AP1057" s="385">
        <v>1</v>
      </c>
      <c r="AQ1057" s="385">
        <v>0.5</v>
      </c>
      <c r="AR1057" s="383" t="s">
        <v>183</v>
      </c>
      <c r="AS1057" s="387">
        <f t="shared" si="731"/>
        <v>0.5</v>
      </c>
      <c r="AT1057">
        <f t="shared" si="732"/>
        <v>1</v>
      </c>
      <c r="AU1057" s="387">
        <f>IF(AT1057=0,"",IF(AND(AT1057=1,M1057="F",SUMIF(C2:C1334,C1057,AS2:AS1334)&lt;=1),SUMIF(C2:C1334,C1057,AS2:AS1334),IF(AND(AT1057=1,M1057="F",SUMIF(C2:C1334,C1057,AS2:AS1334)&gt;1),1,"")))</f>
        <v>1</v>
      </c>
      <c r="AV1057" s="387" t="str">
        <f>IF(AT1057=0,"",IF(AND(AT1057=3,M1057="F",SUMIF(C2:C1334,C1057,AS2:AS1334)&lt;=1),SUMIF(C2:C1334,C1057,AS2:AS1334),IF(AND(AT1057=3,M1057="F",SUMIF(C2:C1334,C1057,AS2:AS1334)&gt;1),1,"")))</f>
        <v/>
      </c>
      <c r="AW1057" s="387">
        <f>SUMIF(C2:C1334,C1057,O2:O1334)</f>
        <v>3</v>
      </c>
      <c r="AX1057" s="387">
        <f>IF(AND(M1057="F",AS1057&lt;&gt;0),SUMIF(C2:C1334,C1057,W2:W1334),0)</f>
        <v>51168</v>
      </c>
      <c r="AY1057" s="387">
        <f t="shared" si="733"/>
        <v>25584</v>
      </c>
      <c r="AZ1057" s="387" t="str">
        <f t="shared" si="734"/>
        <v/>
      </c>
      <c r="BA1057" s="387">
        <f t="shared" si="735"/>
        <v>0</v>
      </c>
      <c r="BB1057" s="387">
        <f t="shared" si="704"/>
        <v>5825</v>
      </c>
      <c r="BC1057" s="387">
        <f t="shared" si="705"/>
        <v>0</v>
      </c>
      <c r="BD1057" s="387">
        <f t="shared" si="706"/>
        <v>1586.2080000000001</v>
      </c>
      <c r="BE1057" s="387">
        <f t="shared" si="707"/>
        <v>370.96800000000002</v>
      </c>
      <c r="BF1057" s="387">
        <f t="shared" si="708"/>
        <v>3054.7296000000001</v>
      </c>
      <c r="BG1057" s="387">
        <f t="shared" si="709"/>
        <v>184.46064000000001</v>
      </c>
      <c r="BH1057" s="387">
        <f t="shared" si="710"/>
        <v>125.3616</v>
      </c>
      <c r="BI1057" s="387">
        <f t="shared" si="711"/>
        <v>141.60744</v>
      </c>
      <c r="BJ1057" s="387">
        <f t="shared" si="712"/>
        <v>69.076800000000006</v>
      </c>
      <c r="BK1057" s="387">
        <f t="shared" si="713"/>
        <v>0</v>
      </c>
      <c r="BL1057" s="387">
        <f t="shared" si="736"/>
        <v>5532.4120800000001</v>
      </c>
      <c r="BM1057" s="387">
        <f t="shared" si="737"/>
        <v>0</v>
      </c>
      <c r="BN1057" s="387">
        <f t="shared" si="714"/>
        <v>5825</v>
      </c>
      <c r="BO1057" s="387">
        <f t="shared" si="715"/>
        <v>0</v>
      </c>
      <c r="BP1057" s="387">
        <f t="shared" si="716"/>
        <v>1586.2080000000001</v>
      </c>
      <c r="BQ1057" s="387">
        <f t="shared" si="717"/>
        <v>370.96800000000002</v>
      </c>
      <c r="BR1057" s="387">
        <f t="shared" si="718"/>
        <v>3054.7296000000001</v>
      </c>
      <c r="BS1057" s="387">
        <f t="shared" si="719"/>
        <v>184.46064000000001</v>
      </c>
      <c r="BT1057" s="387">
        <f t="shared" si="720"/>
        <v>0</v>
      </c>
      <c r="BU1057" s="387">
        <f t="shared" si="721"/>
        <v>141.60744</v>
      </c>
      <c r="BV1057" s="387">
        <f t="shared" si="722"/>
        <v>86.985599999999991</v>
      </c>
      <c r="BW1057" s="387">
        <f t="shared" si="723"/>
        <v>0</v>
      </c>
      <c r="BX1057" s="387">
        <f t="shared" si="738"/>
        <v>5424.95928</v>
      </c>
      <c r="BY1057" s="387">
        <f t="shared" si="739"/>
        <v>0</v>
      </c>
      <c r="BZ1057" s="387">
        <f t="shared" si="740"/>
        <v>0</v>
      </c>
      <c r="CA1057" s="387">
        <f t="shared" si="741"/>
        <v>0</v>
      </c>
      <c r="CB1057" s="387">
        <f t="shared" si="742"/>
        <v>0</v>
      </c>
      <c r="CC1057" s="387">
        <f t="shared" si="724"/>
        <v>0</v>
      </c>
      <c r="CD1057" s="387">
        <f t="shared" si="725"/>
        <v>0</v>
      </c>
      <c r="CE1057" s="387">
        <f t="shared" si="726"/>
        <v>0</v>
      </c>
      <c r="CF1057" s="387">
        <f t="shared" si="727"/>
        <v>-125.3616</v>
      </c>
      <c r="CG1057" s="387">
        <f t="shared" si="728"/>
        <v>0</v>
      </c>
      <c r="CH1057" s="387">
        <f t="shared" si="729"/>
        <v>17.908799999999992</v>
      </c>
      <c r="CI1057" s="387">
        <f t="shared" si="730"/>
        <v>0</v>
      </c>
      <c r="CJ1057" s="387">
        <f t="shared" si="743"/>
        <v>-107.4528</v>
      </c>
      <c r="CK1057" s="387" t="str">
        <f t="shared" si="744"/>
        <v/>
      </c>
      <c r="CL1057" s="387" t="str">
        <f t="shared" si="745"/>
        <v/>
      </c>
      <c r="CM1057" s="387" t="str">
        <f t="shared" si="746"/>
        <v/>
      </c>
      <c r="CN1057" s="387" t="str">
        <f t="shared" si="747"/>
        <v>0348-31</v>
      </c>
    </row>
    <row r="1058" spans="1:92" ht="15.75" thickBot="1" x14ac:dyDescent="0.3">
      <c r="A1058" s="376" t="s">
        <v>161</v>
      </c>
      <c r="B1058" s="376" t="s">
        <v>162</v>
      </c>
      <c r="C1058" s="376" t="s">
        <v>573</v>
      </c>
      <c r="D1058" s="376" t="s">
        <v>574</v>
      </c>
      <c r="E1058" s="376" t="s">
        <v>224</v>
      </c>
      <c r="F1058" s="382" t="s">
        <v>225</v>
      </c>
      <c r="G1058" s="376" t="s">
        <v>1945</v>
      </c>
      <c r="H1058" s="378"/>
      <c r="I1058" s="378"/>
      <c r="J1058" s="376" t="s">
        <v>215</v>
      </c>
      <c r="K1058" s="376" t="s">
        <v>575</v>
      </c>
      <c r="L1058" s="376" t="s">
        <v>351</v>
      </c>
      <c r="M1058" s="376" t="s">
        <v>171</v>
      </c>
      <c r="N1058" s="376" t="s">
        <v>172</v>
      </c>
      <c r="O1058" s="379">
        <v>1</v>
      </c>
      <c r="P1058" s="385">
        <v>0</v>
      </c>
      <c r="Q1058" s="385">
        <v>0</v>
      </c>
      <c r="R1058" s="380">
        <v>80</v>
      </c>
      <c r="S1058" s="385">
        <v>0</v>
      </c>
      <c r="T1058" s="380">
        <v>173.85</v>
      </c>
      <c r="U1058" s="380">
        <v>0</v>
      </c>
      <c r="V1058" s="380">
        <v>55.88</v>
      </c>
      <c r="W1058" s="380">
        <v>0</v>
      </c>
      <c r="X1058" s="380">
        <v>0</v>
      </c>
      <c r="Y1058" s="380">
        <v>0</v>
      </c>
      <c r="Z1058" s="380">
        <v>0</v>
      </c>
      <c r="AA1058" s="376" t="s">
        <v>576</v>
      </c>
      <c r="AB1058" s="376" t="s">
        <v>577</v>
      </c>
      <c r="AC1058" s="376" t="s">
        <v>578</v>
      </c>
      <c r="AD1058" s="376" t="s">
        <v>324</v>
      </c>
      <c r="AE1058" s="376" t="s">
        <v>575</v>
      </c>
      <c r="AF1058" s="376" t="s">
        <v>355</v>
      </c>
      <c r="AG1058" s="376" t="s">
        <v>178</v>
      </c>
      <c r="AH1058" s="381">
        <v>59.11</v>
      </c>
      <c r="AI1058" s="381">
        <v>60583.6</v>
      </c>
      <c r="AJ1058" s="376" t="s">
        <v>179</v>
      </c>
      <c r="AK1058" s="376" t="s">
        <v>180</v>
      </c>
      <c r="AL1058" s="376" t="s">
        <v>181</v>
      </c>
      <c r="AM1058" s="376" t="s">
        <v>182</v>
      </c>
      <c r="AN1058" s="376" t="s">
        <v>68</v>
      </c>
      <c r="AO1058" s="379">
        <v>80</v>
      </c>
      <c r="AP1058" s="385">
        <v>1</v>
      </c>
      <c r="AQ1058" s="385">
        <v>0</v>
      </c>
      <c r="AR1058" s="383" t="s">
        <v>183</v>
      </c>
      <c r="AS1058" s="387">
        <f t="shared" si="731"/>
        <v>0</v>
      </c>
      <c r="AT1058">
        <f t="shared" si="732"/>
        <v>0</v>
      </c>
      <c r="AU1058" s="387" t="str">
        <f>IF(AT1058=0,"",IF(AND(AT1058=1,M1058="F",SUMIF(C2:C1334,C1058,AS2:AS1334)&lt;=1),SUMIF(C2:C1334,C1058,AS2:AS1334),IF(AND(AT1058=1,M1058="F",SUMIF(C2:C1334,C1058,AS2:AS1334)&gt;1),1,"")))</f>
        <v/>
      </c>
      <c r="AV1058" s="387" t="str">
        <f>IF(AT1058=0,"",IF(AND(AT1058=3,M1058="F",SUMIF(C2:C1334,C1058,AS2:AS1334)&lt;=1),SUMIF(C2:C1334,C1058,AS2:AS1334),IF(AND(AT1058=3,M1058="F",SUMIF(C2:C1334,C1058,AS2:AS1334)&gt;1),1,"")))</f>
        <v/>
      </c>
      <c r="AW1058" s="387">
        <f>SUMIF(C2:C1334,C1058,O2:O1334)</f>
        <v>3</v>
      </c>
      <c r="AX1058" s="387">
        <f>IF(AND(M1058="F",AS1058&lt;&gt;0),SUMIF(C2:C1334,C1058,W2:W1334),0)</f>
        <v>0</v>
      </c>
      <c r="AY1058" s="387" t="str">
        <f t="shared" si="733"/>
        <v/>
      </c>
      <c r="AZ1058" s="387" t="str">
        <f t="shared" si="734"/>
        <v/>
      </c>
      <c r="BA1058" s="387">
        <f t="shared" si="735"/>
        <v>0</v>
      </c>
      <c r="BB1058" s="387">
        <f t="shared" si="704"/>
        <v>0</v>
      </c>
      <c r="BC1058" s="387">
        <f t="shared" si="705"/>
        <v>0</v>
      </c>
      <c r="BD1058" s="387">
        <f t="shared" si="706"/>
        <v>0</v>
      </c>
      <c r="BE1058" s="387">
        <f t="shared" si="707"/>
        <v>0</v>
      </c>
      <c r="BF1058" s="387">
        <f t="shared" si="708"/>
        <v>0</v>
      </c>
      <c r="BG1058" s="387">
        <f t="shared" si="709"/>
        <v>0</v>
      </c>
      <c r="BH1058" s="387">
        <f t="shared" si="710"/>
        <v>0</v>
      </c>
      <c r="BI1058" s="387">
        <f t="shared" si="711"/>
        <v>0</v>
      </c>
      <c r="BJ1058" s="387">
        <f t="shared" si="712"/>
        <v>0</v>
      </c>
      <c r="BK1058" s="387">
        <f t="shared" si="713"/>
        <v>0</v>
      </c>
      <c r="BL1058" s="387">
        <f t="shared" si="736"/>
        <v>0</v>
      </c>
      <c r="BM1058" s="387">
        <f t="shared" si="737"/>
        <v>0</v>
      </c>
      <c r="BN1058" s="387">
        <f t="shared" si="714"/>
        <v>0</v>
      </c>
      <c r="BO1058" s="387">
        <f t="shared" si="715"/>
        <v>0</v>
      </c>
      <c r="BP1058" s="387">
        <f t="shared" si="716"/>
        <v>0</v>
      </c>
      <c r="BQ1058" s="387">
        <f t="shared" si="717"/>
        <v>0</v>
      </c>
      <c r="BR1058" s="387">
        <f t="shared" si="718"/>
        <v>0</v>
      </c>
      <c r="BS1058" s="387">
        <f t="shared" si="719"/>
        <v>0</v>
      </c>
      <c r="BT1058" s="387">
        <f t="shared" si="720"/>
        <v>0</v>
      </c>
      <c r="BU1058" s="387">
        <f t="shared" si="721"/>
        <v>0</v>
      </c>
      <c r="BV1058" s="387">
        <f t="shared" si="722"/>
        <v>0</v>
      </c>
      <c r="BW1058" s="387">
        <f t="shared" si="723"/>
        <v>0</v>
      </c>
      <c r="BX1058" s="387">
        <f t="shared" si="738"/>
        <v>0</v>
      </c>
      <c r="BY1058" s="387">
        <f t="shared" si="739"/>
        <v>0</v>
      </c>
      <c r="BZ1058" s="387">
        <f t="shared" si="740"/>
        <v>0</v>
      </c>
      <c r="CA1058" s="387">
        <f t="shared" si="741"/>
        <v>0</v>
      </c>
      <c r="CB1058" s="387">
        <f t="shared" si="742"/>
        <v>0</v>
      </c>
      <c r="CC1058" s="387">
        <f t="shared" si="724"/>
        <v>0</v>
      </c>
      <c r="CD1058" s="387">
        <f t="shared" si="725"/>
        <v>0</v>
      </c>
      <c r="CE1058" s="387">
        <f t="shared" si="726"/>
        <v>0</v>
      </c>
      <c r="CF1058" s="387">
        <f t="shared" si="727"/>
        <v>0</v>
      </c>
      <c r="CG1058" s="387">
        <f t="shared" si="728"/>
        <v>0</v>
      </c>
      <c r="CH1058" s="387">
        <f t="shared" si="729"/>
        <v>0</v>
      </c>
      <c r="CI1058" s="387">
        <f t="shared" si="730"/>
        <v>0</v>
      </c>
      <c r="CJ1058" s="387">
        <f t="shared" si="743"/>
        <v>0</v>
      </c>
      <c r="CK1058" s="387" t="str">
        <f t="shared" si="744"/>
        <v/>
      </c>
      <c r="CL1058" s="387" t="str">
        <f t="shared" si="745"/>
        <v/>
      </c>
      <c r="CM1058" s="387" t="str">
        <f t="shared" si="746"/>
        <v/>
      </c>
      <c r="CN1058" s="387" t="str">
        <f t="shared" si="747"/>
        <v>0348-31</v>
      </c>
    </row>
    <row r="1059" spans="1:92" ht="15.75" thickBot="1" x14ac:dyDescent="0.3">
      <c r="A1059" s="376" t="s">
        <v>161</v>
      </c>
      <c r="B1059" s="376" t="s">
        <v>162</v>
      </c>
      <c r="C1059" s="376" t="s">
        <v>2242</v>
      </c>
      <c r="D1059" s="376" t="s">
        <v>270</v>
      </c>
      <c r="E1059" s="376" t="s">
        <v>224</v>
      </c>
      <c r="F1059" s="382" t="s">
        <v>225</v>
      </c>
      <c r="G1059" s="376" t="s">
        <v>1945</v>
      </c>
      <c r="H1059" s="378"/>
      <c r="I1059" s="378"/>
      <c r="J1059" s="376" t="s">
        <v>215</v>
      </c>
      <c r="K1059" s="376" t="s">
        <v>271</v>
      </c>
      <c r="L1059" s="376" t="s">
        <v>217</v>
      </c>
      <c r="M1059" s="376" t="s">
        <v>171</v>
      </c>
      <c r="N1059" s="376" t="s">
        <v>172</v>
      </c>
      <c r="O1059" s="379">
        <v>1</v>
      </c>
      <c r="P1059" s="385">
        <v>1</v>
      </c>
      <c r="Q1059" s="385">
        <v>1</v>
      </c>
      <c r="R1059" s="380">
        <v>80</v>
      </c>
      <c r="S1059" s="385">
        <v>1</v>
      </c>
      <c r="T1059" s="380">
        <v>24315.599999999999</v>
      </c>
      <c r="U1059" s="380">
        <v>0</v>
      </c>
      <c r="V1059" s="380">
        <v>14630.44</v>
      </c>
      <c r="W1059" s="380">
        <v>34132.800000000003</v>
      </c>
      <c r="X1059" s="380">
        <v>19031.18</v>
      </c>
      <c r="Y1059" s="380">
        <v>34132.800000000003</v>
      </c>
      <c r="Z1059" s="380">
        <v>18887.830000000002</v>
      </c>
      <c r="AA1059" s="376" t="s">
        <v>2243</v>
      </c>
      <c r="AB1059" s="376" t="s">
        <v>2244</v>
      </c>
      <c r="AC1059" s="376" t="s">
        <v>2245</v>
      </c>
      <c r="AD1059" s="376" t="s">
        <v>324</v>
      </c>
      <c r="AE1059" s="376" t="s">
        <v>271</v>
      </c>
      <c r="AF1059" s="376" t="s">
        <v>221</v>
      </c>
      <c r="AG1059" s="376" t="s">
        <v>178</v>
      </c>
      <c r="AH1059" s="381">
        <v>16.41</v>
      </c>
      <c r="AI1059" s="381">
        <v>13903.3</v>
      </c>
      <c r="AJ1059" s="376" t="s">
        <v>179</v>
      </c>
      <c r="AK1059" s="376" t="s">
        <v>180</v>
      </c>
      <c r="AL1059" s="376" t="s">
        <v>181</v>
      </c>
      <c r="AM1059" s="376" t="s">
        <v>182</v>
      </c>
      <c r="AN1059" s="376" t="s">
        <v>68</v>
      </c>
      <c r="AO1059" s="379">
        <v>80</v>
      </c>
      <c r="AP1059" s="385">
        <v>1</v>
      </c>
      <c r="AQ1059" s="385">
        <v>1</v>
      </c>
      <c r="AR1059" s="383" t="s">
        <v>183</v>
      </c>
      <c r="AS1059" s="387">
        <f t="shared" si="731"/>
        <v>1</v>
      </c>
      <c r="AT1059">
        <f t="shared" si="732"/>
        <v>1</v>
      </c>
      <c r="AU1059" s="387">
        <f>IF(AT1059=0,"",IF(AND(AT1059=1,M1059="F",SUMIF(C2:C1334,C1059,AS2:AS1334)&lt;=1),SUMIF(C2:C1334,C1059,AS2:AS1334),IF(AND(AT1059=1,M1059="F",SUMIF(C2:C1334,C1059,AS2:AS1334)&gt;1),1,"")))</f>
        <v>1</v>
      </c>
      <c r="AV1059" s="387" t="str">
        <f>IF(AT1059=0,"",IF(AND(AT1059=3,M1059="F",SUMIF(C2:C1334,C1059,AS2:AS1334)&lt;=1),SUMIF(C2:C1334,C1059,AS2:AS1334),IF(AND(AT1059=3,M1059="F",SUMIF(C2:C1334,C1059,AS2:AS1334)&gt;1),1,"")))</f>
        <v/>
      </c>
      <c r="AW1059" s="387">
        <f>SUMIF(C2:C1334,C1059,O2:O1334)</f>
        <v>1</v>
      </c>
      <c r="AX1059" s="387">
        <f>IF(AND(M1059="F",AS1059&lt;&gt;0),SUMIF(C2:C1334,C1059,W2:W1334),0)</f>
        <v>34132.800000000003</v>
      </c>
      <c r="AY1059" s="387">
        <f t="shared" si="733"/>
        <v>34132.800000000003</v>
      </c>
      <c r="AZ1059" s="387" t="str">
        <f t="shared" si="734"/>
        <v/>
      </c>
      <c r="BA1059" s="387">
        <f t="shared" si="735"/>
        <v>0</v>
      </c>
      <c r="BB1059" s="387">
        <f t="shared" si="704"/>
        <v>11650</v>
      </c>
      <c r="BC1059" s="387">
        <f t="shared" si="705"/>
        <v>0</v>
      </c>
      <c r="BD1059" s="387">
        <f t="shared" si="706"/>
        <v>2116.2336</v>
      </c>
      <c r="BE1059" s="387">
        <f t="shared" si="707"/>
        <v>494.92560000000009</v>
      </c>
      <c r="BF1059" s="387">
        <f t="shared" si="708"/>
        <v>4075.4563200000007</v>
      </c>
      <c r="BG1059" s="387">
        <f t="shared" si="709"/>
        <v>246.09748800000003</v>
      </c>
      <c r="BH1059" s="387">
        <f t="shared" si="710"/>
        <v>167.25072</v>
      </c>
      <c r="BI1059" s="387">
        <f t="shared" si="711"/>
        <v>188.925048</v>
      </c>
      <c r="BJ1059" s="387">
        <f t="shared" si="712"/>
        <v>92.158560000000008</v>
      </c>
      <c r="BK1059" s="387">
        <f t="shared" si="713"/>
        <v>0</v>
      </c>
      <c r="BL1059" s="387">
        <f t="shared" si="736"/>
        <v>7381.0473360000015</v>
      </c>
      <c r="BM1059" s="387">
        <f t="shared" si="737"/>
        <v>0</v>
      </c>
      <c r="BN1059" s="387">
        <f t="shared" si="714"/>
        <v>11650</v>
      </c>
      <c r="BO1059" s="387">
        <f t="shared" si="715"/>
        <v>0</v>
      </c>
      <c r="BP1059" s="387">
        <f t="shared" si="716"/>
        <v>2116.2336</v>
      </c>
      <c r="BQ1059" s="387">
        <f t="shared" si="717"/>
        <v>494.92560000000009</v>
      </c>
      <c r="BR1059" s="387">
        <f t="shared" si="718"/>
        <v>4075.4563200000007</v>
      </c>
      <c r="BS1059" s="387">
        <f t="shared" si="719"/>
        <v>246.09748800000003</v>
      </c>
      <c r="BT1059" s="387">
        <f t="shared" si="720"/>
        <v>0</v>
      </c>
      <c r="BU1059" s="387">
        <f t="shared" si="721"/>
        <v>188.925048</v>
      </c>
      <c r="BV1059" s="387">
        <f t="shared" si="722"/>
        <v>116.05152</v>
      </c>
      <c r="BW1059" s="387">
        <f t="shared" si="723"/>
        <v>0</v>
      </c>
      <c r="BX1059" s="387">
        <f t="shared" si="738"/>
        <v>7237.6895760000016</v>
      </c>
      <c r="BY1059" s="387">
        <f t="shared" si="739"/>
        <v>0</v>
      </c>
      <c r="BZ1059" s="387">
        <f t="shared" si="740"/>
        <v>0</v>
      </c>
      <c r="CA1059" s="387">
        <f t="shared" si="741"/>
        <v>0</v>
      </c>
      <c r="CB1059" s="387">
        <f t="shared" si="742"/>
        <v>0</v>
      </c>
      <c r="CC1059" s="387">
        <f t="shared" si="724"/>
        <v>0</v>
      </c>
      <c r="CD1059" s="387">
        <f t="shared" si="725"/>
        <v>0</v>
      </c>
      <c r="CE1059" s="387">
        <f t="shared" si="726"/>
        <v>0</v>
      </c>
      <c r="CF1059" s="387">
        <f t="shared" si="727"/>
        <v>-167.25072</v>
      </c>
      <c r="CG1059" s="387">
        <f t="shared" si="728"/>
        <v>0</v>
      </c>
      <c r="CH1059" s="387">
        <f t="shared" si="729"/>
        <v>23.892959999999992</v>
      </c>
      <c r="CI1059" s="387">
        <f t="shared" si="730"/>
        <v>0</v>
      </c>
      <c r="CJ1059" s="387">
        <f t="shared" si="743"/>
        <v>-143.35776000000001</v>
      </c>
      <c r="CK1059" s="387" t="str">
        <f t="shared" si="744"/>
        <v/>
      </c>
      <c r="CL1059" s="387" t="str">
        <f t="shared" si="745"/>
        <v/>
      </c>
      <c r="CM1059" s="387" t="str">
        <f t="shared" si="746"/>
        <v/>
      </c>
      <c r="CN1059" s="387" t="str">
        <f t="shared" si="747"/>
        <v>0348-31</v>
      </c>
    </row>
    <row r="1060" spans="1:92" ht="15.75" thickBot="1" x14ac:dyDescent="0.3">
      <c r="A1060" s="376" t="s">
        <v>161</v>
      </c>
      <c r="B1060" s="376" t="s">
        <v>162</v>
      </c>
      <c r="C1060" s="376" t="s">
        <v>2246</v>
      </c>
      <c r="D1060" s="376" t="s">
        <v>238</v>
      </c>
      <c r="E1060" s="376" t="s">
        <v>224</v>
      </c>
      <c r="F1060" s="382" t="s">
        <v>225</v>
      </c>
      <c r="G1060" s="376" t="s">
        <v>1945</v>
      </c>
      <c r="H1060" s="378"/>
      <c r="I1060" s="378"/>
      <c r="J1060" s="376" t="s">
        <v>215</v>
      </c>
      <c r="K1060" s="376" t="s">
        <v>285</v>
      </c>
      <c r="L1060" s="376" t="s">
        <v>170</v>
      </c>
      <c r="M1060" s="376" t="s">
        <v>171</v>
      </c>
      <c r="N1060" s="376" t="s">
        <v>172</v>
      </c>
      <c r="O1060" s="379">
        <v>1</v>
      </c>
      <c r="P1060" s="385">
        <v>1</v>
      </c>
      <c r="Q1060" s="385">
        <v>1</v>
      </c>
      <c r="R1060" s="380">
        <v>80</v>
      </c>
      <c r="S1060" s="385">
        <v>1</v>
      </c>
      <c r="T1060" s="380">
        <v>49051.8</v>
      </c>
      <c r="U1060" s="380">
        <v>0</v>
      </c>
      <c r="V1060" s="380">
        <v>21768.13</v>
      </c>
      <c r="W1060" s="380">
        <v>51355.199999999997</v>
      </c>
      <c r="X1060" s="380">
        <v>22755.54</v>
      </c>
      <c r="Y1060" s="380">
        <v>51355.199999999997</v>
      </c>
      <c r="Z1060" s="380">
        <v>22539.85</v>
      </c>
      <c r="AA1060" s="376" t="s">
        <v>2247</v>
      </c>
      <c r="AB1060" s="376" t="s">
        <v>789</v>
      </c>
      <c r="AC1060" s="376" t="s">
        <v>2248</v>
      </c>
      <c r="AD1060" s="376" t="s">
        <v>2249</v>
      </c>
      <c r="AE1060" s="376" t="s">
        <v>285</v>
      </c>
      <c r="AF1060" s="376" t="s">
        <v>177</v>
      </c>
      <c r="AG1060" s="376" t="s">
        <v>178</v>
      </c>
      <c r="AH1060" s="381">
        <v>24.69</v>
      </c>
      <c r="AI1060" s="381">
        <v>8230.9</v>
      </c>
      <c r="AJ1060" s="376" t="s">
        <v>179</v>
      </c>
      <c r="AK1060" s="376" t="s">
        <v>180</v>
      </c>
      <c r="AL1060" s="376" t="s">
        <v>181</v>
      </c>
      <c r="AM1060" s="376" t="s">
        <v>182</v>
      </c>
      <c r="AN1060" s="376" t="s">
        <v>68</v>
      </c>
      <c r="AO1060" s="379">
        <v>80</v>
      </c>
      <c r="AP1060" s="385">
        <v>1</v>
      </c>
      <c r="AQ1060" s="385">
        <v>1</v>
      </c>
      <c r="AR1060" s="383" t="s">
        <v>183</v>
      </c>
      <c r="AS1060" s="387">
        <f t="shared" si="731"/>
        <v>1</v>
      </c>
      <c r="AT1060">
        <f t="shared" si="732"/>
        <v>1</v>
      </c>
      <c r="AU1060" s="387">
        <f>IF(AT1060=0,"",IF(AND(AT1060=1,M1060="F",SUMIF(C2:C1334,C1060,AS2:AS1334)&lt;=1),SUMIF(C2:C1334,C1060,AS2:AS1334),IF(AND(AT1060=1,M1060="F",SUMIF(C2:C1334,C1060,AS2:AS1334)&gt;1),1,"")))</f>
        <v>1</v>
      </c>
      <c r="AV1060" s="387" t="str">
        <f>IF(AT1060=0,"",IF(AND(AT1060=3,M1060="F",SUMIF(C2:C1334,C1060,AS2:AS1334)&lt;=1),SUMIF(C2:C1334,C1060,AS2:AS1334),IF(AND(AT1060=3,M1060="F",SUMIF(C2:C1334,C1060,AS2:AS1334)&gt;1),1,"")))</f>
        <v/>
      </c>
      <c r="AW1060" s="387">
        <f>SUMIF(C2:C1334,C1060,O2:O1334)</f>
        <v>1</v>
      </c>
      <c r="AX1060" s="387">
        <f>IF(AND(M1060="F",AS1060&lt;&gt;0),SUMIF(C2:C1334,C1060,W2:W1334),0)</f>
        <v>51355.199999999997</v>
      </c>
      <c r="AY1060" s="387">
        <f t="shared" si="733"/>
        <v>51355.199999999997</v>
      </c>
      <c r="AZ1060" s="387" t="str">
        <f t="shared" si="734"/>
        <v/>
      </c>
      <c r="BA1060" s="387">
        <f t="shared" si="735"/>
        <v>0</v>
      </c>
      <c r="BB1060" s="387">
        <f t="shared" si="704"/>
        <v>11650</v>
      </c>
      <c r="BC1060" s="387">
        <f t="shared" si="705"/>
        <v>0</v>
      </c>
      <c r="BD1060" s="387">
        <f t="shared" si="706"/>
        <v>3184.0223999999998</v>
      </c>
      <c r="BE1060" s="387">
        <f t="shared" si="707"/>
        <v>744.65039999999999</v>
      </c>
      <c r="BF1060" s="387">
        <f t="shared" si="708"/>
        <v>6131.81088</v>
      </c>
      <c r="BG1060" s="387">
        <f t="shared" si="709"/>
        <v>370.27099199999998</v>
      </c>
      <c r="BH1060" s="387">
        <f t="shared" si="710"/>
        <v>251.64047999999997</v>
      </c>
      <c r="BI1060" s="387">
        <f t="shared" si="711"/>
        <v>284.25103200000001</v>
      </c>
      <c r="BJ1060" s="387">
        <f t="shared" si="712"/>
        <v>138.65904</v>
      </c>
      <c r="BK1060" s="387">
        <f t="shared" si="713"/>
        <v>0</v>
      </c>
      <c r="BL1060" s="387">
        <f t="shared" si="736"/>
        <v>11105.305224</v>
      </c>
      <c r="BM1060" s="387">
        <f t="shared" si="737"/>
        <v>0</v>
      </c>
      <c r="BN1060" s="387">
        <f t="shared" si="714"/>
        <v>11650</v>
      </c>
      <c r="BO1060" s="387">
        <f t="shared" si="715"/>
        <v>0</v>
      </c>
      <c r="BP1060" s="387">
        <f t="shared" si="716"/>
        <v>3184.0223999999998</v>
      </c>
      <c r="BQ1060" s="387">
        <f t="shared" si="717"/>
        <v>744.65039999999999</v>
      </c>
      <c r="BR1060" s="387">
        <f t="shared" si="718"/>
        <v>6131.81088</v>
      </c>
      <c r="BS1060" s="387">
        <f t="shared" si="719"/>
        <v>370.27099199999998</v>
      </c>
      <c r="BT1060" s="387">
        <f t="shared" si="720"/>
        <v>0</v>
      </c>
      <c r="BU1060" s="387">
        <f t="shared" si="721"/>
        <v>284.25103200000001</v>
      </c>
      <c r="BV1060" s="387">
        <f t="shared" si="722"/>
        <v>174.60767999999999</v>
      </c>
      <c r="BW1060" s="387">
        <f t="shared" si="723"/>
        <v>0</v>
      </c>
      <c r="BX1060" s="387">
        <f t="shared" si="738"/>
        <v>10889.613383999998</v>
      </c>
      <c r="BY1060" s="387">
        <f t="shared" si="739"/>
        <v>0</v>
      </c>
      <c r="BZ1060" s="387">
        <f t="shared" si="740"/>
        <v>0</v>
      </c>
      <c r="CA1060" s="387">
        <f t="shared" si="741"/>
        <v>0</v>
      </c>
      <c r="CB1060" s="387">
        <f t="shared" si="742"/>
        <v>0</v>
      </c>
      <c r="CC1060" s="387">
        <f t="shared" si="724"/>
        <v>0</v>
      </c>
      <c r="CD1060" s="387">
        <f t="shared" si="725"/>
        <v>0</v>
      </c>
      <c r="CE1060" s="387">
        <f t="shared" si="726"/>
        <v>0</v>
      </c>
      <c r="CF1060" s="387">
        <f t="shared" si="727"/>
        <v>-251.64047999999997</v>
      </c>
      <c r="CG1060" s="387">
        <f t="shared" si="728"/>
        <v>0</v>
      </c>
      <c r="CH1060" s="387">
        <f t="shared" si="729"/>
        <v>35.948639999999983</v>
      </c>
      <c r="CI1060" s="387">
        <f t="shared" si="730"/>
        <v>0</v>
      </c>
      <c r="CJ1060" s="387">
        <f t="shared" si="743"/>
        <v>-215.69183999999998</v>
      </c>
      <c r="CK1060" s="387" t="str">
        <f t="shared" si="744"/>
        <v/>
      </c>
      <c r="CL1060" s="387" t="str">
        <f t="shared" si="745"/>
        <v/>
      </c>
      <c r="CM1060" s="387" t="str">
        <f t="shared" si="746"/>
        <v/>
      </c>
      <c r="CN1060" s="387" t="str">
        <f t="shared" si="747"/>
        <v>0348-31</v>
      </c>
    </row>
    <row r="1061" spans="1:92" ht="15.75" thickBot="1" x14ac:dyDescent="0.3">
      <c r="A1061" s="376" t="s">
        <v>161</v>
      </c>
      <c r="B1061" s="376" t="s">
        <v>162</v>
      </c>
      <c r="C1061" s="376" t="s">
        <v>2250</v>
      </c>
      <c r="D1061" s="376" t="s">
        <v>862</v>
      </c>
      <c r="E1061" s="376" t="s">
        <v>224</v>
      </c>
      <c r="F1061" s="382" t="s">
        <v>225</v>
      </c>
      <c r="G1061" s="376" t="s">
        <v>1945</v>
      </c>
      <c r="H1061" s="378"/>
      <c r="I1061" s="378"/>
      <c r="J1061" s="376" t="s">
        <v>215</v>
      </c>
      <c r="K1061" s="376" t="s">
        <v>863</v>
      </c>
      <c r="L1061" s="376" t="s">
        <v>252</v>
      </c>
      <c r="M1061" s="376" t="s">
        <v>171</v>
      </c>
      <c r="N1061" s="376" t="s">
        <v>172</v>
      </c>
      <c r="O1061" s="379">
        <v>1</v>
      </c>
      <c r="P1061" s="385">
        <v>1</v>
      </c>
      <c r="Q1061" s="385">
        <v>1</v>
      </c>
      <c r="R1061" s="380">
        <v>80</v>
      </c>
      <c r="S1061" s="385">
        <v>1</v>
      </c>
      <c r="T1061" s="380">
        <v>35684.410000000003</v>
      </c>
      <c r="U1061" s="380">
        <v>0</v>
      </c>
      <c r="V1061" s="380">
        <v>19213.53</v>
      </c>
      <c r="W1061" s="380">
        <v>38604.800000000003</v>
      </c>
      <c r="X1061" s="380">
        <v>19998.259999999998</v>
      </c>
      <c r="Y1061" s="380">
        <v>38604.800000000003</v>
      </c>
      <c r="Z1061" s="380">
        <v>19836.12</v>
      </c>
      <c r="AA1061" s="376" t="s">
        <v>2251</v>
      </c>
      <c r="AB1061" s="376" t="s">
        <v>2252</v>
      </c>
      <c r="AC1061" s="376" t="s">
        <v>2253</v>
      </c>
      <c r="AD1061" s="376" t="s">
        <v>2254</v>
      </c>
      <c r="AE1061" s="376" t="s">
        <v>863</v>
      </c>
      <c r="AF1061" s="376" t="s">
        <v>393</v>
      </c>
      <c r="AG1061" s="376" t="s">
        <v>178</v>
      </c>
      <c r="AH1061" s="381">
        <v>18.559999999999999</v>
      </c>
      <c r="AI1061" s="379">
        <v>1640</v>
      </c>
      <c r="AJ1061" s="376" t="s">
        <v>179</v>
      </c>
      <c r="AK1061" s="376" t="s">
        <v>180</v>
      </c>
      <c r="AL1061" s="376" t="s">
        <v>181</v>
      </c>
      <c r="AM1061" s="376" t="s">
        <v>182</v>
      </c>
      <c r="AN1061" s="376" t="s">
        <v>68</v>
      </c>
      <c r="AO1061" s="379">
        <v>80</v>
      </c>
      <c r="AP1061" s="385">
        <v>1</v>
      </c>
      <c r="AQ1061" s="385">
        <v>1</v>
      </c>
      <c r="AR1061" s="383" t="s">
        <v>183</v>
      </c>
      <c r="AS1061" s="387">
        <f t="shared" si="731"/>
        <v>1</v>
      </c>
      <c r="AT1061">
        <f t="shared" si="732"/>
        <v>1</v>
      </c>
      <c r="AU1061" s="387">
        <f>IF(AT1061=0,"",IF(AND(AT1061=1,M1061="F",SUMIF(C2:C1334,C1061,AS2:AS1334)&lt;=1),SUMIF(C2:C1334,C1061,AS2:AS1334),IF(AND(AT1061=1,M1061="F",SUMIF(C2:C1334,C1061,AS2:AS1334)&gt;1),1,"")))</f>
        <v>1</v>
      </c>
      <c r="AV1061" s="387" t="str">
        <f>IF(AT1061=0,"",IF(AND(AT1061=3,M1061="F",SUMIF(C2:C1334,C1061,AS2:AS1334)&lt;=1),SUMIF(C2:C1334,C1061,AS2:AS1334),IF(AND(AT1061=3,M1061="F",SUMIF(C2:C1334,C1061,AS2:AS1334)&gt;1),1,"")))</f>
        <v/>
      </c>
      <c r="AW1061" s="387">
        <f>SUMIF(C2:C1334,C1061,O2:O1334)</f>
        <v>1</v>
      </c>
      <c r="AX1061" s="387">
        <f>IF(AND(M1061="F",AS1061&lt;&gt;0),SUMIF(C2:C1334,C1061,W2:W1334),0)</f>
        <v>38604.800000000003</v>
      </c>
      <c r="AY1061" s="387">
        <f t="shared" si="733"/>
        <v>38604.800000000003</v>
      </c>
      <c r="AZ1061" s="387" t="str">
        <f t="shared" si="734"/>
        <v/>
      </c>
      <c r="BA1061" s="387">
        <f t="shared" si="735"/>
        <v>0</v>
      </c>
      <c r="BB1061" s="387">
        <f t="shared" si="704"/>
        <v>11650</v>
      </c>
      <c r="BC1061" s="387">
        <f t="shared" si="705"/>
        <v>0</v>
      </c>
      <c r="BD1061" s="387">
        <f t="shared" si="706"/>
        <v>2393.4976000000001</v>
      </c>
      <c r="BE1061" s="387">
        <f t="shared" si="707"/>
        <v>559.76960000000008</v>
      </c>
      <c r="BF1061" s="387">
        <f t="shared" si="708"/>
        <v>4609.4131200000002</v>
      </c>
      <c r="BG1061" s="387">
        <f t="shared" si="709"/>
        <v>278.34060800000003</v>
      </c>
      <c r="BH1061" s="387">
        <f t="shared" si="710"/>
        <v>189.16352000000001</v>
      </c>
      <c r="BI1061" s="387">
        <f t="shared" si="711"/>
        <v>213.67756800000001</v>
      </c>
      <c r="BJ1061" s="387">
        <f t="shared" si="712"/>
        <v>104.23296000000002</v>
      </c>
      <c r="BK1061" s="387">
        <f t="shared" si="713"/>
        <v>0</v>
      </c>
      <c r="BL1061" s="387">
        <f t="shared" si="736"/>
        <v>8348.0949760000003</v>
      </c>
      <c r="BM1061" s="387">
        <f t="shared" si="737"/>
        <v>0</v>
      </c>
      <c r="BN1061" s="387">
        <f t="shared" si="714"/>
        <v>11650</v>
      </c>
      <c r="BO1061" s="387">
        <f t="shared" si="715"/>
        <v>0</v>
      </c>
      <c r="BP1061" s="387">
        <f t="shared" si="716"/>
        <v>2393.4976000000001</v>
      </c>
      <c r="BQ1061" s="387">
        <f t="shared" si="717"/>
        <v>559.76960000000008</v>
      </c>
      <c r="BR1061" s="387">
        <f t="shared" si="718"/>
        <v>4609.4131200000002</v>
      </c>
      <c r="BS1061" s="387">
        <f t="shared" si="719"/>
        <v>278.34060800000003</v>
      </c>
      <c r="BT1061" s="387">
        <f t="shared" si="720"/>
        <v>0</v>
      </c>
      <c r="BU1061" s="387">
        <f t="shared" si="721"/>
        <v>213.67756800000001</v>
      </c>
      <c r="BV1061" s="387">
        <f t="shared" si="722"/>
        <v>131.25632000000002</v>
      </c>
      <c r="BW1061" s="387">
        <f t="shared" si="723"/>
        <v>0</v>
      </c>
      <c r="BX1061" s="387">
        <f t="shared" si="738"/>
        <v>8185.9548160000013</v>
      </c>
      <c r="BY1061" s="387">
        <f t="shared" si="739"/>
        <v>0</v>
      </c>
      <c r="BZ1061" s="387">
        <f t="shared" si="740"/>
        <v>0</v>
      </c>
      <c r="CA1061" s="387">
        <f t="shared" si="741"/>
        <v>0</v>
      </c>
      <c r="CB1061" s="387">
        <f t="shared" si="742"/>
        <v>0</v>
      </c>
      <c r="CC1061" s="387">
        <f t="shared" si="724"/>
        <v>0</v>
      </c>
      <c r="CD1061" s="387">
        <f t="shared" si="725"/>
        <v>0</v>
      </c>
      <c r="CE1061" s="387">
        <f t="shared" si="726"/>
        <v>0</v>
      </c>
      <c r="CF1061" s="387">
        <f t="shared" si="727"/>
        <v>-189.16352000000001</v>
      </c>
      <c r="CG1061" s="387">
        <f t="shared" si="728"/>
        <v>0</v>
      </c>
      <c r="CH1061" s="387">
        <f t="shared" si="729"/>
        <v>27.02335999999999</v>
      </c>
      <c r="CI1061" s="387">
        <f t="shared" si="730"/>
        <v>0</v>
      </c>
      <c r="CJ1061" s="387">
        <f t="shared" si="743"/>
        <v>-162.14016000000001</v>
      </c>
      <c r="CK1061" s="387" t="str">
        <f t="shared" si="744"/>
        <v/>
      </c>
      <c r="CL1061" s="387" t="str">
        <f t="shared" si="745"/>
        <v/>
      </c>
      <c r="CM1061" s="387" t="str">
        <f t="shared" si="746"/>
        <v/>
      </c>
      <c r="CN1061" s="387" t="str">
        <f t="shared" si="747"/>
        <v>0348-31</v>
      </c>
    </row>
    <row r="1062" spans="1:92" ht="15.75" thickBot="1" x14ac:dyDescent="0.3">
      <c r="A1062" s="376" t="s">
        <v>161</v>
      </c>
      <c r="B1062" s="376" t="s">
        <v>162</v>
      </c>
      <c r="C1062" s="376" t="s">
        <v>2255</v>
      </c>
      <c r="D1062" s="376" t="s">
        <v>862</v>
      </c>
      <c r="E1062" s="376" t="s">
        <v>224</v>
      </c>
      <c r="F1062" s="382" t="s">
        <v>225</v>
      </c>
      <c r="G1062" s="376" t="s">
        <v>1945</v>
      </c>
      <c r="H1062" s="378"/>
      <c r="I1062" s="378"/>
      <c r="J1062" s="376" t="s">
        <v>215</v>
      </c>
      <c r="K1062" s="376" t="s">
        <v>863</v>
      </c>
      <c r="L1062" s="376" t="s">
        <v>252</v>
      </c>
      <c r="M1062" s="376" t="s">
        <v>171</v>
      </c>
      <c r="N1062" s="376" t="s">
        <v>172</v>
      </c>
      <c r="O1062" s="379">
        <v>1</v>
      </c>
      <c r="P1062" s="385">
        <v>1</v>
      </c>
      <c r="Q1062" s="385">
        <v>1</v>
      </c>
      <c r="R1062" s="380">
        <v>80</v>
      </c>
      <c r="S1062" s="385">
        <v>1</v>
      </c>
      <c r="T1062" s="380">
        <v>36278.089999999997</v>
      </c>
      <c r="U1062" s="380">
        <v>110.1</v>
      </c>
      <c r="V1062" s="380">
        <v>18887.810000000001</v>
      </c>
      <c r="W1062" s="380">
        <v>40872</v>
      </c>
      <c r="X1062" s="380">
        <v>20488.54</v>
      </c>
      <c r="Y1062" s="380">
        <v>40872</v>
      </c>
      <c r="Z1062" s="380">
        <v>20316.88</v>
      </c>
      <c r="AA1062" s="376" t="s">
        <v>2256</v>
      </c>
      <c r="AB1062" s="376" t="s">
        <v>2257</v>
      </c>
      <c r="AC1062" s="376" t="s">
        <v>1783</v>
      </c>
      <c r="AD1062" s="376" t="s">
        <v>210</v>
      </c>
      <c r="AE1062" s="376" t="s">
        <v>863</v>
      </c>
      <c r="AF1062" s="376" t="s">
        <v>393</v>
      </c>
      <c r="AG1062" s="376" t="s">
        <v>178</v>
      </c>
      <c r="AH1062" s="381">
        <v>19.649999999999999</v>
      </c>
      <c r="AI1062" s="379">
        <v>2044</v>
      </c>
      <c r="AJ1062" s="376" t="s">
        <v>179</v>
      </c>
      <c r="AK1062" s="376" t="s">
        <v>180</v>
      </c>
      <c r="AL1062" s="376" t="s">
        <v>181</v>
      </c>
      <c r="AM1062" s="376" t="s">
        <v>182</v>
      </c>
      <c r="AN1062" s="376" t="s">
        <v>68</v>
      </c>
      <c r="AO1062" s="379">
        <v>80</v>
      </c>
      <c r="AP1062" s="385">
        <v>1</v>
      </c>
      <c r="AQ1062" s="385">
        <v>1</v>
      </c>
      <c r="AR1062" s="383" t="s">
        <v>183</v>
      </c>
      <c r="AS1062" s="387">
        <f t="shared" si="731"/>
        <v>1</v>
      </c>
      <c r="AT1062">
        <f t="shared" si="732"/>
        <v>1</v>
      </c>
      <c r="AU1062" s="387">
        <f>IF(AT1062=0,"",IF(AND(AT1062=1,M1062="F",SUMIF(C2:C1334,C1062,AS2:AS1334)&lt;=1),SUMIF(C2:C1334,C1062,AS2:AS1334),IF(AND(AT1062=1,M1062="F",SUMIF(C2:C1334,C1062,AS2:AS1334)&gt;1),1,"")))</f>
        <v>1</v>
      </c>
      <c r="AV1062" s="387" t="str">
        <f>IF(AT1062=0,"",IF(AND(AT1062=3,M1062="F",SUMIF(C2:C1334,C1062,AS2:AS1334)&lt;=1),SUMIF(C2:C1334,C1062,AS2:AS1334),IF(AND(AT1062=3,M1062="F",SUMIF(C2:C1334,C1062,AS2:AS1334)&gt;1),1,"")))</f>
        <v/>
      </c>
      <c r="AW1062" s="387">
        <f>SUMIF(C2:C1334,C1062,O2:O1334)</f>
        <v>1</v>
      </c>
      <c r="AX1062" s="387">
        <f>IF(AND(M1062="F",AS1062&lt;&gt;0),SUMIF(C2:C1334,C1062,W2:W1334),0)</f>
        <v>40872</v>
      </c>
      <c r="AY1062" s="387">
        <f t="shared" si="733"/>
        <v>40872</v>
      </c>
      <c r="AZ1062" s="387" t="str">
        <f t="shared" si="734"/>
        <v/>
      </c>
      <c r="BA1062" s="387">
        <f t="shared" si="735"/>
        <v>0</v>
      </c>
      <c r="BB1062" s="387">
        <f t="shared" si="704"/>
        <v>11650</v>
      </c>
      <c r="BC1062" s="387">
        <f t="shared" si="705"/>
        <v>0</v>
      </c>
      <c r="BD1062" s="387">
        <f t="shared" si="706"/>
        <v>2534.0639999999999</v>
      </c>
      <c r="BE1062" s="387">
        <f t="shared" si="707"/>
        <v>592.64400000000001</v>
      </c>
      <c r="BF1062" s="387">
        <f t="shared" si="708"/>
        <v>4880.1168000000007</v>
      </c>
      <c r="BG1062" s="387">
        <f t="shared" si="709"/>
        <v>294.68711999999999</v>
      </c>
      <c r="BH1062" s="387">
        <f t="shared" si="710"/>
        <v>200.27279999999999</v>
      </c>
      <c r="BI1062" s="387">
        <f t="shared" si="711"/>
        <v>226.22651999999999</v>
      </c>
      <c r="BJ1062" s="387">
        <f t="shared" si="712"/>
        <v>110.35440000000001</v>
      </c>
      <c r="BK1062" s="387">
        <f t="shared" si="713"/>
        <v>0</v>
      </c>
      <c r="BL1062" s="387">
        <f t="shared" si="736"/>
        <v>8838.3656400000018</v>
      </c>
      <c r="BM1062" s="387">
        <f t="shared" si="737"/>
        <v>0</v>
      </c>
      <c r="BN1062" s="387">
        <f t="shared" si="714"/>
        <v>11650</v>
      </c>
      <c r="BO1062" s="387">
        <f t="shared" si="715"/>
        <v>0</v>
      </c>
      <c r="BP1062" s="387">
        <f t="shared" si="716"/>
        <v>2534.0639999999999</v>
      </c>
      <c r="BQ1062" s="387">
        <f t="shared" si="717"/>
        <v>592.64400000000001</v>
      </c>
      <c r="BR1062" s="387">
        <f t="shared" si="718"/>
        <v>4880.1168000000007</v>
      </c>
      <c r="BS1062" s="387">
        <f t="shared" si="719"/>
        <v>294.68711999999999</v>
      </c>
      <c r="BT1062" s="387">
        <f t="shared" si="720"/>
        <v>0</v>
      </c>
      <c r="BU1062" s="387">
        <f t="shared" si="721"/>
        <v>226.22651999999999</v>
      </c>
      <c r="BV1062" s="387">
        <f t="shared" si="722"/>
        <v>138.9648</v>
      </c>
      <c r="BW1062" s="387">
        <f t="shared" si="723"/>
        <v>0</v>
      </c>
      <c r="BX1062" s="387">
        <f t="shared" si="738"/>
        <v>8666.7032400000007</v>
      </c>
      <c r="BY1062" s="387">
        <f t="shared" si="739"/>
        <v>0</v>
      </c>
      <c r="BZ1062" s="387">
        <f t="shared" si="740"/>
        <v>0</v>
      </c>
      <c r="CA1062" s="387">
        <f t="shared" si="741"/>
        <v>0</v>
      </c>
      <c r="CB1062" s="387">
        <f t="shared" si="742"/>
        <v>0</v>
      </c>
      <c r="CC1062" s="387">
        <f t="shared" si="724"/>
        <v>0</v>
      </c>
      <c r="CD1062" s="387">
        <f t="shared" si="725"/>
        <v>0</v>
      </c>
      <c r="CE1062" s="387">
        <f t="shared" si="726"/>
        <v>0</v>
      </c>
      <c r="CF1062" s="387">
        <f t="shared" si="727"/>
        <v>-200.27279999999999</v>
      </c>
      <c r="CG1062" s="387">
        <f t="shared" si="728"/>
        <v>0</v>
      </c>
      <c r="CH1062" s="387">
        <f t="shared" si="729"/>
        <v>28.610399999999988</v>
      </c>
      <c r="CI1062" s="387">
        <f t="shared" si="730"/>
        <v>0</v>
      </c>
      <c r="CJ1062" s="387">
        <f t="shared" si="743"/>
        <v>-171.66239999999999</v>
      </c>
      <c r="CK1062" s="387" t="str">
        <f t="shared" si="744"/>
        <v/>
      </c>
      <c r="CL1062" s="387" t="str">
        <f t="shared" si="745"/>
        <v/>
      </c>
      <c r="CM1062" s="387" t="str">
        <f t="shared" si="746"/>
        <v/>
      </c>
      <c r="CN1062" s="387" t="str">
        <f t="shared" si="747"/>
        <v>0348-31</v>
      </c>
    </row>
    <row r="1063" spans="1:92" ht="15.75" thickBot="1" x14ac:dyDescent="0.3">
      <c r="A1063" s="376" t="s">
        <v>161</v>
      </c>
      <c r="B1063" s="376" t="s">
        <v>162</v>
      </c>
      <c r="C1063" s="376" t="s">
        <v>1271</v>
      </c>
      <c r="D1063" s="376" t="s">
        <v>270</v>
      </c>
      <c r="E1063" s="376" t="s">
        <v>224</v>
      </c>
      <c r="F1063" s="382" t="s">
        <v>225</v>
      </c>
      <c r="G1063" s="376" t="s">
        <v>1945</v>
      </c>
      <c r="H1063" s="378"/>
      <c r="I1063" s="378"/>
      <c r="J1063" s="376" t="s">
        <v>215</v>
      </c>
      <c r="K1063" s="376" t="s">
        <v>271</v>
      </c>
      <c r="L1063" s="376" t="s">
        <v>217</v>
      </c>
      <c r="M1063" s="376" t="s">
        <v>171</v>
      </c>
      <c r="N1063" s="376" t="s">
        <v>172</v>
      </c>
      <c r="O1063" s="379">
        <v>1</v>
      </c>
      <c r="P1063" s="385">
        <v>1</v>
      </c>
      <c r="Q1063" s="385">
        <v>1</v>
      </c>
      <c r="R1063" s="380">
        <v>80</v>
      </c>
      <c r="S1063" s="385">
        <v>1</v>
      </c>
      <c r="T1063" s="380">
        <v>0</v>
      </c>
      <c r="U1063" s="380">
        <v>0</v>
      </c>
      <c r="V1063" s="380">
        <v>0</v>
      </c>
      <c r="W1063" s="380">
        <v>35422.400000000001</v>
      </c>
      <c r="X1063" s="380">
        <v>19310.060000000001</v>
      </c>
      <c r="Y1063" s="380">
        <v>35422.400000000001</v>
      </c>
      <c r="Z1063" s="380">
        <v>19161.29</v>
      </c>
      <c r="AA1063" s="376" t="s">
        <v>1272</v>
      </c>
      <c r="AB1063" s="376" t="s">
        <v>1273</v>
      </c>
      <c r="AC1063" s="376" t="s">
        <v>1274</v>
      </c>
      <c r="AD1063" s="376" t="s">
        <v>324</v>
      </c>
      <c r="AE1063" s="376" t="s">
        <v>271</v>
      </c>
      <c r="AF1063" s="376" t="s">
        <v>221</v>
      </c>
      <c r="AG1063" s="376" t="s">
        <v>178</v>
      </c>
      <c r="AH1063" s="381">
        <v>17.03</v>
      </c>
      <c r="AI1063" s="381">
        <v>10076.200000000001</v>
      </c>
      <c r="AJ1063" s="376" t="s">
        <v>179</v>
      </c>
      <c r="AK1063" s="376" t="s">
        <v>180</v>
      </c>
      <c r="AL1063" s="376" t="s">
        <v>181</v>
      </c>
      <c r="AM1063" s="376" t="s">
        <v>182</v>
      </c>
      <c r="AN1063" s="376" t="s">
        <v>68</v>
      </c>
      <c r="AO1063" s="379">
        <v>80</v>
      </c>
      <c r="AP1063" s="385">
        <v>1</v>
      </c>
      <c r="AQ1063" s="385">
        <v>1</v>
      </c>
      <c r="AR1063" s="383" t="s">
        <v>183</v>
      </c>
      <c r="AS1063" s="387">
        <f t="shared" si="731"/>
        <v>1</v>
      </c>
      <c r="AT1063">
        <f t="shared" si="732"/>
        <v>1</v>
      </c>
      <c r="AU1063" s="387">
        <f>IF(AT1063=0,"",IF(AND(AT1063=1,M1063="F",SUMIF(C2:C1334,C1063,AS2:AS1334)&lt;=1),SUMIF(C2:C1334,C1063,AS2:AS1334),IF(AND(AT1063=1,M1063="F",SUMIF(C2:C1334,C1063,AS2:AS1334)&gt;1),1,"")))</f>
        <v>1</v>
      </c>
      <c r="AV1063" s="387" t="str">
        <f>IF(AT1063=0,"",IF(AND(AT1063=3,M1063="F",SUMIF(C2:C1334,C1063,AS2:AS1334)&lt;=1),SUMIF(C2:C1334,C1063,AS2:AS1334),IF(AND(AT1063=3,M1063="F",SUMIF(C2:C1334,C1063,AS2:AS1334)&gt;1),1,"")))</f>
        <v/>
      </c>
      <c r="AW1063" s="387">
        <f>SUMIF(C2:C1334,C1063,O2:O1334)</f>
        <v>2</v>
      </c>
      <c r="AX1063" s="387">
        <f>IF(AND(M1063="F",AS1063&lt;&gt;0),SUMIF(C2:C1334,C1063,W2:W1334),0)</f>
        <v>35422.400000000001</v>
      </c>
      <c r="AY1063" s="387">
        <f t="shared" si="733"/>
        <v>35422.400000000001</v>
      </c>
      <c r="AZ1063" s="387" t="str">
        <f t="shared" si="734"/>
        <v/>
      </c>
      <c r="BA1063" s="387">
        <f t="shared" si="735"/>
        <v>0</v>
      </c>
      <c r="BB1063" s="387">
        <f t="shared" si="704"/>
        <v>11650</v>
      </c>
      <c r="BC1063" s="387">
        <f t="shared" si="705"/>
        <v>0</v>
      </c>
      <c r="BD1063" s="387">
        <f t="shared" si="706"/>
        <v>2196.1887999999999</v>
      </c>
      <c r="BE1063" s="387">
        <f t="shared" si="707"/>
        <v>513.62480000000005</v>
      </c>
      <c r="BF1063" s="387">
        <f t="shared" si="708"/>
        <v>4229.4345600000006</v>
      </c>
      <c r="BG1063" s="387">
        <f t="shared" si="709"/>
        <v>255.39550400000002</v>
      </c>
      <c r="BH1063" s="387">
        <f t="shared" si="710"/>
        <v>173.56976</v>
      </c>
      <c r="BI1063" s="387">
        <f t="shared" si="711"/>
        <v>196.062984</v>
      </c>
      <c r="BJ1063" s="387">
        <f t="shared" si="712"/>
        <v>95.640480000000011</v>
      </c>
      <c r="BK1063" s="387">
        <f t="shared" si="713"/>
        <v>0</v>
      </c>
      <c r="BL1063" s="387">
        <f t="shared" si="736"/>
        <v>7659.9168880000016</v>
      </c>
      <c r="BM1063" s="387">
        <f t="shared" si="737"/>
        <v>0</v>
      </c>
      <c r="BN1063" s="387">
        <f t="shared" si="714"/>
        <v>11650</v>
      </c>
      <c r="BO1063" s="387">
        <f t="shared" si="715"/>
        <v>0</v>
      </c>
      <c r="BP1063" s="387">
        <f t="shared" si="716"/>
        <v>2196.1887999999999</v>
      </c>
      <c r="BQ1063" s="387">
        <f t="shared" si="717"/>
        <v>513.62480000000005</v>
      </c>
      <c r="BR1063" s="387">
        <f t="shared" si="718"/>
        <v>4229.4345600000006</v>
      </c>
      <c r="BS1063" s="387">
        <f t="shared" si="719"/>
        <v>255.39550400000002</v>
      </c>
      <c r="BT1063" s="387">
        <f t="shared" si="720"/>
        <v>0</v>
      </c>
      <c r="BU1063" s="387">
        <f t="shared" si="721"/>
        <v>196.062984</v>
      </c>
      <c r="BV1063" s="387">
        <f t="shared" si="722"/>
        <v>120.43616</v>
      </c>
      <c r="BW1063" s="387">
        <f t="shared" si="723"/>
        <v>0</v>
      </c>
      <c r="BX1063" s="387">
        <f t="shared" si="738"/>
        <v>7511.1428080000014</v>
      </c>
      <c r="BY1063" s="387">
        <f t="shared" si="739"/>
        <v>0</v>
      </c>
      <c r="BZ1063" s="387">
        <f t="shared" si="740"/>
        <v>0</v>
      </c>
      <c r="CA1063" s="387">
        <f t="shared" si="741"/>
        <v>0</v>
      </c>
      <c r="CB1063" s="387">
        <f t="shared" si="742"/>
        <v>0</v>
      </c>
      <c r="CC1063" s="387">
        <f t="shared" si="724"/>
        <v>0</v>
      </c>
      <c r="CD1063" s="387">
        <f t="shared" si="725"/>
        <v>0</v>
      </c>
      <c r="CE1063" s="387">
        <f t="shared" si="726"/>
        <v>0</v>
      </c>
      <c r="CF1063" s="387">
        <f t="shared" si="727"/>
        <v>-173.56976</v>
      </c>
      <c r="CG1063" s="387">
        <f t="shared" si="728"/>
        <v>0</v>
      </c>
      <c r="CH1063" s="387">
        <f t="shared" si="729"/>
        <v>24.79567999999999</v>
      </c>
      <c r="CI1063" s="387">
        <f t="shared" si="730"/>
        <v>0</v>
      </c>
      <c r="CJ1063" s="387">
        <f t="shared" si="743"/>
        <v>-148.77408000000003</v>
      </c>
      <c r="CK1063" s="387" t="str">
        <f t="shared" si="744"/>
        <v/>
      </c>
      <c r="CL1063" s="387" t="str">
        <f t="shared" si="745"/>
        <v/>
      </c>
      <c r="CM1063" s="387" t="str">
        <f t="shared" si="746"/>
        <v/>
      </c>
      <c r="CN1063" s="387" t="str">
        <f t="shared" si="747"/>
        <v>0348-31</v>
      </c>
    </row>
    <row r="1064" spans="1:92" ht="15.75" thickBot="1" x14ac:dyDescent="0.3">
      <c r="A1064" s="376" t="s">
        <v>161</v>
      </c>
      <c r="B1064" s="376" t="s">
        <v>162</v>
      </c>
      <c r="C1064" s="376" t="s">
        <v>2258</v>
      </c>
      <c r="D1064" s="376" t="s">
        <v>238</v>
      </c>
      <c r="E1064" s="376" t="s">
        <v>224</v>
      </c>
      <c r="F1064" s="382" t="s">
        <v>225</v>
      </c>
      <c r="G1064" s="376" t="s">
        <v>1945</v>
      </c>
      <c r="H1064" s="378"/>
      <c r="I1064" s="378"/>
      <c r="J1064" s="376" t="s">
        <v>215</v>
      </c>
      <c r="K1064" s="376" t="s">
        <v>285</v>
      </c>
      <c r="L1064" s="376" t="s">
        <v>170</v>
      </c>
      <c r="M1064" s="376" t="s">
        <v>272</v>
      </c>
      <c r="N1064" s="376" t="s">
        <v>172</v>
      </c>
      <c r="O1064" s="379">
        <v>0</v>
      </c>
      <c r="P1064" s="385">
        <v>1</v>
      </c>
      <c r="Q1064" s="385">
        <v>1</v>
      </c>
      <c r="R1064" s="380">
        <v>80</v>
      </c>
      <c r="S1064" s="385">
        <v>1</v>
      </c>
      <c r="T1064" s="380">
        <v>0</v>
      </c>
      <c r="U1064" s="380">
        <v>0</v>
      </c>
      <c r="V1064" s="380">
        <v>0</v>
      </c>
      <c r="W1064" s="380">
        <v>53476.800000000003</v>
      </c>
      <c r="X1064" s="380">
        <v>23422.83</v>
      </c>
      <c r="Y1064" s="380">
        <v>53476.800000000003</v>
      </c>
      <c r="Z1064" s="380">
        <v>23155.45</v>
      </c>
      <c r="AA1064" s="378"/>
      <c r="AB1064" s="376" t="s">
        <v>45</v>
      </c>
      <c r="AC1064" s="376" t="s">
        <v>45</v>
      </c>
      <c r="AD1064" s="378"/>
      <c r="AE1064" s="378"/>
      <c r="AF1064" s="378"/>
      <c r="AG1064" s="378"/>
      <c r="AH1064" s="379">
        <v>0</v>
      </c>
      <c r="AI1064" s="379">
        <v>0</v>
      </c>
      <c r="AJ1064" s="378"/>
      <c r="AK1064" s="378"/>
      <c r="AL1064" s="376" t="s">
        <v>181</v>
      </c>
      <c r="AM1064" s="378"/>
      <c r="AN1064" s="378"/>
      <c r="AO1064" s="379">
        <v>0</v>
      </c>
      <c r="AP1064" s="385">
        <v>0</v>
      </c>
      <c r="AQ1064" s="385">
        <v>0</v>
      </c>
      <c r="AR1064" s="384"/>
      <c r="AS1064" s="387">
        <f t="shared" si="731"/>
        <v>0</v>
      </c>
      <c r="AT1064">
        <f t="shared" si="732"/>
        <v>0</v>
      </c>
      <c r="AU1064" s="387" t="str">
        <f>IF(AT1064=0,"",IF(AND(AT1064=1,M1064="F",SUMIF(C2:C1334,C1064,AS2:AS1334)&lt;=1),SUMIF(C2:C1334,C1064,AS2:AS1334),IF(AND(AT1064=1,M1064="F",SUMIF(C2:C1334,C1064,AS2:AS1334)&gt;1),1,"")))</f>
        <v/>
      </c>
      <c r="AV1064" s="387" t="str">
        <f>IF(AT1064=0,"",IF(AND(AT1064=3,M1064="F",SUMIF(C2:C1334,C1064,AS2:AS1334)&lt;=1),SUMIF(C2:C1334,C1064,AS2:AS1334),IF(AND(AT1064=3,M1064="F",SUMIF(C2:C1334,C1064,AS2:AS1334)&gt;1),1,"")))</f>
        <v/>
      </c>
      <c r="AW1064" s="387">
        <f>SUMIF(C2:C1334,C1064,O2:O1334)</f>
        <v>0</v>
      </c>
      <c r="AX1064" s="387">
        <f>IF(AND(M1064="F",AS1064&lt;&gt;0),SUMIF(C2:C1334,C1064,W2:W1334),0)</f>
        <v>0</v>
      </c>
      <c r="AY1064" s="387" t="str">
        <f t="shared" si="733"/>
        <v/>
      </c>
      <c r="AZ1064" s="387" t="str">
        <f t="shared" si="734"/>
        <v/>
      </c>
      <c r="BA1064" s="387">
        <f t="shared" si="735"/>
        <v>0</v>
      </c>
      <c r="BB1064" s="387">
        <f t="shared" si="704"/>
        <v>0</v>
      </c>
      <c r="BC1064" s="387">
        <f t="shared" si="705"/>
        <v>0</v>
      </c>
      <c r="BD1064" s="387">
        <f t="shared" si="706"/>
        <v>0</v>
      </c>
      <c r="BE1064" s="387">
        <f t="shared" si="707"/>
        <v>0</v>
      </c>
      <c r="BF1064" s="387">
        <f t="shared" si="708"/>
        <v>0</v>
      </c>
      <c r="BG1064" s="387">
        <f t="shared" si="709"/>
        <v>0</v>
      </c>
      <c r="BH1064" s="387">
        <f t="shared" si="710"/>
        <v>0</v>
      </c>
      <c r="BI1064" s="387">
        <f t="shared" si="711"/>
        <v>0</v>
      </c>
      <c r="BJ1064" s="387">
        <f t="shared" si="712"/>
        <v>0</v>
      </c>
      <c r="BK1064" s="387">
        <f t="shared" si="713"/>
        <v>0</v>
      </c>
      <c r="BL1064" s="387">
        <f t="shared" si="736"/>
        <v>0</v>
      </c>
      <c r="BM1064" s="387">
        <f t="shared" si="737"/>
        <v>0</v>
      </c>
      <c r="BN1064" s="387">
        <f t="shared" si="714"/>
        <v>0</v>
      </c>
      <c r="BO1064" s="387">
        <f t="shared" si="715"/>
        <v>0</v>
      </c>
      <c r="BP1064" s="387">
        <f t="shared" si="716"/>
        <v>0</v>
      </c>
      <c r="BQ1064" s="387">
        <f t="shared" si="717"/>
        <v>0</v>
      </c>
      <c r="BR1064" s="387">
        <f t="shared" si="718"/>
        <v>0</v>
      </c>
      <c r="BS1064" s="387">
        <f t="shared" si="719"/>
        <v>0</v>
      </c>
      <c r="BT1064" s="387">
        <f t="shared" si="720"/>
        <v>0</v>
      </c>
      <c r="BU1064" s="387">
        <f t="shared" si="721"/>
        <v>0</v>
      </c>
      <c r="BV1064" s="387">
        <f t="shared" si="722"/>
        <v>0</v>
      </c>
      <c r="BW1064" s="387">
        <f t="shared" si="723"/>
        <v>0</v>
      </c>
      <c r="BX1064" s="387">
        <f t="shared" si="738"/>
        <v>0</v>
      </c>
      <c r="BY1064" s="387">
        <f t="shared" si="739"/>
        <v>0</v>
      </c>
      <c r="BZ1064" s="387">
        <f t="shared" si="740"/>
        <v>0</v>
      </c>
      <c r="CA1064" s="387">
        <f t="shared" si="741"/>
        <v>0</v>
      </c>
      <c r="CB1064" s="387">
        <f t="shared" si="742"/>
        <v>0</v>
      </c>
      <c r="CC1064" s="387">
        <f t="shared" si="724"/>
        <v>0</v>
      </c>
      <c r="CD1064" s="387">
        <f t="shared" si="725"/>
        <v>0</v>
      </c>
      <c r="CE1064" s="387">
        <f t="shared" si="726"/>
        <v>0</v>
      </c>
      <c r="CF1064" s="387">
        <f t="shared" si="727"/>
        <v>0</v>
      </c>
      <c r="CG1064" s="387">
        <f t="shared" si="728"/>
        <v>0</v>
      </c>
      <c r="CH1064" s="387">
        <f t="shared" si="729"/>
        <v>0</v>
      </c>
      <c r="CI1064" s="387">
        <f t="shared" si="730"/>
        <v>0</v>
      </c>
      <c r="CJ1064" s="387">
        <f t="shared" si="743"/>
        <v>0</v>
      </c>
      <c r="CK1064" s="387" t="str">
        <f t="shared" si="744"/>
        <v/>
      </c>
      <c r="CL1064" s="387" t="str">
        <f t="shared" si="745"/>
        <v/>
      </c>
      <c r="CM1064" s="387" t="str">
        <f t="shared" si="746"/>
        <v/>
      </c>
      <c r="CN1064" s="387" t="str">
        <f t="shared" si="747"/>
        <v>0348-31</v>
      </c>
    </row>
    <row r="1065" spans="1:92" ht="15.75" thickBot="1" x14ac:dyDescent="0.3">
      <c r="A1065" s="376" t="s">
        <v>161</v>
      </c>
      <c r="B1065" s="376" t="s">
        <v>162</v>
      </c>
      <c r="C1065" s="376" t="s">
        <v>529</v>
      </c>
      <c r="D1065" s="376" t="s">
        <v>485</v>
      </c>
      <c r="E1065" s="376" t="s">
        <v>224</v>
      </c>
      <c r="F1065" s="382" t="s">
        <v>225</v>
      </c>
      <c r="G1065" s="376" t="s">
        <v>1945</v>
      </c>
      <c r="H1065" s="378"/>
      <c r="I1065" s="378"/>
      <c r="J1065" s="376" t="s">
        <v>239</v>
      </c>
      <c r="K1065" s="376" t="s">
        <v>530</v>
      </c>
      <c r="L1065" s="376" t="s">
        <v>181</v>
      </c>
      <c r="M1065" s="376" t="s">
        <v>171</v>
      </c>
      <c r="N1065" s="376" t="s">
        <v>172</v>
      </c>
      <c r="O1065" s="379">
        <v>1</v>
      </c>
      <c r="P1065" s="385">
        <v>0.75</v>
      </c>
      <c r="Q1065" s="385">
        <v>0.75</v>
      </c>
      <c r="R1065" s="380">
        <v>80</v>
      </c>
      <c r="S1065" s="385">
        <v>0.75</v>
      </c>
      <c r="T1065" s="380">
        <v>44044.31</v>
      </c>
      <c r="U1065" s="380">
        <v>0</v>
      </c>
      <c r="V1065" s="380">
        <v>13578.39</v>
      </c>
      <c r="W1065" s="380">
        <v>77797.2</v>
      </c>
      <c r="X1065" s="380">
        <v>25561.11</v>
      </c>
      <c r="Y1065" s="380">
        <v>77797.2</v>
      </c>
      <c r="Z1065" s="380">
        <v>25234.38</v>
      </c>
      <c r="AA1065" s="376" t="s">
        <v>531</v>
      </c>
      <c r="AB1065" s="376" t="s">
        <v>532</v>
      </c>
      <c r="AC1065" s="376" t="s">
        <v>533</v>
      </c>
      <c r="AD1065" s="376" t="s">
        <v>534</v>
      </c>
      <c r="AE1065" s="376" t="s">
        <v>530</v>
      </c>
      <c r="AF1065" s="376" t="s">
        <v>211</v>
      </c>
      <c r="AG1065" s="376" t="s">
        <v>178</v>
      </c>
      <c r="AH1065" s="381">
        <v>49.87</v>
      </c>
      <c r="AI1065" s="381">
        <v>41301.5</v>
      </c>
      <c r="AJ1065" s="376" t="s">
        <v>179</v>
      </c>
      <c r="AK1065" s="376" t="s">
        <v>180</v>
      </c>
      <c r="AL1065" s="376" t="s">
        <v>181</v>
      </c>
      <c r="AM1065" s="376" t="s">
        <v>182</v>
      </c>
      <c r="AN1065" s="376" t="s">
        <v>68</v>
      </c>
      <c r="AO1065" s="379">
        <v>80</v>
      </c>
      <c r="AP1065" s="385">
        <v>1</v>
      </c>
      <c r="AQ1065" s="385">
        <v>0.75</v>
      </c>
      <c r="AR1065" s="383" t="s">
        <v>183</v>
      </c>
      <c r="AS1065" s="387">
        <f t="shared" si="731"/>
        <v>0.75</v>
      </c>
      <c r="AT1065">
        <f t="shared" si="732"/>
        <v>1</v>
      </c>
      <c r="AU1065" s="387">
        <f>IF(AT1065=0,"",IF(AND(AT1065=1,M1065="F",SUMIF(C2:C1334,C1065,AS2:AS1334)&lt;=1),SUMIF(C2:C1334,C1065,AS2:AS1334),IF(AND(AT1065=1,M1065="F",SUMIF(C2:C1334,C1065,AS2:AS1334)&gt;1),1,"")))</f>
        <v>1</v>
      </c>
      <c r="AV1065" s="387" t="str">
        <f>IF(AT1065=0,"",IF(AND(AT1065=3,M1065="F",SUMIF(C2:C1334,C1065,AS2:AS1334)&lt;=1),SUMIF(C2:C1334,C1065,AS2:AS1334),IF(AND(AT1065=3,M1065="F",SUMIF(C2:C1334,C1065,AS2:AS1334)&gt;1),1,"")))</f>
        <v/>
      </c>
      <c r="AW1065" s="387">
        <f>SUMIF(C2:C1334,C1065,O2:O1334)</f>
        <v>4</v>
      </c>
      <c r="AX1065" s="387">
        <f>IF(AND(M1065="F",AS1065&lt;&gt;0),SUMIF(C2:C1334,C1065,W2:W1334),0)</f>
        <v>103729.60000000001</v>
      </c>
      <c r="AY1065" s="387">
        <f t="shared" si="733"/>
        <v>77797.2</v>
      </c>
      <c r="AZ1065" s="387" t="str">
        <f t="shared" si="734"/>
        <v/>
      </c>
      <c r="BA1065" s="387">
        <f t="shared" si="735"/>
        <v>0</v>
      </c>
      <c r="BB1065" s="387">
        <f t="shared" si="704"/>
        <v>8737.5</v>
      </c>
      <c r="BC1065" s="387">
        <f t="shared" si="705"/>
        <v>0</v>
      </c>
      <c r="BD1065" s="387">
        <f t="shared" si="706"/>
        <v>4823.4263999999994</v>
      </c>
      <c r="BE1065" s="387">
        <f t="shared" si="707"/>
        <v>1128.0594000000001</v>
      </c>
      <c r="BF1065" s="387">
        <f t="shared" si="708"/>
        <v>9288.9856799999998</v>
      </c>
      <c r="BG1065" s="387">
        <f t="shared" si="709"/>
        <v>560.91781200000003</v>
      </c>
      <c r="BH1065" s="387">
        <f t="shared" si="710"/>
        <v>381.20627999999999</v>
      </c>
      <c r="BI1065" s="387">
        <f t="shared" si="711"/>
        <v>430.60750200000001</v>
      </c>
      <c r="BJ1065" s="387">
        <f t="shared" si="712"/>
        <v>210.05243999999999</v>
      </c>
      <c r="BK1065" s="387">
        <f t="shared" si="713"/>
        <v>0</v>
      </c>
      <c r="BL1065" s="387">
        <f t="shared" si="736"/>
        <v>16823.255514</v>
      </c>
      <c r="BM1065" s="387">
        <f t="shared" si="737"/>
        <v>0</v>
      </c>
      <c r="BN1065" s="387">
        <f t="shared" si="714"/>
        <v>8737.5</v>
      </c>
      <c r="BO1065" s="387">
        <f t="shared" si="715"/>
        <v>0</v>
      </c>
      <c r="BP1065" s="387">
        <f t="shared" si="716"/>
        <v>4823.4263999999994</v>
      </c>
      <c r="BQ1065" s="387">
        <f t="shared" si="717"/>
        <v>1128.0594000000001</v>
      </c>
      <c r="BR1065" s="387">
        <f t="shared" si="718"/>
        <v>9288.9856799999998</v>
      </c>
      <c r="BS1065" s="387">
        <f t="shared" si="719"/>
        <v>560.91781200000003</v>
      </c>
      <c r="BT1065" s="387">
        <f t="shared" si="720"/>
        <v>0</v>
      </c>
      <c r="BU1065" s="387">
        <f t="shared" si="721"/>
        <v>430.60750200000001</v>
      </c>
      <c r="BV1065" s="387">
        <f t="shared" si="722"/>
        <v>264.51047999999997</v>
      </c>
      <c r="BW1065" s="387">
        <f t="shared" si="723"/>
        <v>0</v>
      </c>
      <c r="BX1065" s="387">
        <f t="shared" si="738"/>
        <v>16496.507274</v>
      </c>
      <c r="BY1065" s="387">
        <f t="shared" si="739"/>
        <v>0</v>
      </c>
      <c r="BZ1065" s="387">
        <f t="shared" si="740"/>
        <v>0</v>
      </c>
      <c r="CA1065" s="387">
        <f t="shared" si="741"/>
        <v>0</v>
      </c>
      <c r="CB1065" s="387">
        <f t="shared" si="742"/>
        <v>0</v>
      </c>
      <c r="CC1065" s="387">
        <f t="shared" si="724"/>
        <v>0</v>
      </c>
      <c r="CD1065" s="387">
        <f t="shared" si="725"/>
        <v>0</v>
      </c>
      <c r="CE1065" s="387">
        <f t="shared" si="726"/>
        <v>0</v>
      </c>
      <c r="CF1065" s="387">
        <f t="shared" si="727"/>
        <v>-381.20627999999999</v>
      </c>
      <c r="CG1065" s="387">
        <f t="shared" si="728"/>
        <v>0</v>
      </c>
      <c r="CH1065" s="387">
        <f t="shared" si="729"/>
        <v>54.458039999999976</v>
      </c>
      <c r="CI1065" s="387">
        <f t="shared" si="730"/>
        <v>0</v>
      </c>
      <c r="CJ1065" s="387">
        <f t="shared" si="743"/>
        <v>-326.74824000000001</v>
      </c>
      <c r="CK1065" s="387" t="str">
        <f t="shared" si="744"/>
        <v/>
      </c>
      <c r="CL1065" s="387" t="str">
        <f t="shared" si="745"/>
        <v/>
      </c>
      <c r="CM1065" s="387" t="str">
        <f t="shared" si="746"/>
        <v/>
      </c>
      <c r="CN1065" s="387" t="str">
        <f t="shared" si="747"/>
        <v>0348-31</v>
      </c>
    </row>
    <row r="1066" spans="1:92" ht="15.75" thickBot="1" x14ac:dyDescent="0.3">
      <c r="A1066" s="376" t="s">
        <v>161</v>
      </c>
      <c r="B1066" s="376" t="s">
        <v>162</v>
      </c>
      <c r="C1066" s="376" t="s">
        <v>2259</v>
      </c>
      <c r="D1066" s="376" t="s">
        <v>974</v>
      </c>
      <c r="E1066" s="376" t="s">
        <v>224</v>
      </c>
      <c r="F1066" s="382" t="s">
        <v>225</v>
      </c>
      <c r="G1066" s="376" t="s">
        <v>1945</v>
      </c>
      <c r="H1066" s="378"/>
      <c r="I1066" s="378"/>
      <c r="J1066" s="376" t="s">
        <v>215</v>
      </c>
      <c r="K1066" s="376" t="s">
        <v>975</v>
      </c>
      <c r="L1066" s="376" t="s">
        <v>296</v>
      </c>
      <c r="M1066" s="376" t="s">
        <v>171</v>
      </c>
      <c r="N1066" s="376" t="s">
        <v>172</v>
      </c>
      <c r="O1066" s="379">
        <v>1</v>
      </c>
      <c r="P1066" s="385">
        <v>1</v>
      </c>
      <c r="Q1066" s="385">
        <v>1</v>
      </c>
      <c r="R1066" s="380">
        <v>80</v>
      </c>
      <c r="S1066" s="385">
        <v>1</v>
      </c>
      <c r="T1066" s="380">
        <v>37850.03</v>
      </c>
      <c r="U1066" s="380">
        <v>1409.02</v>
      </c>
      <c r="V1066" s="380">
        <v>17333.63</v>
      </c>
      <c r="W1066" s="380">
        <v>48193.599999999999</v>
      </c>
      <c r="X1066" s="380">
        <v>22071.83</v>
      </c>
      <c r="Y1066" s="380">
        <v>48193.599999999999</v>
      </c>
      <c r="Z1066" s="380">
        <v>21869.42</v>
      </c>
      <c r="AA1066" s="376" t="s">
        <v>2260</v>
      </c>
      <c r="AB1066" s="376" t="s">
        <v>2261</v>
      </c>
      <c r="AC1066" s="376" t="s">
        <v>730</v>
      </c>
      <c r="AD1066" s="376" t="s">
        <v>198</v>
      </c>
      <c r="AE1066" s="376" t="s">
        <v>975</v>
      </c>
      <c r="AF1066" s="376" t="s">
        <v>301</v>
      </c>
      <c r="AG1066" s="376" t="s">
        <v>178</v>
      </c>
      <c r="AH1066" s="381">
        <v>23.17</v>
      </c>
      <c r="AI1066" s="381">
        <v>26389.5</v>
      </c>
      <c r="AJ1066" s="376" t="s">
        <v>179</v>
      </c>
      <c r="AK1066" s="376" t="s">
        <v>180</v>
      </c>
      <c r="AL1066" s="376" t="s">
        <v>181</v>
      </c>
      <c r="AM1066" s="376" t="s">
        <v>182</v>
      </c>
      <c r="AN1066" s="376" t="s">
        <v>68</v>
      </c>
      <c r="AO1066" s="379">
        <v>80</v>
      </c>
      <c r="AP1066" s="385">
        <v>1</v>
      </c>
      <c r="AQ1066" s="385">
        <v>1</v>
      </c>
      <c r="AR1066" s="383" t="s">
        <v>183</v>
      </c>
      <c r="AS1066" s="387">
        <f t="shared" si="731"/>
        <v>1</v>
      </c>
      <c r="AT1066">
        <f t="shared" si="732"/>
        <v>1</v>
      </c>
      <c r="AU1066" s="387">
        <f>IF(AT1066=0,"",IF(AND(AT1066=1,M1066="F",SUMIF(C2:C1334,C1066,AS2:AS1334)&lt;=1),SUMIF(C2:C1334,C1066,AS2:AS1334),IF(AND(AT1066=1,M1066="F",SUMIF(C2:C1334,C1066,AS2:AS1334)&gt;1),1,"")))</f>
        <v>1</v>
      </c>
      <c r="AV1066" s="387" t="str">
        <f>IF(AT1066=0,"",IF(AND(AT1066=3,M1066="F",SUMIF(C2:C1334,C1066,AS2:AS1334)&lt;=1),SUMIF(C2:C1334,C1066,AS2:AS1334),IF(AND(AT1066=3,M1066="F",SUMIF(C2:C1334,C1066,AS2:AS1334)&gt;1),1,"")))</f>
        <v/>
      </c>
      <c r="AW1066" s="387">
        <f>SUMIF(C2:C1334,C1066,O2:O1334)</f>
        <v>1</v>
      </c>
      <c r="AX1066" s="387">
        <f>IF(AND(M1066="F",AS1066&lt;&gt;0),SUMIF(C2:C1334,C1066,W2:W1334),0)</f>
        <v>48193.599999999999</v>
      </c>
      <c r="AY1066" s="387">
        <f t="shared" si="733"/>
        <v>48193.599999999999</v>
      </c>
      <c r="AZ1066" s="387" t="str">
        <f t="shared" si="734"/>
        <v/>
      </c>
      <c r="BA1066" s="387">
        <f t="shared" si="735"/>
        <v>0</v>
      </c>
      <c r="BB1066" s="387">
        <f t="shared" si="704"/>
        <v>11650</v>
      </c>
      <c r="BC1066" s="387">
        <f t="shared" si="705"/>
        <v>0</v>
      </c>
      <c r="BD1066" s="387">
        <f t="shared" si="706"/>
        <v>2988.0032000000001</v>
      </c>
      <c r="BE1066" s="387">
        <f t="shared" si="707"/>
        <v>698.80719999999997</v>
      </c>
      <c r="BF1066" s="387">
        <f t="shared" si="708"/>
        <v>5754.3158400000002</v>
      </c>
      <c r="BG1066" s="387">
        <f t="shared" si="709"/>
        <v>347.47585600000002</v>
      </c>
      <c r="BH1066" s="387">
        <f t="shared" si="710"/>
        <v>236.14863999999997</v>
      </c>
      <c r="BI1066" s="387">
        <f t="shared" si="711"/>
        <v>266.751576</v>
      </c>
      <c r="BJ1066" s="387">
        <f t="shared" si="712"/>
        <v>130.12272000000002</v>
      </c>
      <c r="BK1066" s="387">
        <f t="shared" si="713"/>
        <v>0</v>
      </c>
      <c r="BL1066" s="387">
        <f t="shared" si="736"/>
        <v>10421.625032000002</v>
      </c>
      <c r="BM1066" s="387">
        <f t="shared" si="737"/>
        <v>0</v>
      </c>
      <c r="BN1066" s="387">
        <f t="shared" si="714"/>
        <v>11650</v>
      </c>
      <c r="BO1066" s="387">
        <f t="shared" si="715"/>
        <v>0</v>
      </c>
      <c r="BP1066" s="387">
        <f t="shared" si="716"/>
        <v>2988.0032000000001</v>
      </c>
      <c r="BQ1066" s="387">
        <f t="shared" si="717"/>
        <v>698.80719999999997</v>
      </c>
      <c r="BR1066" s="387">
        <f t="shared" si="718"/>
        <v>5754.3158400000002</v>
      </c>
      <c r="BS1066" s="387">
        <f t="shared" si="719"/>
        <v>347.47585600000002</v>
      </c>
      <c r="BT1066" s="387">
        <f t="shared" si="720"/>
        <v>0</v>
      </c>
      <c r="BU1066" s="387">
        <f t="shared" si="721"/>
        <v>266.751576</v>
      </c>
      <c r="BV1066" s="387">
        <f t="shared" si="722"/>
        <v>163.85824</v>
      </c>
      <c r="BW1066" s="387">
        <f t="shared" si="723"/>
        <v>0</v>
      </c>
      <c r="BX1066" s="387">
        <f t="shared" si="738"/>
        <v>10219.211912000002</v>
      </c>
      <c r="BY1066" s="387">
        <f t="shared" si="739"/>
        <v>0</v>
      </c>
      <c r="BZ1066" s="387">
        <f t="shared" si="740"/>
        <v>0</v>
      </c>
      <c r="CA1066" s="387">
        <f t="shared" si="741"/>
        <v>0</v>
      </c>
      <c r="CB1066" s="387">
        <f t="shared" si="742"/>
        <v>0</v>
      </c>
      <c r="CC1066" s="387">
        <f t="shared" si="724"/>
        <v>0</v>
      </c>
      <c r="CD1066" s="387">
        <f t="shared" si="725"/>
        <v>0</v>
      </c>
      <c r="CE1066" s="387">
        <f t="shared" si="726"/>
        <v>0</v>
      </c>
      <c r="CF1066" s="387">
        <f t="shared" si="727"/>
        <v>-236.14863999999997</v>
      </c>
      <c r="CG1066" s="387">
        <f t="shared" si="728"/>
        <v>0</v>
      </c>
      <c r="CH1066" s="387">
        <f t="shared" si="729"/>
        <v>33.73551999999998</v>
      </c>
      <c r="CI1066" s="387">
        <f t="shared" si="730"/>
        <v>0</v>
      </c>
      <c r="CJ1066" s="387">
        <f t="shared" si="743"/>
        <v>-202.41311999999999</v>
      </c>
      <c r="CK1066" s="387" t="str">
        <f t="shared" si="744"/>
        <v/>
      </c>
      <c r="CL1066" s="387" t="str">
        <f t="shared" si="745"/>
        <v/>
      </c>
      <c r="CM1066" s="387" t="str">
        <f t="shared" si="746"/>
        <v/>
      </c>
      <c r="CN1066" s="387" t="str">
        <f t="shared" si="747"/>
        <v>0348-31</v>
      </c>
    </row>
    <row r="1067" spans="1:92" ht="15.75" thickBot="1" x14ac:dyDescent="0.3">
      <c r="A1067" s="376" t="s">
        <v>161</v>
      </c>
      <c r="B1067" s="376" t="s">
        <v>162</v>
      </c>
      <c r="C1067" s="376" t="s">
        <v>1349</v>
      </c>
      <c r="D1067" s="376" t="s">
        <v>868</v>
      </c>
      <c r="E1067" s="376" t="s">
        <v>224</v>
      </c>
      <c r="F1067" s="382" t="s">
        <v>225</v>
      </c>
      <c r="G1067" s="376" t="s">
        <v>1945</v>
      </c>
      <c r="H1067" s="378"/>
      <c r="I1067" s="378"/>
      <c r="J1067" s="376" t="s">
        <v>215</v>
      </c>
      <c r="K1067" s="376" t="s">
        <v>869</v>
      </c>
      <c r="L1067" s="376" t="s">
        <v>296</v>
      </c>
      <c r="M1067" s="376" t="s">
        <v>171</v>
      </c>
      <c r="N1067" s="376" t="s">
        <v>172</v>
      </c>
      <c r="O1067" s="379">
        <v>1</v>
      </c>
      <c r="P1067" s="385">
        <v>1</v>
      </c>
      <c r="Q1067" s="385">
        <v>1</v>
      </c>
      <c r="R1067" s="380">
        <v>80</v>
      </c>
      <c r="S1067" s="385">
        <v>1</v>
      </c>
      <c r="T1067" s="380">
        <v>0</v>
      </c>
      <c r="U1067" s="380">
        <v>0</v>
      </c>
      <c r="V1067" s="380">
        <v>0</v>
      </c>
      <c r="W1067" s="380">
        <v>51376</v>
      </c>
      <c r="X1067" s="380">
        <v>22760.04</v>
      </c>
      <c r="Y1067" s="380">
        <v>51376</v>
      </c>
      <c r="Z1067" s="380">
        <v>22544.26</v>
      </c>
      <c r="AA1067" s="376" t="s">
        <v>1350</v>
      </c>
      <c r="AB1067" s="376" t="s">
        <v>1351</v>
      </c>
      <c r="AC1067" s="376" t="s">
        <v>412</v>
      </c>
      <c r="AD1067" s="376" t="s">
        <v>260</v>
      </c>
      <c r="AE1067" s="376" t="s">
        <v>869</v>
      </c>
      <c r="AF1067" s="376" t="s">
        <v>301</v>
      </c>
      <c r="AG1067" s="376" t="s">
        <v>178</v>
      </c>
      <c r="AH1067" s="381">
        <v>24.7</v>
      </c>
      <c r="AI1067" s="381">
        <v>12388.5</v>
      </c>
      <c r="AJ1067" s="376" t="s">
        <v>179</v>
      </c>
      <c r="AK1067" s="376" t="s">
        <v>180</v>
      </c>
      <c r="AL1067" s="376" t="s">
        <v>181</v>
      </c>
      <c r="AM1067" s="376" t="s">
        <v>182</v>
      </c>
      <c r="AN1067" s="376" t="s">
        <v>68</v>
      </c>
      <c r="AO1067" s="379">
        <v>80</v>
      </c>
      <c r="AP1067" s="385">
        <v>1</v>
      </c>
      <c r="AQ1067" s="385">
        <v>1</v>
      </c>
      <c r="AR1067" s="383" t="s">
        <v>183</v>
      </c>
      <c r="AS1067" s="387">
        <f t="shared" si="731"/>
        <v>1</v>
      </c>
      <c r="AT1067">
        <f t="shared" si="732"/>
        <v>1</v>
      </c>
      <c r="AU1067" s="387">
        <f>IF(AT1067=0,"",IF(AND(AT1067=1,M1067="F",SUMIF(C2:C1334,C1067,AS2:AS1334)&lt;=1),SUMIF(C2:C1334,C1067,AS2:AS1334),IF(AND(AT1067=1,M1067="F",SUMIF(C2:C1334,C1067,AS2:AS1334)&gt;1),1,"")))</f>
        <v>1</v>
      </c>
      <c r="AV1067" s="387" t="str">
        <f>IF(AT1067=0,"",IF(AND(AT1067=3,M1067="F",SUMIF(C2:C1334,C1067,AS2:AS1334)&lt;=1),SUMIF(C2:C1334,C1067,AS2:AS1334),IF(AND(AT1067=3,M1067="F",SUMIF(C2:C1334,C1067,AS2:AS1334)&gt;1),1,"")))</f>
        <v/>
      </c>
      <c r="AW1067" s="387">
        <f>SUMIF(C2:C1334,C1067,O2:O1334)</f>
        <v>2</v>
      </c>
      <c r="AX1067" s="387">
        <f>IF(AND(M1067="F",AS1067&lt;&gt;0),SUMIF(C2:C1334,C1067,W2:W1334),0)</f>
        <v>51376</v>
      </c>
      <c r="AY1067" s="387">
        <f t="shared" si="733"/>
        <v>51376</v>
      </c>
      <c r="AZ1067" s="387" t="str">
        <f t="shared" si="734"/>
        <v/>
      </c>
      <c r="BA1067" s="387">
        <f t="shared" si="735"/>
        <v>0</v>
      </c>
      <c r="BB1067" s="387">
        <f t="shared" si="704"/>
        <v>11650</v>
      </c>
      <c r="BC1067" s="387">
        <f t="shared" si="705"/>
        <v>0</v>
      </c>
      <c r="BD1067" s="387">
        <f t="shared" si="706"/>
        <v>3185.3119999999999</v>
      </c>
      <c r="BE1067" s="387">
        <f t="shared" si="707"/>
        <v>744.952</v>
      </c>
      <c r="BF1067" s="387">
        <f t="shared" si="708"/>
        <v>6134.2944000000007</v>
      </c>
      <c r="BG1067" s="387">
        <f t="shared" si="709"/>
        <v>370.42096000000004</v>
      </c>
      <c r="BH1067" s="387">
        <f t="shared" si="710"/>
        <v>251.7424</v>
      </c>
      <c r="BI1067" s="387">
        <f t="shared" si="711"/>
        <v>284.36615999999998</v>
      </c>
      <c r="BJ1067" s="387">
        <f t="shared" si="712"/>
        <v>138.71520000000001</v>
      </c>
      <c r="BK1067" s="387">
        <f t="shared" si="713"/>
        <v>0</v>
      </c>
      <c r="BL1067" s="387">
        <f t="shared" si="736"/>
        <v>11109.80312</v>
      </c>
      <c r="BM1067" s="387">
        <f t="shared" si="737"/>
        <v>0</v>
      </c>
      <c r="BN1067" s="387">
        <f t="shared" si="714"/>
        <v>11650</v>
      </c>
      <c r="BO1067" s="387">
        <f t="shared" si="715"/>
        <v>0</v>
      </c>
      <c r="BP1067" s="387">
        <f t="shared" si="716"/>
        <v>3185.3119999999999</v>
      </c>
      <c r="BQ1067" s="387">
        <f t="shared" si="717"/>
        <v>744.952</v>
      </c>
      <c r="BR1067" s="387">
        <f t="shared" si="718"/>
        <v>6134.2944000000007</v>
      </c>
      <c r="BS1067" s="387">
        <f t="shared" si="719"/>
        <v>370.42096000000004</v>
      </c>
      <c r="BT1067" s="387">
        <f t="shared" si="720"/>
        <v>0</v>
      </c>
      <c r="BU1067" s="387">
        <f t="shared" si="721"/>
        <v>284.36615999999998</v>
      </c>
      <c r="BV1067" s="387">
        <f t="shared" si="722"/>
        <v>174.67839999999998</v>
      </c>
      <c r="BW1067" s="387">
        <f t="shared" si="723"/>
        <v>0</v>
      </c>
      <c r="BX1067" s="387">
        <f t="shared" si="738"/>
        <v>10894.023920000001</v>
      </c>
      <c r="BY1067" s="387">
        <f t="shared" si="739"/>
        <v>0</v>
      </c>
      <c r="BZ1067" s="387">
        <f t="shared" si="740"/>
        <v>0</v>
      </c>
      <c r="CA1067" s="387">
        <f t="shared" si="741"/>
        <v>0</v>
      </c>
      <c r="CB1067" s="387">
        <f t="shared" si="742"/>
        <v>0</v>
      </c>
      <c r="CC1067" s="387">
        <f t="shared" si="724"/>
        <v>0</v>
      </c>
      <c r="CD1067" s="387">
        <f t="shared" si="725"/>
        <v>0</v>
      </c>
      <c r="CE1067" s="387">
        <f t="shared" si="726"/>
        <v>0</v>
      </c>
      <c r="CF1067" s="387">
        <f t="shared" si="727"/>
        <v>-251.7424</v>
      </c>
      <c r="CG1067" s="387">
        <f t="shared" si="728"/>
        <v>0</v>
      </c>
      <c r="CH1067" s="387">
        <f t="shared" si="729"/>
        <v>35.963199999999986</v>
      </c>
      <c r="CI1067" s="387">
        <f t="shared" si="730"/>
        <v>0</v>
      </c>
      <c r="CJ1067" s="387">
        <f t="shared" si="743"/>
        <v>-215.7792</v>
      </c>
      <c r="CK1067" s="387" t="str">
        <f t="shared" si="744"/>
        <v/>
      </c>
      <c r="CL1067" s="387" t="str">
        <f t="shared" si="745"/>
        <v/>
      </c>
      <c r="CM1067" s="387" t="str">
        <f t="shared" si="746"/>
        <v/>
      </c>
      <c r="CN1067" s="387" t="str">
        <f t="shared" si="747"/>
        <v>0348-31</v>
      </c>
    </row>
    <row r="1068" spans="1:92" ht="15.75" thickBot="1" x14ac:dyDescent="0.3">
      <c r="A1068" s="376" t="s">
        <v>161</v>
      </c>
      <c r="B1068" s="376" t="s">
        <v>162</v>
      </c>
      <c r="C1068" s="376" t="s">
        <v>2262</v>
      </c>
      <c r="D1068" s="376" t="s">
        <v>862</v>
      </c>
      <c r="E1068" s="376" t="s">
        <v>224</v>
      </c>
      <c r="F1068" s="382" t="s">
        <v>225</v>
      </c>
      <c r="G1068" s="376" t="s">
        <v>1945</v>
      </c>
      <c r="H1068" s="378"/>
      <c r="I1068" s="378"/>
      <c r="J1068" s="376" t="s">
        <v>215</v>
      </c>
      <c r="K1068" s="376" t="s">
        <v>863</v>
      </c>
      <c r="L1068" s="376" t="s">
        <v>252</v>
      </c>
      <c r="M1068" s="376" t="s">
        <v>171</v>
      </c>
      <c r="N1068" s="376" t="s">
        <v>172</v>
      </c>
      <c r="O1068" s="379">
        <v>1</v>
      </c>
      <c r="P1068" s="385">
        <v>1</v>
      </c>
      <c r="Q1068" s="385">
        <v>1</v>
      </c>
      <c r="R1068" s="380">
        <v>80</v>
      </c>
      <c r="S1068" s="385">
        <v>1</v>
      </c>
      <c r="T1068" s="380">
        <v>38815.279999999999</v>
      </c>
      <c r="U1068" s="380">
        <v>3189.27</v>
      </c>
      <c r="V1068" s="380">
        <v>20430.669999999998</v>
      </c>
      <c r="W1068" s="380">
        <v>41392</v>
      </c>
      <c r="X1068" s="380">
        <v>20600.990000000002</v>
      </c>
      <c r="Y1068" s="380">
        <v>41392</v>
      </c>
      <c r="Z1068" s="380">
        <v>20427.150000000001</v>
      </c>
      <c r="AA1068" s="376" t="s">
        <v>2263</v>
      </c>
      <c r="AB1068" s="376" t="s">
        <v>2264</v>
      </c>
      <c r="AC1068" s="376" t="s">
        <v>2265</v>
      </c>
      <c r="AD1068" s="376" t="s">
        <v>324</v>
      </c>
      <c r="AE1068" s="376" t="s">
        <v>863</v>
      </c>
      <c r="AF1068" s="376" t="s">
        <v>393</v>
      </c>
      <c r="AG1068" s="376" t="s">
        <v>178</v>
      </c>
      <c r="AH1068" s="381">
        <v>19.899999999999999</v>
      </c>
      <c r="AI1068" s="381">
        <v>25521.5</v>
      </c>
      <c r="AJ1068" s="376" t="s">
        <v>179</v>
      </c>
      <c r="AK1068" s="376" t="s">
        <v>180</v>
      </c>
      <c r="AL1068" s="376" t="s">
        <v>181</v>
      </c>
      <c r="AM1068" s="376" t="s">
        <v>182</v>
      </c>
      <c r="AN1068" s="376" t="s">
        <v>68</v>
      </c>
      <c r="AO1068" s="379">
        <v>80</v>
      </c>
      <c r="AP1068" s="385">
        <v>1</v>
      </c>
      <c r="AQ1068" s="385">
        <v>1</v>
      </c>
      <c r="AR1068" s="383" t="s">
        <v>183</v>
      </c>
      <c r="AS1068" s="387">
        <f t="shared" si="731"/>
        <v>1</v>
      </c>
      <c r="AT1068">
        <f t="shared" si="732"/>
        <v>1</v>
      </c>
      <c r="AU1068" s="387">
        <f>IF(AT1068=0,"",IF(AND(AT1068=1,M1068="F",SUMIF(C2:C1334,C1068,AS2:AS1334)&lt;=1),SUMIF(C2:C1334,C1068,AS2:AS1334),IF(AND(AT1068=1,M1068="F",SUMIF(C2:C1334,C1068,AS2:AS1334)&gt;1),1,"")))</f>
        <v>1</v>
      </c>
      <c r="AV1068" s="387" t="str">
        <f>IF(AT1068=0,"",IF(AND(AT1068=3,M1068="F",SUMIF(C2:C1334,C1068,AS2:AS1334)&lt;=1),SUMIF(C2:C1334,C1068,AS2:AS1334),IF(AND(AT1068=3,M1068="F",SUMIF(C2:C1334,C1068,AS2:AS1334)&gt;1),1,"")))</f>
        <v/>
      </c>
      <c r="AW1068" s="387">
        <f>SUMIF(C2:C1334,C1068,O2:O1334)</f>
        <v>1</v>
      </c>
      <c r="AX1068" s="387">
        <f>IF(AND(M1068="F",AS1068&lt;&gt;0),SUMIF(C2:C1334,C1068,W2:W1334),0)</f>
        <v>41392</v>
      </c>
      <c r="AY1068" s="387">
        <f t="shared" si="733"/>
        <v>41392</v>
      </c>
      <c r="AZ1068" s="387" t="str">
        <f t="shared" si="734"/>
        <v/>
      </c>
      <c r="BA1068" s="387">
        <f t="shared" si="735"/>
        <v>0</v>
      </c>
      <c r="BB1068" s="387">
        <f t="shared" si="704"/>
        <v>11650</v>
      </c>
      <c r="BC1068" s="387">
        <f t="shared" si="705"/>
        <v>0</v>
      </c>
      <c r="BD1068" s="387">
        <f t="shared" si="706"/>
        <v>2566.3040000000001</v>
      </c>
      <c r="BE1068" s="387">
        <f t="shared" si="707"/>
        <v>600.18400000000008</v>
      </c>
      <c r="BF1068" s="387">
        <f t="shared" si="708"/>
        <v>4942.2048000000004</v>
      </c>
      <c r="BG1068" s="387">
        <f t="shared" si="709"/>
        <v>298.43632000000002</v>
      </c>
      <c r="BH1068" s="387">
        <f t="shared" si="710"/>
        <v>202.82079999999999</v>
      </c>
      <c r="BI1068" s="387">
        <f t="shared" si="711"/>
        <v>229.10471999999999</v>
      </c>
      <c r="BJ1068" s="387">
        <f t="shared" si="712"/>
        <v>111.75840000000001</v>
      </c>
      <c r="BK1068" s="387">
        <f t="shared" si="713"/>
        <v>0</v>
      </c>
      <c r="BL1068" s="387">
        <f t="shared" si="736"/>
        <v>8950.8130400000009</v>
      </c>
      <c r="BM1068" s="387">
        <f t="shared" si="737"/>
        <v>0</v>
      </c>
      <c r="BN1068" s="387">
        <f t="shared" si="714"/>
        <v>11650</v>
      </c>
      <c r="BO1068" s="387">
        <f t="shared" si="715"/>
        <v>0</v>
      </c>
      <c r="BP1068" s="387">
        <f t="shared" si="716"/>
        <v>2566.3040000000001</v>
      </c>
      <c r="BQ1068" s="387">
        <f t="shared" si="717"/>
        <v>600.18400000000008</v>
      </c>
      <c r="BR1068" s="387">
        <f t="shared" si="718"/>
        <v>4942.2048000000004</v>
      </c>
      <c r="BS1068" s="387">
        <f t="shared" si="719"/>
        <v>298.43632000000002</v>
      </c>
      <c r="BT1068" s="387">
        <f t="shared" si="720"/>
        <v>0</v>
      </c>
      <c r="BU1068" s="387">
        <f t="shared" si="721"/>
        <v>229.10471999999999</v>
      </c>
      <c r="BV1068" s="387">
        <f t="shared" si="722"/>
        <v>140.7328</v>
      </c>
      <c r="BW1068" s="387">
        <f t="shared" si="723"/>
        <v>0</v>
      </c>
      <c r="BX1068" s="387">
        <f t="shared" si="738"/>
        <v>8776.9666400000006</v>
      </c>
      <c r="BY1068" s="387">
        <f t="shared" si="739"/>
        <v>0</v>
      </c>
      <c r="BZ1068" s="387">
        <f t="shared" si="740"/>
        <v>0</v>
      </c>
      <c r="CA1068" s="387">
        <f t="shared" si="741"/>
        <v>0</v>
      </c>
      <c r="CB1068" s="387">
        <f t="shared" si="742"/>
        <v>0</v>
      </c>
      <c r="CC1068" s="387">
        <f t="shared" si="724"/>
        <v>0</v>
      </c>
      <c r="CD1068" s="387">
        <f t="shared" si="725"/>
        <v>0</v>
      </c>
      <c r="CE1068" s="387">
        <f t="shared" si="726"/>
        <v>0</v>
      </c>
      <c r="CF1068" s="387">
        <f t="shared" si="727"/>
        <v>-202.82079999999999</v>
      </c>
      <c r="CG1068" s="387">
        <f t="shared" si="728"/>
        <v>0</v>
      </c>
      <c r="CH1068" s="387">
        <f t="shared" si="729"/>
        <v>28.974399999999985</v>
      </c>
      <c r="CI1068" s="387">
        <f t="shared" si="730"/>
        <v>0</v>
      </c>
      <c r="CJ1068" s="387">
        <f t="shared" si="743"/>
        <v>-173.84640000000002</v>
      </c>
      <c r="CK1068" s="387" t="str">
        <f t="shared" si="744"/>
        <v/>
      </c>
      <c r="CL1068" s="387" t="str">
        <f t="shared" si="745"/>
        <v/>
      </c>
      <c r="CM1068" s="387" t="str">
        <f t="shared" si="746"/>
        <v/>
      </c>
      <c r="CN1068" s="387" t="str">
        <f t="shared" si="747"/>
        <v>0348-31</v>
      </c>
    </row>
    <row r="1069" spans="1:92" ht="15.75" thickBot="1" x14ac:dyDescent="0.3">
      <c r="A1069" s="376" t="s">
        <v>161</v>
      </c>
      <c r="B1069" s="376" t="s">
        <v>162</v>
      </c>
      <c r="C1069" s="376" t="s">
        <v>442</v>
      </c>
      <c r="D1069" s="376" t="s">
        <v>443</v>
      </c>
      <c r="E1069" s="376" t="s">
        <v>224</v>
      </c>
      <c r="F1069" s="382" t="s">
        <v>225</v>
      </c>
      <c r="G1069" s="376" t="s">
        <v>1945</v>
      </c>
      <c r="H1069" s="378"/>
      <c r="I1069" s="378"/>
      <c r="J1069" s="376" t="s">
        <v>239</v>
      </c>
      <c r="K1069" s="376" t="s">
        <v>444</v>
      </c>
      <c r="L1069" s="376" t="s">
        <v>351</v>
      </c>
      <c r="M1069" s="376" t="s">
        <v>171</v>
      </c>
      <c r="N1069" s="376" t="s">
        <v>172</v>
      </c>
      <c r="O1069" s="379">
        <v>2</v>
      </c>
      <c r="P1069" s="385">
        <v>0.01</v>
      </c>
      <c r="Q1069" s="385">
        <v>0.01</v>
      </c>
      <c r="R1069" s="380">
        <v>80</v>
      </c>
      <c r="S1069" s="385">
        <v>0.01</v>
      </c>
      <c r="T1069" s="380">
        <v>16314.55</v>
      </c>
      <c r="U1069" s="380">
        <v>0</v>
      </c>
      <c r="V1069" s="380">
        <v>5126</v>
      </c>
      <c r="W1069" s="380">
        <v>897.52</v>
      </c>
      <c r="X1069" s="380">
        <v>310.58</v>
      </c>
      <c r="Y1069" s="380">
        <v>897.52</v>
      </c>
      <c r="Z1069" s="380">
        <v>306.81</v>
      </c>
      <c r="AA1069" s="376" t="s">
        <v>445</v>
      </c>
      <c r="AB1069" s="376" t="s">
        <v>446</v>
      </c>
      <c r="AC1069" s="376" t="s">
        <v>251</v>
      </c>
      <c r="AD1069" s="376" t="s">
        <v>300</v>
      </c>
      <c r="AE1069" s="376" t="s">
        <v>444</v>
      </c>
      <c r="AF1069" s="376" t="s">
        <v>355</v>
      </c>
      <c r="AG1069" s="376" t="s">
        <v>178</v>
      </c>
      <c r="AH1069" s="381">
        <v>43.15</v>
      </c>
      <c r="AI1069" s="381">
        <v>16321.2</v>
      </c>
      <c r="AJ1069" s="376" t="s">
        <v>179</v>
      </c>
      <c r="AK1069" s="376" t="s">
        <v>180</v>
      </c>
      <c r="AL1069" s="376" t="s">
        <v>181</v>
      </c>
      <c r="AM1069" s="376" t="s">
        <v>182</v>
      </c>
      <c r="AN1069" s="376" t="s">
        <v>68</v>
      </c>
      <c r="AO1069" s="379">
        <v>80</v>
      </c>
      <c r="AP1069" s="385">
        <v>1</v>
      </c>
      <c r="AQ1069" s="385">
        <v>0.01</v>
      </c>
      <c r="AR1069" s="383">
        <v>6</v>
      </c>
      <c r="AS1069" s="387">
        <f t="shared" si="731"/>
        <v>0.01</v>
      </c>
      <c r="AT1069">
        <f t="shared" si="732"/>
        <v>0</v>
      </c>
      <c r="AU1069" s="387" t="str">
        <f>IF(AT1069=0,"",IF(AND(AT1069=1,M1069="F",SUMIF(C2:C1334,C1069,AS2:AS1334)&lt;=1),SUMIF(C2:C1334,C1069,AS2:AS1334),IF(AND(AT1069=1,M1069="F",SUMIF(C2:C1334,C1069,AS2:AS1334)&gt;1),1,"")))</f>
        <v/>
      </c>
      <c r="AV1069" s="387" t="str">
        <f>IF(AT1069=0,"",IF(AND(AT1069=3,M1069="F",SUMIF(C2:C1334,C1069,AS2:AS1334)&lt;=1),SUMIF(C2:C1334,C1069,AS2:AS1334),IF(AND(AT1069=3,M1069="F",SUMIF(C2:C1334,C1069,AS2:AS1334)&gt;1),1,"")))</f>
        <v/>
      </c>
      <c r="AW1069" s="387">
        <f>SUMIF(C2:C1334,C1069,O2:O1334)</f>
        <v>16</v>
      </c>
      <c r="AX1069" s="387">
        <f>IF(AND(M1069="F",AS1069&lt;&gt;0),SUMIF(C2:C1334,C1069,W2:W1334),0)</f>
        <v>179503.99999999997</v>
      </c>
      <c r="AY1069" s="387" t="str">
        <f t="shared" si="733"/>
        <v/>
      </c>
      <c r="AZ1069" s="387" t="str">
        <f t="shared" si="734"/>
        <v/>
      </c>
      <c r="BA1069" s="387">
        <f t="shared" si="735"/>
        <v>0</v>
      </c>
      <c r="BB1069" s="387">
        <f t="shared" si="704"/>
        <v>0</v>
      </c>
      <c r="BC1069" s="387">
        <f t="shared" si="705"/>
        <v>0</v>
      </c>
      <c r="BD1069" s="387">
        <f t="shared" si="706"/>
        <v>0</v>
      </c>
      <c r="BE1069" s="387">
        <f t="shared" si="707"/>
        <v>0</v>
      </c>
      <c r="BF1069" s="387">
        <f t="shared" si="708"/>
        <v>0</v>
      </c>
      <c r="BG1069" s="387">
        <f t="shared" si="709"/>
        <v>0</v>
      </c>
      <c r="BH1069" s="387">
        <f t="shared" si="710"/>
        <v>0</v>
      </c>
      <c r="BI1069" s="387">
        <f t="shared" si="711"/>
        <v>0</v>
      </c>
      <c r="BJ1069" s="387">
        <f t="shared" si="712"/>
        <v>0</v>
      </c>
      <c r="BK1069" s="387">
        <f t="shared" si="713"/>
        <v>0</v>
      </c>
      <c r="BL1069" s="387">
        <f t="shared" si="736"/>
        <v>0</v>
      </c>
      <c r="BM1069" s="387">
        <f t="shared" si="737"/>
        <v>0</v>
      </c>
      <c r="BN1069" s="387">
        <f t="shared" si="714"/>
        <v>0</v>
      </c>
      <c r="BO1069" s="387">
        <f t="shared" si="715"/>
        <v>0</v>
      </c>
      <c r="BP1069" s="387">
        <f t="shared" si="716"/>
        <v>0</v>
      </c>
      <c r="BQ1069" s="387">
        <f t="shared" si="717"/>
        <v>0</v>
      </c>
      <c r="BR1069" s="387">
        <f t="shared" si="718"/>
        <v>0</v>
      </c>
      <c r="BS1069" s="387">
        <f t="shared" si="719"/>
        <v>0</v>
      </c>
      <c r="BT1069" s="387">
        <f t="shared" si="720"/>
        <v>0</v>
      </c>
      <c r="BU1069" s="387">
        <f t="shared" si="721"/>
        <v>0</v>
      </c>
      <c r="BV1069" s="387">
        <f t="shared" si="722"/>
        <v>0</v>
      </c>
      <c r="BW1069" s="387">
        <f t="shared" si="723"/>
        <v>0</v>
      </c>
      <c r="BX1069" s="387">
        <f t="shared" si="738"/>
        <v>0</v>
      </c>
      <c r="BY1069" s="387">
        <f t="shared" si="739"/>
        <v>0</v>
      </c>
      <c r="BZ1069" s="387">
        <f t="shared" si="740"/>
        <v>0</v>
      </c>
      <c r="CA1069" s="387">
        <f t="shared" si="741"/>
        <v>0</v>
      </c>
      <c r="CB1069" s="387">
        <f t="shared" si="742"/>
        <v>0</v>
      </c>
      <c r="CC1069" s="387">
        <f t="shared" si="724"/>
        <v>0</v>
      </c>
      <c r="CD1069" s="387">
        <f t="shared" si="725"/>
        <v>0</v>
      </c>
      <c r="CE1069" s="387">
        <f t="shared" si="726"/>
        <v>0</v>
      </c>
      <c r="CF1069" s="387">
        <f t="shared" si="727"/>
        <v>0</v>
      </c>
      <c r="CG1069" s="387">
        <f t="shared" si="728"/>
        <v>0</v>
      </c>
      <c r="CH1069" s="387">
        <f t="shared" si="729"/>
        <v>0</v>
      </c>
      <c r="CI1069" s="387">
        <f t="shared" si="730"/>
        <v>0</v>
      </c>
      <c r="CJ1069" s="387">
        <f t="shared" si="743"/>
        <v>0</v>
      </c>
      <c r="CK1069" s="387" t="str">
        <f t="shared" si="744"/>
        <v/>
      </c>
      <c r="CL1069" s="387" t="str">
        <f t="shared" si="745"/>
        <v/>
      </c>
      <c r="CM1069" s="387" t="str">
        <f t="shared" si="746"/>
        <v/>
      </c>
      <c r="CN1069" s="387" t="str">
        <f t="shared" si="747"/>
        <v>0348-31</v>
      </c>
    </row>
    <row r="1070" spans="1:92" ht="15.75" thickBot="1" x14ac:dyDescent="0.3">
      <c r="A1070" s="376" t="s">
        <v>161</v>
      </c>
      <c r="B1070" s="376" t="s">
        <v>162</v>
      </c>
      <c r="C1070" s="376" t="s">
        <v>318</v>
      </c>
      <c r="D1070" s="376" t="s">
        <v>319</v>
      </c>
      <c r="E1070" s="376" t="s">
        <v>224</v>
      </c>
      <c r="F1070" s="382" t="s">
        <v>225</v>
      </c>
      <c r="G1070" s="376" t="s">
        <v>1945</v>
      </c>
      <c r="H1070" s="378"/>
      <c r="I1070" s="378"/>
      <c r="J1070" s="376" t="s">
        <v>168</v>
      </c>
      <c r="K1070" s="376" t="s">
        <v>320</v>
      </c>
      <c r="L1070" s="376" t="s">
        <v>178</v>
      </c>
      <c r="M1070" s="376" t="s">
        <v>171</v>
      </c>
      <c r="N1070" s="376" t="s">
        <v>172</v>
      </c>
      <c r="O1070" s="379">
        <v>1</v>
      </c>
      <c r="P1070" s="385">
        <v>0.25</v>
      </c>
      <c r="Q1070" s="385">
        <v>0.25</v>
      </c>
      <c r="R1070" s="380">
        <v>80</v>
      </c>
      <c r="S1070" s="385">
        <v>0.25</v>
      </c>
      <c r="T1070" s="380">
        <v>6859.08</v>
      </c>
      <c r="U1070" s="380">
        <v>0</v>
      </c>
      <c r="V1070" s="380">
        <v>3692.75</v>
      </c>
      <c r="W1070" s="380">
        <v>9661.6</v>
      </c>
      <c r="X1070" s="380">
        <v>5001.8100000000004</v>
      </c>
      <c r="Y1070" s="380">
        <v>9661.6</v>
      </c>
      <c r="Z1070" s="380">
        <v>4961.2299999999996</v>
      </c>
      <c r="AA1070" s="376" t="s">
        <v>321</v>
      </c>
      <c r="AB1070" s="376" t="s">
        <v>322</v>
      </c>
      <c r="AC1070" s="376" t="s">
        <v>323</v>
      </c>
      <c r="AD1070" s="376" t="s">
        <v>324</v>
      </c>
      <c r="AE1070" s="376" t="s">
        <v>320</v>
      </c>
      <c r="AF1070" s="376" t="s">
        <v>253</v>
      </c>
      <c r="AG1070" s="376" t="s">
        <v>178</v>
      </c>
      <c r="AH1070" s="381">
        <v>18.579999999999998</v>
      </c>
      <c r="AI1070" s="381">
        <v>39867.300000000003</v>
      </c>
      <c r="AJ1070" s="376" t="s">
        <v>179</v>
      </c>
      <c r="AK1070" s="376" t="s">
        <v>180</v>
      </c>
      <c r="AL1070" s="376" t="s">
        <v>181</v>
      </c>
      <c r="AM1070" s="376" t="s">
        <v>182</v>
      </c>
      <c r="AN1070" s="376" t="s">
        <v>68</v>
      </c>
      <c r="AO1070" s="379">
        <v>80</v>
      </c>
      <c r="AP1070" s="385">
        <v>1</v>
      </c>
      <c r="AQ1070" s="385">
        <v>0.25</v>
      </c>
      <c r="AR1070" s="383" t="s">
        <v>183</v>
      </c>
      <c r="AS1070" s="387">
        <f t="shared" si="731"/>
        <v>0.25</v>
      </c>
      <c r="AT1070">
        <f t="shared" si="732"/>
        <v>1</v>
      </c>
      <c r="AU1070" s="387">
        <f>IF(AT1070=0,"",IF(AND(AT1070=1,M1070="F",SUMIF(C2:C1334,C1070,AS2:AS1334)&lt;=1),SUMIF(C2:C1334,C1070,AS2:AS1334),IF(AND(AT1070=1,M1070="F",SUMIF(C2:C1334,C1070,AS2:AS1334)&gt;1),1,"")))</f>
        <v>1</v>
      </c>
      <c r="AV1070" s="387" t="str">
        <f>IF(AT1070=0,"",IF(AND(AT1070=3,M1070="F",SUMIF(C2:C1334,C1070,AS2:AS1334)&lt;=1),SUMIF(C2:C1334,C1070,AS2:AS1334),IF(AND(AT1070=3,M1070="F",SUMIF(C2:C1334,C1070,AS2:AS1334)&gt;1),1,"")))</f>
        <v/>
      </c>
      <c r="AW1070" s="387">
        <f>SUMIF(C2:C1334,C1070,O2:O1334)</f>
        <v>5</v>
      </c>
      <c r="AX1070" s="387">
        <f>IF(AND(M1070="F",AS1070&lt;&gt;0),SUMIF(C2:C1334,C1070,W2:W1334),0)</f>
        <v>38646.400000000001</v>
      </c>
      <c r="AY1070" s="387">
        <f t="shared" si="733"/>
        <v>9661.6</v>
      </c>
      <c r="AZ1070" s="387" t="str">
        <f t="shared" si="734"/>
        <v/>
      </c>
      <c r="BA1070" s="387">
        <f t="shared" si="735"/>
        <v>0</v>
      </c>
      <c r="BB1070" s="387">
        <f t="shared" si="704"/>
        <v>2912.5</v>
      </c>
      <c r="BC1070" s="387">
        <f t="shared" si="705"/>
        <v>0</v>
      </c>
      <c r="BD1070" s="387">
        <f t="shared" si="706"/>
        <v>599.01920000000007</v>
      </c>
      <c r="BE1070" s="387">
        <f t="shared" si="707"/>
        <v>140.09320000000002</v>
      </c>
      <c r="BF1070" s="387">
        <f t="shared" si="708"/>
        <v>1153.5950400000002</v>
      </c>
      <c r="BG1070" s="387">
        <f t="shared" si="709"/>
        <v>69.660136000000008</v>
      </c>
      <c r="BH1070" s="387">
        <f t="shared" si="710"/>
        <v>47.341839999999998</v>
      </c>
      <c r="BI1070" s="387">
        <f t="shared" si="711"/>
        <v>53.476956000000001</v>
      </c>
      <c r="BJ1070" s="387">
        <f t="shared" si="712"/>
        <v>26.086320000000001</v>
      </c>
      <c r="BK1070" s="387">
        <f t="shared" si="713"/>
        <v>0</v>
      </c>
      <c r="BL1070" s="387">
        <f t="shared" si="736"/>
        <v>2089.272692</v>
      </c>
      <c r="BM1070" s="387">
        <f t="shared" si="737"/>
        <v>0</v>
      </c>
      <c r="BN1070" s="387">
        <f t="shared" si="714"/>
        <v>2912.5</v>
      </c>
      <c r="BO1070" s="387">
        <f t="shared" si="715"/>
        <v>0</v>
      </c>
      <c r="BP1070" s="387">
        <f t="shared" si="716"/>
        <v>599.01920000000007</v>
      </c>
      <c r="BQ1070" s="387">
        <f t="shared" si="717"/>
        <v>140.09320000000002</v>
      </c>
      <c r="BR1070" s="387">
        <f t="shared" si="718"/>
        <v>1153.5950400000002</v>
      </c>
      <c r="BS1070" s="387">
        <f t="shared" si="719"/>
        <v>69.660136000000008</v>
      </c>
      <c r="BT1070" s="387">
        <f t="shared" si="720"/>
        <v>0</v>
      </c>
      <c r="BU1070" s="387">
        <f t="shared" si="721"/>
        <v>53.476956000000001</v>
      </c>
      <c r="BV1070" s="387">
        <f t="shared" si="722"/>
        <v>32.849440000000001</v>
      </c>
      <c r="BW1070" s="387">
        <f t="shared" si="723"/>
        <v>0</v>
      </c>
      <c r="BX1070" s="387">
        <f t="shared" si="738"/>
        <v>2048.693972</v>
      </c>
      <c r="BY1070" s="387">
        <f t="shared" si="739"/>
        <v>0</v>
      </c>
      <c r="BZ1070" s="387">
        <f t="shared" si="740"/>
        <v>0</v>
      </c>
      <c r="CA1070" s="387">
        <f t="shared" si="741"/>
        <v>0</v>
      </c>
      <c r="CB1070" s="387">
        <f t="shared" si="742"/>
        <v>0</v>
      </c>
      <c r="CC1070" s="387">
        <f t="shared" si="724"/>
        <v>0</v>
      </c>
      <c r="CD1070" s="387">
        <f t="shared" si="725"/>
        <v>0</v>
      </c>
      <c r="CE1070" s="387">
        <f t="shared" si="726"/>
        <v>0</v>
      </c>
      <c r="CF1070" s="387">
        <f t="shared" si="727"/>
        <v>-47.341839999999998</v>
      </c>
      <c r="CG1070" s="387">
        <f t="shared" si="728"/>
        <v>0</v>
      </c>
      <c r="CH1070" s="387">
        <f t="shared" si="729"/>
        <v>6.7631199999999971</v>
      </c>
      <c r="CI1070" s="387">
        <f t="shared" si="730"/>
        <v>0</v>
      </c>
      <c r="CJ1070" s="387">
        <f t="shared" si="743"/>
        <v>-40.578720000000004</v>
      </c>
      <c r="CK1070" s="387" t="str">
        <f t="shared" si="744"/>
        <v/>
      </c>
      <c r="CL1070" s="387" t="str">
        <f t="shared" si="745"/>
        <v/>
      </c>
      <c r="CM1070" s="387" t="str">
        <f t="shared" si="746"/>
        <v/>
      </c>
      <c r="CN1070" s="387" t="str">
        <f t="shared" si="747"/>
        <v>0348-31</v>
      </c>
    </row>
    <row r="1071" spans="1:92" ht="15.75" thickBot="1" x14ac:dyDescent="0.3">
      <c r="A1071" s="376" t="s">
        <v>161</v>
      </c>
      <c r="B1071" s="376" t="s">
        <v>162</v>
      </c>
      <c r="C1071" s="376" t="s">
        <v>1486</v>
      </c>
      <c r="D1071" s="376" t="s">
        <v>862</v>
      </c>
      <c r="E1071" s="376" t="s">
        <v>224</v>
      </c>
      <c r="F1071" s="382" t="s">
        <v>225</v>
      </c>
      <c r="G1071" s="376" t="s">
        <v>1945</v>
      </c>
      <c r="H1071" s="378"/>
      <c r="I1071" s="378"/>
      <c r="J1071" s="376" t="s">
        <v>215</v>
      </c>
      <c r="K1071" s="376" t="s">
        <v>863</v>
      </c>
      <c r="L1071" s="376" t="s">
        <v>252</v>
      </c>
      <c r="M1071" s="376" t="s">
        <v>272</v>
      </c>
      <c r="N1071" s="376" t="s">
        <v>172</v>
      </c>
      <c r="O1071" s="379">
        <v>0</v>
      </c>
      <c r="P1071" s="385">
        <v>1</v>
      </c>
      <c r="Q1071" s="385">
        <v>1</v>
      </c>
      <c r="R1071" s="380">
        <v>80</v>
      </c>
      <c r="S1071" s="385">
        <v>1</v>
      </c>
      <c r="T1071" s="380">
        <v>2909.57</v>
      </c>
      <c r="U1071" s="380">
        <v>0</v>
      </c>
      <c r="V1071" s="380">
        <v>1482.89</v>
      </c>
      <c r="W1071" s="380">
        <v>42328</v>
      </c>
      <c r="X1071" s="380">
        <v>18539.66</v>
      </c>
      <c r="Y1071" s="380">
        <v>42328</v>
      </c>
      <c r="Z1071" s="380">
        <v>18328.02</v>
      </c>
      <c r="AA1071" s="378"/>
      <c r="AB1071" s="376" t="s">
        <v>45</v>
      </c>
      <c r="AC1071" s="376" t="s">
        <v>45</v>
      </c>
      <c r="AD1071" s="378"/>
      <c r="AE1071" s="378"/>
      <c r="AF1071" s="378"/>
      <c r="AG1071" s="378"/>
      <c r="AH1071" s="379">
        <v>0</v>
      </c>
      <c r="AI1071" s="379">
        <v>0</v>
      </c>
      <c r="AJ1071" s="378"/>
      <c r="AK1071" s="378"/>
      <c r="AL1071" s="376" t="s">
        <v>181</v>
      </c>
      <c r="AM1071" s="378"/>
      <c r="AN1071" s="378"/>
      <c r="AO1071" s="379">
        <v>0</v>
      </c>
      <c r="AP1071" s="385">
        <v>0</v>
      </c>
      <c r="AQ1071" s="385">
        <v>0</v>
      </c>
      <c r="AR1071" s="384"/>
      <c r="AS1071" s="387">
        <f t="shared" si="731"/>
        <v>0</v>
      </c>
      <c r="AT1071">
        <f t="shared" si="732"/>
        <v>0</v>
      </c>
      <c r="AU1071" s="387" t="str">
        <f>IF(AT1071=0,"",IF(AND(AT1071=1,M1071="F",SUMIF(C2:C1334,C1071,AS2:AS1334)&lt;=1),SUMIF(C2:C1334,C1071,AS2:AS1334),IF(AND(AT1071=1,M1071="F",SUMIF(C2:C1334,C1071,AS2:AS1334)&gt;1),1,"")))</f>
        <v/>
      </c>
      <c r="AV1071" s="387" t="str">
        <f>IF(AT1071=0,"",IF(AND(AT1071=3,M1071="F",SUMIF(C2:C1334,C1071,AS2:AS1334)&lt;=1),SUMIF(C2:C1334,C1071,AS2:AS1334),IF(AND(AT1071=3,M1071="F",SUMIF(C2:C1334,C1071,AS2:AS1334)&gt;1),1,"")))</f>
        <v/>
      </c>
      <c r="AW1071" s="387">
        <f>SUMIF(C2:C1334,C1071,O2:O1334)</f>
        <v>0</v>
      </c>
      <c r="AX1071" s="387">
        <f>IF(AND(M1071="F",AS1071&lt;&gt;0),SUMIF(C2:C1334,C1071,W2:W1334),0)</f>
        <v>0</v>
      </c>
      <c r="AY1071" s="387" t="str">
        <f t="shared" si="733"/>
        <v/>
      </c>
      <c r="AZ1071" s="387" t="str">
        <f t="shared" si="734"/>
        <v/>
      </c>
      <c r="BA1071" s="387">
        <f t="shared" si="735"/>
        <v>0</v>
      </c>
      <c r="BB1071" s="387">
        <f t="shared" si="704"/>
        <v>0</v>
      </c>
      <c r="BC1071" s="387">
        <f t="shared" si="705"/>
        <v>0</v>
      </c>
      <c r="BD1071" s="387">
        <f t="shared" si="706"/>
        <v>0</v>
      </c>
      <c r="BE1071" s="387">
        <f t="shared" si="707"/>
        <v>0</v>
      </c>
      <c r="BF1071" s="387">
        <f t="shared" si="708"/>
        <v>0</v>
      </c>
      <c r="BG1071" s="387">
        <f t="shared" si="709"/>
        <v>0</v>
      </c>
      <c r="BH1071" s="387">
        <f t="shared" si="710"/>
        <v>0</v>
      </c>
      <c r="BI1071" s="387">
        <f t="shared" si="711"/>
        <v>0</v>
      </c>
      <c r="BJ1071" s="387">
        <f t="shared" si="712"/>
        <v>0</v>
      </c>
      <c r="BK1071" s="387">
        <f t="shared" si="713"/>
        <v>0</v>
      </c>
      <c r="BL1071" s="387">
        <f t="shared" si="736"/>
        <v>0</v>
      </c>
      <c r="BM1071" s="387">
        <f t="shared" si="737"/>
        <v>0</v>
      </c>
      <c r="BN1071" s="387">
        <f t="shared" si="714"/>
        <v>0</v>
      </c>
      <c r="BO1071" s="387">
        <f t="shared" si="715"/>
        <v>0</v>
      </c>
      <c r="BP1071" s="387">
        <f t="shared" si="716"/>
        <v>0</v>
      </c>
      <c r="BQ1071" s="387">
        <f t="shared" si="717"/>
        <v>0</v>
      </c>
      <c r="BR1071" s="387">
        <f t="shared" si="718"/>
        <v>0</v>
      </c>
      <c r="BS1071" s="387">
        <f t="shared" si="719"/>
        <v>0</v>
      </c>
      <c r="BT1071" s="387">
        <f t="shared" si="720"/>
        <v>0</v>
      </c>
      <c r="BU1071" s="387">
        <f t="shared" si="721"/>
        <v>0</v>
      </c>
      <c r="BV1071" s="387">
        <f t="shared" si="722"/>
        <v>0</v>
      </c>
      <c r="BW1071" s="387">
        <f t="shared" si="723"/>
        <v>0</v>
      </c>
      <c r="BX1071" s="387">
        <f t="shared" si="738"/>
        <v>0</v>
      </c>
      <c r="BY1071" s="387">
        <f t="shared" si="739"/>
        <v>0</v>
      </c>
      <c r="BZ1071" s="387">
        <f t="shared" si="740"/>
        <v>0</v>
      </c>
      <c r="CA1071" s="387">
        <f t="shared" si="741"/>
        <v>0</v>
      </c>
      <c r="CB1071" s="387">
        <f t="shared" si="742"/>
        <v>0</v>
      </c>
      <c r="CC1071" s="387">
        <f t="shared" si="724"/>
        <v>0</v>
      </c>
      <c r="CD1071" s="387">
        <f t="shared" si="725"/>
        <v>0</v>
      </c>
      <c r="CE1071" s="387">
        <f t="shared" si="726"/>
        <v>0</v>
      </c>
      <c r="CF1071" s="387">
        <f t="shared" si="727"/>
        <v>0</v>
      </c>
      <c r="CG1071" s="387">
        <f t="shared" si="728"/>
        <v>0</v>
      </c>
      <c r="CH1071" s="387">
        <f t="shared" si="729"/>
        <v>0</v>
      </c>
      <c r="CI1071" s="387">
        <f t="shared" si="730"/>
        <v>0</v>
      </c>
      <c r="CJ1071" s="387">
        <f t="shared" si="743"/>
        <v>0</v>
      </c>
      <c r="CK1071" s="387" t="str">
        <f t="shared" si="744"/>
        <v/>
      </c>
      <c r="CL1071" s="387" t="str">
        <f t="shared" si="745"/>
        <v/>
      </c>
      <c r="CM1071" s="387" t="str">
        <f t="shared" si="746"/>
        <v/>
      </c>
      <c r="CN1071" s="387" t="str">
        <f t="shared" si="747"/>
        <v>0348-31</v>
      </c>
    </row>
    <row r="1072" spans="1:92" ht="15.75" thickBot="1" x14ac:dyDescent="0.3">
      <c r="A1072" s="376" t="s">
        <v>161</v>
      </c>
      <c r="B1072" s="376" t="s">
        <v>162</v>
      </c>
      <c r="C1072" s="376" t="s">
        <v>1777</v>
      </c>
      <c r="D1072" s="376" t="s">
        <v>862</v>
      </c>
      <c r="E1072" s="376" t="s">
        <v>224</v>
      </c>
      <c r="F1072" s="382" t="s">
        <v>225</v>
      </c>
      <c r="G1072" s="376" t="s">
        <v>1945</v>
      </c>
      <c r="H1072" s="378"/>
      <c r="I1072" s="378"/>
      <c r="J1072" s="376" t="s">
        <v>239</v>
      </c>
      <c r="K1072" s="376" t="s">
        <v>863</v>
      </c>
      <c r="L1072" s="376" t="s">
        <v>252</v>
      </c>
      <c r="M1072" s="376" t="s">
        <v>171</v>
      </c>
      <c r="N1072" s="376" t="s">
        <v>172</v>
      </c>
      <c r="O1072" s="379">
        <v>1</v>
      </c>
      <c r="P1072" s="385">
        <v>0.3</v>
      </c>
      <c r="Q1072" s="385">
        <v>0.3</v>
      </c>
      <c r="R1072" s="380">
        <v>80</v>
      </c>
      <c r="S1072" s="385">
        <v>0.3</v>
      </c>
      <c r="T1072" s="380">
        <v>15831.29</v>
      </c>
      <c r="U1072" s="380">
        <v>198.36</v>
      </c>
      <c r="V1072" s="380">
        <v>7345.78</v>
      </c>
      <c r="W1072" s="380">
        <v>14782.56</v>
      </c>
      <c r="X1072" s="380">
        <v>6691.71</v>
      </c>
      <c r="Y1072" s="380">
        <v>14782.56</v>
      </c>
      <c r="Z1072" s="380">
        <v>6629.63</v>
      </c>
      <c r="AA1072" s="376" t="s">
        <v>1778</v>
      </c>
      <c r="AB1072" s="376" t="s">
        <v>1779</v>
      </c>
      <c r="AC1072" s="376" t="s">
        <v>1048</v>
      </c>
      <c r="AD1072" s="376" t="s">
        <v>180</v>
      </c>
      <c r="AE1072" s="376" t="s">
        <v>863</v>
      </c>
      <c r="AF1072" s="376" t="s">
        <v>393</v>
      </c>
      <c r="AG1072" s="376" t="s">
        <v>178</v>
      </c>
      <c r="AH1072" s="381">
        <v>23.69</v>
      </c>
      <c r="AI1072" s="381">
        <v>35097.9</v>
      </c>
      <c r="AJ1072" s="376" t="s">
        <v>179</v>
      </c>
      <c r="AK1072" s="376" t="s">
        <v>180</v>
      </c>
      <c r="AL1072" s="376" t="s">
        <v>181</v>
      </c>
      <c r="AM1072" s="376" t="s">
        <v>182</v>
      </c>
      <c r="AN1072" s="376" t="s">
        <v>68</v>
      </c>
      <c r="AO1072" s="379">
        <v>80</v>
      </c>
      <c r="AP1072" s="385">
        <v>1</v>
      </c>
      <c r="AQ1072" s="385">
        <v>0.3</v>
      </c>
      <c r="AR1072" s="383" t="s">
        <v>183</v>
      </c>
      <c r="AS1072" s="387">
        <f t="shared" si="731"/>
        <v>0.3</v>
      </c>
      <c r="AT1072">
        <f t="shared" si="732"/>
        <v>1</v>
      </c>
      <c r="AU1072" s="387">
        <f>IF(AT1072=0,"",IF(AND(AT1072=1,M1072="F",SUMIF(C2:C1334,C1072,AS2:AS1334)&lt;=1),SUMIF(C2:C1334,C1072,AS2:AS1334),IF(AND(AT1072=1,M1072="F",SUMIF(C2:C1334,C1072,AS2:AS1334)&gt;1),1,"")))</f>
        <v>1</v>
      </c>
      <c r="AV1072" s="387" t="str">
        <f>IF(AT1072=0,"",IF(AND(AT1072=3,M1072="F",SUMIF(C2:C1334,C1072,AS2:AS1334)&lt;=1),SUMIF(C2:C1334,C1072,AS2:AS1334),IF(AND(AT1072=3,M1072="F",SUMIF(C2:C1334,C1072,AS2:AS1334)&gt;1),1,"")))</f>
        <v/>
      </c>
      <c r="AW1072" s="387">
        <f>SUMIF(C2:C1334,C1072,O2:O1334)</f>
        <v>3</v>
      </c>
      <c r="AX1072" s="387">
        <f>IF(AND(M1072="F",AS1072&lt;&gt;0),SUMIF(C2:C1334,C1072,W2:W1334),0)</f>
        <v>49275.199999999997</v>
      </c>
      <c r="AY1072" s="387">
        <f t="shared" si="733"/>
        <v>14782.56</v>
      </c>
      <c r="AZ1072" s="387" t="str">
        <f t="shared" si="734"/>
        <v/>
      </c>
      <c r="BA1072" s="387">
        <f t="shared" si="735"/>
        <v>0</v>
      </c>
      <c r="BB1072" s="387">
        <f t="shared" si="704"/>
        <v>3495</v>
      </c>
      <c r="BC1072" s="387">
        <f t="shared" si="705"/>
        <v>0</v>
      </c>
      <c r="BD1072" s="387">
        <f t="shared" si="706"/>
        <v>916.51871999999992</v>
      </c>
      <c r="BE1072" s="387">
        <f t="shared" si="707"/>
        <v>214.34711999999999</v>
      </c>
      <c r="BF1072" s="387">
        <f t="shared" si="708"/>
        <v>1765.0376639999999</v>
      </c>
      <c r="BG1072" s="387">
        <f t="shared" si="709"/>
        <v>106.58225760000001</v>
      </c>
      <c r="BH1072" s="387">
        <f t="shared" si="710"/>
        <v>72.434543999999988</v>
      </c>
      <c r="BI1072" s="387">
        <f t="shared" si="711"/>
        <v>81.8214696</v>
      </c>
      <c r="BJ1072" s="387">
        <f t="shared" si="712"/>
        <v>39.912911999999999</v>
      </c>
      <c r="BK1072" s="387">
        <f t="shared" si="713"/>
        <v>0</v>
      </c>
      <c r="BL1072" s="387">
        <f t="shared" si="736"/>
        <v>3196.6546871999999</v>
      </c>
      <c r="BM1072" s="387">
        <f t="shared" si="737"/>
        <v>0</v>
      </c>
      <c r="BN1072" s="387">
        <f t="shared" si="714"/>
        <v>3495</v>
      </c>
      <c r="BO1072" s="387">
        <f t="shared" si="715"/>
        <v>0</v>
      </c>
      <c r="BP1072" s="387">
        <f t="shared" si="716"/>
        <v>916.51871999999992</v>
      </c>
      <c r="BQ1072" s="387">
        <f t="shared" si="717"/>
        <v>214.34711999999999</v>
      </c>
      <c r="BR1072" s="387">
        <f t="shared" si="718"/>
        <v>1765.0376639999999</v>
      </c>
      <c r="BS1072" s="387">
        <f t="shared" si="719"/>
        <v>106.58225760000001</v>
      </c>
      <c r="BT1072" s="387">
        <f t="shared" si="720"/>
        <v>0</v>
      </c>
      <c r="BU1072" s="387">
        <f t="shared" si="721"/>
        <v>81.8214696</v>
      </c>
      <c r="BV1072" s="387">
        <f t="shared" si="722"/>
        <v>50.260703999999997</v>
      </c>
      <c r="BW1072" s="387">
        <f t="shared" si="723"/>
        <v>0</v>
      </c>
      <c r="BX1072" s="387">
        <f t="shared" si="738"/>
        <v>3134.5679351999997</v>
      </c>
      <c r="BY1072" s="387">
        <f t="shared" si="739"/>
        <v>0</v>
      </c>
      <c r="BZ1072" s="387">
        <f t="shared" si="740"/>
        <v>0</v>
      </c>
      <c r="CA1072" s="387">
        <f t="shared" si="741"/>
        <v>0</v>
      </c>
      <c r="CB1072" s="387">
        <f t="shared" si="742"/>
        <v>0</v>
      </c>
      <c r="CC1072" s="387">
        <f t="shared" si="724"/>
        <v>0</v>
      </c>
      <c r="CD1072" s="387">
        <f t="shared" si="725"/>
        <v>0</v>
      </c>
      <c r="CE1072" s="387">
        <f t="shared" si="726"/>
        <v>0</v>
      </c>
      <c r="CF1072" s="387">
        <f t="shared" si="727"/>
        <v>-72.434543999999988</v>
      </c>
      <c r="CG1072" s="387">
        <f t="shared" si="728"/>
        <v>0</v>
      </c>
      <c r="CH1072" s="387">
        <f t="shared" si="729"/>
        <v>10.347791999999995</v>
      </c>
      <c r="CI1072" s="387">
        <f t="shared" si="730"/>
        <v>0</v>
      </c>
      <c r="CJ1072" s="387">
        <f t="shared" si="743"/>
        <v>-62.08675199999999</v>
      </c>
      <c r="CK1072" s="387" t="str">
        <f t="shared" si="744"/>
        <v/>
      </c>
      <c r="CL1072" s="387" t="str">
        <f t="shared" si="745"/>
        <v/>
      </c>
      <c r="CM1072" s="387" t="str">
        <f t="shared" si="746"/>
        <v/>
      </c>
      <c r="CN1072" s="387" t="str">
        <f t="shared" si="747"/>
        <v>0348-31</v>
      </c>
    </row>
    <row r="1073" spans="1:92" ht="15.75" thickBot="1" x14ac:dyDescent="0.3">
      <c r="A1073" s="376" t="s">
        <v>161</v>
      </c>
      <c r="B1073" s="376" t="s">
        <v>162</v>
      </c>
      <c r="C1073" s="376" t="s">
        <v>1826</v>
      </c>
      <c r="D1073" s="376" t="s">
        <v>862</v>
      </c>
      <c r="E1073" s="376" t="s">
        <v>224</v>
      </c>
      <c r="F1073" s="382" t="s">
        <v>225</v>
      </c>
      <c r="G1073" s="376" t="s">
        <v>1945</v>
      </c>
      <c r="H1073" s="378"/>
      <c r="I1073" s="378"/>
      <c r="J1073" s="376" t="s">
        <v>239</v>
      </c>
      <c r="K1073" s="376" t="s">
        <v>863</v>
      </c>
      <c r="L1073" s="376" t="s">
        <v>252</v>
      </c>
      <c r="M1073" s="376" t="s">
        <v>171</v>
      </c>
      <c r="N1073" s="376" t="s">
        <v>172</v>
      </c>
      <c r="O1073" s="379">
        <v>1</v>
      </c>
      <c r="P1073" s="385">
        <v>0.75</v>
      </c>
      <c r="Q1073" s="385">
        <v>0.75</v>
      </c>
      <c r="R1073" s="380">
        <v>80</v>
      </c>
      <c r="S1073" s="385">
        <v>0.75</v>
      </c>
      <c r="T1073" s="380">
        <v>27427.16</v>
      </c>
      <c r="U1073" s="380">
        <v>0</v>
      </c>
      <c r="V1073" s="380">
        <v>14401.47</v>
      </c>
      <c r="W1073" s="380">
        <v>29265.599999999999</v>
      </c>
      <c r="X1073" s="380">
        <v>15066.15</v>
      </c>
      <c r="Y1073" s="380">
        <v>29265.599999999999</v>
      </c>
      <c r="Z1073" s="380">
        <v>14943.24</v>
      </c>
      <c r="AA1073" s="376" t="s">
        <v>1827</v>
      </c>
      <c r="AB1073" s="376" t="s">
        <v>1828</v>
      </c>
      <c r="AC1073" s="376" t="s">
        <v>176</v>
      </c>
      <c r="AD1073" s="376" t="s">
        <v>324</v>
      </c>
      <c r="AE1073" s="376" t="s">
        <v>863</v>
      </c>
      <c r="AF1073" s="376" t="s">
        <v>393</v>
      </c>
      <c r="AG1073" s="376" t="s">
        <v>178</v>
      </c>
      <c r="AH1073" s="381">
        <v>18.760000000000002</v>
      </c>
      <c r="AI1073" s="381">
        <v>3227.5</v>
      </c>
      <c r="AJ1073" s="376" t="s">
        <v>179</v>
      </c>
      <c r="AK1073" s="376" t="s">
        <v>180</v>
      </c>
      <c r="AL1073" s="376" t="s">
        <v>181</v>
      </c>
      <c r="AM1073" s="376" t="s">
        <v>182</v>
      </c>
      <c r="AN1073" s="376" t="s">
        <v>68</v>
      </c>
      <c r="AO1073" s="379">
        <v>80</v>
      </c>
      <c r="AP1073" s="385">
        <v>1</v>
      </c>
      <c r="AQ1073" s="385">
        <v>0.75</v>
      </c>
      <c r="AR1073" s="383" t="s">
        <v>183</v>
      </c>
      <c r="AS1073" s="387">
        <f t="shared" si="731"/>
        <v>0.75</v>
      </c>
      <c r="AT1073">
        <f t="shared" si="732"/>
        <v>1</v>
      </c>
      <c r="AU1073" s="387">
        <f>IF(AT1073=0,"",IF(AND(AT1073=1,M1073="F",SUMIF(C2:C1334,C1073,AS2:AS1334)&lt;=1),SUMIF(C2:C1334,C1073,AS2:AS1334),IF(AND(AT1073=1,M1073="F",SUMIF(C2:C1334,C1073,AS2:AS1334)&gt;1),1,"")))</f>
        <v>1</v>
      </c>
      <c r="AV1073" s="387" t="str">
        <f>IF(AT1073=0,"",IF(AND(AT1073=3,M1073="F",SUMIF(C2:C1334,C1073,AS2:AS1334)&lt;=1),SUMIF(C2:C1334,C1073,AS2:AS1334),IF(AND(AT1073=3,M1073="F",SUMIF(C2:C1334,C1073,AS2:AS1334)&gt;1),1,"")))</f>
        <v/>
      </c>
      <c r="AW1073" s="387">
        <f>SUMIF(C2:C1334,C1073,O2:O1334)</f>
        <v>3</v>
      </c>
      <c r="AX1073" s="387">
        <f>IF(AND(M1073="F",AS1073&lt;&gt;0),SUMIF(C2:C1334,C1073,W2:W1334),0)</f>
        <v>39020.800000000003</v>
      </c>
      <c r="AY1073" s="387">
        <f t="shared" si="733"/>
        <v>29265.599999999999</v>
      </c>
      <c r="AZ1073" s="387" t="str">
        <f t="shared" si="734"/>
        <v/>
      </c>
      <c r="BA1073" s="387">
        <f t="shared" si="735"/>
        <v>0</v>
      </c>
      <c r="BB1073" s="387">
        <f t="shared" si="704"/>
        <v>8737.5</v>
      </c>
      <c r="BC1073" s="387">
        <f t="shared" si="705"/>
        <v>0</v>
      </c>
      <c r="BD1073" s="387">
        <f t="shared" si="706"/>
        <v>1814.4671999999998</v>
      </c>
      <c r="BE1073" s="387">
        <f t="shared" si="707"/>
        <v>424.35120000000001</v>
      </c>
      <c r="BF1073" s="387">
        <f t="shared" si="708"/>
        <v>3494.3126400000001</v>
      </c>
      <c r="BG1073" s="387">
        <f t="shared" si="709"/>
        <v>211.004976</v>
      </c>
      <c r="BH1073" s="387">
        <f t="shared" si="710"/>
        <v>143.40143999999998</v>
      </c>
      <c r="BI1073" s="387">
        <f t="shared" si="711"/>
        <v>161.985096</v>
      </c>
      <c r="BJ1073" s="387">
        <f t="shared" si="712"/>
        <v>79.017120000000006</v>
      </c>
      <c r="BK1073" s="387">
        <f t="shared" si="713"/>
        <v>0</v>
      </c>
      <c r="BL1073" s="387">
        <f t="shared" si="736"/>
        <v>6328.5396720000008</v>
      </c>
      <c r="BM1073" s="387">
        <f t="shared" si="737"/>
        <v>0</v>
      </c>
      <c r="BN1073" s="387">
        <f t="shared" si="714"/>
        <v>8737.5</v>
      </c>
      <c r="BO1073" s="387">
        <f t="shared" si="715"/>
        <v>0</v>
      </c>
      <c r="BP1073" s="387">
        <f t="shared" si="716"/>
        <v>1814.4671999999998</v>
      </c>
      <c r="BQ1073" s="387">
        <f t="shared" si="717"/>
        <v>424.35120000000001</v>
      </c>
      <c r="BR1073" s="387">
        <f t="shared" si="718"/>
        <v>3494.3126400000001</v>
      </c>
      <c r="BS1073" s="387">
        <f t="shared" si="719"/>
        <v>211.004976</v>
      </c>
      <c r="BT1073" s="387">
        <f t="shared" si="720"/>
        <v>0</v>
      </c>
      <c r="BU1073" s="387">
        <f t="shared" si="721"/>
        <v>161.985096</v>
      </c>
      <c r="BV1073" s="387">
        <f t="shared" si="722"/>
        <v>99.503039999999984</v>
      </c>
      <c r="BW1073" s="387">
        <f t="shared" si="723"/>
        <v>0</v>
      </c>
      <c r="BX1073" s="387">
        <f t="shared" si="738"/>
        <v>6205.6241520000003</v>
      </c>
      <c r="BY1073" s="387">
        <f t="shared" si="739"/>
        <v>0</v>
      </c>
      <c r="BZ1073" s="387">
        <f t="shared" si="740"/>
        <v>0</v>
      </c>
      <c r="CA1073" s="387">
        <f t="shared" si="741"/>
        <v>0</v>
      </c>
      <c r="CB1073" s="387">
        <f t="shared" si="742"/>
        <v>0</v>
      </c>
      <c r="CC1073" s="387">
        <f t="shared" si="724"/>
        <v>0</v>
      </c>
      <c r="CD1073" s="387">
        <f t="shared" si="725"/>
        <v>0</v>
      </c>
      <c r="CE1073" s="387">
        <f t="shared" si="726"/>
        <v>0</v>
      </c>
      <c r="CF1073" s="387">
        <f t="shared" si="727"/>
        <v>-143.40143999999998</v>
      </c>
      <c r="CG1073" s="387">
        <f t="shared" si="728"/>
        <v>0</v>
      </c>
      <c r="CH1073" s="387">
        <f t="shared" si="729"/>
        <v>20.485919999999989</v>
      </c>
      <c r="CI1073" s="387">
        <f t="shared" si="730"/>
        <v>0</v>
      </c>
      <c r="CJ1073" s="387">
        <f t="shared" si="743"/>
        <v>-122.91551999999999</v>
      </c>
      <c r="CK1073" s="387" t="str">
        <f t="shared" si="744"/>
        <v/>
      </c>
      <c r="CL1073" s="387" t="str">
        <f t="shared" si="745"/>
        <v/>
      </c>
      <c r="CM1073" s="387" t="str">
        <f t="shared" si="746"/>
        <v/>
      </c>
      <c r="CN1073" s="387" t="str">
        <f t="shared" si="747"/>
        <v>0348-31</v>
      </c>
    </row>
    <row r="1074" spans="1:92" ht="15.75" thickBot="1" x14ac:dyDescent="0.3">
      <c r="A1074" s="376" t="s">
        <v>161</v>
      </c>
      <c r="B1074" s="376" t="s">
        <v>162</v>
      </c>
      <c r="C1074" s="376" t="s">
        <v>2266</v>
      </c>
      <c r="D1074" s="376" t="s">
        <v>247</v>
      </c>
      <c r="E1074" s="376" t="s">
        <v>224</v>
      </c>
      <c r="F1074" s="382" t="s">
        <v>225</v>
      </c>
      <c r="G1074" s="376" t="s">
        <v>1945</v>
      </c>
      <c r="H1074" s="378"/>
      <c r="I1074" s="378"/>
      <c r="J1074" s="376" t="s">
        <v>215</v>
      </c>
      <c r="K1074" s="376" t="s">
        <v>248</v>
      </c>
      <c r="L1074" s="376" t="s">
        <v>178</v>
      </c>
      <c r="M1074" s="376" t="s">
        <v>171</v>
      </c>
      <c r="N1074" s="376" t="s">
        <v>172</v>
      </c>
      <c r="O1074" s="379">
        <v>1</v>
      </c>
      <c r="P1074" s="385">
        <v>1</v>
      </c>
      <c r="Q1074" s="385">
        <v>1</v>
      </c>
      <c r="R1074" s="380">
        <v>80</v>
      </c>
      <c r="S1074" s="385">
        <v>1</v>
      </c>
      <c r="T1074" s="380">
        <v>33996</v>
      </c>
      <c r="U1074" s="380">
        <v>134.96</v>
      </c>
      <c r="V1074" s="380">
        <v>18767.36</v>
      </c>
      <c r="W1074" s="380">
        <v>35339.199999999997</v>
      </c>
      <c r="X1074" s="380">
        <v>19292.07</v>
      </c>
      <c r="Y1074" s="380">
        <v>35339.199999999997</v>
      </c>
      <c r="Z1074" s="380">
        <v>19143.650000000001</v>
      </c>
      <c r="AA1074" s="376" t="s">
        <v>2267</v>
      </c>
      <c r="AB1074" s="376" t="s">
        <v>2268</v>
      </c>
      <c r="AC1074" s="376" t="s">
        <v>1707</v>
      </c>
      <c r="AD1074" s="376" t="s">
        <v>210</v>
      </c>
      <c r="AE1074" s="376" t="s">
        <v>248</v>
      </c>
      <c r="AF1074" s="376" t="s">
        <v>253</v>
      </c>
      <c r="AG1074" s="376" t="s">
        <v>178</v>
      </c>
      <c r="AH1074" s="381">
        <v>16.989999999999998</v>
      </c>
      <c r="AI1074" s="381">
        <v>15556.4</v>
      </c>
      <c r="AJ1074" s="376" t="s">
        <v>179</v>
      </c>
      <c r="AK1074" s="376" t="s">
        <v>180</v>
      </c>
      <c r="AL1074" s="376" t="s">
        <v>181</v>
      </c>
      <c r="AM1074" s="376" t="s">
        <v>182</v>
      </c>
      <c r="AN1074" s="376" t="s">
        <v>68</v>
      </c>
      <c r="AO1074" s="379">
        <v>80</v>
      </c>
      <c r="AP1074" s="385">
        <v>1</v>
      </c>
      <c r="AQ1074" s="385">
        <v>1</v>
      </c>
      <c r="AR1074" s="383" t="s">
        <v>183</v>
      </c>
      <c r="AS1074" s="387">
        <f t="shared" si="731"/>
        <v>1</v>
      </c>
      <c r="AT1074">
        <f t="shared" si="732"/>
        <v>1</v>
      </c>
      <c r="AU1074" s="387">
        <f>IF(AT1074=0,"",IF(AND(AT1074=1,M1074="F",SUMIF(C2:C1334,C1074,AS2:AS1334)&lt;=1),SUMIF(C2:C1334,C1074,AS2:AS1334),IF(AND(AT1074=1,M1074="F",SUMIF(C2:C1334,C1074,AS2:AS1334)&gt;1),1,"")))</f>
        <v>1</v>
      </c>
      <c r="AV1074" s="387" t="str">
        <f>IF(AT1074=0,"",IF(AND(AT1074=3,M1074="F",SUMIF(C2:C1334,C1074,AS2:AS1334)&lt;=1),SUMIF(C2:C1334,C1074,AS2:AS1334),IF(AND(AT1074=3,M1074="F",SUMIF(C2:C1334,C1074,AS2:AS1334)&gt;1),1,"")))</f>
        <v/>
      </c>
      <c r="AW1074" s="387">
        <f>SUMIF(C2:C1334,C1074,O2:O1334)</f>
        <v>1</v>
      </c>
      <c r="AX1074" s="387">
        <f>IF(AND(M1074="F",AS1074&lt;&gt;0),SUMIF(C2:C1334,C1074,W2:W1334),0)</f>
        <v>35339.199999999997</v>
      </c>
      <c r="AY1074" s="387">
        <f t="shared" si="733"/>
        <v>35339.199999999997</v>
      </c>
      <c r="AZ1074" s="387" t="str">
        <f t="shared" si="734"/>
        <v/>
      </c>
      <c r="BA1074" s="387">
        <f t="shared" si="735"/>
        <v>0</v>
      </c>
      <c r="BB1074" s="387">
        <f t="shared" si="704"/>
        <v>11650</v>
      </c>
      <c r="BC1074" s="387">
        <f t="shared" si="705"/>
        <v>0</v>
      </c>
      <c r="BD1074" s="387">
        <f t="shared" si="706"/>
        <v>2191.0303999999996</v>
      </c>
      <c r="BE1074" s="387">
        <f t="shared" si="707"/>
        <v>512.41840000000002</v>
      </c>
      <c r="BF1074" s="387">
        <f t="shared" si="708"/>
        <v>4219.5004799999997</v>
      </c>
      <c r="BG1074" s="387">
        <f t="shared" si="709"/>
        <v>254.79563199999998</v>
      </c>
      <c r="BH1074" s="387">
        <f t="shared" si="710"/>
        <v>173.16207999999997</v>
      </c>
      <c r="BI1074" s="387">
        <f t="shared" si="711"/>
        <v>195.60247199999998</v>
      </c>
      <c r="BJ1074" s="387">
        <f t="shared" si="712"/>
        <v>95.415840000000003</v>
      </c>
      <c r="BK1074" s="387">
        <f t="shared" si="713"/>
        <v>0</v>
      </c>
      <c r="BL1074" s="387">
        <f t="shared" si="736"/>
        <v>7641.9253039999985</v>
      </c>
      <c r="BM1074" s="387">
        <f t="shared" si="737"/>
        <v>0</v>
      </c>
      <c r="BN1074" s="387">
        <f t="shared" si="714"/>
        <v>11650</v>
      </c>
      <c r="BO1074" s="387">
        <f t="shared" si="715"/>
        <v>0</v>
      </c>
      <c r="BP1074" s="387">
        <f t="shared" si="716"/>
        <v>2191.0303999999996</v>
      </c>
      <c r="BQ1074" s="387">
        <f t="shared" si="717"/>
        <v>512.41840000000002</v>
      </c>
      <c r="BR1074" s="387">
        <f t="shared" si="718"/>
        <v>4219.5004799999997</v>
      </c>
      <c r="BS1074" s="387">
        <f t="shared" si="719"/>
        <v>254.79563199999998</v>
      </c>
      <c r="BT1074" s="387">
        <f t="shared" si="720"/>
        <v>0</v>
      </c>
      <c r="BU1074" s="387">
        <f t="shared" si="721"/>
        <v>195.60247199999998</v>
      </c>
      <c r="BV1074" s="387">
        <f t="shared" si="722"/>
        <v>120.15327999999998</v>
      </c>
      <c r="BW1074" s="387">
        <f t="shared" si="723"/>
        <v>0</v>
      </c>
      <c r="BX1074" s="387">
        <f t="shared" si="738"/>
        <v>7493.5006639999983</v>
      </c>
      <c r="BY1074" s="387">
        <f t="shared" si="739"/>
        <v>0</v>
      </c>
      <c r="BZ1074" s="387">
        <f t="shared" si="740"/>
        <v>0</v>
      </c>
      <c r="CA1074" s="387">
        <f t="shared" si="741"/>
        <v>0</v>
      </c>
      <c r="CB1074" s="387">
        <f t="shared" si="742"/>
        <v>0</v>
      </c>
      <c r="CC1074" s="387">
        <f t="shared" si="724"/>
        <v>0</v>
      </c>
      <c r="CD1074" s="387">
        <f t="shared" si="725"/>
        <v>0</v>
      </c>
      <c r="CE1074" s="387">
        <f t="shared" si="726"/>
        <v>0</v>
      </c>
      <c r="CF1074" s="387">
        <f t="shared" si="727"/>
        <v>-173.16207999999997</v>
      </c>
      <c r="CG1074" s="387">
        <f t="shared" si="728"/>
        <v>0</v>
      </c>
      <c r="CH1074" s="387">
        <f t="shared" si="729"/>
        <v>24.737439999999985</v>
      </c>
      <c r="CI1074" s="387">
        <f t="shared" si="730"/>
        <v>0</v>
      </c>
      <c r="CJ1074" s="387">
        <f t="shared" si="743"/>
        <v>-148.42463999999998</v>
      </c>
      <c r="CK1074" s="387" t="str">
        <f t="shared" si="744"/>
        <v/>
      </c>
      <c r="CL1074" s="387" t="str">
        <f t="shared" si="745"/>
        <v/>
      </c>
      <c r="CM1074" s="387" t="str">
        <f t="shared" si="746"/>
        <v/>
      </c>
      <c r="CN1074" s="387" t="str">
        <f t="shared" si="747"/>
        <v>0348-31</v>
      </c>
    </row>
    <row r="1075" spans="1:92" ht="15.75" thickBot="1" x14ac:dyDescent="0.3">
      <c r="A1075" s="376" t="s">
        <v>161</v>
      </c>
      <c r="B1075" s="376" t="s">
        <v>162</v>
      </c>
      <c r="C1075" s="376" t="s">
        <v>2269</v>
      </c>
      <c r="D1075" s="376" t="s">
        <v>270</v>
      </c>
      <c r="E1075" s="376" t="s">
        <v>224</v>
      </c>
      <c r="F1075" s="382" t="s">
        <v>225</v>
      </c>
      <c r="G1075" s="376" t="s">
        <v>1945</v>
      </c>
      <c r="H1075" s="378"/>
      <c r="I1075" s="378"/>
      <c r="J1075" s="376" t="s">
        <v>215</v>
      </c>
      <c r="K1075" s="376" t="s">
        <v>271</v>
      </c>
      <c r="L1075" s="376" t="s">
        <v>217</v>
      </c>
      <c r="M1075" s="376" t="s">
        <v>566</v>
      </c>
      <c r="N1075" s="376" t="s">
        <v>877</v>
      </c>
      <c r="O1075" s="379">
        <v>0</v>
      </c>
      <c r="P1075" s="385">
        <v>0</v>
      </c>
      <c r="Q1075" s="385">
        <v>0</v>
      </c>
      <c r="R1075" s="380">
        <v>80</v>
      </c>
      <c r="S1075" s="385">
        <v>0</v>
      </c>
      <c r="T1075" s="380">
        <v>13100.14</v>
      </c>
      <c r="U1075" s="380">
        <v>0</v>
      </c>
      <c r="V1075" s="380">
        <v>6554.87</v>
      </c>
      <c r="W1075" s="380">
        <v>0</v>
      </c>
      <c r="X1075" s="380">
        <v>0</v>
      </c>
      <c r="Y1075" s="380">
        <v>0</v>
      </c>
      <c r="Z1075" s="380">
        <v>0</v>
      </c>
      <c r="AA1075" s="378"/>
      <c r="AB1075" s="376" t="s">
        <v>45</v>
      </c>
      <c r="AC1075" s="376" t="s">
        <v>45</v>
      </c>
      <c r="AD1075" s="378"/>
      <c r="AE1075" s="378"/>
      <c r="AF1075" s="378"/>
      <c r="AG1075" s="378"/>
      <c r="AH1075" s="379">
        <v>0</v>
      </c>
      <c r="AI1075" s="379">
        <v>0</v>
      </c>
      <c r="AJ1075" s="378"/>
      <c r="AK1075" s="378"/>
      <c r="AL1075" s="376" t="s">
        <v>181</v>
      </c>
      <c r="AM1075" s="378"/>
      <c r="AN1075" s="378"/>
      <c r="AO1075" s="379">
        <v>0</v>
      </c>
      <c r="AP1075" s="385">
        <v>0</v>
      </c>
      <c r="AQ1075" s="385">
        <v>0</v>
      </c>
      <c r="AR1075" s="384"/>
      <c r="AS1075" s="387">
        <f t="shared" si="731"/>
        <v>0</v>
      </c>
      <c r="AT1075">
        <f t="shared" si="732"/>
        <v>0</v>
      </c>
      <c r="AU1075" s="387" t="str">
        <f>IF(AT1075=0,"",IF(AND(AT1075=1,M1075="F",SUMIF(C2:C1334,C1075,AS2:AS1334)&lt;=1),SUMIF(C2:C1334,C1075,AS2:AS1334),IF(AND(AT1075=1,M1075="F",SUMIF(C2:C1334,C1075,AS2:AS1334)&gt;1),1,"")))</f>
        <v/>
      </c>
      <c r="AV1075" s="387" t="str">
        <f>IF(AT1075=0,"",IF(AND(AT1075=3,M1075="F",SUMIF(C2:C1334,C1075,AS2:AS1334)&lt;=1),SUMIF(C2:C1334,C1075,AS2:AS1334),IF(AND(AT1075=3,M1075="F",SUMIF(C2:C1334,C1075,AS2:AS1334)&gt;1),1,"")))</f>
        <v/>
      </c>
      <c r="AW1075" s="387">
        <f>SUMIF(C2:C1334,C1075,O2:O1334)</f>
        <v>0</v>
      </c>
      <c r="AX1075" s="387">
        <f>IF(AND(M1075="F",AS1075&lt;&gt;0),SUMIF(C2:C1334,C1075,W2:W1334),0)</f>
        <v>0</v>
      </c>
      <c r="AY1075" s="387" t="str">
        <f t="shared" si="733"/>
        <v/>
      </c>
      <c r="AZ1075" s="387" t="str">
        <f t="shared" si="734"/>
        <v/>
      </c>
      <c r="BA1075" s="387">
        <f t="shared" si="735"/>
        <v>0</v>
      </c>
      <c r="BB1075" s="387">
        <f t="shared" si="704"/>
        <v>0</v>
      </c>
      <c r="BC1075" s="387">
        <f t="shared" si="705"/>
        <v>0</v>
      </c>
      <c r="BD1075" s="387">
        <f t="shared" si="706"/>
        <v>0</v>
      </c>
      <c r="BE1075" s="387">
        <f t="shared" si="707"/>
        <v>0</v>
      </c>
      <c r="BF1075" s="387">
        <f t="shared" si="708"/>
        <v>0</v>
      </c>
      <c r="BG1075" s="387">
        <f t="shared" si="709"/>
        <v>0</v>
      </c>
      <c r="BH1075" s="387">
        <f t="shared" si="710"/>
        <v>0</v>
      </c>
      <c r="BI1075" s="387">
        <f t="shared" si="711"/>
        <v>0</v>
      </c>
      <c r="BJ1075" s="387">
        <f t="shared" si="712"/>
        <v>0</v>
      </c>
      <c r="BK1075" s="387">
        <f t="shared" si="713"/>
        <v>0</v>
      </c>
      <c r="BL1075" s="387">
        <f t="shared" si="736"/>
        <v>0</v>
      </c>
      <c r="BM1075" s="387">
        <f t="shared" si="737"/>
        <v>0</v>
      </c>
      <c r="BN1075" s="387">
        <f t="shared" si="714"/>
        <v>0</v>
      </c>
      <c r="BO1075" s="387">
        <f t="shared" si="715"/>
        <v>0</v>
      </c>
      <c r="BP1075" s="387">
        <f t="shared" si="716"/>
        <v>0</v>
      </c>
      <c r="BQ1075" s="387">
        <f t="shared" si="717"/>
        <v>0</v>
      </c>
      <c r="BR1075" s="387">
        <f t="shared" si="718"/>
        <v>0</v>
      </c>
      <c r="BS1075" s="387">
        <f t="shared" si="719"/>
        <v>0</v>
      </c>
      <c r="BT1075" s="387">
        <f t="shared" si="720"/>
        <v>0</v>
      </c>
      <c r="BU1075" s="387">
        <f t="shared" si="721"/>
        <v>0</v>
      </c>
      <c r="BV1075" s="387">
        <f t="shared" si="722"/>
        <v>0</v>
      </c>
      <c r="BW1075" s="387">
        <f t="shared" si="723"/>
        <v>0</v>
      </c>
      <c r="BX1075" s="387">
        <f t="shared" si="738"/>
        <v>0</v>
      </c>
      <c r="BY1075" s="387">
        <f t="shared" si="739"/>
        <v>0</v>
      </c>
      <c r="BZ1075" s="387">
        <f t="shared" si="740"/>
        <v>0</v>
      </c>
      <c r="CA1075" s="387">
        <f t="shared" si="741"/>
        <v>0</v>
      </c>
      <c r="CB1075" s="387">
        <f t="shared" si="742"/>
        <v>0</v>
      </c>
      <c r="CC1075" s="387">
        <f t="shared" si="724"/>
        <v>0</v>
      </c>
      <c r="CD1075" s="387">
        <f t="shared" si="725"/>
        <v>0</v>
      </c>
      <c r="CE1075" s="387">
        <f t="shared" si="726"/>
        <v>0</v>
      </c>
      <c r="CF1075" s="387">
        <f t="shared" si="727"/>
        <v>0</v>
      </c>
      <c r="CG1075" s="387">
        <f t="shared" si="728"/>
        <v>0</v>
      </c>
      <c r="CH1075" s="387">
        <f t="shared" si="729"/>
        <v>0</v>
      </c>
      <c r="CI1075" s="387">
        <f t="shared" si="730"/>
        <v>0</v>
      </c>
      <c r="CJ1075" s="387">
        <f t="shared" si="743"/>
        <v>0</v>
      </c>
      <c r="CK1075" s="387" t="str">
        <f t="shared" si="744"/>
        <v/>
      </c>
      <c r="CL1075" s="387" t="str">
        <f t="shared" si="745"/>
        <v/>
      </c>
      <c r="CM1075" s="387" t="str">
        <f t="shared" si="746"/>
        <v/>
      </c>
      <c r="CN1075" s="387" t="str">
        <f t="shared" si="747"/>
        <v>0348-31</v>
      </c>
    </row>
    <row r="1076" spans="1:92" ht="15.75" thickBot="1" x14ac:dyDescent="0.3">
      <c r="A1076" s="376" t="s">
        <v>161</v>
      </c>
      <c r="B1076" s="376" t="s">
        <v>162</v>
      </c>
      <c r="C1076" s="376" t="s">
        <v>1457</v>
      </c>
      <c r="D1076" s="376" t="s">
        <v>862</v>
      </c>
      <c r="E1076" s="376" t="s">
        <v>224</v>
      </c>
      <c r="F1076" s="382" t="s">
        <v>225</v>
      </c>
      <c r="G1076" s="376" t="s">
        <v>1945</v>
      </c>
      <c r="H1076" s="378"/>
      <c r="I1076" s="378"/>
      <c r="J1076" s="376" t="s">
        <v>215</v>
      </c>
      <c r="K1076" s="376" t="s">
        <v>863</v>
      </c>
      <c r="L1076" s="376" t="s">
        <v>252</v>
      </c>
      <c r="M1076" s="376" t="s">
        <v>272</v>
      </c>
      <c r="N1076" s="376" t="s">
        <v>172</v>
      </c>
      <c r="O1076" s="379">
        <v>0</v>
      </c>
      <c r="P1076" s="385">
        <v>1</v>
      </c>
      <c r="Q1076" s="385">
        <v>1</v>
      </c>
      <c r="R1076" s="380">
        <v>80</v>
      </c>
      <c r="S1076" s="385">
        <v>1</v>
      </c>
      <c r="T1076" s="380">
        <v>7038.82</v>
      </c>
      <c r="U1076" s="380">
        <v>0</v>
      </c>
      <c r="V1076" s="380">
        <v>3785.96</v>
      </c>
      <c r="W1076" s="380">
        <v>42328</v>
      </c>
      <c r="X1076" s="380">
        <v>18539.66</v>
      </c>
      <c r="Y1076" s="380">
        <v>42328</v>
      </c>
      <c r="Z1076" s="380">
        <v>18328.02</v>
      </c>
      <c r="AA1076" s="378"/>
      <c r="AB1076" s="376" t="s">
        <v>45</v>
      </c>
      <c r="AC1076" s="376" t="s">
        <v>45</v>
      </c>
      <c r="AD1076" s="378"/>
      <c r="AE1076" s="378"/>
      <c r="AF1076" s="378"/>
      <c r="AG1076" s="378"/>
      <c r="AH1076" s="379">
        <v>0</v>
      </c>
      <c r="AI1076" s="379">
        <v>0</v>
      </c>
      <c r="AJ1076" s="378"/>
      <c r="AK1076" s="378"/>
      <c r="AL1076" s="376" t="s">
        <v>181</v>
      </c>
      <c r="AM1076" s="378"/>
      <c r="AN1076" s="378"/>
      <c r="AO1076" s="379">
        <v>0</v>
      </c>
      <c r="AP1076" s="385">
        <v>0</v>
      </c>
      <c r="AQ1076" s="385">
        <v>0</v>
      </c>
      <c r="AR1076" s="384"/>
      <c r="AS1076" s="387">
        <f t="shared" si="731"/>
        <v>0</v>
      </c>
      <c r="AT1076">
        <f t="shared" si="732"/>
        <v>0</v>
      </c>
      <c r="AU1076" s="387" t="str">
        <f>IF(AT1076=0,"",IF(AND(AT1076=1,M1076="F",SUMIF(C2:C1334,C1076,AS2:AS1334)&lt;=1),SUMIF(C2:C1334,C1076,AS2:AS1334),IF(AND(AT1076=1,M1076="F",SUMIF(C2:C1334,C1076,AS2:AS1334)&gt;1),1,"")))</f>
        <v/>
      </c>
      <c r="AV1076" s="387" t="str">
        <f>IF(AT1076=0,"",IF(AND(AT1076=3,M1076="F",SUMIF(C2:C1334,C1076,AS2:AS1334)&lt;=1),SUMIF(C2:C1334,C1076,AS2:AS1334),IF(AND(AT1076=3,M1076="F",SUMIF(C2:C1334,C1076,AS2:AS1334)&gt;1),1,"")))</f>
        <v/>
      </c>
      <c r="AW1076" s="387">
        <f>SUMIF(C2:C1334,C1076,O2:O1334)</f>
        <v>0</v>
      </c>
      <c r="AX1076" s="387">
        <f>IF(AND(M1076="F",AS1076&lt;&gt;0),SUMIF(C2:C1334,C1076,W2:W1334),0)</f>
        <v>0</v>
      </c>
      <c r="AY1076" s="387" t="str">
        <f t="shared" si="733"/>
        <v/>
      </c>
      <c r="AZ1076" s="387" t="str">
        <f t="shared" si="734"/>
        <v/>
      </c>
      <c r="BA1076" s="387">
        <f t="shared" si="735"/>
        <v>0</v>
      </c>
      <c r="BB1076" s="387">
        <f t="shared" si="704"/>
        <v>0</v>
      </c>
      <c r="BC1076" s="387">
        <f t="shared" si="705"/>
        <v>0</v>
      </c>
      <c r="BD1076" s="387">
        <f t="shared" si="706"/>
        <v>0</v>
      </c>
      <c r="BE1076" s="387">
        <f t="shared" si="707"/>
        <v>0</v>
      </c>
      <c r="BF1076" s="387">
        <f t="shared" si="708"/>
        <v>0</v>
      </c>
      <c r="BG1076" s="387">
        <f t="shared" si="709"/>
        <v>0</v>
      </c>
      <c r="BH1076" s="387">
        <f t="shared" si="710"/>
        <v>0</v>
      </c>
      <c r="BI1076" s="387">
        <f t="shared" si="711"/>
        <v>0</v>
      </c>
      <c r="BJ1076" s="387">
        <f t="shared" si="712"/>
        <v>0</v>
      </c>
      <c r="BK1076" s="387">
        <f t="shared" si="713"/>
        <v>0</v>
      </c>
      <c r="BL1076" s="387">
        <f t="shared" si="736"/>
        <v>0</v>
      </c>
      <c r="BM1076" s="387">
        <f t="shared" si="737"/>
        <v>0</v>
      </c>
      <c r="BN1076" s="387">
        <f t="shared" si="714"/>
        <v>0</v>
      </c>
      <c r="BO1076" s="387">
        <f t="shared" si="715"/>
        <v>0</v>
      </c>
      <c r="BP1076" s="387">
        <f t="shared" si="716"/>
        <v>0</v>
      </c>
      <c r="BQ1076" s="387">
        <f t="shared" si="717"/>
        <v>0</v>
      </c>
      <c r="BR1076" s="387">
        <f t="shared" si="718"/>
        <v>0</v>
      </c>
      <c r="BS1076" s="387">
        <f t="shared" si="719"/>
        <v>0</v>
      </c>
      <c r="BT1076" s="387">
        <f t="shared" si="720"/>
        <v>0</v>
      </c>
      <c r="BU1076" s="387">
        <f t="shared" si="721"/>
        <v>0</v>
      </c>
      <c r="BV1076" s="387">
        <f t="shared" si="722"/>
        <v>0</v>
      </c>
      <c r="BW1076" s="387">
        <f t="shared" si="723"/>
        <v>0</v>
      </c>
      <c r="BX1076" s="387">
        <f t="shared" si="738"/>
        <v>0</v>
      </c>
      <c r="BY1076" s="387">
        <f t="shared" si="739"/>
        <v>0</v>
      </c>
      <c r="BZ1076" s="387">
        <f t="shared" si="740"/>
        <v>0</v>
      </c>
      <c r="CA1076" s="387">
        <f t="shared" si="741"/>
        <v>0</v>
      </c>
      <c r="CB1076" s="387">
        <f t="shared" si="742"/>
        <v>0</v>
      </c>
      <c r="CC1076" s="387">
        <f t="shared" si="724"/>
        <v>0</v>
      </c>
      <c r="CD1076" s="387">
        <f t="shared" si="725"/>
        <v>0</v>
      </c>
      <c r="CE1076" s="387">
        <f t="shared" si="726"/>
        <v>0</v>
      </c>
      <c r="CF1076" s="387">
        <f t="shared" si="727"/>
        <v>0</v>
      </c>
      <c r="CG1076" s="387">
        <f t="shared" si="728"/>
        <v>0</v>
      </c>
      <c r="CH1076" s="387">
        <f t="shared" si="729"/>
        <v>0</v>
      </c>
      <c r="CI1076" s="387">
        <f t="shared" si="730"/>
        <v>0</v>
      </c>
      <c r="CJ1076" s="387">
        <f t="shared" si="743"/>
        <v>0</v>
      </c>
      <c r="CK1076" s="387" t="str">
        <f t="shared" si="744"/>
        <v/>
      </c>
      <c r="CL1076" s="387" t="str">
        <f t="shared" si="745"/>
        <v/>
      </c>
      <c r="CM1076" s="387" t="str">
        <f t="shared" si="746"/>
        <v/>
      </c>
      <c r="CN1076" s="387" t="str">
        <f t="shared" si="747"/>
        <v>0348-31</v>
      </c>
    </row>
    <row r="1077" spans="1:92" ht="15.75" thickBot="1" x14ac:dyDescent="0.3">
      <c r="A1077" s="376" t="s">
        <v>161</v>
      </c>
      <c r="B1077" s="376" t="s">
        <v>162</v>
      </c>
      <c r="C1077" s="376" t="s">
        <v>825</v>
      </c>
      <c r="D1077" s="376" t="s">
        <v>804</v>
      </c>
      <c r="E1077" s="376" t="s">
        <v>224</v>
      </c>
      <c r="F1077" s="382" t="s">
        <v>225</v>
      </c>
      <c r="G1077" s="376" t="s">
        <v>1945</v>
      </c>
      <c r="H1077" s="378"/>
      <c r="I1077" s="378"/>
      <c r="J1077" s="376" t="s">
        <v>239</v>
      </c>
      <c r="K1077" s="376" t="s">
        <v>805</v>
      </c>
      <c r="L1077" s="376" t="s">
        <v>351</v>
      </c>
      <c r="M1077" s="376" t="s">
        <v>171</v>
      </c>
      <c r="N1077" s="376" t="s">
        <v>172</v>
      </c>
      <c r="O1077" s="379">
        <v>1</v>
      </c>
      <c r="P1077" s="385">
        <v>0</v>
      </c>
      <c r="Q1077" s="385">
        <v>0</v>
      </c>
      <c r="R1077" s="380">
        <v>80</v>
      </c>
      <c r="S1077" s="385">
        <v>0</v>
      </c>
      <c r="T1077" s="380">
        <v>1479.45</v>
      </c>
      <c r="U1077" s="380">
        <v>0</v>
      </c>
      <c r="V1077" s="380">
        <v>515.52</v>
      </c>
      <c r="W1077" s="380">
        <v>0</v>
      </c>
      <c r="X1077" s="380">
        <v>0</v>
      </c>
      <c r="Y1077" s="380">
        <v>0</v>
      </c>
      <c r="Z1077" s="380">
        <v>0</v>
      </c>
      <c r="AA1077" s="376" t="s">
        <v>826</v>
      </c>
      <c r="AB1077" s="376" t="s">
        <v>827</v>
      </c>
      <c r="AC1077" s="376" t="s">
        <v>828</v>
      </c>
      <c r="AD1077" s="376" t="s">
        <v>170</v>
      </c>
      <c r="AE1077" s="376" t="s">
        <v>805</v>
      </c>
      <c r="AF1077" s="376" t="s">
        <v>355</v>
      </c>
      <c r="AG1077" s="376" t="s">
        <v>178</v>
      </c>
      <c r="AH1077" s="381">
        <v>44.57</v>
      </c>
      <c r="AI1077" s="379">
        <v>47552</v>
      </c>
      <c r="AJ1077" s="376" t="s">
        <v>179</v>
      </c>
      <c r="AK1077" s="376" t="s">
        <v>180</v>
      </c>
      <c r="AL1077" s="376" t="s">
        <v>181</v>
      </c>
      <c r="AM1077" s="376" t="s">
        <v>182</v>
      </c>
      <c r="AN1077" s="376" t="s">
        <v>68</v>
      </c>
      <c r="AO1077" s="379">
        <v>80</v>
      </c>
      <c r="AP1077" s="385">
        <v>1</v>
      </c>
      <c r="AQ1077" s="385">
        <v>0</v>
      </c>
      <c r="AR1077" s="383" t="s">
        <v>183</v>
      </c>
      <c r="AS1077" s="387">
        <f t="shared" si="731"/>
        <v>0</v>
      </c>
      <c r="AT1077">
        <f t="shared" si="732"/>
        <v>0</v>
      </c>
      <c r="AU1077" s="387" t="str">
        <f>IF(AT1077=0,"",IF(AND(AT1077=1,M1077="F",SUMIF(C2:C1334,C1077,AS2:AS1334)&lt;=1),SUMIF(C2:C1334,C1077,AS2:AS1334),IF(AND(AT1077=1,M1077="F",SUMIF(C2:C1334,C1077,AS2:AS1334)&gt;1),1,"")))</f>
        <v/>
      </c>
      <c r="AV1077" s="387" t="str">
        <f>IF(AT1077=0,"",IF(AND(AT1077=3,M1077="F",SUMIF(C2:C1334,C1077,AS2:AS1334)&lt;=1),SUMIF(C2:C1334,C1077,AS2:AS1334),IF(AND(AT1077=3,M1077="F",SUMIF(C2:C1334,C1077,AS2:AS1334)&gt;1),1,"")))</f>
        <v/>
      </c>
      <c r="AW1077" s="387">
        <f>SUMIF(C2:C1334,C1077,O2:O1334)</f>
        <v>4</v>
      </c>
      <c r="AX1077" s="387">
        <f>IF(AND(M1077="F",AS1077&lt;&gt;0),SUMIF(C2:C1334,C1077,W2:W1334),0)</f>
        <v>0</v>
      </c>
      <c r="AY1077" s="387" t="str">
        <f t="shared" si="733"/>
        <v/>
      </c>
      <c r="AZ1077" s="387" t="str">
        <f t="shared" si="734"/>
        <v/>
      </c>
      <c r="BA1077" s="387">
        <f t="shared" si="735"/>
        <v>0</v>
      </c>
      <c r="BB1077" s="387">
        <f t="shared" si="704"/>
        <v>0</v>
      </c>
      <c r="BC1077" s="387">
        <f t="shared" si="705"/>
        <v>0</v>
      </c>
      <c r="BD1077" s="387">
        <f t="shared" si="706"/>
        <v>0</v>
      </c>
      <c r="BE1077" s="387">
        <f t="shared" si="707"/>
        <v>0</v>
      </c>
      <c r="BF1077" s="387">
        <f t="shared" si="708"/>
        <v>0</v>
      </c>
      <c r="BG1077" s="387">
        <f t="shared" si="709"/>
        <v>0</v>
      </c>
      <c r="BH1077" s="387">
        <f t="shared" si="710"/>
        <v>0</v>
      </c>
      <c r="BI1077" s="387">
        <f t="shared" si="711"/>
        <v>0</v>
      </c>
      <c r="BJ1077" s="387">
        <f t="shared" si="712"/>
        <v>0</v>
      </c>
      <c r="BK1077" s="387">
        <f t="shared" si="713"/>
        <v>0</v>
      </c>
      <c r="BL1077" s="387">
        <f t="shared" si="736"/>
        <v>0</v>
      </c>
      <c r="BM1077" s="387">
        <f t="shared" si="737"/>
        <v>0</v>
      </c>
      <c r="BN1077" s="387">
        <f t="shared" si="714"/>
        <v>0</v>
      </c>
      <c r="BO1077" s="387">
        <f t="shared" si="715"/>
        <v>0</v>
      </c>
      <c r="BP1077" s="387">
        <f t="shared" si="716"/>
        <v>0</v>
      </c>
      <c r="BQ1077" s="387">
        <f t="shared" si="717"/>
        <v>0</v>
      </c>
      <c r="BR1077" s="387">
        <f t="shared" si="718"/>
        <v>0</v>
      </c>
      <c r="BS1077" s="387">
        <f t="shared" si="719"/>
        <v>0</v>
      </c>
      <c r="BT1077" s="387">
        <f t="shared" si="720"/>
        <v>0</v>
      </c>
      <c r="BU1077" s="387">
        <f t="shared" si="721"/>
        <v>0</v>
      </c>
      <c r="BV1077" s="387">
        <f t="shared" si="722"/>
        <v>0</v>
      </c>
      <c r="BW1077" s="387">
        <f t="shared" si="723"/>
        <v>0</v>
      </c>
      <c r="BX1077" s="387">
        <f t="shared" si="738"/>
        <v>0</v>
      </c>
      <c r="BY1077" s="387">
        <f t="shared" si="739"/>
        <v>0</v>
      </c>
      <c r="BZ1077" s="387">
        <f t="shared" si="740"/>
        <v>0</v>
      </c>
      <c r="CA1077" s="387">
        <f t="shared" si="741"/>
        <v>0</v>
      </c>
      <c r="CB1077" s="387">
        <f t="shared" si="742"/>
        <v>0</v>
      </c>
      <c r="CC1077" s="387">
        <f t="shared" si="724"/>
        <v>0</v>
      </c>
      <c r="CD1077" s="387">
        <f t="shared" si="725"/>
        <v>0</v>
      </c>
      <c r="CE1077" s="387">
        <f t="shared" si="726"/>
        <v>0</v>
      </c>
      <c r="CF1077" s="387">
        <f t="shared" si="727"/>
        <v>0</v>
      </c>
      <c r="CG1077" s="387">
        <f t="shared" si="728"/>
        <v>0</v>
      </c>
      <c r="CH1077" s="387">
        <f t="shared" si="729"/>
        <v>0</v>
      </c>
      <c r="CI1077" s="387">
        <f t="shared" si="730"/>
        <v>0</v>
      </c>
      <c r="CJ1077" s="387">
        <f t="shared" si="743"/>
        <v>0</v>
      </c>
      <c r="CK1077" s="387" t="str">
        <f t="shared" si="744"/>
        <v/>
      </c>
      <c r="CL1077" s="387" t="str">
        <f t="shared" si="745"/>
        <v/>
      </c>
      <c r="CM1077" s="387" t="str">
        <f t="shared" si="746"/>
        <v/>
      </c>
      <c r="CN1077" s="387" t="str">
        <f t="shared" si="747"/>
        <v>0348-31</v>
      </c>
    </row>
    <row r="1078" spans="1:92" ht="15.75" thickBot="1" x14ac:dyDescent="0.3">
      <c r="A1078" s="376" t="s">
        <v>161</v>
      </c>
      <c r="B1078" s="376" t="s">
        <v>162</v>
      </c>
      <c r="C1078" s="376" t="s">
        <v>2270</v>
      </c>
      <c r="D1078" s="376" t="s">
        <v>862</v>
      </c>
      <c r="E1078" s="376" t="s">
        <v>224</v>
      </c>
      <c r="F1078" s="382" t="s">
        <v>225</v>
      </c>
      <c r="G1078" s="376" t="s">
        <v>1945</v>
      </c>
      <c r="H1078" s="378"/>
      <c r="I1078" s="378"/>
      <c r="J1078" s="376" t="s">
        <v>215</v>
      </c>
      <c r="K1078" s="376" t="s">
        <v>863</v>
      </c>
      <c r="L1078" s="376" t="s">
        <v>252</v>
      </c>
      <c r="M1078" s="376" t="s">
        <v>171</v>
      </c>
      <c r="N1078" s="376" t="s">
        <v>172</v>
      </c>
      <c r="O1078" s="379">
        <v>1</v>
      </c>
      <c r="P1078" s="385">
        <v>1</v>
      </c>
      <c r="Q1078" s="385">
        <v>1</v>
      </c>
      <c r="R1078" s="380">
        <v>80</v>
      </c>
      <c r="S1078" s="385">
        <v>1</v>
      </c>
      <c r="T1078" s="380">
        <v>34502.71</v>
      </c>
      <c r="U1078" s="380">
        <v>775.58</v>
      </c>
      <c r="V1078" s="380">
        <v>18926.61</v>
      </c>
      <c r="W1078" s="380">
        <v>38979.199999999997</v>
      </c>
      <c r="X1078" s="380">
        <v>20079.22</v>
      </c>
      <c r="Y1078" s="380">
        <v>38979.199999999997</v>
      </c>
      <c r="Z1078" s="380">
        <v>19915.509999999998</v>
      </c>
      <c r="AA1078" s="376" t="s">
        <v>2271</v>
      </c>
      <c r="AB1078" s="376" t="s">
        <v>1551</v>
      </c>
      <c r="AC1078" s="376" t="s">
        <v>776</v>
      </c>
      <c r="AD1078" s="376" t="s">
        <v>946</v>
      </c>
      <c r="AE1078" s="376" t="s">
        <v>863</v>
      </c>
      <c r="AF1078" s="376" t="s">
        <v>393</v>
      </c>
      <c r="AG1078" s="376" t="s">
        <v>178</v>
      </c>
      <c r="AH1078" s="381">
        <v>18.739999999999998</v>
      </c>
      <c r="AI1078" s="381">
        <v>2079.1</v>
      </c>
      <c r="AJ1078" s="376" t="s">
        <v>179</v>
      </c>
      <c r="AK1078" s="376" t="s">
        <v>180</v>
      </c>
      <c r="AL1078" s="376" t="s">
        <v>181</v>
      </c>
      <c r="AM1078" s="376" t="s">
        <v>182</v>
      </c>
      <c r="AN1078" s="376" t="s">
        <v>68</v>
      </c>
      <c r="AO1078" s="379">
        <v>80</v>
      </c>
      <c r="AP1078" s="385">
        <v>1</v>
      </c>
      <c r="AQ1078" s="385">
        <v>1</v>
      </c>
      <c r="AR1078" s="383" t="s">
        <v>183</v>
      </c>
      <c r="AS1078" s="387">
        <f t="shared" si="731"/>
        <v>1</v>
      </c>
      <c r="AT1078">
        <f t="shared" si="732"/>
        <v>1</v>
      </c>
      <c r="AU1078" s="387">
        <f>IF(AT1078=0,"",IF(AND(AT1078=1,M1078="F",SUMIF(C2:C1334,C1078,AS2:AS1334)&lt;=1),SUMIF(C2:C1334,C1078,AS2:AS1334),IF(AND(AT1078=1,M1078="F",SUMIF(C2:C1334,C1078,AS2:AS1334)&gt;1),1,"")))</f>
        <v>1</v>
      </c>
      <c r="AV1078" s="387" t="str">
        <f>IF(AT1078=0,"",IF(AND(AT1078=3,M1078="F",SUMIF(C2:C1334,C1078,AS2:AS1334)&lt;=1),SUMIF(C2:C1334,C1078,AS2:AS1334),IF(AND(AT1078=3,M1078="F",SUMIF(C2:C1334,C1078,AS2:AS1334)&gt;1),1,"")))</f>
        <v/>
      </c>
      <c r="AW1078" s="387">
        <f>SUMIF(C2:C1334,C1078,O2:O1334)</f>
        <v>1</v>
      </c>
      <c r="AX1078" s="387">
        <f>IF(AND(M1078="F",AS1078&lt;&gt;0),SUMIF(C2:C1334,C1078,W2:W1334),0)</f>
        <v>38979.199999999997</v>
      </c>
      <c r="AY1078" s="387">
        <f t="shared" si="733"/>
        <v>38979.199999999997</v>
      </c>
      <c r="AZ1078" s="387" t="str">
        <f t="shared" si="734"/>
        <v/>
      </c>
      <c r="BA1078" s="387">
        <f t="shared" si="735"/>
        <v>0</v>
      </c>
      <c r="BB1078" s="387">
        <f t="shared" si="704"/>
        <v>11650</v>
      </c>
      <c r="BC1078" s="387">
        <f t="shared" si="705"/>
        <v>0</v>
      </c>
      <c r="BD1078" s="387">
        <f t="shared" si="706"/>
        <v>2416.7103999999999</v>
      </c>
      <c r="BE1078" s="387">
        <f t="shared" si="707"/>
        <v>565.19839999999999</v>
      </c>
      <c r="BF1078" s="387">
        <f t="shared" si="708"/>
        <v>4654.1164799999997</v>
      </c>
      <c r="BG1078" s="387">
        <f t="shared" si="709"/>
        <v>281.040032</v>
      </c>
      <c r="BH1078" s="387">
        <f t="shared" si="710"/>
        <v>190.99807999999999</v>
      </c>
      <c r="BI1078" s="387">
        <f t="shared" si="711"/>
        <v>215.74987199999998</v>
      </c>
      <c r="BJ1078" s="387">
        <f t="shared" si="712"/>
        <v>105.24383999999999</v>
      </c>
      <c r="BK1078" s="387">
        <f t="shared" si="713"/>
        <v>0</v>
      </c>
      <c r="BL1078" s="387">
        <f t="shared" si="736"/>
        <v>8429.0571039999995</v>
      </c>
      <c r="BM1078" s="387">
        <f t="shared" si="737"/>
        <v>0</v>
      </c>
      <c r="BN1078" s="387">
        <f t="shared" si="714"/>
        <v>11650</v>
      </c>
      <c r="BO1078" s="387">
        <f t="shared" si="715"/>
        <v>0</v>
      </c>
      <c r="BP1078" s="387">
        <f t="shared" si="716"/>
        <v>2416.7103999999999</v>
      </c>
      <c r="BQ1078" s="387">
        <f t="shared" si="717"/>
        <v>565.19839999999999</v>
      </c>
      <c r="BR1078" s="387">
        <f t="shared" si="718"/>
        <v>4654.1164799999997</v>
      </c>
      <c r="BS1078" s="387">
        <f t="shared" si="719"/>
        <v>281.040032</v>
      </c>
      <c r="BT1078" s="387">
        <f t="shared" si="720"/>
        <v>0</v>
      </c>
      <c r="BU1078" s="387">
        <f t="shared" si="721"/>
        <v>215.74987199999998</v>
      </c>
      <c r="BV1078" s="387">
        <f t="shared" si="722"/>
        <v>132.52927999999997</v>
      </c>
      <c r="BW1078" s="387">
        <f t="shared" si="723"/>
        <v>0</v>
      </c>
      <c r="BX1078" s="387">
        <f t="shared" si="738"/>
        <v>8265.3444639999998</v>
      </c>
      <c r="BY1078" s="387">
        <f t="shared" si="739"/>
        <v>0</v>
      </c>
      <c r="BZ1078" s="387">
        <f t="shared" si="740"/>
        <v>0</v>
      </c>
      <c r="CA1078" s="387">
        <f t="shared" si="741"/>
        <v>0</v>
      </c>
      <c r="CB1078" s="387">
        <f t="shared" si="742"/>
        <v>0</v>
      </c>
      <c r="CC1078" s="387">
        <f t="shared" si="724"/>
        <v>0</v>
      </c>
      <c r="CD1078" s="387">
        <f t="shared" si="725"/>
        <v>0</v>
      </c>
      <c r="CE1078" s="387">
        <f t="shared" si="726"/>
        <v>0</v>
      </c>
      <c r="CF1078" s="387">
        <f t="shared" si="727"/>
        <v>-190.99807999999999</v>
      </c>
      <c r="CG1078" s="387">
        <f t="shared" si="728"/>
        <v>0</v>
      </c>
      <c r="CH1078" s="387">
        <f t="shared" si="729"/>
        <v>27.285439999999983</v>
      </c>
      <c r="CI1078" s="387">
        <f t="shared" si="730"/>
        <v>0</v>
      </c>
      <c r="CJ1078" s="387">
        <f t="shared" si="743"/>
        <v>-163.71263999999999</v>
      </c>
      <c r="CK1078" s="387" t="str">
        <f t="shared" si="744"/>
        <v/>
      </c>
      <c r="CL1078" s="387" t="str">
        <f t="shared" si="745"/>
        <v/>
      </c>
      <c r="CM1078" s="387" t="str">
        <f t="shared" si="746"/>
        <v/>
      </c>
      <c r="CN1078" s="387" t="str">
        <f t="shared" si="747"/>
        <v>0348-31</v>
      </c>
    </row>
    <row r="1079" spans="1:92" ht="15.75" thickBot="1" x14ac:dyDescent="0.3">
      <c r="A1079" s="376" t="s">
        <v>161</v>
      </c>
      <c r="B1079" s="376" t="s">
        <v>162</v>
      </c>
      <c r="C1079" s="376" t="s">
        <v>2272</v>
      </c>
      <c r="D1079" s="376" t="s">
        <v>862</v>
      </c>
      <c r="E1079" s="376" t="s">
        <v>224</v>
      </c>
      <c r="F1079" s="382" t="s">
        <v>225</v>
      </c>
      <c r="G1079" s="376" t="s">
        <v>1945</v>
      </c>
      <c r="H1079" s="378"/>
      <c r="I1079" s="378"/>
      <c r="J1079" s="376" t="s">
        <v>215</v>
      </c>
      <c r="K1079" s="376" t="s">
        <v>863</v>
      </c>
      <c r="L1079" s="376" t="s">
        <v>252</v>
      </c>
      <c r="M1079" s="376" t="s">
        <v>171</v>
      </c>
      <c r="N1079" s="376" t="s">
        <v>172</v>
      </c>
      <c r="O1079" s="379">
        <v>1</v>
      </c>
      <c r="P1079" s="385">
        <v>1</v>
      </c>
      <c r="Q1079" s="385">
        <v>1</v>
      </c>
      <c r="R1079" s="380">
        <v>80</v>
      </c>
      <c r="S1079" s="385">
        <v>1</v>
      </c>
      <c r="T1079" s="380">
        <v>30916.54</v>
      </c>
      <c r="U1079" s="380">
        <v>522.98</v>
      </c>
      <c r="V1079" s="380">
        <v>16304.28</v>
      </c>
      <c r="W1079" s="380">
        <v>35081.279999999999</v>
      </c>
      <c r="X1079" s="380">
        <v>19236.28</v>
      </c>
      <c r="Y1079" s="380">
        <v>35081.279999999999</v>
      </c>
      <c r="Z1079" s="380">
        <v>19088.95</v>
      </c>
      <c r="AA1079" s="376" t="s">
        <v>2273</v>
      </c>
      <c r="AB1079" s="376" t="s">
        <v>1551</v>
      </c>
      <c r="AC1079" s="376" t="s">
        <v>916</v>
      </c>
      <c r="AD1079" s="376" t="s">
        <v>1270</v>
      </c>
      <c r="AE1079" s="376" t="s">
        <v>863</v>
      </c>
      <c r="AF1079" s="376" t="s">
        <v>393</v>
      </c>
      <c r="AG1079" s="376" t="s">
        <v>178</v>
      </c>
      <c r="AH1079" s="381">
        <v>18.739999999999998</v>
      </c>
      <c r="AI1079" s="381">
        <v>2344.5</v>
      </c>
      <c r="AJ1079" s="376" t="s">
        <v>473</v>
      </c>
      <c r="AK1079" s="376" t="s">
        <v>180</v>
      </c>
      <c r="AL1079" s="376" t="s">
        <v>181</v>
      </c>
      <c r="AM1079" s="376" t="s">
        <v>182</v>
      </c>
      <c r="AN1079" s="376" t="s">
        <v>68</v>
      </c>
      <c r="AO1079" s="379">
        <v>72</v>
      </c>
      <c r="AP1079" s="385">
        <v>1</v>
      </c>
      <c r="AQ1079" s="385">
        <v>0.9</v>
      </c>
      <c r="AR1079" s="383" t="s">
        <v>183</v>
      </c>
      <c r="AS1079" s="387">
        <f t="shared" si="731"/>
        <v>0.9</v>
      </c>
      <c r="AT1079">
        <f t="shared" si="732"/>
        <v>1</v>
      </c>
      <c r="AU1079" s="387">
        <f>IF(AT1079=0,"",IF(AND(AT1079=1,M1079="F",SUMIF(C2:C1334,C1079,AS2:AS1334)&lt;=1),SUMIF(C2:C1334,C1079,AS2:AS1334),IF(AND(AT1079=1,M1079="F",SUMIF(C2:C1334,C1079,AS2:AS1334)&gt;1),1,"")))</f>
        <v>0.9</v>
      </c>
      <c r="AV1079" s="387" t="str">
        <f>IF(AT1079=0,"",IF(AND(AT1079=3,M1079="F",SUMIF(C2:C1334,C1079,AS2:AS1334)&lt;=1),SUMIF(C2:C1334,C1079,AS2:AS1334),IF(AND(AT1079=3,M1079="F",SUMIF(C2:C1334,C1079,AS2:AS1334)&gt;1),1,"")))</f>
        <v/>
      </c>
      <c r="AW1079" s="387">
        <f>SUMIF(C2:C1334,C1079,O2:O1334)</f>
        <v>1</v>
      </c>
      <c r="AX1079" s="387">
        <f>IF(AND(M1079="F",AS1079&lt;&gt;0),SUMIF(C2:C1334,C1079,W2:W1334),0)</f>
        <v>35081.279999999999</v>
      </c>
      <c r="AY1079" s="387">
        <f t="shared" si="733"/>
        <v>35081.279999999999</v>
      </c>
      <c r="AZ1079" s="387" t="str">
        <f t="shared" si="734"/>
        <v/>
      </c>
      <c r="BA1079" s="387">
        <f t="shared" si="735"/>
        <v>0</v>
      </c>
      <c r="BB1079" s="387">
        <f t="shared" si="704"/>
        <v>11650</v>
      </c>
      <c r="BC1079" s="387">
        <f t="shared" si="705"/>
        <v>0</v>
      </c>
      <c r="BD1079" s="387">
        <f t="shared" si="706"/>
        <v>2175.0393599999998</v>
      </c>
      <c r="BE1079" s="387">
        <f t="shared" si="707"/>
        <v>508.67856</v>
      </c>
      <c r="BF1079" s="387">
        <f t="shared" si="708"/>
        <v>4188.7048320000004</v>
      </c>
      <c r="BG1079" s="387">
        <f t="shared" si="709"/>
        <v>252.9360288</v>
      </c>
      <c r="BH1079" s="387">
        <f t="shared" si="710"/>
        <v>171.89827199999999</v>
      </c>
      <c r="BI1079" s="387">
        <f t="shared" si="711"/>
        <v>194.1748848</v>
      </c>
      <c r="BJ1079" s="387">
        <f t="shared" si="712"/>
        <v>94.719456000000008</v>
      </c>
      <c r="BK1079" s="387">
        <f t="shared" si="713"/>
        <v>0</v>
      </c>
      <c r="BL1079" s="387">
        <f t="shared" si="736"/>
        <v>7586.1513936000001</v>
      </c>
      <c r="BM1079" s="387">
        <f t="shared" si="737"/>
        <v>0</v>
      </c>
      <c r="BN1079" s="387">
        <f t="shared" si="714"/>
        <v>11650</v>
      </c>
      <c r="BO1079" s="387">
        <f t="shared" si="715"/>
        <v>0</v>
      </c>
      <c r="BP1079" s="387">
        <f t="shared" si="716"/>
        <v>2175.0393599999998</v>
      </c>
      <c r="BQ1079" s="387">
        <f t="shared" si="717"/>
        <v>508.67856</v>
      </c>
      <c r="BR1079" s="387">
        <f t="shared" si="718"/>
        <v>4188.7048320000004</v>
      </c>
      <c r="BS1079" s="387">
        <f t="shared" si="719"/>
        <v>252.9360288</v>
      </c>
      <c r="BT1079" s="387">
        <f t="shared" si="720"/>
        <v>0</v>
      </c>
      <c r="BU1079" s="387">
        <f t="shared" si="721"/>
        <v>194.1748848</v>
      </c>
      <c r="BV1079" s="387">
        <f t="shared" si="722"/>
        <v>119.27635199999999</v>
      </c>
      <c r="BW1079" s="387">
        <f t="shared" si="723"/>
        <v>0</v>
      </c>
      <c r="BX1079" s="387">
        <f t="shared" si="738"/>
        <v>7438.8100175999998</v>
      </c>
      <c r="BY1079" s="387">
        <f t="shared" si="739"/>
        <v>0</v>
      </c>
      <c r="BZ1079" s="387">
        <f t="shared" si="740"/>
        <v>0</v>
      </c>
      <c r="CA1079" s="387">
        <f t="shared" si="741"/>
        <v>0</v>
      </c>
      <c r="CB1079" s="387">
        <f t="shared" si="742"/>
        <v>0</v>
      </c>
      <c r="CC1079" s="387">
        <f t="shared" si="724"/>
        <v>0</v>
      </c>
      <c r="CD1079" s="387">
        <f t="shared" si="725"/>
        <v>0</v>
      </c>
      <c r="CE1079" s="387">
        <f t="shared" si="726"/>
        <v>0</v>
      </c>
      <c r="CF1079" s="387">
        <f t="shared" si="727"/>
        <v>-171.89827199999999</v>
      </c>
      <c r="CG1079" s="387">
        <f t="shared" si="728"/>
        <v>0</v>
      </c>
      <c r="CH1079" s="387">
        <f t="shared" si="729"/>
        <v>24.556895999999988</v>
      </c>
      <c r="CI1079" s="387">
        <f t="shared" si="730"/>
        <v>0</v>
      </c>
      <c r="CJ1079" s="387">
        <f t="shared" si="743"/>
        <v>-147.341376</v>
      </c>
      <c r="CK1079" s="387" t="str">
        <f t="shared" si="744"/>
        <v/>
      </c>
      <c r="CL1079" s="387" t="str">
        <f t="shared" si="745"/>
        <v/>
      </c>
      <c r="CM1079" s="387" t="str">
        <f t="shared" si="746"/>
        <v/>
      </c>
      <c r="CN1079" s="387" t="str">
        <f t="shared" si="747"/>
        <v>0348-31</v>
      </c>
    </row>
    <row r="1080" spans="1:92" ht="15.75" thickBot="1" x14ac:dyDescent="0.3">
      <c r="A1080" s="376" t="s">
        <v>161</v>
      </c>
      <c r="B1080" s="376" t="s">
        <v>162</v>
      </c>
      <c r="C1080" s="376" t="s">
        <v>1304</v>
      </c>
      <c r="D1080" s="376" t="s">
        <v>868</v>
      </c>
      <c r="E1080" s="376" t="s">
        <v>224</v>
      </c>
      <c r="F1080" s="382" t="s">
        <v>225</v>
      </c>
      <c r="G1080" s="376" t="s">
        <v>1945</v>
      </c>
      <c r="H1080" s="378"/>
      <c r="I1080" s="378"/>
      <c r="J1080" s="376" t="s">
        <v>215</v>
      </c>
      <c r="K1080" s="376" t="s">
        <v>869</v>
      </c>
      <c r="L1080" s="376" t="s">
        <v>296</v>
      </c>
      <c r="M1080" s="376" t="s">
        <v>171</v>
      </c>
      <c r="N1080" s="376" t="s">
        <v>172</v>
      </c>
      <c r="O1080" s="379">
        <v>1</v>
      </c>
      <c r="P1080" s="385">
        <v>1</v>
      </c>
      <c r="Q1080" s="385">
        <v>1</v>
      </c>
      <c r="R1080" s="380">
        <v>80</v>
      </c>
      <c r="S1080" s="385">
        <v>1</v>
      </c>
      <c r="T1080" s="380">
        <v>0</v>
      </c>
      <c r="U1080" s="380">
        <v>0</v>
      </c>
      <c r="V1080" s="380">
        <v>0</v>
      </c>
      <c r="W1080" s="380">
        <v>57532.800000000003</v>
      </c>
      <c r="X1080" s="380">
        <v>24091.439999999999</v>
      </c>
      <c r="Y1080" s="380">
        <v>57532.800000000003</v>
      </c>
      <c r="Z1080" s="380">
        <v>23849.81</v>
      </c>
      <c r="AA1080" s="376" t="s">
        <v>1305</v>
      </c>
      <c r="AB1080" s="376" t="s">
        <v>1306</v>
      </c>
      <c r="AC1080" s="376" t="s">
        <v>637</v>
      </c>
      <c r="AD1080" s="376" t="s">
        <v>1307</v>
      </c>
      <c r="AE1080" s="376" t="s">
        <v>869</v>
      </c>
      <c r="AF1080" s="376" t="s">
        <v>301</v>
      </c>
      <c r="AG1080" s="376" t="s">
        <v>178</v>
      </c>
      <c r="AH1080" s="381">
        <v>27.66</v>
      </c>
      <c r="AI1080" s="379">
        <v>24962</v>
      </c>
      <c r="AJ1080" s="376" t="s">
        <v>179</v>
      </c>
      <c r="AK1080" s="376" t="s">
        <v>180</v>
      </c>
      <c r="AL1080" s="376" t="s">
        <v>181</v>
      </c>
      <c r="AM1080" s="376" t="s">
        <v>182</v>
      </c>
      <c r="AN1080" s="376" t="s">
        <v>68</v>
      </c>
      <c r="AO1080" s="379">
        <v>80</v>
      </c>
      <c r="AP1080" s="385">
        <v>1</v>
      </c>
      <c r="AQ1080" s="385">
        <v>1</v>
      </c>
      <c r="AR1080" s="383" t="s">
        <v>183</v>
      </c>
      <c r="AS1080" s="387">
        <f t="shared" si="731"/>
        <v>1</v>
      </c>
      <c r="AT1080">
        <f t="shared" si="732"/>
        <v>1</v>
      </c>
      <c r="AU1080" s="387">
        <f>IF(AT1080=0,"",IF(AND(AT1080=1,M1080="F",SUMIF(C2:C1334,C1080,AS2:AS1334)&lt;=1),SUMIF(C2:C1334,C1080,AS2:AS1334),IF(AND(AT1080=1,M1080="F",SUMIF(C2:C1334,C1080,AS2:AS1334)&gt;1),1,"")))</f>
        <v>1</v>
      </c>
      <c r="AV1080" s="387" t="str">
        <f>IF(AT1080=0,"",IF(AND(AT1080=3,M1080="F",SUMIF(C2:C1334,C1080,AS2:AS1334)&lt;=1),SUMIF(C2:C1334,C1080,AS2:AS1334),IF(AND(AT1080=3,M1080="F",SUMIF(C2:C1334,C1080,AS2:AS1334)&gt;1),1,"")))</f>
        <v/>
      </c>
      <c r="AW1080" s="387">
        <f>SUMIF(C2:C1334,C1080,O2:O1334)</f>
        <v>2</v>
      </c>
      <c r="AX1080" s="387">
        <f>IF(AND(M1080="F",AS1080&lt;&gt;0),SUMIF(C2:C1334,C1080,W2:W1334),0)</f>
        <v>57532.800000000003</v>
      </c>
      <c r="AY1080" s="387">
        <f t="shared" si="733"/>
        <v>57532.800000000003</v>
      </c>
      <c r="AZ1080" s="387" t="str">
        <f t="shared" si="734"/>
        <v/>
      </c>
      <c r="BA1080" s="387">
        <f t="shared" si="735"/>
        <v>0</v>
      </c>
      <c r="BB1080" s="387">
        <f t="shared" si="704"/>
        <v>11650</v>
      </c>
      <c r="BC1080" s="387">
        <f t="shared" si="705"/>
        <v>0</v>
      </c>
      <c r="BD1080" s="387">
        <f t="shared" si="706"/>
        <v>3567.0336000000002</v>
      </c>
      <c r="BE1080" s="387">
        <f t="shared" si="707"/>
        <v>834.2256000000001</v>
      </c>
      <c r="BF1080" s="387">
        <f t="shared" si="708"/>
        <v>6869.4163200000003</v>
      </c>
      <c r="BG1080" s="387">
        <f t="shared" si="709"/>
        <v>414.81148800000005</v>
      </c>
      <c r="BH1080" s="387">
        <f t="shared" si="710"/>
        <v>281.91072000000003</v>
      </c>
      <c r="BI1080" s="387">
        <f t="shared" si="711"/>
        <v>318.44404800000001</v>
      </c>
      <c r="BJ1080" s="387">
        <f t="shared" si="712"/>
        <v>155.33856000000003</v>
      </c>
      <c r="BK1080" s="387">
        <f t="shared" si="713"/>
        <v>0</v>
      </c>
      <c r="BL1080" s="387">
        <f t="shared" si="736"/>
        <v>12441.180335999999</v>
      </c>
      <c r="BM1080" s="387">
        <f t="shared" si="737"/>
        <v>0</v>
      </c>
      <c r="BN1080" s="387">
        <f t="shared" si="714"/>
        <v>11650</v>
      </c>
      <c r="BO1080" s="387">
        <f t="shared" si="715"/>
        <v>0</v>
      </c>
      <c r="BP1080" s="387">
        <f t="shared" si="716"/>
        <v>3567.0336000000002</v>
      </c>
      <c r="BQ1080" s="387">
        <f t="shared" si="717"/>
        <v>834.2256000000001</v>
      </c>
      <c r="BR1080" s="387">
        <f t="shared" si="718"/>
        <v>6869.4163200000003</v>
      </c>
      <c r="BS1080" s="387">
        <f t="shared" si="719"/>
        <v>414.81148800000005</v>
      </c>
      <c r="BT1080" s="387">
        <f t="shared" si="720"/>
        <v>0</v>
      </c>
      <c r="BU1080" s="387">
        <f t="shared" si="721"/>
        <v>318.44404800000001</v>
      </c>
      <c r="BV1080" s="387">
        <f t="shared" si="722"/>
        <v>195.61152000000001</v>
      </c>
      <c r="BW1080" s="387">
        <f t="shared" si="723"/>
        <v>0</v>
      </c>
      <c r="BX1080" s="387">
        <f t="shared" si="738"/>
        <v>12199.542576</v>
      </c>
      <c r="BY1080" s="387">
        <f t="shared" si="739"/>
        <v>0</v>
      </c>
      <c r="BZ1080" s="387">
        <f t="shared" si="740"/>
        <v>0</v>
      </c>
      <c r="CA1080" s="387">
        <f t="shared" si="741"/>
        <v>0</v>
      </c>
      <c r="CB1080" s="387">
        <f t="shared" si="742"/>
        <v>0</v>
      </c>
      <c r="CC1080" s="387">
        <f t="shared" si="724"/>
        <v>0</v>
      </c>
      <c r="CD1080" s="387">
        <f t="shared" si="725"/>
        <v>0</v>
      </c>
      <c r="CE1080" s="387">
        <f t="shared" si="726"/>
        <v>0</v>
      </c>
      <c r="CF1080" s="387">
        <f t="shared" si="727"/>
        <v>-281.91072000000003</v>
      </c>
      <c r="CG1080" s="387">
        <f t="shared" si="728"/>
        <v>0</v>
      </c>
      <c r="CH1080" s="387">
        <f t="shared" si="729"/>
        <v>40.272959999999983</v>
      </c>
      <c r="CI1080" s="387">
        <f t="shared" si="730"/>
        <v>0</v>
      </c>
      <c r="CJ1080" s="387">
        <f t="shared" si="743"/>
        <v>-241.63776000000004</v>
      </c>
      <c r="CK1080" s="387" t="str">
        <f t="shared" si="744"/>
        <v/>
      </c>
      <c r="CL1080" s="387" t="str">
        <f t="shared" si="745"/>
        <v/>
      </c>
      <c r="CM1080" s="387" t="str">
        <f t="shared" si="746"/>
        <v/>
      </c>
      <c r="CN1080" s="387" t="str">
        <f t="shared" si="747"/>
        <v>0348-31</v>
      </c>
    </row>
    <row r="1081" spans="1:92" ht="15.75" thickBot="1" x14ac:dyDescent="0.3">
      <c r="A1081" s="376" t="s">
        <v>161</v>
      </c>
      <c r="B1081" s="376" t="s">
        <v>162</v>
      </c>
      <c r="C1081" s="376" t="s">
        <v>2274</v>
      </c>
      <c r="D1081" s="376" t="s">
        <v>247</v>
      </c>
      <c r="E1081" s="376" t="s">
        <v>224</v>
      </c>
      <c r="F1081" s="382" t="s">
        <v>225</v>
      </c>
      <c r="G1081" s="376" t="s">
        <v>1945</v>
      </c>
      <c r="H1081" s="378"/>
      <c r="I1081" s="378"/>
      <c r="J1081" s="376" t="s">
        <v>215</v>
      </c>
      <c r="K1081" s="376" t="s">
        <v>248</v>
      </c>
      <c r="L1081" s="376" t="s">
        <v>178</v>
      </c>
      <c r="M1081" s="376" t="s">
        <v>566</v>
      </c>
      <c r="N1081" s="376" t="s">
        <v>172</v>
      </c>
      <c r="O1081" s="379">
        <v>0</v>
      </c>
      <c r="P1081" s="385">
        <v>0</v>
      </c>
      <c r="Q1081" s="385">
        <v>0</v>
      </c>
      <c r="R1081" s="380">
        <v>80</v>
      </c>
      <c r="S1081" s="385">
        <v>0</v>
      </c>
      <c r="T1081" s="380">
        <v>1579.2</v>
      </c>
      <c r="U1081" s="380">
        <v>0</v>
      </c>
      <c r="V1081" s="380">
        <v>2257.5</v>
      </c>
      <c r="W1081" s="380">
        <v>0</v>
      </c>
      <c r="X1081" s="380">
        <v>0</v>
      </c>
      <c r="Y1081" s="380">
        <v>0</v>
      </c>
      <c r="Z1081" s="380">
        <v>0</v>
      </c>
      <c r="AA1081" s="378"/>
      <c r="AB1081" s="376" t="s">
        <v>45</v>
      </c>
      <c r="AC1081" s="376" t="s">
        <v>45</v>
      </c>
      <c r="AD1081" s="378"/>
      <c r="AE1081" s="378"/>
      <c r="AF1081" s="378"/>
      <c r="AG1081" s="378"/>
      <c r="AH1081" s="379">
        <v>0</v>
      </c>
      <c r="AI1081" s="379">
        <v>0</v>
      </c>
      <c r="AJ1081" s="378"/>
      <c r="AK1081" s="378"/>
      <c r="AL1081" s="376" t="s">
        <v>181</v>
      </c>
      <c r="AM1081" s="378"/>
      <c r="AN1081" s="378"/>
      <c r="AO1081" s="379">
        <v>0</v>
      </c>
      <c r="AP1081" s="385">
        <v>0</v>
      </c>
      <c r="AQ1081" s="385">
        <v>0</v>
      </c>
      <c r="AR1081" s="384"/>
      <c r="AS1081" s="387">
        <f t="shared" si="731"/>
        <v>0</v>
      </c>
      <c r="AT1081">
        <f t="shared" si="732"/>
        <v>0</v>
      </c>
      <c r="AU1081" s="387" t="str">
        <f>IF(AT1081=0,"",IF(AND(AT1081=1,M1081="F",SUMIF(C2:C1334,C1081,AS2:AS1334)&lt;=1),SUMIF(C2:C1334,C1081,AS2:AS1334),IF(AND(AT1081=1,M1081="F",SUMIF(C2:C1334,C1081,AS2:AS1334)&gt;1),1,"")))</f>
        <v/>
      </c>
      <c r="AV1081" s="387" t="str">
        <f>IF(AT1081=0,"",IF(AND(AT1081=3,M1081="F",SUMIF(C2:C1334,C1081,AS2:AS1334)&lt;=1),SUMIF(C2:C1334,C1081,AS2:AS1334),IF(AND(AT1081=3,M1081="F",SUMIF(C2:C1334,C1081,AS2:AS1334)&gt;1),1,"")))</f>
        <v/>
      </c>
      <c r="AW1081" s="387">
        <f>SUMIF(C2:C1334,C1081,O2:O1334)</f>
        <v>0</v>
      </c>
      <c r="AX1081" s="387">
        <f>IF(AND(M1081="F",AS1081&lt;&gt;0),SUMIF(C2:C1334,C1081,W2:W1334),0)</f>
        <v>0</v>
      </c>
      <c r="AY1081" s="387" t="str">
        <f t="shared" si="733"/>
        <v/>
      </c>
      <c r="AZ1081" s="387" t="str">
        <f t="shared" si="734"/>
        <v/>
      </c>
      <c r="BA1081" s="387">
        <f t="shared" si="735"/>
        <v>0</v>
      </c>
      <c r="BB1081" s="387">
        <f t="shared" si="704"/>
        <v>0</v>
      </c>
      <c r="BC1081" s="387">
        <f t="shared" si="705"/>
        <v>0</v>
      </c>
      <c r="BD1081" s="387">
        <f t="shared" si="706"/>
        <v>0</v>
      </c>
      <c r="BE1081" s="387">
        <f t="shared" si="707"/>
        <v>0</v>
      </c>
      <c r="BF1081" s="387">
        <f t="shared" si="708"/>
        <v>0</v>
      </c>
      <c r="BG1081" s="387">
        <f t="shared" si="709"/>
        <v>0</v>
      </c>
      <c r="BH1081" s="387">
        <f t="shared" si="710"/>
        <v>0</v>
      </c>
      <c r="BI1081" s="387">
        <f t="shared" si="711"/>
        <v>0</v>
      </c>
      <c r="BJ1081" s="387">
        <f t="shared" si="712"/>
        <v>0</v>
      </c>
      <c r="BK1081" s="387">
        <f t="shared" si="713"/>
        <v>0</v>
      </c>
      <c r="BL1081" s="387">
        <f t="shared" si="736"/>
        <v>0</v>
      </c>
      <c r="BM1081" s="387">
        <f t="shared" si="737"/>
        <v>0</v>
      </c>
      <c r="BN1081" s="387">
        <f t="shared" si="714"/>
        <v>0</v>
      </c>
      <c r="BO1081" s="387">
        <f t="shared" si="715"/>
        <v>0</v>
      </c>
      <c r="BP1081" s="387">
        <f t="shared" si="716"/>
        <v>0</v>
      </c>
      <c r="BQ1081" s="387">
        <f t="shared" si="717"/>
        <v>0</v>
      </c>
      <c r="BR1081" s="387">
        <f t="shared" si="718"/>
        <v>0</v>
      </c>
      <c r="BS1081" s="387">
        <f t="shared" si="719"/>
        <v>0</v>
      </c>
      <c r="BT1081" s="387">
        <f t="shared" si="720"/>
        <v>0</v>
      </c>
      <c r="BU1081" s="387">
        <f t="shared" si="721"/>
        <v>0</v>
      </c>
      <c r="BV1081" s="387">
        <f t="shared" si="722"/>
        <v>0</v>
      </c>
      <c r="BW1081" s="387">
        <f t="shared" si="723"/>
        <v>0</v>
      </c>
      <c r="BX1081" s="387">
        <f t="shared" si="738"/>
        <v>0</v>
      </c>
      <c r="BY1081" s="387">
        <f t="shared" si="739"/>
        <v>0</v>
      </c>
      <c r="BZ1081" s="387">
        <f t="shared" si="740"/>
        <v>0</v>
      </c>
      <c r="CA1081" s="387">
        <f t="shared" si="741"/>
        <v>0</v>
      </c>
      <c r="CB1081" s="387">
        <f t="shared" si="742"/>
        <v>0</v>
      </c>
      <c r="CC1081" s="387">
        <f t="shared" si="724"/>
        <v>0</v>
      </c>
      <c r="CD1081" s="387">
        <f t="shared" si="725"/>
        <v>0</v>
      </c>
      <c r="CE1081" s="387">
        <f t="shared" si="726"/>
        <v>0</v>
      </c>
      <c r="CF1081" s="387">
        <f t="shared" si="727"/>
        <v>0</v>
      </c>
      <c r="CG1081" s="387">
        <f t="shared" si="728"/>
        <v>0</v>
      </c>
      <c r="CH1081" s="387">
        <f t="shared" si="729"/>
        <v>0</v>
      </c>
      <c r="CI1081" s="387">
        <f t="shared" si="730"/>
        <v>0</v>
      </c>
      <c r="CJ1081" s="387">
        <f t="shared" si="743"/>
        <v>0</v>
      </c>
      <c r="CK1081" s="387" t="str">
        <f t="shared" si="744"/>
        <v/>
      </c>
      <c r="CL1081" s="387" t="str">
        <f t="shared" si="745"/>
        <v/>
      </c>
      <c r="CM1081" s="387" t="str">
        <f t="shared" si="746"/>
        <v/>
      </c>
      <c r="CN1081" s="387" t="str">
        <f t="shared" si="747"/>
        <v>0348-31</v>
      </c>
    </row>
    <row r="1082" spans="1:92" ht="15.75" thickBot="1" x14ac:dyDescent="0.3">
      <c r="A1082" s="376" t="s">
        <v>161</v>
      </c>
      <c r="B1082" s="376" t="s">
        <v>162</v>
      </c>
      <c r="C1082" s="376" t="s">
        <v>857</v>
      </c>
      <c r="D1082" s="376" t="s">
        <v>786</v>
      </c>
      <c r="E1082" s="376" t="s">
        <v>224</v>
      </c>
      <c r="F1082" s="382" t="s">
        <v>225</v>
      </c>
      <c r="G1082" s="376" t="s">
        <v>1945</v>
      </c>
      <c r="H1082" s="378"/>
      <c r="I1082" s="378"/>
      <c r="J1082" s="376" t="s">
        <v>168</v>
      </c>
      <c r="K1082" s="376" t="s">
        <v>787</v>
      </c>
      <c r="L1082" s="376" t="s">
        <v>181</v>
      </c>
      <c r="M1082" s="376" t="s">
        <v>171</v>
      </c>
      <c r="N1082" s="376" t="s">
        <v>172</v>
      </c>
      <c r="O1082" s="379">
        <v>1</v>
      </c>
      <c r="P1082" s="385">
        <v>0.2</v>
      </c>
      <c r="Q1082" s="385">
        <v>0.2</v>
      </c>
      <c r="R1082" s="380">
        <v>80</v>
      </c>
      <c r="S1082" s="385">
        <v>0.2</v>
      </c>
      <c r="T1082" s="380">
        <v>6361.54</v>
      </c>
      <c r="U1082" s="380">
        <v>0</v>
      </c>
      <c r="V1082" s="380">
        <v>2385.5300000000002</v>
      </c>
      <c r="W1082" s="380">
        <v>12172.16</v>
      </c>
      <c r="X1082" s="380">
        <v>4962.22</v>
      </c>
      <c r="Y1082" s="380">
        <v>12172.16</v>
      </c>
      <c r="Z1082" s="380">
        <v>4911.09</v>
      </c>
      <c r="AA1082" s="376" t="s">
        <v>858</v>
      </c>
      <c r="AB1082" s="376" t="s">
        <v>859</v>
      </c>
      <c r="AC1082" s="376" t="s">
        <v>860</v>
      </c>
      <c r="AD1082" s="376" t="s">
        <v>300</v>
      </c>
      <c r="AE1082" s="376" t="s">
        <v>787</v>
      </c>
      <c r="AF1082" s="376" t="s">
        <v>211</v>
      </c>
      <c r="AG1082" s="376" t="s">
        <v>178</v>
      </c>
      <c r="AH1082" s="381">
        <v>29.26</v>
      </c>
      <c r="AI1082" s="381">
        <v>7042.3</v>
      </c>
      <c r="AJ1082" s="376" t="s">
        <v>179</v>
      </c>
      <c r="AK1082" s="376" t="s">
        <v>180</v>
      </c>
      <c r="AL1082" s="376" t="s">
        <v>181</v>
      </c>
      <c r="AM1082" s="376" t="s">
        <v>182</v>
      </c>
      <c r="AN1082" s="376" t="s">
        <v>68</v>
      </c>
      <c r="AO1082" s="379">
        <v>80</v>
      </c>
      <c r="AP1082" s="385">
        <v>1</v>
      </c>
      <c r="AQ1082" s="385">
        <v>0.2</v>
      </c>
      <c r="AR1082" s="383" t="s">
        <v>183</v>
      </c>
      <c r="AS1082" s="387">
        <f t="shared" si="731"/>
        <v>0.2</v>
      </c>
      <c r="AT1082">
        <f t="shared" si="732"/>
        <v>1</v>
      </c>
      <c r="AU1082" s="387">
        <f>IF(AT1082=0,"",IF(AND(AT1082=1,M1082="F",SUMIF(C2:C1334,C1082,AS2:AS1334)&lt;=1),SUMIF(C2:C1334,C1082,AS2:AS1334),IF(AND(AT1082=1,M1082="F",SUMIF(C2:C1334,C1082,AS2:AS1334)&gt;1),1,"")))</f>
        <v>1</v>
      </c>
      <c r="AV1082" s="387" t="str">
        <f>IF(AT1082=0,"",IF(AND(AT1082=3,M1082="F",SUMIF(C2:C1334,C1082,AS2:AS1334)&lt;=1),SUMIF(C2:C1334,C1082,AS2:AS1334),IF(AND(AT1082=3,M1082="F",SUMIF(C2:C1334,C1082,AS2:AS1334)&gt;1),1,"")))</f>
        <v/>
      </c>
      <c r="AW1082" s="387">
        <f>SUMIF(C2:C1334,C1082,O2:O1334)</f>
        <v>4</v>
      </c>
      <c r="AX1082" s="387">
        <f>IF(AND(M1082="F",AS1082&lt;&gt;0),SUMIF(C2:C1334,C1082,W2:W1334),0)</f>
        <v>60860.800000000003</v>
      </c>
      <c r="AY1082" s="387">
        <f t="shared" si="733"/>
        <v>12172.16</v>
      </c>
      <c r="AZ1082" s="387" t="str">
        <f t="shared" si="734"/>
        <v/>
      </c>
      <c r="BA1082" s="387">
        <f t="shared" si="735"/>
        <v>0</v>
      </c>
      <c r="BB1082" s="387">
        <f t="shared" si="704"/>
        <v>2330</v>
      </c>
      <c r="BC1082" s="387">
        <f t="shared" si="705"/>
        <v>0</v>
      </c>
      <c r="BD1082" s="387">
        <f t="shared" si="706"/>
        <v>754.67391999999995</v>
      </c>
      <c r="BE1082" s="387">
        <f t="shared" si="707"/>
        <v>176.49632</v>
      </c>
      <c r="BF1082" s="387">
        <f t="shared" si="708"/>
        <v>1453.355904</v>
      </c>
      <c r="BG1082" s="387">
        <f t="shared" si="709"/>
        <v>87.761273599999996</v>
      </c>
      <c r="BH1082" s="387">
        <f t="shared" si="710"/>
        <v>59.643583999999997</v>
      </c>
      <c r="BI1082" s="387">
        <f t="shared" si="711"/>
        <v>67.372905599999996</v>
      </c>
      <c r="BJ1082" s="387">
        <f t="shared" si="712"/>
        <v>32.864832</v>
      </c>
      <c r="BK1082" s="387">
        <f t="shared" si="713"/>
        <v>0</v>
      </c>
      <c r="BL1082" s="387">
        <f t="shared" si="736"/>
        <v>2632.1687392000003</v>
      </c>
      <c r="BM1082" s="387">
        <f t="shared" si="737"/>
        <v>0</v>
      </c>
      <c r="BN1082" s="387">
        <f t="shared" si="714"/>
        <v>2330</v>
      </c>
      <c r="BO1082" s="387">
        <f t="shared" si="715"/>
        <v>0</v>
      </c>
      <c r="BP1082" s="387">
        <f t="shared" si="716"/>
        <v>754.67391999999995</v>
      </c>
      <c r="BQ1082" s="387">
        <f t="shared" si="717"/>
        <v>176.49632</v>
      </c>
      <c r="BR1082" s="387">
        <f t="shared" si="718"/>
        <v>1453.355904</v>
      </c>
      <c r="BS1082" s="387">
        <f t="shared" si="719"/>
        <v>87.761273599999996</v>
      </c>
      <c r="BT1082" s="387">
        <f t="shared" si="720"/>
        <v>0</v>
      </c>
      <c r="BU1082" s="387">
        <f t="shared" si="721"/>
        <v>67.372905599999996</v>
      </c>
      <c r="BV1082" s="387">
        <f t="shared" si="722"/>
        <v>41.385343999999996</v>
      </c>
      <c r="BW1082" s="387">
        <f t="shared" si="723"/>
        <v>0</v>
      </c>
      <c r="BX1082" s="387">
        <f t="shared" si="738"/>
        <v>2581.0456672</v>
      </c>
      <c r="BY1082" s="387">
        <f t="shared" si="739"/>
        <v>0</v>
      </c>
      <c r="BZ1082" s="387">
        <f t="shared" si="740"/>
        <v>0</v>
      </c>
      <c r="CA1082" s="387">
        <f t="shared" si="741"/>
        <v>0</v>
      </c>
      <c r="CB1082" s="387">
        <f t="shared" si="742"/>
        <v>0</v>
      </c>
      <c r="CC1082" s="387">
        <f t="shared" si="724"/>
        <v>0</v>
      </c>
      <c r="CD1082" s="387">
        <f t="shared" si="725"/>
        <v>0</v>
      </c>
      <c r="CE1082" s="387">
        <f t="shared" si="726"/>
        <v>0</v>
      </c>
      <c r="CF1082" s="387">
        <f t="shared" si="727"/>
        <v>-59.643583999999997</v>
      </c>
      <c r="CG1082" s="387">
        <f t="shared" si="728"/>
        <v>0</v>
      </c>
      <c r="CH1082" s="387">
        <f t="shared" si="729"/>
        <v>8.5205119999999965</v>
      </c>
      <c r="CI1082" s="387">
        <f t="shared" si="730"/>
        <v>0</v>
      </c>
      <c r="CJ1082" s="387">
        <f t="shared" si="743"/>
        <v>-51.123072000000001</v>
      </c>
      <c r="CK1082" s="387" t="str">
        <f t="shared" si="744"/>
        <v/>
      </c>
      <c r="CL1082" s="387" t="str">
        <f t="shared" si="745"/>
        <v/>
      </c>
      <c r="CM1082" s="387" t="str">
        <f t="shared" si="746"/>
        <v/>
      </c>
      <c r="CN1082" s="387" t="str">
        <f t="shared" si="747"/>
        <v>0348-31</v>
      </c>
    </row>
    <row r="1083" spans="1:92" ht="15.75" thickBot="1" x14ac:dyDescent="0.3">
      <c r="A1083" s="376" t="s">
        <v>161</v>
      </c>
      <c r="B1083" s="376" t="s">
        <v>162</v>
      </c>
      <c r="C1083" s="376" t="s">
        <v>1606</v>
      </c>
      <c r="D1083" s="376" t="s">
        <v>974</v>
      </c>
      <c r="E1083" s="376" t="s">
        <v>224</v>
      </c>
      <c r="F1083" s="382" t="s">
        <v>225</v>
      </c>
      <c r="G1083" s="376" t="s">
        <v>1945</v>
      </c>
      <c r="H1083" s="378"/>
      <c r="I1083" s="378"/>
      <c r="J1083" s="376" t="s">
        <v>215</v>
      </c>
      <c r="K1083" s="376" t="s">
        <v>975</v>
      </c>
      <c r="L1083" s="376" t="s">
        <v>296</v>
      </c>
      <c r="M1083" s="376" t="s">
        <v>171</v>
      </c>
      <c r="N1083" s="376" t="s">
        <v>172</v>
      </c>
      <c r="O1083" s="379">
        <v>1</v>
      </c>
      <c r="P1083" s="385">
        <v>1</v>
      </c>
      <c r="Q1083" s="385">
        <v>1</v>
      </c>
      <c r="R1083" s="380">
        <v>80</v>
      </c>
      <c r="S1083" s="385">
        <v>1</v>
      </c>
      <c r="T1083" s="380">
        <v>32575.25</v>
      </c>
      <c r="U1083" s="380">
        <v>0</v>
      </c>
      <c r="V1083" s="380">
        <v>15704.57</v>
      </c>
      <c r="W1083" s="380">
        <v>43305.599999999999</v>
      </c>
      <c r="X1083" s="380">
        <v>21014.799999999999</v>
      </c>
      <c r="Y1083" s="380">
        <v>43305.599999999999</v>
      </c>
      <c r="Z1083" s="380">
        <v>20832.919999999998</v>
      </c>
      <c r="AA1083" s="376" t="s">
        <v>1607</v>
      </c>
      <c r="AB1083" s="376" t="s">
        <v>1608</v>
      </c>
      <c r="AC1083" s="376" t="s">
        <v>912</v>
      </c>
      <c r="AD1083" s="376" t="s">
        <v>180</v>
      </c>
      <c r="AE1083" s="376" t="s">
        <v>975</v>
      </c>
      <c r="AF1083" s="376" t="s">
        <v>301</v>
      </c>
      <c r="AG1083" s="376" t="s">
        <v>178</v>
      </c>
      <c r="AH1083" s="381">
        <v>20.82</v>
      </c>
      <c r="AI1083" s="381">
        <v>43540.2</v>
      </c>
      <c r="AJ1083" s="376" t="s">
        <v>179</v>
      </c>
      <c r="AK1083" s="376" t="s">
        <v>180</v>
      </c>
      <c r="AL1083" s="376" t="s">
        <v>181</v>
      </c>
      <c r="AM1083" s="376" t="s">
        <v>182</v>
      </c>
      <c r="AN1083" s="376" t="s">
        <v>68</v>
      </c>
      <c r="AO1083" s="379">
        <v>80</v>
      </c>
      <c r="AP1083" s="385">
        <v>1</v>
      </c>
      <c r="AQ1083" s="385">
        <v>1</v>
      </c>
      <c r="AR1083" s="383" t="s">
        <v>183</v>
      </c>
      <c r="AS1083" s="387">
        <f t="shared" si="731"/>
        <v>1</v>
      </c>
      <c r="AT1083">
        <f t="shared" si="732"/>
        <v>1</v>
      </c>
      <c r="AU1083" s="387">
        <f>IF(AT1083=0,"",IF(AND(AT1083=1,M1083="F",SUMIF(C2:C1334,C1083,AS2:AS1334)&lt;=1),SUMIF(C2:C1334,C1083,AS2:AS1334),IF(AND(AT1083=1,M1083="F",SUMIF(C2:C1334,C1083,AS2:AS1334)&gt;1),1,"")))</f>
        <v>1</v>
      </c>
      <c r="AV1083" s="387" t="str">
        <f>IF(AT1083=0,"",IF(AND(AT1083=3,M1083="F",SUMIF(C2:C1334,C1083,AS2:AS1334)&lt;=1),SUMIF(C2:C1334,C1083,AS2:AS1334),IF(AND(AT1083=3,M1083="F",SUMIF(C2:C1334,C1083,AS2:AS1334)&gt;1),1,"")))</f>
        <v/>
      </c>
      <c r="AW1083" s="387">
        <f>SUMIF(C2:C1334,C1083,O2:O1334)</f>
        <v>2</v>
      </c>
      <c r="AX1083" s="387">
        <f>IF(AND(M1083="F",AS1083&lt;&gt;0),SUMIF(C2:C1334,C1083,W2:W1334),0)</f>
        <v>43305.599999999999</v>
      </c>
      <c r="AY1083" s="387">
        <f t="shared" si="733"/>
        <v>43305.599999999999</v>
      </c>
      <c r="AZ1083" s="387" t="str">
        <f t="shared" si="734"/>
        <v/>
      </c>
      <c r="BA1083" s="387">
        <f t="shared" si="735"/>
        <v>0</v>
      </c>
      <c r="BB1083" s="387">
        <f t="shared" si="704"/>
        <v>11650</v>
      </c>
      <c r="BC1083" s="387">
        <f t="shared" si="705"/>
        <v>0</v>
      </c>
      <c r="BD1083" s="387">
        <f t="shared" si="706"/>
        <v>2684.9472000000001</v>
      </c>
      <c r="BE1083" s="387">
        <f t="shared" si="707"/>
        <v>627.93119999999999</v>
      </c>
      <c r="BF1083" s="387">
        <f t="shared" si="708"/>
        <v>5170.6886400000003</v>
      </c>
      <c r="BG1083" s="387">
        <f t="shared" si="709"/>
        <v>312.23337600000002</v>
      </c>
      <c r="BH1083" s="387">
        <f t="shared" si="710"/>
        <v>212.19743999999997</v>
      </c>
      <c r="BI1083" s="387">
        <f t="shared" si="711"/>
        <v>239.696496</v>
      </c>
      <c r="BJ1083" s="387">
        <f t="shared" si="712"/>
        <v>116.92512000000001</v>
      </c>
      <c r="BK1083" s="387">
        <f t="shared" si="713"/>
        <v>0</v>
      </c>
      <c r="BL1083" s="387">
        <f t="shared" si="736"/>
        <v>9364.6194720000003</v>
      </c>
      <c r="BM1083" s="387">
        <f t="shared" si="737"/>
        <v>0</v>
      </c>
      <c r="BN1083" s="387">
        <f t="shared" si="714"/>
        <v>11650</v>
      </c>
      <c r="BO1083" s="387">
        <f t="shared" si="715"/>
        <v>0</v>
      </c>
      <c r="BP1083" s="387">
        <f t="shared" si="716"/>
        <v>2684.9472000000001</v>
      </c>
      <c r="BQ1083" s="387">
        <f t="shared" si="717"/>
        <v>627.93119999999999</v>
      </c>
      <c r="BR1083" s="387">
        <f t="shared" si="718"/>
        <v>5170.6886400000003</v>
      </c>
      <c r="BS1083" s="387">
        <f t="shared" si="719"/>
        <v>312.23337600000002</v>
      </c>
      <c r="BT1083" s="387">
        <f t="shared" si="720"/>
        <v>0</v>
      </c>
      <c r="BU1083" s="387">
        <f t="shared" si="721"/>
        <v>239.696496</v>
      </c>
      <c r="BV1083" s="387">
        <f t="shared" si="722"/>
        <v>147.23903999999999</v>
      </c>
      <c r="BW1083" s="387">
        <f t="shared" si="723"/>
        <v>0</v>
      </c>
      <c r="BX1083" s="387">
        <f t="shared" si="738"/>
        <v>9182.7359520000009</v>
      </c>
      <c r="BY1083" s="387">
        <f t="shared" si="739"/>
        <v>0</v>
      </c>
      <c r="BZ1083" s="387">
        <f t="shared" si="740"/>
        <v>0</v>
      </c>
      <c r="CA1083" s="387">
        <f t="shared" si="741"/>
        <v>0</v>
      </c>
      <c r="CB1083" s="387">
        <f t="shared" si="742"/>
        <v>0</v>
      </c>
      <c r="CC1083" s="387">
        <f t="shared" si="724"/>
        <v>0</v>
      </c>
      <c r="CD1083" s="387">
        <f t="shared" si="725"/>
        <v>0</v>
      </c>
      <c r="CE1083" s="387">
        <f t="shared" si="726"/>
        <v>0</v>
      </c>
      <c r="CF1083" s="387">
        <f t="shared" si="727"/>
        <v>-212.19743999999997</v>
      </c>
      <c r="CG1083" s="387">
        <f t="shared" si="728"/>
        <v>0</v>
      </c>
      <c r="CH1083" s="387">
        <f t="shared" si="729"/>
        <v>30.313919999999985</v>
      </c>
      <c r="CI1083" s="387">
        <f t="shared" si="730"/>
        <v>0</v>
      </c>
      <c r="CJ1083" s="387">
        <f t="shared" si="743"/>
        <v>-181.88351999999998</v>
      </c>
      <c r="CK1083" s="387" t="str">
        <f t="shared" si="744"/>
        <v/>
      </c>
      <c r="CL1083" s="387" t="str">
        <f t="shared" si="745"/>
        <v/>
      </c>
      <c r="CM1083" s="387" t="str">
        <f t="shared" si="746"/>
        <v/>
      </c>
      <c r="CN1083" s="387" t="str">
        <f t="shared" si="747"/>
        <v>0348-31</v>
      </c>
    </row>
    <row r="1084" spans="1:92" ht="15.75" thickBot="1" x14ac:dyDescent="0.3">
      <c r="A1084" s="376" t="s">
        <v>161</v>
      </c>
      <c r="B1084" s="376" t="s">
        <v>162</v>
      </c>
      <c r="C1084" s="376" t="s">
        <v>1373</v>
      </c>
      <c r="D1084" s="376" t="s">
        <v>868</v>
      </c>
      <c r="E1084" s="376" t="s">
        <v>224</v>
      </c>
      <c r="F1084" s="382" t="s">
        <v>225</v>
      </c>
      <c r="G1084" s="376" t="s">
        <v>1945</v>
      </c>
      <c r="H1084" s="378"/>
      <c r="I1084" s="378"/>
      <c r="J1084" s="376" t="s">
        <v>215</v>
      </c>
      <c r="K1084" s="376" t="s">
        <v>869</v>
      </c>
      <c r="L1084" s="376" t="s">
        <v>296</v>
      </c>
      <c r="M1084" s="376" t="s">
        <v>171</v>
      </c>
      <c r="N1084" s="376" t="s">
        <v>172</v>
      </c>
      <c r="O1084" s="379">
        <v>1</v>
      </c>
      <c r="P1084" s="385">
        <v>1</v>
      </c>
      <c r="Q1084" s="385">
        <v>1</v>
      </c>
      <c r="R1084" s="380">
        <v>80</v>
      </c>
      <c r="S1084" s="385">
        <v>1</v>
      </c>
      <c r="T1084" s="380">
        <v>0</v>
      </c>
      <c r="U1084" s="380">
        <v>0</v>
      </c>
      <c r="V1084" s="380">
        <v>0</v>
      </c>
      <c r="W1084" s="380">
        <v>50856</v>
      </c>
      <c r="X1084" s="380">
        <v>22647.59</v>
      </c>
      <c r="Y1084" s="380">
        <v>50856</v>
      </c>
      <c r="Z1084" s="380">
        <v>22434</v>
      </c>
      <c r="AA1084" s="376" t="s">
        <v>1374</v>
      </c>
      <c r="AB1084" s="376" t="s">
        <v>1375</v>
      </c>
      <c r="AC1084" s="376" t="s">
        <v>1376</v>
      </c>
      <c r="AD1084" s="376" t="s">
        <v>441</v>
      </c>
      <c r="AE1084" s="376" t="s">
        <v>869</v>
      </c>
      <c r="AF1084" s="376" t="s">
        <v>301</v>
      </c>
      <c r="AG1084" s="376" t="s">
        <v>178</v>
      </c>
      <c r="AH1084" s="381">
        <v>24.45</v>
      </c>
      <c r="AI1084" s="381">
        <v>17800.599999999999</v>
      </c>
      <c r="AJ1084" s="376" t="s">
        <v>179</v>
      </c>
      <c r="AK1084" s="376" t="s">
        <v>180</v>
      </c>
      <c r="AL1084" s="376" t="s">
        <v>181</v>
      </c>
      <c r="AM1084" s="376" t="s">
        <v>182</v>
      </c>
      <c r="AN1084" s="376" t="s">
        <v>68</v>
      </c>
      <c r="AO1084" s="379">
        <v>80</v>
      </c>
      <c r="AP1084" s="385">
        <v>1</v>
      </c>
      <c r="AQ1084" s="385">
        <v>1</v>
      </c>
      <c r="AR1084" s="383" t="s">
        <v>183</v>
      </c>
      <c r="AS1084" s="387">
        <f t="shared" si="731"/>
        <v>1</v>
      </c>
      <c r="AT1084">
        <f t="shared" si="732"/>
        <v>1</v>
      </c>
      <c r="AU1084" s="387">
        <f>IF(AT1084=0,"",IF(AND(AT1084=1,M1084="F",SUMIF(C2:C1334,C1084,AS2:AS1334)&lt;=1),SUMIF(C2:C1334,C1084,AS2:AS1334),IF(AND(AT1084=1,M1084="F",SUMIF(C2:C1334,C1084,AS2:AS1334)&gt;1),1,"")))</f>
        <v>1</v>
      </c>
      <c r="AV1084" s="387" t="str">
        <f>IF(AT1084=0,"",IF(AND(AT1084=3,M1084="F",SUMIF(C2:C1334,C1084,AS2:AS1334)&lt;=1),SUMIF(C2:C1334,C1084,AS2:AS1334),IF(AND(AT1084=3,M1084="F",SUMIF(C2:C1334,C1084,AS2:AS1334)&gt;1),1,"")))</f>
        <v/>
      </c>
      <c r="AW1084" s="387">
        <f>SUMIF(C2:C1334,C1084,O2:O1334)</f>
        <v>2</v>
      </c>
      <c r="AX1084" s="387">
        <f>IF(AND(M1084="F",AS1084&lt;&gt;0),SUMIF(C2:C1334,C1084,W2:W1334),0)</f>
        <v>50856</v>
      </c>
      <c r="AY1084" s="387">
        <f t="shared" si="733"/>
        <v>50856</v>
      </c>
      <c r="AZ1084" s="387" t="str">
        <f t="shared" si="734"/>
        <v/>
      </c>
      <c r="BA1084" s="387">
        <f t="shared" si="735"/>
        <v>0</v>
      </c>
      <c r="BB1084" s="387">
        <f t="shared" si="704"/>
        <v>11650</v>
      </c>
      <c r="BC1084" s="387">
        <f t="shared" si="705"/>
        <v>0</v>
      </c>
      <c r="BD1084" s="387">
        <f t="shared" si="706"/>
        <v>3153.0720000000001</v>
      </c>
      <c r="BE1084" s="387">
        <f t="shared" si="707"/>
        <v>737.41200000000003</v>
      </c>
      <c r="BF1084" s="387">
        <f t="shared" si="708"/>
        <v>6072.2064</v>
      </c>
      <c r="BG1084" s="387">
        <f t="shared" si="709"/>
        <v>366.67176000000001</v>
      </c>
      <c r="BH1084" s="387">
        <f t="shared" si="710"/>
        <v>249.1944</v>
      </c>
      <c r="BI1084" s="387">
        <f t="shared" si="711"/>
        <v>281.48795999999999</v>
      </c>
      <c r="BJ1084" s="387">
        <f t="shared" si="712"/>
        <v>137.31120000000001</v>
      </c>
      <c r="BK1084" s="387">
        <f t="shared" si="713"/>
        <v>0</v>
      </c>
      <c r="BL1084" s="387">
        <f t="shared" si="736"/>
        <v>10997.35572</v>
      </c>
      <c r="BM1084" s="387">
        <f t="shared" si="737"/>
        <v>0</v>
      </c>
      <c r="BN1084" s="387">
        <f t="shared" si="714"/>
        <v>11650</v>
      </c>
      <c r="BO1084" s="387">
        <f t="shared" si="715"/>
        <v>0</v>
      </c>
      <c r="BP1084" s="387">
        <f t="shared" si="716"/>
        <v>3153.0720000000001</v>
      </c>
      <c r="BQ1084" s="387">
        <f t="shared" si="717"/>
        <v>737.41200000000003</v>
      </c>
      <c r="BR1084" s="387">
        <f t="shared" si="718"/>
        <v>6072.2064</v>
      </c>
      <c r="BS1084" s="387">
        <f t="shared" si="719"/>
        <v>366.67176000000001</v>
      </c>
      <c r="BT1084" s="387">
        <f t="shared" si="720"/>
        <v>0</v>
      </c>
      <c r="BU1084" s="387">
        <f t="shared" si="721"/>
        <v>281.48795999999999</v>
      </c>
      <c r="BV1084" s="387">
        <f t="shared" si="722"/>
        <v>172.91039999999998</v>
      </c>
      <c r="BW1084" s="387">
        <f t="shared" si="723"/>
        <v>0</v>
      </c>
      <c r="BX1084" s="387">
        <f t="shared" si="738"/>
        <v>10783.76052</v>
      </c>
      <c r="BY1084" s="387">
        <f t="shared" si="739"/>
        <v>0</v>
      </c>
      <c r="BZ1084" s="387">
        <f t="shared" si="740"/>
        <v>0</v>
      </c>
      <c r="CA1084" s="387">
        <f t="shared" si="741"/>
        <v>0</v>
      </c>
      <c r="CB1084" s="387">
        <f t="shared" si="742"/>
        <v>0</v>
      </c>
      <c r="CC1084" s="387">
        <f t="shared" si="724"/>
        <v>0</v>
      </c>
      <c r="CD1084" s="387">
        <f t="shared" si="725"/>
        <v>0</v>
      </c>
      <c r="CE1084" s="387">
        <f t="shared" si="726"/>
        <v>0</v>
      </c>
      <c r="CF1084" s="387">
        <f t="shared" si="727"/>
        <v>-249.1944</v>
      </c>
      <c r="CG1084" s="387">
        <f t="shared" si="728"/>
        <v>0</v>
      </c>
      <c r="CH1084" s="387">
        <f t="shared" si="729"/>
        <v>35.599199999999982</v>
      </c>
      <c r="CI1084" s="387">
        <f t="shared" si="730"/>
        <v>0</v>
      </c>
      <c r="CJ1084" s="387">
        <f t="shared" si="743"/>
        <v>-213.59520000000003</v>
      </c>
      <c r="CK1084" s="387" t="str">
        <f t="shared" si="744"/>
        <v/>
      </c>
      <c r="CL1084" s="387" t="str">
        <f t="shared" si="745"/>
        <v/>
      </c>
      <c r="CM1084" s="387" t="str">
        <f t="shared" si="746"/>
        <v/>
      </c>
      <c r="CN1084" s="387" t="str">
        <f t="shared" si="747"/>
        <v>0348-31</v>
      </c>
    </row>
    <row r="1085" spans="1:92" ht="15.75" thickBot="1" x14ac:dyDescent="0.3">
      <c r="A1085" s="376" t="s">
        <v>161</v>
      </c>
      <c r="B1085" s="376" t="s">
        <v>162</v>
      </c>
      <c r="C1085" s="376" t="s">
        <v>2275</v>
      </c>
      <c r="D1085" s="376" t="s">
        <v>792</v>
      </c>
      <c r="E1085" s="376" t="s">
        <v>224</v>
      </c>
      <c r="F1085" s="382" t="s">
        <v>225</v>
      </c>
      <c r="G1085" s="376" t="s">
        <v>1945</v>
      </c>
      <c r="H1085" s="378"/>
      <c r="I1085" s="378"/>
      <c r="J1085" s="376" t="s">
        <v>215</v>
      </c>
      <c r="K1085" s="376" t="s">
        <v>793</v>
      </c>
      <c r="L1085" s="376" t="s">
        <v>170</v>
      </c>
      <c r="M1085" s="376" t="s">
        <v>171</v>
      </c>
      <c r="N1085" s="376" t="s">
        <v>172</v>
      </c>
      <c r="O1085" s="379">
        <v>1</v>
      </c>
      <c r="P1085" s="385">
        <v>1</v>
      </c>
      <c r="Q1085" s="385">
        <v>1</v>
      </c>
      <c r="R1085" s="380">
        <v>80</v>
      </c>
      <c r="S1085" s="385">
        <v>1</v>
      </c>
      <c r="T1085" s="380">
        <v>45970.720000000001</v>
      </c>
      <c r="U1085" s="380">
        <v>54.8</v>
      </c>
      <c r="V1085" s="380">
        <v>21095.95</v>
      </c>
      <c r="W1085" s="380">
        <v>48672</v>
      </c>
      <c r="X1085" s="380">
        <v>22175.29</v>
      </c>
      <c r="Y1085" s="380">
        <v>48672</v>
      </c>
      <c r="Z1085" s="380">
        <v>21970.87</v>
      </c>
      <c r="AA1085" s="376" t="s">
        <v>2276</v>
      </c>
      <c r="AB1085" s="376" t="s">
        <v>2277</v>
      </c>
      <c r="AC1085" s="376" t="s">
        <v>2278</v>
      </c>
      <c r="AD1085" s="376" t="s">
        <v>2279</v>
      </c>
      <c r="AE1085" s="376" t="s">
        <v>793</v>
      </c>
      <c r="AF1085" s="376" t="s">
        <v>177</v>
      </c>
      <c r="AG1085" s="376" t="s">
        <v>178</v>
      </c>
      <c r="AH1085" s="381">
        <v>23.4</v>
      </c>
      <c r="AI1085" s="379">
        <v>12028</v>
      </c>
      <c r="AJ1085" s="376" t="s">
        <v>179</v>
      </c>
      <c r="AK1085" s="376" t="s">
        <v>180</v>
      </c>
      <c r="AL1085" s="376" t="s">
        <v>181</v>
      </c>
      <c r="AM1085" s="376" t="s">
        <v>182</v>
      </c>
      <c r="AN1085" s="376" t="s">
        <v>68</v>
      </c>
      <c r="AO1085" s="379">
        <v>80</v>
      </c>
      <c r="AP1085" s="385">
        <v>1</v>
      </c>
      <c r="AQ1085" s="385">
        <v>1</v>
      </c>
      <c r="AR1085" s="383" t="s">
        <v>183</v>
      </c>
      <c r="AS1085" s="387">
        <f t="shared" si="731"/>
        <v>1</v>
      </c>
      <c r="AT1085">
        <f t="shared" si="732"/>
        <v>1</v>
      </c>
      <c r="AU1085" s="387">
        <f>IF(AT1085=0,"",IF(AND(AT1085=1,M1085="F",SUMIF(C2:C1334,C1085,AS2:AS1334)&lt;=1),SUMIF(C2:C1334,C1085,AS2:AS1334),IF(AND(AT1085=1,M1085="F",SUMIF(C2:C1334,C1085,AS2:AS1334)&gt;1),1,"")))</f>
        <v>1</v>
      </c>
      <c r="AV1085" s="387" t="str">
        <f>IF(AT1085=0,"",IF(AND(AT1085=3,M1085="F",SUMIF(C2:C1334,C1085,AS2:AS1334)&lt;=1),SUMIF(C2:C1334,C1085,AS2:AS1334),IF(AND(AT1085=3,M1085="F",SUMIF(C2:C1334,C1085,AS2:AS1334)&gt;1),1,"")))</f>
        <v/>
      </c>
      <c r="AW1085" s="387">
        <f>SUMIF(C2:C1334,C1085,O2:O1334)</f>
        <v>1</v>
      </c>
      <c r="AX1085" s="387">
        <f>IF(AND(M1085="F",AS1085&lt;&gt;0),SUMIF(C2:C1334,C1085,W2:W1334),0)</f>
        <v>48672</v>
      </c>
      <c r="AY1085" s="387">
        <f t="shared" si="733"/>
        <v>48672</v>
      </c>
      <c r="AZ1085" s="387" t="str">
        <f t="shared" si="734"/>
        <v/>
      </c>
      <c r="BA1085" s="387">
        <f t="shared" si="735"/>
        <v>0</v>
      </c>
      <c r="BB1085" s="387">
        <f t="shared" si="704"/>
        <v>11650</v>
      </c>
      <c r="BC1085" s="387">
        <f t="shared" si="705"/>
        <v>0</v>
      </c>
      <c r="BD1085" s="387">
        <f t="shared" si="706"/>
        <v>3017.6639999999998</v>
      </c>
      <c r="BE1085" s="387">
        <f t="shared" si="707"/>
        <v>705.74400000000003</v>
      </c>
      <c r="BF1085" s="387">
        <f t="shared" si="708"/>
        <v>5811.4368000000004</v>
      </c>
      <c r="BG1085" s="387">
        <f t="shared" si="709"/>
        <v>350.92511999999999</v>
      </c>
      <c r="BH1085" s="387">
        <f t="shared" si="710"/>
        <v>238.49279999999999</v>
      </c>
      <c r="BI1085" s="387">
        <f t="shared" si="711"/>
        <v>269.39952</v>
      </c>
      <c r="BJ1085" s="387">
        <f t="shared" si="712"/>
        <v>131.4144</v>
      </c>
      <c r="BK1085" s="387">
        <f t="shared" si="713"/>
        <v>0</v>
      </c>
      <c r="BL1085" s="387">
        <f t="shared" si="736"/>
        <v>10525.076640000001</v>
      </c>
      <c r="BM1085" s="387">
        <f t="shared" si="737"/>
        <v>0</v>
      </c>
      <c r="BN1085" s="387">
        <f t="shared" si="714"/>
        <v>11650</v>
      </c>
      <c r="BO1085" s="387">
        <f t="shared" si="715"/>
        <v>0</v>
      </c>
      <c r="BP1085" s="387">
        <f t="shared" si="716"/>
        <v>3017.6639999999998</v>
      </c>
      <c r="BQ1085" s="387">
        <f t="shared" si="717"/>
        <v>705.74400000000003</v>
      </c>
      <c r="BR1085" s="387">
        <f t="shared" si="718"/>
        <v>5811.4368000000004</v>
      </c>
      <c r="BS1085" s="387">
        <f t="shared" si="719"/>
        <v>350.92511999999999</v>
      </c>
      <c r="BT1085" s="387">
        <f t="shared" si="720"/>
        <v>0</v>
      </c>
      <c r="BU1085" s="387">
        <f t="shared" si="721"/>
        <v>269.39952</v>
      </c>
      <c r="BV1085" s="387">
        <f t="shared" si="722"/>
        <v>165.48479999999998</v>
      </c>
      <c r="BW1085" s="387">
        <f t="shared" si="723"/>
        <v>0</v>
      </c>
      <c r="BX1085" s="387">
        <f t="shared" si="738"/>
        <v>10320.654240000002</v>
      </c>
      <c r="BY1085" s="387">
        <f t="shared" si="739"/>
        <v>0</v>
      </c>
      <c r="BZ1085" s="387">
        <f t="shared" si="740"/>
        <v>0</v>
      </c>
      <c r="CA1085" s="387">
        <f t="shared" si="741"/>
        <v>0</v>
      </c>
      <c r="CB1085" s="387">
        <f t="shared" si="742"/>
        <v>0</v>
      </c>
      <c r="CC1085" s="387">
        <f t="shared" si="724"/>
        <v>0</v>
      </c>
      <c r="CD1085" s="387">
        <f t="shared" si="725"/>
        <v>0</v>
      </c>
      <c r="CE1085" s="387">
        <f t="shared" si="726"/>
        <v>0</v>
      </c>
      <c r="CF1085" s="387">
        <f t="shared" si="727"/>
        <v>-238.49279999999999</v>
      </c>
      <c r="CG1085" s="387">
        <f t="shared" si="728"/>
        <v>0</v>
      </c>
      <c r="CH1085" s="387">
        <f t="shared" si="729"/>
        <v>34.070399999999985</v>
      </c>
      <c r="CI1085" s="387">
        <f t="shared" si="730"/>
        <v>0</v>
      </c>
      <c r="CJ1085" s="387">
        <f t="shared" si="743"/>
        <v>-204.42240000000001</v>
      </c>
      <c r="CK1085" s="387" t="str">
        <f t="shared" si="744"/>
        <v/>
      </c>
      <c r="CL1085" s="387" t="str">
        <f t="shared" si="745"/>
        <v/>
      </c>
      <c r="CM1085" s="387" t="str">
        <f t="shared" si="746"/>
        <v/>
      </c>
      <c r="CN1085" s="387" t="str">
        <f t="shared" si="747"/>
        <v>0348-31</v>
      </c>
    </row>
    <row r="1086" spans="1:92" ht="15.75" thickBot="1" x14ac:dyDescent="0.3">
      <c r="A1086" s="376" t="s">
        <v>161</v>
      </c>
      <c r="B1086" s="376" t="s">
        <v>162</v>
      </c>
      <c r="C1086" s="376" t="s">
        <v>442</v>
      </c>
      <c r="D1086" s="376" t="s">
        <v>443</v>
      </c>
      <c r="E1086" s="376" t="s">
        <v>224</v>
      </c>
      <c r="F1086" s="382" t="s">
        <v>225</v>
      </c>
      <c r="G1086" s="376" t="s">
        <v>1945</v>
      </c>
      <c r="H1086" s="378"/>
      <c r="I1086" s="378"/>
      <c r="J1086" s="376" t="s">
        <v>239</v>
      </c>
      <c r="K1086" s="376" t="s">
        <v>444</v>
      </c>
      <c r="L1086" s="376" t="s">
        <v>351</v>
      </c>
      <c r="M1086" s="376" t="s">
        <v>171</v>
      </c>
      <c r="N1086" s="376" t="s">
        <v>172</v>
      </c>
      <c r="O1086" s="379">
        <v>2</v>
      </c>
      <c r="P1086" s="385">
        <v>0.01</v>
      </c>
      <c r="Q1086" s="385">
        <v>0.01</v>
      </c>
      <c r="R1086" s="380">
        <v>80</v>
      </c>
      <c r="S1086" s="385">
        <v>0.01</v>
      </c>
      <c r="T1086" s="380">
        <v>16314.55</v>
      </c>
      <c r="U1086" s="380">
        <v>0</v>
      </c>
      <c r="V1086" s="380">
        <v>5126</v>
      </c>
      <c r="W1086" s="380">
        <v>897.52</v>
      </c>
      <c r="X1086" s="380">
        <v>310.58</v>
      </c>
      <c r="Y1086" s="380">
        <v>897.52</v>
      </c>
      <c r="Z1086" s="380">
        <v>306.81</v>
      </c>
      <c r="AA1086" s="376" t="s">
        <v>456</v>
      </c>
      <c r="AB1086" s="376" t="s">
        <v>457</v>
      </c>
      <c r="AC1086" s="376" t="s">
        <v>458</v>
      </c>
      <c r="AD1086" s="376" t="s">
        <v>180</v>
      </c>
      <c r="AE1086" s="376" t="s">
        <v>444</v>
      </c>
      <c r="AF1086" s="376" t="s">
        <v>355</v>
      </c>
      <c r="AG1086" s="376" t="s">
        <v>178</v>
      </c>
      <c r="AH1086" s="381">
        <v>54.93</v>
      </c>
      <c r="AI1086" s="381">
        <v>51351.3</v>
      </c>
      <c r="AJ1086" s="376" t="s">
        <v>179</v>
      </c>
      <c r="AK1086" s="376" t="s">
        <v>180</v>
      </c>
      <c r="AL1086" s="376" t="s">
        <v>181</v>
      </c>
      <c r="AM1086" s="376" t="s">
        <v>182</v>
      </c>
      <c r="AN1086" s="376" t="s">
        <v>68</v>
      </c>
      <c r="AO1086" s="379">
        <v>80</v>
      </c>
      <c r="AP1086" s="385">
        <v>1</v>
      </c>
      <c r="AQ1086" s="385">
        <v>0.01</v>
      </c>
      <c r="AR1086" s="383" t="s">
        <v>183</v>
      </c>
      <c r="AS1086" s="387">
        <f t="shared" si="731"/>
        <v>0.01</v>
      </c>
      <c r="AT1086">
        <f t="shared" si="732"/>
        <v>1</v>
      </c>
      <c r="AU1086" s="387">
        <f>IF(AT1086=0,"",IF(AND(AT1086=1,M1086="F",SUMIF(C2:C1334,C1086,AS2:AS1334)&lt;=1),SUMIF(C2:C1334,C1086,AS2:AS1334),IF(AND(AT1086=1,M1086="F",SUMIF(C2:C1334,C1086,AS2:AS1334)&gt;1),1,"")))</f>
        <v>1</v>
      </c>
      <c r="AV1086" s="387" t="str">
        <f>IF(AT1086=0,"",IF(AND(AT1086=3,M1086="F",SUMIF(C2:C1334,C1086,AS2:AS1334)&lt;=1),SUMIF(C2:C1334,C1086,AS2:AS1334),IF(AND(AT1086=3,M1086="F",SUMIF(C2:C1334,C1086,AS2:AS1334)&gt;1),1,"")))</f>
        <v/>
      </c>
      <c r="AW1086" s="387">
        <f>SUMIF(C2:C1334,C1086,O2:O1334)</f>
        <v>16</v>
      </c>
      <c r="AX1086" s="387">
        <f>IF(AND(M1086="F",AS1086&lt;&gt;0),SUMIF(C2:C1334,C1086,W2:W1334),0)</f>
        <v>179503.99999999997</v>
      </c>
      <c r="AY1086" s="387">
        <f t="shared" si="733"/>
        <v>897.52</v>
      </c>
      <c r="AZ1086" s="387" t="str">
        <f t="shared" si="734"/>
        <v/>
      </c>
      <c r="BA1086" s="387">
        <f t="shared" si="735"/>
        <v>0</v>
      </c>
      <c r="BB1086" s="387">
        <f t="shared" si="704"/>
        <v>116.5</v>
      </c>
      <c r="BC1086" s="387">
        <f t="shared" si="705"/>
        <v>0</v>
      </c>
      <c r="BD1086" s="387">
        <f t="shared" si="706"/>
        <v>85.373999999999995</v>
      </c>
      <c r="BE1086" s="387">
        <f t="shared" si="707"/>
        <v>13.01404</v>
      </c>
      <c r="BF1086" s="387">
        <f t="shared" si="708"/>
        <v>107.163888</v>
      </c>
      <c r="BG1086" s="387">
        <f t="shared" si="709"/>
        <v>6.4711192000000004</v>
      </c>
      <c r="BH1086" s="387">
        <f t="shared" si="710"/>
        <v>4.3978479999999998</v>
      </c>
      <c r="BI1086" s="387">
        <f t="shared" si="711"/>
        <v>4.9677731999999999</v>
      </c>
      <c r="BJ1086" s="387">
        <f t="shared" si="712"/>
        <v>2.4233039999999999</v>
      </c>
      <c r="BK1086" s="387">
        <f t="shared" si="713"/>
        <v>0</v>
      </c>
      <c r="BL1086" s="387">
        <f t="shared" si="736"/>
        <v>223.8119724</v>
      </c>
      <c r="BM1086" s="387">
        <f t="shared" si="737"/>
        <v>0</v>
      </c>
      <c r="BN1086" s="387">
        <f t="shared" si="714"/>
        <v>116.5</v>
      </c>
      <c r="BO1086" s="387">
        <f t="shared" si="715"/>
        <v>0</v>
      </c>
      <c r="BP1086" s="387">
        <f t="shared" si="716"/>
        <v>88.536000000000001</v>
      </c>
      <c r="BQ1086" s="387">
        <f t="shared" si="717"/>
        <v>13.01404</v>
      </c>
      <c r="BR1086" s="387">
        <f t="shared" si="718"/>
        <v>107.163888</v>
      </c>
      <c r="BS1086" s="387">
        <f t="shared" si="719"/>
        <v>6.4711192000000004</v>
      </c>
      <c r="BT1086" s="387">
        <f t="shared" si="720"/>
        <v>0</v>
      </c>
      <c r="BU1086" s="387">
        <f t="shared" si="721"/>
        <v>4.9677731999999999</v>
      </c>
      <c r="BV1086" s="387">
        <f t="shared" si="722"/>
        <v>3.0515679999999996</v>
      </c>
      <c r="BW1086" s="387">
        <f t="shared" si="723"/>
        <v>0</v>
      </c>
      <c r="BX1086" s="387">
        <f t="shared" si="738"/>
        <v>223.20438840000003</v>
      </c>
      <c r="BY1086" s="387">
        <f t="shared" si="739"/>
        <v>0</v>
      </c>
      <c r="BZ1086" s="387">
        <f t="shared" si="740"/>
        <v>0</v>
      </c>
      <c r="CA1086" s="387">
        <f t="shared" si="741"/>
        <v>0</v>
      </c>
      <c r="CB1086" s="387">
        <f t="shared" si="742"/>
        <v>3.1620000000000061</v>
      </c>
      <c r="CC1086" s="387">
        <f t="shared" si="724"/>
        <v>0</v>
      </c>
      <c r="CD1086" s="387">
        <f t="shared" si="725"/>
        <v>0</v>
      </c>
      <c r="CE1086" s="387">
        <f t="shared" si="726"/>
        <v>0</v>
      </c>
      <c r="CF1086" s="387">
        <f t="shared" si="727"/>
        <v>-4.3978479999999998</v>
      </c>
      <c r="CG1086" s="387">
        <f t="shared" si="728"/>
        <v>0</v>
      </c>
      <c r="CH1086" s="387">
        <f t="shared" si="729"/>
        <v>0.62826399999999971</v>
      </c>
      <c r="CI1086" s="387">
        <f t="shared" si="730"/>
        <v>0</v>
      </c>
      <c r="CJ1086" s="387">
        <f t="shared" si="743"/>
        <v>-0.60758399999999391</v>
      </c>
      <c r="CK1086" s="387" t="str">
        <f t="shared" si="744"/>
        <v/>
      </c>
      <c r="CL1086" s="387" t="str">
        <f t="shared" si="745"/>
        <v/>
      </c>
      <c r="CM1086" s="387" t="str">
        <f t="shared" si="746"/>
        <v/>
      </c>
      <c r="CN1086" s="387" t="str">
        <f t="shared" si="747"/>
        <v>0348-31</v>
      </c>
    </row>
    <row r="1087" spans="1:92" ht="15.75" thickBot="1" x14ac:dyDescent="0.3">
      <c r="A1087" s="376" t="s">
        <v>161</v>
      </c>
      <c r="B1087" s="376" t="s">
        <v>162</v>
      </c>
      <c r="C1087" s="376" t="s">
        <v>342</v>
      </c>
      <c r="D1087" s="376" t="s">
        <v>238</v>
      </c>
      <c r="E1087" s="376" t="s">
        <v>224</v>
      </c>
      <c r="F1087" s="382" t="s">
        <v>225</v>
      </c>
      <c r="G1087" s="376" t="s">
        <v>1945</v>
      </c>
      <c r="H1087" s="378"/>
      <c r="I1087" s="378"/>
      <c r="J1087" s="376" t="s">
        <v>215</v>
      </c>
      <c r="K1087" s="376" t="s">
        <v>343</v>
      </c>
      <c r="L1087" s="376" t="s">
        <v>296</v>
      </c>
      <c r="M1087" s="376" t="s">
        <v>171</v>
      </c>
      <c r="N1087" s="376" t="s">
        <v>172</v>
      </c>
      <c r="O1087" s="379">
        <v>1</v>
      </c>
      <c r="P1087" s="385">
        <v>0</v>
      </c>
      <c r="Q1087" s="385">
        <v>0</v>
      </c>
      <c r="R1087" s="380">
        <v>80</v>
      </c>
      <c r="S1087" s="385">
        <v>0</v>
      </c>
      <c r="T1087" s="380">
        <v>11758.06</v>
      </c>
      <c r="U1087" s="380">
        <v>0</v>
      </c>
      <c r="V1087" s="380">
        <v>5586.01</v>
      </c>
      <c r="W1087" s="380">
        <v>0</v>
      </c>
      <c r="X1087" s="380">
        <v>0</v>
      </c>
      <c r="Y1087" s="380">
        <v>0</v>
      </c>
      <c r="Z1087" s="380">
        <v>0</v>
      </c>
      <c r="AA1087" s="376" t="s">
        <v>344</v>
      </c>
      <c r="AB1087" s="376" t="s">
        <v>345</v>
      </c>
      <c r="AC1087" s="376" t="s">
        <v>346</v>
      </c>
      <c r="AD1087" s="376" t="s">
        <v>347</v>
      </c>
      <c r="AE1087" s="376" t="s">
        <v>343</v>
      </c>
      <c r="AF1087" s="376" t="s">
        <v>301</v>
      </c>
      <c r="AG1087" s="376" t="s">
        <v>178</v>
      </c>
      <c r="AH1087" s="381">
        <v>21.52</v>
      </c>
      <c r="AI1087" s="379">
        <v>26299</v>
      </c>
      <c r="AJ1087" s="376" t="s">
        <v>179</v>
      </c>
      <c r="AK1087" s="376" t="s">
        <v>180</v>
      </c>
      <c r="AL1087" s="376" t="s">
        <v>181</v>
      </c>
      <c r="AM1087" s="376" t="s">
        <v>182</v>
      </c>
      <c r="AN1087" s="376" t="s">
        <v>68</v>
      </c>
      <c r="AO1087" s="379">
        <v>80</v>
      </c>
      <c r="AP1087" s="385">
        <v>1</v>
      </c>
      <c r="AQ1087" s="385">
        <v>0</v>
      </c>
      <c r="AR1087" s="383" t="s">
        <v>183</v>
      </c>
      <c r="AS1087" s="387">
        <f t="shared" si="731"/>
        <v>0</v>
      </c>
      <c r="AT1087">
        <f t="shared" si="732"/>
        <v>0</v>
      </c>
      <c r="AU1087" s="387" t="str">
        <f>IF(AT1087=0,"",IF(AND(AT1087=1,M1087="F",SUMIF(C2:C1334,C1087,AS2:AS1334)&lt;=1),SUMIF(C2:C1334,C1087,AS2:AS1334),IF(AND(AT1087=1,M1087="F",SUMIF(C2:C1334,C1087,AS2:AS1334)&gt;1),1,"")))</f>
        <v/>
      </c>
      <c r="AV1087" s="387" t="str">
        <f>IF(AT1087=0,"",IF(AND(AT1087=3,M1087="F",SUMIF(C2:C1334,C1087,AS2:AS1334)&lt;=1),SUMIF(C2:C1334,C1087,AS2:AS1334),IF(AND(AT1087=3,M1087="F",SUMIF(C2:C1334,C1087,AS2:AS1334)&gt;1),1,"")))</f>
        <v/>
      </c>
      <c r="AW1087" s="387">
        <f>SUMIF(C2:C1334,C1087,O2:O1334)</f>
        <v>4</v>
      </c>
      <c r="AX1087" s="387">
        <f>IF(AND(M1087="F",AS1087&lt;&gt;0),SUMIF(C2:C1334,C1087,W2:W1334),0)</f>
        <v>0</v>
      </c>
      <c r="AY1087" s="387" t="str">
        <f t="shared" si="733"/>
        <v/>
      </c>
      <c r="AZ1087" s="387" t="str">
        <f t="shared" si="734"/>
        <v/>
      </c>
      <c r="BA1087" s="387">
        <f t="shared" si="735"/>
        <v>0</v>
      </c>
      <c r="BB1087" s="387">
        <f t="shared" si="704"/>
        <v>0</v>
      </c>
      <c r="BC1087" s="387">
        <f t="shared" si="705"/>
        <v>0</v>
      </c>
      <c r="BD1087" s="387">
        <f t="shared" si="706"/>
        <v>0</v>
      </c>
      <c r="BE1087" s="387">
        <f t="shared" si="707"/>
        <v>0</v>
      </c>
      <c r="BF1087" s="387">
        <f t="shared" si="708"/>
        <v>0</v>
      </c>
      <c r="BG1087" s="387">
        <f t="shared" si="709"/>
        <v>0</v>
      </c>
      <c r="BH1087" s="387">
        <f t="shared" si="710"/>
        <v>0</v>
      </c>
      <c r="BI1087" s="387">
        <f t="shared" si="711"/>
        <v>0</v>
      </c>
      <c r="BJ1087" s="387">
        <f t="shared" si="712"/>
        <v>0</v>
      </c>
      <c r="BK1087" s="387">
        <f t="shared" si="713"/>
        <v>0</v>
      </c>
      <c r="BL1087" s="387">
        <f t="shared" si="736"/>
        <v>0</v>
      </c>
      <c r="BM1087" s="387">
        <f t="shared" si="737"/>
        <v>0</v>
      </c>
      <c r="BN1087" s="387">
        <f t="shared" si="714"/>
        <v>0</v>
      </c>
      <c r="BO1087" s="387">
        <f t="shared" si="715"/>
        <v>0</v>
      </c>
      <c r="BP1087" s="387">
        <f t="shared" si="716"/>
        <v>0</v>
      </c>
      <c r="BQ1087" s="387">
        <f t="shared" si="717"/>
        <v>0</v>
      </c>
      <c r="BR1087" s="387">
        <f t="shared" si="718"/>
        <v>0</v>
      </c>
      <c r="BS1087" s="387">
        <f t="shared" si="719"/>
        <v>0</v>
      </c>
      <c r="BT1087" s="387">
        <f t="shared" si="720"/>
        <v>0</v>
      </c>
      <c r="BU1087" s="387">
        <f t="shared" si="721"/>
        <v>0</v>
      </c>
      <c r="BV1087" s="387">
        <f t="shared" si="722"/>
        <v>0</v>
      </c>
      <c r="BW1087" s="387">
        <f t="shared" si="723"/>
        <v>0</v>
      </c>
      <c r="BX1087" s="387">
        <f t="shared" si="738"/>
        <v>0</v>
      </c>
      <c r="BY1087" s="387">
        <f t="shared" si="739"/>
        <v>0</v>
      </c>
      <c r="BZ1087" s="387">
        <f t="shared" si="740"/>
        <v>0</v>
      </c>
      <c r="CA1087" s="387">
        <f t="shared" si="741"/>
        <v>0</v>
      </c>
      <c r="CB1087" s="387">
        <f t="shared" si="742"/>
        <v>0</v>
      </c>
      <c r="CC1087" s="387">
        <f t="shared" si="724"/>
        <v>0</v>
      </c>
      <c r="CD1087" s="387">
        <f t="shared" si="725"/>
        <v>0</v>
      </c>
      <c r="CE1087" s="387">
        <f t="shared" si="726"/>
        <v>0</v>
      </c>
      <c r="CF1087" s="387">
        <f t="shared" si="727"/>
        <v>0</v>
      </c>
      <c r="CG1087" s="387">
        <f t="shared" si="728"/>
        <v>0</v>
      </c>
      <c r="CH1087" s="387">
        <f t="shared" si="729"/>
        <v>0</v>
      </c>
      <c r="CI1087" s="387">
        <f t="shared" si="730"/>
        <v>0</v>
      </c>
      <c r="CJ1087" s="387">
        <f t="shared" si="743"/>
        <v>0</v>
      </c>
      <c r="CK1087" s="387" t="str">
        <f t="shared" si="744"/>
        <v/>
      </c>
      <c r="CL1087" s="387" t="str">
        <f t="shared" si="745"/>
        <v/>
      </c>
      <c r="CM1087" s="387" t="str">
        <f t="shared" si="746"/>
        <v/>
      </c>
      <c r="CN1087" s="387" t="str">
        <f t="shared" si="747"/>
        <v>0348-31</v>
      </c>
    </row>
    <row r="1088" spans="1:92" ht="15.75" thickBot="1" x14ac:dyDescent="0.3">
      <c r="A1088" s="376" t="s">
        <v>161</v>
      </c>
      <c r="B1088" s="376" t="s">
        <v>162</v>
      </c>
      <c r="C1088" s="376" t="s">
        <v>1487</v>
      </c>
      <c r="D1088" s="376" t="s">
        <v>238</v>
      </c>
      <c r="E1088" s="376" t="s">
        <v>224</v>
      </c>
      <c r="F1088" s="382" t="s">
        <v>225</v>
      </c>
      <c r="G1088" s="376" t="s">
        <v>1945</v>
      </c>
      <c r="H1088" s="378"/>
      <c r="I1088" s="378"/>
      <c r="J1088" s="376" t="s">
        <v>215</v>
      </c>
      <c r="K1088" s="376" t="s">
        <v>285</v>
      </c>
      <c r="L1088" s="376" t="s">
        <v>170</v>
      </c>
      <c r="M1088" s="376" t="s">
        <v>272</v>
      </c>
      <c r="N1088" s="376" t="s">
        <v>172</v>
      </c>
      <c r="O1088" s="379">
        <v>0</v>
      </c>
      <c r="P1088" s="385">
        <v>0</v>
      </c>
      <c r="Q1088" s="385">
        <v>0</v>
      </c>
      <c r="R1088" s="380">
        <v>80</v>
      </c>
      <c r="S1088" s="385">
        <v>0</v>
      </c>
      <c r="T1088" s="380">
        <v>26543</v>
      </c>
      <c r="U1088" s="380">
        <v>0</v>
      </c>
      <c r="V1088" s="380">
        <v>12745.91</v>
      </c>
      <c r="W1088" s="380">
        <v>0</v>
      </c>
      <c r="X1088" s="380">
        <v>0</v>
      </c>
      <c r="Y1088" s="380">
        <v>0</v>
      </c>
      <c r="Z1088" s="380">
        <v>0</v>
      </c>
      <c r="AA1088" s="378"/>
      <c r="AB1088" s="376" t="s">
        <v>45</v>
      </c>
      <c r="AC1088" s="376" t="s">
        <v>45</v>
      </c>
      <c r="AD1088" s="378"/>
      <c r="AE1088" s="378"/>
      <c r="AF1088" s="378"/>
      <c r="AG1088" s="378"/>
      <c r="AH1088" s="379">
        <v>0</v>
      </c>
      <c r="AI1088" s="379">
        <v>0</v>
      </c>
      <c r="AJ1088" s="378"/>
      <c r="AK1088" s="378"/>
      <c r="AL1088" s="376" t="s">
        <v>181</v>
      </c>
      <c r="AM1088" s="378"/>
      <c r="AN1088" s="378"/>
      <c r="AO1088" s="379">
        <v>0</v>
      </c>
      <c r="AP1088" s="385">
        <v>0</v>
      </c>
      <c r="AQ1088" s="385">
        <v>0</v>
      </c>
      <c r="AR1088" s="384"/>
      <c r="AS1088" s="387">
        <f t="shared" si="731"/>
        <v>0</v>
      </c>
      <c r="AT1088">
        <f t="shared" si="732"/>
        <v>0</v>
      </c>
      <c r="AU1088" s="387" t="str">
        <f>IF(AT1088=0,"",IF(AND(AT1088=1,M1088="F",SUMIF(C2:C1334,C1088,AS2:AS1334)&lt;=1),SUMIF(C2:C1334,C1088,AS2:AS1334),IF(AND(AT1088=1,M1088="F",SUMIF(C2:C1334,C1088,AS2:AS1334)&gt;1),1,"")))</f>
        <v/>
      </c>
      <c r="AV1088" s="387" t="str">
        <f>IF(AT1088=0,"",IF(AND(AT1088=3,M1088="F",SUMIF(C2:C1334,C1088,AS2:AS1334)&lt;=1),SUMIF(C2:C1334,C1088,AS2:AS1334),IF(AND(AT1088=3,M1088="F",SUMIF(C2:C1334,C1088,AS2:AS1334)&gt;1),1,"")))</f>
        <v/>
      </c>
      <c r="AW1088" s="387">
        <f>SUMIF(C2:C1334,C1088,O2:O1334)</f>
        <v>0</v>
      </c>
      <c r="AX1088" s="387">
        <f>IF(AND(M1088="F",AS1088&lt;&gt;0),SUMIF(C2:C1334,C1088,W2:W1334),0)</f>
        <v>0</v>
      </c>
      <c r="AY1088" s="387" t="str">
        <f t="shared" si="733"/>
        <v/>
      </c>
      <c r="AZ1088" s="387" t="str">
        <f t="shared" si="734"/>
        <v/>
      </c>
      <c r="BA1088" s="387">
        <f t="shared" si="735"/>
        <v>0</v>
      </c>
      <c r="BB1088" s="387">
        <f t="shared" si="704"/>
        <v>0</v>
      </c>
      <c r="BC1088" s="387">
        <f t="shared" si="705"/>
        <v>0</v>
      </c>
      <c r="BD1088" s="387">
        <f t="shared" si="706"/>
        <v>0</v>
      </c>
      <c r="BE1088" s="387">
        <f t="shared" si="707"/>
        <v>0</v>
      </c>
      <c r="BF1088" s="387">
        <f t="shared" si="708"/>
        <v>0</v>
      </c>
      <c r="BG1088" s="387">
        <f t="shared" si="709"/>
        <v>0</v>
      </c>
      <c r="BH1088" s="387">
        <f t="shared" si="710"/>
        <v>0</v>
      </c>
      <c r="BI1088" s="387">
        <f t="shared" si="711"/>
        <v>0</v>
      </c>
      <c r="BJ1088" s="387">
        <f t="shared" si="712"/>
        <v>0</v>
      </c>
      <c r="BK1088" s="387">
        <f t="shared" si="713"/>
        <v>0</v>
      </c>
      <c r="BL1088" s="387">
        <f t="shared" si="736"/>
        <v>0</v>
      </c>
      <c r="BM1088" s="387">
        <f t="shared" si="737"/>
        <v>0</v>
      </c>
      <c r="BN1088" s="387">
        <f t="shared" si="714"/>
        <v>0</v>
      </c>
      <c r="BO1088" s="387">
        <f t="shared" si="715"/>
        <v>0</v>
      </c>
      <c r="BP1088" s="387">
        <f t="shared" si="716"/>
        <v>0</v>
      </c>
      <c r="BQ1088" s="387">
        <f t="shared" si="717"/>
        <v>0</v>
      </c>
      <c r="BR1088" s="387">
        <f t="shared" si="718"/>
        <v>0</v>
      </c>
      <c r="BS1088" s="387">
        <f t="shared" si="719"/>
        <v>0</v>
      </c>
      <c r="BT1088" s="387">
        <f t="shared" si="720"/>
        <v>0</v>
      </c>
      <c r="BU1088" s="387">
        <f t="shared" si="721"/>
        <v>0</v>
      </c>
      <c r="BV1088" s="387">
        <f t="shared" si="722"/>
        <v>0</v>
      </c>
      <c r="BW1088" s="387">
        <f t="shared" si="723"/>
        <v>0</v>
      </c>
      <c r="BX1088" s="387">
        <f t="shared" si="738"/>
        <v>0</v>
      </c>
      <c r="BY1088" s="387">
        <f t="shared" si="739"/>
        <v>0</v>
      </c>
      <c r="BZ1088" s="387">
        <f t="shared" si="740"/>
        <v>0</v>
      </c>
      <c r="CA1088" s="387">
        <f t="shared" si="741"/>
        <v>0</v>
      </c>
      <c r="CB1088" s="387">
        <f t="shared" si="742"/>
        <v>0</v>
      </c>
      <c r="CC1088" s="387">
        <f t="shared" si="724"/>
        <v>0</v>
      </c>
      <c r="CD1088" s="387">
        <f t="shared" si="725"/>
        <v>0</v>
      </c>
      <c r="CE1088" s="387">
        <f t="shared" si="726"/>
        <v>0</v>
      </c>
      <c r="CF1088" s="387">
        <f t="shared" si="727"/>
        <v>0</v>
      </c>
      <c r="CG1088" s="387">
        <f t="shared" si="728"/>
        <v>0</v>
      </c>
      <c r="CH1088" s="387">
        <f t="shared" si="729"/>
        <v>0</v>
      </c>
      <c r="CI1088" s="387">
        <f t="shared" si="730"/>
        <v>0</v>
      </c>
      <c r="CJ1088" s="387">
        <f t="shared" si="743"/>
        <v>0</v>
      </c>
      <c r="CK1088" s="387" t="str">
        <f t="shared" si="744"/>
        <v/>
      </c>
      <c r="CL1088" s="387" t="str">
        <f t="shared" si="745"/>
        <v/>
      </c>
      <c r="CM1088" s="387" t="str">
        <f t="shared" si="746"/>
        <v/>
      </c>
      <c r="CN1088" s="387" t="str">
        <f t="shared" si="747"/>
        <v>0348-31</v>
      </c>
    </row>
    <row r="1089" spans="1:92" ht="15.75" thickBot="1" x14ac:dyDescent="0.3">
      <c r="A1089" s="376" t="s">
        <v>161</v>
      </c>
      <c r="B1089" s="376" t="s">
        <v>162</v>
      </c>
      <c r="C1089" s="376" t="s">
        <v>1808</v>
      </c>
      <c r="D1089" s="376" t="s">
        <v>862</v>
      </c>
      <c r="E1089" s="376" t="s">
        <v>224</v>
      </c>
      <c r="F1089" s="382" t="s">
        <v>225</v>
      </c>
      <c r="G1089" s="376" t="s">
        <v>1945</v>
      </c>
      <c r="H1089" s="378"/>
      <c r="I1089" s="378"/>
      <c r="J1089" s="376" t="s">
        <v>168</v>
      </c>
      <c r="K1089" s="376" t="s">
        <v>863</v>
      </c>
      <c r="L1089" s="376" t="s">
        <v>252</v>
      </c>
      <c r="M1089" s="376" t="s">
        <v>171</v>
      </c>
      <c r="N1089" s="376" t="s">
        <v>172</v>
      </c>
      <c r="O1089" s="379">
        <v>1</v>
      </c>
      <c r="P1089" s="385">
        <v>0.45</v>
      </c>
      <c r="Q1089" s="385">
        <v>0.45</v>
      </c>
      <c r="R1089" s="380">
        <v>80</v>
      </c>
      <c r="S1089" s="385">
        <v>0.45</v>
      </c>
      <c r="T1089" s="380">
        <v>12726.55</v>
      </c>
      <c r="U1089" s="380">
        <v>0</v>
      </c>
      <c r="V1089" s="380">
        <v>6673.37</v>
      </c>
      <c r="W1089" s="380">
        <v>19899.36</v>
      </c>
      <c r="X1089" s="380">
        <v>9545.7199999999993</v>
      </c>
      <c r="Y1089" s="380">
        <v>19899.36</v>
      </c>
      <c r="Z1089" s="380">
        <v>9462.15</v>
      </c>
      <c r="AA1089" s="376" t="s">
        <v>1809</v>
      </c>
      <c r="AB1089" s="376" t="s">
        <v>1810</v>
      </c>
      <c r="AC1089" s="376" t="s">
        <v>1811</v>
      </c>
      <c r="AD1089" s="376" t="s">
        <v>1692</v>
      </c>
      <c r="AE1089" s="376" t="s">
        <v>863</v>
      </c>
      <c r="AF1089" s="376" t="s">
        <v>393</v>
      </c>
      <c r="AG1089" s="376" t="s">
        <v>178</v>
      </c>
      <c r="AH1089" s="381">
        <v>21.26</v>
      </c>
      <c r="AI1089" s="381">
        <v>20565.400000000001</v>
      </c>
      <c r="AJ1089" s="376" t="s">
        <v>179</v>
      </c>
      <c r="AK1089" s="376" t="s">
        <v>180</v>
      </c>
      <c r="AL1089" s="376" t="s">
        <v>181</v>
      </c>
      <c r="AM1089" s="376" t="s">
        <v>182</v>
      </c>
      <c r="AN1089" s="376" t="s">
        <v>68</v>
      </c>
      <c r="AO1089" s="379">
        <v>80</v>
      </c>
      <c r="AP1089" s="385">
        <v>1</v>
      </c>
      <c r="AQ1089" s="385">
        <v>0.45</v>
      </c>
      <c r="AR1089" s="383" t="s">
        <v>183</v>
      </c>
      <c r="AS1089" s="387">
        <f t="shared" si="731"/>
        <v>0.45</v>
      </c>
      <c r="AT1089">
        <f t="shared" si="732"/>
        <v>1</v>
      </c>
      <c r="AU1089" s="387">
        <f>IF(AT1089=0,"",IF(AND(AT1089=1,M1089="F",SUMIF(C2:C1334,C1089,AS2:AS1334)&lt;=1),SUMIF(C2:C1334,C1089,AS2:AS1334),IF(AND(AT1089=1,M1089="F",SUMIF(C2:C1334,C1089,AS2:AS1334)&gt;1),1,"")))</f>
        <v>1</v>
      </c>
      <c r="AV1089" s="387" t="str">
        <f>IF(AT1089=0,"",IF(AND(AT1089=3,M1089="F",SUMIF(C2:C1334,C1089,AS2:AS1334)&lt;=1),SUMIF(C2:C1334,C1089,AS2:AS1334),IF(AND(AT1089=3,M1089="F",SUMIF(C2:C1334,C1089,AS2:AS1334)&gt;1),1,"")))</f>
        <v/>
      </c>
      <c r="AW1089" s="387">
        <f>SUMIF(C2:C1334,C1089,O2:O1334)</f>
        <v>3</v>
      </c>
      <c r="AX1089" s="387">
        <f>IF(AND(M1089="F",AS1089&lt;&gt;0),SUMIF(C2:C1334,C1089,W2:W1334),0)</f>
        <v>44220.800000000003</v>
      </c>
      <c r="AY1089" s="387">
        <f t="shared" si="733"/>
        <v>19899.36</v>
      </c>
      <c r="AZ1089" s="387" t="str">
        <f t="shared" si="734"/>
        <v/>
      </c>
      <c r="BA1089" s="387">
        <f t="shared" si="735"/>
        <v>0</v>
      </c>
      <c r="BB1089" s="387">
        <f t="shared" si="704"/>
        <v>5242.5</v>
      </c>
      <c r="BC1089" s="387">
        <f t="shared" si="705"/>
        <v>0</v>
      </c>
      <c r="BD1089" s="387">
        <f t="shared" si="706"/>
        <v>1233.7603200000001</v>
      </c>
      <c r="BE1089" s="387">
        <f t="shared" si="707"/>
        <v>288.54072000000002</v>
      </c>
      <c r="BF1089" s="387">
        <f t="shared" si="708"/>
        <v>2375.9835840000001</v>
      </c>
      <c r="BG1089" s="387">
        <f t="shared" si="709"/>
        <v>143.47438560000001</v>
      </c>
      <c r="BH1089" s="387">
        <f t="shared" si="710"/>
        <v>97.506863999999993</v>
      </c>
      <c r="BI1089" s="387">
        <f t="shared" si="711"/>
        <v>110.1429576</v>
      </c>
      <c r="BJ1089" s="387">
        <f t="shared" si="712"/>
        <v>53.728272000000004</v>
      </c>
      <c r="BK1089" s="387">
        <f t="shared" si="713"/>
        <v>0</v>
      </c>
      <c r="BL1089" s="387">
        <f t="shared" si="736"/>
        <v>4303.1371032000006</v>
      </c>
      <c r="BM1089" s="387">
        <f t="shared" si="737"/>
        <v>0</v>
      </c>
      <c r="BN1089" s="387">
        <f t="shared" si="714"/>
        <v>5242.5</v>
      </c>
      <c r="BO1089" s="387">
        <f t="shared" si="715"/>
        <v>0</v>
      </c>
      <c r="BP1089" s="387">
        <f t="shared" si="716"/>
        <v>1233.7603200000001</v>
      </c>
      <c r="BQ1089" s="387">
        <f t="shared" si="717"/>
        <v>288.54072000000002</v>
      </c>
      <c r="BR1089" s="387">
        <f t="shared" si="718"/>
        <v>2375.9835840000001</v>
      </c>
      <c r="BS1089" s="387">
        <f t="shared" si="719"/>
        <v>143.47438560000001</v>
      </c>
      <c r="BT1089" s="387">
        <f t="shared" si="720"/>
        <v>0</v>
      </c>
      <c r="BU1089" s="387">
        <f t="shared" si="721"/>
        <v>110.1429576</v>
      </c>
      <c r="BV1089" s="387">
        <f t="shared" si="722"/>
        <v>67.657824000000005</v>
      </c>
      <c r="BW1089" s="387">
        <f t="shared" si="723"/>
        <v>0</v>
      </c>
      <c r="BX1089" s="387">
        <f t="shared" si="738"/>
        <v>4219.5597911999994</v>
      </c>
      <c r="BY1089" s="387">
        <f t="shared" si="739"/>
        <v>0</v>
      </c>
      <c r="BZ1089" s="387">
        <f t="shared" si="740"/>
        <v>0</v>
      </c>
      <c r="CA1089" s="387">
        <f t="shared" si="741"/>
        <v>0</v>
      </c>
      <c r="CB1089" s="387">
        <f t="shared" si="742"/>
        <v>0</v>
      </c>
      <c r="CC1089" s="387">
        <f t="shared" si="724"/>
        <v>0</v>
      </c>
      <c r="CD1089" s="387">
        <f t="shared" si="725"/>
        <v>0</v>
      </c>
      <c r="CE1089" s="387">
        <f t="shared" si="726"/>
        <v>0</v>
      </c>
      <c r="CF1089" s="387">
        <f t="shared" si="727"/>
        <v>-97.506863999999993</v>
      </c>
      <c r="CG1089" s="387">
        <f t="shared" si="728"/>
        <v>0</v>
      </c>
      <c r="CH1089" s="387">
        <f t="shared" si="729"/>
        <v>13.929551999999994</v>
      </c>
      <c r="CI1089" s="387">
        <f t="shared" si="730"/>
        <v>0</v>
      </c>
      <c r="CJ1089" s="387">
        <f t="shared" si="743"/>
        <v>-83.577312000000006</v>
      </c>
      <c r="CK1089" s="387" t="str">
        <f t="shared" si="744"/>
        <v/>
      </c>
      <c r="CL1089" s="387" t="str">
        <f t="shared" si="745"/>
        <v/>
      </c>
      <c r="CM1089" s="387" t="str">
        <f t="shared" si="746"/>
        <v/>
      </c>
      <c r="CN1089" s="387" t="str">
        <f t="shared" si="747"/>
        <v>0348-31</v>
      </c>
    </row>
    <row r="1090" spans="1:92" ht="15.75" thickBot="1" x14ac:dyDescent="0.3">
      <c r="A1090" s="376" t="s">
        <v>161</v>
      </c>
      <c r="B1090" s="376" t="s">
        <v>162</v>
      </c>
      <c r="C1090" s="376" t="s">
        <v>2280</v>
      </c>
      <c r="D1090" s="376" t="s">
        <v>1326</v>
      </c>
      <c r="E1090" s="376" t="s">
        <v>224</v>
      </c>
      <c r="F1090" s="382" t="s">
        <v>225</v>
      </c>
      <c r="G1090" s="376" t="s">
        <v>1945</v>
      </c>
      <c r="H1090" s="378"/>
      <c r="I1090" s="378"/>
      <c r="J1090" s="376" t="s">
        <v>215</v>
      </c>
      <c r="K1090" s="376" t="s">
        <v>1327</v>
      </c>
      <c r="L1090" s="376" t="s">
        <v>296</v>
      </c>
      <c r="M1090" s="376" t="s">
        <v>171</v>
      </c>
      <c r="N1090" s="376" t="s">
        <v>172</v>
      </c>
      <c r="O1090" s="379">
        <v>1</v>
      </c>
      <c r="P1090" s="385">
        <v>1</v>
      </c>
      <c r="Q1090" s="385">
        <v>1</v>
      </c>
      <c r="R1090" s="380">
        <v>80</v>
      </c>
      <c r="S1090" s="385">
        <v>1</v>
      </c>
      <c r="T1090" s="380">
        <v>40695.22</v>
      </c>
      <c r="U1090" s="380">
        <v>0</v>
      </c>
      <c r="V1090" s="380">
        <v>20045.62</v>
      </c>
      <c r="W1090" s="380">
        <v>42848</v>
      </c>
      <c r="X1090" s="380">
        <v>20915.84</v>
      </c>
      <c r="Y1090" s="380">
        <v>42848</v>
      </c>
      <c r="Z1090" s="380">
        <v>20735.89</v>
      </c>
      <c r="AA1090" s="376" t="s">
        <v>2281</v>
      </c>
      <c r="AB1090" s="376" t="s">
        <v>2282</v>
      </c>
      <c r="AC1090" s="376" t="s">
        <v>2283</v>
      </c>
      <c r="AD1090" s="376" t="s">
        <v>606</v>
      </c>
      <c r="AE1090" s="376" t="s">
        <v>1327</v>
      </c>
      <c r="AF1090" s="376" t="s">
        <v>301</v>
      </c>
      <c r="AG1090" s="376" t="s">
        <v>178</v>
      </c>
      <c r="AH1090" s="381">
        <v>20.6</v>
      </c>
      <c r="AI1090" s="381">
        <v>12712.7</v>
      </c>
      <c r="AJ1090" s="376" t="s">
        <v>179</v>
      </c>
      <c r="AK1090" s="376" t="s">
        <v>180</v>
      </c>
      <c r="AL1090" s="376" t="s">
        <v>181</v>
      </c>
      <c r="AM1090" s="376" t="s">
        <v>182</v>
      </c>
      <c r="AN1090" s="376" t="s">
        <v>68</v>
      </c>
      <c r="AO1090" s="379">
        <v>80</v>
      </c>
      <c r="AP1090" s="385">
        <v>1</v>
      </c>
      <c r="AQ1090" s="385">
        <v>1</v>
      </c>
      <c r="AR1090" s="383" t="s">
        <v>183</v>
      </c>
      <c r="AS1090" s="387">
        <f t="shared" si="731"/>
        <v>1</v>
      </c>
      <c r="AT1090">
        <f t="shared" si="732"/>
        <v>1</v>
      </c>
      <c r="AU1090" s="387">
        <f>IF(AT1090=0,"",IF(AND(AT1090=1,M1090="F",SUMIF(C2:C1334,C1090,AS2:AS1334)&lt;=1),SUMIF(C2:C1334,C1090,AS2:AS1334),IF(AND(AT1090=1,M1090="F",SUMIF(C2:C1334,C1090,AS2:AS1334)&gt;1),1,"")))</f>
        <v>1</v>
      </c>
      <c r="AV1090" s="387" t="str">
        <f>IF(AT1090=0,"",IF(AND(AT1090=3,M1090="F",SUMIF(C2:C1334,C1090,AS2:AS1334)&lt;=1),SUMIF(C2:C1334,C1090,AS2:AS1334),IF(AND(AT1090=3,M1090="F",SUMIF(C2:C1334,C1090,AS2:AS1334)&gt;1),1,"")))</f>
        <v/>
      </c>
      <c r="AW1090" s="387">
        <f>SUMIF(C2:C1334,C1090,O2:O1334)</f>
        <v>1</v>
      </c>
      <c r="AX1090" s="387">
        <f>IF(AND(M1090="F",AS1090&lt;&gt;0),SUMIF(C2:C1334,C1090,W2:W1334),0)</f>
        <v>42848</v>
      </c>
      <c r="AY1090" s="387">
        <f t="shared" si="733"/>
        <v>42848</v>
      </c>
      <c r="AZ1090" s="387" t="str">
        <f t="shared" si="734"/>
        <v/>
      </c>
      <c r="BA1090" s="387">
        <f t="shared" si="735"/>
        <v>0</v>
      </c>
      <c r="BB1090" s="387">
        <f t="shared" ref="BB1090:BB1153" si="748">IF(AND(AT1090=1,AK1090="E",AU1090&gt;=0.75,AW1090=1),Health,IF(AND(AT1090=1,AK1090="E",AU1090&gt;=0.75),Health*P1090,IF(AND(AT1090=1,AK1090="E",AU1090&gt;=0.5,AW1090=1),PTHealth,IF(AND(AT1090=1,AK1090="E",AU1090&gt;=0.5),PTHealth*P1090,0))))</f>
        <v>11650</v>
      </c>
      <c r="BC1090" s="387">
        <f t="shared" ref="BC1090:BC1153" si="749">IF(AND(AT1090=3,AK1090="E",AV1090&gt;=0.75,AW1090=1),Health,IF(AND(AT1090=3,AK1090="E",AV1090&gt;=0.75),Health*P1090,IF(AND(AT1090=3,AK1090="E",AV1090&gt;=0.5,AW1090=1),PTHealth,IF(AND(AT1090=3,AK1090="E",AV1090&gt;=0.5),PTHealth*P1090,0))))</f>
        <v>0</v>
      </c>
      <c r="BD1090" s="387">
        <f t="shared" ref="BD1090:BD1153" si="750">IF(AND(AT1090&lt;&gt;0,AX1090&gt;=MAXSSDI),SSDI*MAXSSDI*P1090,IF(AT1090&lt;&gt;0,SSDI*W1090,0))</f>
        <v>2656.576</v>
      </c>
      <c r="BE1090" s="387">
        <f t="shared" ref="BE1090:BE1153" si="751">IF(AT1090&lt;&gt;0,SSHI*W1090,0)</f>
        <v>621.29600000000005</v>
      </c>
      <c r="BF1090" s="387">
        <f t="shared" ref="BF1090:BF1153" si="752">IF(AND(AT1090&lt;&gt;0,AN1090&lt;&gt;"NE"),VLOOKUP(AN1090,Retirement_Rates,3,FALSE)*W1090,0)</f>
        <v>5116.0511999999999</v>
      </c>
      <c r="BG1090" s="387">
        <f t="shared" ref="BG1090:BG1153" si="753">IF(AND(AT1090&lt;&gt;0,AJ1090&lt;&gt;"PF"),Life*W1090,0)</f>
        <v>308.93407999999999</v>
      </c>
      <c r="BH1090" s="387">
        <f t="shared" ref="BH1090:BH1153" si="754">IF(AND(AT1090&lt;&gt;0,AM1090="Y"),UI*W1090,0)</f>
        <v>209.95519999999999</v>
      </c>
      <c r="BI1090" s="387">
        <f t="shared" ref="BI1090:BI1153" si="755">IF(AND(AT1090&lt;&gt;0,N1090&lt;&gt;"NR"),DHR*W1090,0)</f>
        <v>237.16368</v>
      </c>
      <c r="BJ1090" s="387">
        <f t="shared" ref="BJ1090:BJ1153" si="756">IF(AT1090&lt;&gt;0,WC*W1090,0)</f>
        <v>115.68960000000001</v>
      </c>
      <c r="BK1090" s="387">
        <f t="shared" ref="BK1090:BK1153" si="757">IF(OR(AND(AT1090&lt;&gt;0,AJ1090&lt;&gt;"PF",AN1090&lt;&gt;"NE",AG1090&lt;&gt;"A"),AND(AL1090="E",OR(AT1090=1,AT1090=3))),Sick*W1090,0)</f>
        <v>0</v>
      </c>
      <c r="BL1090" s="387">
        <f t="shared" si="736"/>
        <v>9265.6657599999999</v>
      </c>
      <c r="BM1090" s="387">
        <f t="shared" si="737"/>
        <v>0</v>
      </c>
      <c r="BN1090" s="387">
        <f t="shared" ref="BN1090:BN1153" si="758">IF(AND(AT1090=1,AK1090="E",AU1090&gt;=0.75,AW1090=1),HealthBY,IF(AND(AT1090=1,AK1090="E",AU1090&gt;=0.75),HealthBY*P1090,IF(AND(AT1090=1,AK1090="E",AU1090&gt;=0.5,AW1090=1),PTHealthBY,IF(AND(AT1090=1,AK1090="E",AU1090&gt;=0.5),PTHealthBY*P1090,0))))</f>
        <v>11650</v>
      </c>
      <c r="BO1090" s="387">
        <f t="shared" ref="BO1090:BO1153" si="759">IF(AND(AT1090=3,AK1090="E",AV1090&gt;=0.75,AW1090=1),HealthBY,IF(AND(AT1090=3,AK1090="E",AV1090&gt;=0.75),HealthBY*P1090,IF(AND(AT1090=3,AK1090="E",AV1090&gt;=0.5,AW1090=1),PTHealthBY,IF(AND(AT1090=3,AK1090="E",AV1090&gt;=0.5),PTHealthBY*P1090,0))))</f>
        <v>0</v>
      </c>
      <c r="BP1090" s="387">
        <f t="shared" ref="BP1090:BP1153" si="760">IF(AND(AT1090&lt;&gt;0,(AX1090+BA1090)&gt;=MAXSSDIBY),SSDIBY*MAXSSDIBY*P1090,IF(AT1090&lt;&gt;0,SSDIBY*W1090,0))</f>
        <v>2656.576</v>
      </c>
      <c r="BQ1090" s="387">
        <f t="shared" ref="BQ1090:BQ1153" si="761">IF(AT1090&lt;&gt;0,SSHIBY*W1090,0)</f>
        <v>621.29600000000005</v>
      </c>
      <c r="BR1090" s="387">
        <f t="shared" ref="BR1090:BR1153" si="762">IF(AND(AT1090&lt;&gt;0,AN1090&lt;&gt;"NE"),VLOOKUP(AN1090,Retirement_Rates,4,FALSE)*W1090,0)</f>
        <v>5116.0511999999999</v>
      </c>
      <c r="BS1090" s="387">
        <f t="shared" ref="BS1090:BS1153" si="763">IF(AND(AT1090&lt;&gt;0,AJ1090&lt;&gt;"PF"),LifeBY*W1090,0)</f>
        <v>308.93407999999999</v>
      </c>
      <c r="BT1090" s="387">
        <f t="shared" ref="BT1090:BT1153" si="764">IF(AND(AT1090&lt;&gt;0,AM1090="Y"),UIBY*W1090,0)</f>
        <v>0</v>
      </c>
      <c r="BU1090" s="387">
        <f t="shared" ref="BU1090:BU1153" si="765">IF(AND(AT1090&lt;&gt;0,N1090&lt;&gt;"NR"),DHRBY*W1090,0)</f>
        <v>237.16368</v>
      </c>
      <c r="BV1090" s="387">
        <f t="shared" ref="BV1090:BV1153" si="766">IF(AT1090&lt;&gt;0,WCBY*W1090,0)</f>
        <v>145.6832</v>
      </c>
      <c r="BW1090" s="387">
        <f t="shared" ref="BW1090:BW1153" si="767">IF(OR(AND(AT1090&lt;&gt;0,AJ1090&lt;&gt;"PF",AN1090&lt;&gt;"NE",AG1090&lt;&gt;"A"),AND(AL1090="E",OR(AT1090=1,AT1090=3))),SickBY*W1090,0)</f>
        <v>0</v>
      </c>
      <c r="BX1090" s="387">
        <f t="shared" si="738"/>
        <v>9085.7041599999993</v>
      </c>
      <c r="BY1090" s="387">
        <f t="shared" si="739"/>
        <v>0</v>
      </c>
      <c r="BZ1090" s="387">
        <f t="shared" si="740"/>
        <v>0</v>
      </c>
      <c r="CA1090" s="387">
        <f t="shared" si="741"/>
        <v>0</v>
      </c>
      <c r="CB1090" s="387">
        <f t="shared" si="742"/>
        <v>0</v>
      </c>
      <c r="CC1090" s="387">
        <f t="shared" ref="CC1090:CC1153" si="768">IF(AT1090&lt;&gt;0,SSHICHG*Y1090,0)</f>
        <v>0</v>
      </c>
      <c r="CD1090" s="387">
        <f t="shared" ref="CD1090:CD1153" si="769">IF(AND(AT1090&lt;&gt;0,AN1090&lt;&gt;"NE"),VLOOKUP(AN1090,Retirement_Rates,5,FALSE)*Y1090,0)</f>
        <v>0</v>
      </c>
      <c r="CE1090" s="387">
        <f t="shared" ref="CE1090:CE1153" si="770">IF(AND(AT1090&lt;&gt;0,AJ1090&lt;&gt;"PF"),LifeCHG*Y1090,0)</f>
        <v>0</v>
      </c>
      <c r="CF1090" s="387">
        <f t="shared" ref="CF1090:CF1153" si="771">IF(AND(AT1090&lt;&gt;0,AM1090="Y"),UICHG*Y1090,0)</f>
        <v>-209.95519999999999</v>
      </c>
      <c r="CG1090" s="387">
        <f t="shared" ref="CG1090:CG1153" si="772">IF(AND(AT1090&lt;&gt;0,N1090&lt;&gt;"NR"),DHRCHG*Y1090,0)</f>
        <v>0</v>
      </c>
      <c r="CH1090" s="387">
        <f t="shared" ref="CH1090:CH1153" si="773">IF(AT1090&lt;&gt;0,WCCHG*Y1090,0)</f>
        <v>29.993599999999986</v>
      </c>
      <c r="CI1090" s="387">
        <f t="shared" ref="CI1090:CI1153" si="774">IF(OR(AND(AT1090&lt;&gt;0,AJ1090&lt;&gt;"PF",AN1090&lt;&gt;"NE",AG1090&lt;&gt;"A"),AND(AL1090="E",OR(AT1090=1,AT1090=3))),SickCHG*Y1090,0)</f>
        <v>0</v>
      </c>
      <c r="CJ1090" s="387">
        <f t="shared" si="743"/>
        <v>-179.9616</v>
      </c>
      <c r="CK1090" s="387" t="str">
        <f t="shared" si="744"/>
        <v/>
      </c>
      <c r="CL1090" s="387" t="str">
        <f t="shared" si="745"/>
        <v/>
      </c>
      <c r="CM1090" s="387" t="str">
        <f t="shared" si="746"/>
        <v/>
      </c>
      <c r="CN1090" s="387" t="str">
        <f t="shared" si="747"/>
        <v>0348-31</v>
      </c>
    </row>
    <row r="1091" spans="1:92" ht="15.75" thickBot="1" x14ac:dyDescent="0.3">
      <c r="A1091" s="376" t="s">
        <v>161</v>
      </c>
      <c r="B1091" s="376" t="s">
        <v>162</v>
      </c>
      <c r="C1091" s="376" t="s">
        <v>1560</v>
      </c>
      <c r="D1091" s="376" t="s">
        <v>270</v>
      </c>
      <c r="E1091" s="376" t="s">
        <v>224</v>
      </c>
      <c r="F1091" s="382" t="s">
        <v>225</v>
      </c>
      <c r="G1091" s="376" t="s">
        <v>1945</v>
      </c>
      <c r="H1091" s="378"/>
      <c r="I1091" s="378"/>
      <c r="J1091" s="376" t="s">
        <v>215</v>
      </c>
      <c r="K1091" s="376" t="s">
        <v>271</v>
      </c>
      <c r="L1091" s="376" t="s">
        <v>217</v>
      </c>
      <c r="M1091" s="376" t="s">
        <v>171</v>
      </c>
      <c r="N1091" s="376" t="s">
        <v>172</v>
      </c>
      <c r="O1091" s="379">
        <v>1</v>
      </c>
      <c r="P1091" s="385">
        <v>1</v>
      </c>
      <c r="Q1091" s="385">
        <v>1</v>
      </c>
      <c r="R1091" s="380">
        <v>80</v>
      </c>
      <c r="S1091" s="385">
        <v>1</v>
      </c>
      <c r="T1091" s="380">
        <v>31904.02</v>
      </c>
      <c r="U1091" s="380">
        <v>8253.7000000000007</v>
      </c>
      <c r="V1091" s="380">
        <v>19762.689999999999</v>
      </c>
      <c r="W1091" s="380">
        <v>34132.800000000003</v>
      </c>
      <c r="X1091" s="380">
        <v>19031.18</v>
      </c>
      <c r="Y1091" s="380">
        <v>34132.800000000003</v>
      </c>
      <c r="Z1091" s="380">
        <v>18887.830000000002</v>
      </c>
      <c r="AA1091" s="376" t="s">
        <v>1561</v>
      </c>
      <c r="AB1091" s="376" t="s">
        <v>1562</v>
      </c>
      <c r="AC1091" s="376" t="s">
        <v>1339</v>
      </c>
      <c r="AD1091" s="376" t="s">
        <v>182</v>
      </c>
      <c r="AE1091" s="376" t="s">
        <v>271</v>
      </c>
      <c r="AF1091" s="376" t="s">
        <v>221</v>
      </c>
      <c r="AG1091" s="376" t="s">
        <v>178</v>
      </c>
      <c r="AH1091" s="381">
        <v>16.41</v>
      </c>
      <c r="AI1091" s="379">
        <v>3100</v>
      </c>
      <c r="AJ1091" s="376" t="s">
        <v>179</v>
      </c>
      <c r="AK1091" s="376" t="s">
        <v>180</v>
      </c>
      <c r="AL1091" s="376" t="s">
        <v>181</v>
      </c>
      <c r="AM1091" s="376" t="s">
        <v>182</v>
      </c>
      <c r="AN1091" s="376" t="s">
        <v>68</v>
      </c>
      <c r="AO1091" s="379">
        <v>80</v>
      </c>
      <c r="AP1091" s="385">
        <v>1</v>
      </c>
      <c r="AQ1091" s="385">
        <v>1</v>
      </c>
      <c r="AR1091" s="383" t="s">
        <v>183</v>
      </c>
      <c r="AS1091" s="387">
        <f t="shared" ref="AS1091:AS1154" si="775">IF(((AO1091/80)*AP1091*P1091)&gt;1,AQ1091,((AO1091/80)*AP1091*P1091))</f>
        <v>1</v>
      </c>
      <c r="AT1091">
        <f t="shared" ref="AT1091:AT1154" si="776">IF(AND(M1091="F",N1091&lt;&gt;"NG",AS1091&lt;&gt;0,AND(AR1091&lt;&gt;6,AR1091&lt;&gt;36,AR1091&lt;&gt;56),AG1091&lt;&gt;"A",OR(AG1091="H",AJ1091="FS")),1,IF(AND(M1091="F",N1091&lt;&gt;"NG",AS1091&lt;&gt;0,AG1091="A"),3,0))</f>
        <v>1</v>
      </c>
      <c r="AU1091" s="387">
        <f>IF(AT1091=0,"",IF(AND(AT1091=1,M1091="F",SUMIF(C2:C1334,C1091,AS2:AS1334)&lt;=1),SUMIF(C2:C1334,C1091,AS2:AS1334),IF(AND(AT1091=1,M1091="F",SUMIF(C2:C1334,C1091,AS2:AS1334)&gt;1),1,"")))</f>
        <v>1</v>
      </c>
      <c r="AV1091" s="387" t="str">
        <f>IF(AT1091=0,"",IF(AND(AT1091=3,M1091="F",SUMIF(C2:C1334,C1091,AS2:AS1334)&lt;=1),SUMIF(C2:C1334,C1091,AS2:AS1334),IF(AND(AT1091=3,M1091="F",SUMIF(C2:C1334,C1091,AS2:AS1334)&gt;1),1,"")))</f>
        <v/>
      </c>
      <c r="AW1091" s="387">
        <f>SUMIF(C2:C1334,C1091,O2:O1334)</f>
        <v>2</v>
      </c>
      <c r="AX1091" s="387">
        <f>IF(AND(M1091="F",AS1091&lt;&gt;0),SUMIF(C2:C1334,C1091,W2:W1334),0)</f>
        <v>34132.800000000003</v>
      </c>
      <c r="AY1091" s="387">
        <f t="shared" ref="AY1091:AY1154" si="777">IF(AT1091=1,W1091,"")</f>
        <v>34132.800000000003</v>
      </c>
      <c r="AZ1091" s="387" t="str">
        <f t="shared" ref="AZ1091:AZ1154" si="778">IF(AT1091=3,W1091,"")</f>
        <v/>
      </c>
      <c r="BA1091" s="387">
        <f t="shared" ref="BA1091:BA1154" si="779">IF(AT1091=1,Y1091-W1091,0)</f>
        <v>0</v>
      </c>
      <c r="BB1091" s="387">
        <f t="shared" si="748"/>
        <v>11650</v>
      </c>
      <c r="BC1091" s="387">
        <f t="shared" si="749"/>
        <v>0</v>
      </c>
      <c r="BD1091" s="387">
        <f t="shared" si="750"/>
        <v>2116.2336</v>
      </c>
      <c r="BE1091" s="387">
        <f t="shared" si="751"/>
        <v>494.92560000000009</v>
      </c>
      <c r="BF1091" s="387">
        <f t="shared" si="752"/>
        <v>4075.4563200000007</v>
      </c>
      <c r="BG1091" s="387">
        <f t="shared" si="753"/>
        <v>246.09748800000003</v>
      </c>
      <c r="BH1091" s="387">
        <f t="shared" si="754"/>
        <v>167.25072</v>
      </c>
      <c r="BI1091" s="387">
        <f t="shared" si="755"/>
        <v>188.925048</v>
      </c>
      <c r="BJ1091" s="387">
        <f t="shared" si="756"/>
        <v>92.158560000000008</v>
      </c>
      <c r="BK1091" s="387">
        <f t="shared" si="757"/>
        <v>0</v>
      </c>
      <c r="BL1091" s="387">
        <f t="shared" ref="BL1091:BL1154" si="780">IF(AT1091=1,SUM(BD1091:BK1091),0)</f>
        <v>7381.0473360000015</v>
      </c>
      <c r="BM1091" s="387">
        <f t="shared" ref="BM1091:BM1154" si="781">IF(AT1091=3,SUM(BD1091:BK1091),0)</f>
        <v>0</v>
      </c>
      <c r="BN1091" s="387">
        <f t="shared" si="758"/>
        <v>11650</v>
      </c>
      <c r="BO1091" s="387">
        <f t="shared" si="759"/>
        <v>0</v>
      </c>
      <c r="BP1091" s="387">
        <f t="shared" si="760"/>
        <v>2116.2336</v>
      </c>
      <c r="BQ1091" s="387">
        <f t="shared" si="761"/>
        <v>494.92560000000009</v>
      </c>
      <c r="BR1091" s="387">
        <f t="shared" si="762"/>
        <v>4075.4563200000007</v>
      </c>
      <c r="BS1091" s="387">
        <f t="shared" si="763"/>
        <v>246.09748800000003</v>
      </c>
      <c r="BT1091" s="387">
        <f t="shared" si="764"/>
        <v>0</v>
      </c>
      <c r="BU1091" s="387">
        <f t="shared" si="765"/>
        <v>188.925048</v>
      </c>
      <c r="BV1091" s="387">
        <f t="shared" si="766"/>
        <v>116.05152</v>
      </c>
      <c r="BW1091" s="387">
        <f t="shared" si="767"/>
        <v>0</v>
      </c>
      <c r="BX1091" s="387">
        <f t="shared" ref="BX1091:BX1154" si="782">IF(AT1091=1,SUM(BP1091:BW1091),0)</f>
        <v>7237.6895760000016</v>
      </c>
      <c r="BY1091" s="387">
        <f t="shared" ref="BY1091:BY1154" si="783">IF(AT1091=3,SUM(BP1091:BW1091),0)</f>
        <v>0</v>
      </c>
      <c r="BZ1091" s="387">
        <f t="shared" ref="BZ1091:BZ1154" si="784">IF(AT1091=1,BN1091-BB1091,0)</f>
        <v>0</v>
      </c>
      <c r="CA1091" s="387">
        <f t="shared" ref="CA1091:CA1154" si="785">IF(AT1091=3,BO1091-BC1091,0)</f>
        <v>0</v>
      </c>
      <c r="CB1091" s="387">
        <f t="shared" ref="CB1091:CB1154" si="786">BP1091-BD1091</f>
        <v>0</v>
      </c>
      <c r="CC1091" s="387">
        <f t="shared" si="768"/>
        <v>0</v>
      </c>
      <c r="CD1091" s="387">
        <f t="shared" si="769"/>
        <v>0</v>
      </c>
      <c r="CE1091" s="387">
        <f t="shared" si="770"/>
        <v>0</v>
      </c>
      <c r="CF1091" s="387">
        <f t="shared" si="771"/>
        <v>-167.25072</v>
      </c>
      <c r="CG1091" s="387">
        <f t="shared" si="772"/>
        <v>0</v>
      </c>
      <c r="CH1091" s="387">
        <f t="shared" si="773"/>
        <v>23.892959999999992</v>
      </c>
      <c r="CI1091" s="387">
        <f t="shared" si="774"/>
        <v>0</v>
      </c>
      <c r="CJ1091" s="387">
        <f t="shared" ref="CJ1091:CJ1154" si="787">IF(AT1091=1,SUM(CB1091:CI1091),0)</f>
        <v>-143.35776000000001</v>
      </c>
      <c r="CK1091" s="387" t="str">
        <f t="shared" ref="CK1091:CK1154" si="788">IF(AT1091=3,SUM(CB1091:CI1091),"")</f>
        <v/>
      </c>
      <c r="CL1091" s="387" t="str">
        <f t="shared" ref="CL1091:CL1154" si="789">IF(OR(N1091="NG",AG1091="D"),(T1091+U1091),"")</f>
        <v/>
      </c>
      <c r="CM1091" s="387" t="str">
        <f t="shared" ref="CM1091:CM1154" si="790">IF(OR(N1091="NG",AG1091="D"),V1091,"")</f>
        <v/>
      </c>
      <c r="CN1091" s="387" t="str">
        <f t="shared" ref="CN1091:CN1154" si="791">E1091 &amp; "-" &amp; F1091</f>
        <v>0348-31</v>
      </c>
    </row>
    <row r="1092" spans="1:92" ht="15.75" thickBot="1" x14ac:dyDescent="0.3">
      <c r="A1092" s="376" t="s">
        <v>161</v>
      </c>
      <c r="B1092" s="376" t="s">
        <v>162</v>
      </c>
      <c r="C1092" s="376" t="s">
        <v>1523</v>
      </c>
      <c r="D1092" s="376" t="s">
        <v>524</v>
      </c>
      <c r="E1092" s="376" t="s">
        <v>224</v>
      </c>
      <c r="F1092" s="382" t="s">
        <v>225</v>
      </c>
      <c r="G1092" s="376" t="s">
        <v>1945</v>
      </c>
      <c r="H1092" s="378"/>
      <c r="I1092" s="378"/>
      <c r="J1092" s="376" t="s">
        <v>239</v>
      </c>
      <c r="K1092" s="376" t="s">
        <v>525</v>
      </c>
      <c r="L1092" s="376" t="s">
        <v>170</v>
      </c>
      <c r="M1092" s="376" t="s">
        <v>566</v>
      </c>
      <c r="N1092" s="376" t="s">
        <v>877</v>
      </c>
      <c r="O1092" s="379">
        <v>0</v>
      </c>
      <c r="P1092" s="385">
        <v>0</v>
      </c>
      <c r="Q1092" s="385">
        <v>0</v>
      </c>
      <c r="R1092" s="380">
        <v>80</v>
      </c>
      <c r="S1092" s="385">
        <v>0</v>
      </c>
      <c r="T1092" s="380">
        <v>879.49</v>
      </c>
      <c r="U1092" s="380">
        <v>0</v>
      </c>
      <c r="V1092" s="380">
        <v>397.93</v>
      </c>
      <c r="W1092" s="380">
        <v>0</v>
      </c>
      <c r="X1092" s="380">
        <v>0</v>
      </c>
      <c r="Y1092" s="380">
        <v>0</v>
      </c>
      <c r="Z1092" s="380">
        <v>0</v>
      </c>
      <c r="AA1092" s="378"/>
      <c r="AB1092" s="376" t="s">
        <v>45</v>
      </c>
      <c r="AC1092" s="376" t="s">
        <v>45</v>
      </c>
      <c r="AD1092" s="378"/>
      <c r="AE1092" s="378"/>
      <c r="AF1092" s="378"/>
      <c r="AG1092" s="378"/>
      <c r="AH1092" s="379">
        <v>0</v>
      </c>
      <c r="AI1092" s="379">
        <v>0</v>
      </c>
      <c r="AJ1092" s="378"/>
      <c r="AK1092" s="378"/>
      <c r="AL1092" s="376" t="s">
        <v>181</v>
      </c>
      <c r="AM1092" s="378"/>
      <c r="AN1092" s="378"/>
      <c r="AO1092" s="379">
        <v>0</v>
      </c>
      <c r="AP1092" s="385">
        <v>0</v>
      </c>
      <c r="AQ1092" s="385">
        <v>0</v>
      </c>
      <c r="AR1092" s="384"/>
      <c r="AS1092" s="387">
        <f t="shared" si="775"/>
        <v>0</v>
      </c>
      <c r="AT1092">
        <f t="shared" si="776"/>
        <v>0</v>
      </c>
      <c r="AU1092" s="387" t="str">
        <f>IF(AT1092=0,"",IF(AND(AT1092=1,M1092="F",SUMIF(C2:C1334,C1092,AS2:AS1334)&lt;=1),SUMIF(C2:C1334,C1092,AS2:AS1334),IF(AND(AT1092=1,M1092="F",SUMIF(C2:C1334,C1092,AS2:AS1334)&gt;1),1,"")))</f>
        <v/>
      </c>
      <c r="AV1092" s="387" t="str">
        <f>IF(AT1092=0,"",IF(AND(AT1092=3,M1092="F",SUMIF(C2:C1334,C1092,AS2:AS1334)&lt;=1),SUMIF(C2:C1334,C1092,AS2:AS1334),IF(AND(AT1092=3,M1092="F",SUMIF(C2:C1334,C1092,AS2:AS1334)&gt;1),1,"")))</f>
        <v/>
      </c>
      <c r="AW1092" s="387">
        <f>SUMIF(C2:C1334,C1092,O2:O1334)</f>
        <v>0</v>
      </c>
      <c r="AX1092" s="387">
        <f>IF(AND(M1092="F",AS1092&lt;&gt;0),SUMIF(C2:C1334,C1092,W2:W1334),0)</f>
        <v>0</v>
      </c>
      <c r="AY1092" s="387" t="str">
        <f t="shared" si="777"/>
        <v/>
      </c>
      <c r="AZ1092" s="387" t="str">
        <f t="shared" si="778"/>
        <v/>
      </c>
      <c r="BA1092" s="387">
        <f t="shared" si="779"/>
        <v>0</v>
      </c>
      <c r="BB1092" s="387">
        <f t="shared" si="748"/>
        <v>0</v>
      </c>
      <c r="BC1092" s="387">
        <f t="shared" si="749"/>
        <v>0</v>
      </c>
      <c r="BD1092" s="387">
        <f t="shared" si="750"/>
        <v>0</v>
      </c>
      <c r="BE1092" s="387">
        <f t="shared" si="751"/>
        <v>0</v>
      </c>
      <c r="BF1092" s="387">
        <f t="shared" si="752"/>
        <v>0</v>
      </c>
      <c r="BG1092" s="387">
        <f t="shared" si="753"/>
        <v>0</v>
      </c>
      <c r="BH1092" s="387">
        <f t="shared" si="754"/>
        <v>0</v>
      </c>
      <c r="BI1092" s="387">
        <f t="shared" si="755"/>
        <v>0</v>
      </c>
      <c r="BJ1092" s="387">
        <f t="shared" si="756"/>
        <v>0</v>
      </c>
      <c r="BK1092" s="387">
        <f t="shared" si="757"/>
        <v>0</v>
      </c>
      <c r="BL1092" s="387">
        <f t="shared" si="780"/>
        <v>0</v>
      </c>
      <c r="BM1092" s="387">
        <f t="shared" si="781"/>
        <v>0</v>
      </c>
      <c r="BN1092" s="387">
        <f t="shared" si="758"/>
        <v>0</v>
      </c>
      <c r="BO1092" s="387">
        <f t="shared" si="759"/>
        <v>0</v>
      </c>
      <c r="BP1092" s="387">
        <f t="shared" si="760"/>
        <v>0</v>
      </c>
      <c r="BQ1092" s="387">
        <f t="shared" si="761"/>
        <v>0</v>
      </c>
      <c r="BR1092" s="387">
        <f t="shared" si="762"/>
        <v>0</v>
      </c>
      <c r="BS1092" s="387">
        <f t="shared" si="763"/>
        <v>0</v>
      </c>
      <c r="BT1092" s="387">
        <f t="shared" si="764"/>
        <v>0</v>
      </c>
      <c r="BU1092" s="387">
        <f t="shared" si="765"/>
        <v>0</v>
      </c>
      <c r="BV1092" s="387">
        <f t="shared" si="766"/>
        <v>0</v>
      </c>
      <c r="BW1092" s="387">
        <f t="shared" si="767"/>
        <v>0</v>
      </c>
      <c r="BX1092" s="387">
        <f t="shared" si="782"/>
        <v>0</v>
      </c>
      <c r="BY1092" s="387">
        <f t="shared" si="783"/>
        <v>0</v>
      </c>
      <c r="BZ1092" s="387">
        <f t="shared" si="784"/>
        <v>0</v>
      </c>
      <c r="CA1092" s="387">
        <f t="shared" si="785"/>
        <v>0</v>
      </c>
      <c r="CB1092" s="387">
        <f t="shared" si="786"/>
        <v>0</v>
      </c>
      <c r="CC1092" s="387">
        <f t="shared" si="768"/>
        <v>0</v>
      </c>
      <c r="CD1092" s="387">
        <f t="shared" si="769"/>
        <v>0</v>
      </c>
      <c r="CE1092" s="387">
        <f t="shared" si="770"/>
        <v>0</v>
      </c>
      <c r="CF1092" s="387">
        <f t="shared" si="771"/>
        <v>0</v>
      </c>
      <c r="CG1092" s="387">
        <f t="shared" si="772"/>
        <v>0</v>
      </c>
      <c r="CH1092" s="387">
        <f t="shared" si="773"/>
        <v>0</v>
      </c>
      <c r="CI1092" s="387">
        <f t="shared" si="774"/>
        <v>0</v>
      </c>
      <c r="CJ1092" s="387">
        <f t="shared" si="787"/>
        <v>0</v>
      </c>
      <c r="CK1092" s="387" t="str">
        <f t="shared" si="788"/>
        <v/>
      </c>
      <c r="CL1092" s="387" t="str">
        <f t="shared" si="789"/>
        <v/>
      </c>
      <c r="CM1092" s="387" t="str">
        <f t="shared" si="790"/>
        <v/>
      </c>
      <c r="CN1092" s="387" t="str">
        <f t="shared" si="791"/>
        <v>0348-31</v>
      </c>
    </row>
    <row r="1093" spans="1:92" ht="15.75" thickBot="1" x14ac:dyDescent="0.3">
      <c r="A1093" s="376" t="s">
        <v>161</v>
      </c>
      <c r="B1093" s="376" t="s">
        <v>162</v>
      </c>
      <c r="C1093" s="376" t="s">
        <v>2284</v>
      </c>
      <c r="D1093" s="376" t="s">
        <v>1949</v>
      </c>
      <c r="E1093" s="376" t="s">
        <v>224</v>
      </c>
      <c r="F1093" s="382" t="s">
        <v>225</v>
      </c>
      <c r="G1093" s="376" t="s">
        <v>1945</v>
      </c>
      <c r="H1093" s="378"/>
      <c r="I1093" s="378"/>
      <c r="J1093" s="376" t="s">
        <v>215</v>
      </c>
      <c r="K1093" s="376" t="s">
        <v>1950</v>
      </c>
      <c r="L1093" s="376" t="s">
        <v>170</v>
      </c>
      <c r="M1093" s="376" t="s">
        <v>171</v>
      </c>
      <c r="N1093" s="376" t="s">
        <v>172</v>
      </c>
      <c r="O1093" s="379">
        <v>1</v>
      </c>
      <c r="P1093" s="385">
        <v>1</v>
      </c>
      <c r="Q1093" s="385">
        <v>1</v>
      </c>
      <c r="R1093" s="380">
        <v>80</v>
      </c>
      <c r="S1093" s="385">
        <v>1</v>
      </c>
      <c r="T1093" s="380">
        <v>51557.88</v>
      </c>
      <c r="U1093" s="380">
        <v>354.82</v>
      </c>
      <c r="V1093" s="380">
        <v>22357.82</v>
      </c>
      <c r="W1093" s="380">
        <v>54080</v>
      </c>
      <c r="X1093" s="380">
        <v>23344.78</v>
      </c>
      <c r="Y1093" s="380">
        <v>54080</v>
      </c>
      <c r="Z1093" s="380">
        <v>23117.65</v>
      </c>
      <c r="AA1093" s="376" t="s">
        <v>2285</v>
      </c>
      <c r="AB1093" s="376" t="s">
        <v>2286</v>
      </c>
      <c r="AC1093" s="376" t="s">
        <v>2287</v>
      </c>
      <c r="AD1093" s="376" t="s">
        <v>279</v>
      </c>
      <c r="AE1093" s="376" t="s">
        <v>1950</v>
      </c>
      <c r="AF1093" s="376" t="s">
        <v>177</v>
      </c>
      <c r="AG1093" s="376" t="s">
        <v>178</v>
      </c>
      <c r="AH1093" s="379">
        <v>26</v>
      </c>
      <c r="AI1093" s="379">
        <v>37497</v>
      </c>
      <c r="AJ1093" s="376" t="s">
        <v>179</v>
      </c>
      <c r="AK1093" s="376" t="s">
        <v>180</v>
      </c>
      <c r="AL1093" s="376" t="s">
        <v>181</v>
      </c>
      <c r="AM1093" s="376" t="s">
        <v>182</v>
      </c>
      <c r="AN1093" s="376" t="s">
        <v>68</v>
      </c>
      <c r="AO1093" s="379">
        <v>80</v>
      </c>
      <c r="AP1093" s="385">
        <v>1</v>
      </c>
      <c r="AQ1093" s="385">
        <v>1</v>
      </c>
      <c r="AR1093" s="383" t="s">
        <v>183</v>
      </c>
      <c r="AS1093" s="387">
        <f t="shared" si="775"/>
        <v>1</v>
      </c>
      <c r="AT1093">
        <f t="shared" si="776"/>
        <v>1</v>
      </c>
      <c r="AU1093" s="387">
        <f>IF(AT1093=0,"",IF(AND(AT1093=1,M1093="F",SUMIF(C2:C1334,C1093,AS2:AS1334)&lt;=1),SUMIF(C2:C1334,C1093,AS2:AS1334),IF(AND(AT1093=1,M1093="F",SUMIF(C2:C1334,C1093,AS2:AS1334)&gt;1),1,"")))</f>
        <v>1</v>
      </c>
      <c r="AV1093" s="387" t="str">
        <f>IF(AT1093=0,"",IF(AND(AT1093=3,M1093="F",SUMIF(C2:C1334,C1093,AS2:AS1334)&lt;=1),SUMIF(C2:C1334,C1093,AS2:AS1334),IF(AND(AT1093=3,M1093="F",SUMIF(C2:C1334,C1093,AS2:AS1334)&gt;1),1,"")))</f>
        <v/>
      </c>
      <c r="AW1093" s="387">
        <f>SUMIF(C2:C1334,C1093,O2:O1334)</f>
        <v>1</v>
      </c>
      <c r="AX1093" s="387">
        <f>IF(AND(M1093="F",AS1093&lt;&gt;0),SUMIF(C2:C1334,C1093,W2:W1334),0)</f>
        <v>54080</v>
      </c>
      <c r="AY1093" s="387">
        <f t="shared" si="777"/>
        <v>54080</v>
      </c>
      <c r="AZ1093" s="387" t="str">
        <f t="shared" si="778"/>
        <v/>
      </c>
      <c r="BA1093" s="387">
        <f t="shared" si="779"/>
        <v>0</v>
      </c>
      <c r="BB1093" s="387">
        <f t="shared" si="748"/>
        <v>11650</v>
      </c>
      <c r="BC1093" s="387">
        <f t="shared" si="749"/>
        <v>0</v>
      </c>
      <c r="BD1093" s="387">
        <f t="shared" si="750"/>
        <v>3352.96</v>
      </c>
      <c r="BE1093" s="387">
        <f t="shared" si="751"/>
        <v>784.16000000000008</v>
      </c>
      <c r="BF1093" s="387">
        <f t="shared" si="752"/>
        <v>6457.152</v>
      </c>
      <c r="BG1093" s="387">
        <f t="shared" si="753"/>
        <v>389.91680000000002</v>
      </c>
      <c r="BH1093" s="387">
        <f t="shared" si="754"/>
        <v>264.99200000000002</v>
      </c>
      <c r="BI1093" s="387">
        <f t="shared" si="755"/>
        <v>299.33280000000002</v>
      </c>
      <c r="BJ1093" s="387">
        <f t="shared" si="756"/>
        <v>146.01600000000002</v>
      </c>
      <c r="BK1093" s="387">
        <f t="shared" si="757"/>
        <v>0</v>
      </c>
      <c r="BL1093" s="387">
        <f t="shared" si="780"/>
        <v>11694.529600000002</v>
      </c>
      <c r="BM1093" s="387">
        <f t="shared" si="781"/>
        <v>0</v>
      </c>
      <c r="BN1093" s="387">
        <f t="shared" si="758"/>
        <v>11650</v>
      </c>
      <c r="BO1093" s="387">
        <f t="shared" si="759"/>
        <v>0</v>
      </c>
      <c r="BP1093" s="387">
        <f t="shared" si="760"/>
        <v>3352.96</v>
      </c>
      <c r="BQ1093" s="387">
        <f t="shared" si="761"/>
        <v>784.16000000000008</v>
      </c>
      <c r="BR1093" s="387">
        <f t="shared" si="762"/>
        <v>6457.152</v>
      </c>
      <c r="BS1093" s="387">
        <f t="shared" si="763"/>
        <v>389.91680000000002</v>
      </c>
      <c r="BT1093" s="387">
        <f t="shared" si="764"/>
        <v>0</v>
      </c>
      <c r="BU1093" s="387">
        <f t="shared" si="765"/>
        <v>299.33280000000002</v>
      </c>
      <c r="BV1093" s="387">
        <f t="shared" si="766"/>
        <v>183.87199999999999</v>
      </c>
      <c r="BW1093" s="387">
        <f t="shared" si="767"/>
        <v>0</v>
      </c>
      <c r="BX1093" s="387">
        <f t="shared" si="782"/>
        <v>11467.393600000001</v>
      </c>
      <c r="BY1093" s="387">
        <f t="shared" si="783"/>
        <v>0</v>
      </c>
      <c r="BZ1093" s="387">
        <f t="shared" si="784"/>
        <v>0</v>
      </c>
      <c r="CA1093" s="387">
        <f t="shared" si="785"/>
        <v>0</v>
      </c>
      <c r="CB1093" s="387">
        <f t="shared" si="786"/>
        <v>0</v>
      </c>
      <c r="CC1093" s="387">
        <f t="shared" si="768"/>
        <v>0</v>
      </c>
      <c r="CD1093" s="387">
        <f t="shared" si="769"/>
        <v>0</v>
      </c>
      <c r="CE1093" s="387">
        <f t="shared" si="770"/>
        <v>0</v>
      </c>
      <c r="CF1093" s="387">
        <f t="shared" si="771"/>
        <v>-264.99200000000002</v>
      </c>
      <c r="CG1093" s="387">
        <f t="shared" si="772"/>
        <v>0</v>
      </c>
      <c r="CH1093" s="387">
        <f t="shared" si="773"/>
        <v>37.85599999999998</v>
      </c>
      <c r="CI1093" s="387">
        <f t="shared" si="774"/>
        <v>0</v>
      </c>
      <c r="CJ1093" s="387">
        <f t="shared" si="787"/>
        <v>-227.13600000000002</v>
      </c>
      <c r="CK1093" s="387" t="str">
        <f t="shared" si="788"/>
        <v/>
      </c>
      <c r="CL1093" s="387" t="str">
        <f t="shared" si="789"/>
        <v/>
      </c>
      <c r="CM1093" s="387" t="str">
        <f t="shared" si="790"/>
        <v/>
      </c>
      <c r="CN1093" s="387" t="str">
        <f t="shared" si="791"/>
        <v>0348-31</v>
      </c>
    </row>
    <row r="1094" spans="1:92" ht="15.75" thickBot="1" x14ac:dyDescent="0.3">
      <c r="A1094" s="376" t="s">
        <v>161</v>
      </c>
      <c r="B1094" s="376" t="s">
        <v>162</v>
      </c>
      <c r="C1094" s="376" t="s">
        <v>2288</v>
      </c>
      <c r="D1094" s="376" t="s">
        <v>862</v>
      </c>
      <c r="E1094" s="376" t="s">
        <v>224</v>
      </c>
      <c r="F1094" s="382" t="s">
        <v>225</v>
      </c>
      <c r="G1094" s="376" t="s">
        <v>1945</v>
      </c>
      <c r="H1094" s="378"/>
      <c r="I1094" s="378"/>
      <c r="J1094" s="376" t="s">
        <v>215</v>
      </c>
      <c r="K1094" s="376" t="s">
        <v>863</v>
      </c>
      <c r="L1094" s="376" t="s">
        <v>252</v>
      </c>
      <c r="M1094" s="376" t="s">
        <v>171</v>
      </c>
      <c r="N1094" s="376" t="s">
        <v>172</v>
      </c>
      <c r="O1094" s="379">
        <v>1</v>
      </c>
      <c r="P1094" s="385">
        <v>1</v>
      </c>
      <c r="Q1094" s="385">
        <v>1</v>
      </c>
      <c r="R1094" s="380">
        <v>80</v>
      </c>
      <c r="S1094" s="385">
        <v>1</v>
      </c>
      <c r="T1094" s="380">
        <v>36469.440000000002</v>
      </c>
      <c r="U1094" s="380">
        <v>700.95</v>
      </c>
      <c r="V1094" s="380">
        <v>19182.45</v>
      </c>
      <c r="W1094" s="380">
        <v>38792</v>
      </c>
      <c r="X1094" s="380">
        <v>20038.740000000002</v>
      </c>
      <c r="Y1094" s="380">
        <v>38792</v>
      </c>
      <c r="Z1094" s="380">
        <v>19875.82</v>
      </c>
      <c r="AA1094" s="376" t="s">
        <v>2289</v>
      </c>
      <c r="AB1094" s="376" t="s">
        <v>1746</v>
      </c>
      <c r="AC1094" s="376" t="s">
        <v>2290</v>
      </c>
      <c r="AD1094" s="376" t="s">
        <v>351</v>
      </c>
      <c r="AE1094" s="376" t="s">
        <v>863</v>
      </c>
      <c r="AF1094" s="376" t="s">
        <v>393</v>
      </c>
      <c r="AG1094" s="376" t="s">
        <v>178</v>
      </c>
      <c r="AH1094" s="381">
        <v>18.649999999999999</v>
      </c>
      <c r="AI1094" s="379">
        <v>2431</v>
      </c>
      <c r="AJ1094" s="376" t="s">
        <v>179</v>
      </c>
      <c r="AK1094" s="376" t="s">
        <v>180</v>
      </c>
      <c r="AL1094" s="376" t="s">
        <v>181</v>
      </c>
      <c r="AM1094" s="376" t="s">
        <v>182</v>
      </c>
      <c r="AN1094" s="376" t="s">
        <v>68</v>
      </c>
      <c r="AO1094" s="379">
        <v>80</v>
      </c>
      <c r="AP1094" s="385">
        <v>1</v>
      </c>
      <c r="AQ1094" s="385">
        <v>1</v>
      </c>
      <c r="AR1094" s="383" t="s">
        <v>183</v>
      </c>
      <c r="AS1094" s="387">
        <f t="shared" si="775"/>
        <v>1</v>
      </c>
      <c r="AT1094">
        <f t="shared" si="776"/>
        <v>1</v>
      </c>
      <c r="AU1094" s="387">
        <f>IF(AT1094=0,"",IF(AND(AT1094=1,M1094="F",SUMIF(C2:C1334,C1094,AS2:AS1334)&lt;=1),SUMIF(C2:C1334,C1094,AS2:AS1334),IF(AND(AT1094=1,M1094="F",SUMIF(C2:C1334,C1094,AS2:AS1334)&gt;1),1,"")))</f>
        <v>1</v>
      </c>
      <c r="AV1094" s="387" t="str">
        <f>IF(AT1094=0,"",IF(AND(AT1094=3,M1094="F",SUMIF(C2:C1334,C1094,AS2:AS1334)&lt;=1),SUMIF(C2:C1334,C1094,AS2:AS1334),IF(AND(AT1094=3,M1094="F",SUMIF(C2:C1334,C1094,AS2:AS1334)&gt;1),1,"")))</f>
        <v/>
      </c>
      <c r="AW1094" s="387">
        <f>SUMIF(C2:C1334,C1094,O2:O1334)</f>
        <v>1</v>
      </c>
      <c r="AX1094" s="387">
        <f>IF(AND(M1094="F",AS1094&lt;&gt;0),SUMIF(C2:C1334,C1094,W2:W1334),0)</f>
        <v>38792</v>
      </c>
      <c r="AY1094" s="387">
        <f t="shared" si="777"/>
        <v>38792</v>
      </c>
      <c r="AZ1094" s="387" t="str">
        <f t="shared" si="778"/>
        <v/>
      </c>
      <c r="BA1094" s="387">
        <f t="shared" si="779"/>
        <v>0</v>
      </c>
      <c r="BB1094" s="387">
        <f t="shared" si="748"/>
        <v>11650</v>
      </c>
      <c r="BC1094" s="387">
        <f t="shared" si="749"/>
        <v>0</v>
      </c>
      <c r="BD1094" s="387">
        <f t="shared" si="750"/>
        <v>2405.1039999999998</v>
      </c>
      <c r="BE1094" s="387">
        <f t="shared" si="751"/>
        <v>562.48400000000004</v>
      </c>
      <c r="BF1094" s="387">
        <f t="shared" si="752"/>
        <v>4631.7647999999999</v>
      </c>
      <c r="BG1094" s="387">
        <f t="shared" si="753"/>
        <v>279.69031999999999</v>
      </c>
      <c r="BH1094" s="387">
        <f t="shared" si="754"/>
        <v>190.08079999999998</v>
      </c>
      <c r="BI1094" s="387">
        <f t="shared" si="755"/>
        <v>214.71372</v>
      </c>
      <c r="BJ1094" s="387">
        <f t="shared" si="756"/>
        <v>104.7384</v>
      </c>
      <c r="BK1094" s="387">
        <f t="shared" si="757"/>
        <v>0</v>
      </c>
      <c r="BL1094" s="387">
        <f t="shared" si="780"/>
        <v>8388.5760399999999</v>
      </c>
      <c r="BM1094" s="387">
        <f t="shared" si="781"/>
        <v>0</v>
      </c>
      <c r="BN1094" s="387">
        <f t="shared" si="758"/>
        <v>11650</v>
      </c>
      <c r="BO1094" s="387">
        <f t="shared" si="759"/>
        <v>0</v>
      </c>
      <c r="BP1094" s="387">
        <f t="shared" si="760"/>
        <v>2405.1039999999998</v>
      </c>
      <c r="BQ1094" s="387">
        <f t="shared" si="761"/>
        <v>562.48400000000004</v>
      </c>
      <c r="BR1094" s="387">
        <f t="shared" si="762"/>
        <v>4631.7647999999999</v>
      </c>
      <c r="BS1094" s="387">
        <f t="shared" si="763"/>
        <v>279.69031999999999</v>
      </c>
      <c r="BT1094" s="387">
        <f t="shared" si="764"/>
        <v>0</v>
      </c>
      <c r="BU1094" s="387">
        <f t="shared" si="765"/>
        <v>214.71372</v>
      </c>
      <c r="BV1094" s="387">
        <f t="shared" si="766"/>
        <v>131.89279999999999</v>
      </c>
      <c r="BW1094" s="387">
        <f t="shared" si="767"/>
        <v>0</v>
      </c>
      <c r="BX1094" s="387">
        <f t="shared" si="782"/>
        <v>8225.6496399999996</v>
      </c>
      <c r="BY1094" s="387">
        <f t="shared" si="783"/>
        <v>0</v>
      </c>
      <c r="BZ1094" s="387">
        <f t="shared" si="784"/>
        <v>0</v>
      </c>
      <c r="CA1094" s="387">
        <f t="shared" si="785"/>
        <v>0</v>
      </c>
      <c r="CB1094" s="387">
        <f t="shared" si="786"/>
        <v>0</v>
      </c>
      <c r="CC1094" s="387">
        <f t="shared" si="768"/>
        <v>0</v>
      </c>
      <c r="CD1094" s="387">
        <f t="shared" si="769"/>
        <v>0</v>
      </c>
      <c r="CE1094" s="387">
        <f t="shared" si="770"/>
        <v>0</v>
      </c>
      <c r="CF1094" s="387">
        <f t="shared" si="771"/>
        <v>-190.08079999999998</v>
      </c>
      <c r="CG1094" s="387">
        <f t="shared" si="772"/>
        <v>0</v>
      </c>
      <c r="CH1094" s="387">
        <f t="shared" si="773"/>
        <v>27.154399999999988</v>
      </c>
      <c r="CI1094" s="387">
        <f t="shared" si="774"/>
        <v>0</v>
      </c>
      <c r="CJ1094" s="387">
        <f t="shared" si="787"/>
        <v>-162.9264</v>
      </c>
      <c r="CK1094" s="387" t="str">
        <f t="shared" si="788"/>
        <v/>
      </c>
      <c r="CL1094" s="387" t="str">
        <f t="shared" si="789"/>
        <v/>
      </c>
      <c r="CM1094" s="387" t="str">
        <f t="shared" si="790"/>
        <v/>
      </c>
      <c r="CN1094" s="387" t="str">
        <f t="shared" si="791"/>
        <v>0348-31</v>
      </c>
    </row>
    <row r="1095" spans="1:92" ht="15.75" thickBot="1" x14ac:dyDescent="0.3">
      <c r="A1095" s="376" t="s">
        <v>161</v>
      </c>
      <c r="B1095" s="376" t="s">
        <v>162</v>
      </c>
      <c r="C1095" s="376" t="s">
        <v>2291</v>
      </c>
      <c r="D1095" s="376" t="s">
        <v>862</v>
      </c>
      <c r="E1095" s="376" t="s">
        <v>224</v>
      </c>
      <c r="F1095" s="382" t="s">
        <v>225</v>
      </c>
      <c r="G1095" s="376" t="s">
        <v>1945</v>
      </c>
      <c r="H1095" s="378"/>
      <c r="I1095" s="378"/>
      <c r="J1095" s="376" t="s">
        <v>215</v>
      </c>
      <c r="K1095" s="376" t="s">
        <v>863</v>
      </c>
      <c r="L1095" s="376" t="s">
        <v>252</v>
      </c>
      <c r="M1095" s="376" t="s">
        <v>171</v>
      </c>
      <c r="N1095" s="376" t="s">
        <v>172</v>
      </c>
      <c r="O1095" s="379">
        <v>1</v>
      </c>
      <c r="P1095" s="385">
        <v>1</v>
      </c>
      <c r="Q1095" s="385">
        <v>1</v>
      </c>
      <c r="R1095" s="380">
        <v>80</v>
      </c>
      <c r="S1095" s="385">
        <v>1</v>
      </c>
      <c r="T1095" s="380">
        <v>34452.379999999997</v>
      </c>
      <c r="U1095" s="380">
        <v>666.25</v>
      </c>
      <c r="V1095" s="380">
        <v>19036.13</v>
      </c>
      <c r="W1095" s="380">
        <v>38979.199999999997</v>
      </c>
      <c r="X1095" s="380">
        <v>20079.22</v>
      </c>
      <c r="Y1095" s="380">
        <v>38979.199999999997</v>
      </c>
      <c r="Z1095" s="380">
        <v>19915.509999999998</v>
      </c>
      <c r="AA1095" s="376" t="s">
        <v>2292</v>
      </c>
      <c r="AB1095" s="376" t="s">
        <v>2293</v>
      </c>
      <c r="AC1095" s="376" t="s">
        <v>2294</v>
      </c>
      <c r="AD1095" s="376" t="s">
        <v>2295</v>
      </c>
      <c r="AE1095" s="376" t="s">
        <v>863</v>
      </c>
      <c r="AF1095" s="376" t="s">
        <v>393</v>
      </c>
      <c r="AG1095" s="376" t="s">
        <v>178</v>
      </c>
      <c r="AH1095" s="381">
        <v>18.739999999999998</v>
      </c>
      <c r="AI1095" s="379">
        <v>2072</v>
      </c>
      <c r="AJ1095" s="376" t="s">
        <v>179</v>
      </c>
      <c r="AK1095" s="376" t="s">
        <v>180</v>
      </c>
      <c r="AL1095" s="376" t="s">
        <v>181</v>
      </c>
      <c r="AM1095" s="376" t="s">
        <v>182</v>
      </c>
      <c r="AN1095" s="376" t="s">
        <v>68</v>
      </c>
      <c r="AO1095" s="379">
        <v>80</v>
      </c>
      <c r="AP1095" s="385">
        <v>1</v>
      </c>
      <c r="AQ1095" s="385">
        <v>1</v>
      </c>
      <c r="AR1095" s="383" t="s">
        <v>183</v>
      </c>
      <c r="AS1095" s="387">
        <f t="shared" si="775"/>
        <v>1</v>
      </c>
      <c r="AT1095">
        <f t="shared" si="776"/>
        <v>1</v>
      </c>
      <c r="AU1095" s="387">
        <f>IF(AT1095=0,"",IF(AND(AT1095=1,M1095="F",SUMIF(C2:C1334,C1095,AS2:AS1334)&lt;=1),SUMIF(C2:C1334,C1095,AS2:AS1334),IF(AND(AT1095=1,M1095="F",SUMIF(C2:C1334,C1095,AS2:AS1334)&gt;1),1,"")))</f>
        <v>1</v>
      </c>
      <c r="AV1095" s="387" t="str">
        <f>IF(AT1095=0,"",IF(AND(AT1095=3,M1095="F",SUMIF(C2:C1334,C1095,AS2:AS1334)&lt;=1),SUMIF(C2:C1334,C1095,AS2:AS1334),IF(AND(AT1095=3,M1095="F",SUMIF(C2:C1334,C1095,AS2:AS1334)&gt;1),1,"")))</f>
        <v/>
      </c>
      <c r="AW1095" s="387">
        <f>SUMIF(C2:C1334,C1095,O2:O1334)</f>
        <v>1</v>
      </c>
      <c r="AX1095" s="387">
        <f>IF(AND(M1095="F",AS1095&lt;&gt;0),SUMIF(C2:C1334,C1095,W2:W1334),0)</f>
        <v>38979.199999999997</v>
      </c>
      <c r="AY1095" s="387">
        <f t="shared" si="777"/>
        <v>38979.199999999997</v>
      </c>
      <c r="AZ1095" s="387" t="str">
        <f t="shared" si="778"/>
        <v/>
      </c>
      <c r="BA1095" s="387">
        <f t="shared" si="779"/>
        <v>0</v>
      </c>
      <c r="BB1095" s="387">
        <f t="shared" si="748"/>
        <v>11650</v>
      </c>
      <c r="BC1095" s="387">
        <f t="shared" si="749"/>
        <v>0</v>
      </c>
      <c r="BD1095" s="387">
        <f t="shared" si="750"/>
        <v>2416.7103999999999</v>
      </c>
      <c r="BE1095" s="387">
        <f t="shared" si="751"/>
        <v>565.19839999999999</v>
      </c>
      <c r="BF1095" s="387">
        <f t="shared" si="752"/>
        <v>4654.1164799999997</v>
      </c>
      <c r="BG1095" s="387">
        <f t="shared" si="753"/>
        <v>281.040032</v>
      </c>
      <c r="BH1095" s="387">
        <f t="shared" si="754"/>
        <v>190.99807999999999</v>
      </c>
      <c r="BI1095" s="387">
        <f t="shared" si="755"/>
        <v>215.74987199999998</v>
      </c>
      <c r="BJ1095" s="387">
        <f t="shared" si="756"/>
        <v>105.24383999999999</v>
      </c>
      <c r="BK1095" s="387">
        <f t="shared" si="757"/>
        <v>0</v>
      </c>
      <c r="BL1095" s="387">
        <f t="shared" si="780"/>
        <v>8429.0571039999995</v>
      </c>
      <c r="BM1095" s="387">
        <f t="shared" si="781"/>
        <v>0</v>
      </c>
      <c r="BN1095" s="387">
        <f t="shared" si="758"/>
        <v>11650</v>
      </c>
      <c r="BO1095" s="387">
        <f t="shared" si="759"/>
        <v>0</v>
      </c>
      <c r="BP1095" s="387">
        <f t="shared" si="760"/>
        <v>2416.7103999999999</v>
      </c>
      <c r="BQ1095" s="387">
        <f t="shared" si="761"/>
        <v>565.19839999999999</v>
      </c>
      <c r="BR1095" s="387">
        <f t="shared" si="762"/>
        <v>4654.1164799999997</v>
      </c>
      <c r="BS1095" s="387">
        <f t="shared" si="763"/>
        <v>281.040032</v>
      </c>
      <c r="BT1095" s="387">
        <f t="shared" si="764"/>
        <v>0</v>
      </c>
      <c r="BU1095" s="387">
        <f t="shared" si="765"/>
        <v>215.74987199999998</v>
      </c>
      <c r="BV1095" s="387">
        <f t="shared" si="766"/>
        <v>132.52927999999997</v>
      </c>
      <c r="BW1095" s="387">
        <f t="shared" si="767"/>
        <v>0</v>
      </c>
      <c r="BX1095" s="387">
        <f t="shared" si="782"/>
        <v>8265.3444639999998</v>
      </c>
      <c r="BY1095" s="387">
        <f t="shared" si="783"/>
        <v>0</v>
      </c>
      <c r="BZ1095" s="387">
        <f t="shared" si="784"/>
        <v>0</v>
      </c>
      <c r="CA1095" s="387">
        <f t="shared" si="785"/>
        <v>0</v>
      </c>
      <c r="CB1095" s="387">
        <f t="shared" si="786"/>
        <v>0</v>
      </c>
      <c r="CC1095" s="387">
        <f t="shared" si="768"/>
        <v>0</v>
      </c>
      <c r="CD1095" s="387">
        <f t="shared" si="769"/>
        <v>0</v>
      </c>
      <c r="CE1095" s="387">
        <f t="shared" si="770"/>
        <v>0</v>
      </c>
      <c r="CF1095" s="387">
        <f t="shared" si="771"/>
        <v>-190.99807999999999</v>
      </c>
      <c r="CG1095" s="387">
        <f t="shared" si="772"/>
        <v>0</v>
      </c>
      <c r="CH1095" s="387">
        <f t="shared" si="773"/>
        <v>27.285439999999983</v>
      </c>
      <c r="CI1095" s="387">
        <f t="shared" si="774"/>
        <v>0</v>
      </c>
      <c r="CJ1095" s="387">
        <f t="shared" si="787"/>
        <v>-163.71263999999999</v>
      </c>
      <c r="CK1095" s="387" t="str">
        <f t="shared" si="788"/>
        <v/>
      </c>
      <c r="CL1095" s="387" t="str">
        <f t="shared" si="789"/>
        <v/>
      </c>
      <c r="CM1095" s="387" t="str">
        <f t="shared" si="790"/>
        <v/>
      </c>
      <c r="CN1095" s="387" t="str">
        <f t="shared" si="791"/>
        <v>0348-31</v>
      </c>
    </row>
    <row r="1096" spans="1:92" ht="15.75" thickBot="1" x14ac:dyDescent="0.3">
      <c r="A1096" s="376" t="s">
        <v>161</v>
      </c>
      <c r="B1096" s="376" t="s">
        <v>162</v>
      </c>
      <c r="C1096" s="376" t="s">
        <v>1340</v>
      </c>
      <c r="D1096" s="376" t="s">
        <v>868</v>
      </c>
      <c r="E1096" s="376" t="s">
        <v>224</v>
      </c>
      <c r="F1096" s="382" t="s">
        <v>225</v>
      </c>
      <c r="G1096" s="376" t="s">
        <v>1945</v>
      </c>
      <c r="H1096" s="378"/>
      <c r="I1096" s="378"/>
      <c r="J1096" s="376" t="s">
        <v>215</v>
      </c>
      <c r="K1096" s="376" t="s">
        <v>869</v>
      </c>
      <c r="L1096" s="376" t="s">
        <v>296</v>
      </c>
      <c r="M1096" s="376" t="s">
        <v>171</v>
      </c>
      <c r="N1096" s="376" t="s">
        <v>172</v>
      </c>
      <c r="O1096" s="379">
        <v>1</v>
      </c>
      <c r="P1096" s="385">
        <v>1</v>
      </c>
      <c r="Q1096" s="385">
        <v>1</v>
      </c>
      <c r="R1096" s="380">
        <v>80</v>
      </c>
      <c r="S1096" s="385">
        <v>1</v>
      </c>
      <c r="T1096" s="380">
        <v>0</v>
      </c>
      <c r="U1096" s="380">
        <v>0</v>
      </c>
      <c r="V1096" s="380">
        <v>0</v>
      </c>
      <c r="W1096" s="380">
        <v>52062.400000000001</v>
      </c>
      <c r="X1096" s="380">
        <v>22908.45</v>
      </c>
      <c r="Y1096" s="380">
        <v>52062.400000000001</v>
      </c>
      <c r="Z1096" s="380">
        <v>22689.8</v>
      </c>
      <c r="AA1096" s="376" t="s">
        <v>1341</v>
      </c>
      <c r="AB1096" s="376" t="s">
        <v>586</v>
      </c>
      <c r="AC1096" s="376" t="s">
        <v>1342</v>
      </c>
      <c r="AD1096" s="376" t="s">
        <v>210</v>
      </c>
      <c r="AE1096" s="376" t="s">
        <v>869</v>
      </c>
      <c r="AF1096" s="376" t="s">
        <v>301</v>
      </c>
      <c r="AG1096" s="376" t="s">
        <v>178</v>
      </c>
      <c r="AH1096" s="381">
        <v>25.03</v>
      </c>
      <c r="AI1096" s="381">
        <v>16301.2</v>
      </c>
      <c r="AJ1096" s="376" t="s">
        <v>179</v>
      </c>
      <c r="AK1096" s="376" t="s">
        <v>180</v>
      </c>
      <c r="AL1096" s="376" t="s">
        <v>181</v>
      </c>
      <c r="AM1096" s="376" t="s">
        <v>182</v>
      </c>
      <c r="AN1096" s="376" t="s">
        <v>68</v>
      </c>
      <c r="AO1096" s="379">
        <v>80</v>
      </c>
      <c r="AP1096" s="385">
        <v>1</v>
      </c>
      <c r="AQ1096" s="385">
        <v>1</v>
      </c>
      <c r="AR1096" s="383" t="s">
        <v>183</v>
      </c>
      <c r="AS1096" s="387">
        <f t="shared" si="775"/>
        <v>1</v>
      </c>
      <c r="AT1096">
        <f t="shared" si="776"/>
        <v>1</v>
      </c>
      <c r="AU1096" s="387">
        <f>IF(AT1096=0,"",IF(AND(AT1096=1,M1096="F",SUMIF(C2:C1334,C1096,AS2:AS1334)&lt;=1),SUMIF(C2:C1334,C1096,AS2:AS1334),IF(AND(AT1096=1,M1096="F",SUMIF(C2:C1334,C1096,AS2:AS1334)&gt;1),1,"")))</f>
        <v>1</v>
      </c>
      <c r="AV1096" s="387" t="str">
        <f>IF(AT1096=0,"",IF(AND(AT1096=3,M1096="F",SUMIF(C2:C1334,C1096,AS2:AS1334)&lt;=1),SUMIF(C2:C1334,C1096,AS2:AS1334),IF(AND(AT1096=3,M1096="F",SUMIF(C2:C1334,C1096,AS2:AS1334)&gt;1),1,"")))</f>
        <v/>
      </c>
      <c r="AW1096" s="387">
        <f>SUMIF(C2:C1334,C1096,O2:O1334)</f>
        <v>2</v>
      </c>
      <c r="AX1096" s="387">
        <f>IF(AND(M1096="F",AS1096&lt;&gt;0),SUMIF(C2:C1334,C1096,W2:W1334),0)</f>
        <v>52062.400000000001</v>
      </c>
      <c r="AY1096" s="387">
        <f t="shared" si="777"/>
        <v>52062.400000000001</v>
      </c>
      <c r="AZ1096" s="387" t="str">
        <f t="shared" si="778"/>
        <v/>
      </c>
      <c r="BA1096" s="387">
        <f t="shared" si="779"/>
        <v>0</v>
      </c>
      <c r="BB1096" s="387">
        <f t="shared" si="748"/>
        <v>11650</v>
      </c>
      <c r="BC1096" s="387">
        <f t="shared" si="749"/>
        <v>0</v>
      </c>
      <c r="BD1096" s="387">
        <f t="shared" si="750"/>
        <v>3227.8688000000002</v>
      </c>
      <c r="BE1096" s="387">
        <f t="shared" si="751"/>
        <v>754.90480000000002</v>
      </c>
      <c r="BF1096" s="387">
        <f t="shared" si="752"/>
        <v>6216.2505600000004</v>
      </c>
      <c r="BG1096" s="387">
        <f t="shared" si="753"/>
        <v>375.36990400000002</v>
      </c>
      <c r="BH1096" s="387">
        <f t="shared" si="754"/>
        <v>255.10576</v>
      </c>
      <c r="BI1096" s="387">
        <f t="shared" si="755"/>
        <v>288.16538400000002</v>
      </c>
      <c r="BJ1096" s="387">
        <f t="shared" si="756"/>
        <v>140.56848000000002</v>
      </c>
      <c r="BK1096" s="387">
        <f t="shared" si="757"/>
        <v>0</v>
      </c>
      <c r="BL1096" s="387">
        <f t="shared" si="780"/>
        <v>11258.233688</v>
      </c>
      <c r="BM1096" s="387">
        <f t="shared" si="781"/>
        <v>0</v>
      </c>
      <c r="BN1096" s="387">
        <f t="shared" si="758"/>
        <v>11650</v>
      </c>
      <c r="BO1096" s="387">
        <f t="shared" si="759"/>
        <v>0</v>
      </c>
      <c r="BP1096" s="387">
        <f t="shared" si="760"/>
        <v>3227.8688000000002</v>
      </c>
      <c r="BQ1096" s="387">
        <f t="shared" si="761"/>
        <v>754.90480000000002</v>
      </c>
      <c r="BR1096" s="387">
        <f t="shared" si="762"/>
        <v>6216.2505600000004</v>
      </c>
      <c r="BS1096" s="387">
        <f t="shared" si="763"/>
        <v>375.36990400000002</v>
      </c>
      <c r="BT1096" s="387">
        <f t="shared" si="764"/>
        <v>0</v>
      </c>
      <c r="BU1096" s="387">
        <f t="shared" si="765"/>
        <v>288.16538400000002</v>
      </c>
      <c r="BV1096" s="387">
        <f t="shared" si="766"/>
        <v>177.01215999999999</v>
      </c>
      <c r="BW1096" s="387">
        <f t="shared" si="767"/>
        <v>0</v>
      </c>
      <c r="BX1096" s="387">
        <f t="shared" si="782"/>
        <v>11039.571608</v>
      </c>
      <c r="BY1096" s="387">
        <f t="shared" si="783"/>
        <v>0</v>
      </c>
      <c r="BZ1096" s="387">
        <f t="shared" si="784"/>
        <v>0</v>
      </c>
      <c r="CA1096" s="387">
        <f t="shared" si="785"/>
        <v>0</v>
      </c>
      <c r="CB1096" s="387">
        <f t="shared" si="786"/>
        <v>0</v>
      </c>
      <c r="CC1096" s="387">
        <f t="shared" si="768"/>
        <v>0</v>
      </c>
      <c r="CD1096" s="387">
        <f t="shared" si="769"/>
        <v>0</v>
      </c>
      <c r="CE1096" s="387">
        <f t="shared" si="770"/>
        <v>0</v>
      </c>
      <c r="CF1096" s="387">
        <f t="shared" si="771"/>
        <v>-255.10576</v>
      </c>
      <c r="CG1096" s="387">
        <f t="shared" si="772"/>
        <v>0</v>
      </c>
      <c r="CH1096" s="387">
        <f t="shared" si="773"/>
        <v>36.443679999999986</v>
      </c>
      <c r="CI1096" s="387">
        <f t="shared" si="774"/>
        <v>0</v>
      </c>
      <c r="CJ1096" s="387">
        <f t="shared" si="787"/>
        <v>-218.66208</v>
      </c>
      <c r="CK1096" s="387" t="str">
        <f t="shared" si="788"/>
        <v/>
      </c>
      <c r="CL1096" s="387" t="str">
        <f t="shared" si="789"/>
        <v/>
      </c>
      <c r="CM1096" s="387" t="str">
        <f t="shared" si="790"/>
        <v/>
      </c>
      <c r="CN1096" s="387" t="str">
        <f t="shared" si="791"/>
        <v>0348-31</v>
      </c>
    </row>
    <row r="1097" spans="1:92" ht="15.75" thickBot="1" x14ac:dyDescent="0.3">
      <c r="A1097" s="376" t="s">
        <v>161</v>
      </c>
      <c r="B1097" s="376" t="s">
        <v>162</v>
      </c>
      <c r="C1097" s="376" t="s">
        <v>1503</v>
      </c>
      <c r="D1097" s="376" t="s">
        <v>862</v>
      </c>
      <c r="E1097" s="376" t="s">
        <v>224</v>
      </c>
      <c r="F1097" s="382" t="s">
        <v>225</v>
      </c>
      <c r="G1097" s="376" t="s">
        <v>1945</v>
      </c>
      <c r="H1097" s="378"/>
      <c r="I1097" s="378"/>
      <c r="J1097" s="376" t="s">
        <v>215</v>
      </c>
      <c r="K1097" s="376" t="s">
        <v>863</v>
      </c>
      <c r="L1097" s="376" t="s">
        <v>252</v>
      </c>
      <c r="M1097" s="376" t="s">
        <v>272</v>
      </c>
      <c r="N1097" s="376" t="s">
        <v>172</v>
      </c>
      <c r="O1097" s="379">
        <v>0</v>
      </c>
      <c r="P1097" s="385">
        <v>1</v>
      </c>
      <c r="Q1097" s="385">
        <v>1</v>
      </c>
      <c r="R1097" s="380">
        <v>80</v>
      </c>
      <c r="S1097" s="385">
        <v>1</v>
      </c>
      <c r="T1097" s="380">
        <v>31884.799999999999</v>
      </c>
      <c r="U1097" s="380">
        <v>10446</v>
      </c>
      <c r="V1097" s="380">
        <v>17080.73</v>
      </c>
      <c r="W1097" s="380">
        <v>42328</v>
      </c>
      <c r="X1097" s="380">
        <v>18539.66</v>
      </c>
      <c r="Y1097" s="380">
        <v>42328</v>
      </c>
      <c r="Z1097" s="380">
        <v>18328.02</v>
      </c>
      <c r="AA1097" s="378"/>
      <c r="AB1097" s="376" t="s">
        <v>45</v>
      </c>
      <c r="AC1097" s="376" t="s">
        <v>45</v>
      </c>
      <c r="AD1097" s="378"/>
      <c r="AE1097" s="378"/>
      <c r="AF1097" s="378"/>
      <c r="AG1097" s="378"/>
      <c r="AH1097" s="379">
        <v>0</v>
      </c>
      <c r="AI1097" s="379">
        <v>0</v>
      </c>
      <c r="AJ1097" s="378"/>
      <c r="AK1097" s="378"/>
      <c r="AL1097" s="376" t="s">
        <v>181</v>
      </c>
      <c r="AM1097" s="378"/>
      <c r="AN1097" s="378"/>
      <c r="AO1097" s="379">
        <v>0</v>
      </c>
      <c r="AP1097" s="385">
        <v>0</v>
      </c>
      <c r="AQ1097" s="385">
        <v>0</v>
      </c>
      <c r="AR1097" s="384"/>
      <c r="AS1097" s="387">
        <f t="shared" si="775"/>
        <v>0</v>
      </c>
      <c r="AT1097">
        <f t="shared" si="776"/>
        <v>0</v>
      </c>
      <c r="AU1097" s="387" t="str">
        <f>IF(AT1097=0,"",IF(AND(AT1097=1,M1097="F",SUMIF(C2:C1334,C1097,AS2:AS1334)&lt;=1),SUMIF(C2:C1334,C1097,AS2:AS1334),IF(AND(AT1097=1,M1097="F",SUMIF(C2:C1334,C1097,AS2:AS1334)&gt;1),1,"")))</f>
        <v/>
      </c>
      <c r="AV1097" s="387" t="str">
        <f>IF(AT1097=0,"",IF(AND(AT1097=3,M1097="F",SUMIF(C2:C1334,C1097,AS2:AS1334)&lt;=1),SUMIF(C2:C1334,C1097,AS2:AS1334),IF(AND(AT1097=3,M1097="F",SUMIF(C2:C1334,C1097,AS2:AS1334)&gt;1),1,"")))</f>
        <v/>
      </c>
      <c r="AW1097" s="387">
        <f>SUMIF(C2:C1334,C1097,O2:O1334)</f>
        <v>0</v>
      </c>
      <c r="AX1097" s="387">
        <f>IF(AND(M1097="F",AS1097&lt;&gt;0),SUMIF(C2:C1334,C1097,W2:W1334),0)</f>
        <v>0</v>
      </c>
      <c r="AY1097" s="387" t="str">
        <f t="shared" si="777"/>
        <v/>
      </c>
      <c r="AZ1097" s="387" t="str">
        <f t="shared" si="778"/>
        <v/>
      </c>
      <c r="BA1097" s="387">
        <f t="shared" si="779"/>
        <v>0</v>
      </c>
      <c r="BB1097" s="387">
        <f t="shared" si="748"/>
        <v>0</v>
      </c>
      <c r="BC1097" s="387">
        <f t="shared" si="749"/>
        <v>0</v>
      </c>
      <c r="BD1097" s="387">
        <f t="shared" si="750"/>
        <v>0</v>
      </c>
      <c r="BE1097" s="387">
        <f t="shared" si="751"/>
        <v>0</v>
      </c>
      <c r="BF1097" s="387">
        <f t="shared" si="752"/>
        <v>0</v>
      </c>
      <c r="BG1097" s="387">
        <f t="shared" si="753"/>
        <v>0</v>
      </c>
      <c r="BH1097" s="387">
        <f t="shared" si="754"/>
        <v>0</v>
      </c>
      <c r="BI1097" s="387">
        <f t="shared" si="755"/>
        <v>0</v>
      </c>
      <c r="BJ1097" s="387">
        <f t="shared" si="756"/>
        <v>0</v>
      </c>
      <c r="BK1097" s="387">
        <f t="shared" si="757"/>
        <v>0</v>
      </c>
      <c r="BL1097" s="387">
        <f t="shared" si="780"/>
        <v>0</v>
      </c>
      <c r="BM1097" s="387">
        <f t="shared" si="781"/>
        <v>0</v>
      </c>
      <c r="BN1097" s="387">
        <f t="shared" si="758"/>
        <v>0</v>
      </c>
      <c r="BO1097" s="387">
        <f t="shared" si="759"/>
        <v>0</v>
      </c>
      <c r="BP1097" s="387">
        <f t="shared" si="760"/>
        <v>0</v>
      </c>
      <c r="BQ1097" s="387">
        <f t="shared" si="761"/>
        <v>0</v>
      </c>
      <c r="BR1097" s="387">
        <f t="shared" si="762"/>
        <v>0</v>
      </c>
      <c r="BS1097" s="387">
        <f t="shared" si="763"/>
        <v>0</v>
      </c>
      <c r="BT1097" s="387">
        <f t="shared" si="764"/>
        <v>0</v>
      </c>
      <c r="BU1097" s="387">
        <f t="shared" si="765"/>
        <v>0</v>
      </c>
      <c r="BV1097" s="387">
        <f t="shared" si="766"/>
        <v>0</v>
      </c>
      <c r="BW1097" s="387">
        <f t="shared" si="767"/>
        <v>0</v>
      </c>
      <c r="BX1097" s="387">
        <f t="shared" si="782"/>
        <v>0</v>
      </c>
      <c r="BY1097" s="387">
        <f t="shared" si="783"/>
        <v>0</v>
      </c>
      <c r="BZ1097" s="387">
        <f t="shared" si="784"/>
        <v>0</v>
      </c>
      <c r="CA1097" s="387">
        <f t="shared" si="785"/>
        <v>0</v>
      </c>
      <c r="CB1097" s="387">
        <f t="shared" si="786"/>
        <v>0</v>
      </c>
      <c r="CC1097" s="387">
        <f t="shared" si="768"/>
        <v>0</v>
      </c>
      <c r="CD1097" s="387">
        <f t="shared" si="769"/>
        <v>0</v>
      </c>
      <c r="CE1097" s="387">
        <f t="shared" si="770"/>
        <v>0</v>
      </c>
      <c r="CF1097" s="387">
        <f t="shared" si="771"/>
        <v>0</v>
      </c>
      <c r="CG1097" s="387">
        <f t="shared" si="772"/>
        <v>0</v>
      </c>
      <c r="CH1097" s="387">
        <f t="shared" si="773"/>
        <v>0</v>
      </c>
      <c r="CI1097" s="387">
        <f t="shared" si="774"/>
        <v>0</v>
      </c>
      <c r="CJ1097" s="387">
        <f t="shared" si="787"/>
        <v>0</v>
      </c>
      <c r="CK1097" s="387" t="str">
        <f t="shared" si="788"/>
        <v/>
      </c>
      <c r="CL1097" s="387" t="str">
        <f t="shared" si="789"/>
        <v/>
      </c>
      <c r="CM1097" s="387" t="str">
        <f t="shared" si="790"/>
        <v/>
      </c>
      <c r="CN1097" s="387" t="str">
        <f t="shared" si="791"/>
        <v>0348-31</v>
      </c>
    </row>
    <row r="1098" spans="1:92" ht="15.75" thickBot="1" x14ac:dyDescent="0.3">
      <c r="A1098" s="376" t="s">
        <v>161</v>
      </c>
      <c r="B1098" s="376" t="s">
        <v>162</v>
      </c>
      <c r="C1098" s="376" t="s">
        <v>2296</v>
      </c>
      <c r="D1098" s="376" t="s">
        <v>974</v>
      </c>
      <c r="E1098" s="376" t="s">
        <v>224</v>
      </c>
      <c r="F1098" s="382" t="s">
        <v>225</v>
      </c>
      <c r="G1098" s="376" t="s">
        <v>1945</v>
      </c>
      <c r="H1098" s="378"/>
      <c r="I1098" s="378"/>
      <c r="J1098" s="376" t="s">
        <v>215</v>
      </c>
      <c r="K1098" s="376" t="s">
        <v>975</v>
      </c>
      <c r="L1098" s="376" t="s">
        <v>296</v>
      </c>
      <c r="M1098" s="376" t="s">
        <v>171</v>
      </c>
      <c r="N1098" s="376" t="s">
        <v>172</v>
      </c>
      <c r="O1098" s="379">
        <v>1</v>
      </c>
      <c r="P1098" s="385">
        <v>1</v>
      </c>
      <c r="Q1098" s="385">
        <v>1</v>
      </c>
      <c r="R1098" s="380">
        <v>80</v>
      </c>
      <c r="S1098" s="385">
        <v>1</v>
      </c>
      <c r="T1098" s="380">
        <v>40762.43</v>
      </c>
      <c r="U1098" s="380">
        <v>145.72999999999999</v>
      </c>
      <c r="V1098" s="380">
        <v>20201.599999999999</v>
      </c>
      <c r="W1098" s="380">
        <v>43430.400000000001</v>
      </c>
      <c r="X1098" s="380">
        <v>21041.79</v>
      </c>
      <c r="Y1098" s="380">
        <v>43430.400000000001</v>
      </c>
      <c r="Z1098" s="380">
        <v>20859.39</v>
      </c>
      <c r="AA1098" s="376" t="s">
        <v>2297</v>
      </c>
      <c r="AB1098" s="376" t="s">
        <v>2298</v>
      </c>
      <c r="AC1098" s="376" t="s">
        <v>458</v>
      </c>
      <c r="AD1098" s="376" t="s">
        <v>1456</v>
      </c>
      <c r="AE1098" s="376" t="s">
        <v>975</v>
      </c>
      <c r="AF1098" s="376" t="s">
        <v>301</v>
      </c>
      <c r="AG1098" s="376" t="s">
        <v>178</v>
      </c>
      <c r="AH1098" s="381">
        <v>20.88</v>
      </c>
      <c r="AI1098" s="379">
        <v>11745</v>
      </c>
      <c r="AJ1098" s="376" t="s">
        <v>179</v>
      </c>
      <c r="AK1098" s="376" t="s">
        <v>180</v>
      </c>
      <c r="AL1098" s="376" t="s">
        <v>181</v>
      </c>
      <c r="AM1098" s="376" t="s">
        <v>182</v>
      </c>
      <c r="AN1098" s="376" t="s">
        <v>68</v>
      </c>
      <c r="AO1098" s="379">
        <v>80</v>
      </c>
      <c r="AP1098" s="385">
        <v>1</v>
      </c>
      <c r="AQ1098" s="385">
        <v>1</v>
      </c>
      <c r="AR1098" s="383" t="s">
        <v>183</v>
      </c>
      <c r="AS1098" s="387">
        <f t="shared" si="775"/>
        <v>1</v>
      </c>
      <c r="AT1098">
        <f t="shared" si="776"/>
        <v>1</v>
      </c>
      <c r="AU1098" s="387">
        <f>IF(AT1098=0,"",IF(AND(AT1098=1,M1098="F",SUMIF(C2:C1334,C1098,AS2:AS1334)&lt;=1),SUMIF(C2:C1334,C1098,AS2:AS1334),IF(AND(AT1098=1,M1098="F",SUMIF(C2:C1334,C1098,AS2:AS1334)&gt;1),1,"")))</f>
        <v>1</v>
      </c>
      <c r="AV1098" s="387" t="str">
        <f>IF(AT1098=0,"",IF(AND(AT1098=3,M1098="F",SUMIF(C2:C1334,C1098,AS2:AS1334)&lt;=1),SUMIF(C2:C1334,C1098,AS2:AS1334),IF(AND(AT1098=3,M1098="F",SUMIF(C2:C1334,C1098,AS2:AS1334)&gt;1),1,"")))</f>
        <v/>
      </c>
      <c r="AW1098" s="387">
        <f>SUMIF(C2:C1334,C1098,O2:O1334)</f>
        <v>1</v>
      </c>
      <c r="AX1098" s="387">
        <f>IF(AND(M1098="F",AS1098&lt;&gt;0),SUMIF(C2:C1334,C1098,W2:W1334),0)</f>
        <v>43430.400000000001</v>
      </c>
      <c r="AY1098" s="387">
        <f t="shared" si="777"/>
        <v>43430.400000000001</v>
      </c>
      <c r="AZ1098" s="387" t="str">
        <f t="shared" si="778"/>
        <v/>
      </c>
      <c r="BA1098" s="387">
        <f t="shared" si="779"/>
        <v>0</v>
      </c>
      <c r="BB1098" s="387">
        <f t="shared" si="748"/>
        <v>11650</v>
      </c>
      <c r="BC1098" s="387">
        <f t="shared" si="749"/>
        <v>0</v>
      </c>
      <c r="BD1098" s="387">
        <f t="shared" si="750"/>
        <v>2692.6848</v>
      </c>
      <c r="BE1098" s="387">
        <f t="shared" si="751"/>
        <v>629.74080000000004</v>
      </c>
      <c r="BF1098" s="387">
        <f t="shared" si="752"/>
        <v>5185.5897600000008</v>
      </c>
      <c r="BG1098" s="387">
        <f t="shared" si="753"/>
        <v>313.13318400000003</v>
      </c>
      <c r="BH1098" s="387">
        <f t="shared" si="754"/>
        <v>212.80896000000001</v>
      </c>
      <c r="BI1098" s="387">
        <f t="shared" si="755"/>
        <v>240.38726400000002</v>
      </c>
      <c r="BJ1098" s="387">
        <f t="shared" si="756"/>
        <v>117.26208000000001</v>
      </c>
      <c r="BK1098" s="387">
        <f t="shared" si="757"/>
        <v>0</v>
      </c>
      <c r="BL1098" s="387">
        <f t="shared" si="780"/>
        <v>9391.6068480000031</v>
      </c>
      <c r="BM1098" s="387">
        <f t="shared" si="781"/>
        <v>0</v>
      </c>
      <c r="BN1098" s="387">
        <f t="shared" si="758"/>
        <v>11650</v>
      </c>
      <c r="BO1098" s="387">
        <f t="shared" si="759"/>
        <v>0</v>
      </c>
      <c r="BP1098" s="387">
        <f t="shared" si="760"/>
        <v>2692.6848</v>
      </c>
      <c r="BQ1098" s="387">
        <f t="shared" si="761"/>
        <v>629.74080000000004</v>
      </c>
      <c r="BR1098" s="387">
        <f t="shared" si="762"/>
        <v>5185.5897600000008</v>
      </c>
      <c r="BS1098" s="387">
        <f t="shared" si="763"/>
        <v>313.13318400000003</v>
      </c>
      <c r="BT1098" s="387">
        <f t="shared" si="764"/>
        <v>0</v>
      </c>
      <c r="BU1098" s="387">
        <f t="shared" si="765"/>
        <v>240.38726400000002</v>
      </c>
      <c r="BV1098" s="387">
        <f t="shared" si="766"/>
        <v>147.66335999999998</v>
      </c>
      <c r="BW1098" s="387">
        <f t="shared" si="767"/>
        <v>0</v>
      </c>
      <c r="BX1098" s="387">
        <f t="shared" si="782"/>
        <v>9209.1991680000028</v>
      </c>
      <c r="BY1098" s="387">
        <f t="shared" si="783"/>
        <v>0</v>
      </c>
      <c r="BZ1098" s="387">
        <f t="shared" si="784"/>
        <v>0</v>
      </c>
      <c r="CA1098" s="387">
        <f t="shared" si="785"/>
        <v>0</v>
      </c>
      <c r="CB1098" s="387">
        <f t="shared" si="786"/>
        <v>0</v>
      </c>
      <c r="CC1098" s="387">
        <f t="shared" si="768"/>
        <v>0</v>
      </c>
      <c r="CD1098" s="387">
        <f t="shared" si="769"/>
        <v>0</v>
      </c>
      <c r="CE1098" s="387">
        <f t="shared" si="770"/>
        <v>0</v>
      </c>
      <c r="CF1098" s="387">
        <f t="shared" si="771"/>
        <v>-212.80896000000001</v>
      </c>
      <c r="CG1098" s="387">
        <f t="shared" si="772"/>
        <v>0</v>
      </c>
      <c r="CH1098" s="387">
        <f t="shared" si="773"/>
        <v>30.401279999999986</v>
      </c>
      <c r="CI1098" s="387">
        <f t="shared" si="774"/>
        <v>0</v>
      </c>
      <c r="CJ1098" s="387">
        <f t="shared" si="787"/>
        <v>-182.40768000000003</v>
      </c>
      <c r="CK1098" s="387" t="str">
        <f t="shared" si="788"/>
        <v/>
      </c>
      <c r="CL1098" s="387" t="str">
        <f t="shared" si="789"/>
        <v/>
      </c>
      <c r="CM1098" s="387" t="str">
        <f t="shared" si="790"/>
        <v/>
      </c>
      <c r="CN1098" s="387" t="str">
        <f t="shared" si="791"/>
        <v>0348-31</v>
      </c>
    </row>
    <row r="1099" spans="1:92" ht="15.75" thickBot="1" x14ac:dyDescent="0.3">
      <c r="A1099" s="376" t="s">
        <v>161</v>
      </c>
      <c r="B1099" s="376" t="s">
        <v>162</v>
      </c>
      <c r="C1099" s="376" t="s">
        <v>2299</v>
      </c>
      <c r="D1099" s="376" t="s">
        <v>974</v>
      </c>
      <c r="E1099" s="376" t="s">
        <v>224</v>
      </c>
      <c r="F1099" s="382" t="s">
        <v>225</v>
      </c>
      <c r="G1099" s="376" t="s">
        <v>1945</v>
      </c>
      <c r="H1099" s="378"/>
      <c r="I1099" s="378"/>
      <c r="J1099" s="376" t="s">
        <v>215</v>
      </c>
      <c r="K1099" s="376" t="s">
        <v>975</v>
      </c>
      <c r="L1099" s="376" t="s">
        <v>296</v>
      </c>
      <c r="M1099" s="376" t="s">
        <v>171</v>
      </c>
      <c r="N1099" s="376" t="s">
        <v>172</v>
      </c>
      <c r="O1099" s="379">
        <v>1</v>
      </c>
      <c r="P1099" s="385">
        <v>1</v>
      </c>
      <c r="Q1099" s="385">
        <v>1</v>
      </c>
      <c r="R1099" s="380">
        <v>80</v>
      </c>
      <c r="S1099" s="385">
        <v>1</v>
      </c>
      <c r="T1099" s="380">
        <v>32973.629999999997</v>
      </c>
      <c r="U1099" s="380">
        <v>0</v>
      </c>
      <c r="V1099" s="380">
        <v>15751.41</v>
      </c>
      <c r="W1099" s="380">
        <v>43284.800000000003</v>
      </c>
      <c r="X1099" s="380">
        <v>21010.29</v>
      </c>
      <c r="Y1099" s="380">
        <v>43284.800000000003</v>
      </c>
      <c r="Z1099" s="380">
        <v>20828.5</v>
      </c>
      <c r="AA1099" s="376" t="s">
        <v>2300</v>
      </c>
      <c r="AB1099" s="376" t="s">
        <v>2301</v>
      </c>
      <c r="AC1099" s="376" t="s">
        <v>855</v>
      </c>
      <c r="AD1099" s="376" t="s">
        <v>324</v>
      </c>
      <c r="AE1099" s="376" t="s">
        <v>975</v>
      </c>
      <c r="AF1099" s="376" t="s">
        <v>301</v>
      </c>
      <c r="AG1099" s="376" t="s">
        <v>178</v>
      </c>
      <c r="AH1099" s="381">
        <v>20.81</v>
      </c>
      <c r="AI1099" s="381">
        <v>15285.3</v>
      </c>
      <c r="AJ1099" s="376" t="s">
        <v>179</v>
      </c>
      <c r="AK1099" s="376" t="s">
        <v>180</v>
      </c>
      <c r="AL1099" s="376" t="s">
        <v>181</v>
      </c>
      <c r="AM1099" s="376" t="s">
        <v>182</v>
      </c>
      <c r="AN1099" s="376" t="s">
        <v>68</v>
      </c>
      <c r="AO1099" s="379">
        <v>80</v>
      </c>
      <c r="AP1099" s="385">
        <v>1</v>
      </c>
      <c r="AQ1099" s="385">
        <v>1</v>
      </c>
      <c r="AR1099" s="383" t="s">
        <v>183</v>
      </c>
      <c r="AS1099" s="387">
        <f t="shared" si="775"/>
        <v>1</v>
      </c>
      <c r="AT1099">
        <f t="shared" si="776"/>
        <v>1</v>
      </c>
      <c r="AU1099" s="387">
        <f>IF(AT1099=0,"",IF(AND(AT1099=1,M1099="F",SUMIF(C2:C1334,C1099,AS2:AS1334)&lt;=1),SUMIF(C2:C1334,C1099,AS2:AS1334),IF(AND(AT1099=1,M1099="F",SUMIF(C2:C1334,C1099,AS2:AS1334)&gt;1),1,"")))</f>
        <v>1</v>
      </c>
      <c r="AV1099" s="387" t="str">
        <f>IF(AT1099=0,"",IF(AND(AT1099=3,M1099="F",SUMIF(C2:C1334,C1099,AS2:AS1334)&lt;=1),SUMIF(C2:C1334,C1099,AS2:AS1334),IF(AND(AT1099=3,M1099="F",SUMIF(C2:C1334,C1099,AS2:AS1334)&gt;1),1,"")))</f>
        <v/>
      </c>
      <c r="AW1099" s="387">
        <f>SUMIF(C2:C1334,C1099,O2:O1334)</f>
        <v>1</v>
      </c>
      <c r="AX1099" s="387">
        <f>IF(AND(M1099="F",AS1099&lt;&gt;0),SUMIF(C2:C1334,C1099,W2:W1334),0)</f>
        <v>43284.800000000003</v>
      </c>
      <c r="AY1099" s="387">
        <f t="shared" si="777"/>
        <v>43284.800000000003</v>
      </c>
      <c r="AZ1099" s="387" t="str">
        <f t="shared" si="778"/>
        <v/>
      </c>
      <c r="BA1099" s="387">
        <f t="shared" si="779"/>
        <v>0</v>
      </c>
      <c r="BB1099" s="387">
        <f t="shared" si="748"/>
        <v>11650</v>
      </c>
      <c r="BC1099" s="387">
        <f t="shared" si="749"/>
        <v>0</v>
      </c>
      <c r="BD1099" s="387">
        <f t="shared" si="750"/>
        <v>2683.6576</v>
      </c>
      <c r="BE1099" s="387">
        <f t="shared" si="751"/>
        <v>627.6296000000001</v>
      </c>
      <c r="BF1099" s="387">
        <f t="shared" si="752"/>
        <v>5168.2051200000005</v>
      </c>
      <c r="BG1099" s="387">
        <f t="shared" si="753"/>
        <v>312.08340800000002</v>
      </c>
      <c r="BH1099" s="387">
        <f t="shared" si="754"/>
        <v>212.09551999999999</v>
      </c>
      <c r="BI1099" s="387">
        <f t="shared" si="755"/>
        <v>239.58136800000003</v>
      </c>
      <c r="BJ1099" s="387">
        <f t="shared" si="756"/>
        <v>116.86896000000002</v>
      </c>
      <c r="BK1099" s="387">
        <f t="shared" si="757"/>
        <v>0</v>
      </c>
      <c r="BL1099" s="387">
        <f t="shared" si="780"/>
        <v>9360.1215760000014</v>
      </c>
      <c r="BM1099" s="387">
        <f t="shared" si="781"/>
        <v>0</v>
      </c>
      <c r="BN1099" s="387">
        <f t="shared" si="758"/>
        <v>11650</v>
      </c>
      <c r="BO1099" s="387">
        <f t="shared" si="759"/>
        <v>0</v>
      </c>
      <c r="BP1099" s="387">
        <f t="shared" si="760"/>
        <v>2683.6576</v>
      </c>
      <c r="BQ1099" s="387">
        <f t="shared" si="761"/>
        <v>627.6296000000001</v>
      </c>
      <c r="BR1099" s="387">
        <f t="shared" si="762"/>
        <v>5168.2051200000005</v>
      </c>
      <c r="BS1099" s="387">
        <f t="shared" si="763"/>
        <v>312.08340800000002</v>
      </c>
      <c r="BT1099" s="387">
        <f t="shared" si="764"/>
        <v>0</v>
      </c>
      <c r="BU1099" s="387">
        <f t="shared" si="765"/>
        <v>239.58136800000003</v>
      </c>
      <c r="BV1099" s="387">
        <f t="shared" si="766"/>
        <v>147.16831999999999</v>
      </c>
      <c r="BW1099" s="387">
        <f t="shared" si="767"/>
        <v>0</v>
      </c>
      <c r="BX1099" s="387">
        <f t="shared" si="782"/>
        <v>9178.3254160000015</v>
      </c>
      <c r="BY1099" s="387">
        <f t="shared" si="783"/>
        <v>0</v>
      </c>
      <c r="BZ1099" s="387">
        <f t="shared" si="784"/>
        <v>0</v>
      </c>
      <c r="CA1099" s="387">
        <f t="shared" si="785"/>
        <v>0</v>
      </c>
      <c r="CB1099" s="387">
        <f t="shared" si="786"/>
        <v>0</v>
      </c>
      <c r="CC1099" s="387">
        <f t="shared" si="768"/>
        <v>0</v>
      </c>
      <c r="CD1099" s="387">
        <f t="shared" si="769"/>
        <v>0</v>
      </c>
      <c r="CE1099" s="387">
        <f t="shared" si="770"/>
        <v>0</v>
      </c>
      <c r="CF1099" s="387">
        <f t="shared" si="771"/>
        <v>-212.09551999999999</v>
      </c>
      <c r="CG1099" s="387">
        <f t="shared" si="772"/>
        <v>0</v>
      </c>
      <c r="CH1099" s="387">
        <f t="shared" si="773"/>
        <v>30.299359999999989</v>
      </c>
      <c r="CI1099" s="387">
        <f t="shared" si="774"/>
        <v>0</v>
      </c>
      <c r="CJ1099" s="387">
        <f t="shared" si="787"/>
        <v>-181.79616000000001</v>
      </c>
      <c r="CK1099" s="387" t="str">
        <f t="shared" si="788"/>
        <v/>
      </c>
      <c r="CL1099" s="387" t="str">
        <f t="shared" si="789"/>
        <v/>
      </c>
      <c r="CM1099" s="387" t="str">
        <f t="shared" si="790"/>
        <v/>
      </c>
      <c r="CN1099" s="387" t="str">
        <f t="shared" si="791"/>
        <v>0348-31</v>
      </c>
    </row>
    <row r="1100" spans="1:92" ht="15.75" thickBot="1" x14ac:dyDescent="0.3">
      <c r="A1100" s="376" t="s">
        <v>161</v>
      </c>
      <c r="B1100" s="376" t="s">
        <v>162</v>
      </c>
      <c r="C1100" s="376" t="s">
        <v>1403</v>
      </c>
      <c r="D1100" s="376" t="s">
        <v>247</v>
      </c>
      <c r="E1100" s="376" t="s">
        <v>224</v>
      </c>
      <c r="F1100" s="382" t="s">
        <v>225</v>
      </c>
      <c r="G1100" s="376" t="s">
        <v>1945</v>
      </c>
      <c r="H1100" s="378"/>
      <c r="I1100" s="378"/>
      <c r="J1100" s="376" t="s">
        <v>215</v>
      </c>
      <c r="K1100" s="376" t="s">
        <v>248</v>
      </c>
      <c r="L1100" s="376" t="s">
        <v>178</v>
      </c>
      <c r="M1100" s="376" t="s">
        <v>171</v>
      </c>
      <c r="N1100" s="376" t="s">
        <v>172</v>
      </c>
      <c r="O1100" s="379">
        <v>1</v>
      </c>
      <c r="P1100" s="385">
        <v>1</v>
      </c>
      <c r="Q1100" s="385">
        <v>1</v>
      </c>
      <c r="R1100" s="380">
        <v>80</v>
      </c>
      <c r="S1100" s="385">
        <v>1</v>
      </c>
      <c r="T1100" s="380">
        <v>0</v>
      </c>
      <c r="U1100" s="380">
        <v>0</v>
      </c>
      <c r="V1100" s="380">
        <v>0</v>
      </c>
      <c r="W1100" s="380">
        <v>37710.400000000001</v>
      </c>
      <c r="X1100" s="380">
        <v>19804.849999999999</v>
      </c>
      <c r="Y1100" s="380">
        <v>37710.400000000001</v>
      </c>
      <c r="Z1100" s="380">
        <v>19646.47</v>
      </c>
      <c r="AA1100" s="376" t="s">
        <v>1404</v>
      </c>
      <c r="AB1100" s="376" t="s">
        <v>1405</v>
      </c>
      <c r="AC1100" s="376" t="s">
        <v>1406</v>
      </c>
      <c r="AD1100" s="376" t="s">
        <v>686</v>
      </c>
      <c r="AE1100" s="376" t="s">
        <v>248</v>
      </c>
      <c r="AF1100" s="376" t="s">
        <v>253</v>
      </c>
      <c r="AG1100" s="376" t="s">
        <v>178</v>
      </c>
      <c r="AH1100" s="381">
        <v>18.13</v>
      </c>
      <c r="AI1100" s="381">
        <v>39771.300000000003</v>
      </c>
      <c r="AJ1100" s="376" t="s">
        <v>179</v>
      </c>
      <c r="AK1100" s="376" t="s">
        <v>180</v>
      </c>
      <c r="AL1100" s="376" t="s">
        <v>181</v>
      </c>
      <c r="AM1100" s="376" t="s">
        <v>182</v>
      </c>
      <c r="AN1100" s="376" t="s">
        <v>68</v>
      </c>
      <c r="AO1100" s="379">
        <v>80</v>
      </c>
      <c r="AP1100" s="385">
        <v>1</v>
      </c>
      <c r="AQ1100" s="385">
        <v>1</v>
      </c>
      <c r="AR1100" s="383" t="s">
        <v>183</v>
      </c>
      <c r="AS1100" s="387">
        <f t="shared" si="775"/>
        <v>1</v>
      </c>
      <c r="AT1100">
        <f t="shared" si="776"/>
        <v>1</v>
      </c>
      <c r="AU1100" s="387">
        <f>IF(AT1100=0,"",IF(AND(AT1100=1,M1100="F",SUMIF(C2:C1334,C1100,AS2:AS1334)&lt;=1),SUMIF(C2:C1334,C1100,AS2:AS1334),IF(AND(AT1100=1,M1100="F",SUMIF(C2:C1334,C1100,AS2:AS1334)&gt;1),1,"")))</f>
        <v>1</v>
      </c>
      <c r="AV1100" s="387" t="str">
        <f>IF(AT1100=0,"",IF(AND(AT1100=3,M1100="F",SUMIF(C2:C1334,C1100,AS2:AS1334)&lt;=1),SUMIF(C2:C1334,C1100,AS2:AS1334),IF(AND(AT1100=3,M1100="F",SUMIF(C2:C1334,C1100,AS2:AS1334)&gt;1),1,"")))</f>
        <v/>
      </c>
      <c r="AW1100" s="387">
        <f>SUMIF(C2:C1334,C1100,O2:O1334)</f>
        <v>2</v>
      </c>
      <c r="AX1100" s="387">
        <f>IF(AND(M1100="F",AS1100&lt;&gt;0),SUMIF(C2:C1334,C1100,W2:W1334),0)</f>
        <v>37710.400000000001</v>
      </c>
      <c r="AY1100" s="387">
        <f t="shared" si="777"/>
        <v>37710.400000000001</v>
      </c>
      <c r="AZ1100" s="387" t="str">
        <f t="shared" si="778"/>
        <v/>
      </c>
      <c r="BA1100" s="387">
        <f t="shared" si="779"/>
        <v>0</v>
      </c>
      <c r="BB1100" s="387">
        <f t="shared" si="748"/>
        <v>11650</v>
      </c>
      <c r="BC1100" s="387">
        <f t="shared" si="749"/>
        <v>0</v>
      </c>
      <c r="BD1100" s="387">
        <f t="shared" si="750"/>
        <v>2338.0448000000001</v>
      </c>
      <c r="BE1100" s="387">
        <f t="shared" si="751"/>
        <v>546.80080000000009</v>
      </c>
      <c r="BF1100" s="387">
        <f t="shared" si="752"/>
        <v>4502.62176</v>
      </c>
      <c r="BG1100" s="387">
        <f t="shared" si="753"/>
        <v>271.89198400000004</v>
      </c>
      <c r="BH1100" s="387">
        <f t="shared" si="754"/>
        <v>184.78095999999999</v>
      </c>
      <c r="BI1100" s="387">
        <f t="shared" si="755"/>
        <v>208.72706400000001</v>
      </c>
      <c r="BJ1100" s="387">
        <f t="shared" si="756"/>
        <v>101.81808000000001</v>
      </c>
      <c r="BK1100" s="387">
        <f t="shared" si="757"/>
        <v>0</v>
      </c>
      <c r="BL1100" s="387">
        <f t="shared" si="780"/>
        <v>8154.6854480000002</v>
      </c>
      <c r="BM1100" s="387">
        <f t="shared" si="781"/>
        <v>0</v>
      </c>
      <c r="BN1100" s="387">
        <f t="shared" si="758"/>
        <v>11650</v>
      </c>
      <c r="BO1100" s="387">
        <f t="shared" si="759"/>
        <v>0</v>
      </c>
      <c r="BP1100" s="387">
        <f t="shared" si="760"/>
        <v>2338.0448000000001</v>
      </c>
      <c r="BQ1100" s="387">
        <f t="shared" si="761"/>
        <v>546.80080000000009</v>
      </c>
      <c r="BR1100" s="387">
        <f t="shared" si="762"/>
        <v>4502.62176</v>
      </c>
      <c r="BS1100" s="387">
        <f t="shared" si="763"/>
        <v>271.89198400000004</v>
      </c>
      <c r="BT1100" s="387">
        <f t="shared" si="764"/>
        <v>0</v>
      </c>
      <c r="BU1100" s="387">
        <f t="shared" si="765"/>
        <v>208.72706400000001</v>
      </c>
      <c r="BV1100" s="387">
        <f t="shared" si="766"/>
        <v>128.21536</v>
      </c>
      <c r="BW1100" s="387">
        <f t="shared" si="767"/>
        <v>0</v>
      </c>
      <c r="BX1100" s="387">
        <f t="shared" si="782"/>
        <v>7996.3017680000003</v>
      </c>
      <c r="BY1100" s="387">
        <f t="shared" si="783"/>
        <v>0</v>
      </c>
      <c r="BZ1100" s="387">
        <f t="shared" si="784"/>
        <v>0</v>
      </c>
      <c r="CA1100" s="387">
        <f t="shared" si="785"/>
        <v>0</v>
      </c>
      <c r="CB1100" s="387">
        <f t="shared" si="786"/>
        <v>0</v>
      </c>
      <c r="CC1100" s="387">
        <f t="shared" si="768"/>
        <v>0</v>
      </c>
      <c r="CD1100" s="387">
        <f t="shared" si="769"/>
        <v>0</v>
      </c>
      <c r="CE1100" s="387">
        <f t="shared" si="770"/>
        <v>0</v>
      </c>
      <c r="CF1100" s="387">
        <f t="shared" si="771"/>
        <v>-184.78095999999999</v>
      </c>
      <c r="CG1100" s="387">
        <f t="shared" si="772"/>
        <v>0</v>
      </c>
      <c r="CH1100" s="387">
        <f t="shared" si="773"/>
        <v>26.397279999999988</v>
      </c>
      <c r="CI1100" s="387">
        <f t="shared" si="774"/>
        <v>0</v>
      </c>
      <c r="CJ1100" s="387">
        <f t="shared" si="787"/>
        <v>-158.38368</v>
      </c>
      <c r="CK1100" s="387" t="str">
        <f t="shared" si="788"/>
        <v/>
      </c>
      <c r="CL1100" s="387" t="str">
        <f t="shared" si="789"/>
        <v/>
      </c>
      <c r="CM1100" s="387" t="str">
        <f t="shared" si="790"/>
        <v/>
      </c>
      <c r="CN1100" s="387" t="str">
        <f t="shared" si="791"/>
        <v>0348-31</v>
      </c>
    </row>
    <row r="1101" spans="1:92" ht="15.75" thickBot="1" x14ac:dyDescent="0.3">
      <c r="A1101" s="376" t="s">
        <v>161</v>
      </c>
      <c r="B1101" s="376" t="s">
        <v>162</v>
      </c>
      <c r="C1101" s="376" t="s">
        <v>2302</v>
      </c>
      <c r="D1101" s="376" t="s">
        <v>792</v>
      </c>
      <c r="E1101" s="376" t="s">
        <v>224</v>
      </c>
      <c r="F1101" s="382" t="s">
        <v>225</v>
      </c>
      <c r="G1101" s="376" t="s">
        <v>1945</v>
      </c>
      <c r="H1101" s="378"/>
      <c r="I1101" s="378"/>
      <c r="J1101" s="376" t="s">
        <v>215</v>
      </c>
      <c r="K1101" s="376" t="s">
        <v>793</v>
      </c>
      <c r="L1101" s="376" t="s">
        <v>170</v>
      </c>
      <c r="M1101" s="376" t="s">
        <v>171</v>
      </c>
      <c r="N1101" s="376" t="s">
        <v>172</v>
      </c>
      <c r="O1101" s="379">
        <v>1</v>
      </c>
      <c r="P1101" s="385">
        <v>1</v>
      </c>
      <c r="Q1101" s="385">
        <v>1</v>
      </c>
      <c r="R1101" s="380">
        <v>80</v>
      </c>
      <c r="S1101" s="385">
        <v>1</v>
      </c>
      <c r="T1101" s="380">
        <v>61650.53</v>
      </c>
      <c r="U1101" s="380">
        <v>3326.62</v>
      </c>
      <c r="V1101" s="380">
        <v>24932.16</v>
      </c>
      <c r="W1101" s="380">
        <v>58843.199999999997</v>
      </c>
      <c r="X1101" s="380">
        <v>24374.799999999999</v>
      </c>
      <c r="Y1101" s="380">
        <v>58843.199999999997</v>
      </c>
      <c r="Z1101" s="380">
        <v>24127.66</v>
      </c>
      <c r="AA1101" s="376" t="s">
        <v>2303</v>
      </c>
      <c r="AB1101" s="376" t="s">
        <v>2058</v>
      </c>
      <c r="AC1101" s="376" t="s">
        <v>2304</v>
      </c>
      <c r="AD1101" s="376" t="s">
        <v>170</v>
      </c>
      <c r="AE1101" s="376" t="s">
        <v>793</v>
      </c>
      <c r="AF1101" s="376" t="s">
        <v>177</v>
      </c>
      <c r="AG1101" s="376" t="s">
        <v>178</v>
      </c>
      <c r="AH1101" s="381">
        <v>28.29</v>
      </c>
      <c r="AI1101" s="381">
        <v>36471.4</v>
      </c>
      <c r="AJ1101" s="376" t="s">
        <v>179</v>
      </c>
      <c r="AK1101" s="376" t="s">
        <v>180</v>
      </c>
      <c r="AL1101" s="376" t="s">
        <v>181</v>
      </c>
      <c r="AM1101" s="376" t="s">
        <v>182</v>
      </c>
      <c r="AN1101" s="376" t="s">
        <v>68</v>
      </c>
      <c r="AO1101" s="379">
        <v>80</v>
      </c>
      <c r="AP1101" s="385">
        <v>1</v>
      </c>
      <c r="AQ1101" s="385">
        <v>1</v>
      </c>
      <c r="AR1101" s="383" t="s">
        <v>183</v>
      </c>
      <c r="AS1101" s="387">
        <f t="shared" si="775"/>
        <v>1</v>
      </c>
      <c r="AT1101">
        <f t="shared" si="776"/>
        <v>1</v>
      </c>
      <c r="AU1101" s="387">
        <f>IF(AT1101=0,"",IF(AND(AT1101=1,M1101="F",SUMIF(C2:C1334,C1101,AS2:AS1334)&lt;=1),SUMIF(C2:C1334,C1101,AS2:AS1334),IF(AND(AT1101=1,M1101="F",SUMIF(C2:C1334,C1101,AS2:AS1334)&gt;1),1,"")))</f>
        <v>1</v>
      </c>
      <c r="AV1101" s="387" t="str">
        <f>IF(AT1101=0,"",IF(AND(AT1101=3,M1101="F",SUMIF(C2:C1334,C1101,AS2:AS1334)&lt;=1),SUMIF(C2:C1334,C1101,AS2:AS1334),IF(AND(AT1101=3,M1101="F",SUMIF(C2:C1334,C1101,AS2:AS1334)&gt;1),1,"")))</f>
        <v/>
      </c>
      <c r="AW1101" s="387">
        <f>SUMIF(C2:C1334,C1101,O2:O1334)</f>
        <v>1</v>
      </c>
      <c r="AX1101" s="387">
        <f>IF(AND(M1101="F",AS1101&lt;&gt;0),SUMIF(C2:C1334,C1101,W2:W1334),0)</f>
        <v>58843.199999999997</v>
      </c>
      <c r="AY1101" s="387">
        <f t="shared" si="777"/>
        <v>58843.199999999997</v>
      </c>
      <c r="AZ1101" s="387" t="str">
        <f t="shared" si="778"/>
        <v/>
      </c>
      <c r="BA1101" s="387">
        <f t="shared" si="779"/>
        <v>0</v>
      </c>
      <c r="BB1101" s="387">
        <f t="shared" si="748"/>
        <v>11650</v>
      </c>
      <c r="BC1101" s="387">
        <f t="shared" si="749"/>
        <v>0</v>
      </c>
      <c r="BD1101" s="387">
        <f t="shared" si="750"/>
        <v>3648.2783999999997</v>
      </c>
      <c r="BE1101" s="387">
        <f t="shared" si="751"/>
        <v>853.22640000000001</v>
      </c>
      <c r="BF1101" s="387">
        <f t="shared" si="752"/>
        <v>7025.8780800000004</v>
      </c>
      <c r="BG1101" s="387">
        <f t="shared" si="753"/>
        <v>424.25947200000002</v>
      </c>
      <c r="BH1101" s="387">
        <f t="shared" si="754"/>
        <v>288.33167999999995</v>
      </c>
      <c r="BI1101" s="387">
        <f t="shared" si="755"/>
        <v>325.697112</v>
      </c>
      <c r="BJ1101" s="387">
        <f t="shared" si="756"/>
        <v>158.87664000000001</v>
      </c>
      <c r="BK1101" s="387">
        <f t="shared" si="757"/>
        <v>0</v>
      </c>
      <c r="BL1101" s="387">
        <f t="shared" si="780"/>
        <v>12724.547784</v>
      </c>
      <c r="BM1101" s="387">
        <f t="shared" si="781"/>
        <v>0</v>
      </c>
      <c r="BN1101" s="387">
        <f t="shared" si="758"/>
        <v>11650</v>
      </c>
      <c r="BO1101" s="387">
        <f t="shared" si="759"/>
        <v>0</v>
      </c>
      <c r="BP1101" s="387">
        <f t="shared" si="760"/>
        <v>3648.2783999999997</v>
      </c>
      <c r="BQ1101" s="387">
        <f t="shared" si="761"/>
        <v>853.22640000000001</v>
      </c>
      <c r="BR1101" s="387">
        <f t="shared" si="762"/>
        <v>7025.8780800000004</v>
      </c>
      <c r="BS1101" s="387">
        <f t="shared" si="763"/>
        <v>424.25947200000002</v>
      </c>
      <c r="BT1101" s="387">
        <f t="shared" si="764"/>
        <v>0</v>
      </c>
      <c r="BU1101" s="387">
        <f t="shared" si="765"/>
        <v>325.697112</v>
      </c>
      <c r="BV1101" s="387">
        <f t="shared" si="766"/>
        <v>200.06687999999997</v>
      </c>
      <c r="BW1101" s="387">
        <f t="shared" si="767"/>
        <v>0</v>
      </c>
      <c r="BX1101" s="387">
        <f t="shared" si="782"/>
        <v>12477.406344000001</v>
      </c>
      <c r="BY1101" s="387">
        <f t="shared" si="783"/>
        <v>0</v>
      </c>
      <c r="BZ1101" s="387">
        <f t="shared" si="784"/>
        <v>0</v>
      </c>
      <c r="CA1101" s="387">
        <f t="shared" si="785"/>
        <v>0</v>
      </c>
      <c r="CB1101" s="387">
        <f t="shared" si="786"/>
        <v>0</v>
      </c>
      <c r="CC1101" s="387">
        <f t="shared" si="768"/>
        <v>0</v>
      </c>
      <c r="CD1101" s="387">
        <f t="shared" si="769"/>
        <v>0</v>
      </c>
      <c r="CE1101" s="387">
        <f t="shared" si="770"/>
        <v>0</v>
      </c>
      <c r="CF1101" s="387">
        <f t="shared" si="771"/>
        <v>-288.33167999999995</v>
      </c>
      <c r="CG1101" s="387">
        <f t="shared" si="772"/>
        <v>0</v>
      </c>
      <c r="CH1101" s="387">
        <f t="shared" si="773"/>
        <v>41.190239999999982</v>
      </c>
      <c r="CI1101" s="387">
        <f t="shared" si="774"/>
        <v>0</v>
      </c>
      <c r="CJ1101" s="387">
        <f t="shared" si="787"/>
        <v>-247.14143999999996</v>
      </c>
      <c r="CK1101" s="387" t="str">
        <f t="shared" si="788"/>
        <v/>
      </c>
      <c r="CL1101" s="387" t="str">
        <f t="shared" si="789"/>
        <v/>
      </c>
      <c r="CM1101" s="387" t="str">
        <f t="shared" si="790"/>
        <v/>
      </c>
      <c r="CN1101" s="387" t="str">
        <f t="shared" si="791"/>
        <v>0348-31</v>
      </c>
    </row>
    <row r="1102" spans="1:92" ht="15.75" thickBot="1" x14ac:dyDescent="0.3">
      <c r="A1102" s="376" t="s">
        <v>161</v>
      </c>
      <c r="B1102" s="376" t="s">
        <v>162</v>
      </c>
      <c r="C1102" s="376" t="s">
        <v>469</v>
      </c>
      <c r="D1102" s="376" t="s">
        <v>213</v>
      </c>
      <c r="E1102" s="376" t="s">
        <v>224</v>
      </c>
      <c r="F1102" s="382" t="s">
        <v>225</v>
      </c>
      <c r="G1102" s="376" t="s">
        <v>1945</v>
      </c>
      <c r="H1102" s="378"/>
      <c r="I1102" s="378"/>
      <c r="J1102" s="376" t="s">
        <v>215</v>
      </c>
      <c r="K1102" s="376" t="s">
        <v>216</v>
      </c>
      <c r="L1102" s="376" t="s">
        <v>217</v>
      </c>
      <c r="M1102" s="376" t="s">
        <v>171</v>
      </c>
      <c r="N1102" s="376" t="s">
        <v>172</v>
      </c>
      <c r="O1102" s="379">
        <v>1</v>
      </c>
      <c r="P1102" s="385">
        <v>0</v>
      </c>
      <c r="Q1102" s="385">
        <v>0</v>
      </c>
      <c r="R1102" s="380">
        <v>80</v>
      </c>
      <c r="S1102" s="385">
        <v>0</v>
      </c>
      <c r="T1102" s="380">
        <v>3578.83</v>
      </c>
      <c r="U1102" s="380">
        <v>0</v>
      </c>
      <c r="V1102" s="380">
        <v>1553.34</v>
      </c>
      <c r="W1102" s="380">
        <v>0</v>
      </c>
      <c r="X1102" s="380">
        <v>0</v>
      </c>
      <c r="Y1102" s="380">
        <v>0</v>
      </c>
      <c r="Z1102" s="380">
        <v>0</v>
      </c>
      <c r="AA1102" s="376" t="s">
        <v>470</v>
      </c>
      <c r="AB1102" s="376" t="s">
        <v>471</v>
      </c>
      <c r="AC1102" s="376" t="s">
        <v>472</v>
      </c>
      <c r="AD1102" s="376" t="s">
        <v>198</v>
      </c>
      <c r="AE1102" s="376" t="s">
        <v>216</v>
      </c>
      <c r="AF1102" s="376" t="s">
        <v>221</v>
      </c>
      <c r="AG1102" s="376" t="s">
        <v>178</v>
      </c>
      <c r="AH1102" s="381">
        <v>27.9</v>
      </c>
      <c r="AI1102" s="381">
        <v>90442.3</v>
      </c>
      <c r="AJ1102" s="376" t="s">
        <v>473</v>
      </c>
      <c r="AK1102" s="376" t="s">
        <v>180</v>
      </c>
      <c r="AL1102" s="376" t="s">
        <v>181</v>
      </c>
      <c r="AM1102" s="376" t="s">
        <v>182</v>
      </c>
      <c r="AN1102" s="376" t="s">
        <v>68</v>
      </c>
      <c r="AO1102" s="379">
        <v>50</v>
      </c>
      <c r="AP1102" s="385">
        <v>1</v>
      </c>
      <c r="AQ1102" s="385">
        <v>0</v>
      </c>
      <c r="AR1102" s="383" t="s">
        <v>183</v>
      </c>
      <c r="AS1102" s="387">
        <f t="shared" si="775"/>
        <v>0</v>
      </c>
      <c r="AT1102">
        <f t="shared" si="776"/>
        <v>0</v>
      </c>
      <c r="AU1102" s="387" t="str">
        <f>IF(AT1102=0,"",IF(AND(AT1102=1,M1102="F",SUMIF(C2:C1334,C1102,AS2:AS1334)&lt;=1),SUMIF(C2:C1334,C1102,AS2:AS1334),IF(AND(AT1102=1,M1102="F",SUMIF(C2:C1334,C1102,AS2:AS1334)&gt;1),1,"")))</f>
        <v/>
      </c>
      <c r="AV1102" s="387" t="str">
        <f>IF(AT1102=0,"",IF(AND(AT1102=3,M1102="F",SUMIF(C2:C1334,C1102,AS2:AS1334)&lt;=1),SUMIF(C2:C1334,C1102,AS2:AS1334),IF(AND(AT1102=3,M1102="F",SUMIF(C2:C1334,C1102,AS2:AS1334)&gt;1),1,"")))</f>
        <v/>
      </c>
      <c r="AW1102" s="387">
        <f>SUMIF(C2:C1334,C1102,O2:O1334)</f>
        <v>3</v>
      </c>
      <c r="AX1102" s="387">
        <f>IF(AND(M1102="F",AS1102&lt;&gt;0),SUMIF(C2:C1334,C1102,W2:W1334),0)</f>
        <v>0</v>
      </c>
      <c r="AY1102" s="387" t="str">
        <f t="shared" si="777"/>
        <v/>
      </c>
      <c r="AZ1102" s="387" t="str">
        <f t="shared" si="778"/>
        <v/>
      </c>
      <c r="BA1102" s="387">
        <f t="shared" si="779"/>
        <v>0</v>
      </c>
      <c r="BB1102" s="387">
        <f t="shared" si="748"/>
        <v>0</v>
      </c>
      <c r="BC1102" s="387">
        <f t="shared" si="749"/>
        <v>0</v>
      </c>
      <c r="BD1102" s="387">
        <f t="shared" si="750"/>
        <v>0</v>
      </c>
      <c r="BE1102" s="387">
        <f t="shared" si="751"/>
        <v>0</v>
      </c>
      <c r="BF1102" s="387">
        <f t="shared" si="752"/>
        <v>0</v>
      </c>
      <c r="BG1102" s="387">
        <f t="shared" si="753"/>
        <v>0</v>
      </c>
      <c r="BH1102" s="387">
        <f t="shared" si="754"/>
        <v>0</v>
      </c>
      <c r="BI1102" s="387">
        <f t="shared" si="755"/>
        <v>0</v>
      </c>
      <c r="BJ1102" s="387">
        <f t="shared" si="756"/>
        <v>0</v>
      </c>
      <c r="BK1102" s="387">
        <f t="shared" si="757"/>
        <v>0</v>
      </c>
      <c r="BL1102" s="387">
        <f t="shared" si="780"/>
        <v>0</v>
      </c>
      <c r="BM1102" s="387">
        <f t="shared" si="781"/>
        <v>0</v>
      </c>
      <c r="BN1102" s="387">
        <f t="shared" si="758"/>
        <v>0</v>
      </c>
      <c r="BO1102" s="387">
        <f t="shared" si="759"/>
        <v>0</v>
      </c>
      <c r="BP1102" s="387">
        <f t="shared" si="760"/>
        <v>0</v>
      </c>
      <c r="BQ1102" s="387">
        <f t="shared" si="761"/>
        <v>0</v>
      </c>
      <c r="BR1102" s="387">
        <f t="shared" si="762"/>
        <v>0</v>
      </c>
      <c r="BS1102" s="387">
        <f t="shared" si="763"/>
        <v>0</v>
      </c>
      <c r="BT1102" s="387">
        <f t="shared" si="764"/>
        <v>0</v>
      </c>
      <c r="BU1102" s="387">
        <f t="shared" si="765"/>
        <v>0</v>
      </c>
      <c r="BV1102" s="387">
        <f t="shared" si="766"/>
        <v>0</v>
      </c>
      <c r="BW1102" s="387">
        <f t="shared" si="767"/>
        <v>0</v>
      </c>
      <c r="BX1102" s="387">
        <f t="shared" si="782"/>
        <v>0</v>
      </c>
      <c r="BY1102" s="387">
        <f t="shared" si="783"/>
        <v>0</v>
      </c>
      <c r="BZ1102" s="387">
        <f t="shared" si="784"/>
        <v>0</v>
      </c>
      <c r="CA1102" s="387">
        <f t="shared" si="785"/>
        <v>0</v>
      </c>
      <c r="CB1102" s="387">
        <f t="shared" si="786"/>
        <v>0</v>
      </c>
      <c r="CC1102" s="387">
        <f t="shared" si="768"/>
        <v>0</v>
      </c>
      <c r="CD1102" s="387">
        <f t="shared" si="769"/>
        <v>0</v>
      </c>
      <c r="CE1102" s="387">
        <f t="shared" si="770"/>
        <v>0</v>
      </c>
      <c r="CF1102" s="387">
        <f t="shared" si="771"/>
        <v>0</v>
      </c>
      <c r="CG1102" s="387">
        <f t="shared" si="772"/>
        <v>0</v>
      </c>
      <c r="CH1102" s="387">
        <f t="shared" si="773"/>
        <v>0</v>
      </c>
      <c r="CI1102" s="387">
        <f t="shared" si="774"/>
        <v>0</v>
      </c>
      <c r="CJ1102" s="387">
        <f t="shared" si="787"/>
        <v>0</v>
      </c>
      <c r="CK1102" s="387" t="str">
        <f t="shared" si="788"/>
        <v/>
      </c>
      <c r="CL1102" s="387" t="str">
        <f t="shared" si="789"/>
        <v/>
      </c>
      <c r="CM1102" s="387" t="str">
        <f t="shared" si="790"/>
        <v/>
      </c>
      <c r="CN1102" s="387" t="str">
        <f t="shared" si="791"/>
        <v>0348-31</v>
      </c>
    </row>
    <row r="1103" spans="1:92" ht="15.75" thickBot="1" x14ac:dyDescent="0.3">
      <c r="A1103" s="376" t="s">
        <v>161</v>
      </c>
      <c r="B1103" s="376" t="s">
        <v>162</v>
      </c>
      <c r="C1103" s="376" t="s">
        <v>362</v>
      </c>
      <c r="D1103" s="376" t="s">
        <v>204</v>
      </c>
      <c r="E1103" s="376" t="s">
        <v>224</v>
      </c>
      <c r="F1103" s="382" t="s">
        <v>225</v>
      </c>
      <c r="G1103" s="376" t="s">
        <v>1945</v>
      </c>
      <c r="H1103" s="378"/>
      <c r="I1103" s="378"/>
      <c r="J1103" s="376" t="s">
        <v>215</v>
      </c>
      <c r="K1103" s="376" t="s">
        <v>206</v>
      </c>
      <c r="L1103" s="376" t="s">
        <v>181</v>
      </c>
      <c r="M1103" s="376" t="s">
        <v>171</v>
      </c>
      <c r="N1103" s="376" t="s">
        <v>172</v>
      </c>
      <c r="O1103" s="379">
        <v>1</v>
      </c>
      <c r="P1103" s="385">
        <v>0</v>
      </c>
      <c r="Q1103" s="385">
        <v>0</v>
      </c>
      <c r="R1103" s="380">
        <v>80</v>
      </c>
      <c r="S1103" s="385">
        <v>0</v>
      </c>
      <c r="T1103" s="380">
        <v>236.76</v>
      </c>
      <c r="U1103" s="380">
        <v>0</v>
      </c>
      <c r="V1103" s="380">
        <v>79.31</v>
      </c>
      <c r="W1103" s="380">
        <v>0</v>
      </c>
      <c r="X1103" s="380">
        <v>0</v>
      </c>
      <c r="Y1103" s="380">
        <v>0</v>
      </c>
      <c r="Z1103" s="380">
        <v>0</v>
      </c>
      <c r="AA1103" s="376" t="s">
        <v>363</v>
      </c>
      <c r="AB1103" s="376" t="s">
        <v>364</v>
      </c>
      <c r="AC1103" s="376" t="s">
        <v>365</v>
      </c>
      <c r="AD1103" s="376" t="s">
        <v>366</v>
      </c>
      <c r="AE1103" s="376" t="s">
        <v>206</v>
      </c>
      <c r="AF1103" s="376" t="s">
        <v>211</v>
      </c>
      <c r="AG1103" s="376" t="s">
        <v>178</v>
      </c>
      <c r="AH1103" s="381">
        <v>33.83</v>
      </c>
      <c r="AI1103" s="381">
        <v>24806.5</v>
      </c>
      <c r="AJ1103" s="376" t="s">
        <v>179</v>
      </c>
      <c r="AK1103" s="376" t="s">
        <v>180</v>
      </c>
      <c r="AL1103" s="376" t="s">
        <v>181</v>
      </c>
      <c r="AM1103" s="376" t="s">
        <v>182</v>
      </c>
      <c r="AN1103" s="376" t="s">
        <v>68</v>
      </c>
      <c r="AO1103" s="379">
        <v>80</v>
      </c>
      <c r="AP1103" s="385">
        <v>1</v>
      </c>
      <c r="AQ1103" s="385">
        <v>0</v>
      </c>
      <c r="AR1103" s="383" t="s">
        <v>183</v>
      </c>
      <c r="AS1103" s="387">
        <f t="shared" si="775"/>
        <v>0</v>
      </c>
      <c r="AT1103">
        <f t="shared" si="776"/>
        <v>0</v>
      </c>
      <c r="AU1103" s="387" t="str">
        <f>IF(AT1103=0,"",IF(AND(AT1103=1,M1103="F",SUMIF(C2:C1334,C1103,AS2:AS1334)&lt;=1),SUMIF(C2:C1334,C1103,AS2:AS1334),IF(AND(AT1103=1,M1103="F",SUMIF(C2:C1334,C1103,AS2:AS1334)&gt;1),1,"")))</f>
        <v/>
      </c>
      <c r="AV1103" s="387" t="str">
        <f>IF(AT1103=0,"",IF(AND(AT1103=3,M1103="F",SUMIF(C2:C1334,C1103,AS2:AS1334)&lt;=1),SUMIF(C2:C1334,C1103,AS2:AS1334),IF(AND(AT1103=3,M1103="F",SUMIF(C2:C1334,C1103,AS2:AS1334)&gt;1),1,"")))</f>
        <v/>
      </c>
      <c r="AW1103" s="387">
        <f>SUMIF(C2:C1334,C1103,O2:O1334)</f>
        <v>3</v>
      </c>
      <c r="AX1103" s="387">
        <f>IF(AND(M1103="F",AS1103&lt;&gt;0),SUMIF(C2:C1334,C1103,W2:W1334),0)</f>
        <v>0</v>
      </c>
      <c r="AY1103" s="387" t="str">
        <f t="shared" si="777"/>
        <v/>
      </c>
      <c r="AZ1103" s="387" t="str">
        <f t="shared" si="778"/>
        <v/>
      </c>
      <c r="BA1103" s="387">
        <f t="shared" si="779"/>
        <v>0</v>
      </c>
      <c r="BB1103" s="387">
        <f t="shared" si="748"/>
        <v>0</v>
      </c>
      <c r="BC1103" s="387">
        <f t="shared" si="749"/>
        <v>0</v>
      </c>
      <c r="BD1103" s="387">
        <f t="shared" si="750"/>
        <v>0</v>
      </c>
      <c r="BE1103" s="387">
        <f t="shared" si="751"/>
        <v>0</v>
      </c>
      <c r="BF1103" s="387">
        <f t="shared" si="752"/>
        <v>0</v>
      </c>
      <c r="BG1103" s="387">
        <f t="shared" si="753"/>
        <v>0</v>
      </c>
      <c r="BH1103" s="387">
        <f t="shared" si="754"/>
        <v>0</v>
      </c>
      <c r="BI1103" s="387">
        <f t="shared" si="755"/>
        <v>0</v>
      </c>
      <c r="BJ1103" s="387">
        <f t="shared" si="756"/>
        <v>0</v>
      </c>
      <c r="BK1103" s="387">
        <f t="shared" si="757"/>
        <v>0</v>
      </c>
      <c r="BL1103" s="387">
        <f t="shared" si="780"/>
        <v>0</v>
      </c>
      <c r="BM1103" s="387">
        <f t="shared" si="781"/>
        <v>0</v>
      </c>
      <c r="BN1103" s="387">
        <f t="shared" si="758"/>
        <v>0</v>
      </c>
      <c r="BO1103" s="387">
        <f t="shared" si="759"/>
        <v>0</v>
      </c>
      <c r="BP1103" s="387">
        <f t="shared" si="760"/>
        <v>0</v>
      </c>
      <c r="BQ1103" s="387">
        <f t="shared" si="761"/>
        <v>0</v>
      </c>
      <c r="BR1103" s="387">
        <f t="shared" si="762"/>
        <v>0</v>
      </c>
      <c r="BS1103" s="387">
        <f t="shared" si="763"/>
        <v>0</v>
      </c>
      <c r="BT1103" s="387">
        <f t="shared" si="764"/>
        <v>0</v>
      </c>
      <c r="BU1103" s="387">
        <f t="shared" si="765"/>
        <v>0</v>
      </c>
      <c r="BV1103" s="387">
        <f t="shared" si="766"/>
        <v>0</v>
      </c>
      <c r="BW1103" s="387">
        <f t="shared" si="767"/>
        <v>0</v>
      </c>
      <c r="BX1103" s="387">
        <f t="shared" si="782"/>
        <v>0</v>
      </c>
      <c r="BY1103" s="387">
        <f t="shared" si="783"/>
        <v>0</v>
      </c>
      <c r="BZ1103" s="387">
        <f t="shared" si="784"/>
        <v>0</v>
      </c>
      <c r="CA1103" s="387">
        <f t="shared" si="785"/>
        <v>0</v>
      </c>
      <c r="CB1103" s="387">
        <f t="shared" si="786"/>
        <v>0</v>
      </c>
      <c r="CC1103" s="387">
        <f t="shared" si="768"/>
        <v>0</v>
      </c>
      <c r="CD1103" s="387">
        <f t="shared" si="769"/>
        <v>0</v>
      </c>
      <c r="CE1103" s="387">
        <f t="shared" si="770"/>
        <v>0</v>
      </c>
      <c r="CF1103" s="387">
        <f t="shared" si="771"/>
        <v>0</v>
      </c>
      <c r="CG1103" s="387">
        <f t="shared" si="772"/>
        <v>0</v>
      </c>
      <c r="CH1103" s="387">
        <f t="shared" si="773"/>
        <v>0</v>
      </c>
      <c r="CI1103" s="387">
        <f t="shared" si="774"/>
        <v>0</v>
      </c>
      <c r="CJ1103" s="387">
        <f t="shared" si="787"/>
        <v>0</v>
      </c>
      <c r="CK1103" s="387" t="str">
        <f t="shared" si="788"/>
        <v/>
      </c>
      <c r="CL1103" s="387" t="str">
        <f t="shared" si="789"/>
        <v/>
      </c>
      <c r="CM1103" s="387" t="str">
        <f t="shared" si="790"/>
        <v/>
      </c>
      <c r="CN1103" s="387" t="str">
        <f t="shared" si="791"/>
        <v>0348-31</v>
      </c>
    </row>
    <row r="1104" spans="1:92" ht="15.75" thickBot="1" x14ac:dyDescent="0.3">
      <c r="A1104" s="376" t="s">
        <v>161</v>
      </c>
      <c r="B1104" s="376" t="s">
        <v>162</v>
      </c>
      <c r="C1104" s="376" t="s">
        <v>1878</v>
      </c>
      <c r="D1104" s="376" t="s">
        <v>862</v>
      </c>
      <c r="E1104" s="376" t="s">
        <v>224</v>
      </c>
      <c r="F1104" s="382" t="s">
        <v>225</v>
      </c>
      <c r="G1104" s="376" t="s">
        <v>1945</v>
      </c>
      <c r="H1104" s="378"/>
      <c r="I1104" s="378"/>
      <c r="J1104" s="376" t="s">
        <v>239</v>
      </c>
      <c r="K1104" s="376" t="s">
        <v>863</v>
      </c>
      <c r="L1104" s="376" t="s">
        <v>252</v>
      </c>
      <c r="M1104" s="376" t="s">
        <v>171</v>
      </c>
      <c r="N1104" s="376" t="s">
        <v>172</v>
      </c>
      <c r="O1104" s="379">
        <v>1</v>
      </c>
      <c r="P1104" s="385">
        <v>0.25</v>
      </c>
      <c r="Q1104" s="385">
        <v>0.25</v>
      </c>
      <c r="R1104" s="380">
        <v>80</v>
      </c>
      <c r="S1104" s="385">
        <v>0.25</v>
      </c>
      <c r="T1104" s="380">
        <v>10321.85</v>
      </c>
      <c r="U1104" s="380">
        <v>0</v>
      </c>
      <c r="V1104" s="380">
        <v>5114.67</v>
      </c>
      <c r="W1104" s="380">
        <v>12916.8</v>
      </c>
      <c r="X1104" s="380">
        <v>5705.75</v>
      </c>
      <c r="Y1104" s="380">
        <v>12916.8</v>
      </c>
      <c r="Z1104" s="380">
        <v>5651.5</v>
      </c>
      <c r="AA1104" s="376" t="s">
        <v>1879</v>
      </c>
      <c r="AB1104" s="376" t="s">
        <v>1880</v>
      </c>
      <c r="AC1104" s="376" t="s">
        <v>1881</v>
      </c>
      <c r="AD1104" s="376" t="s">
        <v>566</v>
      </c>
      <c r="AE1104" s="376" t="s">
        <v>863</v>
      </c>
      <c r="AF1104" s="376" t="s">
        <v>393</v>
      </c>
      <c r="AG1104" s="376" t="s">
        <v>178</v>
      </c>
      <c r="AH1104" s="381">
        <v>24.84</v>
      </c>
      <c r="AI1104" s="381">
        <v>45212.2</v>
      </c>
      <c r="AJ1104" s="376" t="s">
        <v>179</v>
      </c>
      <c r="AK1104" s="376" t="s">
        <v>180</v>
      </c>
      <c r="AL1104" s="376" t="s">
        <v>181</v>
      </c>
      <c r="AM1104" s="376" t="s">
        <v>182</v>
      </c>
      <c r="AN1104" s="376" t="s">
        <v>68</v>
      </c>
      <c r="AO1104" s="379">
        <v>80</v>
      </c>
      <c r="AP1104" s="385">
        <v>1</v>
      </c>
      <c r="AQ1104" s="385">
        <v>0.25</v>
      </c>
      <c r="AR1104" s="383" t="s">
        <v>183</v>
      </c>
      <c r="AS1104" s="387">
        <f t="shared" si="775"/>
        <v>0.25</v>
      </c>
      <c r="AT1104">
        <f t="shared" si="776"/>
        <v>1</v>
      </c>
      <c r="AU1104" s="387">
        <f>IF(AT1104=0,"",IF(AND(AT1104=1,M1104="F",SUMIF(C2:C1334,C1104,AS2:AS1334)&lt;=1),SUMIF(C2:C1334,C1104,AS2:AS1334),IF(AND(AT1104=1,M1104="F",SUMIF(C2:C1334,C1104,AS2:AS1334)&gt;1),1,"")))</f>
        <v>1</v>
      </c>
      <c r="AV1104" s="387" t="str">
        <f>IF(AT1104=0,"",IF(AND(AT1104=3,M1104="F",SUMIF(C2:C1334,C1104,AS2:AS1334)&lt;=1),SUMIF(C2:C1334,C1104,AS2:AS1334),IF(AND(AT1104=3,M1104="F",SUMIF(C2:C1334,C1104,AS2:AS1334)&gt;1),1,"")))</f>
        <v/>
      </c>
      <c r="AW1104" s="387">
        <f>SUMIF(C2:C1334,C1104,O2:O1334)</f>
        <v>3</v>
      </c>
      <c r="AX1104" s="387">
        <f>IF(AND(M1104="F",AS1104&lt;&gt;0),SUMIF(C2:C1334,C1104,W2:W1334),0)</f>
        <v>51667.199999999997</v>
      </c>
      <c r="AY1104" s="387">
        <f t="shared" si="777"/>
        <v>12916.8</v>
      </c>
      <c r="AZ1104" s="387" t="str">
        <f t="shared" si="778"/>
        <v/>
      </c>
      <c r="BA1104" s="387">
        <f t="shared" si="779"/>
        <v>0</v>
      </c>
      <c r="BB1104" s="387">
        <f t="shared" si="748"/>
        <v>2912.5</v>
      </c>
      <c r="BC1104" s="387">
        <f t="shared" si="749"/>
        <v>0</v>
      </c>
      <c r="BD1104" s="387">
        <f t="shared" si="750"/>
        <v>800.84159999999997</v>
      </c>
      <c r="BE1104" s="387">
        <f t="shared" si="751"/>
        <v>187.2936</v>
      </c>
      <c r="BF1104" s="387">
        <f t="shared" si="752"/>
        <v>1542.2659200000001</v>
      </c>
      <c r="BG1104" s="387">
        <f t="shared" si="753"/>
        <v>93.130127999999999</v>
      </c>
      <c r="BH1104" s="387">
        <f t="shared" si="754"/>
        <v>63.292319999999997</v>
      </c>
      <c r="BI1104" s="387">
        <f t="shared" si="755"/>
        <v>71.49448799999999</v>
      </c>
      <c r="BJ1104" s="387">
        <f t="shared" si="756"/>
        <v>34.875360000000001</v>
      </c>
      <c r="BK1104" s="387">
        <f t="shared" si="757"/>
        <v>0</v>
      </c>
      <c r="BL1104" s="387">
        <f t="shared" si="780"/>
        <v>2793.1934159999996</v>
      </c>
      <c r="BM1104" s="387">
        <f t="shared" si="781"/>
        <v>0</v>
      </c>
      <c r="BN1104" s="387">
        <f t="shared" si="758"/>
        <v>2912.5</v>
      </c>
      <c r="BO1104" s="387">
        <f t="shared" si="759"/>
        <v>0</v>
      </c>
      <c r="BP1104" s="387">
        <f t="shared" si="760"/>
        <v>800.84159999999997</v>
      </c>
      <c r="BQ1104" s="387">
        <f t="shared" si="761"/>
        <v>187.2936</v>
      </c>
      <c r="BR1104" s="387">
        <f t="shared" si="762"/>
        <v>1542.2659200000001</v>
      </c>
      <c r="BS1104" s="387">
        <f t="shared" si="763"/>
        <v>93.130127999999999</v>
      </c>
      <c r="BT1104" s="387">
        <f t="shared" si="764"/>
        <v>0</v>
      </c>
      <c r="BU1104" s="387">
        <f t="shared" si="765"/>
        <v>71.49448799999999</v>
      </c>
      <c r="BV1104" s="387">
        <f t="shared" si="766"/>
        <v>43.917119999999997</v>
      </c>
      <c r="BW1104" s="387">
        <f t="shared" si="767"/>
        <v>0</v>
      </c>
      <c r="BX1104" s="387">
        <f t="shared" si="782"/>
        <v>2738.9428559999997</v>
      </c>
      <c r="BY1104" s="387">
        <f t="shared" si="783"/>
        <v>0</v>
      </c>
      <c r="BZ1104" s="387">
        <f t="shared" si="784"/>
        <v>0</v>
      </c>
      <c r="CA1104" s="387">
        <f t="shared" si="785"/>
        <v>0</v>
      </c>
      <c r="CB1104" s="387">
        <f t="shared" si="786"/>
        <v>0</v>
      </c>
      <c r="CC1104" s="387">
        <f t="shared" si="768"/>
        <v>0</v>
      </c>
      <c r="CD1104" s="387">
        <f t="shared" si="769"/>
        <v>0</v>
      </c>
      <c r="CE1104" s="387">
        <f t="shared" si="770"/>
        <v>0</v>
      </c>
      <c r="CF1104" s="387">
        <f t="shared" si="771"/>
        <v>-63.292319999999997</v>
      </c>
      <c r="CG1104" s="387">
        <f t="shared" si="772"/>
        <v>0</v>
      </c>
      <c r="CH1104" s="387">
        <f t="shared" si="773"/>
        <v>9.0417599999999947</v>
      </c>
      <c r="CI1104" s="387">
        <f t="shared" si="774"/>
        <v>0</v>
      </c>
      <c r="CJ1104" s="387">
        <f t="shared" si="787"/>
        <v>-54.25056</v>
      </c>
      <c r="CK1104" s="387" t="str">
        <f t="shared" si="788"/>
        <v/>
      </c>
      <c r="CL1104" s="387" t="str">
        <f t="shared" si="789"/>
        <v/>
      </c>
      <c r="CM1104" s="387" t="str">
        <f t="shared" si="790"/>
        <v/>
      </c>
      <c r="CN1104" s="387" t="str">
        <f t="shared" si="791"/>
        <v>0348-31</v>
      </c>
    </row>
    <row r="1105" spans="1:92" ht="15.75" thickBot="1" x14ac:dyDescent="0.3">
      <c r="A1105" s="376" t="s">
        <v>161</v>
      </c>
      <c r="B1105" s="376" t="s">
        <v>162</v>
      </c>
      <c r="C1105" s="376" t="s">
        <v>2305</v>
      </c>
      <c r="D1105" s="376" t="s">
        <v>270</v>
      </c>
      <c r="E1105" s="376" t="s">
        <v>224</v>
      </c>
      <c r="F1105" s="382" t="s">
        <v>225</v>
      </c>
      <c r="G1105" s="376" t="s">
        <v>1945</v>
      </c>
      <c r="H1105" s="378"/>
      <c r="I1105" s="378"/>
      <c r="J1105" s="376" t="s">
        <v>215</v>
      </c>
      <c r="K1105" s="376" t="s">
        <v>271</v>
      </c>
      <c r="L1105" s="376" t="s">
        <v>217</v>
      </c>
      <c r="M1105" s="376" t="s">
        <v>171</v>
      </c>
      <c r="N1105" s="376" t="s">
        <v>172</v>
      </c>
      <c r="O1105" s="379">
        <v>1</v>
      </c>
      <c r="P1105" s="385">
        <v>1</v>
      </c>
      <c r="Q1105" s="385">
        <v>1</v>
      </c>
      <c r="R1105" s="380">
        <v>80</v>
      </c>
      <c r="S1105" s="385">
        <v>1</v>
      </c>
      <c r="T1105" s="380">
        <v>28180.01</v>
      </c>
      <c r="U1105" s="380">
        <v>23.06</v>
      </c>
      <c r="V1105" s="380">
        <v>16469.849999999999</v>
      </c>
      <c r="W1105" s="380">
        <v>33883.199999999997</v>
      </c>
      <c r="X1105" s="380">
        <v>18977.2</v>
      </c>
      <c r="Y1105" s="380">
        <v>33883.199999999997</v>
      </c>
      <c r="Z1105" s="380">
        <v>18834.900000000001</v>
      </c>
      <c r="AA1105" s="376" t="s">
        <v>2306</v>
      </c>
      <c r="AB1105" s="376" t="s">
        <v>2307</v>
      </c>
      <c r="AC1105" s="376" t="s">
        <v>2308</v>
      </c>
      <c r="AD1105" s="376" t="s">
        <v>217</v>
      </c>
      <c r="AE1105" s="376" t="s">
        <v>271</v>
      </c>
      <c r="AF1105" s="376" t="s">
        <v>221</v>
      </c>
      <c r="AG1105" s="376" t="s">
        <v>178</v>
      </c>
      <c r="AH1105" s="381">
        <v>16.29</v>
      </c>
      <c r="AI1105" s="379">
        <v>1160</v>
      </c>
      <c r="AJ1105" s="376" t="s">
        <v>179</v>
      </c>
      <c r="AK1105" s="376" t="s">
        <v>180</v>
      </c>
      <c r="AL1105" s="376" t="s">
        <v>181</v>
      </c>
      <c r="AM1105" s="376" t="s">
        <v>182</v>
      </c>
      <c r="AN1105" s="376" t="s">
        <v>68</v>
      </c>
      <c r="AO1105" s="379">
        <v>80</v>
      </c>
      <c r="AP1105" s="385">
        <v>1</v>
      </c>
      <c r="AQ1105" s="385">
        <v>1</v>
      </c>
      <c r="AR1105" s="383" t="s">
        <v>183</v>
      </c>
      <c r="AS1105" s="387">
        <f t="shared" si="775"/>
        <v>1</v>
      </c>
      <c r="AT1105">
        <f t="shared" si="776"/>
        <v>1</v>
      </c>
      <c r="AU1105" s="387">
        <f>IF(AT1105=0,"",IF(AND(AT1105=1,M1105="F",SUMIF(C2:C1334,C1105,AS2:AS1334)&lt;=1),SUMIF(C2:C1334,C1105,AS2:AS1334),IF(AND(AT1105=1,M1105="F",SUMIF(C2:C1334,C1105,AS2:AS1334)&gt;1),1,"")))</f>
        <v>1</v>
      </c>
      <c r="AV1105" s="387" t="str">
        <f>IF(AT1105=0,"",IF(AND(AT1105=3,M1105="F",SUMIF(C2:C1334,C1105,AS2:AS1334)&lt;=1),SUMIF(C2:C1334,C1105,AS2:AS1334),IF(AND(AT1105=3,M1105="F",SUMIF(C2:C1334,C1105,AS2:AS1334)&gt;1),1,"")))</f>
        <v/>
      </c>
      <c r="AW1105" s="387">
        <f>SUMIF(C2:C1334,C1105,O2:O1334)</f>
        <v>1</v>
      </c>
      <c r="AX1105" s="387">
        <f>IF(AND(M1105="F",AS1105&lt;&gt;0),SUMIF(C2:C1334,C1105,W2:W1334),0)</f>
        <v>33883.199999999997</v>
      </c>
      <c r="AY1105" s="387">
        <f t="shared" si="777"/>
        <v>33883.199999999997</v>
      </c>
      <c r="AZ1105" s="387" t="str">
        <f t="shared" si="778"/>
        <v/>
      </c>
      <c r="BA1105" s="387">
        <f t="shared" si="779"/>
        <v>0</v>
      </c>
      <c r="BB1105" s="387">
        <f t="shared" si="748"/>
        <v>11650</v>
      </c>
      <c r="BC1105" s="387">
        <f t="shared" si="749"/>
        <v>0</v>
      </c>
      <c r="BD1105" s="387">
        <f t="shared" si="750"/>
        <v>2100.7583999999997</v>
      </c>
      <c r="BE1105" s="387">
        <f t="shared" si="751"/>
        <v>491.3064</v>
      </c>
      <c r="BF1105" s="387">
        <f t="shared" si="752"/>
        <v>4045.6540799999998</v>
      </c>
      <c r="BG1105" s="387">
        <f t="shared" si="753"/>
        <v>244.29787199999998</v>
      </c>
      <c r="BH1105" s="387">
        <f t="shared" si="754"/>
        <v>166.02767999999998</v>
      </c>
      <c r="BI1105" s="387">
        <f t="shared" si="755"/>
        <v>187.54351199999999</v>
      </c>
      <c r="BJ1105" s="387">
        <f t="shared" si="756"/>
        <v>91.484639999999999</v>
      </c>
      <c r="BK1105" s="387">
        <f t="shared" si="757"/>
        <v>0</v>
      </c>
      <c r="BL1105" s="387">
        <f t="shared" si="780"/>
        <v>7327.0725839999996</v>
      </c>
      <c r="BM1105" s="387">
        <f t="shared" si="781"/>
        <v>0</v>
      </c>
      <c r="BN1105" s="387">
        <f t="shared" si="758"/>
        <v>11650</v>
      </c>
      <c r="BO1105" s="387">
        <f t="shared" si="759"/>
        <v>0</v>
      </c>
      <c r="BP1105" s="387">
        <f t="shared" si="760"/>
        <v>2100.7583999999997</v>
      </c>
      <c r="BQ1105" s="387">
        <f t="shared" si="761"/>
        <v>491.3064</v>
      </c>
      <c r="BR1105" s="387">
        <f t="shared" si="762"/>
        <v>4045.6540799999998</v>
      </c>
      <c r="BS1105" s="387">
        <f t="shared" si="763"/>
        <v>244.29787199999998</v>
      </c>
      <c r="BT1105" s="387">
        <f t="shared" si="764"/>
        <v>0</v>
      </c>
      <c r="BU1105" s="387">
        <f t="shared" si="765"/>
        <v>187.54351199999999</v>
      </c>
      <c r="BV1105" s="387">
        <f t="shared" si="766"/>
        <v>115.20287999999998</v>
      </c>
      <c r="BW1105" s="387">
        <f t="shared" si="767"/>
        <v>0</v>
      </c>
      <c r="BX1105" s="387">
        <f t="shared" si="782"/>
        <v>7184.7631439999996</v>
      </c>
      <c r="BY1105" s="387">
        <f t="shared" si="783"/>
        <v>0</v>
      </c>
      <c r="BZ1105" s="387">
        <f t="shared" si="784"/>
        <v>0</v>
      </c>
      <c r="CA1105" s="387">
        <f t="shared" si="785"/>
        <v>0</v>
      </c>
      <c r="CB1105" s="387">
        <f t="shared" si="786"/>
        <v>0</v>
      </c>
      <c r="CC1105" s="387">
        <f t="shared" si="768"/>
        <v>0</v>
      </c>
      <c r="CD1105" s="387">
        <f t="shared" si="769"/>
        <v>0</v>
      </c>
      <c r="CE1105" s="387">
        <f t="shared" si="770"/>
        <v>0</v>
      </c>
      <c r="CF1105" s="387">
        <f t="shared" si="771"/>
        <v>-166.02767999999998</v>
      </c>
      <c r="CG1105" s="387">
        <f t="shared" si="772"/>
        <v>0</v>
      </c>
      <c r="CH1105" s="387">
        <f t="shared" si="773"/>
        <v>23.718239999999987</v>
      </c>
      <c r="CI1105" s="387">
        <f t="shared" si="774"/>
        <v>0</v>
      </c>
      <c r="CJ1105" s="387">
        <f t="shared" si="787"/>
        <v>-142.30944</v>
      </c>
      <c r="CK1105" s="387" t="str">
        <f t="shared" si="788"/>
        <v/>
      </c>
      <c r="CL1105" s="387" t="str">
        <f t="shared" si="789"/>
        <v/>
      </c>
      <c r="CM1105" s="387" t="str">
        <f t="shared" si="790"/>
        <v/>
      </c>
      <c r="CN1105" s="387" t="str">
        <f t="shared" si="791"/>
        <v>0348-31</v>
      </c>
    </row>
    <row r="1106" spans="1:92" ht="15.75" thickBot="1" x14ac:dyDescent="0.3">
      <c r="A1106" s="376" t="s">
        <v>161</v>
      </c>
      <c r="B1106" s="376" t="s">
        <v>162</v>
      </c>
      <c r="C1106" s="376" t="s">
        <v>1599</v>
      </c>
      <c r="D1106" s="376" t="s">
        <v>270</v>
      </c>
      <c r="E1106" s="376" t="s">
        <v>224</v>
      </c>
      <c r="F1106" s="382" t="s">
        <v>225</v>
      </c>
      <c r="G1106" s="376" t="s">
        <v>1945</v>
      </c>
      <c r="H1106" s="378"/>
      <c r="I1106" s="378"/>
      <c r="J1106" s="376" t="s">
        <v>215</v>
      </c>
      <c r="K1106" s="376" t="s">
        <v>271</v>
      </c>
      <c r="L1106" s="376" t="s">
        <v>217</v>
      </c>
      <c r="M1106" s="376" t="s">
        <v>171</v>
      </c>
      <c r="N1106" s="376" t="s">
        <v>172</v>
      </c>
      <c r="O1106" s="379">
        <v>1</v>
      </c>
      <c r="P1106" s="385">
        <v>1</v>
      </c>
      <c r="Q1106" s="385">
        <v>1</v>
      </c>
      <c r="R1106" s="380">
        <v>80</v>
      </c>
      <c r="S1106" s="385">
        <v>1</v>
      </c>
      <c r="T1106" s="380">
        <v>31137.59</v>
      </c>
      <c r="U1106" s="380">
        <v>3212.35</v>
      </c>
      <c r="V1106" s="380">
        <v>18284.54</v>
      </c>
      <c r="W1106" s="380">
        <v>33883.199999999997</v>
      </c>
      <c r="X1106" s="380">
        <v>18977.2</v>
      </c>
      <c r="Y1106" s="380">
        <v>33883.199999999997</v>
      </c>
      <c r="Z1106" s="380">
        <v>18834.900000000001</v>
      </c>
      <c r="AA1106" s="376" t="s">
        <v>1600</v>
      </c>
      <c r="AB1106" s="376" t="s">
        <v>1601</v>
      </c>
      <c r="AC1106" s="376" t="s">
        <v>278</v>
      </c>
      <c r="AD1106" s="376" t="s">
        <v>198</v>
      </c>
      <c r="AE1106" s="376" t="s">
        <v>271</v>
      </c>
      <c r="AF1106" s="376" t="s">
        <v>221</v>
      </c>
      <c r="AG1106" s="376" t="s">
        <v>178</v>
      </c>
      <c r="AH1106" s="381">
        <v>16.29</v>
      </c>
      <c r="AI1106" s="381">
        <v>2870.7</v>
      </c>
      <c r="AJ1106" s="376" t="s">
        <v>179</v>
      </c>
      <c r="AK1106" s="376" t="s">
        <v>180</v>
      </c>
      <c r="AL1106" s="376" t="s">
        <v>181</v>
      </c>
      <c r="AM1106" s="376" t="s">
        <v>182</v>
      </c>
      <c r="AN1106" s="376" t="s">
        <v>68</v>
      </c>
      <c r="AO1106" s="379">
        <v>80</v>
      </c>
      <c r="AP1106" s="385">
        <v>1</v>
      </c>
      <c r="AQ1106" s="385">
        <v>1</v>
      </c>
      <c r="AR1106" s="383" t="s">
        <v>183</v>
      </c>
      <c r="AS1106" s="387">
        <f t="shared" si="775"/>
        <v>1</v>
      </c>
      <c r="AT1106">
        <f t="shared" si="776"/>
        <v>1</v>
      </c>
      <c r="AU1106" s="387">
        <f>IF(AT1106=0,"",IF(AND(AT1106=1,M1106="F",SUMIF(C2:C1334,C1106,AS2:AS1334)&lt;=1),SUMIF(C2:C1334,C1106,AS2:AS1334),IF(AND(AT1106=1,M1106="F",SUMIF(C2:C1334,C1106,AS2:AS1334)&gt;1),1,"")))</f>
        <v>1</v>
      </c>
      <c r="AV1106" s="387" t="str">
        <f>IF(AT1106=0,"",IF(AND(AT1106=3,M1106="F",SUMIF(C2:C1334,C1106,AS2:AS1334)&lt;=1),SUMIF(C2:C1334,C1106,AS2:AS1334),IF(AND(AT1106=3,M1106="F",SUMIF(C2:C1334,C1106,AS2:AS1334)&gt;1),1,"")))</f>
        <v/>
      </c>
      <c r="AW1106" s="387">
        <f>SUMIF(C2:C1334,C1106,O2:O1334)</f>
        <v>2</v>
      </c>
      <c r="AX1106" s="387">
        <f>IF(AND(M1106="F",AS1106&lt;&gt;0),SUMIF(C2:C1334,C1106,W2:W1334),0)</f>
        <v>33883.199999999997</v>
      </c>
      <c r="AY1106" s="387">
        <f t="shared" si="777"/>
        <v>33883.199999999997</v>
      </c>
      <c r="AZ1106" s="387" t="str">
        <f t="shared" si="778"/>
        <v/>
      </c>
      <c r="BA1106" s="387">
        <f t="shared" si="779"/>
        <v>0</v>
      </c>
      <c r="BB1106" s="387">
        <f t="shared" si="748"/>
        <v>11650</v>
      </c>
      <c r="BC1106" s="387">
        <f t="shared" si="749"/>
        <v>0</v>
      </c>
      <c r="BD1106" s="387">
        <f t="shared" si="750"/>
        <v>2100.7583999999997</v>
      </c>
      <c r="BE1106" s="387">
        <f t="shared" si="751"/>
        <v>491.3064</v>
      </c>
      <c r="BF1106" s="387">
        <f t="shared" si="752"/>
        <v>4045.6540799999998</v>
      </c>
      <c r="BG1106" s="387">
        <f t="shared" si="753"/>
        <v>244.29787199999998</v>
      </c>
      <c r="BH1106" s="387">
        <f t="shared" si="754"/>
        <v>166.02767999999998</v>
      </c>
      <c r="BI1106" s="387">
        <f t="shared" si="755"/>
        <v>187.54351199999999</v>
      </c>
      <c r="BJ1106" s="387">
        <f t="shared" si="756"/>
        <v>91.484639999999999</v>
      </c>
      <c r="BK1106" s="387">
        <f t="shared" si="757"/>
        <v>0</v>
      </c>
      <c r="BL1106" s="387">
        <f t="shared" si="780"/>
        <v>7327.0725839999996</v>
      </c>
      <c r="BM1106" s="387">
        <f t="shared" si="781"/>
        <v>0</v>
      </c>
      <c r="BN1106" s="387">
        <f t="shared" si="758"/>
        <v>11650</v>
      </c>
      <c r="BO1106" s="387">
        <f t="shared" si="759"/>
        <v>0</v>
      </c>
      <c r="BP1106" s="387">
        <f t="shared" si="760"/>
        <v>2100.7583999999997</v>
      </c>
      <c r="BQ1106" s="387">
        <f t="shared" si="761"/>
        <v>491.3064</v>
      </c>
      <c r="BR1106" s="387">
        <f t="shared" si="762"/>
        <v>4045.6540799999998</v>
      </c>
      <c r="BS1106" s="387">
        <f t="shared" si="763"/>
        <v>244.29787199999998</v>
      </c>
      <c r="BT1106" s="387">
        <f t="shared" si="764"/>
        <v>0</v>
      </c>
      <c r="BU1106" s="387">
        <f t="shared" si="765"/>
        <v>187.54351199999999</v>
      </c>
      <c r="BV1106" s="387">
        <f t="shared" si="766"/>
        <v>115.20287999999998</v>
      </c>
      <c r="BW1106" s="387">
        <f t="shared" si="767"/>
        <v>0</v>
      </c>
      <c r="BX1106" s="387">
        <f t="shared" si="782"/>
        <v>7184.7631439999996</v>
      </c>
      <c r="BY1106" s="387">
        <f t="shared" si="783"/>
        <v>0</v>
      </c>
      <c r="BZ1106" s="387">
        <f t="shared" si="784"/>
        <v>0</v>
      </c>
      <c r="CA1106" s="387">
        <f t="shared" si="785"/>
        <v>0</v>
      </c>
      <c r="CB1106" s="387">
        <f t="shared" si="786"/>
        <v>0</v>
      </c>
      <c r="CC1106" s="387">
        <f t="shared" si="768"/>
        <v>0</v>
      </c>
      <c r="CD1106" s="387">
        <f t="shared" si="769"/>
        <v>0</v>
      </c>
      <c r="CE1106" s="387">
        <f t="shared" si="770"/>
        <v>0</v>
      </c>
      <c r="CF1106" s="387">
        <f t="shared" si="771"/>
        <v>-166.02767999999998</v>
      </c>
      <c r="CG1106" s="387">
        <f t="shared" si="772"/>
        <v>0</v>
      </c>
      <c r="CH1106" s="387">
        <f t="shared" si="773"/>
        <v>23.718239999999987</v>
      </c>
      <c r="CI1106" s="387">
        <f t="shared" si="774"/>
        <v>0</v>
      </c>
      <c r="CJ1106" s="387">
        <f t="shared" si="787"/>
        <v>-142.30944</v>
      </c>
      <c r="CK1106" s="387" t="str">
        <f t="shared" si="788"/>
        <v/>
      </c>
      <c r="CL1106" s="387" t="str">
        <f t="shared" si="789"/>
        <v/>
      </c>
      <c r="CM1106" s="387" t="str">
        <f t="shared" si="790"/>
        <v/>
      </c>
      <c r="CN1106" s="387" t="str">
        <f t="shared" si="791"/>
        <v>0348-31</v>
      </c>
    </row>
    <row r="1107" spans="1:92" ht="15.75" thickBot="1" x14ac:dyDescent="0.3">
      <c r="A1107" s="376" t="s">
        <v>161</v>
      </c>
      <c r="B1107" s="376" t="s">
        <v>162</v>
      </c>
      <c r="C1107" s="376" t="s">
        <v>1564</v>
      </c>
      <c r="D1107" s="376" t="s">
        <v>862</v>
      </c>
      <c r="E1107" s="376" t="s">
        <v>224</v>
      </c>
      <c r="F1107" s="382" t="s">
        <v>225</v>
      </c>
      <c r="G1107" s="376" t="s">
        <v>1945</v>
      </c>
      <c r="H1107" s="378"/>
      <c r="I1107" s="378"/>
      <c r="J1107" s="376" t="s">
        <v>239</v>
      </c>
      <c r="K1107" s="376" t="s">
        <v>863</v>
      </c>
      <c r="L1107" s="376" t="s">
        <v>252</v>
      </c>
      <c r="M1107" s="376" t="s">
        <v>272</v>
      </c>
      <c r="N1107" s="376" t="s">
        <v>172</v>
      </c>
      <c r="O1107" s="379">
        <v>0</v>
      </c>
      <c r="P1107" s="385">
        <v>0.25</v>
      </c>
      <c r="Q1107" s="385">
        <v>0.25</v>
      </c>
      <c r="R1107" s="380">
        <v>80</v>
      </c>
      <c r="S1107" s="385">
        <v>0.25</v>
      </c>
      <c r="T1107" s="380">
        <v>10940.79</v>
      </c>
      <c r="U1107" s="380">
        <v>0</v>
      </c>
      <c r="V1107" s="380">
        <v>4948.8999999999996</v>
      </c>
      <c r="W1107" s="380">
        <v>10582</v>
      </c>
      <c r="X1107" s="380">
        <v>4634.91</v>
      </c>
      <c r="Y1107" s="380">
        <v>10582</v>
      </c>
      <c r="Z1107" s="380">
        <v>4582</v>
      </c>
      <c r="AA1107" s="378"/>
      <c r="AB1107" s="376" t="s">
        <v>45</v>
      </c>
      <c r="AC1107" s="376" t="s">
        <v>45</v>
      </c>
      <c r="AD1107" s="378"/>
      <c r="AE1107" s="378"/>
      <c r="AF1107" s="378"/>
      <c r="AG1107" s="378"/>
      <c r="AH1107" s="379">
        <v>0</v>
      </c>
      <c r="AI1107" s="379">
        <v>0</v>
      </c>
      <c r="AJ1107" s="378"/>
      <c r="AK1107" s="378"/>
      <c r="AL1107" s="376" t="s">
        <v>181</v>
      </c>
      <c r="AM1107" s="378"/>
      <c r="AN1107" s="378"/>
      <c r="AO1107" s="379">
        <v>0</v>
      </c>
      <c r="AP1107" s="385">
        <v>0</v>
      </c>
      <c r="AQ1107" s="385">
        <v>0</v>
      </c>
      <c r="AR1107" s="384"/>
      <c r="AS1107" s="387">
        <f t="shared" si="775"/>
        <v>0</v>
      </c>
      <c r="AT1107">
        <f t="shared" si="776"/>
        <v>0</v>
      </c>
      <c r="AU1107" s="387" t="str">
        <f>IF(AT1107=0,"",IF(AND(AT1107=1,M1107="F",SUMIF(C2:C1334,C1107,AS2:AS1334)&lt;=1),SUMIF(C2:C1334,C1107,AS2:AS1334),IF(AND(AT1107=1,M1107="F",SUMIF(C2:C1334,C1107,AS2:AS1334)&gt;1),1,"")))</f>
        <v/>
      </c>
      <c r="AV1107" s="387" t="str">
        <f>IF(AT1107=0,"",IF(AND(AT1107=3,M1107="F",SUMIF(C2:C1334,C1107,AS2:AS1334)&lt;=1),SUMIF(C2:C1334,C1107,AS2:AS1334),IF(AND(AT1107=3,M1107="F",SUMIF(C2:C1334,C1107,AS2:AS1334)&gt;1),1,"")))</f>
        <v/>
      </c>
      <c r="AW1107" s="387">
        <f>SUMIF(C2:C1334,C1107,O2:O1334)</f>
        <v>0</v>
      </c>
      <c r="AX1107" s="387">
        <f>IF(AND(M1107="F",AS1107&lt;&gt;0),SUMIF(C2:C1334,C1107,W2:W1334),0)</f>
        <v>0</v>
      </c>
      <c r="AY1107" s="387" t="str">
        <f t="shared" si="777"/>
        <v/>
      </c>
      <c r="AZ1107" s="387" t="str">
        <f t="shared" si="778"/>
        <v/>
      </c>
      <c r="BA1107" s="387">
        <f t="shared" si="779"/>
        <v>0</v>
      </c>
      <c r="BB1107" s="387">
        <f t="shared" si="748"/>
        <v>0</v>
      </c>
      <c r="BC1107" s="387">
        <f t="shared" si="749"/>
        <v>0</v>
      </c>
      <c r="BD1107" s="387">
        <f t="shared" si="750"/>
        <v>0</v>
      </c>
      <c r="BE1107" s="387">
        <f t="shared" si="751"/>
        <v>0</v>
      </c>
      <c r="BF1107" s="387">
        <f t="shared" si="752"/>
        <v>0</v>
      </c>
      <c r="BG1107" s="387">
        <f t="shared" si="753"/>
        <v>0</v>
      </c>
      <c r="BH1107" s="387">
        <f t="shared" si="754"/>
        <v>0</v>
      </c>
      <c r="BI1107" s="387">
        <f t="shared" si="755"/>
        <v>0</v>
      </c>
      <c r="BJ1107" s="387">
        <f t="shared" si="756"/>
        <v>0</v>
      </c>
      <c r="BK1107" s="387">
        <f t="shared" si="757"/>
        <v>0</v>
      </c>
      <c r="BL1107" s="387">
        <f t="shared" si="780"/>
        <v>0</v>
      </c>
      <c r="BM1107" s="387">
        <f t="shared" si="781"/>
        <v>0</v>
      </c>
      <c r="BN1107" s="387">
        <f t="shared" si="758"/>
        <v>0</v>
      </c>
      <c r="BO1107" s="387">
        <f t="shared" si="759"/>
        <v>0</v>
      </c>
      <c r="BP1107" s="387">
        <f t="shared" si="760"/>
        <v>0</v>
      </c>
      <c r="BQ1107" s="387">
        <f t="shared" si="761"/>
        <v>0</v>
      </c>
      <c r="BR1107" s="387">
        <f t="shared" si="762"/>
        <v>0</v>
      </c>
      <c r="BS1107" s="387">
        <f t="shared" si="763"/>
        <v>0</v>
      </c>
      <c r="BT1107" s="387">
        <f t="shared" si="764"/>
        <v>0</v>
      </c>
      <c r="BU1107" s="387">
        <f t="shared" si="765"/>
        <v>0</v>
      </c>
      <c r="BV1107" s="387">
        <f t="shared" si="766"/>
        <v>0</v>
      </c>
      <c r="BW1107" s="387">
        <f t="shared" si="767"/>
        <v>0</v>
      </c>
      <c r="BX1107" s="387">
        <f t="shared" si="782"/>
        <v>0</v>
      </c>
      <c r="BY1107" s="387">
        <f t="shared" si="783"/>
        <v>0</v>
      </c>
      <c r="BZ1107" s="387">
        <f t="shared" si="784"/>
        <v>0</v>
      </c>
      <c r="CA1107" s="387">
        <f t="shared" si="785"/>
        <v>0</v>
      </c>
      <c r="CB1107" s="387">
        <f t="shared" si="786"/>
        <v>0</v>
      </c>
      <c r="CC1107" s="387">
        <f t="shared" si="768"/>
        <v>0</v>
      </c>
      <c r="CD1107" s="387">
        <f t="shared" si="769"/>
        <v>0</v>
      </c>
      <c r="CE1107" s="387">
        <f t="shared" si="770"/>
        <v>0</v>
      </c>
      <c r="CF1107" s="387">
        <f t="shared" si="771"/>
        <v>0</v>
      </c>
      <c r="CG1107" s="387">
        <f t="shared" si="772"/>
        <v>0</v>
      </c>
      <c r="CH1107" s="387">
        <f t="shared" si="773"/>
        <v>0</v>
      </c>
      <c r="CI1107" s="387">
        <f t="shared" si="774"/>
        <v>0</v>
      </c>
      <c r="CJ1107" s="387">
        <f t="shared" si="787"/>
        <v>0</v>
      </c>
      <c r="CK1107" s="387" t="str">
        <f t="shared" si="788"/>
        <v/>
      </c>
      <c r="CL1107" s="387" t="str">
        <f t="shared" si="789"/>
        <v/>
      </c>
      <c r="CM1107" s="387" t="str">
        <f t="shared" si="790"/>
        <v/>
      </c>
      <c r="CN1107" s="387" t="str">
        <f t="shared" si="791"/>
        <v>0348-31</v>
      </c>
    </row>
    <row r="1108" spans="1:92" ht="15.75" thickBot="1" x14ac:dyDescent="0.3">
      <c r="A1108" s="376" t="s">
        <v>161</v>
      </c>
      <c r="B1108" s="376" t="s">
        <v>162</v>
      </c>
      <c r="C1108" s="376" t="s">
        <v>1948</v>
      </c>
      <c r="D1108" s="376" t="s">
        <v>1949</v>
      </c>
      <c r="E1108" s="376" t="s">
        <v>224</v>
      </c>
      <c r="F1108" s="382" t="s">
        <v>225</v>
      </c>
      <c r="G1108" s="376" t="s">
        <v>1945</v>
      </c>
      <c r="H1108" s="378"/>
      <c r="I1108" s="378"/>
      <c r="J1108" s="376" t="s">
        <v>215</v>
      </c>
      <c r="K1108" s="376" t="s">
        <v>1950</v>
      </c>
      <c r="L1108" s="376" t="s">
        <v>170</v>
      </c>
      <c r="M1108" s="376" t="s">
        <v>171</v>
      </c>
      <c r="N1108" s="376" t="s">
        <v>172</v>
      </c>
      <c r="O1108" s="379">
        <v>1</v>
      </c>
      <c r="P1108" s="385">
        <v>1</v>
      </c>
      <c r="Q1108" s="385">
        <v>1</v>
      </c>
      <c r="R1108" s="380">
        <v>80</v>
      </c>
      <c r="S1108" s="385">
        <v>1</v>
      </c>
      <c r="T1108" s="380">
        <v>50675.25</v>
      </c>
      <c r="U1108" s="380">
        <v>1139.4100000000001</v>
      </c>
      <c r="V1108" s="380">
        <v>22444.6</v>
      </c>
      <c r="W1108" s="380">
        <v>52977.599999999999</v>
      </c>
      <c r="X1108" s="380">
        <v>23106.37</v>
      </c>
      <c r="Y1108" s="380">
        <v>52977.599999999999</v>
      </c>
      <c r="Z1108" s="380">
        <v>22883.87</v>
      </c>
      <c r="AA1108" s="376" t="s">
        <v>1951</v>
      </c>
      <c r="AB1108" s="376" t="s">
        <v>315</v>
      </c>
      <c r="AC1108" s="376" t="s">
        <v>1952</v>
      </c>
      <c r="AD1108" s="376" t="s">
        <v>252</v>
      </c>
      <c r="AE1108" s="376" t="s">
        <v>1950</v>
      </c>
      <c r="AF1108" s="376" t="s">
        <v>177</v>
      </c>
      <c r="AG1108" s="376" t="s">
        <v>178</v>
      </c>
      <c r="AH1108" s="381">
        <v>25.47</v>
      </c>
      <c r="AI1108" s="381">
        <v>25956.7</v>
      </c>
      <c r="AJ1108" s="376" t="s">
        <v>179</v>
      </c>
      <c r="AK1108" s="376" t="s">
        <v>180</v>
      </c>
      <c r="AL1108" s="376" t="s">
        <v>181</v>
      </c>
      <c r="AM1108" s="376" t="s">
        <v>182</v>
      </c>
      <c r="AN1108" s="376" t="s">
        <v>68</v>
      </c>
      <c r="AO1108" s="379">
        <v>80</v>
      </c>
      <c r="AP1108" s="385">
        <v>1</v>
      </c>
      <c r="AQ1108" s="385">
        <v>1</v>
      </c>
      <c r="AR1108" s="383" t="s">
        <v>183</v>
      </c>
      <c r="AS1108" s="387">
        <f t="shared" si="775"/>
        <v>1</v>
      </c>
      <c r="AT1108">
        <f t="shared" si="776"/>
        <v>1</v>
      </c>
      <c r="AU1108" s="387">
        <f>IF(AT1108=0,"",IF(AND(AT1108=1,M1108="F",SUMIF(C2:C1334,C1108,AS2:AS1334)&lt;=1),SUMIF(C2:C1334,C1108,AS2:AS1334),IF(AND(AT1108=1,M1108="F",SUMIF(C2:C1334,C1108,AS2:AS1334)&gt;1),1,"")))</f>
        <v>1</v>
      </c>
      <c r="AV1108" s="387" t="str">
        <f>IF(AT1108=0,"",IF(AND(AT1108=3,M1108="F",SUMIF(C2:C1334,C1108,AS2:AS1334)&lt;=1),SUMIF(C2:C1334,C1108,AS2:AS1334),IF(AND(AT1108=3,M1108="F",SUMIF(C2:C1334,C1108,AS2:AS1334)&gt;1),1,"")))</f>
        <v/>
      </c>
      <c r="AW1108" s="387">
        <f>SUMIF(C2:C1334,C1108,O2:O1334)</f>
        <v>2</v>
      </c>
      <c r="AX1108" s="387">
        <f>IF(AND(M1108="F",AS1108&lt;&gt;0),SUMIF(C2:C1334,C1108,W2:W1334),0)</f>
        <v>52977.599999999999</v>
      </c>
      <c r="AY1108" s="387">
        <f t="shared" si="777"/>
        <v>52977.599999999999</v>
      </c>
      <c r="AZ1108" s="387" t="str">
        <f t="shared" si="778"/>
        <v/>
      </c>
      <c r="BA1108" s="387">
        <f t="shared" si="779"/>
        <v>0</v>
      </c>
      <c r="BB1108" s="387">
        <f t="shared" si="748"/>
        <v>11650</v>
      </c>
      <c r="BC1108" s="387">
        <f t="shared" si="749"/>
        <v>0</v>
      </c>
      <c r="BD1108" s="387">
        <f t="shared" si="750"/>
        <v>3284.6111999999998</v>
      </c>
      <c r="BE1108" s="387">
        <f t="shared" si="751"/>
        <v>768.17520000000002</v>
      </c>
      <c r="BF1108" s="387">
        <f t="shared" si="752"/>
        <v>6325.5254400000003</v>
      </c>
      <c r="BG1108" s="387">
        <f t="shared" si="753"/>
        <v>381.96849600000002</v>
      </c>
      <c r="BH1108" s="387">
        <f t="shared" si="754"/>
        <v>259.59023999999999</v>
      </c>
      <c r="BI1108" s="387">
        <f t="shared" si="755"/>
        <v>293.23101600000001</v>
      </c>
      <c r="BJ1108" s="387">
        <f t="shared" si="756"/>
        <v>143.03952000000001</v>
      </c>
      <c r="BK1108" s="387">
        <f t="shared" si="757"/>
        <v>0</v>
      </c>
      <c r="BL1108" s="387">
        <f t="shared" si="780"/>
        <v>11456.141111999999</v>
      </c>
      <c r="BM1108" s="387">
        <f t="shared" si="781"/>
        <v>0</v>
      </c>
      <c r="BN1108" s="387">
        <f t="shared" si="758"/>
        <v>11650</v>
      </c>
      <c r="BO1108" s="387">
        <f t="shared" si="759"/>
        <v>0</v>
      </c>
      <c r="BP1108" s="387">
        <f t="shared" si="760"/>
        <v>3284.6111999999998</v>
      </c>
      <c r="BQ1108" s="387">
        <f t="shared" si="761"/>
        <v>768.17520000000002</v>
      </c>
      <c r="BR1108" s="387">
        <f t="shared" si="762"/>
        <v>6325.5254400000003</v>
      </c>
      <c r="BS1108" s="387">
        <f t="shared" si="763"/>
        <v>381.96849600000002</v>
      </c>
      <c r="BT1108" s="387">
        <f t="shared" si="764"/>
        <v>0</v>
      </c>
      <c r="BU1108" s="387">
        <f t="shared" si="765"/>
        <v>293.23101600000001</v>
      </c>
      <c r="BV1108" s="387">
        <f t="shared" si="766"/>
        <v>180.12383999999997</v>
      </c>
      <c r="BW1108" s="387">
        <f t="shared" si="767"/>
        <v>0</v>
      </c>
      <c r="BX1108" s="387">
        <f t="shared" si="782"/>
        <v>11233.635192</v>
      </c>
      <c r="BY1108" s="387">
        <f t="shared" si="783"/>
        <v>0</v>
      </c>
      <c r="BZ1108" s="387">
        <f t="shared" si="784"/>
        <v>0</v>
      </c>
      <c r="CA1108" s="387">
        <f t="shared" si="785"/>
        <v>0</v>
      </c>
      <c r="CB1108" s="387">
        <f t="shared" si="786"/>
        <v>0</v>
      </c>
      <c r="CC1108" s="387">
        <f t="shared" si="768"/>
        <v>0</v>
      </c>
      <c r="CD1108" s="387">
        <f t="shared" si="769"/>
        <v>0</v>
      </c>
      <c r="CE1108" s="387">
        <f t="shared" si="770"/>
        <v>0</v>
      </c>
      <c r="CF1108" s="387">
        <f t="shared" si="771"/>
        <v>-259.59023999999999</v>
      </c>
      <c r="CG1108" s="387">
        <f t="shared" si="772"/>
        <v>0</v>
      </c>
      <c r="CH1108" s="387">
        <f t="shared" si="773"/>
        <v>37.084319999999984</v>
      </c>
      <c r="CI1108" s="387">
        <f t="shared" si="774"/>
        <v>0</v>
      </c>
      <c r="CJ1108" s="387">
        <f t="shared" si="787"/>
        <v>-222.50592</v>
      </c>
      <c r="CK1108" s="387" t="str">
        <f t="shared" si="788"/>
        <v/>
      </c>
      <c r="CL1108" s="387" t="str">
        <f t="shared" si="789"/>
        <v/>
      </c>
      <c r="CM1108" s="387" t="str">
        <f t="shared" si="790"/>
        <v/>
      </c>
      <c r="CN1108" s="387" t="str">
        <f t="shared" si="791"/>
        <v>0348-31</v>
      </c>
    </row>
    <row r="1109" spans="1:92" ht="15.75" thickBot="1" x14ac:dyDescent="0.3">
      <c r="A1109" s="376" t="s">
        <v>161</v>
      </c>
      <c r="B1109" s="376" t="s">
        <v>162</v>
      </c>
      <c r="C1109" s="376" t="s">
        <v>2309</v>
      </c>
      <c r="D1109" s="376" t="s">
        <v>974</v>
      </c>
      <c r="E1109" s="376" t="s">
        <v>224</v>
      </c>
      <c r="F1109" s="382" t="s">
        <v>225</v>
      </c>
      <c r="G1109" s="376" t="s">
        <v>1945</v>
      </c>
      <c r="H1109" s="378"/>
      <c r="I1109" s="378"/>
      <c r="J1109" s="376" t="s">
        <v>215</v>
      </c>
      <c r="K1109" s="376" t="s">
        <v>975</v>
      </c>
      <c r="L1109" s="376" t="s">
        <v>296</v>
      </c>
      <c r="M1109" s="376" t="s">
        <v>171</v>
      </c>
      <c r="N1109" s="376" t="s">
        <v>172</v>
      </c>
      <c r="O1109" s="379">
        <v>1</v>
      </c>
      <c r="P1109" s="385">
        <v>1</v>
      </c>
      <c r="Q1109" s="385">
        <v>1</v>
      </c>
      <c r="R1109" s="380">
        <v>80</v>
      </c>
      <c r="S1109" s="385">
        <v>1</v>
      </c>
      <c r="T1109" s="380">
        <v>43032.98</v>
      </c>
      <c r="U1109" s="380">
        <v>1853.08</v>
      </c>
      <c r="V1109" s="380">
        <v>20793.55</v>
      </c>
      <c r="W1109" s="380">
        <v>49649.599999999999</v>
      </c>
      <c r="X1109" s="380">
        <v>22386.69</v>
      </c>
      <c r="Y1109" s="380">
        <v>49649.599999999999</v>
      </c>
      <c r="Z1109" s="380">
        <v>22178.16</v>
      </c>
      <c r="AA1109" s="376" t="s">
        <v>2310</v>
      </c>
      <c r="AB1109" s="376" t="s">
        <v>2311</v>
      </c>
      <c r="AC1109" s="376" t="s">
        <v>2312</v>
      </c>
      <c r="AD1109" s="376" t="s">
        <v>1185</v>
      </c>
      <c r="AE1109" s="376" t="s">
        <v>975</v>
      </c>
      <c r="AF1109" s="376" t="s">
        <v>301</v>
      </c>
      <c r="AG1109" s="376" t="s">
        <v>178</v>
      </c>
      <c r="AH1109" s="381">
        <v>23.87</v>
      </c>
      <c r="AI1109" s="379">
        <v>24075</v>
      </c>
      <c r="AJ1109" s="376" t="s">
        <v>179</v>
      </c>
      <c r="AK1109" s="376" t="s">
        <v>180</v>
      </c>
      <c r="AL1109" s="376" t="s">
        <v>181</v>
      </c>
      <c r="AM1109" s="376" t="s">
        <v>182</v>
      </c>
      <c r="AN1109" s="376" t="s">
        <v>68</v>
      </c>
      <c r="AO1109" s="379">
        <v>80</v>
      </c>
      <c r="AP1109" s="385">
        <v>1</v>
      </c>
      <c r="AQ1109" s="385">
        <v>1</v>
      </c>
      <c r="AR1109" s="383" t="s">
        <v>183</v>
      </c>
      <c r="AS1109" s="387">
        <f t="shared" si="775"/>
        <v>1</v>
      </c>
      <c r="AT1109">
        <f t="shared" si="776"/>
        <v>1</v>
      </c>
      <c r="AU1109" s="387">
        <f>IF(AT1109=0,"",IF(AND(AT1109=1,M1109="F",SUMIF(C2:C1334,C1109,AS2:AS1334)&lt;=1),SUMIF(C2:C1334,C1109,AS2:AS1334),IF(AND(AT1109=1,M1109="F",SUMIF(C2:C1334,C1109,AS2:AS1334)&gt;1),1,"")))</f>
        <v>1</v>
      </c>
      <c r="AV1109" s="387" t="str">
        <f>IF(AT1109=0,"",IF(AND(AT1109=3,M1109="F",SUMIF(C2:C1334,C1109,AS2:AS1334)&lt;=1),SUMIF(C2:C1334,C1109,AS2:AS1334),IF(AND(AT1109=3,M1109="F",SUMIF(C2:C1334,C1109,AS2:AS1334)&gt;1),1,"")))</f>
        <v/>
      </c>
      <c r="AW1109" s="387">
        <f>SUMIF(C2:C1334,C1109,O2:O1334)</f>
        <v>1</v>
      </c>
      <c r="AX1109" s="387">
        <f>IF(AND(M1109="F",AS1109&lt;&gt;0),SUMIF(C2:C1334,C1109,W2:W1334),0)</f>
        <v>49649.599999999999</v>
      </c>
      <c r="AY1109" s="387">
        <f t="shared" si="777"/>
        <v>49649.599999999999</v>
      </c>
      <c r="AZ1109" s="387" t="str">
        <f t="shared" si="778"/>
        <v/>
      </c>
      <c r="BA1109" s="387">
        <f t="shared" si="779"/>
        <v>0</v>
      </c>
      <c r="BB1109" s="387">
        <f t="shared" si="748"/>
        <v>11650</v>
      </c>
      <c r="BC1109" s="387">
        <f t="shared" si="749"/>
        <v>0</v>
      </c>
      <c r="BD1109" s="387">
        <f t="shared" si="750"/>
        <v>3078.2752</v>
      </c>
      <c r="BE1109" s="387">
        <f t="shared" si="751"/>
        <v>719.91920000000005</v>
      </c>
      <c r="BF1109" s="387">
        <f t="shared" si="752"/>
        <v>5928.1622400000006</v>
      </c>
      <c r="BG1109" s="387">
        <f t="shared" si="753"/>
        <v>357.97361599999999</v>
      </c>
      <c r="BH1109" s="387">
        <f t="shared" si="754"/>
        <v>243.28303999999997</v>
      </c>
      <c r="BI1109" s="387">
        <f t="shared" si="755"/>
        <v>274.81053600000001</v>
      </c>
      <c r="BJ1109" s="387">
        <f t="shared" si="756"/>
        <v>134.05392000000001</v>
      </c>
      <c r="BK1109" s="387">
        <f t="shared" si="757"/>
        <v>0</v>
      </c>
      <c r="BL1109" s="387">
        <f t="shared" si="780"/>
        <v>10736.477752000003</v>
      </c>
      <c r="BM1109" s="387">
        <f t="shared" si="781"/>
        <v>0</v>
      </c>
      <c r="BN1109" s="387">
        <f t="shared" si="758"/>
        <v>11650</v>
      </c>
      <c r="BO1109" s="387">
        <f t="shared" si="759"/>
        <v>0</v>
      </c>
      <c r="BP1109" s="387">
        <f t="shared" si="760"/>
        <v>3078.2752</v>
      </c>
      <c r="BQ1109" s="387">
        <f t="shared" si="761"/>
        <v>719.91920000000005</v>
      </c>
      <c r="BR1109" s="387">
        <f t="shared" si="762"/>
        <v>5928.1622400000006</v>
      </c>
      <c r="BS1109" s="387">
        <f t="shared" si="763"/>
        <v>357.97361599999999</v>
      </c>
      <c r="BT1109" s="387">
        <f t="shared" si="764"/>
        <v>0</v>
      </c>
      <c r="BU1109" s="387">
        <f t="shared" si="765"/>
        <v>274.81053600000001</v>
      </c>
      <c r="BV1109" s="387">
        <f t="shared" si="766"/>
        <v>168.80864</v>
      </c>
      <c r="BW1109" s="387">
        <f t="shared" si="767"/>
        <v>0</v>
      </c>
      <c r="BX1109" s="387">
        <f t="shared" si="782"/>
        <v>10527.949432000001</v>
      </c>
      <c r="BY1109" s="387">
        <f t="shared" si="783"/>
        <v>0</v>
      </c>
      <c r="BZ1109" s="387">
        <f t="shared" si="784"/>
        <v>0</v>
      </c>
      <c r="CA1109" s="387">
        <f t="shared" si="785"/>
        <v>0</v>
      </c>
      <c r="CB1109" s="387">
        <f t="shared" si="786"/>
        <v>0</v>
      </c>
      <c r="CC1109" s="387">
        <f t="shared" si="768"/>
        <v>0</v>
      </c>
      <c r="CD1109" s="387">
        <f t="shared" si="769"/>
        <v>0</v>
      </c>
      <c r="CE1109" s="387">
        <f t="shared" si="770"/>
        <v>0</v>
      </c>
      <c r="CF1109" s="387">
        <f t="shared" si="771"/>
        <v>-243.28303999999997</v>
      </c>
      <c r="CG1109" s="387">
        <f t="shared" si="772"/>
        <v>0</v>
      </c>
      <c r="CH1109" s="387">
        <f t="shared" si="773"/>
        <v>34.754719999999985</v>
      </c>
      <c r="CI1109" s="387">
        <f t="shared" si="774"/>
        <v>0</v>
      </c>
      <c r="CJ1109" s="387">
        <f t="shared" si="787"/>
        <v>-208.52831999999998</v>
      </c>
      <c r="CK1109" s="387" t="str">
        <f t="shared" si="788"/>
        <v/>
      </c>
      <c r="CL1109" s="387" t="str">
        <f t="shared" si="789"/>
        <v/>
      </c>
      <c r="CM1109" s="387" t="str">
        <f t="shared" si="790"/>
        <v/>
      </c>
      <c r="CN1109" s="387" t="str">
        <f t="shared" si="791"/>
        <v>0348-31</v>
      </c>
    </row>
    <row r="1110" spans="1:92" ht="15.75" thickBot="1" x14ac:dyDescent="0.3">
      <c r="A1110" s="376" t="s">
        <v>161</v>
      </c>
      <c r="B1110" s="376" t="s">
        <v>162</v>
      </c>
      <c r="C1110" s="376" t="s">
        <v>2313</v>
      </c>
      <c r="D1110" s="376" t="s">
        <v>862</v>
      </c>
      <c r="E1110" s="376" t="s">
        <v>224</v>
      </c>
      <c r="F1110" s="382" t="s">
        <v>225</v>
      </c>
      <c r="G1110" s="376" t="s">
        <v>1945</v>
      </c>
      <c r="H1110" s="378"/>
      <c r="I1110" s="378"/>
      <c r="J1110" s="376" t="s">
        <v>215</v>
      </c>
      <c r="K1110" s="376" t="s">
        <v>863</v>
      </c>
      <c r="L1110" s="376" t="s">
        <v>252</v>
      </c>
      <c r="M1110" s="376" t="s">
        <v>171</v>
      </c>
      <c r="N1110" s="376" t="s">
        <v>172</v>
      </c>
      <c r="O1110" s="379">
        <v>1</v>
      </c>
      <c r="P1110" s="385">
        <v>1</v>
      </c>
      <c r="Q1110" s="385">
        <v>1</v>
      </c>
      <c r="R1110" s="380">
        <v>80</v>
      </c>
      <c r="S1110" s="385">
        <v>1</v>
      </c>
      <c r="T1110" s="380">
        <v>34803.11</v>
      </c>
      <c r="U1110" s="380">
        <v>8.68</v>
      </c>
      <c r="V1110" s="380">
        <v>19843.48</v>
      </c>
      <c r="W1110" s="380">
        <v>38604.800000000003</v>
      </c>
      <c r="X1110" s="380">
        <v>19998.259999999998</v>
      </c>
      <c r="Y1110" s="380">
        <v>38604.800000000003</v>
      </c>
      <c r="Z1110" s="380">
        <v>19836.12</v>
      </c>
      <c r="AA1110" s="376" t="s">
        <v>2314</v>
      </c>
      <c r="AB1110" s="376" t="s">
        <v>955</v>
      </c>
      <c r="AC1110" s="376" t="s">
        <v>2315</v>
      </c>
      <c r="AD1110" s="376" t="s">
        <v>587</v>
      </c>
      <c r="AE1110" s="376" t="s">
        <v>863</v>
      </c>
      <c r="AF1110" s="376" t="s">
        <v>393</v>
      </c>
      <c r="AG1110" s="376" t="s">
        <v>178</v>
      </c>
      <c r="AH1110" s="381">
        <v>18.559999999999999</v>
      </c>
      <c r="AI1110" s="379">
        <v>1640</v>
      </c>
      <c r="AJ1110" s="376" t="s">
        <v>179</v>
      </c>
      <c r="AK1110" s="376" t="s">
        <v>180</v>
      </c>
      <c r="AL1110" s="376" t="s">
        <v>181</v>
      </c>
      <c r="AM1110" s="376" t="s">
        <v>182</v>
      </c>
      <c r="AN1110" s="376" t="s">
        <v>68</v>
      </c>
      <c r="AO1110" s="379">
        <v>80</v>
      </c>
      <c r="AP1110" s="385">
        <v>1</v>
      </c>
      <c r="AQ1110" s="385">
        <v>1</v>
      </c>
      <c r="AR1110" s="383" t="s">
        <v>183</v>
      </c>
      <c r="AS1110" s="387">
        <f t="shared" si="775"/>
        <v>1</v>
      </c>
      <c r="AT1110">
        <f t="shared" si="776"/>
        <v>1</v>
      </c>
      <c r="AU1110" s="387">
        <f>IF(AT1110=0,"",IF(AND(AT1110=1,M1110="F",SUMIF(C2:C1334,C1110,AS2:AS1334)&lt;=1),SUMIF(C2:C1334,C1110,AS2:AS1334),IF(AND(AT1110=1,M1110="F",SUMIF(C2:C1334,C1110,AS2:AS1334)&gt;1),1,"")))</f>
        <v>1</v>
      </c>
      <c r="AV1110" s="387" t="str">
        <f>IF(AT1110=0,"",IF(AND(AT1110=3,M1110="F",SUMIF(C2:C1334,C1110,AS2:AS1334)&lt;=1),SUMIF(C2:C1334,C1110,AS2:AS1334),IF(AND(AT1110=3,M1110="F",SUMIF(C2:C1334,C1110,AS2:AS1334)&gt;1),1,"")))</f>
        <v/>
      </c>
      <c r="AW1110" s="387">
        <f>SUMIF(C2:C1334,C1110,O2:O1334)</f>
        <v>1</v>
      </c>
      <c r="AX1110" s="387">
        <f>IF(AND(M1110="F",AS1110&lt;&gt;0),SUMIF(C2:C1334,C1110,W2:W1334),0)</f>
        <v>38604.800000000003</v>
      </c>
      <c r="AY1110" s="387">
        <f t="shared" si="777"/>
        <v>38604.800000000003</v>
      </c>
      <c r="AZ1110" s="387" t="str">
        <f t="shared" si="778"/>
        <v/>
      </c>
      <c r="BA1110" s="387">
        <f t="shared" si="779"/>
        <v>0</v>
      </c>
      <c r="BB1110" s="387">
        <f t="shared" si="748"/>
        <v>11650</v>
      </c>
      <c r="BC1110" s="387">
        <f t="shared" si="749"/>
        <v>0</v>
      </c>
      <c r="BD1110" s="387">
        <f t="shared" si="750"/>
        <v>2393.4976000000001</v>
      </c>
      <c r="BE1110" s="387">
        <f t="shared" si="751"/>
        <v>559.76960000000008</v>
      </c>
      <c r="BF1110" s="387">
        <f t="shared" si="752"/>
        <v>4609.4131200000002</v>
      </c>
      <c r="BG1110" s="387">
        <f t="shared" si="753"/>
        <v>278.34060800000003</v>
      </c>
      <c r="BH1110" s="387">
        <f t="shared" si="754"/>
        <v>189.16352000000001</v>
      </c>
      <c r="BI1110" s="387">
        <f t="shared" si="755"/>
        <v>213.67756800000001</v>
      </c>
      <c r="BJ1110" s="387">
        <f t="shared" si="756"/>
        <v>104.23296000000002</v>
      </c>
      <c r="BK1110" s="387">
        <f t="shared" si="757"/>
        <v>0</v>
      </c>
      <c r="BL1110" s="387">
        <f t="shared" si="780"/>
        <v>8348.0949760000003</v>
      </c>
      <c r="BM1110" s="387">
        <f t="shared" si="781"/>
        <v>0</v>
      </c>
      <c r="BN1110" s="387">
        <f t="shared" si="758"/>
        <v>11650</v>
      </c>
      <c r="BO1110" s="387">
        <f t="shared" si="759"/>
        <v>0</v>
      </c>
      <c r="BP1110" s="387">
        <f t="shared" si="760"/>
        <v>2393.4976000000001</v>
      </c>
      <c r="BQ1110" s="387">
        <f t="shared" si="761"/>
        <v>559.76960000000008</v>
      </c>
      <c r="BR1110" s="387">
        <f t="shared" si="762"/>
        <v>4609.4131200000002</v>
      </c>
      <c r="BS1110" s="387">
        <f t="shared" si="763"/>
        <v>278.34060800000003</v>
      </c>
      <c r="BT1110" s="387">
        <f t="shared" si="764"/>
        <v>0</v>
      </c>
      <c r="BU1110" s="387">
        <f t="shared" si="765"/>
        <v>213.67756800000001</v>
      </c>
      <c r="BV1110" s="387">
        <f t="shared" si="766"/>
        <v>131.25632000000002</v>
      </c>
      <c r="BW1110" s="387">
        <f t="shared" si="767"/>
        <v>0</v>
      </c>
      <c r="BX1110" s="387">
        <f t="shared" si="782"/>
        <v>8185.9548160000013</v>
      </c>
      <c r="BY1110" s="387">
        <f t="shared" si="783"/>
        <v>0</v>
      </c>
      <c r="BZ1110" s="387">
        <f t="shared" si="784"/>
        <v>0</v>
      </c>
      <c r="CA1110" s="387">
        <f t="shared" si="785"/>
        <v>0</v>
      </c>
      <c r="CB1110" s="387">
        <f t="shared" si="786"/>
        <v>0</v>
      </c>
      <c r="CC1110" s="387">
        <f t="shared" si="768"/>
        <v>0</v>
      </c>
      <c r="CD1110" s="387">
        <f t="shared" si="769"/>
        <v>0</v>
      </c>
      <c r="CE1110" s="387">
        <f t="shared" si="770"/>
        <v>0</v>
      </c>
      <c r="CF1110" s="387">
        <f t="shared" si="771"/>
        <v>-189.16352000000001</v>
      </c>
      <c r="CG1110" s="387">
        <f t="shared" si="772"/>
        <v>0</v>
      </c>
      <c r="CH1110" s="387">
        <f t="shared" si="773"/>
        <v>27.02335999999999</v>
      </c>
      <c r="CI1110" s="387">
        <f t="shared" si="774"/>
        <v>0</v>
      </c>
      <c r="CJ1110" s="387">
        <f t="shared" si="787"/>
        <v>-162.14016000000001</v>
      </c>
      <c r="CK1110" s="387" t="str">
        <f t="shared" si="788"/>
        <v/>
      </c>
      <c r="CL1110" s="387" t="str">
        <f t="shared" si="789"/>
        <v/>
      </c>
      <c r="CM1110" s="387" t="str">
        <f t="shared" si="790"/>
        <v/>
      </c>
      <c r="CN1110" s="387" t="str">
        <f t="shared" si="791"/>
        <v>0348-31</v>
      </c>
    </row>
    <row r="1111" spans="1:92" ht="15.75" thickBot="1" x14ac:dyDescent="0.3">
      <c r="A1111" s="376" t="s">
        <v>161</v>
      </c>
      <c r="B1111" s="376" t="s">
        <v>162</v>
      </c>
      <c r="C1111" s="376" t="s">
        <v>1396</v>
      </c>
      <c r="D1111" s="376" t="s">
        <v>294</v>
      </c>
      <c r="E1111" s="376" t="s">
        <v>224</v>
      </c>
      <c r="F1111" s="382" t="s">
        <v>225</v>
      </c>
      <c r="G1111" s="376" t="s">
        <v>1945</v>
      </c>
      <c r="H1111" s="378"/>
      <c r="I1111" s="378"/>
      <c r="J1111" s="376" t="s">
        <v>215</v>
      </c>
      <c r="K1111" s="376" t="s">
        <v>295</v>
      </c>
      <c r="L1111" s="376" t="s">
        <v>296</v>
      </c>
      <c r="M1111" s="376" t="s">
        <v>171</v>
      </c>
      <c r="N1111" s="376" t="s">
        <v>172</v>
      </c>
      <c r="O1111" s="379">
        <v>1</v>
      </c>
      <c r="P1111" s="385">
        <v>1</v>
      </c>
      <c r="Q1111" s="385">
        <v>1</v>
      </c>
      <c r="R1111" s="380">
        <v>80</v>
      </c>
      <c r="S1111" s="385">
        <v>1</v>
      </c>
      <c r="T1111" s="380">
        <v>2540</v>
      </c>
      <c r="U1111" s="380">
        <v>0</v>
      </c>
      <c r="V1111" s="380">
        <v>1035.8499999999999</v>
      </c>
      <c r="W1111" s="380">
        <v>66040</v>
      </c>
      <c r="X1111" s="380">
        <v>25931.119999999999</v>
      </c>
      <c r="Y1111" s="380">
        <v>66040</v>
      </c>
      <c r="Z1111" s="380">
        <v>25653.759999999998</v>
      </c>
      <c r="AA1111" s="376" t="s">
        <v>1397</v>
      </c>
      <c r="AB1111" s="376" t="s">
        <v>1398</v>
      </c>
      <c r="AC1111" s="376" t="s">
        <v>176</v>
      </c>
      <c r="AD1111" s="376" t="s">
        <v>260</v>
      </c>
      <c r="AE1111" s="376" t="s">
        <v>295</v>
      </c>
      <c r="AF1111" s="376" t="s">
        <v>301</v>
      </c>
      <c r="AG1111" s="376" t="s">
        <v>178</v>
      </c>
      <c r="AH1111" s="381">
        <v>31.75</v>
      </c>
      <c r="AI1111" s="381">
        <v>10116.200000000001</v>
      </c>
      <c r="AJ1111" s="376" t="s">
        <v>179</v>
      </c>
      <c r="AK1111" s="376" t="s">
        <v>180</v>
      </c>
      <c r="AL1111" s="376" t="s">
        <v>181</v>
      </c>
      <c r="AM1111" s="376" t="s">
        <v>182</v>
      </c>
      <c r="AN1111" s="376" t="s">
        <v>68</v>
      </c>
      <c r="AO1111" s="379">
        <v>80</v>
      </c>
      <c r="AP1111" s="385">
        <v>1</v>
      </c>
      <c r="AQ1111" s="385">
        <v>1</v>
      </c>
      <c r="AR1111" s="383" t="s">
        <v>183</v>
      </c>
      <c r="AS1111" s="387">
        <f t="shared" si="775"/>
        <v>1</v>
      </c>
      <c r="AT1111">
        <f t="shared" si="776"/>
        <v>1</v>
      </c>
      <c r="AU1111" s="387">
        <f>IF(AT1111=0,"",IF(AND(AT1111=1,M1111="F",SUMIF(C2:C1334,C1111,AS2:AS1334)&lt;=1),SUMIF(C2:C1334,C1111,AS2:AS1334),IF(AND(AT1111=1,M1111="F",SUMIF(C2:C1334,C1111,AS2:AS1334)&gt;1),1,"")))</f>
        <v>1</v>
      </c>
      <c r="AV1111" s="387" t="str">
        <f>IF(AT1111=0,"",IF(AND(AT1111=3,M1111="F",SUMIF(C2:C1334,C1111,AS2:AS1334)&lt;=1),SUMIF(C2:C1334,C1111,AS2:AS1334),IF(AND(AT1111=3,M1111="F",SUMIF(C2:C1334,C1111,AS2:AS1334)&gt;1),1,"")))</f>
        <v/>
      </c>
      <c r="AW1111" s="387">
        <f>SUMIF(C2:C1334,C1111,O2:O1334)</f>
        <v>2</v>
      </c>
      <c r="AX1111" s="387">
        <f>IF(AND(M1111="F",AS1111&lt;&gt;0),SUMIF(C2:C1334,C1111,W2:W1334),0)</f>
        <v>66040</v>
      </c>
      <c r="AY1111" s="387">
        <f t="shared" si="777"/>
        <v>66040</v>
      </c>
      <c r="AZ1111" s="387" t="str">
        <f t="shared" si="778"/>
        <v/>
      </c>
      <c r="BA1111" s="387">
        <f t="shared" si="779"/>
        <v>0</v>
      </c>
      <c r="BB1111" s="387">
        <f t="shared" si="748"/>
        <v>11650</v>
      </c>
      <c r="BC1111" s="387">
        <f t="shared" si="749"/>
        <v>0</v>
      </c>
      <c r="BD1111" s="387">
        <f t="shared" si="750"/>
        <v>4094.48</v>
      </c>
      <c r="BE1111" s="387">
        <f t="shared" si="751"/>
        <v>957.58</v>
      </c>
      <c r="BF1111" s="387">
        <f t="shared" si="752"/>
        <v>7885.1760000000004</v>
      </c>
      <c r="BG1111" s="387">
        <f t="shared" si="753"/>
        <v>476.14840000000004</v>
      </c>
      <c r="BH1111" s="387">
        <f t="shared" si="754"/>
        <v>323.596</v>
      </c>
      <c r="BI1111" s="387">
        <f t="shared" si="755"/>
        <v>365.53140000000002</v>
      </c>
      <c r="BJ1111" s="387">
        <f t="shared" si="756"/>
        <v>178.30800000000002</v>
      </c>
      <c r="BK1111" s="387">
        <f t="shared" si="757"/>
        <v>0</v>
      </c>
      <c r="BL1111" s="387">
        <f t="shared" si="780"/>
        <v>14280.819800000001</v>
      </c>
      <c r="BM1111" s="387">
        <f t="shared" si="781"/>
        <v>0</v>
      </c>
      <c r="BN1111" s="387">
        <f t="shared" si="758"/>
        <v>11650</v>
      </c>
      <c r="BO1111" s="387">
        <f t="shared" si="759"/>
        <v>0</v>
      </c>
      <c r="BP1111" s="387">
        <f t="shared" si="760"/>
        <v>4094.48</v>
      </c>
      <c r="BQ1111" s="387">
        <f t="shared" si="761"/>
        <v>957.58</v>
      </c>
      <c r="BR1111" s="387">
        <f t="shared" si="762"/>
        <v>7885.1760000000004</v>
      </c>
      <c r="BS1111" s="387">
        <f t="shared" si="763"/>
        <v>476.14840000000004</v>
      </c>
      <c r="BT1111" s="387">
        <f t="shared" si="764"/>
        <v>0</v>
      </c>
      <c r="BU1111" s="387">
        <f t="shared" si="765"/>
        <v>365.53140000000002</v>
      </c>
      <c r="BV1111" s="387">
        <f t="shared" si="766"/>
        <v>224.536</v>
      </c>
      <c r="BW1111" s="387">
        <f t="shared" si="767"/>
        <v>0</v>
      </c>
      <c r="BX1111" s="387">
        <f t="shared" si="782"/>
        <v>14003.451800000001</v>
      </c>
      <c r="BY1111" s="387">
        <f t="shared" si="783"/>
        <v>0</v>
      </c>
      <c r="BZ1111" s="387">
        <f t="shared" si="784"/>
        <v>0</v>
      </c>
      <c r="CA1111" s="387">
        <f t="shared" si="785"/>
        <v>0</v>
      </c>
      <c r="CB1111" s="387">
        <f t="shared" si="786"/>
        <v>0</v>
      </c>
      <c r="CC1111" s="387">
        <f t="shared" si="768"/>
        <v>0</v>
      </c>
      <c r="CD1111" s="387">
        <f t="shared" si="769"/>
        <v>0</v>
      </c>
      <c r="CE1111" s="387">
        <f t="shared" si="770"/>
        <v>0</v>
      </c>
      <c r="CF1111" s="387">
        <f t="shared" si="771"/>
        <v>-323.596</v>
      </c>
      <c r="CG1111" s="387">
        <f t="shared" si="772"/>
        <v>0</v>
      </c>
      <c r="CH1111" s="387">
        <f t="shared" si="773"/>
        <v>46.22799999999998</v>
      </c>
      <c r="CI1111" s="387">
        <f t="shared" si="774"/>
        <v>0</v>
      </c>
      <c r="CJ1111" s="387">
        <f t="shared" si="787"/>
        <v>-277.36800000000005</v>
      </c>
      <c r="CK1111" s="387" t="str">
        <f t="shared" si="788"/>
        <v/>
      </c>
      <c r="CL1111" s="387" t="str">
        <f t="shared" si="789"/>
        <v/>
      </c>
      <c r="CM1111" s="387" t="str">
        <f t="shared" si="790"/>
        <v/>
      </c>
      <c r="CN1111" s="387" t="str">
        <f t="shared" si="791"/>
        <v>0348-31</v>
      </c>
    </row>
    <row r="1112" spans="1:92" ht="15.75" thickBot="1" x14ac:dyDescent="0.3">
      <c r="A1112" s="376" t="s">
        <v>161</v>
      </c>
      <c r="B1112" s="376" t="s">
        <v>162</v>
      </c>
      <c r="C1112" s="376" t="s">
        <v>1519</v>
      </c>
      <c r="D1112" s="376" t="s">
        <v>862</v>
      </c>
      <c r="E1112" s="376" t="s">
        <v>224</v>
      </c>
      <c r="F1112" s="382" t="s">
        <v>225</v>
      </c>
      <c r="G1112" s="376" t="s">
        <v>1945</v>
      </c>
      <c r="H1112" s="378"/>
      <c r="I1112" s="378"/>
      <c r="J1112" s="376" t="s">
        <v>239</v>
      </c>
      <c r="K1112" s="376" t="s">
        <v>863</v>
      </c>
      <c r="L1112" s="376" t="s">
        <v>252</v>
      </c>
      <c r="M1112" s="376" t="s">
        <v>171</v>
      </c>
      <c r="N1112" s="376" t="s">
        <v>172</v>
      </c>
      <c r="O1112" s="379">
        <v>1</v>
      </c>
      <c r="P1112" s="385">
        <v>0</v>
      </c>
      <c r="Q1112" s="385">
        <v>0</v>
      </c>
      <c r="R1112" s="380">
        <v>80</v>
      </c>
      <c r="S1112" s="385">
        <v>0</v>
      </c>
      <c r="T1112" s="380">
        <v>4565.2</v>
      </c>
      <c r="U1112" s="380">
        <v>0</v>
      </c>
      <c r="V1112" s="380">
        <v>2336.3000000000002</v>
      </c>
      <c r="W1112" s="380">
        <v>0</v>
      </c>
      <c r="X1112" s="380">
        <v>0</v>
      </c>
      <c r="Y1112" s="380">
        <v>0</v>
      </c>
      <c r="Z1112" s="380">
        <v>0</v>
      </c>
      <c r="AA1112" s="376" t="s">
        <v>1520</v>
      </c>
      <c r="AB1112" s="376" t="s">
        <v>1521</v>
      </c>
      <c r="AC1112" s="376" t="s">
        <v>1522</v>
      </c>
      <c r="AD1112" s="376" t="s">
        <v>912</v>
      </c>
      <c r="AE1112" s="376" t="s">
        <v>863</v>
      </c>
      <c r="AF1112" s="376" t="s">
        <v>393</v>
      </c>
      <c r="AG1112" s="376" t="s">
        <v>178</v>
      </c>
      <c r="AH1112" s="381">
        <v>18.649999999999999</v>
      </c>
      <c r="AI1112" s="381">
        <v>1242.7</v>
      </c>
      <c r="AJ1112" s="376" t="s">
        <v>179</v>
      </c>
      <c r="AK1112" s="376" t="s">
        <v>180</v>
      </c>
      <c r="AL1112" s="376" t="s">
        <v>181</v>
      </c>
      <c r="AM1112" s="376" t="s">
        <v>182</v>
      </c>
      <c r="AN1112" s="376" t="s">
        <v>68</v>
      </c>
      <c r="AO1112" s="379">
        <v>80</v>
      </c>
      <c r="AP1112" s="385">
        <v>1</v>
      </c>
      <c r="AQ1112" s="385">
        <v>0</v>
      </c>
      <c r="AR1112" s="383" t="s">
        <v>183</v>
      </c>
      <c r="AS1112" s="387">
        <f t="shared" si="775"/>
        <v>0</v>
      </c>
      <c r="AT1112">
        <f t="shared" si="776"/>
        <v>0</v>
      </c>
      <c r="AU1112" s="387" t="str">
        <f>IF(AT1112=0,"",IF(AND(AT1112=1,M1112="F",SUMIF(C2:C1334,C1112,AS2:AS1334)&lt;=1),SUMIF(C2:C1334,C1112,AS2:AS1334),IF(AND(AT1112=1,M1112="F",SUMIF(C2:C1334,C1112,AS2:AS1334)&gt;1),1,"")))</f>
        <v/>
      </c>
      <c r="AV1112" s="387" t="str">
        <f>IF(AT1112=0,"",IF(AND(AT1112=3,M1112="F",SUMIF(C2:C1334,C1112,AS2:AS1334)&lt;=1),SUMIF(C2:C1334,C1112,AS2:AS1334),IF(AND(AT1112=3,M1112="F",SUMIF(C2:C1334,C1112,AS2:AS1334)&gt;1),1,"")))</f>
        <v/>
      </c>
      <c r="AW1112" s="387">
        <f>SUMIF(C2:C1334,C1112,O2:O1334)</f>
        <v>2</v>
      </c>
      <c r="AX1112" s="387">
        <f>IF(AND(M1112="F",AS1112&lt;&gt;0),SUMIF(C2:C1334,C1112,W2:W1334),0)</f>
        <v>0</v>
      </c>
      <c r="AY1112" s="387" t="str">
        <f t="shared" si="777"/>
        <v/>
      </c>
      <c r="AZ1112" s="387" t="str">
        <f t="shared" si="778"/>
        <v/>
      </c>
      <c r="BA1112" s="387">
        <f t="shared" si="779"/>
        <v>0</v>
      </c>
      <c r="BB1112" s="387">
        <f t="shared" si="748"/>
        <v>0</v>
      </c>
      <c r="BC1112" s="387">
        <f t="shared" si="749"/>
        <v>0</v>
      </c>
      <c r="BD1112" s="387">
        <f t="shared" si="750"/>
        <v>0</v>
      </c>
      <c r="BE1112" s="387">
        <f t="shared" si="751"/>
        <v>0</v>
      </c>
      <c r="BF1112" s="387">
        <f t="shared" si="752"/>
        <v>0</v>
      </c>
      <c r="BG1112" s="387">
        <f t="shared" si="753"/>
        <v>0</v>
      </c>
      <c r="BH1112" s="387">
        <f t="shared" si="754"/>
        <v>0</v>
      </c>
      <c r="BI1112" s="387">
        <f t="shared" si="755"/>
        <v>0</v>
      </c>
      <c r="BJ1112" s="387">
        <f t="shared" si="756"/>
        <v>0</v>
      </c>
      <c r="BK1112" s="387">
        <f t="shared" si="757"/>
        <v>0</v>
      </c>
      <c r="BL1112" s="387">
        <f t="shared" si="780"/>
        <v>0</v>
      </c>
      <c r="BM1112" s="387">
        <f t="shared" si="781"/>
        <v>0</v>
      </c>
      <c r="BN1112" s="387">
        <f t="shared" si="758"/>
        <v>0</v>
      </c>
      <c r="BO1112" s="387">
        <f t="shared" si="759"/>
        <v>0</v>
      </c>
      <c r="BP1112" s="387">
        <f t="shared" si="760"/>
        <v>0</v>
      </c>
      <c r="BQ1112" s="387">
        <f t="shared" si="761"/>
        <v>0</v>
      </c>
      <c r="BR1112" s="387">
        <f t="shared" si="762"/>
        <v>0</v>
      </c>
      <c r="BS1112" s="387">
        <f t="shared" si="763"/>
        <v>0</v>
      </c>
      <c r="BT1112" s="387">
        <f t="shared" si="764"/>
        <v>0</v>
      </c>
      <c r="BU1112" s="387">
        <f t="shared" si="765"/>
        <v>0</v>
      </c>
      <c r="BV1112" s="387">
        <f t="shared" si="766"/>
        <v>0</v>
      </c>
      <c r="BW1112" s="387">
        <f t="shared" si="767"/>
        <v>0</v>
      </c>
      <c r="BX1112" s="387">
        <f t="shared" si="782"/>
        <v>0</v>
      </c>
      <c r="BY1112" s="387">
        <f t="shared" si="783"/>
        <v>0</v>
      </c>
      <c r="BZ1112" s="387">
        <f t="shared" si="784"/>
        <v>0</v>
      </c>
      <c r="CA1112" s="387">
        <f t="shared" si="785"/>
        <v>0</v>
      </c>
      <c r="CB1112" s="387">
        <f t="shared" si="786"/>
        <v>0</v>
      </c>
      <c r="CC1112" s="387">
        <f t="shared" si="768"/>
        <v>0</v>
      </c>
      <c r="CD1112" s="387">
        <f t="shared" si="769"/>
        <v>0</v>
      </c>
      <c r="CE1112" s="387">
        <f t="shared" si="770"/>
        <v>0</v>
      </c>
      <c r="CF1112" s="387">
        <f t="shared" si="771"/>
        <v>0</v>
      </c>
      <c r="CG1112" s="387">
        <f t="shared" si="772"/>
        <v>0</v>
      </c>
      <c r="CH1112" s="387">
        <f t="shared" si="773"/>
        <v>0</v>
      </c>
      <c r="CI1112" s="387">
        <f t="shared" si="774"/>
        <v>0</v>
      </c>
      <c r="CJ1112" s="387">
        <f t="shared" si="787"/>
        <v>0</v>
      </c>
      <c r="CK1112" s="387" t="str">
        <f t="shared" si="788"/>
        <v/>
      </c>
      <c r="CL1112" s="387" t="str">
        <f t="shared" si="789"/>
        <v/>
      </c>
      <c r="CM1112" s="387" t="str">
        <f t="shared" si="790"/>
        <v/>
      </c>
      <c r="CN1112" s="387" t="str">
        <f t="shared" si="791"/>
        <v>0348-31</v>
      </c>
    </row>
    <row r="1113" spans="1:92" ht="15.75" thickBot="1" x14ac:dyDescent="0.3">
      <c r="A1113" s="376" t="s">
        <v>161</v>
      </c>
      <c r="B1113" s="376" t="s">
        <v>162</v>
      </c>
      <c r="C1113" s="376" t="s">
        <v>2316</v>
      </c>
      <c r="D1113" s="376" t="s">
        <v>974</v>
      </c>
      <c r="E1113" s="376" t="s">
        <v>224</v>
      </c>
      <c r="F1113" s="382" t="s">
        <v>225</v>
      </c>
      <c r="G1113" s="376" t="s">
        <v>1945</v>
      </c>
      <c r="H1113" s="378"/>
      <c r="I1113" s="378"/>
      <c r="J1113" s="376" t="s">
        <v>215</v>
      </c>
      <c r="K1113" s="376" t="s">
        <v>975</v>
      </c>
      <c r="L1113" s="376" t="s">
        <v>296</v>
      </c>
      <c r="M1113" s="376" t="s">
        <v>171</v>
      </c>
      <c r="N1113" s="376" t="s">
        <v>172</v>
      </c>
      <c r="O1113" s="379">
        <v>1</v>
      </c>
      <c r="P1113" s="385">
        <v>1</v>
      </c>
      <c r="Q1113" s="385">
        <v>1</v>
      </c>
      <c r="R1113" s="380">
        <v>80</v>
      </c>
      <c r="S1113" s="385">
        <v>1</v>
      </c>
      <c r="T1113" s="380">
        <v>32973.61</v>
      </c>
      <c r="U1113" s="380">
        <v>201.34</v>
      </c>
      <c r="V1113" s="380">
        <v>16030.46</v>
      </c>
      <c r="W1113" s="380">
        <v>43284.800000000003</v>
      </c>
      <c r="X1113" s="380">
        <v>21010.29</v>
      </c>
      <c r="Y1113" s="380">
        <v>43284.800000000003</v>
      </c>
      <c r="Z1113" s="380">
        <v>20828.5</v>
      </c>
      <c r="AA1113" s="376" t="s">
        <v>2317</v>
      </c>
      <c r="AB1113" s="376" t="s">
        <v>2318</v>
      </c>
      <c r="AC1113" s="376" t="s">
        <v>1518</v>
      </c>
      <c r="AD1113" s="376" t="s">
        <v>278</v>
      </c>
      <c r="AE1113" s="376" t="s">
        <v>975</v>
      </c>
      <c r="AF1113" s="376" t="s">
        <v>301</v>
      </c>
      <c r="AG1113" s="376" t="s">
        <v>178</v>
      </c>
      <c r="AH1113" s="381">
        <v>20.81</v>
      </c>
      <c r="AI1113" s="381">
        <v>3727.7</v>
      </c>
      <c r="AJ1113" s="376" t="s">
        <v>179</v>
      </c>
      <c r="AK1113" s="376" t="s">
        <v>180</v>
      </c>
      <c r="AL1113" s="376" t="s">
        <v>181</v>
      </c>
      <c r="AM1113" s="376" t="s">
        <v>182</v>
      </c>
      <c r="AN1113" s="376" t="s">
        <v>68</v>
      </c>
      <c r="AO1113" s="379">
        <v>80</v>
      </c>
      <c r="AP1113" s="385">
        <v>1</v>
      </c>
      <c r="AQ1113" s="385">
        <v>1</v>
      </c>
      <c r="AR1113" s="383" t="s">
        <v>183</v>
      </c>
      <c r="AS1113" s="387">
        <f t="shared" si="775"/>
        <v>1</v>
      </c>
      <c r="AT1113">
        <f t="shared" si="776"/>
        <v>1</v>
      </c>
      <c r="AU1113" s="387">
        <f>IF(AT1113=0,"",IF(AND(AT1113=1,M1113="F",SUMIF(C2:C1334,C1113,AS2:AS1334)&lt;=1),SUMIF(C2:C1334,C1113,AS2:AS1334),IF(AND(AT1113=1,M1113="F",SUMIF(C2:C1334,C1113,AS2:AS1334)&gt;1),1,"")))</f>
        <v>1</v>
      </c>
      <c r="AV1113" s="387" t="str">
        <f>IF(AT1113=0,"",IF(AND(AT1113=3,M1113="F",SUMIF(C2:C1334,C1113,AS2:AS1334)&lt;=1),SUMIF(C2:C1334,C1113,AS2:AS1334),IF(AND(AT1113=3,M1113="F",SUMIF(C2:C1334,C1113,AS2:AS1334)&gt;1),1,"")))</f>
        <v/>
      </c>
      <c r="AW1113" s="387">
        <f>SUMIF(C2:C1334,C1113,O2:O1334)</f>
        <v>1</v>
      </c>
      <c r="AX1113" s="387">
        <f>IF(AND(M1113="F",AS1113&lt;&gt;0),SUMIF(C2:C1334,C1113,W2:W1334),0)</f>
        <v>43284.800000000003</v>
      </c>
      <c r="AY1113" s="387">
        <f t="shared" si="777"/>
        <v>43284.800000000003</v>
      </c>
      <c r="AZ1113" s="387" t="str">
        <f t="shared" si="778"/>
        <v/>
      </c>
      <c r="BA1113" s="387">
        <f t="shared" si="779"/>
        <v>0</v>
      </c>
      <c r="BB1113" s="387">
        <f t="shared" si="748"/>
        <v>11650</v>
      </c>
      <c r="BC1113" s="387">
        <f t="shared" si="749"/>
        <v>0</v>
      </c>
      <c r="BD1113" s="387">
        <f t="shared" si="750"/>
        <v>2683.6576</v>
      </c>
      <c r="BE1113" s="387">
        <f t="shared" si="751"/>
        <v>627.6296000000001</v>
      </c>
      <c r="BF1113" s="387">
        <f t="shared" si="752"/>
        <v>5168.2051200000005</v>
      </c>
      <c r="BG1113" s="387">
        <f t="shared" si="753"/>
        <v>312.08340800000002</v>
      </c>
      <c r="BH1113" s="387">
        <f t="shared" si="754"/>
        <v>212.09551999999999</v>
      </c>
      <c r="BI1113" s="387">
        <f t="shared" si="755"/>
        <v>239.58136800000003</v>
      </c>
      <c r="BJ1113" s="387">
        <f t="shared" si="756"/>
        <v>116.86896000000002</v>
      </c>
      <c r="BK1113" s="387">
        <f t="shared" si="757"/>
        <v>0</v>
      </c>
      <c r="BL1113" s="387">
        <f t="shared" si="780"/>
        <v>9360.1215760000014</v>
      </c>
      <c r="BM1113" s="387">
        <f t="shared" si="781"/>
        <v>0</v>
      </c>
      <c r="BN1113" s="387">
        <f t="shared" si="758"/>
        <v>11650</v>
      </c>
      <c r="BO1113" s="387">
        <f t="shared" si="759"/>
        <v>0</v>
      </c>
      <c r="BP1113" s="387">
        <f t="shared" si="760"/>
        <v>2683.6576</v>
      </c>
      <c r="BQ1113" s="387">
        <f t="shared" si="761"/>
        <v>627.6296000000001</v>
      </c>
      <c r="BR1113" s="387">
        <f t="shared" si="762"/>
        <v>5168.2051200000005</v>
      </c>
      <c r="BS1113" s="387">
        <f t="shared" si="763"/>
        <v>312.08340800000002</v>
      </c>
      <c r="BT1113" s="387">
        <f t="shared" si="764"/>
        <v>0</v>
      </c>
      <c r="BU1113" s="387">
        <f t="shared" si="765"/>
        <v>239.58136800000003</v>
      </c>
      <c r="BV1113" s="387">
        <f t="shared" si="766"/>
        <v>147.16831999999999</v>
      </c>
      <c r="BW1113" s="387">
        <f t="shared" si="767"/>
        <v>0</v>
      </c>
      <c r="BX1113" s="387">
        <f t="shared" si="782"/>
        <v>9178.3254160000015</v>
      </c>
      <c r="BY1113" s="387">
        <f t="shared" si="783"/>
        <v>0</v>
      </c>
      <c r="BZ1113" s="387">
        <f t="shared" si="784"/>
        <v>0</v>
      </c>
      <c r="CA1113" s="387">
        <f t="shared" si="785"/>
        <v>0</v>
      </c>
      <c r="CB1113" s="387">
        <f t="shared" si="786"/>
        <v>0</v>
      </c>
      <c r="CC1113" s="387">
        <f t="shared" si="768"/>
        <v>0</v>
      </c>
      <c r="CD1113" s="387">
        <f t="shared" si="769"/>
        <v>0</v>
      </c>
      <c r="CE1113" s="387">
        <f t="shared" si="770"/>
        <v>0</v>
      </c>
      <c r="CF1113" s="387">
        <f t="shared" si="771"/>
        <v>-212.09551999999999</v>
      </c>
      <c r="CG1113" s="387">
        <f t="shared" si="772"/>
        <v>0</v>
      </c>
      <c r="CH1113" s="387">
        <f t="shared" si="773"/>
        <v>30.299359999999989</v>
      </c>
      <c r="CI1113" s="387">
        <f t="shared" si="774"/>
        <v>0</v>
      </c>
      <c r="CJ1113" s="387">
        <f t="shared" si="787"/>
        <v>-181.79616000000001</v>
      </c>
      <c r="CK1113" s="387" t="str">
        <f t="shared" si="788"/>
        <v/>
      </c>
      <c r="CL1113" s="387" t="str">
        <f t="shared" si="789"/>
        <v/>
      </c>
      <c r="CM1113" s="387" t="str">
        <f t="shared" si="790"/>
        <v/>
      </c>
      <c r="CN1113" s="387" t="str">
        <f t="shared" si="791"/>
        <v>0348-31</v>
      </c>
    </row>
    <row r="1114" spans="1:92" ht="15.75" thickBot="1" x14ac:dyDescent="0.3">
      <c r="A1114" s="376" t="s">
        <v>161</v>
      </c>
      <c r="B1114" s="376" t="s">
        <v>162</v>
      </c>
      <c r="C1114" s="376" t="s">
        <v>1437</v>
      </c>
      <c r="D1114" s="376" t="s">
        <v>992</v>
      </c>
      <c r="E1114" s="376" t="s">
        <v>224</v>
      </c>
      <c r="F1114" s="382" t="s">
        <v>225</v>
      </c>
      <c r="G1114" s="376" t="s">
        <v>1945</v>
      </c>
      <c r="H1114" s="378"/>
      <c r="I1114" s="378"/>
      <c r="J1114" s="376" t="s">
        <v>215</v>
      </c>
      <c r="K1114" s="376" t="s">
        <v>993</v>
      </c>
      <c r="L1114" s="376" t="s">
        <v>210</v>
      </c>
      <c r="M1114" s="376" t="s">
        <v>171</v>
      </c>
      <c r="N1114" s="376" t="s">
        <v>172</v>
      </c>
      <c r="O1114" s="379">
        <v>1</v>
      </c>
      <c r="P1114" s="385">
        <v>1</v>
      </c>
      <c r="Q1114" s="385">
        <v>1</v>
      </c>
      <c r="R1114" s="380">
        <v>80</v>
      </c>
      <c r="S1114" s="385">
        <v>1</v>
      </c>
      <c r="T1114" s="380">
        <v>0</v>
      </c>
      <c r="U1114" s="380">
        <v>0</v>
      </c>
      <c r="V1114" s="380">
        <v>0</v>
      </c>
      <c r="W1114" s="380">
        <v>66019.199999999997</v>
      </c>
      <c r="X1114" s="380">
        <v>25926.62</v>
      </c>
      <c r="Y1114" s="380">
        <v>66019.199999999997</v>
      </c>
      <c r="Z1114" s="380">
        <v>25649.34</v>
      </c>
      <c r="AA1114" s="376" t="s">
        <v>1438</v>
      </c>
      <c r="AB1114" s="376" t="s">
        <v>1439</v>
      </c>
      <c r="AC1114" s="376" t="s">
        <v>1440</v>
      </c>
      <c r="AD1114" s="376" t="s">
        <v>1441</v>
      </c>
      <c r="AE1114" s="376" t="s">
        <v>993</v>
      </c>
      <c r="AF1114" s="376" t="s">
        <v>245</v>
      </c>
      <c r="AG1114" s="376" t="s">
        <v>178</v>
      </c>
      <c r="AH1114" s="381">
        <v>31.74</v>
      </c>
      <c r="AI1114" s="381">
        <v>4566.6000000000004</v>
      </c>
      <c r="AJ1114" s="376" t="s">
        <v>179</v>
      </c>
      <c r="AK1114" s="376" t="s">
        <v>180</v>
      </c>
      <c r="AL1114" s="376" t="s">
        <v>181</v>
      </c>
      <c r="AM1114" s="376" t="s">
        <v>182</v>
      </c>
      <c r="AN1114" s="376" t="s">
        <v>68</v>
      </c>
      <c r="AO1114" s="379">
        <v>80</v>
      </c>
      <c r="AP1114" s="385">
        <v>1</v>
      </c>
      <c r="AQ1114" s="385">
        <v>1</v>
      </c>
      <c r="AR1114" s="383" t="s">
        <v>183</v>
      </c>
      <c r="AS1114" s="387">
        <f t="shared" si="775"/>
        <v>1</v>
      </c>
      <c r="AT1114">
        <f t="shared" si="776"/>
        <v>1</v>
      </c>
      <c r="AU1114" s="387">
        <f>IF(AT1114=0,"",IF(AND(AT1114=1,M1114="F",SUMIF(C2:C1334,C1114,AS2:AS1334)&lt;=1),SUMIF(C2:C1334,C1114,AS2:AS1334),IF(AND(AT1114=1,M1114="F",SUMIF(C2:C1334,C1114,AS2:AS1334)&gt;1),1,"")))</f>
        <v>1</v>
      </c>
      <c r="AV1114" s="387" t="str">
        <f>IF(AT1114=0,"",IF(AND(AT1114=3,M1114="F",SUMIF(C2:C1334,C1114,AS2:AS1334)&lt;=1),SUMIF(C2:C1334,C1114,AS2:AS1334),IF(AND(AT1114=3,M1114="F",SUMIF(C2:C1334,C1114,AS2:AS1334)&gt;1),1,"")))</f>
        <v/>
      </c>
      <c r="AW1114" s="387">
        <f>SUMIF(C2:C1334,C1114,O2:O1334)</f>
        <v>2</v>
      </c>
      <c r="AX1114" s="387">
        <f>IF(AND(M1114="F",AS1114&lt;&gt;0),SUMIF(C2:C1334,C1114,W2:W1334),0)</f>
        <v>66019.199999999997</v>
      </c>
      <c r="AY1114" s="387">
        <f t="shared" si="777"/>
        <v>66019.199999999997</v>
      </c>
      <c r="AZ1114" s="387" t="str">
        <f t="shared" si="778"/>
        <v/>
      </c>
      <c r="BA1114" s="387">
        <f t="shared" si="779"/>
        <v>0</v>
      </c>
      <c r="BB1114" s="387">
        <f t="shared" si="748"/>
        <v>11650</v>
      </c>
      <c r="BC1114" s="387">
        <f t="shared" si="749"/>
        <v>0</v>
      </c>
      <c r="BD1114" s="387">
        <f t="shared" si="750"/>
        <v>4093.1904</v>
      </c>
      <c r="BE1114" s="387">
        <f t="shared" si="751"/>
        <v>957.27840000000003</v>
      </c>
      <c r="BF1114" s="387">
        <f t="shared" si="752"/>
        <v>7882.6924799999997</v>
      </c>
      <c r="BG1114" s="387">
        <f t="shared" si="753"/>
        <v>475.99843199999998</v>
      </c>
      <c r="BH1114" s="387">
        <f t="shared" si="754"/>
        <v>323.49408</v>
      </c>
      <c r="BI1114" s="387">
        <f t="shared" si="755"/>
        <v>365.41627199999999</v>
      </c>
      <c r="BJ1114" s="387">
        <f t="shared" si="756"/>
        <v>178.25184000000002</v>
      </c>
      <c r="BK1114" s="387">
        <f t="shared" si="757"/>
        <v>0</v>
      </c>
      <c r="BL1114" s="387">
        <f t="shared" si="780"/>
        <v>14276.321904000002</v>
      </c>
      <c r="BM1114" s="387">
        <f t="shared" si="781"/>
        <v>0</v>
      </c>
      <c r="BN1114" s="387">
        <f t="shared" si="758"/>
        <v>11650</v>
      </c>
      <c r="BO1114" s="387">
        <f t="shared" si="759"/>
        <v>0</v>
      </c>
      <c r="BP1114" s="387">
        <f t="shared" si="760"/>
        <v>4093.1904</v>
      </c>
      <c r="BQ1114" s="387">
        <f t="shared" si="761"/>
        <v>957.27840000000003</v>
      </c>
      <c r="BR1114" s="387">
        <f t="shared" si="762"/>
        <v>7882.6924799999997</v>
      </c>
      <c r="BS1114" s="387">
        <f t="shared" si="763"/>
        <v>475.99843199999998</v>
      </c>
      <c r="BT1114" s="387">
        <f t="shared" si="764"/>
        <v>0</v>
      </c>
      <c r="BU1114" s="387">
        <f t="shared" si="765"/>
        <v>365.41627199999999</v>
      </c>
      <c r="BV1114" s="387">
        <f t="shared" si="766"/>
        <v>224.46527999999998</v>
      </c>
      <c r="BW1114" s="387">
        <f t="shared" si="767"/>
        <v>0</v>
      </c>
      <c r="BX1114" s="387">
        <f t="shared" si="782"/>
        <v>13999.041264000001</v>
      </c>
      <c r="BY1114" s="387">
        <f t="shared" si="783"/>
        <v>0</v>
      </c>
      <c r="BZ1114" s="387">
        <f t="shared" si="784"/>
        <v>0</v>
      </c>
      <c r="CA1114" s="387">
        <f t="shared" si="785"/>
        <v>0</v>
      </c>
      <c r="CB1114" s="387">
        <f t="shared" si="786"/>
        <v>0</v>
      </c>
      <c r="CC1114" s="387">
        <f t="shared" si="768"/>
        <v>0</v>
      </c>
      <c r="CD1114" s="387">
        <f t="shared" si="769"/>
        <v>0</v>
      </c>
      <c r="CE1114" s="387">
        <f t="shared" si="770"/>
        <v>0</v>
      </c>
      <c r="CF1114" s="387">
        <f t="shared" si="771"/>
        <v>-323.49408</v>
      </c>
      <c r="CG1114" s="387">
        <f t="shared" si="772"/>
        <v>0</v>
      </c>
      <c r="CH1114" s="387">
        <f t="shared" si="773"/>
        <v>46.213439999999977</v>
      </c>
      <c r="CI1114" s="387">
        <f t="shared" si="774"/>
        <v>0</v>
      </c>
      <c r="CJ1114" s="387">
        <f t="shared" si="787"/>
        <v>-277.28064000000001</v>
      </c>
      <c r="CK1114" s="387" t="str">
        <f t="shared" si="788"/>
        <v/>
      </c>
      <c r="CL1114" s="387" t="str">
        <f t="shared" si="789"/>
        <v/>
      </c>
      <c r="CM1114" s="387" t="str">
        <f t="shared" si="790"/>
        <v/>
      </c>
      <c r="CN1114" s="387" t="str">
        <f t="shared" si="791"/>
        <v>0348-31</v>
      </c>
    </row>
    <row r="1115" spans="1:92" ht="15.75" thickBot="1" x14ac:dyDescent="0.3">
      <c r="A1115" s="376" t="s">
        <v>161</v>
      </c>
      <c r="B1115" s="376" t="s">
        <v>162</v>
      </c>
      <c r="C1115" s="376" t="s">
        <v>2319</v>
      </c>
      <c r="D1115" s="376" t="s">
        <v>1326</v>
      </c>
      <c r="E1115" s="376" t="s">
        <v>224</v>
      </c>
      <c r="F1115" s="382" t="s">
        <v>225</v>
      </c>
      <c r="G1115" s="376" t="s">
        <v>1945</v>
      </c>
      <c r="H1115" s="378"/>
      <c r="I1115" s="378"/>
      <c r="J1115" s="376" t="s">
        <v>215</v>
      </c>
      <c r="K1115" s="376" t="s">
        <v>1327</v>
      </c>
      <c r="L1115" s="376" t="s">
        <v>296</v>
      </c>
      <c r="M1115" s="376" t="s">
        <v>171</v>
      </c>
      <c r="N1115" s="376" t="s">
        <v>172</v>
      </c>
      <c r="O1115" s="379">
        <v>1</v>
      </c>
      <c r="P1115" s="385">
        <v>1</v>
      </c>
      <c r="Q1115" s="385">
        <v>1</v>
      </c>
      <c r="R1115" s="380">
        <v>80</v>
      </c>
      <c r="S1115" s="385">
        <v>1</v>
      </c>
      <c r="T1115" s="380">
        <v>40915.230000000003</v>
      </c>
      <c r="U1115" s="380">
        <v>0</v>
      </c>
      <c r="V1115" s="380">
        <v>20268.23</v>
      </c>
      <c r="W1115" s="380">
        <v>43160</v>
      </c>
      <c r="X1115" s="380">
        <v>20983.33</v>
      </c>
      <c r="Y1115" s="380">
        <v>43160</v>
      </c>
      <c r="Z1115" s="380">
        <v>20802.060000000001</v>
      </c>
      <c r="AA1115" s="376" t="s">
        <v>2320</v>
      </c>
      <c r="AB1115" s="376" t="s">
        <v>1638</v>
      </c>
      <c r="AC1115" s="376" t="s">
        <v>2321</v>
      </c>
      <c r="AD1115" s="376" t="s">
        <v>591</v>
      </c>
      <c r="AE1115" s="376" t="s">
        <v>1327</v>
      </c>
      <c r="AF1115" s="376" t="s">
        <v>301</v>
      </c>
      <c r="AG1115" s="376" t="s">
        <v>178</v>
      </c>
      <c r="AH1115" s="381">
        <v>20.75</v>
      </c>
      <c r="AI1115" s="381">
        <v>11281.2</v>
      </c>
      <c r="AJ1115" s="376" t="s">
        <v>179</v>
      </c>
      <c r="AK1115" s="376" t="s">
        <v>180</v>
      </c>
      <c r="AL1115" s="376" t="s">
        <v>181</v>
      </c>
      <c r="AM1115" s="376" t="s">
        <v>182</v>
      </c>
      <c r="AN1115" s="376" t="s">
        <v>68</v>
      </c>
      <c r="AO1115" s="379">
        <v>80</v>
      </c>
      <c r="AP1115" s="385">
        <v>1</v>
      </c>
      <c r="AQ1115" s="385">
        <v>1</v>
      </c>
      <c r="AR1115" s="383" t="s">
        <v>183</v>
      </c>
      <c r="AS1115" s="387">
        <f t="shared" si="775"/>
        <v>1</v>
      </c>
      <c r="AT1115">
        <f t="shared" si="776"/>
        <v>1</v>
      </c>
      <c r="AU1115" s="387">
        <f>IF(AT1115=0,"",IF(AND(AT1115=1,M1115="F",SUMIF(C2:C1334,C1115,AS2:AS1334)&lt;=1),SUMIF(C2:C1334,C1115,AS2:AS1334),IF(AND(AT1115=1,M1115="F",SUMIF(C2:C1334,C1115,AS2:AS1334)&gt;1),1,"")))</f>
        <v>1</v>
      </c>
      <c r="AV1115" s="387" t="str">
        <f>IF(AT1115=0,"",IF(AND(AT1115=3,M1115="F",SUMIF(C2:C1334,C1115,AS2:AS1334)&lt;=1),SUMIF(C2:C1334,C1115,AS2:AS1334),IF(AND(AT1115=3,M1115="F",SUMIF(C2:C1334,C1115,AS2:AS1334)&gt;1),1,"")))</f>
        <v/>
      </c>
      <c r="AW1115" s="387">
        <f>SUMIF(C2:C1334,C1115,O2:O1334)</f>
        <v>1</v>
      </c>
      <c r="AX1115" s="387">
        <f>IF(AND(M1115="F",AS1115&lt;&gt;0),SUMIF(C2:C1334,C1115,W2:W1334),0)</f>
        <v>43160</v>
      </c>
      <c r="AY1115" s="387">
        <f t="shared" si="777"/>
        <v>43160</v>
      </c>
      <c r="AZ1115" s="387" t="str">
        <f t="shared" si="778"/>
        <v/>
      </c>
      <c r="BA1115" s="387">
        <f t="shared" si="779"/>
        <v>0</v>
      </c>
      <c r="BB1115" s="387">
        <f t="shared" si="748"/>
        <v>11650</v>
      </c>
      <c r="BC1115" s="387">
        <f t="shared" si="749"/>
        <v>0</v>
      </c>
      <c r="BD1115" s="387">
        <f t="shared" si="750"/>
        <v>2675.92</v>
      </c>
      <c r="BE1115" s="387">
        <f t="shared" si="751"/>
        <v>625.82000000000005</v>
      </c>
      <c r="BF1115" s="387">
        <f t="shared" si="752"/>
        <v>5153.3040000000001</v>
      </c>
      <c r="BG1115" s="387">
        <f t="shared" si="753"/>
        <v>311.18360000000001</v>
      </c>
      <c r="BH1115" s="387">
        <f t="shared" si="754"/>
        <v>211.48399999999998</v>
      </c>
      <c r="BI1115" s="387">
        <f t="shared" si="755"/>
        <v>238.89060000000001</v>
      </c>
      <c r="BJ1115" s="387">
        <f t="shared" si="756"/>
        <v>116.53200000000001</v>
      </c>
      <c r="BK1115" s="387">
        <f t="shared" si="757"/>
        <v>0</v>
      </c>
      <c r="BL1115" s="387">
        <f t="shared" si="780"/>
        <v>9333.1342000000004</v>
      </c>
      <c r="BM1115" s="387">
        <f t="shared" si="781"/>
        <v>0</v>
      </c>
      <c r="BN1115" s="387">
        <f t="shared" si="758"/>
        <v>11650</v>
      </c>
      <c r="BO1115" s="387">
        <f t="shared" si="759"/>
        <v>0</v>
      </c>
      <c r="BP1115" s="387">
        <f t="shared" si="760"/>
        <v>2675.92</v>
      </c>
      <c r="BQ1115" s="387">
        <f t="shared" si="761"/>
        <v>625.82000000000005</v>
      </c>
      <c r="BR1115" s="387">
        <f t="shared" si="762"/>
        <v>5153.3040000000001</v>
      </c>
      <c r="BS1115" s="387">
        <f t="shared" si="763"/>
        <v>311.18360000000001</v>
      </c>
      <c r="BT1115" s="387">
        <f t="shared" si="764"/>
        <v>0</v>
      </c>
      <c r="BU1115" s="387">
        <f t="shared" si="765"/>
        <v>238.89060000000001</v>
      </c>
      <c r="BV1115" s="387">
        <f t="shared" si="766"/>
        <v>146.744</v>
      </c>
      <c r="BW1115" s="387">
        <f t="shared" si="767"/>
        <v>0</v>
      </c>
      <c r="BX1115" s="387">
        <f t="shared" si="782"/>
        <v>9151.8622000000014</v>
      </c>
      <c r="BY1115" s="387">
        <f t="shared" si="783"/>
        <v>0</v>
      </c>
      <c r="BZ1115" s="387">
        <f t="shared" si="784"/>
        <v>0</v>
      </c>
      <c r="CA1115" s="387">
        <f t="shared" si="785"/>
        <v>0</v>
      </c>
      <c r="CB1115" s="387">
        <f t="shared" si="786"/>
        <v>0</v>
      </c>
      <c r="CC1115" s="387">
        <f t="shared" si="768"/>
        <v>0</v>
      </c>
      <c r="CD1115" s="387">
        <f t="shared" si="769"/>
        <v>0</v>
      </c>
      <c r="CE1115" s="387">
        <f t="shared" si="770"/>
        <v>0</v>
      </c>
      <c r="CF1115" s="387">
        <f t="shared" si="771"/>
        <v>-211.48399999999998</v>
      </c>
      <c r="CG1115" s="387">
        <f t="shared" si="772"/>
        <v>0</v>
      </c>
      <c r="CH1115" s="387">
        <f t="shared" si="773"/>
        <v>30.211999999999986</v>
      </c>
      <c r="CI1115" s="387">
        <f t="shared" si="774"/>
        <v>0</v>
      </c>
      <c r="CJ1115" s="387">
        <f t="shared" si="787"/>
        <v>-181.27199999999999</v>
      </c>
      <c r="CK1115" s="387" t="str">
        <f t="shared" si="788"/>
        <v/>
      </c>
      <c r="CL1115" s="387" t="str">
        <f t="shared" si="789"/>
        <v/>
      </c>
      <c r="CM1115" s="387" t="str">
        <f t="shared" si="790"/>
        <v/>
      </c>
      <c r="CN1115" s="387" t="str">
        <f t="shared" si="791"/>
        <v>0348-31</v>
      </c>
    </row>
    <row r="1116" spans="1:92" ht="15.75" thickBot="1" x14ac:dyDescent="0.3">
      <c r="A1116" s="376" t="s">
        <v>161</v>
      </c>
      <c r="B1116" s="376" t="s">
        <v>162</v>
      </c>
      <c r="C1116" s="376" t="s">
        <v>817</v>
      </c>
      <c r="D1116" s="376" t="s">
        <v>786</v>
      </c>
      <c r="E1116" s="376" t="s">
        <v>224</v>
      </c>
      <c r="F1116" s="382" t="s">
        <v>225</v>
      </c>
      <c r="G1116" s="376" t="s">
        <v>1945</v>
      </c>
      <c r="H1116" s="378"/>
      <c r="I1116" s="378"/>
      <c r="J1116" s="376" t="s">
        <v>239</v>
      </c>
      <c r="K1116" s="376" t="s">
        <v>787</v>
      </c>
      <c r="L1116" s="376" t="s">
        <v>181</v>
      </c>
      <c r="M1116" s="376" t="s">
        <v>171</v>
      </c>
      <c r="N1116" s="376" t="s">
        <v>172</v>
      </c>
      <c r="O1116" s="379">
        <v>1</v>
      </c>
      <c r="P1116" s="385">
        <v>0.05</v>
      </c>
      <c r="Q1116" s="385">
        <v>0.05</v>
      </c>
      <c r="R1116" s="380">
        <v>80</v>
      </c>
      <c r="S1116" s="385">
        <v>0.05</v>
      </c>
      <c r="T1116" s="380">
        <v>4118</v>
      </c>
      <c r="U1116" s="380">
        <v>0</v>
      </c>
      <c r="V1116" s="380">
        <v>1653.99</v>
      </c>
      <c r="W1116" s="380">
        <v>3141.84</v>
      </c>
      <c r="X1116" s="380">
        <v>1261.92</v>
      </c>
      <c r="Y1116" s="380">
        <v>3141.84</v>
      </c>
      <c r="Z1116" s="380">
        <v>1248.72</v>
      </c>
      <c r="AA1116" s="376" t="s">
        <v>818</v>
      </c>
      <c r="AB1116" s="376" t="s">
        <v>819</v>
      </c>
      <c r="AC1116" s="376" t="s">
        <v>820</v>
      </c>
      <c r="AD1116" s="376" t="s">
        <v>776</v>
      </c>
      <c r="AE1116" s="376" t="s">
        <v>787</v>
      </c>
      <c r="AF1116" s="376" t="s">
        <v>211</v>
      </c>
      <c r="AG1116" s="376" t="s">
        <v>178</v>
      </c>
      <c r="AH1116" s="381">
        <v>30.21</v>
      </c>
      <c r="AI1116" s="381">
        <v>29251.5</v>
      </c>
      <c r="AJ1116" s="376" t="s">
        <v>179</v>
      </c>
      <c r="AK1116" s="376" t="s">
        <v>180</v>
      </c>
      <c r="AL1116" s="376" t="s">
        <v>181</v>
      </c>
      <c r="AM1116" s="376" t="s">
        <v>182</v>
      </c>
      <c r="AN1116" s="376" t="s">
        <v>68</v>
      </c>
      <c r="AO1116" s="379">
        <v>80</v>
      </c>
      <c r="AP1116" s="385">
        <v>1</v>
      </c>
      <c r="AQ1116" s="385">
        <v>0.05</v>
      </c>
      <c r="AR1116" s="383" t="s">
        <v>183</v>
      </c>
      <c r="AS1116" s="387">
        <f t="shared" si="775"/>
        <v>0.05</v>
      </c>
      <c r="AT1116">
        <f t="shared" si="776"/>
        <v>1</v>
      </c>
      <c r="AU1116" s="387">
        <f>IF(AT1116=0,"",IF(AND(AT1116=1,M1116="F",SUMIF(C2:C1334,C1116,AS2:AS1334)&lt;=1),SUMIF(C2:C1334,C1116,AS2:AS1334),IF(AND(AT1116=1,M1116="F",SUMIF(C2:C1334,C1116,AS2:AS1334)&gt;1),1,"")))</f>
        <v>1</v>
      </c>
      <c r="AV1116" s="387" t="str">
        <f>IF(AT1116=0,"",IF(AND(AT1116=3,M1116="F",SUMIF(C2:C1334,C1116,AS2:AS1334)&lt;=1),SUMIF(C2:C1334,C1116,AS2:AS1334),IF(AND(AT1116=3,M1116="F",SUMIF(C2:C1334,C1116,AS2:AS1334)&gt;1),1,"")))</f>
        <v/>
      </c>
      <c r="AW1116" s="387">
        <f>SUMIF(C2:C1334,C1116,O2:O1334)</f>
        <v>4</v>
      </c>
      <c r="AX1116" s="387">
        <f>IF(AND(M1116="F",AS1116&lt;&gt;0),SUMIF(C2:C1334,C1116,W2:W1334),0)</f>
        <v>62836.800000000003</v>
      </c>
      <c r="AY1116" s="387">
        <f t="shared" si="777"/>
        <v>3141.84</v>
      </c>
      <c r="AZ1116" s="387" t="str">
        <f t="shared" si="778"/>
        <v/>
      </c>
      <c r="BA1116" s="387">
        <f t="shared" si="779"/>
        <v>0</v>
      </c>
      <c r="BB1116" s="387">
        <f t="shared" si="748"/>
        <v>582.5</v>
      </c>
      <c r="BC1116" s="387">
        <f t="shared" si="749"/>
        <v>0</v>
      </c>
      <c r="BD1116" s="387">
        <f t="shared" si="750"/>
        <v>194.79408000000001</v>
      </c>
      <c r="BE1116" s="387">
        <f t="shared" si="751"/>
        <v>45.556680000000007</v>
      </c>
      <c r="BF1116" s="387">
        <f t="shared" si="752"/>
        <v>375.13569600000005</v>
      </c>
      <c r="BG1116" s="387">
        <f t="shared" si="753"/>
        <v>22.652666400000001</v>
      </c>
      <c r="BH1116" s="387">
        <f t="shared" si="754"/>
        <v>15.395016</v>
      </c>
      <c r="BI1116" s="387">
        <f t="shared" si="755"/>
        <v>17.390084399999999</v>
      </c>
      <c r="BJ1116" s="387">
        <f t="shared" si="756"/>
        <v>8.4829680000000014</v>
      </c>
      <c r="BK1116" s="387">
        <f t="shared" si="757"/>
        <v>0</v>
      </c>
      <c r="BL1116" s="387">
        <f t="shared" si="780"/>
        <v>679.40719080000019</v>
      </c>
      <c r="BM1116" s="387">
        <f t="shared" si="781"/>
        <v>0</v>
      </c>
      <c r="BN1116" s="387">
        <f t="shared" si="758"/>
        <v>582.5</v>
      </c>
      <c r="BO1116" s="387">
        <f t="shared" si="759"/>
        <v>0</v>
      </c>
      <c r="BP1116" s="387">
        <f t="shared" si="760"/>
        <v>194.79408000000001</v>
      </c>
      <c r="BQ1116" s="387">
        <f t="shared" si="761"/>
        <v>45.556680000000007</v>
      </c>
      <c r="BR1116" s="387">
        <f t="shared" si="762"/>
        <v>375.13569600000005</v>
      </c>
      <c r="BS1116" s="387">
        <f t="shared" si="763"/>
        <v>22.652666400000001</v>
      </c>
      <c r="BT1116" s="387">
        <f t="shared" si="764"/>
        <v>0</v>
      </c>
      <c r="BU1116" s="387">
        <f t="shared" si="765"/>
        <v>17.390084399999999</v>
      </c>
      <c r="BV1116" s="387">
        <f t="shared" si="766"/>
        <v>10.682256000000001</v>
      </c>
      <c r="BW1116" s="387">
        <f t="shared" si="767"/>
        <v>0</v>
      </c>
      <c r="BX1116" s="387">
        <f t="shared" si="782"/>
        <v>666.21146280000016</v>
      </c>
      <c r="BY1116" s="387">
        <f t="shared" si="783"/>
        <v>0</v>
      </c>
      <c r="BZ1116" s="387">
        <f t="shared" si="784"/>
        <v>0</v>
      </c>
      <c r="CA1116" s="387">
        <f t="shared" si="785"/>
        <v>0</v>
      </c>
      <c r="CB1116" s="387">
        <f t="shared" si="786"/>
        <v>0</v>
      </c>
      <c r="CC1116" s="387">
        <f t="shared" si="768"/>
        <v>0</v>
      </c>
      <c r="CD1116" s="387">
        <f t="shared" si="769"/>
        <v>0</v>
      </c>
      <c r="CE1116" s="387">
        <f t="shared" si="770"/>
        <v>0</v>
      </c>
      <c r="CF1116" s="387">
        <f t="shared" si="771"/>
        <v>-15.395016</v>
      </c>
      <c r="CG1116" s="387">
        <f t="shared" si="772"/>
        <v>0</v>
      </c>
      <c r="CH1116" s="387">
        <f t="shared" si="773"/>
        <v>2.1992879999999992</v>
      </c>
      <c r="CI1116" s="387">
        <f t="shared" si="774"/>
        <v>0</v>
      </c>
      <c r="CJ1116" s="387">
        <f t="shared" si="787"/>
        <v>-13.195728000000001</v>
      </c>
      <c r="CK1116" s="387" t="str">
        <f t="shared" si="788"/>
        <v/>
      </c>
      <c r="CL1116" s="387" t="str">
        <f t="shared" si="789"/>
        <v/>
      </c>
      <c r="CM1116" s="387" t="str">
        <f t="shared" si="790"/>
        <v/>
      </c>
      <c r="CN1116" s="387" t="str">
        <f t="shared" si="791"/>
        <v>0348-31</v>
      </c>
    </row>
    <row r="1117" spans="1:92" ht="15.75" thickBot="1" x14ac:dyDescent="0.3">
      <c r="A1117" s="376" t="s">
        <v>161</v>
      </c>
      <c r="B1117" s="376" t="s">
        <v>162</v>
      </c>
      <c r="C1117" s="376" t="s">
        <v>381</v>
      </c>
      <c r="D1117" s="376" t="s">
        <v>368</v>
      </c>
      <c r="E1117" s="376" t="s">
        <v>224</v>
      </c>
      <c r="F1117" s="382" t="s">
        <v>225</v>
      </c>
      <c r="G1117" s="376" t="s">
        <v>1945</v>
      </c>
      <c r="H1117" s="378"/>
      <c r="I1117" s="378"/>
      <c r="J1117" s="376" t="s">
        <v>239</v>
      </c>
      <c r="K1117" s="376" t="s">
        <v>382</v>
      </c>
      <c r="L1117" s="376" t="s">
        <v>296</v>
      </c>
      <c r="M1117" s="376" t="s">
        <v>171</v>
      </c>
      <c r="N1117" s="376" t="s">
        <v>172</v>
      </c>
      <c r="O1117" s="379">
        <v>1</v>
      </c>
      <c r="P1117" s="385">
        <v>0.15</v>
      </c>
      <c r="Q1117" s="385">
        <v>0.15</v>
      </c>
      <c r="R1117" s="380">
        <v>80</v>
      </c>
      <c r="S1117" s="385">
        <v>0.15</v>
      </c>
      <c r="T1117" s="380">
        <v>10856.09</v>
      </c>
      <c r="U1117" s="380">
        <v>0</v>
      </c>
      <c r="V1117" s="380">
        <v>4433.4399999999996</v>
      </c>
      <c r="W1117" s="380">
        <v>8873.2800000000007</v>
      </c>
      <c r="X1117" s="380">
        <v>3666.34</v>
      </c>
      <c r="Y1117" s="380">
        <v>8873.2800000000007</v>
      </c>
      <c r="Z1117" s="380">
        <v>3629.07</v>
      </c>
      <c r="AA1117" s="376" t="s">
        <v>383</v>
      </c>
      <c r="AB1117" s="376" t="s">
        <v>384</v>
      </c>
      <c r="AC1117" s="376" t="s">
        <v>385</v>
      </c>
      <c r="AD1117" s="376" t="s">
        <v>386</v>
      </c>
      <c r="AE1117" s="376" t="s">
        <v>382</v>
      </c>
      <c r="AF1117" s="376" t="s">
        <v>301</v>
      </c>
      <c r="AG1117" s="376" t="s">
        <v>178</v>
      </c>
      <c r="AH1117" s="381">
        <v>28.44</v>
      </c>
      <c r="AI1117" s="379">
        <v>8925</v>
      </c>
      <c r="AJ1117" s="376" t="s">
        <v>179</v>
      </c>
      <c r="AK1117" s="376" t="s">
        <v>180</v>
      </c>
      <c r="AL1117" s="376" t="s">
        <v>181</v>
      </c>
      <c r="AM1117" s="376" t="s">
        <v>182</v>
      </c>
      <c r="AN1117" s="376" t="s">
        <v>68</v>
      </c>
      <c r="AO1117" s="379">
        <v>80</v>
      </c>
      <c r="AP1117" s="385">
        <v>1</v>
      </c>
      <c r="AQ1117" s="385">
        <v>0.15</v>
      </c>
      <c r="AR1117" s="383" t="s">
        <v>183</v>
      </c>
      <c r="AS1117" s="387">
        <f t="shared" si="775"/>
        <v>0.15</v>
      </c>
      <c r="AT1117">
        <f t="shared" si="776"/>
        <v>1</v>
      </c>
      <c r="AU1117" s="387">
        <f>IF(AT1117=0,"",IF(AND(AT1117=1,M1117="F",SUMIF(C2:C1334,C1117,AS2:AS1334)&lt;=1),SUMIF(C2:C1334,C1117,AS2:AS1334),IF(AND(AT1117=1,M1117="F",SUMIF(C2:C1334,C1117,AS2:AS1334)&gt;1),1,"")))</f>
        <v>1</v>
      </c>
      <c r="AV1117" s="387" t="str">
        <f>IF(AT1117=0,"",IF(AND(AT1117=3,M1117="F",SUMIF(C2:C1334,C1117,AS2:AS1334)&lt;=1),SUMIF(C2:C1334,C1117,AS2:AS1334),IF(AND(AT1117=3,M1117="F",SUMIF(C2:C1334,C1117,AS2:AS1334)&gt;1),1,"")))</f>
        <v/>
      </c>
      <c r="AW1117" s="387">
        <f>SUMIF(C2:C1334,C1117,O2:O1334)</f>
        <v>6</v>
      </c>
      <c r="AX1117" s="387">
        <f>IF(AND(M1117="F",AS1117&lt;&gt;0),SUMIF(C2:C1334,C1117,W2:W1334),0)</f>
        <v>59155.199999999997</v>
      </c>
      <c r="AY1117" s="387">
        <f t="shared" si="777"/>
        <v>8873.2800000000007</v>
      </c>
      <c r="AZ1117" s="387" t="str">
        <f t="shared" si="778"/>
        <v/>
      </c>
      <c r="BA1117" s="387">
        <f t="shared" si="779"/>
        <v>0</v>
      </c>
      <c r="BB1117" s="387">
        <f t="shared" si="748"/>
        <v>1747.5</v>
      </c>
      <c r="BC1117" s="387">
        <f t="shared" si="749"/>
        <v>0</v>
      </c>
      <c r="BD1117" s="387">
        <f t="shared" si="750"/>
        <v>550.14336000000003</v>
      </c>
      <c r="BE1117" s="387">
        <f t="shared" si="751"/>
        <v>128.66256000000001</v>
      </c>
      <c r="BF1117" s="387">
        <f t="shared" si="752"/>
        <v>1059.469632</v>
      </c>
      <c r="BG1117" s="387">
        <f t="shared" si="753"/>
        <v>63.976348800000004</v>
      </c>
      <c r="BH1117" s="387">
        <f t="shared" si="754"/>
        <v>43.479072000000002</v>
      </c>
      <c r="BI1117" s="387">
        <f t="shared" si="755"/>
        <v>49.113604800000005</v>
      </c>
      <c r="BJ1117" s="387">
        <f t="shared" si="756"/>
        <v>23.957856000000003</v>
      </c>
      <c r="BK1117" s="387">
        <f t="shared" si="757"/>
        <v>0</v>
      </c>
      <c r="BL1117" s="387">
        <f t="shared" si="780"/>
        <v>1918.8024336000003</v>
      </c>
      <c r="BM1117" s="387">
        <f t="shared" si="781"/>
        <v>0</v>
      </c>
      <c r="BN1117" s="387">
        <f t="shared" si="758"/>
        <v>1747.5</v>
      </c>
      <c r="BO1117" s="387">
        <f t="shared" si="759"/>
        <v>0</v>
      </c>
      <c r="BP1117" s="387">
        <f t="shared" si="760"/>
        <v>550.14336000000003</v>
      </c>
      <c r="BQ1117" s="387">
        <f t="shared" si="761"/>
        <v>128.66256000000001</v>
      </c>
      <c r="BR1117" s="387">
        <f t="shared" si="762"/>
        <v>1059.469632</v>
      </c>
      <c r="BS1117" s="387">
        <f t="shared" si="763"/>
        <v>63.976348800000004</v>
      </c>
      <c r="BT1117" s="387">
        <f t="shared" si="764"/>
        <v>0</v>
      </c>
      <c r="BU1117" s="387">
        <f t="shared" si="765"/>
        <v>49.113604800000005</v>
      </c>
      <c r="BV1117" s="387">
        <f t="shared" si="766"/>
        <v>30.169152</v>
      </c>
      <c r="BW1117" s="387">
        <f t="shared" si="767"/>
        <v>0</v>
      </c>
      <c r="BX1117" s="387">
        <f t="shared" si="782"/>
        <v>1881.5346576000002</v>
      </c>
      <c r="BY1117" s="387">
        <f t="shared" si="783"/>
        <v>0</v>
      </c>
      <c r="BZ1117" s="387">
        <f t="shared" si="784"/>
        <v>0</v>
      </c>
      <c r="CA1117" s="387">
        <f t="shared" si="785"/>
        <v>0</v>
      </c>
      <c r="CB1117" s="387">
        <f t="shared" si="786"/>
        <v>0</v>
      </c>
      <c r="CC1117" s="387">
        <f t="shared" si="768"/>
        <v>0</v>
      </c>
      <c r="CD1117" s="387">
        <f t="shared" si="769"/>
        <v>0</v>
      </c>
      <c r="CE1117" s="387">
        <f t="shared" si="770"/>
        <v>0</v>
      </c>
      <c r="CF1117" s="387">
        <f t="shared" si="771"/>
        <v>-43.479072000000002</v>
      </c>
      <c r="CG1117" s="387">
        <f t="shared" si="772"/>
        <v>0</v>
      </c>
      <c r="CH1117" s="387">
        <f t="shared" si="773"/>
        <v>6.2112959999999973</v>
      </c>
      <c r="CI1117" s="387">
        <f t="shared" si="774"/>
        <v>0</v>
      </c>
      <c r="CJ1117" s="387">
        <f t="shared" si="787"/>
        <v>-37.267776000000005</v>
      </c>
      <c r="CK1117" s="387" t="str">
        <f t="shared" si="788"/>
        <v/>
      </c>
      <c r="CL1117" s="387" t="str">
        <f t="shared" si="789"/>
        <v/>
      </c>
      <c r="CM1117" s="387" t="str">
        <f t="shared" si="790"/>
        <v/>
      </c>
      <c r="CN1117" s="387" t="str">
        <f t="shared" si="791"/>
        <v>0348-31</v>
      </c>
    </row>
    <row r="1118" spans="1:92" ht="15.75" thickBot="1" x14ac:dyDescent="0.3">
      <c r="A1118" s="376" t="s">
        <v>161</v>
      </c>
      <c r="B1118" s="376" t="s">
        <v>162</v>
      </c>
      <c r="C1118" s="376" t="s">
        <v>2322</v>
      </c>
      <c r="D1118" s="376" t="s">
        <v>974</v>
      </c>
      <c r="E1118" s="376" t="s">
        <v>224</v>
      </c>
      <c r="F1118" s="382" t="s">
        <v>225</v>
      </c>
      <c r="G1118" s="376" t="s">
        <v>1945</v>
      </c>
      <c r="H1118" s="378"/>
      <c r="I1118" s="378"/>
      <c r="J1118" s="376" t="s">
        <v>215</v>
      </c>
      <c r="K1118" s="376" t="s">
        <v>975</v>
      </c>
      <c r="L1118" s="376" t="s">
        <v>296</v>
      </c>
      <c r="M1118" s="376" t="s">
        <v>272</v>
      </c>
      <c r="N1118" s="376" t="s">
        <v>172</v>
      </c>
      <c r="O1118" s="379">
        <v>0</v>
      </c>
      <c r="P1118" s="385">
        <v>1</v>
      </c>
      <c r="Q1118" s="385">
        <v>1</v>
      </c>
      <c r="R1118" s="380">
        <v>80</v>
      </c>
      <c r="S1118" s="385">
        <v>1</v>
      </c>
      <c r="T1118" s="380">
        <v>35852.26</v>
      </c>
      <c r="U1118" s="380">
        <v>145.72999999999999</v>
      </c>
      <c r="V1118" s="380">
        <v>16977.13</v>
      </c>
      <c r="W1118" s="380">
        <v>47403.199999999997</v>
      </c>
      <c r="X1118" s="380">
        <v>20762.599999999999</v>
      </c>
      <c r="Y1118" s="380">
        <v>47403.199999999997</v>
      </c>
      <c r="Z1118" s="380">
        <v>20525.580000000002</v>
      </c>
      <c r="AA1118" s="378"/>
      <c r="AB1118" s="376" t="s">
        <v>45</v>
      </c>
      <c r="AC1118" s="376" t="s">
        <v>45</v>
      </c>
      <c r="AD1118" s="378"/>
      <c r="AE1118" s="378"/>
      <c r="AF1118" s="378"/>
      <c r="AG1118" s="378"/>
      <c r="AH1118" s="379">
        <v>0</v>
      </c>
      <c r="AI1118" s="379">
        <v>0</v>
      </c>
      <c r="AJ1118" s="378"/>
      <c r="AK1118" s="378"/>
      <c r="AL1118" s="376" t="s">
        <v>181</v>
      </c>
      <c r="AM1118" s="378"/>
      <c r="AN1118" s="378"/>
      <c r="AO1118" s="379">
        <v>0</v>
      </c>
      <c r="AP1118" s="385">
        <v>0</v>
      </c>
      <c r="AQ1118" s="385">
        <v>0</v>
      </c>
      <c r="AR1118" s="384"/>
      <c r="AS1118" s="387">
        <f t="shared" si="775"/>
        <v>0</v>
      </c>
      <c r="AT1118">
        <f t="shared" si="776"/>
        <v>0</v>
      </c>
      <c r="AU1118" s="387" t="str">
        <f>IF(AT1118=0,"",IF(AND(AT1118=1,M1118="F",SUMIF(C2:C1334,C1118,AS2:AS1334)&lt;=1),SUMIF(C2:C1334,C1118,AS2:AS1334),IF(AND(AT1118=1,M1118="F",SUMIF(C2:C1334,C1118,AS2:AS1334)&gt;1),1,"")))</f>
        <v/>
      </c>
      <c r="AV1118" s="387" t="str">
        <f>IF(AT1118=0,"",IF(AND(AT1118=3,M1118="F",SUMIF(C2:C1334,C1118,AS2:AS1334)&lt;=1),SUMIF(C2:C1334,C1118,AS2:AS1334),IF(AND(AT1118=3,M1118="F",SUMIF(C2:C1334,C1118,AS2:AS1334)&gt;1),1,"")))</f>
        <v/>
      </c>
      <c r="AW1118" s="387">
        <f>SUMIF(C2:C1334,C1118,O2:O1334)</f>
        <v>0</v>
      </c>
      <c r="AX1118" s="387">
        <f>IF(AND(M1118="F",AS1118&lt;&gt;0),SUMIF(C2:C1334,C1118,W2:W1334),0)</f>
        <v>0</v>
      </c>
      <c r="AY1118" s="387" t="str">
        <f t="shared" si="777"/>
        <v/>
      </c>
      <c r="AZ1118" s="387" t="str">
        <f t="shared" si="778"/>
        <v/>
      </c>
      <c r="BA1118" s="387">
        <f t="shared" si="779"/>
        <v>0</v>
      </c>
      <c r="BB1118" s="387">
        <f t="shared" si="748"/>
        <v>0</v>
      </c>
      <c r="BC1118" s="387">
        <f t="shared" si="749"/>
        <v>0</v>
      </c>
      <c r="BD1118" s="387">
        <f t="shared" si="750"/>
        <v>0</v>
      </c>
      <c r="BE1118" s="387">
        <f t="shared" si="751"/>
        <v>0</v>
      </c>
      <c r="BF1118" s="387">
        <f t="shared" si="752"/>
        <v>0</v>
      </c>
      <c r="BG1118" s="387">
        <f t="shared" si="753"/>
        <v>0</v>
      </c>
      <c r="BH1118" s="387">
        <f t="shared" si="754"/>
        <v>0</v>
      </c>
      <c r="BI1118" s="387">
        <f t="shared" si="755"/>
        <v>0</v>
      </c>
      <c r="BJ1118" s="387">
        <f t="shared" si="756"/>
        <v>0</v>
      </c>
      <c r="BK1118" s="387">
        <f t="shared" si="757"/>
        <v>0</v>
      </c>
      <c r="BL1118" s="387">
        <f t="shared" si="780"/>
        <v>0</v>
      </c>
      <c r="BM1118" s="387">
        <f t="shared" si="781"/>
        <v>0</v>
      </c>
      <c r="BN1118" s="387">
        <f t="shared" si="758"/>
        <v>0</v>
      </c>
      <c r="BO1118" s="387">
        <f t="shared" si="759"/>
        <v>0</v>
      </c>
      <c r="BP1118" s="387">
        <f t="shared" si="760"/>
        <v>0</v>
      </c>
      <c r="BQ1118" s="387">
        <f t="shared" si="761"/>
        <v>0</v>
      </c>
      <c r="BR1118" s="387">
        <f t="shared" si="762"/>
        <v>0</v>
      </c>
      <c r="BS1118" s="387">
        <f t="shared" si="763"/>
        <v>0</v>
      </c>
      <c r="BT1118" s="387">
        <f t="shared" si="764"/>
        <v>0</v>
      </c>
      <c r="BU1118" s="387">
        <f t="shared" si="765"/>
        <v>0</v>
      </c>
      <c r="BV1118" s="387">
        <f t="shared" si="766"/>
        <v>0</v>
      </c>
      <c r="BW1118" s="387">
        <f t="shared" si="767"/>
        <v>0</v>
      </c>
      <c r="BX1118" s="387">
        <f t="shared" si="782"/>
        <v>0</v>
      </c>
      <c r="BY1118" s="387">
        <f t="shared" si="783"/>
        <v>0</v>
      </c>
      <c r="BZ1118" s="387">
        <f t="shared" si="784"/>
        <v>0</v>
      </c>
      <c r="CA1118" s="387">
        <f t="shared" si="785"/>
        <v>0</v>
      </c>
      <c r="CB1118" s="387">
        <f t="shared" si="786"/>
        <v>0</v>
      </c>
      <c r="CC1118" s="387">
        <f t="shared" si="768"/>
        <v>0</v>
      </c>
      <c r="CD1118" s="387">
        <f t="shared" si="769"/>
        <v>0</v>
      </c>
      <c r="CE1118" s="387">
        <f t="shared" si="770"/>
        <v>0</v>
      </c>
      <c r="CF1118" s="387">
        <f t="shared" si="771"/>
        <v>0</v>
      </c>
      <c r="CG1118" s="387">
        <f t="shared" si="772"/>
        <v>0</v>
      </c>
      <c r="CH1118" s="387">
        <f t="shared" si="773"/>
        <v>0</v>
      </c>
      <c r="CI1118" s="387">
        <f t="shared" si="774"/>
        <v>0</v>
      </c>
      <c r="CJ1118" s="387">
        <f t="shared" si="787"/>
        <v>0</v>
      </c>
      <c r="CK1118" s="387" t="str">
        <f t="shared" si="788"/>
        <v/>
      </c>
      <c r="CL1118" s="387" t="str">
        <f t="shared" si="789"/>
        <v/>
      </c>
      <c r="CM1118" s="387" t="str">
        <f t="shared" si="790"/>
        <v/>
      </c>
      <c r="CN1118" s="387" t="str">
        <f t="shared" si="791"/>
        <v>0348-31</v>
      </c>
    </row>
    <row r="1119" spans="1:92" ht="15.75" thickBot="1" x14ac:dyDescent="0.3">
      <c r="A1119" s="376" t="s">
        <v>161</v>
      </c>
      <c r="B1119" s="376" t="s">
        <v>162</v>
      </c>
      <c r="C1119" s="376" t="s">
        <v>1915</v>
      </c>
      <c r="D1119" s="376" t="s">
        <v>862</v>
      </c>
      <c r="E1119" s="376" t="s">
        <v>224</v>
      </c>
      <c r="F1119" s="382" t="s">
        <v>225</v>
      </c>
      <c r="G1119" s="376" t="s">
        <v>1945</v>
      </c>
      <c r="H1119" s="378"/>
      <c r="I1119" s="378"/>
      <c r="J1119" s="376" t="s">
        <v>168</v>
      </c>
      <c r="K1119" s="376" t="s">
        <v>863</v>
      </c>
      <c r="L1119" s="376" t="s">
        <v>252</v>
      </c>
      <c r="M1119" s="376" t="s">
        <v>171</v>
      </c>
      <c r="N1119" s="376" t="s">
        <v>172</v>
      </c>
      <c r="O1119" s="379">
        <v>1</v>
      </c>
      <c r="P1119" s="385">
        <v>0.15</v>
      </c>
      <c r="Q1119" s="385">
        <v>0.15</v>
      </c>
      <c r="R1119" s="380">
        <v>80</v>
      </c>
      <c r="S1119" s="385">
        <v>0.15</v>
      </c>
      <c r="T1119" s="380">
        <v>8095.1</v>
      </c>
      <c r="U1119" s="380">
        <v>0</v>
      </c>
      <c r="V1119" s="380">
        <v>3730.91</v>
      </c>
      <c r="W1119" s="380">
        <v>7612.8</v>
      </c>
      <c r="X1119" s="380">
        <v>3393.76</v>
      </c>
      <c r="Y1119" s="380">
        <v>7612.8</v>
      </c>
      <c r="Z1119" s="380">
        <v>3361.78</v>
      </c>
      <c r="AA1119" s="376" t="s">
        <v>1916</v>
      </c>
      <c r="AB1119" s="376" t="s">
        <v>1591</v>
      </c>
      <c r="AC1119" s="376" t="s">
        <v>260</v>
      </c>
      <c r="AD1119" s="376" t="s">
        <v>1917</v>
      </c>
      <c r="AE1119" s="376" t="s">
        <v>863</v>
      </c>
      <c r="AF1119" s="376" t="s">
        <v>393</v>
      </c>
      <c r="AG1119" s="376" t="s">
        <v>178</v>
      </c>
      <c r="AH1119" s="381">
        <v>24.4</v>
      </c>
      <c r="AI1119" s="381">
        <v>42023.199999999997</v>
      </c>
      <c r="AJ1119" s="376" t="s">
        <v>179</v>
      </c>
      <c r="AK1119" s="376" t="s">
        <v>180</v>
      </c>
      <c r="AL1119" s="376" t="s">
        <v>181</v>
      </c>
      <c r="AM1119" s="376" t="s">
        <v>182</v>
      </c>
      <c r="AN1119" s="376" t="s">
        <v>68</v>
      </c>
      <c r="AO1119" s="379">
        <v>80</v>
      </c>
      <c r="AP1119" s="385">
        <v>1</v>
      </c>
      <c r="AQ1119" s="385">
        <v>0.15</v>
      </c>
      <c r="AR1119" s="383" t="s">
        <v>183</v>
      </c>
      <c r="AS1119" s="387">
        <f t="shared" si="775"/>
        <v>0.15</v>
      </c>
      <c r="AT1119">
        <f t="shared" si="776"/>
        <v>1</v>
      </c>
      <c r="AU1119" s="387">
        <f>IF(AT1119=0,"",IF(AND(AT1119=1,M1119="F",SUMIF(C2:C1334,C1119,AS2:AS1334)&lt;=1),SUMIF(C2:C1334,C1119,AS2:AS1334),IF(AND(AT1119=1,M1119="F",SUMIF(C2:C1334,C1119,AS2:AS1334)&gt;1),1,"")))</f>
        <v>1</v>
      </c>
      <c r="AV1119" s="387" t="str">
        <f>IF(AT1119=0,"",IF(AND(AT1119=3,M1119="F",SUMIF(C2:C1334,C1119,AS2:AS1334)&lt;=1),SUMIF(C2:C1334,C1119,AS2:AS1334),IF(AND(AT1119=3,M1119="F",SUMIF(C2:C1334,C1119,AS2:AS1334)&gt;1),1,"")))</f>
        <v/>
      </c>
      <c r="AW1119" s="387">
        <f>SUMIF(C2:C1334,C1119,O2:O1334)</f>
        <v>3</v>
      </c>
      <c r="AX1119" s="387">
        <f>IF(AND(M1119="F",AS1119&lt;&gt;0),SUMIF(C2:C1334,C1119,W2:W1334),0)</f>
        <v>50752</v>
      </c>
      <c r="AY1119" s="387">
        <f t="shared" si="777"/>
        <v>7612.8</v>
      </c>
      <c r="AZ1119" s="387" t="str">
        <f t="shared" si="778"/>
        <v/>
      </c>
      <c r="BA1119" s="387">
        <f t="shared" si="779"/>
        <v>0</v>
      </c>
      <c r="BB1119" s="387">
        <f t="shared" si="748"/>
        <v>1747.5</v>
      </c>
      <c r="BC1119" s="387">
        <f t="shared" si="749"/>
        <v>0</v>
      </c>
      <c r="BD1119" s="387">
        <f t="shared" si="750"/>
        <v>471.99360000000001</v>
      </c>
      <c r="BE1119" s="387">
        <f t="shared" si="751"/>
        <v>110.38560000000001</v>
      </c>
      <c r="BF1119" s="387">
        <f t="shared" si="752"/>
        <v>908.96832000000006</v>
      </c>
      <c r="BG1119" s="387">
        <f t="shared" si="753"/>
        <v>54.888288000000003</v>
      </c>
      <c r="BH1119" s="387">
        <f t="shared" si="754"/>
        <v>37.302720000000001</v>
      </c>
      <c r="BI1119" s="387">
        <f t="shared" si="755"/>
        <v>42.136848000000001</v>
      </c>
      <c r="BJ1119" s="387">
        <f t="shared" si="756"/>
        <v>20.554560000000002</v>
      </c>
      <c r="BK1119" s="387">
        <f t="shared" si="757"/>
        <v>0</v>
      </c>
      <c r="BL1119" s="387">
        <f t="shared" si="780"/>
        <v>1646.2299360000004</v>
      </c>
      <c r="BM1119" s="387">
        <f t="shared" si="781"/>
        <v>0</v>
      </c>
      <c r="BN1119" s="387">
        <f t="shared" si="758"/>
        <v>1747.5</v>
      </c>
      <c r="BO1119" s="387">
        <f t="shared" si="759"/>
        <v>0</v>
      </c>
      <c r="BP1119" s="387">
        <f t="shared" si="760"/>
        <v>471.99360000000001</v>
      </c>
      <c r="BQ1119" s="387">
        <f t="shared" si="761"/>
        <v>110.38560000000001</v>
      </c>
      <c r="BR1119" s="387">
        <f t="shared" si="762"/>
        <v>908.96832000000006</v>
      </c>
      <c r="BS1119" s="387">
        <f t="shared" si="763"/>
        <v>54.888288000000003</v>
      </c>
      <c r="BT1119" s="387">
        <f t="shared" si="764"/>
        <v>0</v>
      </c>
      <c r="BU1119" s="387">
        <f t="shared" si="765"/>
        <v>42.136848000000001</v>
      </c>
      <c r="BV1119" s="387">
        <f t="shared" si="766"/>
        <v>25.883520000000001</v>
      </c>
      <c r="BW1119" s="387">
        <f t="shared" si="767"/>
        <v>0</v>
      </c>
      <c r="BX1119" s="387">
        <f t="shared" si="782"/>
        <v>1614.2561760000006</v>
      </c>
      <c r="BY1119" s="387">
        <f t="shared" si="783"/>
        <v>0</v>
      </c>
      <c r="BZ1119" s="387">
        <f t="shared" si="784"/>
        <v>0</v>
      </c>
      <c r="CA1119" s="387">
        <f t="shared" si="785"/>
        <v>0</v>
      </c>
      <c r="CB1119" s="387">
        <f t="shared" si="786"/>
        <v>0</v>
      </c>
      <c r="CC1119" s="387">
        <f t="shared" si="768"/>
        <v>0</v>
      </c>
      <c r="CD1119" s="387">
        <f t="shared" si="769"/>
        <v>0</v>
      </c>
      <c r="CE1119" s="387">
        <f t="shared" si="770"/>
        <v>0</v>
      </c>
      <c r="CF1119" s="387">
        <f t="shared" si="771"/>
        <v>-37.302720000000001</v>
      </c>
      <c r="CG1119" s="387">
        <f t="shared" si="772"/>
        <v>0</v>
      </c>
      <c r="CH1119" s="387">
        <f t="shared" si="773"/>
        <v>5.3289599999999977</v>
      </c>
      <c r="CI1119" s="387">
        <f t="shared" si="774"/>
        <v>0</v>
      </c>
      <c r="CJ1119" s="387">
        <f t="shared" si="787"/>
        <v>-31.973760000000002</v>
      </c>
      <c r="CK1119" s="387" t="str">
        <f t="shared" si="788"/>
        <v/>
      </c>
      <c r="CL1119" s="387" t="str">
        <f t="shared" si="789"/>
        <v/>
      </c>
      <c r="CM1119" s="387" t="str">
        <f t="shared" si="790"/>
        <v/>
      </c>
      <c r="CN1119" s="387" t="str">
        <f t="shared" si="791"/>
        <v>0348-31</v>
      </c>
    </row>
    <row r="1120" spans="1:92" ht="15.75" thickBot="1" x14ac:dyDescent="0.3">
      <c r="A1120" s="376" t="s">
        <v>161</v>
      </c>
      <c r="B1120" s="376" t="s">
        <v>162</v>
      </c>
      <c r="C1120" s="376" t="s">
        <v>1891</v>
      </c>
      <c r="D1120" s="376" t="s">
        <v>862</v>
      </c>
      <c r="E1120" s="376" t="s">
        <v>224</v>
      </c>
      <c r="F1120" s="382" t="s">
        <v>225</v>
      </c>
      <c r="G1120" s="376" t="s">
        <v>1945</v>
      </c>
      <c r="H1120" s="378"/>
      <c r="I1120" s="378"/>
      <c r="J1120" s="376" t="s">
        <v>239</v>
      </c>
      <c r="K1120" s="376" t="s">
        <v>863</v>
      </c>
      <c r="L1120" s="376" t="s">
        <v>252</v>
      </c>
      <c r="M1120" s="376" t="s">
        <v>171</v>
      </c>
      <c r="N1120" s="376" t="s">
        <v>172</v>
      </c>
      <c r="O1120" s="379">
        <v>1</v>
      </c>
      <c r="P1120" s="385">
        <v>0.35</v>
      </c>
      <c r="Q1120" s="385">
        <v>0.35</v>
      </c>
      <c r="R1120" s="380">
        <v>80</v>
      </c>
      <c r="S1120" s="385">
        <v>0.35</v>
      </c>
      <c r="T1120" s="380">
        <v>12911.5</v>
      </c>
      <c r="U1120" s="380">
        <v>0</v>
      </c>
      <c r="V1120" s="380">
        <v>5999.3</v>
      </c>
      <c r="W1120" s="380">
        <v>17304.560000000001</v>
      </c>
      <c r="X1120" s="380">
        <v>7819.59</v>
      </c>
      <c r="Y1120" s="380">
        <v>17304.560000000001</v>
      </c>
      <c r="Z1120" s="380">
        <v>7746.92</v>
      </c>
      <c r="AA1120" s="376" t="s">
        <v>1892</v>
      </c>
      <c r="AB1120" s="376" t="s">
        <v>1893</v>
      </c>
      <c r="AC1120" s="376" t="s">
        <v>1894</v>
      </c>
      <c r="AD1120" s="376" t="s">
        <v>1895</v>
      </c>
      <c r="AE1120" s="376" t="s">
        <v>863</v>
      </c>
      <c r="AF1120" s="376" t="s">
        <v>393</v>
      </c>
      <c r="AG1120" s="376" t="s">
        <v>178</v>
      </c>
      <c r="AH1120" s="381">
        <v>23.77</v>
      </c>
      <c r="AI1120" s="381">
        <v>35283.199999999997</v>
      </c>
      <c r="AJ1120" s="376" t="s">
        <v>179</v>
      </c>
      <c r="AK1120" s="376" t="s">
        <v>180</v>
      </c>
      <c r="AL1120" s="376" t="s">
        <v>181</v>
      </c>
      <c r="AM1120" s="376" t="s">
        <v>182</v>
      </c>
      <c r="AN1120" s="376" t="s">
        <v>68</v>
      </c>
      <c r="AO1120" s="379">
        <v>80</v>
      </c>
      <c r="AP1120" s="385">
        <v>1</v>
      </c>
      <c r="AQ1120" s="385">
        <v>0.35</v>
      </c>
      <c r="AR1120" s="383" t="s">
        <v>183</v>
      </c>
      <c r="AS1120" s="387">
        <f t="shared" si="775"/>
        <v>0.35</v>
      </c>
      <c r="AT1120">
        <f t="shared" si="776"/>
        <v>1</v>
      </c>
      <c r="AU1120" s="387">
        <f>IF(AT1120=0,"",IF(AND(AT1120=1,M1120="F",SUMIF(C2:C1334,C1120,AS2:AS1334)&lt;=1),SUMIF(C2:C1334,C1120,AS2:AS1334),IF(AND(AT1120=1,M1120="F",SUMIF(C2:C1334,C1120,AS2:AS1334)&gt;1),1,"")))</f>
        <v>1</v>
      </c>
      <c r="AV1120" s="387" t="str">
        <f>IF(AT1120=0,"",IF(AND(AT1120=3,M1120="F",SUMIF(C2:C1334,C1120,AS2:AS1334)&lt;=1),SUMIF(C2:C1334,C1120,AS2:AS1334),IF(AND(AT1120=3,M1120="F",SUMIF(C2:C1334,C1120,AS2:AS1334)&gt;1),1,"")))</f>
        <v/>
      </c>
      <c r="AW1120" s="387">
        <f>SUMIF(C2:C1334,C1120,O2:O1334)</f>
        <v>3</v>
      </c>
      <c r="AX1120" s="387">
        <f>IF(AND(M1120="F",AS1120&lt;&gt;0),SUMIF(C2:C1334,C1120,W2:W1334),0)</f>
        <v>49441.600000000006</v>
      </c>
      <c r="AY1120" s="387">
        <f t="shared" si="777"/>
        <v>17304.560000000001</v>
      </c>
      <c r="AZ1120" s="387" t="str">
        <f t="shared" si="778"/>
        <v/>
      </c>
      <c r="BA1120" s="387">
        <f t="shared" si="779"/>
        <v>0</v>
      </c>
      <c r="BB1120" s="387">
        <f t="shared" si="748"/>
        <v>4077.4999999999995</v>
      </c>
      <c r="BC1120" s="387">
        <f t="shared" si="749"/>
        <v>0</v>
      </c>
      <c r="BD1120" s="387">
        <f t="shared" si="750"/>
        <v>1072.8827200000001</v>
      </c>
      <c r="BE1120" s="387">
        <f t="shared" si="751"/>
        <v>250.91612000000003</v>
      </c>
      <c r="BF1120" s="387">
        <f t="shared" si="752"/>
        <v>2066.1644640000004</v>
      </c>
      <c r="BG1120" s="387">
        <f t="shared" si="753"/>
        <v>124.76587760000001</v>
      </c>
      <c r="BH1120" s="387">
        <f t="shared" si="754"/>
        <v>84.792344</v>
      </c>
      <c r="BI1120" s="387">
        <f t="shared" si="755"/>
        <v>95.780739600000004</v>
      </c>
      <c r="BJ1120" s="387">
        <f t="shared" si="756"/>
        <v>46.722312000000009</v>
      </c>
      <c r="BK1120" s="387">
        <f t="shared" si="757"/>
        <v>0</v>
      </c>
      <c r="BL1120" s="387">
        <f t="shared" si="780"/>
        <v>3742.0245772000003</v>
      </c>
      <c r="BM1120" s="387">
        <f t="shared" si="781"/>
        <v>0</v>
      </c>
      <c r="BN1120" s="387">
        <f t="shared" si="758"/>
        <v>4077.4999999999995</v>
      </c>
      <c r="BO1120" s="387">
        <f t="shared" si="759"/>
        <v>0</v>
      </c>
      <c r="BP1120" s="387">
        <f t="shared" si="760"/>
        <v>1072.8827200000001</v>
      </c>
      <c r="BQ1120" s="387">
        <f t="shared" si="761"/>
        <v>250.91612000000003</v>
      </c>
      <c r="BR1120" s="387">
        <f t="shared" si="762"/>
        <v>2066.1644640000004</v>
      </c>
      <c r="BS1120" s="387">
        <f t="shared" si="763"/>
        <v>124.76587760000001</v>
      </c>
      <c r="BT1120" s="387">
        <f t="shared" si="764"/>
        <v>0</v>
      </c>
      <c r="BU1120" s="387">
        <f t="shared" si="765"/>
        <v>95.780739600000004</v>
      </c>
      <c r="BV1120" s="387">
        <f t="shared" si="766"/>
        <v>58.835504</v>
      </c>
      <c r="BW1120" s="387">
        <f t="shared" si="767"/>
        <v>0</v>
      </c>
      <c r="BX1120" s="387">
        <f t="shared" si="782"/>
        <v>3669.3454252000006</v>
      </c>
      <c r="BY1120" s="387">
        <f t="shared" si="783"/>
        <v>0</v>
      </c>
      <c r="BZ1120" s="387">
        <f t="shared" si="784"/>
        <v>0</v>
      </c>
      <c r="CA1120" s="387">
        <f t="shared" si="785"/>
        <v>0</v>
      </c>
      <c r="CB1120" s="387">
        <f t="shared" si="786"/>
        <v>0</v>
      </c>
      <c r="CC1120" s="387">
        <f t="shared" si="768"/>
        <v>0</v>
      </c>
      <c r="CD1120" s="387">
        <f t="shared" si="769"/>
        <v>0</v>
      </c>
      <c r="CE1120" s="387">
        <f t="shared" si="770"/>
        <v>0</v>
      </c>
      <c r="CF1120" s="387">
        <f t="shared" si="771"/>
        <v>-84.792344</v>
      </c>
      <c r="CG1120" s="387">
        <f t="shared" si="772"/>
        <v>0</v>
      </c>
      <c r="CH1120" s="387">
        <f t="shared" si="773"/>
        <v>12.113191999999994</v>
      </c>
      <c r="CI1120" s="387">
        <f t="shared" si="774"/>
        <v>0</v>
      </c>
      <c r="CJ1120" s="387">
        <f t="shared" si="787"/>
        <v>-72.679152000000002</v>
      </c>
      <c r="CK1120" s="387" t="str">
        <f t="shared" si="788"/>
        <v/>
      </c>
      <c r="CL1120" s="387" t="str">
        <f t="shared" si="789"/>
        <v/>
      </c>
      <c r="CM1120" s="387" t="str">
        <f t="shared" si="790"/>
        <v/>
      </c>
      <c r="CN1120" s="387" t="str">
        <f t="shared" si="791"/>
        <v>0348-31</v>
      </c>
    </row>
    <row r="1121" spans="1:92" ht="15.75" thickBot="1" x14ac:dyDescent="0.3">
      <c r="A1121" s="376" t="s">
        <v>161</v>
      </c>
      <c r="B1121" s="376" t="s">
        <v>162</v>
      </c>
      <c r="C1121" s="376" t="s">
        <v>2323</v>
      </c>
      <c r="D1121" s="376" t="s">
        <v>998</v>
      </c>
      <c r="E1121" s="376" t="s">
        <v>224</v>
      </c>
      <c r="F1121" s="382" t="s">
        <v>225</v>
      </c>
      <c r="G1121" s="376" t="s">
        <v>1945</v>
      </c>
      <c r="H1121" s="378"/>
      <c r="I1121" s="378"/>
      <c r="J1121" s="376" t="s">
        <v>215</v>
      </c>
      <c r="K1121" s="376" t="s">
        <v>999</v>
      </c>
      <c r="L1121" s="376" t="s">
        <v>170</v>
      </c>
      <c r="M1121" s="376" t="s">
        <v>171</v>
      </c>
      <c r="N1121" s="376" t="s">
        <v>172</v>
      </c>
      <c r="O1121" s="379">
        <v>1</v>
      </c>
      <c r="P1121" s="385">
        <v>1</v>
      </c>
      <c r="Q1121" s="385">
        <v>1</v>
      </c>
      <c r="R1121" s="380">
        <v>80</v>
      </c>
      <c r="S1121" s="385">
        <v>1</v>
      </c>
      <c r="T1121" s="380">
        <v>3923.2</v>
      </c>
      <c r="U1121" s="380">
        <v>0</v>
      </c>
      <c r="V1121" s="380">
        <v>1772.97</v>
      </c>
      <c r="W1121" s="380">
        <v>51001.599999999999</v>
      </c>
      <c r="X1121" s="380">
        <v>22679.06</v>
      </c>
      <c r="Y1121" s="380">
        <v>51001.599999999999</v>
      </c>
      <c r="Z1121" s="380">
        <v>22464.86</v>
      </c>
      <c r="AA1121" s="376" t="s">
        <v>2324</v>
      </c>
      <c r="AB1121" s="376" t="s">
        <v>2257</v>
      </c>
      <c r="AC1121" s="376" t="s">
        <v>2325</v>
      </c>
      <c r="AD1121" s="376" t="s">
        <v>324</v>
      </c>
      <c r="AE1121" s="376" t="s">
        <v>999</v>
      </c>
      <c r="AF1121" s="376" t="s">
        <v>177</v>
      </c>
      <c r="AG1121" s="376" t="s">
        <v>178</v>
      </c>
      <c r="AH1121" s="381">
        <v>24.52</v>
      </c>
      <c r="AI1121" s="381">
        <v>17367.7</v>
      </c>
      <c r="AJ1121" s="376" t="s">
        <v>179</v>
      </c>
      <c r="AK1121" s="376" t="s">
        <v>180</v>
      </c>
      <c r="AL1121" s="376" t="s">
        <v>181</v>
      </c>
      <c r="AM1121" s="376" t="s">
        <v>182</v>
      </c>
      <c r="AN1121" s="376" t="s">
        <v>68</v>
      </c>
      <c r="AO1121" s="379">
        <v>80</v>
      </c>
      <c r="AP1121" s="385">
        <v>1</v>
      </c>
      <c r="AQ1121" s="385">
        <v>1</v>
      </c>
      <c r="AR1121" s="383" t="s">
        <v>183</v>
      </c>
      <c r="AS1121" s="387">
        <f t="shared" si="775"/>
        <v>1</v>
      </c>
      <c r="AT1121">
        <f t="shared" si="776"/>
        <v>1</v>
      </c>
      <c r="AU1121" s="387">
        <f>IF(AT1121=0,"",IF(AND(AT1121=1,M1121="F",SUMIF(C2:C1334,C1121,AS2:AS1334)&lt;=1),SUMIF(C2:C1334,C1121,AS2:AS1334),IF(AND(AT1121=1,M1121="F",SUMIF(C2:C1334,C1121,AS2:AS1334)&gt;1),1,"")))</f>
        <v>1</v>
      </c>
      <c r="AV1121" s="387" t="str">
        <f>IF(AT1121=0,"",IF(AND(AT1121=3,M1121="F",SUMIF(C2:C1334,C1121,AS2:AS1334)&lt;=1),SUMIF(C2:C1334,C1121,AS2:AS1334),IF(AND(AT1121=3,M1121="F",SUMIF(C2:C1334,C1121,AS2:AS1334)&gt;1),1,"")))</f>
        <v/>
      </c>
      <c r="AW1121" s="387">
        <f>SUMIF(C2:C1334,C1121,O2:O1334)</f>
        <v>1</v>
      </c>
      <c r="AX1121" s="387">
        <f>IF(AND(M1121="F",AS1121&lt;&gt;0),SUMIF(C2:C1334,C1121,W2:W1334),0)</f>
        <v>51001.599999999999</v>
      </c>
      <c r="AY1121" s="387">
        <f t="shared" si="777"/>
        <v>51001.599999999999</v>
      </c>
      <c r="AZ1121" s="387" t="str">
        <f t="shared" si="778"/>
        <v/>
      </c>
      <c r="BA1121" s="387">
        <f t="shared" si="779"/>
        <v>0</v>
      </c>
      <c r="BB1121" s="387">
        <f t="shared" si="748"/>
        <v>11650</v>
      </c>
      <c r="BC1121" s="387">
        <f t="shared" si="749"/>
        <v>0</v>
      </c>
      <c r="BD1121" s="387">
        <f t="shared" si="750"/>
        <v>3162.0992000000001</v>
      </c>
      <c r="BE1121" s="387">
        <f t="shared" si="751"/>
        <v>739.52319999999997</v>
      </c>
      <c r="BF1121" s="387">
        <f t="shared" si="752"/>
        <v>6089.5910400000002</v>
      </c>
      <c r="BG1121" s="387">
        <f t="shared" si="753"/>
        <v>367.72153600000001</v>
      </c>
      <c r="BH1121" s="387">
        <f t="shared" si="754"/>
        <v>249.90783999999999</v>
      </c>
      <c r="BI1121" s="387">
        <f t="shared" si="755"/>
        <v>282.29385600000001</v>
      </c>
      <c r="BJ1121" s="387">
        <f t="shared" si="756"/>
        <v>137.70432</v>
      </c>
      <c r="BK1121" s="387">
        <f t="shared" si="757"/>
        <v>0</v>
      </c>
      <c r="BL1121" s="387">
        <f t="shared" si="780"/>
        <v>11028.840992000001</v>
      </c>
      <c r="BM1121" s="387">
        <f t="shared" si="781"/>
        <v>0</v>
      </c>
      <c r="BN1121" s="387">
        <f t="shared" si="758"/>
        <v>11650</v>
      </c>
      <c r="BO1121" s="387">
        <f t="shared" si="759"/>
        <v>0</v>
      </c>
      <c r="BP1121" s="387">
        <f t="shared" si="760"/>
        <v>3162.0992000000001</v>
      </c>
      <c r="BQ1121" s="387">
        <f t="shared" si="761"/>
        <v>739.52319999999997</v>
      </c>
      <c r="BR1121" s="387">
        <f t="shared" si="762"/>
        <v>6089.5910400000002</v>
      </c>
      <c r="BS1121" s="387">
        <f t="shared" si="763"/>
        <v>367.72153600000001</v>
      </c>
      <c r="BT1121" s="387">
        <f t="shared" si="764"/>
        <v>0</v>
      </c>
      <c r="BU1121" s="387">
        <f t="shared" si="765"/>
        <v>282.29385600000001</v>
      </c>
      <c r="BV1121" s="387">
        <f t="shared" si="766"/>
        <v>173.40544</v>
      </c>
      <c r="BW1121" s="387">
        <f t="shared" si="767"/>
        <v>0</v>
      </c>
      <c r="BX1121" s="387">
        <f t="shared" si="782"/>
        <v>10814.634272000001</v>
      </c>
      <c r="BY1121" s="387">
        <f t="shared" si="783"/>
        <v>0</v>
      </c>
      <c r="BZ1121" s="387">
        <f t="shared" si="784"/>
        <v>0</v>
      </c>
      <c r="CA1121" s="387">
        <f t="shared" si="785"/>
        <v>0</v>
      </c>
      <c r="CB1121" s="387">
        <f t="shared" si="786"/>
        <v>0</v>
      </c>
      <c r="CC1121" s="387">
        <f t="shared" si="768"/>
        <v>0</v>
      </c>
      <c r="CD1121" s="387">
        <f t="shared" si="769"/>
        <v>0</v>
      </c>
      <c r="CE1121" s="387">
        <f t="shared" si="770"/>
        <v>0</v>
      </c>
      <c r="CF1121" s="387">
        <f t="shared" si="771"/>
        <v>-249.90783999999999</v>
      </c>
      <c r="CG1121" s="387">
        <f t="shared" si="772"/>
        <v>0</v>
      </c>
      <c r="CH1121" s="387">
        <f t="shared" si="773"/>
        <v>35.701119999999982</v>
      </c>
      <c r="CI1121" s="387">
        <f t="shared" si="774"/>
        <v>0</v>
      </c>
      <c r="CJ1121" s="387">
        <f t="shared" si="787"/>
        <v>-214.20672000000002</v>
      </c>
      <c r="CK1121" s="387" t="str">
        <f t="shared" si="788"/>
        <v/>
      </c>
      <c r="CL1121" s="387" t="str">
        <f t="shared" si="789"/>
        <v/>
      </c>
      <c r="CM1121" s="387" t="str">
        <f t="shared" si="790"/>
        <v/>
      </c>
      <c r="CN1121" s="387" t="str">
        <f t="shared" si="791"/>
        <v>0348-31</v>
      </c>
    </row>
    <row r="1122" spans="1:92" ht="15.75" thickBot="1" x14ac:dyDescent="0.3">
      <c r="A1122" s="376" t="s">
        <v>161</v>
      </c>
      <c r="B1122" s="376" t="s">
        <v>162</v>
      </c>
      <c r="C1122" s="376" t="s">
        <v>2326</v>
      </c>
      <c r="D1122" s="376" t="s">
        <v>2136</v>
      </c>
      <c r="E1122" s="376" t="s">
        <v>224</v>
      </c>
      <c r="F1122" s="382" t="s">
        <v>225</v>
      </c>
      <c r="G1122" s="376" t="s">
        <v>1945</v>
      </c>
      <c r="H1122" s="378"/>
      <c r="I1122" s="378"/>
      <c r="J1122" s="376" t="s">
        <v>215</v>
      </c>
      <c r="K1122" s="376" t="s">
        <v>2137</v>
      </c>
      <c r="L1122" s="376" t="s">
        <v>181</v>
      </c>
      <c r="M1122" s="376" t="s">
        <v>171</v>
      </c>
      <c r="N1122" s="376" t="s">
        <v>172</v>
      </c>
      <c r="O1122" s="379">
        <v>1</v>
      </c>
      <c r="P1122" s="385">
        <v>1</v>
      </c>
      <c r="Q1122" s="385">
        <v>1</v>
      </c>
      <c r="R1122" s="380">
        <v>80</v>
      </c>
      <c r="S1122" s="385">
        <v>1</v>
      </c>
      <c r="T1122" s="380">
        <v>80191.98</v>
      </c>
      <c r="U1122" s="380">
        <v>2758.26</v>
      </c>
      <c r="V1122" s="380">
        <v>28855.69</v>
      </c>
      <c r="W1122" s="380">
        <v>83324.800000000003</v>
      </c>
      <c r="X1122" s="380">
        <v>29668.95</v>
      </c>
      <c r="Y1122" s="380">
        <v>83324.800000000003</v>
      </c>
      <c r="Z1122" s="380">
        <v>29318.99</v>
      </c>
      <c r="AA1122" s="376" t="s">
        <v>2327</v>
      </c>
      <c r="AB1122" s="376" t="s">
        <v>884</v>
      </c>
      <c r="AC1122" s="376" t="s">
        <v>2022</v>
      </c>
      <c r="AD1122" s="376" t="s">
        <v>296</v>
      </c>
      <c r="AE1122" s="376" t="s">
        <v>2137</v>
      </c>
      <c r="AF1122" s="376" t="s">
        <v>211</v>
      </c>
      <c r="AG1122" s="376" t="s">
        <v>178</v>
      </c>
      <c r="AH1122" s="381">
        <v>40.06</v>
      </c>
      <c r="AI1122" s="381">
        <v>55831.1</v>
      </c>
      <c r="AJ1122" s="376" t="s">
        <v>179</v>
      </c>
      <c r="AK1122" s="376" t="s">
        <v>180</v>
      </c>
      <c r="AL1122" s="376" t="s">
        <v>181</v>
      </c>
      <c r="AM1122" s="376" t="s">
        <v>182</v>
      </c>
      <c r="AN1122" s="376" t="s">
        <v>68</v>
      </c>
      <c r="AO1122" s="379">
        <v>80</v>
      </c>
      <c r="AP1122" s="385">
        <v>1</v>
      </c>
      <c r="AQ1122" s="385">
        <v>1</v>
      </c>
      <c r="AR1122" s="383" t="s">
        <v>183</v>
      </c>
      <c r="AS1122" s="387">
        <f t="shared" si="775"/>
        <v>1</v>
      </c>
      <c r="AT1122">
        <f t="shared" si="776"/>
        <v>1</v>
      </c>
      <c r="AU1122" s="387">
        <f>IF(AT1122=0,"",IF(AND(AT1122=1,M1122="F",SUMIF(C2:C1334,C1122,AS2:AS1334)&lt;=1),SUMIF(C2:C1334,C1122,AS2:AS1334),IF(AND(AT1122=1,M1122="F",SUMIF(C2:C1334,C1122,AS2:AS1334)&gt;1),1,"")))</f>
        <v>1</v>
      </c>
      <c r="AV1122" s="387" t="str">
        <f>IF(AT1122=0,"",IF(AND(AT1122=3,M1122="F",SUMIF(C2:C1334,C1122,AS2:AS1334)&lt;=1),SUMIF(C2:C1334,C1122,AS2:AS1334),IF(AND(AT1122=3,M1122="F",SUMIF(C2:C1334,C1122,AS2:AS1334)&gt;1),1,"")))</f>
        <v/>
      </c>
      <c r="AW1122" s="387">
        <f>SUMIF(C2:C1334,C1122,O2:O1334)</f>
        <v>1</v>
      </c>
      <c r="AX1122" s="387">
        <f>IF(AND(M1122="F",AS1122&lt;&gt;0),SUMIF(C2:C1334,C1122,W2:W1334),0)</f>
        <v>83324.800000000003</v>
      </c>
      <c r="AY1122" s="387">
        <f t="shared" si="777"/>
        <v>83324.800000000003</v>
      </c>
      <c r="AZ1122" s="387" t="str">
        <f t="shared" si="778"/>
        <v/>
      </c>
      <c r="BA1122" s="387">
        <f t="shared" si="779"/>
        <v>0</v>
      </c>
      <c r="BB1122" s="387">
        <f t="shared" si="748"/>
        <v>11650</v>
      </c>
      <c r="BC1122" s="387">
        <f t="shared" si="749"/>
        <v>0</v>
      </c>
      <c r="BD1122" s="387">
        <f t="shared" si="750"/>
        <v>5166.1376</v>
      </c>
      <c r="BE1122" s="387">
        <f t="shared" si="751"/>
        <v>1208.2096000000001</v>
      </c>
      <c r="BF1122" s="387">
        <f t="shared" si="752"/>
        <v>9948.9811200000004</v>
      </c>
      <c r="BG1122" s="387">
        <f t="shared" si="753"/>
        <v>600.77180800000008</v>
      </c>
      <c r="BH1122" s="387">
        <f t="shared" si="754"/>
        <v>408.29151999999999</v>
      </c>
      <c r="BI1122" s="387">
        <f t="shared" si="755"/>
        <v>461.20276799999999</v>
      </c>
      <c r="BJ1122" s="387">
        <f t="shared" si="756"/>
        <v>224.97696000000002</v>
      </c>
      <c r="BK1122" s="387">
        <f t="shared" si="757"/>
        <v>0</v>
      </c>
      <c r="BL1122" s="387">
        <f t="shared" si="780"/>
        <v>18018.571376</v>
      </c>
      <c r="BM1122" s="387">
        <f t="shared" si="781"/>
        <v>0</v>
      </c>
      <c r="BN1122" s="387">
        <f t="shared" si="758"/>
        <v>11650</v>
      </c>
      <c r="BO1122" s="387">
        <f t="shared" si="759"/>
        <v>0</v>
      </c>
      <c r="BP1122" s="387">
        <f t="shared" si="760"/>
        <v>5166.1376</v>
      </c>
      <c r="BQ1122" s="387">
        <f t="shared" si="761"/>
        <v>1208.2096000000001</v>
      </c>
      <c r="BR1122" s="387">
        <f t="shared" si="762"/>
        <v>9948.9811200000004</v>
      </c>
      <c r="BS1122" s="387">
        <f t="shared" si="763"/>
        <v>600.77180800000008</v>
      </c>
      <c r="BT1122" s="387">
        <f t="shared" si="764"/>
        <v>0</v>
      </c>
      <c r="BU1122" s="387">
        <f t="shared" si="765"/>
        <v>461.20276799999999</v>
      </c>
      <c r="BV1122" s="387">
        <f t="shared" si="766"/>
        <v>283.30432000000002</v>
      </c>
      <c r="BW1122" s="387">
        <f t="shared" si="767"/>
        <v>0</v>
      </c>
      <c r="BX1122" s="387">
        <f t="shared" si="782"/>
        <v>17668.607216</v>
      </c>
      <c r="BY1122" s="387">
        <f t="shared" si="783"/>
        <v>0</v>
      </c>
      <c r="BZ1122" s="387">
        <f t="shared" si="784"/>
        <v>0</v>
      </c>
      <c r="CA1122" s="387">
        <f t="shared" si="785"/>
        <v>0</v>
      </c>
      <c r="CB1122" s="387">
        <f t="shared" si="786"/>
        <v>0</v>
      </c>
      <c r="CC1122" s="387">
        <f t="shared" si="768"/>
        <v>0</v>
      </c>
      <c r="CD1122" s="387">
        <f t="shared" si="769"/>
        <v>0</v>
      </c>
      <c r="CE1122" s="387">
        <f t="shared" si="770"/>
        <v>0</v>
      </c>
      <c r="CF1122" s="387">
        <f t="shared" si="771"/>
        <v>-408.29151999999999</v>
      </c>
      <c r="CG1122" s="387">
        <f t="shared" si="772"/>
        <v>0</v>
      </c>
      <c r="CH1122" s="387">
        <f t="shared" si="773"/>
        <v>58.327359999999977</v>
      </c>
      <c r="CI1122" s="387">
        <f t="shared" si="774"/>
        <v>0</v>
      </c>
      <c r="CJ1122" s="387">
        <f t="shared" si="787"/>
        <v>-349.96415999999999</v>
      </c>
      <c r="CK1122" s="387" t="str">
        <f t="shared" si="788"/>
        <v/>
      </c>
      <c r="CL1122" s="387" t="str">
        <f t="shared" si="789"/>
        <v/>
      </c>
      <c r="CM1122" s="387" t="str">
        <f t="shared" si="790"/>
        <v/>
      </c>
      <c r="CN1122" s="387" t="str">
        <f t="shared" si="791"/>
        <v>0348-31</v>
      </c>
    </row>
    <row r="1123" spans="1:92" ht="15.75" thickBot="1" x14ac:dyDescent="0.3">
      <c r="A1123" s="376" t="s">
        <v>161</v>
      </c>
      <c r="B1123" s="376" t="s">
        <v>162</v>
      </c>
      <c r="C1123" s="376" t="s">
        <v>161</v>
      </c>
      <c r="D1123" s="376" t="s">
        <v>862</v>
      </c>
      <c r="E1123" s="376" t="s">
        <v>224</v>
      </c>
      <c r="F1123" s="382" t="s">
        <v>225</v>
      </c>
      <c r="G1123" s="376" t="s">
        <v>1945</v>
      </c>
      <c r="H1123" s="378"/>
      <c r="I1123" s="378"/>
      <c r="J1123" s="376" t="s">
        <v>168</v>
      </c>
      <c r="K1123" s="376" t="s">
        <v>863</v>
      </c>
      <c r="L1123" s="376" t="s">
        <v>252</v>
      </c>
      <c r="M1123" s="376" t="s">
        <v>171</v>
      </c>
      <c r="N1123" s="376" t="s">
        <v>172</v>
      </c>
      <c r="O1123" s="379">
        <v>1</v>
      </c>
      <c r="P1123" s="385">
        <v>0.15</v>
      </c>
      <c r="Q1123" s="385">
        <v>0.15</v>
      </c>
      <c r="R1123" s="380">
        <v>80</v>
      </c>
      <c r="S1123" s="385">
        <v>0.15</v>
      </c>
      <c r="T1123" s="380">
        <v>6292.2</v>
      </c>
      <c r="U1123" s="380">
        <v>0</v>
      </c>
      <c r="V1123" s="380">
        <v>3153.9</v>
      </c>
      <c r="W1123" s="380">
        <v>6804.72</v>
      </c>
      <c r="X1123" s="380">
        <v>3219.01</v>
      </c>
      <c r="Y1123" s="380">
        <v>6804.72</v>
      </c>
      <c r="Z1123" s="380">
        <v>3190.43</v>
      </c>
      <c r="AA1123" s="376" t="s">
        <v>1450</v>
      </c>
      <c r="AB1123" s="376" t="s">
        <v>1451</v>
      </c>
      <c r="AC1123" s="376" t="s">
        <v>1452</v>
      </c>
      <c r="AD1123" s="376" t="s">
        <v>252</v>
      </c>
      <c r="AE1123" s="376" t="s">
        <v>863</v>
      </c>
      <c r="AF1123" s="376" t="s">
        <v>393</v>
      </c>
      <c r="AG1123" s="376" t="s">
        <v>178</v>
      </c>
      <c r="AH1123" s="381">
        <v>21.81</v>
      </c>
      <c r="AI1123" s="381">
        <v>26769.1</v>
      </c>
      <c r="AJ1123" s="376" t="s">
        <v>179</v>
      </c>
      <c r="AK1123" s="376" t="s">
        <v>180</v>
      </c>
      <c r="AL1123" s="376" t="s">
        <v>181</v>
      </c>
      <c r="AM1123" s="376" t="s">
        <v>182</v>
      </c>
      <c r="AN1123" s="376" t="s">
        <v>68</v>
      </c>
      <c r="AO1123" s="379">
        <v>80</v>
      </c>
      <c r="AP1123" s="385">
        <v>1</v>
      </c>
      <c r="AQ1123" s="385">
        <v>0.15</v>
      </c>
      <c r="AR1123" s="383" t="s">
        <v>183</v>
      </c>
      <c r="AS1123" s="387">
        <f t="shared" si="775"/>
        <v>0.15</v>
      </c>
      <c r="AT1123">
        <f t="shared" si="776"/>
        <v>1</v>
      </c>
      <c r="AU1123" s="387">
        <f>IF(AT1123=0,"",IF(AND(AT1123=1,M1123="F",SUMIF(C2:C1334,C1123,AS2:AS1334)&lt;=1),SUMIF(C2:C1334,C1123,AS2:AS1334),IF(AND(AT1123=1,M1123="F",SUMIF(C2:C1334,C1123,AS2:AS1334)&gt;1),1,"")))</f>
        <v>1</v>
      </c>
      <c r="AV1123" s="387" t="str">
        <f>IF(AT1123=0,"",IF(AND(AT1123=3,M1123="F",SUMIF(C2:C1334,C1123,AS2:AS1334)&lt;=1),SUMIF(C2:C1334,C1123,AS2:AS1334),IF(AND(AT1123=3,M1123="F",SUMIF(C2:C1334,C1123,AS2:AS1334)&gt;1),1,"")))</f>
        <v/>
      </c>
      <c r="AW1123" s="387">
        <f>SUMIF(C2:C1334,C1123,O2:O1334)</f>
        <v>3</v>
      </c>
      <c r="AX1123" s="387">
        <f>IF(AND(M1123="F",AS1123&lt;&gt;0),SUMIF(C2:C1334,C1123,W2:W1334),0)</f>
        <v>45364.800000000003</v>
      </c>
      <c r="AY1123" s="387">
        <f t="shared" si="777"/>
        <v>6804.72</v>
      </c>
      <c r="AZ1123" s="387" t="str">
        <f t="shared" si="778"/>
        <v/>
      </c>
      <c r="BA1123" s="387">
        <f t="shared" si="779"/>
        <v>0</v>
      </c>
      <c r="BB1123" s="387">
        <f t="shared" si="748"/>
        <v>1747.5</v>
      </c>
      <c r="BC1123" s="387">
        <f t="shared" si="749"/>
        <v>0</v>
      </c>
      <c r="BD1123" s="387">
        <f t="shared" si="750"/>
        <v>421.89264000000003</v>
      </c>
      <c r="BE1123" s="387">
        <f t="shared" si="751"/>
        <v>98.668440000000004</v>
      </c>
      <c r="BF1123" s="387">
        <f t="shared" si="752"/>
        <v>812.4835680000001</v>
      </c>
      <c r="BG1123" s="387">
        <f t="shared" si="753"/>
        <v>49.062031200000007</v>
      </c>
      <c r="BH1123" s="387">
        <f t="shared" si="754"/>
        <v>33.343128</v>
      </c>
      <c r="BI1123" s="387">
        <f t="shared" si="755"/>
        <v>37.664125200000001</v>
      </c>
      <c r="BJ1123" s="387">
        <f t="shared" si="756"/>
        <v>18.372744000000001</v>
      </c>
      <c r="BK1123" s="387">
        <f t="shared" si="757"/>
        <v>0</v>
      </c>
      <c r="BL1123" s="387">
        <f t="shared" si="780"/>
        <v>1471.4866764000001</v>
      </c>
      <c r="BM1123" s="387">
        <f t="shared" si="781"/>
        <v>0</v>
      </c>
      <c r="BN1123" s="387">
        <f t="shared" si="758"/>
        <v>1747.5</v>
      </c>
      <c r="BO1123" s="387">
        <f t="shared" si="759"/>
        <v>0</v>
      </c>
      <c r="BP1123" s="387">
        <f t="shared" si="760"/>
        <v>421.89264000000003</v>
      </c>
      <c r="BQ1123" s="387">
        <f t="shared" si="761"/>
        <v>98.668440000000004</v>
      </c>
      <c r="BR1123" s="387">
        <f t="shared" si="762"/>
        <v>812.4835680000001</v>
      </c>
      <c r="BS1123" s="387">
        <f t="shared" si="763"/>
        <v>49.062031200000007</v>
      </c>
      <c r="BT1123" s="387">
        <f t="shared" si="764"/>
        <v>0</v>
      </c>
      <c r="BU1123" s="387">
        <f t="shared" si="765"/>
        <v>37.664125200000001</v>
      </c>
      <c r="BV1123" s="387">
        <f t="shared" si="766"/>
        <v>23.136047999999999</v>
      </c>
      <c r="BW1123" s="387">
        <f t="shared" si="767"/>
        <v>0</v>
      </c>
      <c r="BX1123" s="387">
        <f t="shared" si="782"/>
        <v>1442.9068524000002</v>
      </c>
      <c r="BY1123" s="387">
        <f t="shared" si="783"/>
        <v>0</v>
      </c>
      <c r="BZ1123" s="387">
        <f t="shared" si="784"/>
        <v>0</v>
      </c>
      <c r="CA1123" s="387">
        <f t="shared" si="785"/>
        <v>0</v>
      </c>
      <c r="CB1123" s="387">
        <f t="shared" si="786"/>
        <v>0</v>
      </c>
      <c r="CC1123" s="387">
        <f t="shared" si="768"/>
        <v>0</v>
      </c>
      <c r="CD1123" s="387">
        <f t="shared" si="769"/>
        <v>0</v>
      </c>
      <c r="CE1123" s="387">
        <f t="shared" si="770"/>
        <v>0</v>
      </c>
      <c r="CF1123" s="387">
        <f t="shared" si="771"/>
        <v>-33.343128</v>
      </c>
      <c r="CG1123" s="387">
        <f t="shared" si="772"/>
        <v>0</v>
      </c>
      <c r="CH1123" s="387">
        <f t="shared" si="773"/>
        <v>4.763303999999998</v>
      </c>
      <c r="CI1123" s="387">
        <f t="shared" si="774"/>
        <v>0</v>
      </c>
      <c r="CJ1123" s="387">
        <f t="shared" si="787"/>
        <v>-28.579824000000002</v>
      </c>
      <c r="CK1123" s="387" t="str">
        <f t="shared" si="788"/>
        <v/>
      </c>
      <c r="CL1123" s="387" t="str">
        <f t="shared" si="789"/>
        <v/>
      </c>
      <c r="CM1123" s="387" t="str">
        <f t="shared" si="790"/>
        <v/>
      </c>
      <c r="CN1123" s="387" t="str">
        <f t="shared" si="791"/>
        <v>0348-31</v>
      </c>
    </row>
    <row r="1124" spans="1:92" ht="15.75" thickBot="1" x14ac:dyDescent="0.3">
      <c r="A1124" s="376" t="s">
        <v>161</v>
      </c>
      <c r="B1124" s="376" t="s">
        <v>162</v>
      </c>
      <c r="C1124" s="376" t="s">
        <v>2328</v>
      </c>
      <c r="D1124" s="376" t="s">
        <v>862</v>
      </c>
      <c r="E1124" s="376" t="s">
        <v>224</v>
      </c>
      <c r="F1124" s="382" t="s">
        <v>225</v>
      </c>
      <c r="G1124" s="376" t="s">
        <v>1945</v>
      </c>
      <c r="H1124" s="378"/>
      <c r="I1124" s="378"/>
      <c r="J1124" s="376" t="s">
        <v>215</v>
      </c>
      <c r="K1124" s="376" t="s">
        <v>863</v>
      </c>
      <c r="L1124" s="376" t="s">
        <v>252</v>
      </c>
      <c r="M1124" s="376" t="s">
        <v>171</v>
      </c>
      <c r="N1124" s="376" t="s">
        <v>172</v>
      </c>
      <c r="O1124" s="379">
        <v>1</v>
      </c>
      <c r="P1124" s="385">
        <v>1</v>
      </c>
      <c r="Q1124" s="385">
        <v>1</v>
      </c>
      <c r="R1124" s="380">
        <v>80</v>
      </c>
      <c r="S1124" s="385">
        <v>1</v>
      </c>
      <c r="T1124" s="380">
        <v>36428.85</v>
      </c>
      <c r="U1124" s="380">
        <v>301.89999999999998</v>
      </c>
      <c r="V1124" s="380">
        <v>20364.080000000002</v>
      </c>
      <c r="W1124" s="380">
        <v>39041.599999999999</v>
      </c>
      <c r="X1124" s="380">
        <v>20092.71</v>
      </c>
      <c r="Y1124" s="380">
        <v>39041.599999999999</v>
      </c>
      <c r="Z1124" s="380">
        <v>19928.740000000002</v>
      </c>
      <c r="AA1124" s="376" t="s">
        <v>2329</v>
      </c>
      <c r="AB1124" s="376" t="s">
        <v>2330</v>
      </c>
      <c r="AC1124" s="376" t="s">
        <v>2331</v>
      </c>
      <c r="AD1124" s="376" t="s">
        <v>402</v>
      </c>
      <c r="AE1124" s="376" t="s">
        <v>863</v>
      </c>
      <c r="AF1124" s="376" t="s">
        <v>393</v>
      </c>
      <c r="AG1124" s="376" t="s">
        <v>178</v>
      </c>
      <c r="AH1124" s="381">
        <v>18.77</v>
      </c>
      <c r="AI1124" s="381">
        <v>2331.5</v>
      </c>
      <c r="AJ1124" s="376" t="s">
        <v>179</v>
      </c>
      <c r="AK1124" s="376" t="s">
        <v>180</v>
      </c>
      <c r="AL1124" s="376" t="s">
        <v>181</v>
      </c>
      <c r="AM1124" s="376" t="s">
        <v>182</v>
      </c>
      <c r="AN1124" s="376" t="s">
        <v>68</v>
      </c>
      <c r="AO1124" s="379">
        <v>80</v>
      </c>
      <c r="AP1124" s="385">
        <v>1</v>
      </c>
      <c r="AQ1124" s="385">
        <v>1</v>
      </c>
      <c r="AR1124" s="383" t="s">
        <v>183</v>
      </c>
      <c r="AS1124" s="387">
        <f t="shared" si="775"/>
        <v>1</v>
      </c>
      <c r="AT1124">
        <f t="shared" si="776"/>
        <v>1</v>
      </c>
      <c r="AU1124" s="387">
        <f>IF(AT1124=0,"",IF(AND(AT1124=1,M1124="F",SUMIF(C2:C1334,C1124,AS2:AS1334)&lt;=1),SUMIF(C2:C1334,C1124,AS2:AS1334),IF(AND(AT1124=1,M1124="F",SUMIF(C2:C1334,C1124,AS2:AS1334)&gt;1),1,"")))</f>
        <v>1</v>
      </c>
      <c r="AV1124" s="387" t="str">
        <f>IF(AT1124=0,"",IF(AND(AT1124=3,M1124="F",SUMIF(C2:C1334,C1124,AS2:AS1334)&lt;=1),SUMIF(C2:C1334,C1124,AS2:AS1334),IF(AND(AT1124=3,M1124="F",SUMIF(C2:C1334,C1124,AS2:AS1334)&gt;1),1,"")))</f>
        <v/>
      </c>
      <c r="AW1124" s="387">
        <f>SUMIF(C2:C1334,C1124,O2:O1334)</f>
        <v>1</v>
      </c>
      <c r="AX1124" s="387">
        <f>IF(AND(M1124="F",AS1124&lt;&gt;0),SUMIF(C2:C1334,C1124,W2:W1334),0)</f>
        <v>39041.599999999999</v>
      </c>
      <c r="AY1124" s="387">
        <f t="shared" si="777"/>
        <v>39041.599999999999</v>
      </c>
      <c r="AZ1124" s="387" t="str">
        <f t="shared" si="778"/>
        <v/>
      </c>
      <c r="BA1124" s="387">
        <f t="shared" si="779"/>
        <v>0</v>
      </c>
      <c r="BB1124" s="387">
        <f t="shared" si="748"/>
        <v>11650</v>
      </c>
      <c r="BC1124" s="387">
        <f t="shared" si="749"/>
        <v>0</v>
      </c>
      <c r="BD1124" s="387">
        <f t="shared" si="750"/>
        <v>2420.5791999999997</v>
      </c>
      <c r="BE1124" s="387">
        <f t="shared" si="751"/>
        <v>566.10320000000002</v>
      </c>
      <c r="BF1124" s="387">
        <f t="shared" si="752"/>
        <v>4661.5670399999999</v>
      </c>
      <c r="BG1124" s="387">
        <f t="shared" si="753"/>
        <v>281.489936</v>
      </c>
      <c r="BH1124" s="387">
        <f t="shared" si="754"/>
        <v>191.30383999999998</v>
      </c>
      <c r="BI1124" s="387">
        <f t="shared" si="755"/>
        <v>216.09525599999998</v>
      </c>
      <c r="BJ1124" s="387">
        <f t="shared" si="756"/>
        <v>105.41232000000001</v>
      </c>
      <c r="BK1124" s="387">
        <f t="shared" si="757"/>
        <v>0</v>
      </c>
      <c r="BL1124" s="387">
        <f t="shared" si="780"/>
        <v>8442.5507919999982</v>
      </c>
      <c r="BM1124" s="387">
        <f t="shared" si="781"/>
        <v>0</v>
      </c>
      <c r="BN1124" s="387">
        <f t="shared" si="758"/>
        <v>11650</v>
      </c>
      <c r="BO1124" s="387">
        <f t="shared" si="759"/>
        <v>0</v>
      </c>
      <c r="BP1124" s="387">
        <f t="shared" si="760"/>
        <v>2420.5791999999997</v>
      </c>
      <c r="BQ1124" s="387">
        <f t="shared" si="761"/>
        <v>566.10320000000002</v>
      </c>
      <c r="BR1124" s="387">
        <f t="shared" si="762"/>
        <v>4661.5670399999999</v>
      </c>
      <c r="BS1124" s="387">
        <f t="shared" si="763"/>
        <v>281.489936</v>
      </c>
      <c r="BT1124" s="387">
        <f t="shared" si="764"/>
        <v>0</v>
      </c>
      <c r="BU1124" s="387">
        <f t="shared" si="765"/>
        <v>216.09525599999998</v>
      </c>
      <c r="BV1124" s="387">
        <f t="shared" si="766"/>
        <v>132.74143999999998</v>
      </c>
      <c r="BW1124" s="387">
        <f t="shared" si="767"/>
        <v>0</v>
      </c>
      <c r="BX1124" s="387">
        <f t="shared" si="782"/>
        <v>8278.5760719999998</v>
      </c>
      <c r="BY1124" s="387">
        <f t="shared" si="783"/>
        <v>0</v>
      </c>
      <c r="BZ1124" s="387">
        <f t="shared" si="784"/>
        <v>0</v>
      </c>
      <c r="CA1124" s="387">
        <f t="shared" si="785"/>
        <v>0</v>
      </c>
      <c r="CB1124" s="387">
        <f t="shared" si="786"/>
        <v>0</v>
      </c>
      <c r="CC1124" s="387">
        <f t="shared" si="768"/>
        <v>0</v>
      </c>
      <c r="CD1124" s="387">
        <f t="shared" si="769"/>
        <v>0</v>
      </c>
      <c r="CE1124" s="387">
        <f t="shared" si="770"/>
        <v>0</v>
      </c>
      <c r="CF1124" s="387">
        <f t="shared" si="771"/>
        <v>-191.30383999999998</v>
      </c>
      <c r="CG1124" s="387">
        <f t="shared" si="772"/>
        <v>0</v>
      </c>
      <c r="CH1124" s="387">
        <f t="shared" si="773"/>
        <v>27.329119999999985</v>
      </c>
      <c r="CI1124" s="387">
        <f t="shared" si="774"/>
        <v>0</v>
      </c>
      <c r="CJ1124" s="387">
        <f t="shared" si="787"/>
        <v>-163.97471999999999</v>
      </c>
      <c r="CK1124" s="387" t="str">
        <f t="shared" si="788"/>
        <v/>
      </c>
      <c r="CL1124" s="387" t="str">
        <f t="shared" si="789"/>
        <v/>
      </c>
      <c r="CM1124" s="387" t="str">
        <f t="shared" si="790"/>
        <v/>
      </c>
      <c r="CN1124" s="387" t="str">
        <f t="shared" si="791"/>
        <v>0348-31</v>
      </c>
    </row>
    <row r="1125" spans="1:92" ht="15.75" thickBot="1" x14ac:dyDescent="0.3">
      <c r="A1125" s="376" t="s">
        <v>161</v>
      </c>
      <c r="B1125" s="376" t="s">
        <v>162</v>
      </c>
      <c r="C1125" s="376" t="s">
        <v>1428</v>
      </c>
      <c r="D1125" s="376" t="s">
        <v>868</v>
      </c>
      <c r="E1125" s="376" t="s">
        <v>224</v>
      </c>
      <c r="F1125" s="382" t="s">
        <v>225</v>
      </c>
      <c r="G1125" s="376" t="s">
        <v>1945</v>
      </c>
      <c r="H1125" s="378"/>
      <c r="I1125" s="378"/>
      <c r="J1125" s="376" t="s">
        <v>215</v>
      </c>
      <c r="K1125" s="376" t="s">
        <v>869</v>
      </c>
      <c r="L1125" s="376" t="s">
        <v>296</v>
      </c>
      <c r="M1125" s="376" t="s">
        <v>171</v>
      </c>
      <c r="N1125" s="376" t="s">
        <v>172</v>
      </c>
      <c r="O1125" s="379">
        <v>1</v>
      </c>
      <c r="P1125" s="385">
        <v>1</v>
      </c>
      <c r="Q1125" s="385">
        <v>1</v>
      </c>
      <c r="R1125" s="380">
        <v>80</v>
      </c>
      <c r="S1125" s="385">
        <v>1</v>
      </c>
      <c r="T1125" s="380">
        <v>0</v>
      </c>
      <c r="U1125" s="380">
        <v>0</v>
      </c>
      <c r="V1125" s="380">
        <v>0</v>
      </c>
      <c r="W1125" s="380">
        <v>42848</v>
      </c>
      <c r="X1125" s="380">
        <v>20915.84</v>
      </c>
      <c r="Y1125" s="380">
        <v>42848</v>
      </c>
      <c r="Z1125" s="380">
        <v>20735.89</v>
      </c>
      <c r="AA1125" s="376" t="s">
        <v>1429</v>
      </c>
      <c r="AB1125" s="376" t="s">
        <v>1430</v>
      </c>
      <c r="AC1125" s="376" t="s">
        <v>1431</v>
      </c>
      <c r="AD1125" s="376" t="s">
        <v>1432</v>
      </c>
      <c r="AE1125" s="376" t="s">
        <v>873</v>
      </c>
      <c r="AF1125" s="376" t="s">
        <v>393</v>
      </c>
      <c r="AG1125" s="376" t="s">
        <v>178</v>
      </c>
      <c r="AH1125" s="381">
        <v>20.6</v>
      </c>
      <c r="AI1125" s="379">
        <v>320</v>
      </c>
      <c r="AJ1125" s="376" t="s">
        <v>179</v>
      </c>
      <c r="AK1125" s="376" t="s">
        <v>180</v>
      </c>
      <c r="AL1125" s="376" t="s">
        <v>181</v>
      </c>
      <c r="AM1125" s="376" t="s">
        <v>182</v>
      </c>
      <c r="AN1125" s="376" t="s">
        <v>68</v>
      </c>
      <c r="AO1125" s="379">
        <v>80</v>
      </c>
      <c r="AP1125" s="385">
        <v>1</v>
      </c>
      <c r="AQ1125" s="385">
        <v>1</v>
      </c>
      <c r="AR1125" s="383">
        <v>3</v>
      </c>
      <c r="AS1125" s="387">
        <f t="shared" si="775"/>
        <v>1</v>
      </c>
      <c r="AT1125">
        <f t="shared" si="776"/>
        <v>1</v>
      </c>
      <c r="AU1125" s="387">
        <f>IF(AT1125=0,"",IF(AND(AT1125=1,M1125="F",SUMIF(C2:C1334,C1125,AS2:AS1334)&lt;=1),SUMIF(C2:C1334,C1125,AS2:AS1334),IF(AND(AT1125=1,M1125="F",SUMIF(C2:C1334,C1125,AS2:AS1334)&gt;1),1,"")))</f>
        <v>1</v>
      </c>
      <c r="AV1125" s="387" t="str">
        <f>IF(AT1125=0,"",IF(AND(AT1125=3,M1125="F",SUMIF(C2:C1334,C1125,AS2:AS1334)&lt;=1),SUMIF(C2:C1334,C1125,AS2:AS1334),IF(AND(AT1125=3,M1125="F",SUMIF(C2:C1334,C1125,AS2:AS1334)&gt;1),1,"")))</f>
        <v/>
      </c>
      <c r="AW1125" s="387">
        <f>SUMIF(C2:C1334,C1125,O2:O1334)</f>
        <v>2</v>
      </c>
      <c r="AX1125" s="387">
        <f>IF(AND(M1125="F",AS1125&lt;&gt;0),SUMIF(C2:C1334,C1125,W2:W1334),0)</f>
        <v>42848</v>
      </c>
      <c r="AY1125" s="387">
        <f t="shared" si="777"/>
        <v>42848</v>
      </c>
      <c r="AZ1125" s="387" t="str">
        <f t="shared" si="778"/>
        <v/>
      </c>
      <c r="BA1125" s="387">
        <f t="shared" si="779"/>
        <v>0</v>
      </c>
      <c r="BB1125" s="387">
        <f t="shared" si="748"/>
        <v>11650</v>
      </c>
      <c r="BC1125" s="387">
        <f t="shared" si="749"/>
        <v>0</v>
      </c>
      <c r="BD1125" s="387">
        <f t="shared" si="750"/>
        <v>2656.576</v>
      </c>
      <c r="BE1125" s="387">
        <f t="shared" si="751"/>
        <v>621.29600000000005</v>
      </c>
      <c r="BF1125" s="387">
        <f t="shared" si="752"/>
        <v>5116.0511999999999</v>
      </c>
      <c r="BG1125" s="387">
        <f t="shared" si="753"/>
        <v>308.93407999999999</v>
      </c>
      <c r="BH1125" s="387">
        <f t="shared" si="754"/>
        <v>209.95519999999999</v>
      </c>
      <c r="BI1125" s="387">
        <f t="shared" si="755"/>
        <v>237.16368</v>
      </c>
      <c r="BJ1125" s="387">
        <f t="shared" si="756"/>
        <v>115.68960000000001</v>
      </c>
      <c r="BK1125" s="387">
        <f t="shared" si="757"/>
        <v>0</v>
      </c>
      <c r="BL1125" s="387">
        <f t="shared" si="780"/>
        <v>9265.6657599999999</v>
      </c>
      <c r="BM1125" s="387">
        <f t="shared" si="781"/>
        <v>0</v>
      </c>
      <c r="BN1125" s="387">
        <f t="shared" si="758"/>
        <v>11650</v>
      </c>
      <c r="BO1125" s="387">
        <f t="shared" si="759"/>
        <v>0</v>
      </c>
      <c r="BP1125" s="387">
        <f t="shared" si="760"/>
        <v>2656.576</v>
      </c>
      <c r="BQ1125" s="387">
        <f t="shared" si="761"/>
        <v>621.29600000000005</v>
      </c>
      <c r="BR1125" s="387">
        <f t="shared" si="762"/>
        <v>5116.0511999999999</v>
      </c>
      <c r="BS1125" s="387">
        <f t="shared" si="763"/>
        <v>308.93407999999999</v>
      </c>
      <c r="BT1125" s="387">
        <f t="shared" si="764"/>
        <v>0</v>
      </c>
      <c r="BU1125" s="387">
        <f t="shared" si="765"/>
        <v>237.16368</v>
      </c>
      <c r="BV1125" s="387">
        <f t="shared" si="766"/>
        <v>145.6832</v>
      </c>
      <c r="BW1125" s="387">
        <f t="shared" si="767"/>
        <v>0</v>
      </c>
      <c r="BX1125" s="387">
        <f t="shared" si="782"/>
        <v>9085.7041599999993</v>
      </c>
      <c r="BY1125" s="387">
        <f t="shared" si="783"/>
        <v>0</v>
      </c>
      <c r="BZ1125" s="387">
        <f t="shared" si="784"/>
        <v>0</v>
      </c>
      <c r="CA1125" s="387">
        <f t="shared" si="785"/>
        <v>0</v>
      </c>
      <c r="CB1125" s="387">
        <f t="shared" si="786"/>
        <v>0</v>
      </c>
      <c r="CC1125" s="387">
        <f t="shared" si="768"/>
        <v>0</v>
      </c>
      <c r="CD1125" s="387">
        <f t="shared" si="769"/>
        <v>0</v>
      </c>
      <c r="CE1125" s="387">
        <f t="shared" si="770"/>
        <v>0</v>
      </c>
      <c r="CF1125" s="387">
        <f t="shared" si="771"/>
        <v>-209.95519999999999</v>
      </c>
      <c r="CG1125" s="387">
        <f t="shared" si="772"/>
        <v>0</v>
      </c>
      <c r="CH1125" s="387">
        <f t="shared" si="773"/>
        <v>29.993599999999986</v>
      </c>
      <c r="CI1125" s="387">
        <f t="shared" si="774"/>
        <v>0</v>
      </c>
      <c r="CJ1125" s="387">
        <f t="shared" si="787"/>
        <v>-179.9616</v>
      </c>
      <c r="CK1125" s="387" t="str">
        <f t="shared" si="788"/>
        <v/>
      </c>
      <c r="CL1125" s="387" t="str">
        <f t="shared" si="789"/>
        <v/>
      </c>
      <c r="CM1125" s="387" t="str">
        <f t="shared" si="790"/>
        <v/>
      </c>
      <c r="CN1125" s="387" t="str">
        <f t="shared" si="791"/>
        <v>0348-31</v>
      </c>
    </row>
    <row r="1126" spans="1:92" ht="15.75" thickBot="1" x14ac:dyDescent="0.3">
      <c r="A1126" s="376" t="s">
        <v>161</v>
      </c>
      <c r="B1126" s="376" t="s">
        <v>162</v>
      </c>
      <c r="C1126" s="376" t="s">
        <v>2332</v>
      </c>
      <c r="D1126" s="376" t="s">
        <v>974</v>
      </c>
      <c r="E1126" s="376" t="s">
        <v>224</v>
      </c>
      <c r="F1126" s="382" t="s">
        <v>225</v>
      </c>
      <c r="G1126" s="376" t="s">
        <v>1945</v>
      </c>
      <c r="H1126" s="378"/>
      <c r="I1126" s="378"/>
      <c r="J1126" s="376" t="s">
        <v>215</v>
      </c>
      <c r="K1126" s="376" t="s">
        <v>975</v>
      </c>
      <c r="L1126" s="376" t="s">
        <v>296</v>
      </c>
      <c r="M1126" s="376" t="s">
        <v>171</v>
      </c>
      <c r="N1126" s="376" t="s">
        <v>172</v>
      </c>
      <c r="O1126" s="379">
        <v>1</v>
      </c>
      <c r="P1126" s="385">
        <v>1</v>
      </c>
      <c r="Q1126" s="385">
        <v>1</v>
      </c>
      <c r="R1126" s="380">
        <v>80</v>
      </c>
      <c r="S1126" s="385">
        <v>1</v>
      </c>
      <c r="T1126" s="380">
        <v>29196.17</v>
      </c>
      <c r="U1126" s="380">
        <v>542.36</v>
      </c>
      <c r="V1126" s="380">
        <v>13953.33</v>
      </c>
      <c r="W1126" s="380">
        <v>44761.599999999999</v>
      </c>
      <c r="X1126" s="380">
        <v>21329.66</v>
      </c>
      <c r="Y1126" s="380">
        <v>44761.599999999999</v>
      </c>
      <c r="Z1126" s="380">
        <v>21141.66</v>
      </c>
      <c r="AA1126" s="376" t="s">
        <v>2333</v>
      </c>
      <c r="AB1126" s="376" t="s">
        <v>2334</v>
      </c>
      <c r="AC1126" s="376" t="s">
        <v>2335</v>
      </c>
      <c r="AD1126" s="376" t="s">
        <v>170</v>
      </c>
      <c r="AE1126" s="376" t="s">
        <v>975</v>
      </c>
      <c r="AF1126" s="376" t="s">
        <v>301</v>
      </c>
      <c r="AG1126" s="376" t="s">
        <v>178</v>
      </c>
      <c r="AH1126" s="381">
        <v>21.52</v>
      </c>
      <c r="AI1126" s="381">
        <v>19426.2</v>
      </c>
      <c r="AJ1126" s="376" t="s">
        <v>179</v>
      </c>
      <c r="AK1126" s="376" t="s">
        <v>180</v>
      </c>
      <c r="AL1126" s="376" t="s">
        <v>181</v>
      </c>
      <c r="AM1126" s="376" t="s">
        <v>182</v>
      </c>
      <c r="AN1126" s="376" t="s">
        <v>68</v>
      </c>
      <c r="AO1126" s="379">
        <v>80</v>
      </c>
      <c r="AP1126" s="385">
        <v>1</v>
      </c>
      <c r="AQ1126" s="385">
        <v>1</v>
      </c>
      <c r="AR1126" s="383" t="s">
        <v>183</v>
      </c>
      <c r="AS1126" s="387">
        <f t="shared" si="775"/>
        <v>1</v>
      </c>
      <c r="AT1126">
        <f t="shared" si="776"/>
        <v>1</v>
      </c>
      <c r="AU1126" s="387">
        <f>IF(AT1126=0,"",IF(AND(AT1126=1,M1126="F",SUMIF(C2:C1334,C1126,AS2:AS1334)&lt;=1),SUMIF(C2:C1334,C1126,AS2:AS1334),IF(AND(AT1126=1,M1126="F",SUMIF(C2:C1334,C1126,AS2:AS1334)&gt;1),1,"")))</f>
        <v>1</v>
      </c>
      <c r="AV1126" s="387" t="str">
        <f>IF(AT1126=0,"",IF(AND(AT1126=3,M1126="F",SUMIF(C2:C1334,C1126,AS2:AS1334)&lt;=1),SUMIF(C2:C1334,C1126,AS2:AS1334),IF(AND(AT1126=3,M1126="F",SUMIF(C2:C1334,C1126,AS2:AS1334)&gt;1),1,"")))</f>
        <v/>
      </c>
      <c r="AW1126" s="387">
        <f>SUMIF(C2:C1334,C1126,O2:O1334)</f>
        <v>1</v>
      </c>
      <c r="AX1126" s="387">
        <f>IF(AND(M1126="F",AS1126&lt;&gt;0),SUMIF(C2:C1334,C1126,W2:W1334),0)</f>
        <v>44761.599999999999</v>
      </c>
      <c r="AY1126" s="387">
        <f t="shared" si="777"/>
        <v>44761.599999999999</v>
      </c>
      <c r="AZ1126" s="387" t="str">
        <f t="shared" si="778"/>
        <v/>
      </c>
      <c r="BA1126" s="387">
        <f t="shared" si="779"/>
        <v>0</v>
      </c>
      <c r="BB1126" s="387">
        <f t="shared" si="748"/>
        <v>11650</v>
      </c>
      <c r="BC1126" s="387">
        <f t="shared" si="749"/>
        <v>0</v>
      </c>
      <c r="BD1126" s="387">
        <f t="shared" si="750"/>
        <v>2775.2192</v>
      </c>
      <c r="BE1126" s="387">
        <f t="shared" si="751"/>
        <v>649.04319999999996</v>
      </c>
      <c r="BF1126" s="387">
        <f t="shared" si="752"/>
        <v>5344.5350399999998</v>
      </c>
      <c r="BG1126" s="387">
        <f t="shared" si="753"/>
        <v>322.73113599999999</v>
      </c>
      <c r="BH1126" s="387">
        <f t="shared" si="754"/>
        <v>219.33184</v>
      </c>
      <c r="BI1126" s="387">
        <f t="shared" si="755"/>
        <v>247.75545599999998</v>
      </c>
      <c r="BJ1126" s="387">
        <f t="shared" si="756"/>
        <v>120.85632</v>
      </c>
      <c r="BK1126" s="387">
        <f t="shared" si="757"/>
        <v>0</v>
      </c>
      <c r="BL1126" s="387">
        <f t="shared" si="780"/>
        <v>9679.4721920000029</v>
      </c>
      <c r="BM1126" s="387">
        <f t="shared" si="781"/>
        <v>0</v>
      </c>
      <c r="BN1126" s="387">
        <f t="shared" si="758"/>
        <v>11650</v>
      </c>
      <c r="BO1126" s="387">
        <f t="shared" si="759"/>
        <v>0</v>
      </c>
      <c r="BP1126" s="387">
        <f t="shared" si="760"/>
        <v>2775.2192</v>
      </c>
      <c r="BQ1126" s="387">
        <f t="shared" si="761"/>
        <v>649.04319999999996</v>
      </c>
      <c r="BR1126" s="387">
        <f t="shared" si="762"/>
        <v>5344.5350399999998</v>
      </c>
      <c r="BS1126" s="387">
        <f t="shared" si="763"/>
        <v>322.73113599999999</v>
      </c>
      <c r="BT1126" s="387">
        <f t="shared" si="764"/>
        <v>0</v>
      </c>
      <c r="BU1126" s="387">
        <f t="shared" si="765"/>
        <v>247.75545599999998</v>
      </c>
      <c r="BV1126" s="387">
        <f t="shared" si="766"/>
        <v>152.18943999999999</v>
      </c>
      <c r="BW1126" s="387">
        <f t="shared" si="767"/>
        <v>0</v>
      </c>
      <c r="BX1126" s="387">
        <f t="shared" si="782"/>
        <v>9491.4734720000015</v>
      </c>
      <c r="BY1126" s="387">
        <f t="shared" si="783"/>
        <v>0</v>
      </c>
      <c r="BZ1126" s="387">
        <f t="shared" si="784"/>
        <v>0</v>
      </c>
      <c r="CA1126" s="387">
        <f t="shared" si="785"/>
        <v>0</v>
      </c>
      <c r="CB1126" s="387">
        <f t="shared" si="786"/>
        <v>0</v>
      </c>
      <c r="CC1126" s="387">
        <f t="shared" si="768"/>
        <v>0</v>
      </c>
      <c r="CD1126" s="387">
        <f t="shared" si="769"/>
        <v>0</v>
      </c>
      <c r="CE1126" s="387">
        <f t="shared" si="770"/>
        <v>0</v>
      </c>
      <c r="CF1126" s="387">
        <f t="shared" si="771"/>
        <v>-219.33184</v>
      </c>
      <c r="CG1126" s="387">
        <f t="shared" si="772"/>
        <v>0</v>
      </c>
      <c r="CH1126" s="387">
        <f t="shared" si="773"/>
        <v>31.333119999999983</v>
      </c>
      <c r="CI1126" s="387">
        <f t="shared" si="774"/>
        <v>0</v>
      </c>
      <c r="CJ1126" s="387">
        <f t="shared" si="787"/>
        <v>-187.99872000000002</v>
      </c>
      <c r="CK1126" s="387" t="str">
        <f t="shared" si="788"/>
        <v/>
      </c>
      <c r="CL1126" s="387" t="str">
        <f t="shared" si="789"/>
        <v/>
      </c>
      <c r="CM1126" s="387" t="str">
        <f t="shared" si="790"/>
        <v/>
      </c>
      <c r="CN1126" s="387" t="str">
        <f t="shared" si="791"/>
        <v>0348-31</v>
      </c>
    </row>
    <row r="1127" spans="1:92" ht="15.75" thickBot="1" x14ac:dyDescent="0.3">
      <c r="A1127" s="376" t="s">
        <v>161</v>
      </c>
      <c r="B1127" s="376" t="s">
        <v>162</v>
      </c>
      <c r="C1127" s="376" t="s">
        <v>1634</v>
      </c>
      <c r="D1127" s="376" t="s">
        <v>974</v>
      </c>
      <c r="E1127" s="376" t="s">
        <v>224</v>
      </c>
      <c r="F1127" s="382" t="s">
        <v>225</v>
      </c>
      <c r="G1127" s="376" t="s">
        <v>1945</v>
      </c>
      <c r="H1127" s="378"/>
      <c r="I1127" s="378"/>
      <c r="J1127" s="376" t="s">
        <v>215</v>
      </c>
      <c r="K1127" s="376" t="s">
        <v>975</v>
      </c>
      <c r="L1127" s="376" t="s">
        <v>296</v>
      </c>
      <c r="M1127" s="376" t="s">
        <v>171</v>
      </c>
      <c r="N1127" s="376" t="s">
        <v>172</v>
      </c>
      <c r="O1127" s="379">
        <v>1</v>
      </c>
      <c r="P1127" s="385">
        <v>1</v>
      </c>
      <c r="Q1127" s="385">
        <v>1</v>
      </c>
      <c r="R1127" s="380">
        <v>80</v>
      </c>
      <c r="S1127" s="385">
        <v>1</v>
      </c>
      <c r="T1127" s="380">
        <v>32386</v>
      </c>
      <c r="U1127" s="380">
        <v>441</v>
      </c>
      <c r="V1127" s="380">
        <v>14075.55</v>
      </c>
      <c r="W1127" s="380">
        <v>43284.800000000003</v>
      </c>
      <c r="X1127" s="380">
        <v>21010.29</v>
      </c>
      <c r="Y1127" s="380">
        <v>43284.800000000003</v>
      </c>
      <c r="Z1127" s="380">
        <v>20828.5</v>
      </c>
      <c r="AA1127" s="376" t="s">
        <v>1635</v>
      </c>
      <c r="AB1127" s="376" t="s">
        <v>1636</v>
      </c>
      <c r="AC1127" s="376" t="s">
        <v>1637</v>
      </c>
      <c r="AD1127" s="376" t="s">
        <v>1638</v>
      </c>
      <c r="AE1127" s="376" t="s">
        <v>975</v>
      </c>
      <c r="AF1127" s="376" t="s">
        <v>301</v>
      </c>
      <c r="AG1127" s="376" t="s">
        <v>178</v>
      </c>
      <c r="AH1127" s="381">
        <v>20.81</v>
      </c>
      <c r="AI1127" s="381">
        <v>14234.2</v>
      </c>
      <c r="AJ1127" s="376" t="s">
        <v>179</v>
      </c>
      <c r="AK1127" s="376" t="s">
        <v>180</v>
      </c>
      <c r="AL1127" s="376" t="s">
        <v>181</v>
      </c>
      <c r="AM1127" s="376" t="s">
        <v>182</v>
      </c>
      <c r="AN1127" s="376" t="s">
        <v>68</v>
      </c>
      <c r="AO1127" s="379">
        <v>80</v>
      </c>
      <c r="AP1127" s="385">
        <v>1</v>
      </c>
      <c r="AQ1127" s="385">
        <v>1</v>
      </c>
      <c r="AR1127" s="383" t="s">
        <v>183</v>
      </c>
      <c r="AS1127" s="387">
        <f t="shared" si="775"/>
        <v>1</v>
      </c>
      <c r="AT1127">
        <f t="shared" si="776"/>
        <v>1</v>
      </c>
      <c r="AU1127" s="387">
        <f>IF(AT1127=0,"",IF(AND(AT1127=1,M1127="F",SUMIF(C2:C1334,C1127,AS2:AS1334)&lt;=1),SUMIF(C2:C1334,C1127,AS2:AS1334),IF(AND(AT1127=1,M1127="F",SUMIF(C2:C1334,C1127,AS2:AS1334)&gt;1),1,"")))</f>
        <v>1</v>
      </c>
      <c r="AV1127" s="387" t="str">
        <f>IF(AT1127=0,"",IF(AND(AT1127=3,M1127="F",SUMIF(C2:C1334,C1127,AS2:AS1334)&lt;=1),SUMIF(C2:C1334,C1127,AS2:AS1334),IF(AND(AT1127=3,M1127="F",SUMIF(C2:C1334,C1127,AS2:AS1334)&gt;1),1,"")))</f>
        <v/>
      </c>
      <c r="AW1127" s="387">
        <f>SUMIF(C2:C1334,C1127,O2:O1334)</f>
        <v>2</v>
      </c>
      <c r="AX1127" s="387">
        <f>IF(AND(M1127="F",AS1127&lt;&gt;0),SUMIF(C2:C1334,C1127,W2:W1334),0)</f>
        <v>43284.800000000003</v>
      </c>
      <c r="AY1127" s="387">
        <f t="shared" si="777"/>
        <v>43284.800000000003</v>
      </c>
      <c r="AZ1127" s="387" t="str">
        <f t="shared" si="778"/>
        <v/>
      </c>
      <c r="BA1127" s="387">
        <f t="shared" si="779"/>
        <v>0</v>
      </c>
      <c r="BB1127" s="387">
        <f t="shared" si="748"/>
        <v>11650</v>
      </c>
      <c r="BC1127" s="387">
        <f t="shared" si="749"/>
        <v>0</v>
      </c>
      <c r="BD1127" s="387">
        <f t="shared" si="750"/>
        <v>2683.6576</v>
      </c>
      <c r="BE1127" s="387">
        <f t="shared" si="751"/>
        <v>627.6296000000001</v>
      </c>
      <c r="BF1127" s="387">
        <f t="shared" si="752"/>
        <v>5168.2051200000005</v>
      </c>
      <c r="BG1127" s="387">
        <f t="shared" si="753"/>
        <v>312.08340800000002</v>
      </c>
      <c r="BH1127" s="387">
        <f t="shared" si="754"/>
        <v>212.09551999999999</v>
      </c>
      <c r="BI1127" s="387">
        <f t="shared" si="755"/>
        <v>239.58136800000003</v>
      </c>
      <c r="BJ1127" s="387">
        <f t="shared" si="756"/>
        <v>116.86896000000002</v>
      </c>
      <c r="BK1127" s="387">
        <f t="shared" si="757"/>
        <v>0</v>
      </c>
      <c r="BL1127" s="387">
        <f t="shared" si="780"/>
        <v>9360.1215760000014</v>
      </c>
      <c r="BM1127" s="387">
        <f t="shared" si="781"/>
        <v>0</v>
      </c>
      <c r="BN1127" s="387">
        <f t="shared" si="758"/>
        <v>11650</v>
      </c>
      <c r="BO1127" s="387">
        <f t="shared" si="759"/>
        <v>0</v>
      </c>
      <c r="BP1127" s="387">
        <f t="shared" si="760"/>
        <v>2683.6576</v>
      </c>
      <c r="BQ1127" s="387">
        <f t="shared" si="761"/>
        <v>627.6296000000001</v>
      </c>
      <c r="BR1127" s="387">
        <f t="shared" si="762"/>
        <v>5168.2051200000005</v>
      </c>
      <c r="BS1127" s="387">
        <f t="shared" si="763"/>
        <v>312.08340800000002</v>
      </c>
      <c r="BT1127" s="387">
        <f t="shared" si="764"/>
        <v>0</v>
      </c>
      <c r="BU1127" s="387">
        <f t="shared" si="765"/>
        <v>239.58136800000003</v>
      </c>
      <c r="BV1127" s="387">
        <f t="shared" si="766"/>
        <v>147.16831999999999</v>
      </c>
      <c r="BW1127" s="387">
        <f t="shared" si="767"/>
        <v>0</v>
      </c>
      <c r="BX1127" s="387">
        <f t="shared" si="782"/>
        <v>9178.3254160000015</v>
      </c>
      <c r="BY1127" s="387">
        <f t="shared" si="783"/>
        <v>0</v>
      </c>
      <c r="BZ1127" s="387">
        <f t="shared" si="784"/>
        <v>0</v>
      </c>
      <c r="CA1127" s="387">
        <f t="shared" si="785"/>
        <v>0</v>
      </c>
      <c r="CB1127" s="387">
        <f t="shared" si="786"/>
        <v>0</v>
      </c>
      <c r="CC1127" s="387">
        <f t="shared" si="768"/>
        <v>0</v>
      </c>
      <c r="CD1127" s="387">
        <f t="shared" si="769"/>
        <v>0</v>
      </c>
      <c r="CE1127" s="387">
        <f t="shared" si="770"/>
        <v>0</v>
      </c>
      <c r="CF1127" s="387">
        <f t="shared" si="771"/>
        <v>-212.09551999999999</v>
      </c>
      <c r="CG1127" s="387">
        <f t="shared" si="772"/>
        <v>0</v>
      </c>
      <c r="CH1127" s="387">
        <f t="shared" si="773"/>
        <v>30.299359999999989</v>
      </c>
      <c r="CI1127" s="387">
        <f t="shared" si="774"/>
        <v>0</v>
      </c>
      <c r="CJ1127" s="387">
        <f t="shared" si="787"/>
        <v>-181.79616000000001</v>
      </c>
      <c r="CK1127" s="387" t="str">
        <f t="shared" si="788"/>
        <v/>
      </c>
      <c r="CL1127" s="387" t="str">
        <f t="shared" si="789"/>
        <v/>
      </c>
      <c r="CM1127" s="387" t="str">
        <f t="shared" si="790"/>
        <v/>
      </c>
      <c r="CN1127" s="387" t="str">
        <f t="shared" si="791"/>
        <v>0348-31</v>
      </c>
    </row>
    <row r="1128" spans="1:92" ht="15.75" thickBot="1" x14ac:dyDescent="0.3">
      <c r="A1128" s="376" t="s">
        <v>161</v>
      </c>
      <c r="B1128" s="376" t="s">
        <v>162</v>
      </c>
      <c r="C1128" s="376" t="s">
        <v>1469</v>
      </c>
      <c r="D1128" s="376" t="s">
        <v>294</v>
      </c>
      <c r="E1128" s="376" t="s">
        <v>224</v>
      </c>
      <c r="F1128" s="382" t="s">
        <v>225</v>
      </c>
      <c r="G1128" s="376" t="s">
        <v>1945</v>
      </c>
      <c r="H1128" s="378"/>
      <c r="I1128" s="378"/>
      <c r="J1128" s="376" t="s">
        <v>215</v>
      </c>
      <c r="K1128" s="376" t="s">
        <v>1470</v>
      </c>
      <c r="L1128" s="376" t="s">
        <v>170</v>
      </c>
      <c r="M1128" s="376" t="s">
        <v>171</v>
      </c>
      <c r="N1128" s="376" t="s">
        <v>172</v>
      </c>
      <c r="O1128" s="379">
        <v>1</v>
      </c>
      <c r="P1128" s="385">
        <v>1</v>
      </c>
      <c r="Q1128" s="385">
        <v>1</v>
      </c>
      <c r="R1128" s="380">
        <v>80</v>
      </c>
      <c r="S1128" s="385">
        <v>1</v>
      </c>
      <c r="T1128" s="380">
        <v>0</v>
      </c>
      <c r="U1128" s="380">
        <v>0</v>
      </c>
      <c r="V1128" s="380">
        <v>0</v>
      </c>
      <c r="W1128" s="380">
        <v>83054.399999999994</v>
      </c>
      <c r="X1128" s="380">
        <v>29610.48</v>
      </c>
      <c r="Y1128" s="380">
        <v>83054.399999999994</v>
      </c>
      <c r="Z1128" s="380">
        <v>29261.66</v>
      </c>
      <c r="AA1128" s="376" t="s">
        <v>1471</v>
      </c>
      <c r="AB1128" s="376" t="s">
        <v>1472</v>
      </c>
      <c r="AC1128" s="376" t="s">
        <v>1473</v>
      </c>
      <c r="AD1128" s="376" t="s">
        <v>1474</v>
      </c>
      <c r="AE1128" s="376" t="s">
        <v>1470</v>
      </c>
      <c r="AF1128" s="376" t="s">
        <v>177</v>
      </c>
      <c r="AG1128" s="376" t="s">
        <v>178</v>
      </c>
      <c r="AH1128" s="381">
        <v>39.93</v>
      </c>
      <c r="AI1128" s="381">
        <v>39293.800000000003</v>
      </c>
      <c r="AJ1128" s="376" t="s">
        <v>179</v>
      </c>
      <c r="AK1128" s="376" t="s">
        <v>180</v>
      </c>
      <c r="AL1128" s="376" t="s">
        <v>181</v>
      </c>
      <c r="AM1128" s="376" t="s">
        <v>182</v>
      </c>
      <c r="AN1128" s="376" t="s">
        <v>68</v>
      </c>
      <c r="AO1128" s="379">
        <v>80</v>
      </c>
      <c r="AP1128" s="385">
        <v>1</v>
      </c>
      <c r="AQ1128" s="385">
        <v>1</v>
      </c>
      <c r="AR1128" s="383" t="s">
        <v>183</v>
      </c>
      <c r="AS1128" s="387">
        <f t="shared" si="775"/>
        <v>1</v>
      </c>
      <c r="AT1128">
        <f t="shared" si="776"/>
        <v>1</v>
      </c>
      <c r="AU1128" s="387">
        <f>IF(AT1128=0,"",IF(AND(AT1128=1,M1128="F",SUMIF(C2:C1334,C1128,AS2:AS1334)&lt;=1),SUMIF(C2:C1334,C1128,AS2:AS1334),IF(AND(AT1128=1,M1128="F",SUMIF(C2:C1334,C1128,AS2:AS1334)&gt;1),1,"")))</f>
        <v>1</v>
      </c>
      <c r="AV1128" s="387" t="str">
        <f>IF(AT1128=0,"",IF(AND(AT1128=3,M1128="F",SUMIF(C2:C1334,C1128,AS2:AS1334)&lt;=1),SUMIF(C2:C1334,C1128,AS2:AS1334),IF(AND(AT1128=3,M1128="F",SUMIF(C2:C1334,C1128,AS2:AS1334)&gt;1),1,"")))</f>
        <v/>
      </c>
      <c r="AW1128" s="387">
        <f>SUMIF(C2:C1334,C1128,O2:O1334)</f>
        <v>2</v>
      </c>
      <c r="AX1128" s="387">
        <f>IF(AND(M1128="F",AS1128&lt;&gt;0),SUMIF(C2:C1334,C1128,W2:W1334),0)</f>
        <v>83054.399999999994</v>
      </c>
      <c r="AY1128" s="387">
        <f t="shared" si="777"/>
        <v>83054.399999999994</v>
      </c>
      <c r="AZ1128" s="387" t="str">
        <f t="shared" si="778"/>
        <v/>
      </c>
      <c r="BA1128" s="387">
        <f t="shared" si="779"/>
        <v>0</v>
      </c>
      <c r="BB1128" s="387">
        <f t="shared" si="748"/>
        <v>11650</v>
      </c>
      <c r="BC1128" s="387">
        <f t="shared" si="749"/>
        <v>0</v>
      </c>
      <c r="BD1128" s="387">
        <f t="shared" si="750"/>
        <v>5149.3727999999992</v>
      </c>
      <c r="BE1128" s="387">
        <f t="shared" si="751"/>
        <v>1204.2888</v>
      </c>
      <c r="BF1128" s="387">
        <f t="shared" si="752"/>
        <v>9916.6953599999997</v>
      </c>
      <c r="BG1128" s="387">
        <f t="shared" si="753"/>
        <v>598.82222400000001</v>
      </c>
      <c r="BH1128" s="387">
        <f t="shared" si="754"/>
        <v>406.96655999999996</v>
      </c>
      <c r="BI1128" s="387">
        <f t="shared" si="755"/>
        <v>459.70610399999998</v>
      </c>
      <c r="BJ1128" s="387">
        <f t="shared" si="756"/>
        <v>224.24688</v>
      </c>
      <c r="BK1128" s="387">
        <f t="shared" si="757"/>
        <v>0</v>
      </c>
      <c r="BL1128" s="387">
        <f t="shared" si="780"/>
        <v>17960.098728000001</v>
      </c>
      <c r="BM1128" s="387">
        <f t="shared" si="781"/>
        <v>0</v>
      </c>
      <c r="BN1128" s="387">
        <f t="shared" si="758"/>
        <v>11650</v>
      </c>
      <c r="BO1128" s="387">
        <f t="shared" si="759"/>
        <v>0</v>
      </c>
      <c r="BP1128" s="387">
        <f t="shared" si="760"/>
        <v>5149.3727999999992</v>
      </c>
      <c r="BQ1128" s="387">
        <f t="shared" si="761"/>
        <v>1204.2888</v>
      </c>
      <c r="BR1128" s="387">
        <f t="shared" si="762"/>
        <v>9916.6953599999997</v>
      </c>
      <c r="BS1128" s="387">
        <f t="shared" si="763"/>
        <v>598.82222400000001</v>
      </c>
      <c r="BT1128" s="387">
        <f t="shared" si="764"/>
        <v>0</v>
      </c>
      <c r="BU1128" s="387">
        <f t="shared" si="765"/>
        <v>459.70610399999998</v>
      </c>
      <c r="BV1128" s="387">
        <f t="shared" si="766"/>
        <v>282.38495999999998</v>
      </c>
      <c r="BW1128" s="387">
        <f t="shared" si="767"/>
        <v>0</v>
      </c>
      <c r="BX1128" s="387">
        <f t="shared" si="782"/>
        <v>17611.270248000001</v>
      </c>
      <c r="BY1128" s="387">
        <f t="shared" si="783"/>
        <v>0</v>
      </c>
      <c r="BZ1128" s="387">
        <f t="shared" si="784"/>
        <v>0</v>
      </c>
      <c r="CA1128" s="387">
        <f t="shared" si="785"/>
        <v>0</v>
      </c>
      <c r="CB1128" s="387">
        <f t="shared" si="786"/>
        <v>0</v>
      </c>
      <c r="CC1128" s="387">
        <f t="shared" si="768"/>
        <v>0</v>
      </c>
      <c r="CD1128" s="387">
        <f t="shared" si="769"/>
        <v>0</v>
      </c>
      <c r="CE1128" s="387">
        <f t="shared" si="770"/>
        <v>0</v>
      </c>
      <c r="CF1128" s="387">
        <f t="shared" si="771"/>
        <v>-406.96655999999996</v>
      </c>
      <c r="CG1128" s="387">
        <f t="shared" si="772"/>
        <v>0</v>
      </c>
      <c r="CH1128" s="387">
        <f t="shared" si="773"/>
        <v>58.138079999999967</v>
      </c>
      <c r="CI1128" s="387">
        <f t="shared" si="774"/>
        <v>0</v>
      </c>
      <c r="CJ1128" s="387">
        <f t="shared" si="787"/>
        <v>-348.82848000000001</v>
      </c>
      <c r="CK1128" s="387" t="str">
        <f t="shared" si="788"/>
        <v/>
      </c>
      <c r="CL1128" s="387" t="str">
        <f t="shared" si="789"/>
        <v/>
      </c>
      <c r="CM1128" s="387" t="str">
        <f t="shared" si="790"/>
        <v/>
      </c>
      <c r="CN1128" s="387" t="str">
        <f t="shared" si="791"/>
        <v>0348-31</v>
      </c>
    </row>
    <row r="1129" spans="1:92" ht="15.75" thickBot="1" x14ac:dyDescent="0.3">
      <c r="A1129" s="376" t="s">
        <v>161</v>
      </c>
      <c r="B1129" s="376" t="s">
        <v>162</v>
      </c>
      <c r="C1129" s="376" t="s">
        <v>2336</v>
      </c>
      <c r="D1129" s="376" t="s">
        <v>862</v>
      </c>
      <c r="E1129" s="376" t="s">
        <v>224</v>
      </c>
      <c r="F1129" s="382" t="s">
        <v>225</v>
      </c>
      <c r="G1129" s="376" t="s">
        <v>1945</v>
      </c>
      <c r="H1129" s="378"/>
      <c r="I1129" s="378"/>
      <c r="J1129" s="376" t="s">
        <v>215</v>
      </c>
      <c r="K1129" s="376" t="s">
        <v>863</v>
      </c>
      <c r="L1129" s="376" t="s">
        <v>252</v>
      </c>
      <c r="M1129" s="376" t="s">
        <v>566</v>
      </c>
      <c r="N1129" s="376" t="s">
        <v>172</v>
      </c>
      <c r="O1129" s="379">
        <v>0</v>
      </c>
      <c r="P1129" s="385">
        <v>0</v>
      </c>
      <c r="Q1129" s="385">
        <v>0</v>
      </c>
      <c r="R1129" s="380">
        <v>80</v>
      </c>
      <c r="S1129" s="385">
        <v>0</v>
      </c>
      <c r="T1129" s="380">
        <v>7892</v>
      </c>
      <c r="U1129" s="380">
        <v>0</v>
      </c>
      <c r="V1129" s="380">
        <v>4043.02</v>
      </c>
      <c r="W1129" s="380">
        <v>0</v>
      </c>
      <c r="X1129" s="380">
        <v>0</v>
      </c>
      <c r="Y1129" s="380">
        <v>0</v>
      </c>
      <c r="Z1129" s="380">
        <v>0</v>
      </c>
      <c r="AA1129" s="378"/>
      <c r="AB1129" s="376" t="s">
        <v>45</v>
      </c>
      <c r="AC1129" s="376" t="s">
        <v>45</v>
      </c>
      <c r="AD1129" s="378"/>
      <c r="AE1129" s="378"/>
      <c r="AF1129" s="378"/>
      <c r="AG1129" s="378"/>
      <c r="AH1129" s="379">
        <v>0</v>
      </c>
      <c r="AI1129" s="379">
        <v>0</v>
      </c>
      <c r="AJ1129" s="378"/>
      <c r="AK1129" s="378"/>
      <c r="AL1129" s="376" t="s">
        <v>181</v>
      </c>
      <c r="AM1129" s="378"/>
      <c r="AN1129" s="378"/>
      <c r="AO1129" s="379">
        <v>0</v>
      </c>
      <c r="AP1129" s="385">
        <v>0</v>
      </c>
      <c r="AQ1129" s="385">
        <v>0</v>
      </c>
      <c r="AR1129" s="384"/>
      <c r="AS1129" s="387">
        <f t="shared" si="775"/>
        <v>0</v>
      </c>
      <c r="AT1129">
        <f t="shared" si="776"/>
        <v>0</v>
      </c>
      <c r="AU1129" s="387" t="str">
        <f>IF(AT1129=0,"",IF(AND(AT1129=1,M1129="F",SUMIF(C2:C1334,C1129,AS2:AS1334)&lt;=1),SUMIF(C2:C1334,C1129,AS2:AS1334),IF(AND(AT1129=1,M1129="F",SUMIF(C2:C1334,C1129,AS2:AS1334)&gt;1),1,"")))</f>
        <v/>
      </c>
      <c r="AV1129" s="387" t="str">
        <f>IF(AT1129=0,"",IF(AND(AT1129=3,M1129="F",SUMIF(C2:C1334,C1129,AS2:AS1334)&lt;=1),SUMIF(C2:C1334,C1129,AS2:AS1334),IF(AND(AT1129=3,M1129="F",SUMIF(C2:C1334,C1129,AS2:AS1334)&gt;1),1,"")))</f>
        <v/>
      </c>
      <c r="AW1129" s="387">
        <f>SUMIF(C2:C1334,C1129,O2:O1334)</f>
        <v>0</v>
      </c>
      <c r="AX1129" s="387">
        <f>IF(AND(M1129="F",AS1129&lt;&gt;0),SUMIF(C2:C1334,C1129,W2:W1334),0)</f>
        <v>0</v>
      </c>
      <c r="AY1129" s="387" t="str">
        <f t="shared" si="777"/>
        <v/>
      </c>
      <c r="AZ1129" s="387" t="str">
        <f t="shared" si="778"/>
        <v/>
      </c>
      <c r="BA1129" s="387">
        <f t="shared" si="779"/>
        <v>0</v>
      </c>
      <c r="BB1129" s="387">
        <f t="shared" si="748"/>
        <v>0</v>
      </c>
      <c r="BC1129" s="387">
        <f t="shared" si="749"/>
        <v>0</v>
      </c>
      <c r="BD1129" s="387">
        <f t="shared" si="750"/>
        <v>0</v>
      </c>
      <c r="BE1129" s="387">
        <f t="shared" si="751"/>
        <v>0</v>
      </c>
      <c r="BF1129" s="387">
        <f t="shared" si="752"/>
        <v>0</v>
      </c>
      <c r="BG1129" s="387">
        <f t="shared" si="753"/>
        <v>0</v>
      </c>
      <c r="BH1129" s="387">
        <f t="shared" si="754"/>
        <v>0</v>
      </c>
      <c r="BI1129" s="387">
        <f t="shared" si="755"/>
        <v>0</v>
      </c>
      <c r="BJ1129" s="387">
        <f t="shared" si="756"/>
        <v>0</v>
      </c>
      <c r="BK1129" s="387">
        <f t="shared" si="757"/>
        <v>0</v>
      </c>
      <c r="BL1129" s="387">
        <f t="shared" si="780"/>
        <v>0</v>
      </c>
      <c r="BM1129" s="387">
        <f t="shared" si="781"/>
        <v>0</v>
      </c>
      <c r="BN1129" s="387">
        <f t="shared" si="758"/>
        <v>0</v>
      </c>
      <c r="BO1129" s="387">
        <f t="shared" si="759"/>
        <v>0</v>
      </c>
      <c r="BP1129" s="387">
        <f t="shared" si="760"/>
        <v>0</v>
      </c>
      <c r="BQ1129" s="387">
        <f t="shared" si="761"/>
        <v>0</v>
      </c>
      <c r="BR1129" s="387">
        <f t="shared" si="762"/>
        <v>0</v>
      </c>
      <c r="BS1129" s="387">
        <f t="shared" si="763"/>
        <v>0</v>
      </c>
      <c r="BT1129" s="387">
        <f t="shared" si="764"/>
        <v>0</v>
      </c>
      <c r="BU1129" s="387">
        <f t="shared" si="765"/>
        <v>0</v>
      </c>
      <c r="BV1129" s="387">
        <f t="shared" si="766"/>
        <v>0</v>
      </c>
      <c r="BW1129" s="387">
        <f t="shared" si="767"/>
        <v>0</v>
      </c>
      <c r="BX1129" s="387">
        <f t="shared" si="782"/>
        <v>0</v>
      </c>
      <c r="BY1129" s="387">
        <f t="shared" si="783"/>
        <v>0</v>
      </c>
      <c r="BZ1129" s="387">
        <f t="shared" si="784"/>
        <v>0</v>
      </c>
      <c r="CA1129" s="387">
        <f t="shared" si="785"/>
        <v>0</v>
      </c>
      <c r="CB1129" s="387">
        <f t="shared" si="786"/>
        <v>0</v>
      </c>
      <c r="CC1129" s="387">
        <f t="shared" si="768"/>
        <v>0</v>
      </c>
      <c r="CD1129" s="387">
        <f t="shared" si="769"/>
        <v>0</v>
      </c>
      <c r="CE1129" s="387">
        <f t="shared" si="770"/>
        <v>0</v>
      </c>
      <c r="CF1129" s="387">
        <f t="shared" si="771"/>
        <v>0</v>
      </c>
      <c r="CG1129" s="387">
        <f t="shared" si="772"/>
        <v>0</v>
      </c>
      <c r="CH1129" s="387">
        <f t="shared" si="773"/>
        <v>0</v>
      </c>
      <c r="CI1129" s="387">
        <f t="shared" si="774"/>
        <v>0</v>
      </c>
      <c r="CJ1129" s="387">
        <f t="shared" si="787"/>
        <v>0</v>
      </c>
      <c r="CK1129" s="387" t="str">
        <f t="shared" si="788"/>
        <v/>
      </c>
      <c r="CL1129" s="387" t="str">
        <f t="shared" si="789"/>
        <v/>
      </c>
      <c r="CM1129" s="387" t="str">
        <f t="shared" si="790"/>
        <v/>
      </c>
      <c r="CN1129" s="387" t="str">
        <f t="shared" si="791"/>
        <v>0348-31</v>
      </c>
    </row>
    <row r="1130" spans="1:92" ht="15.75" thickBot="1" x14ac:dyDescent="0.3">
      <c r="A1130" s="376" t="s">
        <v>161</v>
      </c>
      <c r="B1130" s="376" t="s">
        <v>162</v>
      </c>
      <c r="C1130" s="376" t="s">
        <v>2337</v>
      </c>
      <c r="D1130" s="376" t="s">
        <v>1949</v>
      </c>
      <c r="E1130" s="376" t="s">
        <v>224</v>
      </c>
      <c r="F1130" s="382" t="s">
        <v>225</v>
      </c>
      <c r="G1130" s="376" t="s">
        <v>1945</v>
      </c>
      <c r="H1130" s="378"/>
      <c r="I1130" s="378"/>
      <c r="J1130" s="376" t="s">
        <v>215</v>
      </c>
      <c r="K1130" s="376" t="s">
        <v>1950</v>
      </c>
      <c r="L1130" s="376" t="s">
        <v>170</v>
      </c>
      <c r="M1130" s="376" t="s">
        <v>171</v>
      </c>
      <c r="N1130" s="376" t="s">
        <v>172</v>
      </c>
      <c r="O1130" s="379">
        <v>1</v>
      </c>
      <c r="P1130" s="385">
        <v>1</v>
      </c>
      <c r="Q1130" s="385">
        <v>1</v>
      </c>
      <c r="R1130" s="380">
        <v>80</v>
      </c>
      <c r="S1130" s="385">
        <v>1</v>
      </c>
      <c r="T1130" s="380">
        <v>65010.239999999998</v>
      </c>
      <c r="U1130" s="380">
        <v>38528.76</v>
      </c>
      <c r="V1130" s="380">
        <v>32425.78</v>
      </c>
      <c r="W1130" s="380">
        <v>66268.800000000003</v>
      </c>
      <c r="X1130" s="380">
        <v>25980.58</v>
      </c>
      <c r="Y1130" s="380">
        <v>66268.800000000003</v>
      </c>
      <c r="Z1130" s="380">
        <v>25702.26</v>
      </c>
      <c r="AA1130" s="376" t="s">
        <v>2338</v>
      </c>
      <c r="AB1130" s="376" t="s">
        <v>2339</v>
      </c>
      <c r="AC1130" s="376" t="s">
        <v>1431</v>
      </c>
      <c r="AD1130" s="376" t="s">
        <v>198</v>
      </c>
      <c r="AE1130" s="376" t="s">
        <v>1950</v>
      </c>
      <c r="AF1130" s="376" t="s">
        <v>177</v>
      </c>
      <c r="AG1130" s="376" t="s">
        <v>178</v>
      </c>
      <c r="AH1130" s="381">
        <v>31.86</v>
      </c>
      <c r="AI1130" s="381">
        <v>48304.1</v>
      </c>
      <c r="AJ1130" s="376" t="s">
        <v>179</v>
      </c>
      <c r="AK1130" s="376" t="s">
        <v>180</v>
      </c>
      <c r="AL1130" s="376" t="s">
        <v>181</v>
      </c>
      <c r="AM1130" s="376" t="s">
        <v>182</v>
      </c>
      <c r="AN1130" s="376" t="s">
        <v>68</v>
      </c>
      <c r="AO1130" s="379">
        <v>80</v>
      </c>
      <c r="AP1130" s="385">
        <v>1</v>
      </c>
      <c r="AQ1130" s="385">
        <v>1</v>
      </c>
      <c r="AR1130" s="383" t="s">
        <v>183</v>
      </c>
      <c r="AS1130" s="387">
        <f t="shared" si="775"/>
        <v>1</v>
      </c>
      <c r="AT1130">
        <f t="shared" si="776"/>
        <v>1</v>
      </c>
      <c r="AU1130" s="387">
        <f>IF(AT1130=0,"",IF(AND(AT1130=1,M1130="F",SUMIF(C2:C1334,C1130,AS2:AS1334)&lt;=1),SUMIF(C2:C1334,C1130,AS2:AS1334),IF(AND(AT1130=1,M1130="F",SUMIF(C2:C1334,C1130,AS2:AS1334)&gt;1),1,"")))</f>
        <v>1</v>
      </c>
      <c r="AV1130" s="387" t="str">
        <f>IF(AT1130=0,"",IF(AND(AT1130=3,M1130="F",SUMIF(C2:C1334,C1130,AS2:AS1334)&lt;=1),SUMIF(C2:C1334,C1130,AS2:AS1334),IF(AND(AT1130=3,M1130="F",SUMIF(C2:C1334,C1130,AS2:AS1334)&gt;1),1,"")))</f>
        <v/>
      </c>
      <c r="AW1130" s="387">
        <f>SUMIF(C2:C1334,C1130,O2:O1334)</f>
        <v>1</v>
      </c>
      <c r="AX1130" s="387">
        <f>IF(AND(M1130="F",AS1130&lt;&gt;0),SUMIF(C2:C1334,C1130,W2:W1334),0)</f>
        <v>66268.800000000003</v>
      </c>
      <c r="AY1130" s="387">
        <f t="shared" si="777"/>
        <v>66268.800000000003</v>
      </c>
      <c r="AZ1130" s="387" t="str">
        <f t="shared" si="778"/>
        <v/>
      </c>
      <c r="BA1130" s="387">
        <f t="shared" si="779"/>
        <v>0</v>
      </c>
      <c r="BB1130" s="387">
        <f t="shared" si="748"/>
        <v>11650</v>
      </c>
      <c r="BC1130" s="387">
        <f t="shared" si="749"/>
        <v>0</v>
      </c>
      <c r="BD1130" s="387">
        <f t="shared" si="750"/>
        <v>4108.6656000000003</v>
      </c>
      <c r="BE1130" s="387">
        <f t="shared" si="751"/>
        <v>960.89760000000012</v>
      </c>
      <c r="BF1130" s="387">
        <f t="shared" si="752"/>
        <v>7912.4947200000006</v>
      </c>
      <c r="BG1130" s="387">
        <f t="shared" si="753"/>
        <v>477.79804800000005</v>
      </c>
      <c r="BH1130" s="387">
        <f t="shared" si="754"/>
        <v>324.71712000000002</v>
      </c>
      <c r="BI1130" s="387">
        <f t="shared" si="755"/>
        <v>366.79780800000003</v>
      </c>
      <c r="BJ1130" s="387">
        <f t="shared" si="756"/>
        <v>178.92576000000003</v>
      </c>
      <c r="BK1130" s="387">
        <f t="shared" si="757"/>
        <v>0</v>
      </c>
      <c r="BL1130" s="387">
        <f t="shared" si="780"/>
        <v>14330.296656</v>
      </c>
      <c r="BM1130" s="387">
        <f t="shared" si="781"/>
        <v>0</v>
      </c>
      <c r="BN1130" s="387">
        <f t="shared" si="758"/>
        <v>11650</v>
      </c>
      <c r="BO1130" s="387">
        <f t="shared" si="759"/>
        <v>0</v>
      </c>
      <c r="BP1130" s="387">
        <f t="shared" si="760"/>
        <v>4108.6656000000003</v>
      </c>
      <c r="BQ1130" s="387">
        <f t="shared" si="761"/>
        <v>960.89760000000012</v>
      </c>
      <c r="BR1130" s="387">
        <f t="shared" si="762"/>
        <v>7912.4947200000006</v>
      </c>
      <c r="BS1130" s="387">
        <f t="shared" si="763"/>
        <v>477.79804800000005</v>
      </c>
      <c r="BT1130" s="387">
        <f t="shared" si="764"/>
        <v>0</v>
      </c>
      <c r="BU1130" s="387">
        <f t="shared" si="765"/>
        <v>366.79780800000003</v>
      </c>
      <c r="BV1130" s="387">
        <f t="shared" si="766"/>
        <v>225.31392</v>
      </c>
      <c r="BW1130" s="387">
        <f t="shared" si="767"/>
        <v>0</v>
      </c>
      <c r="BX1130" s="387">
        <f t="shared" si="782"/>
        <v>14051.967696000002</v>
      </c>
      <c r="BY1130" s="387">
        <f t="shared" si="783"/>
        <v>0</v>
      </c>
      <c r="BZ1130" s="387">
        <f t="shared" si="784"/>
        <v>0</v>
      </c>
      <c r="CA1130" s="387">
        <f t="shared" si="785"/>
        <v>0</v>
      </c>
      <c r="CB1130" s="387">
        <f t="shared" si="786"/>
        <v>0</v>
      </c>
      <c r="CC1130" s="387">
        <f t="shared" si="768"/>
        <v>0</v>
      </c>
      <c r="CD1130" s="387">
        <f t="shared" si="769"/>
        <v>0</v>
      </c>
      <c r="CE1130" s="387">
        <f t="shared" si="770"/>
        <v>0</v>
      </c>
      <c r="CF1130" s="387">
        <f t="shared" si="771"/>
        <v>-324.71712000000002</v>
      </c>
      <c r="CG1130" s="387">
        <f t="shared" si="772"/>
        <v>0</v>
      </c>
      <c r="CH1130" s="387">
        <f t="shared" si="773"/>
        <v>46.388159999999978</v>
      </c>
      <c r="CI1130" s="387">
        <f t="shared" si="774"/>
        <v>0</v>
      </c>
      <c r="CJ1130" s="387">
        <f t="shared" si="787"/>
        <v>-278.32896000000005</v>
      </c>
      <c r="CK1130" s="387" t="str">
        <f t="shared" si="788"/>
        <v/>
      </c>
      <c r="CL1130" s="387" t="str">
        <f t="shared" si="789"/>
        <v/>
      </c>
      <c r="CM1130" s="387" t="str">
        <f t="shared" si="790"/>
        <v/>
      </c>
      <c r="CN1130" s="387" t="str">
        <f t="shared" si="791"/>
        <v>0348-31</v>
      </c>
    </row>
    <row r="1131" spans="1:92" ht="15.75" thickBot="1" x14ac:dyDescent="0.3">
      <c r="A1131" s="376" t="s">
        <v>161</v>
      </c>
      <c r="B1131" s="376" t="s">
        <v>162</v>
      </c>
      <c r="C1131" s="376" t="s">
        <v>2340</v>
      </c>
      <c r="D1131" s="376" t="s">
        <v>1344</v>
      </c>
      <c r="E1131" s="376" t="s">
        <v>224</v>
      </c>
      <c r="F1131" s="382" t="s">
        <v>225</v>
      </c>
      <c r="G1131" s="376" t="s">
        <v>1945</v>
      </c>
      <c r="H1131" s="378"/>
      <c r="I1131" s="378"/>
      <c r="J1131" s="376" t="s">
        <v>215</v>
      </c>
      <c r="K1131" s="376" t="s">
        <v>1345</v>
      </c>
      <c r="L1131" s="376" t="s">
        <v>252</v>
      </c>
      <c r="M1131" s="376" t="s">
        <v>171</v>
      </c>
      <c r="N1131" s="376" t="s">
        <v>172</v>
      </c>
      <c r="O1131" s="379">
        <v>1</v>
      </c>
      <c r="P1131" s="385">
        <v>1</v>
      </c>
      <c r="Q1131" s="385">
        <v>1</v>
      </c>
      <c r="R1131" s="380">
        <v>80</v>
      </c>
      <c r="S1131" s="385">
        <v>1</v>
      </c>
      <c r="T1131" s="380">
        <v>41087.22</v>
      </c>
      <c r="U1131" s="380">
        <v>4525.55</v>
      </c>
      <c r="V1131" s="380">
        <v>20859.919999999998</v>
      </c>
      <c r="W1131" s="380">
        <v>42390.400000000001</v>
      </c>
      <c r="X1131" s="380">
        <v>20816.900000000001</v>
      </c>
      <c r="Y1131" s="380">
        <v>42390.400000000001</v>
      </c>
      <c r="Z1131" s="380">
        <v>20638.86</v>
      </c>
      <c r="AA1131" s="376" t="s">
        <v>2341</v>
      </c>
      <c r="AB1131" s="376" t="s">
        <v>2342</v>
      </c>
      <c r="AC1131" s="376" t="s">
        <v>591</v>
      </c>
      <c r="AD1131" s="376" t="s">
        <v>2343</v>
      </c>
      <c r="AE1131" s="376" t="s">
        <v>1345</v>
      </c>
      <c r="AF1131" s="376" t="s">
        <v>393</v>
      </c>
      <c r="AG1131" s="376" t="s">
        <v>178</v>
      </c>
      <c r="AH1131" s="381">
        <v>20.38</v>
      </c>
      <c r="AI1131" s="381">
        <v>32730.9</v>
      </c>
      <c r="AJ1131" s="376" t="s">
        <v>179</v>
      </c>
      <c r="AK1131" s="376" t="s">
        <v>180</v>
      </c>
      <c r="AL1131" s="376" t="s">
        <v>181</v>
      </c>
      <c r="AM1131" s="376" t="s">
        <v>182</v>
      </c>
      <c r="AN1131" s="376" t="s">
        <v>68</v>
      </c>
      <c r="AO1131" s="379">
        <v>80</v>
      </c>
      <c r="AP1131" s="385">
        <v>1</v>
      </c>
      <c r="AQ1131" s="385">
        <v>1</v>
      </c>
      <c r="AR1131" s="383" t="s">
        <v>183</v>
      </c>
      <c r="AS1131" s="387">
        <f t="shared" si="775"/>
        <v>1</v>
      </c>
      <c r="AT1131">
        <f t="shared" si="776"/>
        <v>1</v>
      </c>
      <c r="AU1131" s="387">
        <f>IF(AT1131=0,"",IF(AND(AT1131=1,M1131="F",SUMIF(C2:C1334,C1131,AS2:AS1334)&lt;=1),SUMIF(C2:C1334,C1131,AS2:AS1334),IF(AND(AT1131=1,M1131="F",SUMIF(C2:C1334,C1131,AS2:AS1334)&gt;1),1,"")))</f>
        <v>1</v>
      </c>
      <c r="AV1131" s="387" t="str">
        <f>IF(AT1131=0,"",IF(AND(AT1131=3,M1131="F",SUMIF(C2:C1334,C1131,AS2:AS1334)&lt;=1),SUMIF(C2:C1334,C1131,AS2:AS1334),IF(AND(AT1131=3,M1131="F",SUMIF(C2:C1334,C1131,AS2:AS1334)&gt;1),1,"")))</f>
        <v/>
      </c>
      <c r="AW1131" s="387">
        <f>SUMIF(C2:C1334,C1131,O2:O1334)</f>
        <v>1</v>
      </c>
      <c r="AX1131" s="387">
        <f>IF(AND(M1131="F",AS1131&lt;&gt;0),SUMIF(C2:C1334,C1131,W2:W1334),0)</f>
        <v>42390.400000000001</v>
      </c>
      <c r="AY1131" s="387">
        <f t="shared" si="777"/>
        <v>42390.400000000001</v>
      </c>
      <c r="AZ1131" s="387" t="str">
        <f t="shared" si="778"/>
        <v/>
      </c>
      <c r="BA1131" s="387">
        <f t="shared" si="779"/>
        <v>0</v>
      </c>
      <c r="BB1131" s="387">
        <f t="shared" si="748"/>
        <v>11650</v>
      </c>
      <c r="BC1131" s="387">
        <f t="shared" si="749"/>
        <v>0</v>
      </c>
      <c r="BD1131" s="387">
        <f t="shared" si="750"/>
        <v>2628.2048</v>
      </c>
      <c r="BE1131" s="387">
        <f t="shared" si="751"/>
        <v>614.66080000000011</v>
      </c>
      <c r="BF1131" s="387">
        <f t="shared" si="752"/>
        <v>5061.4137600000004</v>
      </c>
      <c r="BG1131" s="387">
        <f t="shared" si="753"/>
        <v>305.63478400000002</v>
      </c>
      <c r="BH1131" s="387">
        <f t="shared" si="754"/>
        <v>207.71296000000001</v>
      </c>
      <c r="BI1131" s="387">
        <f t="shared" si="755"/>
        <v>234.630864</v>
      </c>
      <c r="BJ1131" s="387">
        <f t="shared" si="756"/>
        <v>114.45408</v>
      </c>
      <c r="BK1131" s="387">
        <f t="shared" si="757"/>
        <v>0</v>
      </c>
      <c r="BL1131" s="387">
        <f t="shared" si="780"/>
        <v>9166.7120480000012</v>
      </c>
      <c r="BM1131" s="387">
        <f t="shared" si="781"/>
        <v>0</v>
      </c>
      <c r="BN1131" s="387">
        <f t="shared" si="758"/>
        <v>11650</v>
      </c>
      <c r="BO1131" s="387">
        <f t="shared" si="759"/>
        <v>0</v>
      </c>
      <c r="BP1131" s="387">
        <f t="shared" si="760"/>
        <v>2628.2048</v>
      </c>
      <c r="BQ1131" s="387">
        <f t="shared" si="761"/>
        <v>614.66080000000011</v>
      </c>
      <c r="BR1131" s="387">
        <f t="shared" si="762"/>
        <v>5061.4137600000004</v>
      </c>
      <c r="BS1131" s="387">
        <f t="shared" si="763"/>
        <v>305.63478400000002</v>
      </c>
      <c r="BT1131" s="387">
        <f t="shared" si="764"/>
        <v>0</v>
      </c>
      <c r="BU1131" s="387">
        <f t="shared" si="765"/>
        <v>234.630864</v>
      </c>
      <c r="BV1131" s="387">
        <f t="shared" si="766"/>
        <v>144.12736000000001</v>
      </c>
      <c r="BW1131" s="387">
        <f t="shared" si="767"/>
        <v>0</v>
      </c>
      <c r="BX1131" s="387">
        <f t="shared" si="782"/>
        <v>8988.6723680000014</v>
      </c>
      <c r="BY1131" s="387">
        <f t="shared" si="783"/>
        <v>0</v>
      </c>
      <c r="BZ1131" s="387">
        <f t="shared" si="784"/>
        <v>0</v>
      </c>
      <c r="CA1131" s="387">
        <f t="shared" si="785"/>
        <v>0</v>
      </c>
      <c r="CB1131" s="387">
        <f t="shared" si="786"/>
        <v>0</v>
      </c>
      <c r="CC1131" s="387">
        <f t="shared" si="768"/>
        <v>0</v>
      </c>
      <c r="CD1131" s="387">
        <f t="shared" si="769"/>
        <v>0</v>
      </c>
      <c r="CE1131" s="387">
        <f t="shared" si="770"/>
        <v>0</v>
      </c>
      <c r="CF1131" s="387">
        <f t="shared" si="771"/>
        <v>-207.71296000000001</v>
      </c>
      <c r="CG1131" s="387">
        <f t="shared" si="772"/>
        <v>0</v>
      </c>
      <c r="CH1131" s="387">
        <f t="shared" si="773"/>
        <v>29.673279999999988</v>
      </c>
      <c r="CI1131" s="387">
        <f t="shared" si="774"/>
        <v>0</v>
      </c>
      <c r="CJ1131" s="387">
        <f t="shared" si="787"/>
        <v>-178.03968000000003</v>
      </c>
      <c r="CK1131" s="387" t="str">
        <f t="shared" si="788"/>
        <v/>
      </c>
      <c r="CL1131" s="387" t="str">
        <f t="shared" si="789"/>
        <v/>
      </c>
      <c r="CM1131" s="387" t="str">
        <f t="shared" si="790"/>
        <v/>
      </c>
      <c r="CN1131" s="387" t="str">
        <f t="shared" si="791"/>
        <v>0348-31</v>
      </c>
    </row>
    <row r="1132" spans="1:92" ht="15.75" thickBot="1" x14ac:dyDescent="0.3">
      <c r="A1132" s="376" t="s">
        <v>161</v>
      </c>
      <c r="B1132" s="376" t="s">
        <v>162</v>
      </c>
      <c r="C1132" s="376" t="s">
        <v>2344</v>
      </c>
      <c r="D1132" s="376" t="s">
        <v>1326</v>
      </c>
      <c r="E1132" s="376" t="s">
        <v>224</v>
      </c>
      <c r="F1132" s="382" t="s">
        <v>225</v>
      </c>
      <c r="G1132" s="376" t="s">
        <v>1945</v>
      </c>
      <c r="H1132" s="378"/>
      <c r="I1132" s="378"/>
      <c r="J1132" s="376" t="s">
        <v>215</v>
      </c>
      <c r="K1132" s="376" t="s">
        <v>1327</v>
      </c>
      <c r="L1132" s="376" t="s">
        <v>296</v>
      </c>
      <c r="M1132" s="376" t="s">
        <v>171</v>
      </c>
      <c r="N1132" s="376" t="s">
        <v>172</v>
      </c>
      <c r="O1132" s="379">
        <v>1</v>
      </c>
      <c r="P1132" s="385">
        <v>1</v>
      </c>
      <c r="Q1132" s="385">
        <v>1</v>
      </c>
      <c r="R1132" s="380">
        <v>80</v>
      </c>
      <c r="S1132" s="385">
        <v>1</v>
      </c>
      <c r="T1132" s="380">
        <v>25184.82</v>
      </c>
      <c r="U1132" s="380">
        <v>0</v>
      </c>
      <c r="V1132" s="380">
        <v>12486.15</v>
      </c>
      <c r="W1132" s="380">
        <v>43139.199999999997</v>
      </c>
      <c r="X1132" s="380">
        <v>20978.83</v>
      </c>
      <c r="Y1132" s="380">
        <v>43139.199999999997</v>
      </c>
      <c r="Z1132" s="380">
        <v>20797.650000000001</v>
      </c>
      <c r="AA1132" s="376" t="s">
        <v>2345</v>
      </c>
      <c r="AB1132" s="376" t="s">
        <v>2346</v>
      </c>
      <c r="AC1132" s="376" t="s">
        <v>2347</v>
      </c>
      <c r="AD1132" s="376" t="s">
        <v>324</v>
      </c>
      <c r="AE1132" s="376" t="s">
        <v>1327</v>
      </c>
      <c r="AF1132" s="376" t="s">
        <v>301</v>
      </c>
      <c r="AG1132" s="376" t="s">
        <v>178</v>
      </c>
      <c r="AH1132" s="381">
        <v>20.74</v>
      </c>
      <c r="AI1132" s="379">
        <v>3160</v>
      </c>
      <c r="AJ1132" s="376" t="s">
        <v>179</v>
      </c>
      <c r="AK1132" s="376" t="s">
        <v>180</v>
      </c>
      <c r="AL1132" s="376" t="s">
        <v>181</v>
      </c>
      <c r="AM1132" s="376" t="s">
        <v>182</v>
      </c>
      <c r="AN1132" s="376" t="s">
        <v>68</v>
      </c>
      <c r="AO1132" s="379">
        <v>80</v>
      </c>
      <c r="AP1132" s="385">
        <v>1</v>
      </c>
      <c r="AQ1132" s="385">
        <v>1</v>
      </c>
      <c r="AR1132" s="383" t="s">
        <v>183</v>
      </c>
      <c r="AS1132" s="387">
        <f t="shared" si="775"/>
        <v>1</v>
      </c>
      <c r="AT1132">
        <f t="shared" si="776"/>
        <v>1</v>
      </c>
      <c r="AU1132" s="387">
        <f>IF(AT1132=0,"",IF(AND(AT1132=1,M1132="F",SUMIF(C2:C1334,C1132,AS2:AS1334)&lt;=1),SUMIF(C2:C1334,C1132,AS2:AS1334),IF(AND(AT1132=1,M1132="F",SUMIF(C2:C1334,C1132,AS2:AS1334)&gt;1),1,"")))</f>
        <v>1</v>
      </c>
      <c r="AV1132" s="387" t="str">
        <f>IF(AT1132=0,"",IF(AND(AT1132=3,M1132="F",SUMIF(C2:C1334,C1132,AS2:AS1334)&lt;=1),SUMIF(C2:C1334,C1132,AS2:AS1334),IF(AND(AT1132=3,M1132="F",SUMIF(C2:C1334,C1132,AS2:AS1334)&gt;1),1,"")))</f>
        <v/>
      </c>
      <c r="AW1132" s="387">
        <f>SUMIF(C2:C1334,C1132,O2:O1334)</f>
        <v>1</v>
      </c>
      <c r="AX1132" s="387">
        <f>IF(AND(M1132="F",AS1132&lt;&gt;0),SUMIF(C2:C1334,C1132,W2:W1334),0)</f>
        <v>43139.199999999997</v>
      </c>
      <c r="AY1132" s="387">
        <f t="shared" si="777"/>
        <v>43139.199999999997</v>
      </c>
      <c r="AZ1132" s="387" t="str">
        <f t="shared" si="778"/>
        <v/>
      </c>
      <c r="BA1132" s="387">
        <f t="shared" si="779"/>
        <v>0</v>
      </c>
      <c r="BB1132" s="387">
        <f t="shared" si="748"/>
        <v>11650</v>
      </c>
      <c r="BC1132" s="387">
        <f t="shared" si="749"/>
        <v>0</v>
      </c>
      <c r="BD1132" s="387">
        <f t="shared" si="750"/>
        <v>2674.6304</v>
      </c>
      <c r="BE1132" s="387">
        <f t="shared" si="751"/>
        <v>625.51840000000004</v>
      </c>
      <c r="BF1132" s="387">
        <f t="shared" si="752"/>
        <v>5150.8204800000003</v>
      </c>
      <c r="BG1132" s="387">
        <f t="shared" si="753"/>
        <v>311.03363200000001</v>
      </c>
      <c r="BH1132" s="387">
        <f t="shared" si="754"/>
        <v>211.38207999999997</v>
      </c>
      <c r="BI1132" s="387">
        <f t="shared" si="755"/>
        <v>238.77547199999998</v>
      </c>
      <c r="BJ1132" s="387">
        <f t="shared" si="756"/>
        <v>116.47584000000001</v>
      </c>
      <c r="BK1132" s="387">
        <f t="shared" si="757"/>
        <v>0</v>
      </c>
      <c r="BL1132" s="387">
        <f t="shared" si="780"/>
        <v>9328.6363039999997</v>
      </c>
      <c r="BM1132" s="387">
        <f t="shared" si="781"/>
        <v>0</v>
      </c>
      <c r="BN1132" s="387">
        <f t="shared" si="758"/>
        <v>11650</v>
      </c>
      <c r="BO1132" s="387">
        <f t="shared" si="759"/>
        <v>0</v>
      </c>
      <c r="BP1132" s="387">
        <f t="shared" si="760"/>
        <v>2674.6304</v>
      </c>
      <c r="BQ1132" s="387">
        <f t="shared" si="761"/>
        <v>625.51840000000004</v>
      </c>
      <c r="BR1132" s="387">
        <f t="shared" si="762"/>
        <v>5150.8204800000003</v>
      </c>
      <c r="BS1132" s="387">
        <f t="shared" si="763"/>
        <v>311.03363200000001</v>
      </c>
      <c r="BT1132" s="387">
        <f t="shared" si="764"/>
        <v>0</v>
      </c>
      <c r="BU1132" s="387">
        <f t="shared" si="765"/>
        <v>238.77547199999998</v>
      </c>
      <c r="BV1132" s="387">
        <f t="shared" si="766"/>
        <v>146.67327999999998</v>
      </c>
      <c r="BW1132" s="387">
        <f t="shared" si="767"/>
        <v>0</v>
      </c>
      <c r="BX1132" s="387">
        <f t="shared" si="782"/>
        <v>9147.4516640000002</v>
      </c>
      <c r="BY1132" s="387">
        <f t="shared" si="783"/>
        <v>0</v>
      </c>
      <c r="BZ1132" s="387">
        <f t="shared" si="784"/>
        <v>0</v>
      </c>
      <c r="CA1132" s="387">
        <f t="shared" si="785"/>
        <v>0</v>
      </c>
      <c r="CB1132" s="387">
        <f t="shared" si="786"/>
        <v>0</v>
      </c>
      <c r="CC1132" s="387">
        <f t="shared" si="768"/>
        <v>0</v>
      </c>
      <c r="CD1132" s="387">
        <f t="shared" si="769"/>
        <v>0</v>
      </c>
      <c r="CE1132" s="387">
        <f t="shared" si="770"/>
        <v>0</v>
      </c>
      <c r="CF1132" s="387">
        <f t="shared" si="771"/>
        <v>-211.38207999999997</v>
      </c>
      <c r="CG1132" s="387">
        <f t="shared" si="772"/>
        <v>0</v>
      </c>
      <c r="CH1132" s="387">
        <f t="shared" si="773"/>
        <v>30.197439999999983</v>
      </c>
      <c r="CI1132" s="387">
        <f t="shared" si="774"/>
        <v>0</v>
      </c>
      <c r="CJ1132" s="387">
        <f t="shared" si="787"/>
        <v>-181.18464</v>
      </c>
      <c r="CK1132" s="387" t="str">
        <f t="shared" si="788"/>
        <v/>
      </c>
      <c r="CL1132" s="387" t="str">
        <f t="shared" si="789"/>
        <v/>
      </c>
      <c r="CM1132" s="387" t="str">
        <f t="shared" si="790"/>
        <v/>
      </c>
      <c r="CN1132" s="387" t="str">
        <f t="shared" si="791"/>
        <v>0348-31</v>
      </c>
    </row>
    <row r="1133" spans="1:92" ht="15.75" thickBot="1" x14ac:dyDescent="0.3">
      <c r="A1133" s="376" t="s">
        <v>161</v>
      </c>
      <c r="B1133" s="376" t="s">
        <v>162</v>
      </c>
      <c r="C1133" s="376" t="s">
        <v>2348</v>
      </c>
      <c r="D1133" s="376" t="s">
        <v>862</v>
      </c>
      <c r="E1133" s="376" t="s">
        <v>224</v>
      </c>
      <c r="F1133" s="382" t="s">
        <v>225</v>
      </c>
      <c r="G1133" s="376" t="s">
        <v>1945</v>
      </c>
      <c r="H1133" s="378"/>
      <c r="I1133" s="378"/>
      <c r="J1133" s="376" t="s">
        <v>215</v>
      </c>
      <c r="K1133" s="376" t="s">
        <v>863</v>
      </c>
      <c r="L1133" s="376" t="s">
        <v>252</v>
      </c>
      <c r="M1133" s="376" t="s">
        <v>566</v>
      </c>
      <c r="N1133" s="376" t="s">
        <v>172</v>
      </c>
      <c r="O1133" s="379">
        <v>0</v>
      </c>
      <c r="P1133" s="385">
        <v>0</v>
      </c>
      <c r="Q1133" s="385">
        <v>0</v>
      </c>
      <c r="R1133" s="380">
        <v>80</v>
      </c>
      <c r="S1133" s="385">
        <v>0</v>
      </c>
      <c r="T1133" s="380">
        <v>8900.01</v>
      </c>
      <c r="U1133" s="380">
        <v>0</v>
      </c>
      <c r="V1133" s="380">
        <v>4250.17</v>
      </c>
      <c r="W1133" s="380">
        <v>0</v>
      </c>
      <c r="X1133" s="380">
        <v>0</v>
      </c>
      <c r="Y1133" s="380">
        <v>0</v>
      </c>
      <c r="Z1133" s="380">
        <v>0</v>
      </c>
      <c r="AA1133" s="378"/>
      <c r="AB1133" s="376" t="s">
        <v>45</v>
      </c>
      <c r="AC1133" s="376" t="s">
        <v>45</v>
      </c>
      <c r="AD1133" s="378"/>
      <c r="AE1133" s="378"/>
      <c r="AF1133" s="378"/>
      <c r="AG1133" s="378"/>
      <c r="AH1133" s="379">
        <v>0</v>
      </c>
      <c r="AI1133" s="379">
        <v>0</v>
      </c>
      <c r="AJ1133" s="378"/>
      <c r="AK1133" s="378"/>
      <c r="AL1133" s="376" t="s">
        <v>181</v>
      </c>
      <c r="AM1133" s="378"/>
      <c r="AN1133" s="378"/>
      <c r="AO1133" s="379">
        <v>0</v>
      </c>
      <c r="AP1133" s="385">
        <v>0</v>
      </c>
      <c r="AQ1133" s="385">
        <v>0</v>
      </c>
      <c r="AR1133" s="384"/>
      <c r="AS1133" s="387">
        <f t="shared" si="775"/>
        <v>0</v>
      </c>
      <c r="AT1133">
        <f t="shared" si="776"/>
        <v>0</v>
      </c>
      <c r="AU1133" s="387" t="str">
        <f>IF(AT1133=0,"",IF(AND(AT1133=1,M1133="F",SUMIF(C2:C1334,C1133,AS2:AS1334)&lt;=1),SUMIF(C2:C1334,C1133,AS2:AS1334),IF(AND(AT1133=1,M1133="F",SUMIF(C2:C1334,C1133,AS2:AS1334)&gt;1),1,"")))</f>
        <v/>
      </c>
      <c r="AV1133" s="387" t="str">
        <f>IF(AT1133=0,"",IF(AND(AT1133=3,M1133="F",SUMIF(C2:C1334,C1133,AS2:AS1334)&lt;=1),SUMIF(C2:C1334,C1133,AS2:AS1334),IF(AND(AT1133=3,M1133="F",SUMIF(C2:C1334,C1133,AS2:AS1334)&gt;1),1,"")))</f>
        <v/>
      </c>
      <c r="AW1133" s="387">
        <f>SUMIF(C2:C1334,C1133,O2:O1334)</f>
        <v>0</v>
      </c>
      <c r="AX1133" s="387">
        <f>IF(AND(M1133="F",AS1133&lt;&gt;0),SUMIF(C2:C1334,C1133,W2:W1334),0)</f>
        <v>0</v>
      </c>
      <c r="AY1133" s="387" t="str">
        <f t="shared" si="777"/>
        <v/>
      </c>
      <c r="AZ1133" s="387" t="str">
        <f t="shared" si="778"/>
        <v/>
      </c>
      <c r="BA1133" s="387">
        <f t="shared" si="779"/>
        <v>0</v>
      </c>
      <c r="BB1133" s="387">
        <f t="shared" si="748"/>
        <v>0</v>
      </c>
      <c r="BC1133" s="387">
        <f t="shared" si="749"/>
        <v>0</v>
      </c>
      <c r="BD1133" s="387">
        <f t="shared" si="750"/>
        <v>0</v>
      </c>
      <c r="BE1133" s="387">
        <f t="shared" si="751"/>
        <v>0</v>
      </c>
      <c r="BF1133" s="387">
        <f t="shared" si="752"/>
        <v>0</v>
      </c>
      <c r="BG1133" s="387">
        <f t="shared" si="753"/>
        <v>0</v>
      </c>
      <c r="BH1133" s="387">
        <f t="shared" si="754"/>
        <v>0</v>
      </c>
      <c r="BI1133" s="387">
        <f t="shared" si="755"/>
        <v>0</v>
      </c>
      <c r="BJ1133" s="387">
        <f t="shared" si="756"/>
        <v>0</v>
      </c>
      <c r="BK1133" s="387">
        <f t="shared" si="757"/>
        <v>0</v>
      </c>
      <c r="BL1133" s="387">
        <f t="shared" si="780"/>
        <v>0</v>
      </c>
      <c r="BM1133" s="387">
        <f t="shared" si="781"/>
        <v>0</v>
      </c>
      <c r="BN1133" s="387">
        <f t="shared" si="758"/>
        <v>0</v>
      </c>
      <c r="BO1133" s="387">
        <f t="shared" si="759"/>
        <v>0</v>
      </c>
      <c r="BP1133" s="387">
        <f t="shared" si="760"/>
        <v>0</v>
      </c>
      <c r="BQ1133" s="387">
        <f t="shared" si="761"/>
        <v>0</v>
      </c>
      <c r="BR1133" s="387">
        <f t="shared" si="762"/>
        <v>0</v>
      </c>
      <c r="BS1133" s="387">
        <f t="shared" si="763"/>
        <v>0</v>
      </c>
      <c r="BT1133" s="387">
        <f t="shared" si="764"/>
        <v>0</v>
      </c>
      <c r="BU1133" s="387">
        <f t="shared" si="765"/>
        <v>0</v>
      </c>
      <c r="BV1133" s="387">
        <f t="shared" si="766"/>
        <v>0</v>
      </c>
      <c r="BW1133" s="387">
        <f t="shared" si="767"/>
        <v>0</v>
      </c>
      <c r="BX1133" s="387">
        <f t="shared" si="782"/>
        <v>0</v>
      </c>
      <c r="BY1133" s="387">
        <f t="shared" si="783"/>
        <v>0</v>
      </c>
      <c r="BZ1133" s="387">
        <f t="shared" si="784"/>
        <v>0</v>
      </c>
      <c r="CA1133" s="387">
        <f t="shared" si="785"/>
        <v>0</v>
      </c>
      <c r="CB1133" s="387">
        <f t="shared" si="786"/>
        <v>0</v>
      </c>
      <c r="CC1133" s="387">
        <f t="shared" si="768"/>
        <v>0</v>
      </c>
      <c r="CD1133" s="387">
        <f t="shared" si="769"/>
        <v>0</v>
      </c>
      <c r="CE1133" s="387">
        <f t="shared" si="770"/>
        <v>0</v>
      </c>
      <c r="CF1133" s="387">
        <f t="shared" si="771"/>
        <v>0</v>
      </c>
      <c r="CG1133" s="387">
        <f t="shared" si="772"/>
        <v>0</v>
      </c>
      <c r="CH1133" s="387">
        <f t="shared" si="773"/>
        <v>0</v>
      </c>
      <c r="CI1133" s="387">
        <f t="shared" si="774"/>
        <v>0</v>
      </c>
      <c r="CJ1133" s="387">
        <f t="shared" si="787"/>
        <v>0</v>
      </c>
      <c r="CK1133" s="387" t="str">
        <f t="shared" si="788"/>
        <v/>
      </c>
      <c r="CL1133" s="387" t="str">
        <f t="shared" si="789"/>
        <v/>
      </c>
      <c r="CM1133" s="387" t="str">
        <f t="shared" si="790"/>
        <v/>
      </c>
      <c r="CN1133" s="387" t="str">
        <f t="shared" si="791"/>
        <v>0348-31</v>
      </c>
    </row>
    <row r="1134" spans="1:92" ht="15.75" thickBot="1" x14ac:dyDescent="0.3">
      <c r="A1134" s="376" t="s">
        <v>161</v>
      </c>
      <c r="B1134" s="376" t="s">
        <v>162</v>
      </c>
      <c r="C1134" s="376" t="s">
        <v>2349</v>
      </c>
      <c r="D1134" s="376" t="s">
        <v>421</v>
      </c>
      <c r="E1134" s="376" t="s">
        <v>224</v>
      </c>
      <c r="F1134" s="382" t="s">
        <v>225</v>
      </c>
      <c r="G1134" s="376" t="s">
        <v>1945</v>
      </c>
      <c r="H1134" s="378"/>
      <c r="I1134" s="378"/>
      <c r="J1134" s="376" t="s">
        <v>239</v>
      </c>
      <c r="K1134" s="376" t="s">
        <v>422</v>
      </c>
      <c r="L1134" s="376" t="s">
        <v>181</v>
      </c>
      <c r="M1134" s="376" t="s">
        <v>566</v>
      </c>
      <c r="N1134" s="376" t="s">
        <v>172</v>
      </c>
      <c r="O1134" s="379">
        <v>0</v>
      </c>
      <c r="P1134" s="385">
        <v>0</v>
      </c>
      <c r="Q1134" s="385">
        <v>0</v>
      </c>
      <c r="R1134" s="380">
        <v>80</v>
      </c>
      <c r="S1134" s="385">
        <v>0</v>
      </c>
      <c r="T1134" s="380">
        <v>31407.21</v>
      </c>
      <c r="U1134" s="380">
        <v>878.4</v>
      </c>
      <c r="V1134" s="380">
        <v>11005.23</v>
      </c>
      <c r="W1134" s="380">
        <v>0</v>
      </c>
      <c r="X1134" s="380">
        <v>0</v>
      </c>
      <c r="Y1134" s="380">
        <v>0</v>
      </c>
      <c r="Z1134" s="380">
        <v>0</v>
      </c>
      <c r="AA1134" s="378"/>
      <c r="AB1134" s="376" t="s">
        <v>45</v>
      </c>
      <c r="AC1134" s="376" t="s">
        <v>45</v>
      </c>
      <c r="AD1134" s="378"/>
      <c r="AE1134" s="378"/>
      <c r="AF1134" s="378"/>
      <c r="AG1134" s="378"/>
      <c r="AH1134" s="379">
        <v>0</v>
      </c>
      <c r="AI1134" s="379">
        <v>0</v>
      </c>
      <c r="AJ1134" s="378"/>
      <c r="AK1134" s="378"/>
      <c r="AL1134" s="376" t="s">
        <v>181</v>
      </c>
      <c r="AM1134" s="378"/>
      <c r="AN1134" s="378"/>
      <c r="AO1134" s="379">
        <v>0</v>
      </c>
      <c r="AP1134" s="385">
        <v>0</v>
      </c>
      <c r="AQ1134" s="385">
        <v>0</v>
      </c>
      <c r="AR1134" s="384"/>
      <c r="AS1134" s="387">
        <f t="shared" si="775"/>
        <v>0</v>
      </c>
      <c r="AT1134">
        <f t="shared" si="776"/>
        <v>0</v>
      </c>
      <c r="AU1134" s="387" t="str">
        <f>IF(AT1134=0,"",IF(AND(AT1134=1,M1134="F",SUMIF(C2:C1334,C1134,AS2:AS1334)&lt;=1),SUMIF(C2:C1334,C1134,AS2:AS1334),IF(AND(AT1134=1,M1134="F",SUMIF(C2:C1334,C1134,AS2:AS1334)&gt;1),1,"")))</f>
        <v/>
      </c>
      <c r="AV1134" s="387" t="str">
        <f>IF(AT1134=0,"",IF(AND(AT1134=3,M1134="F",SUMIF(C2:C1334,C1134,AS2:AS1334)&lt;=1),SUMIF(C2:C1334,C1134,AS2:AS1334),IF(AND(AT1134=3,M1134="F",SUMIF(C2:C1334,C1134,AS2:AS1334)&gt;1),1,"")))</f>
        <v/>
      </c>
      <c r="AW1134" s="387">
        <f>SUMIF(C2:C1334,C1134,O2:O1334)</f>
        <v>0</v>
      </c>
      <c r="AX1134" s="387">
        <f>IF(AND(M1134="F",AS1134&lt;&gt;0),SUMIF(C2:C1334,C1134,W2:W1334),0)</f>
        <v>0</v>
      </c>
      <c r="AY1134" s="387" t="str">
        <f t="shared" si="777"/>
        <v/>
      </c>
      <c r="AZ1134" s="387" t="str">
        <f t="shared" si="778"/>
        <v/>
      </c>
      <c r="BA1134" s="387">
        <f t="shared" si="779"/>
        <v>0</v>
      </c>
      <c r="BB1134" s="387">
        <f t="shared" si="748"/>
        <v>0</v>
      </c>
      <c r="BC1134" s="387">
        <f t="shared" si="749"/>
        <v>0</v>
      </c>
      <c r="BD1134" s="387">
        <f t="shared" si="750"/>
        <v>0</v>
      </c>
      <c r="BE1134" s="387">
        <f t="shared" si="751"/>
        <v>0</v>
      </c>
      <c r="BF1134" s="387">
        <f t="shared" si="752"/>
        <v>0</v>
      </c>
      <c r="BG1134" s="387">
        <f t="shared" si="753"/>
        <v>0</v>
      </c>
      <c r="BH1134" s="387">
        <f t="shared" si="754"/>
        <v>0</v>
      </c>
      <c r="BI1134" s="387">
        <f t="shared" si="755"/>
        <v>0</v>
      </c>
      <c r="BJ1134" s="387">
        <f t="shared" si="756"/>
        <v>0</v>
      </c>
      <c r="BK1134" s="387">
        <f t="shared" si="757"/>
        <v>0</v>
      </c>
      <c r="BL1134" s="387">
        <f t="shared" si="780"/>
        <v>0</v>
      </c>
      <c r="BM1134" s="387">
        <f t="shared" si="781"/>
        <v>0</v>
      </c>
      <c r="BN1134" s="387">
        <f t="shared" si="758"/>
        <v>0</v>
      </c>
      <c r="BO1134" s="387">
        <f t="shared" si="759"/>
        <v>0</v>
      </c>
      <c r="BP1134" s="387">
        <f t="shared" si="760"/>
        <v>0</v>
      </c>
      <c r="BQ1134" s="387">
        <f t="shared" si="761"/>
        <v>0</v>
      </c>
      <c r="BR1134" s="387">
        <f t="shared" si="762"/>
        <v>0</v>
      </c>
      <c r="BS1134" s="387">
        <f t="shared" si="763"/>
        <v>0</v>
      </c>
      <c r="BT1134" s="387">
        <f t="shared" si="764"/>
        <v>0</v>
      </c>
      <c r="BU1134" s="387">
        <f t="shared" si="765"/>
        <v>0</v>
      </c>
      <c r="BV1134" s="387">
        <f t="shared" si="766"/>
        <v>0</v>
      </c>
      <c r="BW1134" s="387">
        <f t="shared" si="767"/>
        <v>0</v>
      </c>
      <c r="BX1134" s="387">
        <f t="shared" si="782"/>
        <v>0</v>
      </c>
      <c r="BY1134" s="387">
        <f t="shared" si="783"/>
        <v>0</v>
      </c>
      <c r="BZ1134" s="387">
        <f t="shared" si="784"/>
        <v>0</v>
      </c>
      <c r="CA1134" s="387">
        <f t="shared" si="785"/>
        <v>0</v>
      </c>
      <c r="CB1134" s="387">
        <f t="shared" si="786"/>
        <v>0</v>
      </c>
      <c r="CC1134" s="387">
        <f t="shared" si="768"/>
        <v>0</v>
      </c>
      <c r="CD1134" s="387">
        <f t="shared" si="769"/>
        <v>0</v>
      </c>
      <c r="CE1134" s="387">
        <f t="shared" si="770"/>
        <v>0</v>
      </c>
      <c r="CF1134" s="387">
        <f t="shared" si="771"/>
        <v>0</v>
      </c>
      <c r="CG1134" s="387">
        <f t="shared" si="772"/>
        <v>0</v>
      </c>
      <c r="CH1134" s="387">
        <f t="shared" si="773"/>
        <v>0</v>
      </c>
      <c r="CI1134" s="387">
        <f t="shared" si="774"/>
        <v>0</v>
      </c>
      <c r="CJ1134" s="387">
        <f t="shared" si="787"/>
        <v>0</v>
      </c>
      <c r="CK1134" s="387" t="str">
        <f t="shared" si="788"/>
        <v/>
      </c>
      <c r="CL1134" s="387" t="str">
        <f t="shared" si="789"/>
        <v/>
      </c>
      <c r="CM1134" s="387" t="str">
        <f t="shared" si="790"/>
        <v/>
      </c>
      <c r="CN1134" s="387" t="str">
        <f t="shared" si="791"/>
        <v>0348-31</v>
      </c>
    </row>
    <row r="1135" spans="1:92" ht="15.75" thickBot="1" x14ac:dyDescent="0.3">
      <c r="A1135" s="376" t="s">
        <v>161</v>
      </c>
      <c r="B1135" s="376" t="s">
        <v>162</v>
      </c>
      <c r="C1135" s="376" t="s">
        <v>861</v>
      </c>
      <c r="D1135" s="376" t="s">
        <v>862</v>
      </c>
      <c r="E1135" s="376" t="s">
        <v>224</v>
      </c>
      <c r="F1135" s="382" t="s">
        <v>225</v>
      </c>
      <c r="G1135" s="376" t="s">
        <v>1945</v>
      </c>
      <c r="H1135" s="378"/>
      <c r="I1135" s="378"/>
      <c r="J1135" s="376" t="s">
        <v>239</v>
      </c>
      <c r="K1135" s="376" t="s">
        <v>863</v>
      </c>
      <c r="L1135" s="376" t="s">
        <v>252</v>
      </c>
      <c r="M1135" s="376" t="s">
        <v>171</v>
      </c>
      <c r="N1135" s="376" t="s">
        <v>172</v>
      </c>
      <c r="O1135" s="379">
        <v>1</v>
      </c>
      <c r="P1135" s="385">
        <v>0.75</v>
      </c>
      <c r="Q1135" s="385">
        <v>0.75</v>
      </c>
      <c r="R1135" s="380">
        <v>80</v>
      </c>
      <c r="S1135" s="385">
        <v>0.75</v>
      </c>
      <c r="T1135" s="380">
        <v>27367.78</v>
      </c>
      <c r="U1135" s="380">
        <v>0</v>
      </c>
      <c r="V1135" s="380">
        <v>14755.6</v>
      </c>
      <c r="W1135" s="380">
        <v>29265.599999999999</v>
      </c>
      <c r="X1135" s="380">
        <v>15066.15</v>
      </c>
      <c r="Y1135" s="380">
        <v>29265.599999999999</v>
      </c>
      <c r="Z1135" s="380">
        <v>14943.24</v>
      </c>
      <c r="AA1135" s="376" t="s">
        <v>864</v>
      </c>
      <c r="AB1135" s="376" t="s">
        <v>865</v>
      </c>
      <c r="AC1135" s="376" t="s">
        <v>866</v>
      </c>
      <c r="AD1135" s="376" t="s">
        <v>441</v>
      </c>
      <c r="AE1135" s="376" t="s">
        <v>863</v>
      </c>
      <c r="AF1135" s="376" t="s">
        <v>393</v>
      </c>
      <c r="AG1135" s="376" t="s">
        <v>178</v>
      </c>
      <c r="AH1135" s="381">
        <v>18.760000000000002</v>
      </c>
      <c r="AI1135" s="379">
        <v>3208</v>
      </c>
      <c r="AJ1135" s="376" t="s">
        <v>179</v>
      </c>
      <c r="AK1135" s="376" t="s">
        <v>180</v>
      </c>
      <c r="AL1135" s="376" t="s">
        <v>181</v>
      </c>
      <c r="AM1135" s="376" t="s">
        <v>182</v>
      </c>
      <c r="AN1135" s="376" t="s">
        <v>68</v>
      </c>
      <c r="AO1135" s="379">
        <v>80</v>
      </c>
      <c r="AP1135" s="385">
        <v>1</v>
      </c>
      <c r="AQ1135" s="385">
        <v>0.75</v>
      </c>
      <c r="AR1135" s="383" t="s">
        <v>183</v>
      </c>
      <c r="AS1135" s="387">
        <f t="shared" si="775"/>
        <v>0.75</v>
      </c>
      <c r="AT1135">
        <f t="shared" si="776"/>
        <v>1</v>
      </c>
      <c r="AU1135" s="387">
        <f>IF(AT1135=0,"",IF(AND(AT1135=1,M1135="F",SUMIF(C2:C1334,C1135,AS2:AS1334)&lt;=1),SUMIF(C2:C1334,C1135,AS2:AS1334),IF(AND(AT1135=1,M1135="F",SUMIF(C2:C1334,C1135,AS2:AS1334)&gt;1),1,"")))</f>
        <v>1</v>
      </c>
      <c r="AV1135" s="387" t="str">
        <f>IF(AT1135=0,"",IF(AND(AT1135=3,M1135="F",SUMIF(C2:C1334,C1135,AS2:AS1334)&lt;=1),SUMIF(C2:C1334,C1135,AS2:AS1334),IF(AND(AT1135=3,M1135="F",SUMIF(C2:C1334,C1135,AS2:AS1334)&gt;1),1,"")))</f>
        <v/>
      </c>
      <c r="AW1135" s="387">
        <f>SUMIF(C2:C1334,C1135,O2:O1334)</f>
        <v>3</v>
      </c>
      <c r="AX1135" s="387">
        <f>IF(AND(M1135="F",AS1135&lt;&gt;0),SUMIF(C2:C1334,C1135,W2:W1334),0)</f>
        <v>39020.800000000003</v>
      </c>
      <c r="AY1135" s="387">
        <f t="shared" si="777"/>
        <v>29265.599999999999</v>
      </c>
      <c r="AZ1135" s="387" t="str">
        <f t="shared" si="778"/>
        <v/>
      </c>
      <c r="BA1135" s="387">
        <f t="shared" si="779"/>
        <v>0</v>
      </c>
      <c r="BB1135" s="387">
        <f t="shared" si="748"/>
        <v>8737.5</v>
      </c>
      <c r="BC1135" s="387">
        <f t="shared" si="749"/>
        <v>0</v>
      </c>
      <c r="BD1135" s="387">
        <f t="shared" si="750"/>
        <v>1814.4671999999998</v>
      </c>
      <c r="BE1135" s="387">
        <f t="shared" si="751"/>
        <v>424.35120000000001</v>
      </c>
      <c r="BF1135" s="387">
        <f t="shared" si="752"/>
        <v>3494.3126400000001</v>
      </c>
      <c r="BG1135" s="387">
        <f t="shared" si="753"/>
        <v>211.004976</v>
      </c>
      <c r="BH1135" s="387">
        <f t="shared" si="754"/>
        <v>143.40143999999998</v>
      </c>
      <c r="BI1135" s="387">
        <f t="shared" si="755"/>
        <v>161.985096</v>
      </c>
      <c r="BJ1135" s="387">
        <f t="shared" si="756"/>
        <v>79.017120000000006</v>
      </c>
      <c r="BK1135" s="387">
        <f t="shared" si="757"/>
        <v>0</v>
      </c>
      <c r="BL1135" s="387">
        <f t="shared" si="780"/>
        <v>6328.5396720000008</v>
      </c>
      <c r="BM1135" s="387">
        <f t="shared" si="781"/>
        <v>0</v>
      </c>
      <c r="BN1135" s="387">
        <f t="shared" si="758"/>
        <v>8737.5</v>
      </c>
      <c r="BO1135" s="387">
        <f t="shared" si="759"/>
        <v>0</v>
      </c>
      <c r="BP1135" s="387">
        <f t="shared" si="760"/>
        <v>1814.4671999999998</v>
      </c>
      <c r="BQ1135" s="387">
        <f t="shared" si="761"/>
        <v>424.35120000000001</v>
      </c>
      <c r="BR1135" s="387">
        <f t="shared" si="762"/>
        <v>3494.3126400000001</v>
      </c>
      <c r="BS1135" s="387">
        <f t="shared" si="763"/>
        <v>211.004976</v>
      </c>
      <c r="BT1135" s="387">
        <f t="shared" si="764"/>
        <v>0</v>
      </c>
      <c r="BU1135" s="387">
        <f t="shared" si="765"/>
        <v>161.985096</v>
      </c>
      <c r="BV1135" s="387">
        <f t="shared" si="766"/>
        <v>99.503039999999984</v>
      </c>
      <c r="BW1135" s="387">
        <f t="shared" si="767"/>
        <v>0</v>
      </c>
      <c r="BX1135" s="387">
        <f t="shared" si="782"/>
        <v>6205.6241520000003</v>
      </c>
      <c r="BY1135" s="387">
        <f t="shared" si="783"/>
        <v>0</v>
      </c>
      <c r="BZ1135" s="387">
        <f t="shared" si="784"/>
        <v>0</v>
      </c>
      <c r="CA1135" s="387">
        <f t="shared" si="785"/>
        <v>0</v>
      </c>
      <c r="CB1135" s="387">
        <f t="shared" si="786"/>
        <v>0</v>
      </c>
      <c r="CC1135" s="387">
        <f t="shared" si="768"/>
        <v>0</v>
      </c>
      <c r="CD1135" s="387">
        <f t="shared" si="769"/>
        <v>0</v>
      </c>
      <c r="CE1135" s="387">
        <f t="shared" si="770"/>
        <v>0</v>
      </c>
      <c r="CF1135" s="387">
        <f t="shared" si="771"/>
        <v>-143.40143999999998</v>
      </c>
      <c r="CG1135" s="387">
        <f t="shared" si="772"/>
        <v>0</v>
      </c>
      <c r="CH1135" s="387">
        <f t="shared" si="773"/>
        <v>20.485919999999989</v>
      </c>
      <c r="CI1135" s="387">
        <f t="shared" si="774"/>
        <v>0</v>
      </c>
      <c r="CJ1135" s="387">
        <f t="shared" si="787"/>
        <v>-122.91551999999999</v>
      </c>
      <c r="CK1135" s="387" t="str">
        <f t="shared" si="788"/>
        <v/>
      </c>
      <c r="CL1135" s="387" t="str">
        <f t="shared" si="789"/>
        <v/>
      </c>
      <c r="CM1135" s="387" t="str">
        <f t="shared" si="790"/>
        <v/>
      </c>
      <c r="CN1135" s="387" t="str">
        <f t="shared" si="791"/>
        <v>0348-31</v>
      </c>
    </row>
    <row r="1136" spans="1:92" ht="15.75" thickBot="1" x14ac:dyDescent="0.3">
      <c r="A1136" s="376" t="s">
        <v>161</v>
      </c>
      <c r="B1136" s="376" t="s">
        <v>162</v>
      </c>
      <c r="C1136" s="376" t="s">
        <v>2350</v>
      </c>
      <c r="D1136" s="376" t="s">
        <v>862</v>
      </c>
      <c r="E1136" s="376" t="s">
        <v>224</v>
      </c>
      <c r="F1136" s="382" t="s">
        <v>225</v>
      </c>
      <c r="G1136" s="376" t="s">
        <v>1945</v>
      </c>
      <c r="H1136" s="378"/>
      <c r="I1136" s="378"/>
      <c r="J1136" s="376" t="s">
        <v>215</v>
      </c>
      <c r="K1136" s="376" t="s">
        <v>863</v>
      </c>
      <c r="L1136" s="376" t="s">
        <v>252</v>
      </c>
      <c r="M1136" s="376" t="s">
        <v>171</v>
      </c>
      <c r="N1136" s="376" t="s">
        <v>172</v>
      </c>
      <c r="O1136" s="379">
        <v>1</v>
      </c>
      <c r="P1136" s="385">
        <v>1</v>
      </c>
      <c r="Q1136" s="385">
        <v>1</v>
      </c>
      <c r="R1136" s="380">
        <v>80</v>
      </c>
      <c r="S1136" s="385">
        <v>1</v>
      </c>
      <c r="T1136" s="380">
        <v>43262.74</v>
      </c>
      <c r="U1136" s="380">
        <v>595.12</v>
      </c>
      <c r="V1136" s="380">
        <v>24729.41</v>
      </c>
      <c r="W1136" s="380">
        <v>38708.800000000003</v>
      </c>
      <c r="X1136" s="380">
        <v>20020.75</v>
      </c>
      <c r="Y1136" s="380">
        <v>38708.800000000003</v>
      </c>
      <c r="Z1136" s="380">
        <v>19858.169999999998</v>
      </c>
      <c r="AA1136" s="376" t="s">
        <v>2351</v>
      </c>
      <c r="AB1136" s="376" t="s">
        <v>2352</v>
      </c>
      <c r="AC1136" s="376" t="s">
        <v>1894</v>
      </c>
      <c r="AD1136" s="376" t="s">
        <v>300</v>
      </c>
      <c r="AE1136" s="376" t="s">
        <v>863</v>
      </c>
      <c r="AF1136" s="376" t="s">
        <v>393</v>
      </c>
      <c r="AG1136" s="376" t="s">
        <v>178</v>
      </c>
      <c r="AH1136" s="381">
        <v>18.61</v>
      </c>
      <c r="AI1136" s="381">
        <v>2043.1</v>
      </c>
      <c r="AJ1136" s="376" t="s">
        <v>179</v>
      </c>
      <c r="AK1136" s="376" t="s">
        <v>180</v>
      </c>
      <c r="AL1136" s="376" t="s">
        <v>181</v>
      </c>
      <c r="AM1136" s="376" t="s">
        <v>182</v>
      </c>
      <c r="AN1136" s="376" t="s">
        <v>68</v>
      </c>
      <c r="AO1136" s="379">
        <v>80</v>
      </c>
      <c r="AP1136" s="385">
        <v>1</v>
      </c>
      <c r="AQ1136" s="385">
        <v>1</v>
      </c>
      <c r="AR1136" s="383" t="s">
        <v>183</v>
      </c>
      <c r="AS1136" s="387">
        <f t="shared" si="775"/>
        <v>1</v>
      </c>
      <c r="AT1136">
        <f t="shared" si="776"/>
        <v>1</v>
      </c>
      <c r="AU1136" s="387">
        <f>IF(AT1136=0,"",IF(AND(AT1136=1,M1136="F",SUMIF(C2:C1334,C1136,AS2:AS1334)&lt;=1),SUMIF(C2:C1334,C1136,AS2:AS1334),IF(AND(AT1136=1,M1136="F",SUMIF(C2:C1334,C1136,AS2:AS1334)&gt;1),1,"")))</f>
        <v>1</v>
      </c>
      <c r="AV1136" s="387" t="str">
        <f>IF(AT1136=0,"",IF(AND(AT1136=3,M1136="F",SUMIF(C2:C1334,C1136,AS2:AS1334)&lt;=1),SUMIF(C2:C1334,C1136,AS2:AS1334),IF(AND(AT1136=3,M1136="F",SUMIF(C2:C1334,C1136,AS2:AS1334)&gt;1),1,"")))</f>
        <v/>
      </c>
      <c r="AW1136" s="387">
        <f>SUMIF(C2:C1334,C1136,O2:O1334)</f>
        <v>1</v>
      </c>
      <c r="AX1136" s="387">
        <f>IF(AND(M1136="F",AS1136&lt;&gt;0),SUMIF(C2:C1334,C1136,W2:W1334),0)</f>
        <v>38708.800000000003</v>
      </c>
      <c r="AY1136" s="387">
        <f t="shared" si="777"/>
        <v>38708.800000000003</v>
      </c>
      <c r="AZ1136" s="387" t="str">
        <f t="shared" si="778"/>
        <v/>
      </c>
      <c r="BA1136" s="387">
        <f t="shared" si="779"/>
        <v>0</v>
      </c>
      <c r="BB1136" s="387">
        <f t="shared" si="748"/>
        <v>11650</v>
      </c>
      <c r="BC1136" s="387">
        <f t="shared" si="749"/>
        <v>0</v>
      </c>
      <c r="BD1136" s="387">
        <f t="shared" si="750"/>
        <v>2399.9456</v>
      </c>
      <c r="BE1136" s="387">
        <f t="shared" si="751"/>
        <v>561.27760000000012</v>
      </c>
      <c r="BF1136" s="387">
        <f t="shared" si="752"/>
        <v>4621.8307200000008</v>
      </c>
      <c r="BG1136" s="387">
        <f t="shared" si="753"/>
        <v>279.09044800000004</v>
      </c>
      <c r="BH1136" s="387">
        <f t="shared" si="754"/>
        <v>189.67312000000001</v>
      </c>
      <c r="BI1136" s="387">
        <f t="shared" si="755"/>
        <v>214.25320800000003</v>
      </c>
      <c r="BJ1136" s="387">
        <f t="shared" si="756"/>
        <v>104.51376000000002</v>
      </c>
      <c r="BK1136" s="387">
        <f t="shared" si="757"/>
        <v>0</v>
      </c>
      <c r="BL1136" s="387">
        <f t="shared" si="780"/>
        <v>8370.5844560000005</v>
      </c>
      <c r="BM1136" s="387">
        <f t="shared" si="781"/>
        <v>0</v>
      </c>
      <c r="BN1136" s="387">
        <f t="shared" si="758"/>
        <v>11650</v>
      </c>
      <c r="BO1136" s="387">
        <f t="shared" si="759"/>
        <v>0</v>
      </c>
      <c r="BP1136" s="387">
        <f t="shared" si="760"/>
        <v>2399.9456</v>
      </c>
      <c r="BQ1136" s="387">
        <f t="shared" si="761"/>
        <v>561.27760000000012</v>
      </c>
      <c r="BR1136" s="387">
        <f t="shared" si="762"/>
        <v>4621.8307200000008</v>
      </c>
      <c r="BS1136" s="387">
        <f t="shared" si="763"/>
        <v>279.09044800000004</v>
      </c>
      <c r="BT1136" s="387">
        <f t="shared" si="764"/>
        <v>0</v>
      </c>
      <c r="BU1136" s="387">
        <f t="shared" si="765"/>
        <v>214.25320800000003</v>
      </c>
      <c r="BV1136" s="387">
        <f t="shared" si="766"/>
        <v>131.60992000000002</v>
      </c>
      <c r="BW1136" s="387">
        <f t="shared" si="767"/>
        <v>0</v>
      </c>
      <c r="BX1136" s="387">
        <f t="shared" si="782"/>
        <v>8208.007496000002</v>
      </c>
      <c r="BY1136" s="387">
        <f t="shared" si="783"/>
        <v>0</v>
      </c>
      <c r="BZ1136" s="387">
        <f t="shared" si="784"/>
        <v>0</v>
      </c>
      <c r="CA1136" s="387">
        <f t="shared" si="785"/>
        <v>0</v>
      </c>
      <c r="CB1136" s="387">
        <f t="shared" si="786"/>
        <v>0</v>
      </c>
      <c r="CC1136" s="387">
        <f t="shared" si="768"/>
        <v>0</v>
      </c>
      <c r="CD1136" s="387">
        <f t="shared" si="769"/>
        <v>0</v>
      </c>
      <c r="CE1136" s="387">
        <f t="shared" si="770"/>
        <v>0</v>
      </c>
      <c r="CF1136" s="387">
        <f t="shared" si="771"/>
        <v>-189.67312000000001</v>
      </c>
      <c r="CG1136" s="387">
        <f t="shared" si="772"/>
        <v>0</v>
      </c>
      <c r="CH1136" s="387">
        <f t="shared" si="773"/>
        <v>27.09615999999999</v>
      </c>
      <c r="CI1136" s="387">
        <f t="shared" si="774"/>
        <v>0</v>
      </c>
      <c r="CJ1136" s="387">
        <f t="shared" si="787"/>
        <v>-162.57696000000001</v>
      </c>
      <c r="CK1136" s="387" t="str">
        <f t="shared" si="788"/>
        <v/>
      </c>
      <c r="CL1136" s="387" t="str">
        <f t="shared" si="789"/>
        <v/>
      </c>
      <c r="CM1136" s="387" t="str">
        <f t="shared" si="790"/>
        <v/>
      </c>
      <c r="CN1136" s="387" t="str">
        <f t="shared" si="791"/>
        <v>0348-31</v>
      </c>
    </row>
    <row r="1137" spans="1:92" ht="15.75" thickBot="1" x14ac:dyDescent="0.3">
      <c r="A1137" s="376" t="s">
        <v>161</v>
      </c>
      <c r="B1137" s="376" t="s">
        <v>162</v>
      </c>
      <c r="C1137" s="376" t="s">
        <v>2353</v>
      </c>
      <c r="D1137" s="376" t="s">
        <v>1957</v>
      </c>
      <c r="E1137" s="376" t="s">
        <v>224</v>
      </c>
      <c r="F1137" s="382" t="s">
        <v>225</v>
      </c>
      <c r="G1137" s="376" t="s">
        <v>1945</v>
      </c>
      <c r="H1137" s="378"/>
      <c r="I1137" s="378"/>
      <c r="J1137" s="376" t="s">
        <v>215</v>
      </c>
      <c r="K1137" s="376" t="s">
        <v>1958</v>
      </c>
      <c r="L1137" s="376" t="s">
        <v>181</v>
      </c>
      <c r="M1137" s="376" t="s">
        <v>171</v>
      </c>
      <c r="N1137" s="376" t="s">
        <v>172</v>
      </c>
      <c r="O1137" s="379">
        <v>1</v>
      </c>
      <c r="P1137" s="385">
        <v>1</v>
      </c>
      <c r="Q1137" s="385">
        <v>1</v>
      </c>
      <c r="R1137" s="380">
        <v>80</v>
      </c>
      <c r="S1137" s="385">
        <v>1</v>
      </c>
      <c r="T1137" s="380">
        <v>35831.9</v>
      </c>
      <c r="U1137" s="380">
        <v>6700</v>
      </c>
      <c r="V1137" s="380">
        <v>14562.98</v>
      </c>
      <c r="W1137" s="380">
        <v>73340.800000000003</v>
      </c>
      <c r="X1137" s="380">
        <v>27509.91</v>
      </c>
      <c r="Y1137" s="380">
        <v>73340.800000000003</v>
      </c>
      <c r="Z1137" s="380">
        <v>27201.88</v>
      </c>
      <c r="AA1137" s="376" t="s">
        <v>2354</v>
      </c>
      <c r="AB1137" s="376" t="s">
        <v>612</v>
      </c>
      <c r="AC1137" s="376" t="s">
        <v>220</v>
      </c>
      <c r="AD1137" s="376" t="s">
        <v>252</v>
      </c>
      <c r="AE1137" s="376" t="s">
        <v>1958</v>
      </c>
      <c r="AF1137" s="376" t="s">
        <v>211</v>
      </c>
      <c r="AG1137" s="376" t="s">
        <v>178</v>
      </c>
      <c r="AH1137" s="381">
        <v>35.26</v>
      </c>
      <c r="AI1137" s="381">
        <v>43736.6</v>
      </c>
      <c r="AJ1137" s="376" t="s">
        <v>179</v>
      </c>
      <c r="AK1137" s="376" t="s">
        <v>180</v>
      </c>
      <c r="AL1137" s="376" t="s">
        <v>181</v>
      </c>
      <c r="AM1137" s="376" t="s">
        <v>182</v>
      </c>
      <c r="AN1137" s="376" t="s">
        <v>68</v>
      </c>
      <c r="AO1137" s="379">
        <v>80</v>
      </c>
      <c r="AP1137" s="385">
        <v>1</v>
      </c>
      <c r="AQ1137" s="385">
        <v>1</v>
      </c>
      <c r="AR1137" s="383" t="s">
        <v>183</v>
      </c>
      <c r="AS1137" s="387">
        <f t="shared" si="775"/>
        <v>1</v>
      </c>
      <c r="AT1137">
        <f t="shared" si="776"/>
        <v>1</v>
      </c>
      <c r="AU1137" s="387">
        <f>IF(AT1137=0,"",IF(AND(AT1137=1,M1137="F",SUMIF(C2:C1334,C1137,AS2:AS1334)&lt;=1),SUMIF(C2:C1334,C1137,AS2:AS1334),IF(AND(AT1137=1,M1137="F",SUMIF(C2:C1334,C1137,AS2:AS1334)&gt;1),1,"")))</f>
        <v>1</v>
      </c>
      <c r="AV1137" s="387" t="str">
        <f>IF(AT1137=0,"",IF(AND(AT1137=3,M1137="F",SUMIF(C2:C1334,C1137,AS2:AS1334)&lt;=1),SUMIF(C2:C1334,C1137,AS2:AS1334),IF(AND(AT1137=3,M1137="F",SUMIF(C2:C1334,C1137,AS2:AS1334)&gt;1),1,"")))</f>
        <v/>
      </c>
      <c r="AW1137" s="387">
        <f>SUMIF(C2:C1334,C1137,O2:O1334)</f>
        <v>1</v>
      </c>
      <c r="AX1137" s="387">
        <f>IF(AND(M1137="F",AS1137&lt;&gt;0),SUMIF(C2:C1334,C1137,W2:W1334),0)</f>
        <v>73340.800000000003</v>
      </c>
      <c r="AY1137" s="387">
        <f t="shared" si="777"/>
        <v>73340.800000000003</v>
      </c>
      <c r="AZ1137" s="387" t="str">
        <f t="shared" si="778"/>
        <v/>
      </c>
      <c r="BA1137" s="387">
        <f t="shared" si="779"/>
        <v>0</v>
      </c>
      <c r="BB1137" s="387">
        <f t="shared" si="748"/>
        <v>11650</v>
      </c>
      <c r="BC1137" s="387">
        <f t="shared" si="749"/>
        <v>0</v>
      </c>
      <c r="BD1137" s="387">
        <f t="shared" si="750"/>
        <v>4547.1296000000002</v>
      </c>
      <c r="BE1137" s="387">
        <f t="shared" si="751"/>
        <v>1063.4416000000001</v>
      </c>
      <c r="BF1137" s="387">
        <f t="shared" si="752"/>
        <v>8756.891520000001</v>
      </c>
      <c r="BG1137" s="387">
        <f t="shared" si="753"/>
        <v>528.78716800000007</v>
      </c>
      <c r="BH1137" s="387">
        <f t="shared" si="754"/>
        <v>359.36991999999998</v>
      </c>
      <c r="BI1137" s="387">
        <f t="shared" si="755"/>
        <v>405.941328</v>
      </c>
      <c r="BJ1137" s="387">
        <f t="shared" si="756"/>
        <v>198.02016</v>
      </c>
      <c r="BK1137" s="387">
        <f t="shared" si="757"/>
        <v>0</v>
      </c>
      <c r="BL1137" s="387">
        <f t="shared" si="780"/>
        <v>15859.581296000002</v>
      </c>
      <c r="BM1137" s="387">
        <f t="shared" si="781"/>
        <v>0</v>
      </c>
      <c r="BN1137" s="387">
        <f t="shared" si="758"/>
        <v>11650</v>
      </c>
      <c r="BO1137" s="387">
        <f t="shared" si="759"/>
        <v>0</v>
      </c>
      <c r="BP1137" s="387">
        <f t="shared" si="760"/>
        <v>4547.1296000000002</v>
      </c>
      <c r="BQ1137" s="387">
        <f t="shared" si="761"/>
        <v>1063.4416000000001</v>
      </c>
      <c r="BR1137" s="387">
        <f t="shared" si="762"/>
        <v>8756.891520000001</v>
      </c>
      <c r="BS1137" s="387">
        <f t="shared" si="763"/>
        <v>528.78716800000007</v>
      </c>
      <c r="BT1137" s="387">
        <f t="shared" si="764"/>
        <v>0</v>
      </c>
      <c r="BU1137" s="387">
        <f t="shared" si="765"/>
        <v>405.941328</v>
      </c>
      <c r="BV1137" s="387">
        <f t="shared" si="766"/>
        <v>249.35872000000001</v>
      </c>
      <c r="BW1137" s="387">
        <f t="shared" si="767"/>
        <v>0</v>
      </c>
      <c r="BX1137" s="387">
        <f t="shared" si="782"/>
        <v>15551.549936000003</v>
      </c>
      <c r="BY1137" s="387">
        <f t="shared" si="783"/>
        <v>0</v>
      </c>
      <c r="BZ1137" s="387">
        <f t="shared" si="784"/>
        <v>0</v>
      </c>
      <c r="CA1137" s="387">
        <f t="shared" si="785"/>
        <v>0</v>
      </c>
      <c r="CB1137" s="387">
        <f t="shared" si="786"/>
        <v>0</v>
      </c>
      <c r="CC1137" s="387">
        <f t="shared" si="768"/>
        <v>0</v>
      </c>
      <c r="CD1137" s="387">
        <f t="shared" si="769"/>
        <v>0</v>
      </c>
      <c r="CE1137" s="387">
        <f t="shared" si="770"/>
        <v>0</v>
      </c>
      <c r="CF1137" s="387">
        <f t="shared" si="771"/>
        <v>-359.36991999999998</v>
      </c>
      <c r="CG1137" s="387">
        <f t="shared" si="772"/>
        <v>0</v>
      </c>
      <c r="CH1137" s="387">
        <f t="shared" si="773"/>
        <v>51.33855999999998</v>
      </c>
      <c r="CI1137" s="387">
        <f t="shared" si="774"/>
        <v>0</v>
      </c>
      <c r="CJ1137" s="387">
        <f t="shared" si="787"/>
        <v>-308.03136000000001</v>
      </c>
      <c r="CK1137" s="387" t="str">
        <f t="shared" si="788"/>
        <v/>
      </c>
      <c r="CL1137" s="387" t="str">
        <f t="shared" si="789"/>
        <v/>
      </c>
      <c r="CM1137" s="387" t="str">
        <f t="shared" si="790"/>
        <v/>
      </c>
      <c r="CN1137" s="387" t="str">
        <f t="shared" si="791"/>
        <v>0348-31</v>
      </c>
    </row>
    <row r="1138" spans="1:92" ht="15.75" thickBot="1" x14ac:dyDescent="0.3">
      <c r="A1138" s="376" t="s">
        <v>161</v>
      </c>
      <c r="B1138" s="376" t="s">
        <v>162</v>
      </c>
      <c r="C1138" s="376" t="s">
        <v>2355</v>
      </c>
      <c r="D1138" s="376" t="s">
        <v>238</v>
      </c>
      <c r="E1138" s="376" t="s">
        <v>224</v>
      </c>
      <c r="F1138" s="382" t="s">
        <v>225</v>
      </c>
      <c r="G1138" s="376" t="s">
        <v>1945</v>
      </c>
      <c r="H1138" s="378"/>
      <c r="I1138" s="378"/>
      <c r="J1138" s="376" t="s">
        <v>215</v>
      </c>
      <c r="K1138" s="376" t="s">
        <v>285</v>
      </c>
      <c r="L1138" s="376" t="s">
        <v>170</v>
      </c>
      <c r="M1138" s="376" t="s">
        <v>171</v>
      </c>
      <c r="N1138" s="376" t="s">
        <v>172</v>
      </c>
      <c r="O1138" s="379">
        <v>1</v>
      </c>
      <c r="P1138" s="385">
        <v>1</v>
      </c>
      <c r="Q1138" s="385">
        <v>1</v>
      </c>
      <c r="R1138" s="380">
        <v>80</v>
      </c>
      <c r="S1138" s="385">
        <v>1</v>
      </c>
      <c r="T1138" s="380">
        <v>58555.11</v>
      </c>
      <c r="U1138" s="380">
        <v>4632.03</v>
      </c>
      <c r="V1138" s="380">
        <v>24784.17</v>
      </c>
      <c r="W1138" s="380">
        <v>60465.599999999999</v>
      </c>
      <c r="X1138" s="380">
        <v>24725.65</v>
      </c>
      <c r="Y1138" s="380">
        <v>60465.599999999999</v>
      </c>
      <c r="Z1138" s="380">
        <v>24471.7</v>
      </c>
      <c r="AA1138" s="376" t="s">
        <v>2356</v>
      </c>
      <c r="AB1138" s="376" t="s">
        <v>2357</v>
      </c>
      <c r="AC1138" s="376" t="s">
        <v>2162</v>
      </c>
      <c r="AD1138" s="376" t="s">
        <v>268</v>
      </c>
      <c r="AE1138" s="376" t="s">
        <v>285</v>
      </c>
      <c r="AF1138" s="376" t="s">
        <v>177</v>
      </c>
      <c r="AG1138" s="376" t="s">
        <v>178</v>
      </c>
      <c r="AH1138" s="381">
        <v>29.07</v>
      </c>
      <c r="AI1138" s="381">
        <v>30060.5</v>
      </c>
      <c r="AJ1138" s="376" t="s">
        <v>179</v>
      </c>
      <c r="AK1138" s="376" t="s">
        <v>180</v>
      </c>
      <c r="AL1138" s="376" t="s">
        <v>181</v>
      </c>
      <c r="AM1138" s="376" t="s">
        <v>182</v>
      </c>
      <c r="AN1138" s="376" t="s">
        <v>68</v>
      </c>
      <c r="AO1138" s="379">
        <v>80</v>
      </c>
      <c r="AP1138" s="385">
        <v>1</v>
      </c>
      <c r="AQ1138" s="385">
        <v>1</v>
      </c>
      <c r="AR1138" s="383" t="s">
        <v>183</v>
      </c>
      <c r="AS1138" s="387">
        <f t="shared" si="775"/>
        <v>1</v>
      </c>
      <c r="AT1138">
        <f t="shared" si="776"/>
        <v>1</v>
      </c>
      <c r="AU1138" s="387">
        <f>IF(AT1138=0,"",IF(AND(AT1138=1,M1138="F",SUMIF(C2:C1334,C1138,AS2:AS1334)&lt;=1),SUMIF(C2:C1334,C1138,AS2:AS1334),IF(AND(AT1138=1,M1138="F",SUMIF(C2:C1334,C1138,AS2:AS1334)&gt;1),1,"")))</f>
        <v>1</v>
      </c>
      <c r="AV1138" s="387" t="str">
        <f>IF(AT1138=0,"",IF(AND(AT1138=3,M1138="F",SUMIF(C2:C1334,C1138,AS2:AS1334)&lt;=1),SUMIF(C2:C1334,C1138,AS2:AS1334),IF(AND(AT1138=3,M1138="F",SUMIF(C2:C1334,C1138,AS2:AS1334)&gt;1),1,"")))</f>
        <v/>
      </c>
      <c r="AW1138" s="387">
        <f>SUMIF(C2:C1334,C1138,O2:O1334)</f>
        <v>1</v>
      </c>
      <c r="AX1138" s="387">
        <f>IF(AND(M1138="F",AS1138&lt;&gt;0),SUMIF(C2:C1334,C1138,W2:W1334),0)</f>
        <v>60465.599999999999</v>
      </c>
      <c r="AY1138" s="387">
        <f t="shared" si="777"/>
        <v>60465.599999999999</v>
      </c>
      <c r="AZ1138" s="387" t="str">
        <f t="shared" si="778"/>
        <v/>
      </c>
      <c r="BA1138" s="387">
        <f t="shared" si="779"/>
        <v>0</v>
      </c>
      <c r="BB1138" s="387">
        <f t="shared" si="748"/>
        <v>11650</v>
      </c>
      <c r="BC1138" s="387">
        <f t="shared" si="749"/>
        <v>0</v>
      </c>
      <c r="BD1138" s="387">
        <f t="shared" si="750"/>
        <v>3748.8671999999997</v>
      </c>
      <c r="BE1138" s="387">
        <f t="shared" si="751"/>
        <v>876.75120000000004</v>
      </c>
      <c r="BF1138" s="387">
        <f t="shared" si="752"/>
        <v>7219.5926399999998</v>
      </c>
      <c r="BG1138" s="387">
        <f t="shared" si="753"/>
        <v>435.956976</v>
      </c>
      <c r="BH1138" s="387">
        <f t="shared" si="754"/>
        <v>296.28143999999998</v>
      </c>
      <c r="BI1138" s="387">
        <f t="shared" si="755"/>
        <v>334.67709600000001</v>
      </c>
      <c r="BJ1138" s="387">
        <f t="shared" si="756"/>
        <v>163.25712000000001</v>
      </c>
      <c r="BK1138" s="387">
        <f t="shared" si="757"/>
        <v>0</v>
      </c>
      <c r="BL1138" s="387">
        <f t="shared" si="780"/>
        <v>13075.383671999998</v>
      </c>
      <c r="BM1138" s="387">
        <f t="shared" si="781"/>
        <v>0</v>
      </c>
      <c r="BN1138" s="387">
        <f t="shared" si="758"/>
        <v>11650</v>
      </c>
      <c r="BO1138" s="387">
        <f t="shared" si="759"/>
        <v>0</v>
      </c>
      <c r="BP1138" s="387">
        <f t="shared" si="760"/>
        <v>3748.8671999999997</v>
      </c>
      <c r="BQ1138" s="387">
        <f t="shared" si="761"/>
        <v>876.75120000000004</v>
      </c>
      <c r="BR1138" s="387">
        <f t="shared" si="762"/>
        <v>7219.5926399999998</v>
      </c>
      <c r="BS1138" s="387">
        <f t="shared" si="763"/>
        <v>435.956976</v>
      </c>
      <c r="BT1138" s="387">
        <f t="shared" si="764"/>
        <v>0</v>
      </c>
      <c r="BU1138" s="387">
        <f t="shared" si="765"/>
        <v>334.67709600000001</v>
      </c>
      <c r="BV1138" s="387">
        <f t="shared" si="766"/>
        <v>205.58303999999998</v>
      </c>
      <c r="BW1138" s="387">
        <f t="shared" si="767"/>
        <v>0</v>
      </c>
      <c r="BX1138" s="387">
        <f t="shared" si="782"/>
        <v>12821.428151999997</v>
      </c>
      <c r="BY1138" s="387">
        <f t="shared" si="783"/>
        <v>0</v>
      </c>
      <c r="BZ1138" s="387">
        <f t="shared" si="784"/>
        <v>0</v>
      </c>
      <c r="CA1138" s="387">
        <f t="shared" si="785"/>
        <v>0</v>
      </c>
      <c r="CB1138" s="387">
        <f t="shared" si="786"/>
        <v>0</v>
      </c>
      <c r="CC1138" s="387">
        <f t="shared" si="768"/>
        <v>0</v>
      </c>
      <c r="CD1138" s="387">
        <f t="shared" si="769"/>
        <v>0</v>
      </c>
      <c r="CE1138" s="387">
        <f t="shared" si="770"/>
        <v>0</v>
      </c>
      <c r="CF1138" s="387">
        <f t="shared" si="771"/>
        <v>-296.28143999999998</v>
      </c>
      <c r="CG1138" s="387">
        <f t="shared" si="772"/>
        <v>0</v>
      </c>
      <c r="CH1138" s="387">
        <f t="shared" si="773"/>
        <v>42.325919999999982</v>
      </c>
      <c r="CI1138" s="387">
        <f t="shared" si="774"/>
        <v>0</v>
      </c>
      <c r="CJ1138" s="387">
        <f t="shared" si="787"/>
        <v>-253.95551999999998</v>
      </c>
      <c r="CK1138" s="387" t="str">
        <f t="shared" si="788"/>
        <v/>
      </c>
      <c r="CL1138" s="387" t="str">
        <f t="shared" si="789"/>
        <v/>
      </c>
      <c r="CM1138" s="387" t="str">
        <f t="shared" si="790"/>
        <v/>
      </c>
      <c r="CN1138" s="387" t="str">
        <f t="shared" si="791"/>
        <v>0348-31</v>
      </c>
    </row>
    <row r="1139" spans="1:92" ht="15.75" thickBot="1" x14ac:dyDescent="0.3">
      <c r="A1139" s="376" t="s">
        <v>161</v>
      </c>
      <c r="B1139" s="376" t="s">
        <v>162</v>
      </c>
      <c r="C1139" s="376" t="s">
        <v>1480</v>
      </c>
      <c r="D1139" s="376" t="s">
        <v>862</v>
      </c>
      <c r="E1139" s="376" t="s">
        <v>224</v>
      </c>
      <c r="F1139" s="382" t="s">
        <v>225</v>
      </c>
      <c r="G1139" s="376" t="s">
        <v>1945</v>
      </c>
      <c r="H1139" s="378"/>
      <c r="I1139" s="378"/>
      <c r="J1139" s="376" t="s">
        <v>215</v>
      </c>
      <c r="K1139" s="376" t="s">
        <v>863</v>
      </c>
      <c r="L1139" s="376" t="s">
        <v>252</v>
      </c>
      <c r="M1139" s="376" t="s">
        <v>171</v>
      </c>
      <c r="N1139" s="376" t="s">
        <v>172</v>
      </c>
      <c r="O1139" s="379">
        <v>1</v>
      </c>
      <c r="P1139" s="385">
        <v>0</v>
      </c>
      <c r="Q1139" s="385">
        <v>0</v>
      </c>
      <c r="R1139" s="380">
        <v>80</v>
      </c>
      <c r="S1139" s="385">
        <v>0</v>
      </c>
      <c r="T1139" s="380">
        <v>2308.12</v>
      </c>
      <c r="U1139" s="380">
        <v>0</v>
      </c>
      <c r="V1139" s="380">
        <v>1154.54</v>
      </c>
      <c r="W1139" s="380">
        <v>0</v>
      </c>
      <c r="X1139" s="380">
        <v>0</v>
      </c>
      <c r="Y1139" s="380">
        <v>0</v>
      </c>
      <c r="Z1139" s="380">
        <v>0</v>
      </c>
      <c r="AA1139" s="376" t="s">
        <v>1481</v>
      </c>
      <c r="AB1139" s="376" t="s">
        <v>1482</v>
      </c>
      <c r="AC1139" s="376" t="s">
        <v>916</v>
      </c>
      <c r="AD1139" s="376" t="s">
        <v>170</v>
      </c>
      <c r="AE1139" s="376" t="s">
        <v>863</v>
      </c>
      <c r="AF1139" s="376" t="s">
        <v>393</v>
      </c>
      <c r="AG1139" s="376" t="s">
        <v>178</v>
      </c>
      <c r="AH1139" s="381">
        <v>23.99</v>
      </c>
      <c r="AI1139" s="381">
        <v>38284.9</v>
      </c>
      <c r="AJ1139" s="376" t="s">
        <v>179</v>
      </c>
      <c r="AK1139" s="376" t="s">
        <v>180</v>
      </c>
      <c r="AL1139" s="376" t="s">
        <v>181</v>
      </c>
      <c r="AM1139" s="376" t="s">
        <v>182</v>
      </c>
      <c r="AN1139" s="376" t="s">
        <v>68</v>
      </c>
      <c r="AO1139" s="379">
        <v>80</v>
      </c>
      <c r="AP1139" s="385">
        <v>1</v>
      </c>
      <c r="AQ1139" s="385">
        <v>0</v>
      </c>
      <c r="AR1139" s="383" t="s">
        <v>183</v>
      </c>
      <c r="AS1139" s="387">
        <f t="shared" si="775"/>
        <v>0</v>
      </c>
      <c r="AT1139">
        <f t="shared" si="776"/>
        <v>0</v>
      </c>
      <c r="AU1139" s="387" t="str">
        <f>IF(AT1139=0,"",IF(AND(AT1139=1,M1139="F",SUMIF(C2:C1334,C1139,AS2:AS1334)&lt;=1),SUMIF(C2:C1334,C1139,AS2:AS1334),IF(AND(AT1139=1,M1139="F",SUMIF(C2:C1334,C1139,AS2:AS1334)&gt;1),1,"")))</f>
        <v/>
      </c>
      <c r="AV1139" s="387" t="str">
        <f>IF(AT1139=0,"",IF(AND(AT1139=3,M1139="F",SUMIF(C2:C1334,C1139,AS2:AS1334)&lt;=1),SUMIF(C2:C1334,C1139,AS2:AS1334),IF(AND(AT1139=3,M1139="F",SUMIF(C2:C1334,C1139,AS2:AS1334)&gt;1),1,"")))</f>
        <v/>
      </c>
      <c r="AW1139" s="387">
        <f>SUMIF(C2:C1334,C1139,O2:O1334)</f>
        <v>3</v>
      </c>
      <c r="AX1139" s="387">
        <f>IF(AND(M1139="F",AS1139&lt;&gt;0),SUMIF(C2:C1334,C1139,W2:W1334),0)</f>
        <v>0</v>
      </c>
      <c r="AY1139" s="387" t="str">
        <f t="shared" si="777"/>
        <v/>
      </c>
      <c r="AZ1139" s="387" t="str">
        <f t="shared" si="778"/>
        <v/>
      </c>
      <c r="BA1139" s="387">
        <f t="shared" si="779"/>
        <v>0</v>
      </c>
      <c r="BB1139" s="387">
        <f t="shared" si="748"/>
        <v>0</v>
      </c>
      <c r="BC1139" s="387">
        <f t="shared" si="749"/>
        <v>0</v>
      </c>
      <c r="BD1139" s="387">
        <f t="shared" si="750"/>
        <v>0</v>
      </c>
      <c r="BE1139" s="387">
        <f t="shared" si="751"/>
        <v>0</v>
      </c>
      <c r="BF1139" s="387">
        <f t="shared" si="752"/>
        <v>0</v>
      </c>
      <c r="BG1139" s="387">
        <f t="shared" si="753"/>
        <v>0</v>
      </c>
      <c r="BH1139" s="387">
        <f t="shared" si="754"/>
        <v>0</v>
      </c>
      <c r="BI1139" s="387">
        <f t="shared" si="755"/>
        <v>0</v>
      </c>
      <c r="BJ1139" s="387">
        <f t="shared" si="756"/>
        <v>0</v>
      </c>
      <c r="BK1139" s="387">
        <f t="shared" si="757"/>
        <v>0</v>
      </c>
      <c r="BL1139" s="387">
        <f t="shared" si="780"/>
        <v>0</v>
      </c>
      <c r="BM1139" s="387">
        <f t="shared" si="781"/>
        <v>0</v>
      </c>
      <c r="BN1139" s="387">
        <f t="shared" si="758"/>
        <v>0</v>
      </c>
      <c r="BO1139" s="387">
        <f t="shared" si="759"/>
        <v>0</v>
      </c>
      <c r="BP1139" s="387">
        <f t="shared" si="760"/>
        <v>0</v>
      </c>
      <c r="BQ1139" s="387">
        <f t="shared" si="761"/>
        <v>0</v>
      </c>
      <c r="BR1139" s="387">
        <f t="shared" si="762"/>
        <v>0</v>
      </c>
      <c r="BS1139" s="387">
        <f t="shared" si="763"/>
        <v>0</v>
      </c>
      <c r="BT1139" s="387">
        <f t="shared" si="764"/>
        <v>0</v>
      </c>
      <c r="BU1139" s="387">
        <f t="shared" si="765"/>
        <v>0</v>
      </c>
      <c r="BV1139" s="387">
        <f t="shared" si="766"/>
        <v>0</v>
      </c>
      <c r="BW1139" s="387">
        <f t="shared" si="767"/>
        <v>0</v>
      </c>
      <c r="BX1139" s="387">
        <f t="shared" si="782"/>
        <v>0</v>
      </c>
      <c r="BY1139" s="387">
        <f t="shared" si="783"/>
        <v>0</v>
      </c>
      <c r="BZ1139" s="387">
        <f t="shared" si="784"/>
        <v>0</v>
      </c>
      <c r="CA1139" s="387">
        <f t="shared" si="785"/>
        <v>0</v>
      </c>
      <c r="CB1139" s="387">
        <f t="shared" si="786"/>
        <v>0</v>
      </c>
      <c r="CC1139" s="387">
        <f t="shared" si="768"/>
        <v>0</v>
      </c>
      <c r="CD1139" s="387">
        <f t="shared" si="769"/>
        <v>0</v>
      </c>
      <c r="CE1139" s="387">
        <f t="shared" si="770"/>
        <v>0</v>
      </c>
      <c r="CF1139" s="387">
        <f t="shared" si="771"/>
        <v>0</v>
      </c>
      <c r="CG1139" s="387">
        <f t="shared" si="772"/>
        <v>0</v>
      </c>
      <c r="CH1139" s="387">
        <f t="shared" si="773"/>
        <v>0</v>
      </c>
      <c r="CI1139" s="387">
        <f t="shared" si="774"/>
        <v>0</v>
      </c>
      <c r="CJ1139" s="387">
        <f t="shared" si="787"/>
        <v>0</v>
      </c>
      <c r="CK1139" s="387" t="str">
        <f t="shared" si="788"/>
        <v/>
      </c>
      <c r="CL1139" s="387" t="str">
        <f t="shared" si="789"/>
        <v/>
      </c>
      <c r="CM1139" s="387" t="str">
        <f t="shared" si="790"/>
        <v/>
      </c>
      <c r="CN1139" s="387" t="str">
        <f t="shared" si="791"/>
        <v>0348-31</v>
      </c>
    </row>
    <row r="1140" spans="1:92" ht="15.75" thickBot="1" x14ac:dyDescent="0.3">
      <c r="A1140" s="376" t="s">
        <v>161</v>
      </c>
      <c r="B1140" s="376" t="s">
        <v>162</v>
      </c>
      <c r="C1140" s="376" t="s">
        <v>2358</v>
      </c>
      <c r="D1140" s="376" t="s">
        <v>862</v>
      </c>
      <c r="E1140" s="376" t="s">
        <v>224</v>
      </c>
      <c r="F1140" s="382" t="s">
        <v>225</v>
      </c>
      <c r="G1140" s="376" t="s">
        <v>1945</v>
      </c>
      <c r="H1140" s="378"/>
      <c r="I1140" s="378"/>
      <c r="J1140" s="376" t="s">
        <v>215</v>
      </c>
      <c r="K1140" s="376" t="s">
        <v>863</v>
      </c>
      <c r="L1140" s="376" t="s">
        <v>252</v>
      </c>
      <c r="M1140" s="376" t="s">
        <v>171</v>
      </c>
      <c r="N1140" s="376" t="s">
        <v>172</v>
      </c>
      <c r="O1140" s="379">
        <v>1</v>
      </c>
      <c r="P1140" s="385">
        <v>1</v>
      </c>
      <c r="Q1140" s="385">
        <v>1</v>
      </c>
      <c r="R1140" s="380">
        <v>80</v>
      </c>
      <c r="S1140" s="385">
        <v>1</v>
      </c>
      <c r="T1140" s="380">
        <v>32932.980000000003</v>
      </c>
      <c r="U1140" s="380">
        <v>1106.94</v>
      </c>
      <c r="V1140" s="380">
        <v>17857.04</v>
      </c>
      <c r="W1140" s="380">
        <v>42036.800000000003</v>
      </c>
      <c r="X1140" s="380">
        <v>20740.43</v>
      </c>
      <c r="Y1140" s="380">
        <v>42036.800000000003</v>
      </c>
      <c r="Z1140" s="380">
        <v>20563.88</v>
      </c>
      <c r="AA1140" s="376" t="s">
        <v>2359</v>
      </c>
      <c r="AB1140" s="376" t="s">
        <v>2360</v>
      </c>
      <c r="AC1140" s="376" t="s">
        <v>2361</v>
      </c>
      <c r="AD1140" s="376" t="s">
        <v>2362</v>
      </c>
      <c r="AE1140" s="376" t="s">
        <v>863</v>
      </c>
      <c r="AF1140" s="376" t="s">
        <v>393</v>
      </c>
      <c r="AG1140" s="376" t="s">
        <v>178</v>
      </c>
      <c r="AH1140" s="381">
        <v>20.21</v>
      </c>
      <c r="AI1140" s="381">
        <v>13158.9</v>
      </c>
      <c r="AJ1140" s="376" t="s">
        <v>179</v>
      </c>
      <c r="AK1140" s="376" t="s">
        <v>180</v>
      </c>
      <c r="AL1140" s="376" t="s">
        <v>181</v>
      </c>
      <c r="AM1140" s="376" t="s">
        <v>182</v>
      </c>
      <c r="AN1140" s="376" t="s">
        <v>68</v>
      </c>
      <c r="AO1140" s="379">
        <v>80</v>
      </c>
      <c r="AP1140" s="385">
        <v>1</v>
      </c>
      <c r="AQ1140" s="385">
        <v>1</v>
      </c>
      <c r="AR1140" s="383" t="s">
        <v>183</v>
      </c>
      <c r="AS1140" s="387">
        <f t="shared" si="775"/>
        <v>1</v>
      </c>
      <c r="AT1140">
        <f t="shared" si="776"/>
        <v>1</v>
      </c>
      <c r="AU1140" s="387">
        <f>IF(AT1140=0,"",IF(AND(AT1140=1,M1140="F",SUMIF(C2:C1334,C1140,AS2:AS1334)&lt;=1),SUMIF(C2:C1334,C1140,AS2:AS1334),IF(AND(AT1140=1,M1140="F",SUMIF(C2:C1334,C1140,AS2:AS1334)&gt;1),1,"")))</f>
        <v>1</v>
      </c>
      <c r="AV1140" s="387" t="str">
        <f>IF(AT1140=0,"",IF(AND(AT1140=3,M1140="F",SUMIF(C2:C1334,C1140,AS2:AS1334)&lt;=1),SUMIF(C2:C1334,C1140,AS2:AS1334),IF(AND(AT1140=3,M1140="F",SUMIF(C2:C1334,C1140,AS2:AS1334)&gt;1),1,"")))</f>
        <v/>
      </c>
      <c r="AW1140" s="387">
        <f>SUMIF(C2:C1334,C1140,O2:O1334)</f>
        <v>1</v>
      </c>
      <c r="AX1140" s="387">
        <f>IF(AND(M1140="F",AS1140&lt;&gt;0),SUMIF(C2:C1334,C1140,W2:W1334),0)</f>
        <v>42036.800000000003</v>
      </c>
      <c r="AY1140" s="387">
        <f t="shared" si="777"/>
        <v>42036.800000000003</v>
      </c>
      <c r="AZ1140" s="387" t="str">
        <f t="shared" si="778"/>
        <v/>
      </c>
      <c r="BA1140" s="387">
        <f t="shared" si="779"/>
        <v>0</v>
      </c>
      <c r="BB1140" s="387">
        <f t="shared" si="748"/>
        <v>11650</v>
      </c>
      <c r="BC1140" s="387">
        <f t="shared" si="749"/>
        <v>0</v>
      </c>
      <c r="BD1140" s="387">
        <f t="shared" si="750"/>
        <v>2606.2816000000003</v>
      </c>
      <c r="BE1140" s="387">
        <f t="shared" si="751"/>
        <v>609.53360000000009</v>
      </c>
      <c r="BF1140" s="387">
        <f t="shared" si="752"/>
        <v>5019.1939200000006</v>
      </c>
      <c r="BG1140" s="387">
        <f t="shared" si="753"/>
        <v>303.085328</v>
      </c>
      <c r="BH1140" s="387">
        <f t="shared" si="754"/>
        <v>205.98032000000001</v>
      </c>
      <c r="BI1140" s="387">
        <f t="shared" si="755"/>
        <v>232.67368800000003</v>
      </c>
      <c r="BJ1140" s="387">
        <f t="shared" si="756"/>
        <v>113.49936000000001</v>
      </c>
      <c r="BK1140" s="387">
        <f t="shared" si="757"/>
        <v>0</v>
      </c>
      <c r="BL1140" s="387">
        <f t="shared" si="780"/>
        <v>9090.247816000001</v>
      </c>
      <c r="BM1140" s="387">
        <f t="shared" si="781"/>
        <v>0</v>
      </c>
      <c r="BN1140" s="387">
        <f t="shared" si="758"/>
        <v>11650</v>
      </c>
      <c r="BO1140" s="387">
        <f t="shared" si="759"/>
        <v>0</v>
      </c>
      <c r="BP1140" s="387">
        <f t="shared" si="760"/>
        <v>2606.2816000000003</v>
      </c>
      <c r="BQ1140" s="387">
        <f t="shared" si="761"/>
        <v>609.53360000000009</v>
      </c>
      <c r="BR1140" s="387">
        <f t="shared" si="762"/>
        <v>5019.1939200000006</v>
      </c>
      <c r="BS1140" s="387">
        <f t="shared" si="763"/>
        <v>303.085328</v>
      </c>
      <c r="BT1140" s="387">
        <f t="shared" si="764"/>
        <v>0</v>
      </c>
      <c r="BU1140" s="387">
        <f t="shared" si="765"/>
        <v>232.67368800000003</v>
      </c>
      <c r="BV1140" s="387">
        <f t="shared" si="766"/>
        <v>142.92511999999999</v>
      </c>
      <c r="BW1140" s="387">
        <f t="shared" si="767"/>
        <v>0</v>
      </c>
      <c r="BX1140" s="387">
        <f t="shared" si="782"/>
        <v>8913.6932560000005</v>
      </c>
      <c r="BY1140" s="387">
        <f t="shared" si="783"/>
        <v>0</v>
      </c>
      <c r="BZ1140" s="387">
        <f t="shared" si="784"/>
        <v>0</v>
      </c>
      <c r="CA1140" s="387">
        <f t="shared" si="785"/>
        <v>0</v>
      </c>
      <c r="CB1140" s="387">
        <f t="shared" si="786"/>
        <v>0</v>
      </c>
      <c r="CC1140" s="387">
        <f t="shared" si="768"/>
        <v>0</v>
      </c>
      <c r="CD1140" s="387">
        <f t="shared" si="769"/>
        <v>0</v>
      </c>
      <c r="CE1140" s="387">
        <f t="shared" si="770"/>
        <v>0</v>
      </c>
      <c r="CF1140" s="387">
        <f t="shared" si="771"/>
        <v>-205.98032000000001</v>
      </c>
      <c r="CG1140" s="387">
        <f t="shared" si="772"/>
        <v>0</v>
      </c>
      <c r="CH1140" s="387">
        <f t="shared" si="773"/>
        <v>29.42575999999999</v>
      </c>
      <c r="CI1140" s="387">
        <f t="shared" si="774"/>
        <v>0</v>
      </c>
      <c r="CJ1140" s="387">
        <f t="shared" si="787"/>
        <v>-176.55456000000001</v>
      </c>
      <c r="CK1140" s="387" t="str">
        <f t="shared" si="788"/>
        <v/>
      </c>
      <c r="CL1140" s="387" t="str">
        <f t="shared" si="789"/>
        <v/>
      </c>
      <c r="CM1140" s="387" t="str">
        <f t="shared" si="790"/>
        <v/>
      </c>
      <c r="CN1140" s="387" t="str">
        <f t="shared" si="791"/>
        <v>0348-31</v>
      </c>
    </row>
    <row r="1141" spans="1:92" ht="15.75" thickBot="1" x14ac:dyDescent="0.3">
      <c r="A1141" s="376" t="s">
        <v>161</v>
      </c>
      <c r="B1141" s="376" t="s">
        <v>162</v>
      </c>
      <c r="C1141" s="376" t="s">
        <v>1466</v>
      </c>
      <c r="D1141" s="376" t="s">
        <v>247</v>
      </c>
      <c r="E1141" s="376" t="s">
        <v>224</v>
      </c>
      <c r="F1141" s="382" t="s">
        <v>225</v>
      </c>
      <c r="G1141" s="376" t="s">
        <v>1945</v>
      </c>
      <c r="H1141" s="378"/>
      <c r="I1141" s="378"/>
      <c r="J1141" s="376" t="s">
        <v>215</v>
      </c>
      <c r="K1141" s="376" t="s">
        <v>248</v>
      </c>
      <c r="L1141" s="376" t="s">
        <v>178</v>
      </c>
      <c r="M1141" s="376" t="s">
        <v>171</v>
      </c>
      <c r="N1141" s="376" t="s">
        <v>172</v>
      </c>
      <c r="O1141" s="379">
        <v>1</v>
      </c>
      <c r="P1141" s="385">
        <v>1</v>
      </c>
      <c r="Q1141" s="385">
        <v>1</v>
      </c>
      <c r="R1141" s="380">
        <v>80</v>
      </c>
      <c r="S1141" s="385">
        <v>1</v>
      </c>
      <c r="T1141" s="380">
        <v>0</v>
      </c>
      <c r="U1141" s="380">
        <v>0</v>
      </c>
      <c r="V1141" s="380">
        <v>0</v>
      </c>
      <c r="W1141" s="380">
        <v>31720</v>
      </c>
      <c r="X1141" s="380">
        <v>18509.419999999998</v>
      </c>
      <c r="Y1141" s="380">
        <v>31720</v>
      </c>
      <c r="Z1141" s="380">
        <v>18376.2</v>
      </c>
      <c r="AA1141" s="376" t="s">
        <v>1467</v>
      </c>
      <c r="AB1141" s="376" t="s">
        <v>1468</v>
      </c>
      <c r="AC1141" s="376" t="s">
        <v>176</v>
      </c>
      <c r="AD1141" s="376" t="s">
        <v>583</v>
      </c>
      <c r="AE1141" s="376" t="s">
        <v>248</v>
      </c>
      <c r="AF1141" s="376" t="s">
        <v>253</v>
      </c>
      <c r="AG1141" s="376" t="s">
        <v>178</v>
      </c>
      <c r="AH1141" s="381">
        <v>15.25</v>
      </c>
      <c r="AI1141" s="381">
        <v>6219.7</v>
      </c>
      <c r="AJ1141" s="376" t="s">
        <v>179</v>
      </c>
      <c r="AK1141" s="376" t="s">
        <v>180</v>
      </c>
      <c r="AL1141" s="376" t="s">
        <v>181</v>
      </c>
      <c r="AM1141" s="376" t="s">
        <v>182</v>
      </c>
      <c r="AN1141" s="376" t="s">
        <v>68</v>
      </c>
      <c r="AO1141" s="379">
        <v>80</v>
      </c>
      <c r="AP1141" s="385">
        <v>1</v>
      </c>
      <c r="AQ1141" s="385">
        <v>1</v>
      </c>
      <c r="AR1141" s="383" t="s">
        <v>183</v>
      </c>
      <c r="AS1141" s="387">
        <f t="shared" si="775"/>
        <v>1</v>
      </c>
      <c r="AT1141">
        <f t="shared" si="776"/>
        <v>1</v>
      </c>
      <c r="AU1141" s="387">
        <f>IF(AT1141=0,"",IF(AND(AT1141=1,M1141="F",SUMIF(C2:C1334,C1141,AS2:AS1334)&lt;=1),SUMIF(C2:C1334,C1141,AS2:AS1334),IF(AND(AT1141=1,M1141="F",SUMIF(C2:C1334,C1141,AS2:AS1334)&gt;1),1,"")))</f>
        <v>1</v>
      </c>
      <c r="AV1141" s="387" t="str">
        <f>IF(AT1141=0,"",IF(AND(AT1141=3,M1141="F",SUMIF(C2:C1334,C1141,AS2:AS1334)&lt;=1),SUMIF(C2:C1334,C1141,AS2:AS1334),IF(AND(AT1141=3,M1141="F",SUMIF(C2:C1334,C1141,AS2:AS1334)&gt;1),1,"")))</f>
        <v/>
      </c>
      <c r="AW1141" s="387">
        <f>SUMIF(C2:C1334,C1141,O2:O1334)</f>
        <v>2</v>
      </c>
      <c r="AX1141" s="387">
        <f>IF(AND(M1141="F",AS1141&lt;&gt;0),SUMIF(C2:C1334,C1141,W2:W1334),0)</f>
        <v>31720</v>
      </c>
      <c r="AY1141" s="387">
        <f t="shared" si="777"/>
        <v>31720</v>
      </c>
      <c r="AZ1141" s="387" t="str">
        <f t="shared" si="778"/>
        <v/>
      </c>
      <c r="BA1141" s="387">
        <f t="shared" si="779"/>
        <v>0</v>
      </c>
      <c r="BB1141" s="387">
        <f t="shared" si="748"/>
        <v>11650</v>
      </c>
      <c r="BC1141" s="387">
        <f t="shared" si="749"/>
        <v>0</v>
      </c>
      <c r="BD1141" s="387">
        <f t="shared" si="750"/>
        <v>1966.6399999999999</v>
      </c>
      <c r="BE1141" s="387">
        <f t="shared" si="751"/>
        <v>459.94</v>
      </c>
      <c r="BF1141" s="387">
        <f t="shared" si="752"/>
        <v>3787.3680000000004</v>
      </c>
      <c r="BG1141" s="387">
        <f t="shared" si="753"/>
        <v>228.7012</v>
      </c>
      <c r="BH1141" s="387">
        <f t="shared" si="754"/>
        <v>155.428</v>
      </c>
      <c r="BI1141" s="387">
        <f t="shared" si="755"/>
        <v>175.5702</v>
      </c>
      <c r="BJ1141" s="387">
        <f t="shared" si="756"/>
        <v>85.644000000000005</v>
      </c>
      <c r="BK1141" s="387">
        <f t="shared" si="757"/>
        <v>0</v>
      </c>
      <c r="BL1141" s="387">
        <f t="shared" si="780"/>
        <v>6859.291400000001</v>
      </c>
      <c r="BM1141" s="387">
        <f t="shared" si="781"/>
        <v>0</v>
      </c>
      <c r="BN1141" s="387">
        <f t="shared" si="758"/>
        <v>11650</v>
      </c>
      <c r="BO1141" s="387">
        <f t="shared" si="759"/>
        <v>0</v>
      </c>
      <c r="BP1141" s="387">
        <f t="shared" si="760"/>
        <v>1966.6399999999999</v>
      </c>
      <c r="BQ1141" s="387">
        <f t="shared" si="761"/>
        <v>459.94</v>
      </c>
      <c r="BR1141" s="387">
        <f t="shared" si="762"/>
        <v>3787.3680000000004</v>
      </c>
      <c r="BS1141" s="387">
        <f t="shared" si="763"/>
        <v>228.7012</v>
      </c>
      <c r="BT1141" s="387">
        <f t="shared" si="764"/>
        <v>0</v>
      </c>
      <c r="BU1141" s="387">
        <f t="shared" si="765"/>
        <v>175.5702</v>
      </c>
      <c r="BV1141" s="387">
        <f t="shared" si="766"/>
        <v>107.848</v>
      </c>
      <c r="BW1141" s="387">
        <f t="shared" si="767"/>
        <v>0</v>
      </c>
      <c r="BX1141" s="387">
        <f t="shared" si="782"/>
        <v>6726.0674000000008</v>
      </c>
      <c r="BY1141" s="387">
        <f t="shared" si="783"/>
        <v>0</v>
      </c>
      <c r="BZ1141" s="387">
        <f t="shared" si="784"/>
        <v>0</v>
      </c>
      <c r="CA1141" s="387">
        <f t="shared" si="785"/>
        <v>0</v>
      </c>
      <c r="CB1141" s="387">
        <f t="shared" si="786"/>
        <v>0</v>
      </c>
      <c r="CC1141" s="387">
        <f t="shared" si="768"/>
        <v>0</v>
      </c>
      <c r="CD1141" s="387">
        <f t="shared" si="769"/>
        <v>0</v>
      </c>
      <c r="CE1141" s="387">
        <f t="shared" si="770"/>
        <v>0</v>
      </c>
      <c r="CF1141" s="387">
        <f t="shared" si="771"/>
        <v>-155.428</v>
      </c>
      <c r="CG1141" s="387">
        <f t="shared" si="772"/>
        <v>0</v>
      </c>
      <c r="CH1141" s="387">
        <f t="shared" si="773"/>
        <v>22.20399999999999</v>
      </c>
      <c r="CI1141" s="387">
        <f t="shared" si="774"/>
        <v>0</v>
      </c>
      <c r="CJ1141" s="387">
        <f t="shared" si="787"/>
        <v>-133.22400000000002</v>
      </c>
      <c r="CK1141" s="387" t="str">
        <f t="shared" si="788"/>
        <v/>
      </c>
      <c r="CL1141" s="387" t="str">
        <f t="shared" si="789"/>
        <v/>
      </c>
      <c r="CM1141" s="387" t="str">
        <f t="shared" si="790"/>
        <v/>
      </c>
      <c r="CN1141" s="387" t="str">
        <f t="shared" si="791"/>
        <v>0348-31</v>
      </c>
    </row>
    <row r="1142" spans="1:92" ht="15.75" thickBot="1" x14ac:dyDescent="0.3">
      <c r="A1142" s="376" t="s">
        <v>161</v>
      </c>
      <c r="B1142" s="376" t="s">
        <v>162</v>
      </c>
      <c r="C1142" s="376" t="s">
        <v>2363</v>
      </c>
      <c r="D1142" s="376" t="s">
        <v>974</v>
      </c>
      <c r="E1142" s="376" t="s">
        <v>224</v>
      </c>
      <c r="F1142" s="382" t="s">
        <v>225</v>
      </c>
      <c r="G1142" s="376" t="s">
        <v>1945</v>
      </c>
      <c r="H1142" s="378"/>
      <c r="I1142" s="378"/>
      <c r="J1142" s="376" t="s">
        <v>215</v>
      </c>
      <c r="K1142" s="376" t="s">
        <v>975</v>
      </c>
      <c r="L1142" s="376" t="s">
        <v>296</v>
      </c>
      <c r="M1142" s="376" t="s">
        <v>272</v>
      </c>
      <c r="N1142" s="376" t="s">
        <v>172</v>
      </c>
      <c r="O1142" s="379">
        <v>0</v>
      </c>
      <c r="P1142" s="385">
        <v>1</v>
      </c>
      <c r="Q1142" s="385">
        <v>1</v>
      </c>
      <c r="R1142" s="380">
        <v>80</v>
      </c>
      <c r="S1142" s="385">
        <v>1</v>
      </c>
      <c r="T1142" s="380">
        <v>27512.86</v>
      </c>
      <c r="U1142" s="380">
        <v>0</v>
      </c>
      <c r="V1142" s="380">
        <v>12961.44</v>
      </c>
      <c r="W1142" s="380">
        <v>47403.199999999997</v>
      </c>
      <c r="X1142" s="380">
        <v>20762.599999999999</v>
      </c>
      <c r="Y1142" s="380">
        <v>47403.199999999997</v>
      </c>
      <c r="Z1142" s="380">
        <v>20525.580000000002</v>
      </c>
      <c r="AA1142" s="378"/>
      <c r="AB1142" s="376" t="s">
        <v>45</v>
      </c>
      <c r="AC1142" s="376" t="s">
        <v>45</v>
      </c>
      <c r="AD1142" s="378"/>
      <c r="AE1142" s="378"/>
      <c r="AF1142" s="378"/>
      <c r="AG1142" s="378"/>
      <c r="AH1142" s="379">
        <v>0</v>
      </c>
      <c r="AI1142" s="379">
        <v>0</v>
      </c>
      <c r="AJ1142" s="378"/>
      <c r="AK1142" s="378"/>
      <c r="AL1142" s="376" t="s">
        <v>181</v>
      </c>
      <c r="AM1142" s="378"/>
      <c r="AN1142" s="378"/>
      <c r="AO1142" s="379">
        <v>0</v>
      </c>
      <c r="AP1142" s="385">
        <v>0</v>
      </c>
      <c r="AQ1142" s="385">
        <v>0</v>
      </c>
      <c r="AR1142" s="384"/>
      <c r="AS1142" s="387">
        <f t="shared" si="775"/>
        <v>0</v>
      </c>
      <c r="AT1142">
        <f t="shared" si="776"/>
        <v>0</v>
      </c>
      <c r="AU1142" s="387" t="str">
        <f>IF(AT1142=0,"",IF(AND(AT1142=1,M1142="F",SUMIF(C2:C1334,C1142,AS2:AS1334)&lt;=1),SUMIF(C2:C1334,C1142,AS2:AS1334),IF(AND(AT1142=1,M1142="F",SUMIF(C2:C1334,C1142,AS2:AS1334)&gt;1),1,"")))</f>
        <v/>
      </c>
      <c r="AV1142" s="387" t="str">
        <f>IF(AT1142=0,"",IF(AND(AT1142=3,M1142="F",SUMIF(C2:C1334,C1142,AS2:AS1334)&lt;=1),SUMIF(C2:C1334,C1142,AS2:AS1334),IF(AND(AT1142=3,M1142="F",SUMIF(C2:C1334,C1142,AS2:AS1334)&gt;1),1,"")))</f>
        <v/>
      </c>
      <c r="AW1142" s="387">
        <f>SUMIF(C2:C1334,C1142,O2:O1334)</f>
        <v>0</v>
      </c>
      <c r="AX1142" s="387">
        <f>IF(AND(M1142="F",AS1142&lt;&gt;0),SUMIF(C2:C1334,C1142,W2:W1334),0)</f>
        <v>0</v>
      </c>
      <c r="AY1142" s="387" t="str">
        <f t="shared" si="777"/>
        <v/>
      </c>
      <c r="AZ1142" s="387" t="str">
        <f t="shared" si="778"/>
        <v/>
      </c>
      <c r="BA1142" s="387">
        <f t="shared" si="779"/>
        <v>0</v>
      </c>
      <c r="BB1142" s="387">
        <f t="shared" si="748"/>
        <v>0</v>
      </c>
      <c r="BC1142" s="387">
        <f t="shared" si="749"/>
        <v>0</v>
      </c>
      <c r="BD1142" s="387">
        <f t="shared" si="750"/>
        <v>0</v>
      </c>
      <c r="BE1142" s="387">
        <f t="shared" si="751"/>
        <v>0</v>
      </c>
      <c r="BF1142" s="387">
        <f t="shared" si="752"/>
        <v>0</v>
      </c>
      <c r="BG1142" s="387">
        <f t="shared" si="753"/>
        <v>0</v>
      </c>
      <c r="BH1142" s="387">
        <f t="shared" si="754"/>
        <v>0</v>
      </c>
      <c r="BI1142" s="387">
        <f t="shared" si="755"/>
        <v>0</v>
      </c>
      <c r="BJ1142" s="387">
        <f t="shared" si="756"/>
        <v>0</v>
      </c>
      <c r="BK1142" s="387">
        <f t="shared" si="757"/>
        <v>0</v>
      </c>
      <c r="BL1142" s="387">
        <f t="shared" si="780"/>
        <v>0</v>
      </c>
      <c r="BM1142" s="387">
        <f t="shared" si="781"/>
        <v>0</v>
      </c>
      <c r="BN1142" s="387">
        <f t="shared" si="758"/>
        <v>0</v>
      </c>
      <c r="BO1142" s="387">
        <f t="shared" si="759"/>
        <v>0</v>
      </c>
      <c r="BP1142" s="387">
        <f t="shared" si="760"/>
        <v>0</v>
      </c>
      <c r="BQ1142" s="387">
        <f t="shared" si="761"/>
        <v>0</v>
      </c>
      <c r="BR1142" s="387">
        <f t="shared" si="762"/>
        <v>0</v>
      </c>
      <c r="BS1142" s="387">
        <f t="shared" si="763"/>
        <v>0</v>
      </c>
      <c r="BT1142" s="387">
        <f t="shared" si="764"/>
        <v>0</v>
      </c>
      <c r="BU1142" s="387">
        <f t="shared" si="765"/>
        <v>0</v>
      </c>
      <c r="BV1142" s="387">
        <f t="shared" si="766"/>
        <v>0</v>
      </c>
      <c r="BW1142" s="387">
        <f t="shared" si="767"/>
        <v>0</v>
      </c>
      <c r="BX1142" s="387">
        <f t="shared" si="782"/>
        <v>0</v>
      </c>
      <c r="BY1142" s="387">
        <f t="shared" si="783"/>
        <v>0</v>
      </c>
      <c r="BZ1142" s="387">
        <f t="shared" si="784"/>
        <v>0</v>
      </c>
      <c r="CA1142" s="387">
        <f t="shared" si="785"/>
        <v>0</v>
      </c>
      <c r="CB1142" s="387">
        <f t="shared" si="786"/>
        <v>0</v>
      </c>
      <c r="CC1142" s="387">
        <f t="shared" si="768"/>
        <v>0</v>
      </c>
      <c r="CD1142" s="387">
        <f t="shared" si="769"/>
        <v>0</v>
      </c>
      <c r="CE1142" s="387">
        <f t="shared" si="770"/>
        <v>0</v>
      </c>
      <c r="CF1142" s="387">
        <f t="shared" si="771"/>
        <v>0</v>
      </c>
      <c r="CG1142" s="387">
        <f t="shared" si="772"/>
        <v>0</v>
      </c>
      <c r="CH1142" s="387">
        <f t="shared" si="773"/>
        <v>0</v>
      </c>
      <c r="CI1142" s="387">
        <f t="shared" si="774"/>
        <v>0</v>
      </c>
      <c r="CJ1142" s="387">
        <f t="shared" si="787"/>
        <v>0</v>
      </c>
      <c r="CK1142" s="387" t="str">
        <f t="shared" si="788"/>
        <v/>
      </c>
      <c r="CL1142" s="387" t="str">
        <f t="shared" si="789"/>
        <v/>
      </c>
      <c r="CM1142" s="387" t="str">
        <f t="shared" si="790"/>
        <v/>
      </c>
      <c r="CN1142" s="387" t="str">
        <f t="shared" si="791"/>
        <v>0348-31</v>
      </c>
    </row>
    <row r="1143" spans="1:92" ht="15.75" thickBot="1" x14ac:dyDescent="0.3">
      <c r="A1143" s="376" t="s">
        <v>161</v>
      </c>
      <c r="B1143" s="376" t="s">
        <v>162</v>
      </c>
      <c r="C1143" s="376" t="s">
        <v>1627</v>
      </c>
      <c r="D1143" s="376" t="s">
        <v>862</v>
      </c>
      <c r="E1143" s="376" t="s">
        <v>224</v>
      </c>
      <c r="F1143" s="382" t="s">
        <v>225</v>
      </c>
      <c r="G1143" s="376" t="s">
        <v>1945</v>
      </c>
      <c r="H1143" s="378"/>
      <c r="I1143" s="378"/>
      <c r="J1143" s="376" t="s">
        <v>168</v>
      </c>
      <c r="K1143" s="376" t="s">
        <v>863</v>
      </c>
      <c r="L1143" s="376" t="s">
        <v>252</v>
      </c>
      <c r="M1143" s="376" t="s">
        <v>171</v>
      </c>
      <c r="N1143" s="376" t="s">
        <v>172</v>
      </c>
      <c r="O1143" s="379">
        <v>1</v>
      </c>
      <c r="P1143" s="385">
        <v>0.1</v>
      </c>
      <c r="Q1143" s="385">
        <v>0.1</v>
      </c>
      <c r="R1143" s="380">
        <v>80</v>
      </c>
      <c r="S1143" s="385">
        <v>0.1</v>
      </c>
      <c r="T1143" s="380">
        <v>3787.65</v>
      </c>
      <c r="U1143" s="380">
        <v>0</v>
      </c>
      <c r="V1143" s="380">
        <v>1766.5</v>
      </c>
      <c r="W1143" s="380">
        <v>4863.04</v>
      </c>
      <c r="X1143" s="380">
        <v>2216.62</v>
      </c>
      <c r="Y1143" s="380">
        <v>4863.04</v>
      </c>
      <c r="Z1143" s="380">
        <v>2196.1999999999998</v>
      </c>
      <c r="AA1143" s="376" t="s">
        <v>1628</v>
      </c>
      <c r="AB1143" s="376" t="s">
        <v>1091</v>
      </c>
      <c r="AC1143" s="376" t="s">
        <v>747</v>
      </c>
      <c r="AD1143" s="376" t="s">
        <v>252</v>
      </c>
      <c r="AE1143" s="376" t="s">
        <v>863</v>
      </c>
      <c r="AF1143" s="376" t="s">
        <v>393</v>
      </c>
      <c r="AG1143" s="376" t="s">
        <v>178</v>
      </c>
      <c r="AH1143" s="381">
        <v>23.38</v>
      </c>
      <c r="AI1143" s="381">
        <v>30850.5</v>
      </c>
      <c r="AJ1143" s="376" t="s">
        <v>179</v>
      </c>
      <c r="AK1143" s="376" t="s">
        <v>180</v>
      </c>
      <c r="AL1143" s="376" t="s">
        <v>181</v>
      </c>
      <c r="AM1143" s="376" t="s">
        <v>182</v>
      </c>
      <c r="AN1143" s="376" t="s">
        <v>68</v>
      </c>
      <c r="AO1143" s="379">
        <v>80</v>
      </c>
      <c r="AP1143" s="385">
        <v>1</v>
      </c>
      <c r="AQ1143" s="385">
        <v>0.1</v>
      </c>
      <c r="AR1143" s="383" t="s">
        <v>183</v>
      </c>
      <c r="AS1143" s="387">
        <f t="shared" si="775"/>
        <v>0.1</v>
      </c>
      <c r="AT1143">
        <f t="shared" si="776"/>
        <v>1</v>
      </c>
      <c r="AU1143" s="387">
        <f>IF(AT1143=0,"",IF(AND(AT1143=1,M1143="F",SUMIF(C2:C1334,C1143,AS2:AS1334)&lt;=1),SUMIF(C2:C1334,C1143,AS2:AS1334),IF(AND(AT1143=1,M1143="F",SUMIF(C2:C1334,C1143,AS2:AS1334)&gt;1),1,"")))</f>
        <v>1</v>
      </c>
      <c r="AV1143" s="387" t="str">
        <f>IF(AT1143=0,"",IF(AND(AT1143=3,M1143="F",SUMIF(C2:C1334,C1143,AS2:AS1334)&lt;=1),SUMIF(C2:C1334,C1143,AS2:AS1334),IF(AND(AT1143=3,M1143="F",SUMIF(C2:C1334,C1143,AS2:AS1334)&gt;1),1,"")))</f>
        <v/>
      </c>
      <c r="AW1143" s="387">
        <f>SUMIF(C2:C1334,C1143,O2:O1334)</f>
        <v>3</v>
      </c>
      <c r="AX1143" s="387">
        <f>IF(AND(M1143="F",AS1143&lt;&gt;0),SUMIF(C2:C1334,C1143,W2:W1334),0)</f>
        <v>48630.400000000001</v>
      </c>
      <c r="AY1143" s="387">
        <f t="shared" si="777"/>
        <v>4863.04</v>
      </c>
      <c r="AZ1143" s="387" t="str">
        <f t="shared" si="778"/>
        <v/>
      </c>
      <c r="BA1143" s="387">
        <f t="shared" si="779"/>
        <v>0</v>
      </c>
      <c r="BB1143" s="387">
        <f t="shared" si="748"/>
        <v>1165</v>
      </c>
      <c r="BC1143" s="387">
        <f t="shared" si="749"/>
        <v>0</v>
      </c>
      <c r="BD1143" s="387">
        <f t="shared" si="750"/>
        <v>301.50848000000002</v>
      </c>
      <c r="BE1143" s="387">
        <f t="shared" si="751"/>
        <v>70.514080000000007</v>
      </c>
      <c r="BF1143" s="387">
        <f t="shared" si="752"/>
        <v>580.646976</v>
      </c>
      <c r="BG1143" s="387">
        <f t="shared" si="753"/>
        <v>35.062518400000002</v>
      </c>
      <c r="BH1143" s="387">
        <f t="shared" si="754"/>
        <v>23.828896</v>
      </c>
      <c r="BI1143" s="387">
        <f t="shared" si="755"/>
        <v>26.916926400000001</v>
      </c>
      <c r="BJ1143" s="387">
        <f t="shared" si="756"/>
        <v>13.130208000000001</v>
      </c>
      <c r="BK1143" s="387">
        <f t="shared" si="757"/>
        <v>0</v>
      </c>
      <c r="BL1143" s="387">
        <f t="shared" si="780"/>
        <v>1051.6080848000001</v>
      </c>
      <c r="BM1143" s="387">
        <f t="shared" si="781"/>
        <v>0</v>
      </c>
      <c r="BN1143" s="387">
        <f t="shared" si="758"/>
        <v>1165</v>
      </c>
      <c r="BO1143" s="387">
        <f t="shared" si="759"/>
        <v>0</v>
      </c>
      <c r="BP1143" s="387">
        <f t="shared" si="760"/>
        <v>301.50848000000002</v>
      </c>
      <c r="BQ1143" s="387">
        <f t="shared" si="761"/>
        <v>70.514080000000007</v>
      </c>
      <c r="BR1143" s="387">
        <f t="shared" si="762"/>
        <v>580.646976</v>
      </c>
      <c r="BS1143" s="387">
        <f t="shared" si="763"/>
        <v>35.062518400000002</v>
      </c>
      <c r="BT1143" s="387">
        <f t="shared" si="764"/>
        <v>0</v>
      </c>
      <c r="BU1143" s="387">
        <f t="shared" si="765"/>
        <v>26.916926400000001</v>
      </c>
      <c r="BV1143" s="387">
        <f t="shared" si="766"/>
        <v>16.534336</v>
      </c>
      <c r="BW1143" s="387">
        <f t="shared" si="767"/>
        <v>0</v>
      </c>
      <c r="BX1143" s="387">
        <f t="shared" si="782"/>
        <v>1031.1833168000001</v>
      </c>
      <c r="BY1143" s="387">
        <f t="shared" si="783"/>
        <v>0</v>
      </c>
      <c r="BZ1143" s="387">
        <f t="shared" si="784"/>
        <v>0</v>
      </c>
      <c r="CA1143" s="387">
        <f t="shared" si="785"/>
        <v>0</v>
      </c>
      <c r="CB1143" s="387">
        <f t="shared" si="786"/>
        <v>0</v>
      </c>
      <c r="CC1143" s="387">
        <f t="shared" si="768"/>
        <v>0</v>
      </c>
      <c r="CD1143" s="387">
        <f t="shared" si="769"/>
        <v>0</v>
      </c>
      <c r="CE1143" s="387">
        <f t="shared" si="770"/>
        <v>0</v>
      </c>
      <c r="CF1143" s="387">
        <f t="shared" si="771"/>
        <v>-23.828896</v>
      </c>
      <c r="CG1143" s="387">
        <f t="shared" si="772"/>
        <v>0</v>
      </c>
      <c r="CH1143" s="387">
        <f t="shared" si="773"/>
        <v>3.4041279999999983</v>
      </c>
      <c r="CI1143" s="387">
        <f t="shared" si="774"/>
        <v>0</v>
      </c>
      <c r="CJ1143" s="387">
        <f t="shared" si="787"/>
        <v>-20.424768</v>
      </c>
      <c r="CK1143" s="387" t="str">
        <f t="shared" si="788"/>
        <v/>
      </c>
      <c r="CL1143" s="387" t="str">
        <f t="shared" si="789"/>
        <v/>
      </c>
      <c r="CM1143" s="387" t="str">
        <f t="shared" si="790"/>
        <v/>
      </c>
      <c r="CN1143" s="387" t="str">
        <f t="shared" si="791"/>
        <v>0348-31</v>
      </c>
    </row>
    <row r="1144" spans="1:92" ht="15.75" thickBot="1" x14ac:dyDescent="0.3">
      <c r="A1144" s="376" t="s">
        <v>161</v>
      </c>
      <c r="B1144" s="376" t="s">
        <v>162</v>
      </c>
      <c r="C1144" s="376" t="s">
        <v>2364</v>
      </c>
      <c r="D1144" s="376" t="s">
        <v>974</v>
      </c>
      <c r="E1144" s="376" t="s">
        <v>224</v>
      </c>
      <c r="F1144" s="382" t="s">
        <v>225</v>
      </c>
      <c r="G1144" s="376" t="s">
        <v>1945</v>
      </c>
      <c r="H1144" s="378"/>
      <c r="I1144" s="378"/>
      <c r="J1144" s="376" t="s">
        <v>215</v>
      </c>
      <c r="K1144" s="376" t="s">
        <v>975</v>
      </c>
      <c r="L1144" s="376" t="s">
        <v>296</v>
      </c>
      <c r="M1144" s="376" t="s">
        <v>171</v>
      </c>
      <c r="N1144" s="376" t="s">
        <v>172</v>
      </c>
      <c r="O1144" s="379">
        <v>1</v>
      </c>
      <c r="P1144" s="385">
        <v>1</v>
      </c>
      <c r="Q1144" s="385">
        <v>1</v>
      </c>
      <c r="R1144" s="380">
        <v>80</v>
      </c>
      <c r="S1144" s="385">
        <v>1</v>
      </c>
      <c r="T1144" s="380">
        <v>32973.620000000003</v>
      </c>
      <c r="U1144" s="380">
        <v>40.82</v>
      </c>
      <c r="V1144" s="380">
        <v>15996.94</v>
      </c>
      <c r="W1144" s="380">
        <v>43284.800000000003</v>
      </c>
      <c r="X1144" s="380">
        <v>21010.29</v>
      </c>
      <c r="Y1144" s="380">
        <v>43284.800000000003</v>
      </c>
      <c r="Z1144" s="380">
        <v>20828.5</v>
      </c>
      <c r="AA1144" s="376" t="s">
        <v>2365</v>
      </c>
      <c r="AB1144" s="376" t="s">
        <v>2366</v>
      </c>
      <c r="AC1144" s="376" t="s">
        <v>2367</v>
      </c>
      <c r="AD1144" s="376" t="s">
        <v>2368</v>
      </c>
      <c r="AE1144" s="376" t="s">
        <v>975</v>
      </c>
      <c r="AF1144" s="376" t="s">
        <v>301</v>
      </c>
      <c r="AG1144" s="376" t="s">
        <v>178</v>
      </c>
      <c r="AH1144" s="381">
        <v>20.81</v>
      </c>
      <c r="AI1144" s="381">
        <v>3361.3</v>
      </c>
      <c r="AJ1144" s="376" t="s">
        <v>179</v>
      </c>
      <c r="AK1144" s="376" t="s">
        <v>180</v>
      </c>
      <c r="AL1144" s="376" t="s">
        <v>181</v>
      </c>
      <c r="AM1144" s="376" t="s">
        <v>182</v>
      </c>
      <c r="AN1144" s="376" t="s">
        <v>68</v>
      </c>
      <c r="AO1144" s="379">
        <v>80</v>
      </c>
      <c r="AP1144" s="385">
        <v>1</v>
      </c>
      <c r="AQ1144" s="385">
        <v>1</v>
      </c>
      <c r="AR1144" s="383" t="s">
        <v>183</v>
      </c>
      <c r="AS1144" s="387">
        <f t="shared" si="775"/>
        <v>1</v>
      </c>
      <c r="AT1144">
        <f t="shared" si="776"/>
        <v>1</v>
      </c>
      <c r="AU1144" s="387">
        <f>IF(AT1144=0,"",IF(AND(AT1144=1,M1144="F",SUMIF(C2:C1334,C1144,AS2:AS1334)&lt;=1),SUMIF(C2:C1334,C1144,AS2:AS1334),IF(AND(AT1144=1,M1144="F",SUMIF(C2:C1334,C1144,AS2:AS1334)&gt;1),1,"")))</f>
        <v>1</v>
      </c>
      <c r="AV1144" s="387" t="str">
        <f>IF(AT1144=0,"",IF(AND(AT1144=3,M1144="F",SUMIF(C2:C1334,C1144,AS2:AS1334)&lt;=1),SUMIF(C2:C1334,C1144,AS2:AS1334),IF(AND(AT1144=3,M1144="F",SUMIF(C2:C1334,C1144,AS2:AS1334)&gt;1),1,"")))</f>
        <v/>
      </c>
      <c r="AW1144" s="387">
        <f>SUMIF(C2:C1334,C1144,O2:O1334)</f>
        <v>1</v>
      </c>
      <c r="AX1144" s="387">
        <f>IF(AND(M1144="F",AS1144&lt;&gt;0),SUMIF(C2:C1334,C1144,W2:W1334),0)</f>
        <v>43284.800000000003</v>
      </c>
      <c r="AY1144" s="387">
        <f t="shared" si="777"/>
        <v>43284.800000000003</v>
      </c>
      <c r="AZ1144" s="387" t="str">
        <f t="shared" si="778"/>
        <v/>
      </c>
      <c r="BA1144" s="387">
        <f t="shared" si="779"/>
        <v>0</v>
      </c>
      <c r="BB1144" s="387">
        <f t="shared" si="748"/>
        <v>11650</v>
      </c>
      <c r="BC1144" s="387">
        <f t="shared" si="749"/>
        <v>0</v>
      </c>
      <c r="BD1144" s="387">
        <f t="shared" si="750"/>
        <v>2683.6576</v>
      </c>
      <c r="BE1144" s="387">
        <f t="shared" si="751"/>
        <v>627.6296000000001</v>
      </c>
      <c r="BF1144" s="387">
        <f t="shared" si="752"/>
        <v>5168.2051200000005</v>
      </c>
      <c r="BG1144" s="387">
        <f t="shared" si="753"/>
        <v>312.08340800000002</v>
      </c>
      <c r="BH1144" s="387">
        <f t="shared" si="754"/>
        <v>212.09551999999999</v>
      </c>
      <c r="BI1144" s="387">
        <f t="shared" si="755"/>
        <v>239.58136800000003</v>
      </c>
      <c r="BJ1144" s="387">
        <f t="shared" si="756"/>
        <v>116.86896000000002</v>
      </c>
      <c r="BK1144" s="387">
        <f t="shared" si="757"/>
        <v>0</v>
      </c>
      <c r="BL1144" s="387">
        <f t="shared" si="780"/>
        <v>9360.1215760000014</v>
      </c>
      <c r="BM1144" s="387">
        <f t="shared" si="781"/>
        <v>0</v>
      </c>
      <c r="BN1144" s="387">
        <f t="shared" si="758"/>
        <v>11650</v>
      </c>
      <c r="BO1144" s="387">
        <f t="shared" si="759"/>
        <v>0</v>
      </c>
      <c r="BP1144" s="387">
        <f t="shared" si="760"/>
        <v>2683.6576</v>
      </c>
      <c r="BQ1144" s="387">
        <f t="shared" si="761"/>
        <v>627.6296000000001</v>
      </c>
      <c r="BR1144" s="387">
        <f t="shared" si="762"/>
        <v>5168.2051200000005</v>
      </c>
      <c r="BS1144" s="387">
        <f t="shared" si="763"/>
        <v>312.08340800000002</v>
      </c>
      <c r="BT1144" s="387">
        <f t="shared" si="764"/>
        <v>0</v>
      </c>
      <c r="BU1144" s="387">
        <f t="shared" si="765"/>
        <v>239.58136800000003</v>
      </c>
      <c r="BV1144" s="387">
        <f t="shared" si="766"/>
        <v>147.16831999999999</v>
      </c>
      <c r="BW1144" s="387">
        <f t="shared" si="767"/>
        <v>0</v>
      </c>
      <c r="BX1144" s="387">
        <f t="shared" si="782"/>
        <v>9178.3254160000015</v>
      </c>
      <c r="BY1144" s="387">
        <f t="shared" si="783"/>
        <v>0</v>
      </c>
      <c r="BZ1144" s="387">
        <f t="shared" si="784"/>
        <v>0</v>
      </c>
      <c r="CA1144" s="387">
        <f t="shared" si="785"/>
        <v>0</v>
      </c>
      <c r="CB1144" s="387">
        <f t="shared" si="786"/>
        <v>0</v>
      </c>
      <c r="CC1144" s="387">
        <f t="shared" si="768"/>
        <v>0</v>
      </c>
      <c r="CD1144" s="387">
        <f t="shared" si="769"/>
        <v>0</v>
      </c>
      <c r="CE1144" s="387">
        <f t="shared" si="770"/>
        <v>0</v>
      </c>
      <c r="CF1144" s="387">
        <f t="shared" si="771"/>
        <v>-212.09551999999999</v>
      </c>
      <c r="CG1144" s="387">
        <f t="shared" si="772"/>
        <v>0</v>
      </c>
      <c r="CH1144" s="387">
        <f t="shared" si="773"/>
        <v>30.299359999999989</v>
      </c>
      <c r="CI1144" s="387">
        <f t="shared" si="774"/>
        <v>0</v>
      </c>
      <c r="CJ1144" s="387">
        <f t="shared" si="787"/>
        <v>-181.79616000000001</v>
      </c>
      <c r="CK1144" s="387" t="str">
        <f t="shared" si="788"/>
        <v/>
      </c>
      <c r="CL1144" s="387" t="str">
        <f t="shared" si="789"/>
        <v/>
      </c>
      <c r="CM1144" s="387" t="str">
        <f t="shared" si="790"/>
        <v/>
      </c>
      <c r="CN1144" s="387" t="str">
        <f t="shared" si="791"/>
        <v>0348-31</v>
      </c>
    </row>
    <row r="1145" spans="1:92" ht="15.75" thickBot="1" x14ac:dyDescent="0.3">
      <c r="A1145" s="376" t="s">
        <v>161</v>
      </c>
      <c r="B1145" s="376" t="s">
        <v>162</v>
      </c>
      <c r="C1145" s="376" t="s">
        <v>1504</v>
      </c>
      <c r="D1145" s="376" t="s">
        <v>868</v>
      </c>
      <c r="E1145" s="376" t="s">
        <v>224</v>
      </c>
      <c r="F1145" s="382" t="s">
        <v>225</v>
      </c>
      <c r="G1145" s="376" t="s">
        <v>1945</v>
      </c>
      <c r="H1145" s="378"/>
      <c r="I1145" s="378"/>
      <c r="J1145" s="376" t="s">
        <v>215</v>
      </c>
      <c r="K1145" s="376" t="s">
        <v>894</v>
      </c>
      <c r="L1145" s="376" t="s">
        <v>170</v>
      </c>
      <c r="M1145" s="376" t="s">
        <v>171</v>
      </c>
      <c r="N1145" s="376" t="s">
        <v>172</v>
      </c>
      <c r="O1145" s="379">
        <v>1</v>
      </c>
      <c r="P1145" s="385">
        <v>1</v>
      </c>
      <c r="Q1145" s="385">
        <v>1</v>
      </c>
      <c r="R1145" s="380">
        <v>80</v>
      </c>
      <c r="S1145" s="385">
        <v>1</v>
      </c>
      <c r="T1145" s="380">
        <v>0</v>
      </c>
      <c r="U1145" s="380">
        <v>0</v>
      </c>
      <c r="V1145" s="380">
        <v>0</v>
      </c>
      <c r="W1145" s="380">
        <v>68660.800000000003</v>
      </c>
      <c r="X1145" s="380">
        <v>26497.86</v>
      </c>
      <c r="Y1145" s="380">
        <v>68660.800000000003</v>
      </c>
      <c r="Z1145" s="380">
        <v>26209.49</v>
      </c>
      <c r="AA1145" s="376" t="s">
        <v>1505</v>
      </c>
      <c r="AB1145" s="376" t="s">
        <v>1506</v>
      </c>
      <c r="AC1145" s="376" t="s">
        <v>673</v>
      </c>
      <c r="AD1145" s="376" t="s">
        <v>170</v>
      </c>
      <c r="AE1145" s="376" t="s">
        <v>894</v>
      </c>
      <c r="AF1145" s="376" t="s">
        <v>177</v>
      </c>
      <c r="AG1145" s="376" t="s">
        <v>178</v>
      </c>
      <c r="AH1145" s="381">
        <v>33.01</v>
      </c>
      <c r="AI1145" s="381">
        <v>49495.1</v>
      </c>
      <c r="AJ1145" s="376" t="s">
        <v>179</v>
      </c>
      <c r="AK1145" s="376" t="s">
        <v>180</v>
      </c>
      <c r="AL1145" s="376" t="s">
        <v>181</v>
      </c>
      <c r="AM1145" s="376" t="s">
        <v>182</v>
      </c>
      <c r="AN1145" s="376" t="s">
        <v>68</v>
      </c>
      <c r="AO1145" s="379">
        <v>80</v>
      </c>
      <c r="AP1145" s="385">
        <v>1</v>
      </c>
      <c r="AQ1145" s="385">
        <v>1</v>
      </c>
      <c r="AR1145" s="383" t="s">
        <v>183</v>
      </c>
      <c r="AS1145" s="387">
        <f t="shared" si="775"/>
        <v>1</v>
      </c>
      <c r="AT1145">
        <f t="shared" si="776"/>
        <v>1</v>
      </c>
      <c r="AU1145" s="387">
        <f>IF(AT1145=0,"",IF(AND(AT1145=1,M1145="F",SUMIF(C2:C1334,C1145,AS2:AS1334)&lt;=1),SUMIF(C2:C1334,C1145,AS2:AS1334),IF(AND(AT1145=1,M1145="F",SUMIF(C2:C1334,C1145,AS2:AS1334)&gt;1),1,"")))</f>
        <v>1</v>
      </c>
      <c r="AV1145" s="387" t="str">
        <f>IF(AT1145=0,"",IF(AND(AT1145=3,M1145="F",SUMIF(C2:C1334,C1145,AS2:AS1334)&lt;=1),SUMIF(C2:C1334,C1145,AS2:AS1334),IF(AND(AT1145=3,M1145="F",SUMIF(C2:C1334,C1145,AS2:AS1334)&gt;1),1,"")))</f>
        <v/>
      </c>
      <c r="AW1145" s="387">
        <f>SUMIF(C2:C1334,C1145,O2:O1334)</f>
        <v>2</v>
      </c>
      <c r="AX1145" s="387">
        <f>IF(AND(M1145="F",AS1145&lt;&gt;0),SUMIF(C2:C1334,C1145,W2:W1334),0)</f>
        <v>68660.800000000003</v>
      </c>
      <c r="AY1145" s="387">
        <f t="shared" si="777"/>
        <v>68660.800000000003</v>
      </c>
      <c r="AZ1145" s="387" t="str">
        <f t="shared" si="778"/>
        <v/>
      </c>
      <c r="BA1145" s="387">
        <f t="shared" si="779"/>
        <v>0</v>
      </c>
      <c r="BB1145" s="387">
        <f t="shared" si="748"/>
        <v>11650</v>
      </c>
      <c r="BC1145" s="387">
        <f t="shared" si="749"/>
        <v>0</v>
      </c>
      <c r="BD1145" s="387">
        <f t="shared" si="750"/>
        <v>4256.9696000000004</v>
      </c>
      <c r="BE1145" s="387">
        <f t="shared" si="751"/>
        <v>995.58160000000009</v>
      </c>
      <c r="BF1145" s="387">
        <f t="shared" si="752"/>
        <v>8198.0995200000016</v>
      </c>
      <c r="BG1145" s="387">
        <f t="shared" si="753"/>
        <v>495.04436800000002</v>
      </c>
      <c r="BH1145" s="387">
        <f t="shared" si="754"/>
        <v>336.43792000000002</v>
      </c>
      <c r="BI1145" s="387">
        <f t="shared" si="755"/>
        <v>380.03752800000001</v>
      </c>
      <c r="BJ1145" s="387">
        <f t="shared" si="756"/>
        <v>185.38416000000001</v>
      </c>
      <c r="BK1145" s="387">
        <f t="shared" si="757"/>
        <v>0</v>
      </c>
      <c r="BL1145" s="387">
        <f t="shared" si="780"/>
        <v>14847.554696000003</v>
      </c>
      <c r="BM1145" s="387">
        <f t="shared" si="781"/>
        <v>0</v>
      </c>
      <c r="BN1145" s="387">
        <f t="shared" si="758"/>
        <v>11650</v>
      </c>
      <c r="BO1145" s="387">
        <f t="shared" si="759"/>
        <v>0</v>
      </c>
      <c r="BP1145" s="387">
        <f t="shared" si="760"/>
        <v>4256.9696000000004</v>
      </c>
      <c r="BQ1145" s="387">
        <f t="shared" si="761"/>
        <v>995.58160000000009</v>
      </c>
      <c r="BR1145" s="387">
        <f t="shared" si="762"/>
        <v>8198.0995200000016</v>
      </c>
      <c r="BS1145" s="387">
        <f t="shared" si="763"/>
        <v>495.04436800000002</v>
      </c>
      <c r="BT1145" s="387">
        <f t="shared" si="764"/>
        <v>0</v>
      </c>
      <c r="BU1145" s="387">
        <f t="shared" si="765"/>
        <v>380.03752800000001</v>
      </c>
      <c r="BV1145" s="387">
        <f t="shared" si="766"/>
        <v>233.44672</v>
      </c>
      <c r="BW1145" s="387">
        <f t="shared" si="767"/>
        <v>0</v>
      </c>
      <c r="BX1145" s="387">
        <f t="shared" si="782"/>
        <v>14559.179336000003</v>
      </c>
      <c r="BY1145" s="387">
        <f t="shared" si="783"/>
        <v>0</v>
      </c>
      <c r="BZ1145" s="387">
        <f t="shared" si="784"/>
        <v>0</v>
      </c>
      <c r="CA1145" s="387">
        <f t="shared" si="785"/>
        <v>0</v>
      </c>
      <c r="CB1145" s="387">
        <f t="shared" si="786"/>
        <v>0</v>
      </c>
      <c r="CC1145" s="387">
        <f t="shared" si="768"/>
        <v>0</v>
      </c>
      <c r="CD1145" s="387">
        <f t="shared" si="769"/>
        <v>0</v>
      </c>
      <c r="CE1145" s="387">
        <f t="shared" si="770"/>
        <v>0</v>
      </c>
      <c r="CF1145" s="387">
        <f t="shared" si="771"/>
        <v>-336.43792000000002</v>
      </c>
      <c r="CG1145" s="387">
        <f t="shared" si="772"/>
        <v>0</v>
      </c>
      <c r="CH1145" s="387">
        <f t="shared" si="773"/>
        <v>48.062559999999976</v>
      </c>
      <c r="CI1145" s="387">
        <f t="shared" si="774"/>
        <v>0</v>
      </c>
      <c r="CJ1145" s="387">
        <f t="shared" si="787"/>
        <v>-288.37536000000006</v>
      </c>
      <c r="CK1145" s="387" t="str">
        <f t="shared" si="788"/>
        <v/>
      </c>
      <c r="CL1145" s="387" t="str">
        <f t="shared" si="789"/>
        <v/>
      </c>
      <c r="CM1145" s="387" t="str">
        <f t="shared" si="790"/>
        <v/>
      </c>
      <c r="CN1145" s="387" t="str">
        <f t="shared" si="791"/>
        <v>0348-31</v>
      </c>
    </row>
    <row r="1146" spans="1:92" ht="15.75" thickBot="1" x14ac:dyDescent="0.3">
      <c r="A1146" s="376" t="s">
        <v>161</v>
      </c>
      <c r="B1146" s="376" t="s">
        <v>162</v>
      </c>
      <c r="C1146" s="376" t="s">
        <v>1648</v>
      </c>
      <c r="D1146" s="376" t="s">
        <v>862</v>
      </c>
      <c r="E1146" s="376" t="s">
        <v>224</v>
      </c>
      <c r="F1146" s="382" t="s">
        <v>225</v>
      </c>
      <c r="G1146" s="376" t="s">
        <v>1945</v>
      </c>
      <c r="H1146" s="378"/>
      <c r="I1146" s="378"/>
      <c r="J1146" s="376" t="s">
        <v>215</v>
      </c>
      <c r="K1146" s="376" t="s">
        <v>863</v>
      </c>
      <c r="L1146" s="376" t="s">
        <v>252</v>
      </c>
      <c r="M1146" s="376" t="s">
        <v>272</v>
      </c>
      <c r="N1146" s="376" t="s">
        <v>172</v>
      </c>
      <c r="O1146" s="379">
        <v>0</v>
      </c>
      <c r="P1146" s="385">
        <v>1</v>
      </c>
      <c r="Q1146" s="385">
        <v>1</v>
      </c>
      <c r="R1146" s="380">
        <v>80</v>
      </c>
      <c r="S1146" s="385">
        <v>1</v>
      </c>
      <c r="T1146" s="380">
        <v>4563.1099999999997</v>
      </c>
      <c r="U1146" s="380">
        <v>0</v>
      </c>
      <c r="V1146" s="380">
        <v>2513.2199999999998</v>
      </c>
      <c r="W1146" s="380">
        <v>42328</v>
      </c>
      <c r="X1146" s="380">
        <v>18539.66</v>
      </c>
      <c r="Y1146" s="380">
        <v>42328</v>
      </c>
      <c r="Z1146" s="380">
        <v>18328.02</v>
      </c>
      <c r="AA1146" s="378"/>
      <c r="AB1146" s="376" t="s">
        <v>45</v>
      </c>
      <c r="AC1146" s="376" t="s">
        <v>45</v>
      </c>
      <c r="AD1146" s="378"/>
      <c r="AE1146" s="378"/>
      <c r="AF1146" s="378"/>
      <c r="AG1146" s="378"/>
      <c r="AH1146" s="379">
        <v>0</v>
      </c>
      <c r="AI1146" s="379">
        <v>0</v>
      </c>
      <c r="AJ1146" s="378"/>
      <c r="AK1146" s="378"/>
      <c r="AL1146" s="376" t="s">
        <v>181</v>
      </c>
      <c r="AM1146" s="378"/>
      <c r="AN1146" s="378"/>
      <c r="AO1146" s="379">
        <v>0</v>
      </c>
      <c r="AP1146" s="385">
        <v>0</v>
      </c>
      <c r="AQ1146" s="385">
        <v>0</v>
      </c>
      <c r="AR1146" s="384"/>
      <c r="AS1146" s="387">
        <f t="shared" si="775"/>
        <v>0</v>
      </c>
      <c r="AT1146">
        <f t="shared" si="776"/>
        <v>0</v>
      </c>
      <c r="AU1146" s="387" t="str">
        <f>IF(AT1146=0,"",IF(AND(AT1146=1,M1146="F",SUMIF(C2:C1334,C1146,AS2:AS1334)&lt;=1),SUMIF(C2:C1334,C1146,AS2:AS1334),IF(AND(AT1146=1,M1146="F",SUMIF(C2:C1334,C1146,AS2:AS1334)&gt;1),1,"")))</f>
        <v/>
      </c>
      <c r="AV1146" s="387" t="str">
        <f>IF(AT1146=0,"",IF(AND(AT1146=3,M1146="F",SUMIF(C2:C1334,C1146,AS2:AS1334)&lt;=1),SUMIF(C2:C1334,C1146,AS2:AS1334),IF(AND(AT1146=3,M1146="F",SUMIF(C2:C1334,C1146,AS2:AS1334)&gt;1),1,"")))</f>
        <v/>
      </c>
      <c r="AW1146" s="387">
        <f>SUMIF(C2:C1334,C1146,O2:O1334)</f>
        <v>0</v>
      </c>
      <c r="AX1146" s="387">
        <f>IF(AND(M1146="F",AS1146&lt;&gt;0),SUMIF(C2:C1334,C1146,W2:W1334),0)</f>
        <v>0</v>
      </c>
      <c r="AY1146" s="387" t="str">
        <f t="shared" si="777"/>
        <v/>
      </c>
      <c r="AZ1146" s="387" t="str">
        <f t="shared" si="778"/>
        <v/>
      </c>
      <c r="BA1146" s="387">
        <f t="shared" si="779"/>
        <v>0</v>
      </c>
      <c r="BB1146" s="387">
        <f t="shared" si="748"/>
        <v>0</v>
      </c>
      <c r="BC1146" s="387">
        <f t="shared" si="749"/>
        <v>0</v>
      </c>
      <c r="BD1146" s="387">
        <f t="shared" si="750"/>
        <v>0</v>
      </c>
      <c r="BE1146" s="387">
        <f t="shared" si="751"/>
        <v>0</v>
      </c>
      <c r="BF1146" s="387">
        <f t="shared" si="752"/>
        <v>0</v>
      </c>
      <c r="BG1146" s="387">
        <f t="shared" si="753"/>
        <v>0</v>
      </c>
      <c r="BH1146" s="387">
        <f t="shared" si="754"/>
        <v>0</v>
      </c>
      <c r="BI1146" s="387">
        <f t="shared" si="755"/>
        <v>0</v>
      </c>
      <c r="BJ1146" s="387">
        <f t="shared" si="756"/>
        <v>0</v>
      </c>
      <c r="BK1146" s="387">
        <f t="shared" si="757"/>
        <v>0</v>
      </c>
      <c r="BL1146" s="387">
        <f t="shared" si="780"/>
        <v>0</v>
      </c>
      <c r="BM1146" s="387">
        <f t="shared" si="781"/>
        <v>0</v>
      </c>
      <c r="BN1146" s="387">
        <f t="shared" si="758"/>
        <v>0</v>
      </c>
      <c r="BO1146" s="387">
        <f t="shared" si="759"/>
        <v>0</v>
      </c>
      <c r="BP1146" s="387">
        <f t="shared" si="760"/>
        <v>0</v>
      </c>
      <c r="BQ1146" s="387">
        <f t="shared" si="761"/>
        <v>0</v>
      </c>
      <c r="BR1146" s="387">
        <f t="shared" si="762"/>
        <v>0</v>
      </c>
      <c r="BS1146" s="387">
        <f t="shared" si="763"/>
        <v>0</v>
      </c>
      <c r="BT1146" s="387">
        <f t="shared" si="764"/>
        <v>0</v>
      </c>
      <c r="BU1146" s="387">
        <f t="shared" si="765"/>
        <v>0</v>
      </c>
      <c r="BV1146" s="387">
        <f t="shared" si="766"/>
        <v>0</v>
      </c>
      <c r="BW1146" s="387">
        <f t="shared" si="767"/>
        <v>0</v>
      </c>
      <c r="BX1146" s="387">
        <f t="shared" si="782"/>
        <v>0</v>
      </c>
      <c r="BY1146" s="387">
        <f t="shared" si="783"/>
        <v>0</v>
      </c>
      <c r="BZ1146" s="387">
        <f t="shared" si="784"/>
        <v>0</v>
      </c>
      <c r="CA1146" s="387">
        <f t="shared" si="785"/>
        <v>0</v>
      </c>
      <c r="CB1146" s="387">
        <f t="shared" si="786"/>
        <v>0</v>
      </c>
      <c r="CC1146" s="387">
        <f t="shared" si="768"/>
        <v>0</v>
      </c>
      <c r="CD1146" s="387">
        <f t="shared" si="769"/>
        <v>0</v>
      </c>
      <c r="CE1146" s="387">
        <f t="shared" si="770"/>
        <v>0</v>
      </c>
      <c r="CF1146" s="387">
        <f t="shared" si="771"/>
        <v>0</v>
      </c>
      <c r="CG1146" s="387">
        <f t="shared" si="772"/>
        <v>0</v>
      </c>
      <c r="CH1146" s="387">
        <f t="shared" si="773"/>
        <v>0</v>
      </c>
      <c r="CI1146" s="387">
        <f t="shared" si="774"/>
        <v>0</v>
      </c>
      <c r="CJ1146" s="387">
        <f t="shared" si="787"/>
        <v>0</v>
      </c>
      <c r="CK1146" s="387" t="str">
        <f t="shared" si="788"/>
        <v/>
      </c>
      <c r="CL1146" s="387" t="str">
        <f t="shared" si="789"/>
        <v/>
      </c>
      <c r="CM1146" s="387" t="str">
        <f t="shared" si="790"/>
        <v/>
      </c>
      <c r="CN1146" s="387" t="str">
        <f t="shared" si="791"/>
        <v>0348-31</v>
      </c>
    </row>
    <row r="1147" spans="1:92" ht="15.75" thickBot="1" x14ac:dyDescent="0.3">
      <c r="A1147" s="376" t="s">
        <v>161</v>
      </c>
      <c r="B1147" s="376" t="s">
        <v>162</v>
      </c>
      <c r="C1147" s="376" t="s">
        <v>2369</v>
      </c>
      <c r="D1147" s="376" t="s">
        <v>1949</v>
      </c>
      <c r="E1147" s="376" t="s">
        <v>224</v>
      </c>
      <c r="F1147" s="382" t="s">
        <v>225</v>
      </c>
      <c r="G1147" s="376" t="s">
        <v>1945</v>
      </c>
      <c r="H1147" s="378"/>
      <c r="I1147" s="378"/>
      <c r="J1147" s="376" t="s">
        <v>215</v>
      </c>
      <c r="K1147" s="376" t="s">
        <v>1950</v>
      </c>
      <c r="L1147" s="376" t="s">
        <v>170</v>
      </c>
      <c r="M1147" s="376" t="s">
        <v>171</v>
      </c>
      <c r="N1147" s="376" t="s">
        <v>172</v>
      </c>
      <c r="O1147" s="379">
        <v>1</v>
      </c>
      <c r="P1147" s="385">
        <v>1</v>
      </c>
      <c r="Q1147" s="385">
        <v>1</v>
      </c>
      <c r="R1147" s="380">
        <v>80</v>
      </c>
      <c r="S1147" s="385">
        <v>1</v>
      </c>
      <c r="T1147" s="380">
        <v>64068.34</v>
      </c>
      <c r="U1147" s="380">
        <v>13315.97</v>
      </c>
      <c r="V1147" s="380">
        <v>27310.04</v>
      </c>
      <c r="W1147" s="380">
        <v>65332.800000000003</v>
      </c>
      <c r="X1147" s="380">
        <v>25778.18</v>
      </c>
      <c r="Y1147" s="380">
        <v>65332.800000000003</v>
      </c>
      <c r="Z1147" s="380">
        <v>25503.79</v>
      </c>
      <c r="AA1147" s="376" t="s">
        <v>2370</v>
      </c>
      <c r="AB1147" s="376" t="s">
        <v>2371</v>
      </c>
      <c r="AC1147" s="376" t="s">
        <v>916</v>
      </c>
      <c r="AD1147" s="376" t="s">
        <v>324</v>
      </c>
      <c r="AE1147" s="376" t="s">
        <v>1950</v>
      </c>
      <c r="AF1147" s="376" t="s">
        <v>177</v>
      </c>
      <c r="AG1147" s="376" t="s">
        <v>178</v>
      </c>
      <c r="AH1147" s="381">
        <v>31.41</v>
      </c>
      <c r="AI1147" s="381">
        <v>68145.3</v>
      </c>
      <c r="AJ1147" s="376" t="s">
        <v>179</v>
      </c>
      <c r="AK1147" s="376" t="s">
        <v>180</v>
      </c>
      <c r="AL1147" s="376" t="s">
        <v>181</v>
      </c>
      <c r="AM1147" s="376" t="s">
        <v>182</v>
      </c>
      <c r="AN1147" s="376" t="s">
        <v>68</v>
      </c>
      <c r="AO1147" s="379">
        <v>80</v>
      </c>
      <c r="AP1147" s="385">
        <v>1</v>
      </c>
      <c r="AQ1147" s="385">
        <v>1</v>
      </c>
      <c r="AR1147" s="383" t="s">
        <v>183</v>
      </c>
      <c r="AS1147" s="387">
        <f t="shared" si="775"/>
        <v>1</v>
      </c>
      <c r="AT1147">
        <f t="shared" si="776"/>
        <v>1</v>
      </c>
      <c r="AU1147" s="387">
        <f>IF(AT1147=0,"",IF(AND(AT1147=1,M1147="F",SUMIF(C2:C1334,C1147,AS2:AS1334)&lt;=1),SUMIF(C2:C1334,C1147,AS2:AS1334),IF(AND(AT1147=1,M1147="F",SUMIF(C2:C1334,C1147,AS2:AS1334)&gt;1),1,"")))</f>
        <v>1</v>
      </c>
      <c r="AV1147" s="387" t="str">
        <f>IF(AT1147=0,"",IF(AND(AT1147=3,M1147="F",SUMIF(C2:C1334,C1147,AS2:AS1334)&lt;=1),SUMIF(C2:C1334,C1147,AS2:AS1334),IF(AND(AT1147=3,M1147="F",SUMIF(C2:C1334,C1147,AS2:AS1334)&gt;1),1,"")))</f>
        <v/>
      </c>
      <c r="AW1147" s="387">
        <f>SUMIF(C2:C1334,C1147,O2:O1334)</f>
        <v>1</v>
      </c>
      <c r="AX1147" s="387">
        <f>IF(AND(M1147="F",AS1147&lt;&gt;0),SUMIF(C2:C1334,C1147,W2:W1334),0)</f>
        <v>65332.800000000003</v>
      </c>
      <c r="AY1147" s="387">
        <f t="shared" si="777"/>
        <v>65332.800000000003</v>
      </c>
      <c r="AZ1147" s="387" t="str">
        <f t="shared" si="778"/>
        <v/>
      </c>
      <c r="BA1147" s="387">
        <f t="shared" si="779"/>
        <v>0</v>
      </c>
      <c r="BB1147" s="387">
        <f t="shared" si="748"/>
        <v>11650</v>
      </c>
      <c r="BC1147" s="387">
        <f t="shared" si="749"/>
        <v>0</v>
      </c>
      <c r="BD1147" s="387">
        <f t="shared" si="750"/>
        <v>4050.6336000000001</v>
      </c>
      <c r="BE1147" s="387">
        <f t="shared" si="751"/>
        <v>947.32560000000012</v>
      </c>
      <c r="BF1147" s="387">
        <f t="shared" si="752"/>
        <v>7800.7363200000009</v>
      </c>
      <c r="BG1147" s="387">
        <f t="shared" si="753"/>
        <v>471.04948800000005</v>
      </c>
      <c r="BH1147" s="387">
        <f t="shared" si="754"/>
        <v>320.13072</v>
      </c>
      <c r="BI1147" s="387">
        <f t="shared" si="755"/>
        <v>361.61704800000001</v>
      </c>
      <c r="BJ1147" s="387">
        <f t="shared" si="756"/>
        <v>176.39856</v>
      </c>
      <c r="BK1147" s="387">
        <f t="shared" si="757"/>
        <v>0</v>
      </c>
      <c r="BL1147" s="387">
        <f t="shared" si="780"/>
        <v>14127.891336000001</v>
      </c>
      <c r="BM1147" s="387">
        <f t="shared" si="781"/>
        <v>0</v>
      </c>
      <c r="BN1147" s="387">
        <f t="shared" si="758"/>
        <v>11650</v>
      </c>
      <c r="BO1147" s="387">
        <f t="shared" si="759"/>
        <v>0</v>
      </c>
      <c r="BP1147" s="387">
        <f t="shared" si="760"/>
        <v>4050.6336000000001</v>
      </c>
      <c r="BQ1147" s="387">
        <f t="shared" si="761"/>
        <v>947.32560000000012</v>
      </c>
      <c r="BR1147" s="387">
        <f t="shared" si="762"/>
        <v>7800.7363200000009</v>
      </c>
      <c r="BS1147" s="387">
        <f t="shared" si="763"/>
        <v>471.04948800000005</v>
      </c>
      <c r="BT1147" s="387">
        <f t="shared" si="764"/>
        <v>0</v>
      </c>
      <c r="BU1147" s="387">
        <f t="shared" si="765"/>
        <v>361.61704800000001</v>
      </c>
      <c r="BV1147" s="387">
        <f t="shared" si="766"/>
        <v>222.13151999999999</v>
      </c>
      <c r="BW1147" s="387">
        <f t="shared" si="767"/>
        <v>0</v>
      </c>
      <c r="BX1147" s="387">
        <f t="shared" si="782"/>
        <v>13853.493576000003</v>
      </c>
      <c r="BY1147" s="387">
        <f t="shared" si="783"/>
        <v>0</v>
      </c>
      <c r="BZ1147" s="387">
        <f t="shared" si="784"/>
        <v>0</v>
      </c>
      <c r="CA1147" s="387">
        <f t="shared" si="785"/>
        <v>0</v>
      </c>
      <c r="CB1147" s="387">
        <f t="shared" si="786"/>
        <v>0</v>
      </c>
      <c r="CC1147" s="387">
        <f t="shared" si="768"/>
        <v>0</v>
      </c>
      <c r="CD1147" s="387">
        <f t="shared" si="769"/>
        <v>0</v>
      </c>
      <c r="CE1147" s="387">
        <f t="shared" si="770"/>
        <v>0</v>
      </c>
      <c r="CF1147" s="387">
        <f t="shared" si="771"/>
        <v>-320.13072</v>
      </c>
      <c r="CG1147" s="387">
        <f t="shared" si="772"/>
        <v>0</v>
      </c>
      <c r="CH1147" s="387">
        <f t="shared" si="773"/>
        <v>45.732959999999977</v>
      </c>
      <c r="CI1147" s="387">
        <f t="shared" si="774"/>
        <v>0</v>
      </c>
      <c r="CJ1147" s="387">
        <f t="shared" si="787"/>
        <v>-274.39776000000001</v>
      </c>
      <c r="CK1147" s="387" t="str">
        <f t="shared" si="788"/>
        <v/>
      </c>
      <c r="CL1147" s="387" t="str">
        <f t="shared" si="789"/>
        <v/>
      </c>
      <c r="CM1147" s="387" t="str">
        <f t="shared" si="790"/>
        <v/>
      </c>
      <c r="CN1147" s="387" t="str">
        <f t="shared" si="791"/>
        <v>0348-31</v>
      </c>
    </row>
    <row r="1148" spans="1:92" ht="15.75" thickBot="1" x14ac:dyDescent="0.3">
      <c r="A1148" s="376" t="s">
        <v>161</v>
      </c>
      <c r="B1148" s="376" t="s">
        <v>162</v>
      </c>
      <c r="C1148" s="376" t="s">
        <v>2372</v>
      </c>
      <c r="D1148" s="376" t="s">
        <v>1344</v>
      </c>
      <c r="E1148" s="376" t="s">
        <v>224</v>
      </c>
      <c r="F1148" s="382" t="s">
        <v>225</v>
      </c>
      <c r="G1148" s="376" t="s">
        <v>1945</v>
      </c>
      <c r="H1148" s="378"/>
      <c r="I1148" s="378"/>
      <c r="J1148" s="376" t="s">
        <v>215</v>
      </c>
      <c r="K1148" s="376" t="s">
        <v>1345</v>
      </c>
      <c r="L1148" s="376" t="s">
        <v>252</v>
      </c>
      <c r="M1148" s="376" t="s">
        <v>171</v>
      </c>
      <c r="N1148" s="376" t="s">
        <v>172</v>
      </c>
      <c r="O1148" s="379">
        <v>1</v>
      </c>
      <c r="P1148" s="385">
        <v>1</v>
      </c>
      <c r="Q1148" s="385">
        <v>1</v>
      </c>
      <c r="R1148" s="380">
        <v>80</v>
      </c>
      <c r="S1148" s="385">
        <v>1</v>
      </c>
      <c r="T1148" s="380">
        <v>39873.230000000003</v>
      </c>
      <c r="U1148" s="380">
        <v>6833.13</v>
      </c>
      <c r="V1148" s="380">
        <v>21111.23</v>
      </c>
      <c r="W1148" s="380">
        <v>41537.599999999999</v>
      </c>
      <c r="X1148" s="380">
        <v>20632.47</v>
      </c>
      <c r="Y1148" s="380">
        <v>41537.599999999999</v>
      </c>
      <c r="Z1148" s="380">
        <v>20458.009999999998</v>
      </c>
      <c r="AA1148" s="376" t="s">
        <v>2373</v>
      </c>
      <c r="AB1148" s="376" t="s">
        <v>2374</v>
      </c>
      <c r="AC1148" s="376" t="s">
        <v>2018</v>
      </c>
      <c r="AD1148" s="376" t="s">
        <v>1185</v>
      </c>
      <c r="AE1148" s="376" t="s">
        <v>1345</v>
      </c>
      <c r="AF1148" s="376" t="s">
        <v>393</v>
      </c>
      <c r="AG1148" s="376" t="s">
        <v>178</v>
      </c>
      <c r="AH1148" s="381">
        <v>19.97</v>
      </c>
      <c r="AI1148" s="381">
        <v>23093.7</v>
      </c>
      <c r="AJ1148" s="376" t="s">
        <v>179</v>
      </c>
      <c r="AK1148" s="376" t="s">
        <v>180</v>
      </c>
      <c r="AL1148" s="376" t="s">
        <v>181</v>
      </c>
      <c r="AM1148" s="376" t="s">
        <v>182</v>
      </c>
      <c r="AN1148" s="376" t="s">
        <v>68</v>
      </c>
      <c r="AO1148" s="379">
        <v>80</v>
      </c>
      <c r="AP1148" s="385">
        <v>1</v>
      </c>
      <c r="AQ1148" s="385">
        <v>1</v>
      </c>
      <c r="AR1148" s="383" t="s">
        <v>183</v>
      </c>
      <c r="AS1148" s="387">
        <f t="shared" si="775"/>
        <v>1</v>
      </c>
      <c r="AT1148">
        <f t="shared" si="776"/>
        <v>1</v>
      </c>
      <c r="AU1148" s="387">
        <f>IF(AT1148=0,"",IF(AND(AT1148=1,M1148="F",SUMIF(C2:C1334,C1148,AS2:AS1334)&lt;=1),SUMIF(C2:C1334,C1148,AS2:AS1334),IF(AND(AT1148=1,M1148="F",SUMIF(C2:C1334,C1148,AS2:AS1334)&gt;1),1,"")))</f>
        <v>1</v>
      </c>
      <c r="AV1148" s="387" t="str">
        <f>IF(AT1148=0,"",IF(AND(AT1148=3,M1148="F",SUMIF(C2:C1334,C1148,AS2:AS1334)&lt;=1),SUMIF(C2:C1334,C1148,AS2:AS1334),IF(AND(AT1148=3,M1148="F",SUMIF(C2:C1334,C1148,AS2:AS1334)&gt;1),1,"")))</f>
        <v/>
      </c>
      <c r="AW1148" s="387">
        <f>SUMIF(C2:C1334,C1148,O2:O1334)</f>
        <v>1</v>
      </c>
      <c r="AX1148" s="387">
        <f>IF(AND(M1148="F",AS1148&lt;&gt;0),SUMIF(C2:C1334,C1148,W2:W1334),0)</f>
        <v>41537.599999999999</v>
      </c>
      <c r="AY1148" s="387">
        <f t="shared" si="777"/>
        <v>41537.599999999999</v>
      </c>
      <c r="AZ1148" s="387" t="str">
        <f t="shared" si="778"/>
        <v/>
      </c>
      <c r="BA1148" s="387">
        <f t="shared" si="779"/>
        <v>0</v>
      </c>
      <c r="BB1148" s="387">
        <f t="shared" si="748"/>
        <v>11650</v>
      </c>
      <c r="BC1148" s="387">
        <f t="shared" si="749"/>
        <v>0</v>
      </c>
      <c r="BD1148" s="387">
        <f t="shared" si="750"/>
        <v>2575.3312000000001</v>
      </c>
      <c r="BE1148" s="387">
        <f t="shared" si="751"/>
        <v>602.29520000000002</v>
      </c>
      <c r="BF1148" s="387">
        <f t="shared" si="752"/>
        <v>4959.5894399999997</v>
      </c>
      <c r="BG1148" s="387">
        <f t="shared" si="753"/>
        <v>299.48609599999997</v>
      </c>
      <c r="BH1148" s="387">
        <f t="shared" si="754"/>
        <v>203.53423999999998</v>
      </c>
      <c r="BI1148" s="387">
        <f t="shared" si="755"/>
        <v>229.910616</v>
      </c>
      <c r="BJ1148" s="387">
        <f t="shared" si="756"/>
        <v>112.15152</v>
      </c>
      <c r="BK1148" s="387">
        <f t="shared" si="757"/>
        <v>0</v>
      </c>
      <c r="BL1148" s="387">
        <f t="shared" si="780"/>
        <v>8982.298311999999</v>
      </c>
      <c r="BM1148" s="387">
        <f t="shared" si="781"/>
        <v>0</v>
      </c>
      <c r="BN1148" s="387">
        <f t="shared" si="758"/>
        <v>11650</v>
      </c>
      <c r="BO1148" s="387">
        <f t="shared" si="759"/>
        <v>0</v>
      </c>
      <c r="BP1148" s="387">
        <f t="shared" si="760"/>
        <v>2575.3312000000001</v>
      </c>
      <c r="BQ1148" s="387">
        <f t="shared" si="761"/>
        <v>602.29520000000002</v>
      </c>
      <c r="BR1148" s="387">
        <f t="shared" si="762"/>
        <v>4959.5894399999997</v>
      </c>
      <c r="BS1148" s="387">
        <f t="shared" si="763"/>
        <v>299.48609599999997</v>
      </c>
      <c r="BT1148" s="387">
        <f t="shared" si="764"/>
        <v>0</v>
      </c>
      <c r="BU1148" s="387">
        <f t="shared" si="765"/>
        <v>229.910616</v>
      </c>
      <c r="BV1148" s="387">
        <f t="shared" si="766"/>
        <v>141.22783999999999</v>
      </c>
      <c r="BW1148" s="387">
        <f t="shared" si="767"/>
        <v>0</v>
      </c>
      <c r="BX1148" s="387">
        <f t="shared" si="782"/>
        <v>8807.8403919999982</v>
      </c>
      <c r="BY1148" s="387">
        <f t="shared" si="783"/>
        <v>0</v>
      </c>
      <c r="BZ1148" s="387">
        <f t="shared" si="784"/>
        <v>0</v>
      </c>
      <c r="CA1148" s="387">
        <f t="shared" si="785"/>
        <v>0</v>
      </c>
      <c r="CB1148" s="387">
        <f t="shared" si="786"/>
        <v>0</v>
      </c>
      <c r="CC1148" s="387">
        <f t="shared" si="768"/>
        <v>0</v>
      </c>
      <c r="CD1148" s="387">
        <f t="shared" si="769"/>
        <v>0</v>
      </c>
      <c r="CE1148" s="387">
        <f t="shared" si="770"/>
        <v>0</v>
      </c>
      <c r="CF1148" s="387">
        <f t="shared" si="771"/>
        <v>-203.53423999999998</v>
      </c>
      <c r="CG1148" s="387">
        <f t="shared" si="772"/>
        <v>0</v>
      </c>
      <c r="CH1148" s="387">
        <f t="shared" si="773"/>
        <v>29.076319999999985</v>
      </c>
      <c r="CI1148" s="387">
        <f t="shared" si="774"/>
        <v>0</v>
      </c>
      <c r="CJ1148" s="387">
        <f t="shared" si="787"/>
        <v>-174.45792</v>
      </c>
      <c r="CK1148" s="387" t="str">
        <f t="shared" si="788"/>
        <v/>
      </c>
      <c r="CL1148" s="387" t="str">
        <f t="shared" si="789"/>
        <v/>
      </c>
      <c r="CM1148" s="387" t="str">
        <f t="shared" si="790"/>
        <v/>
      </c>
      <c r="CN1148" s="387" t="str">
        <f t="shared" si="791"/>
        <v>0348-31</v>
      </c>
    </row>
    <row r="1149" spans="1:92" ht="15.75" thickBot="1" x14ac:dyDescent="0.3">
      <c r="A1149" s="376" t="s">
        <v>161</v>
      </c>
      <c r="B1149" s="376" t="s">
        <v>162</v>
      </c>
      <c r="C1149" s="376" t="s">
        <v>1483</v>
      </c>
      <c r="D1149" s="376" t="s">
        <v>862</v>
      </c>
      <c r="E1149" s="376" t="s">
        <v>224</v>
      </c>
      <c r="F1149" s="382" t="s">
        <v>225</v>
      </c>
      <c r="G1149" s="376" t="s">
        <v>1945</v>
      </c>
      <c r="H1149" s="378"/>
      <c r="I1149" s="378"/>
      <c r="J1149" s="376" t="s">
        <v>215</v>
      </c>
      <c r="K1149" s="376" t="s">
        <v>863</v>
      </c>
      <c r="L1149" s="376" t="s">
        <v>252</v>
      </c>
      <c r="M1149" s="376" t="s">
        <v>171</v>
      </c>
      <c r="N1149" s="376" t="s">
        <v>172</v>
      </c>
      <c r="O1149" s="379">
        <v>1</v>
      </c>
      <c r="P1149" s="385">
        <v>0</v>
      </c>
      <c r="Q1149" s="385">
        <v>0</v>
      </c>
      <c r="R1149" s="380">
        <v>80</v>
      </c>
      <c r="S1149" s="385">
        <v>0</v>
      </c>
      <c r="T1149" s="380">
        <v>185.65</v>
      </c>
      <c r="U1149" s="380">
        <v>0</v>
      </c>
      <c r="V1149" s="380">
        <v>58.16</v>
      </c>
      <c r="W1149" s="380">
        <v>0</v>
      </c>
      <c r="X1149" s="380">
        <v>0</v>
      </c>
      <c r="Y1149" s="380">
        <v>0</v>
      </c>
      <c r="Z1149" s="380">
        <v>0</v>
      </c>
      <c r="AA1149" s="376" t="s">
        <v>1484</v>
      </c>
      <c r="AB1149" s="376" t="s">
        <v>1485</v>
      </c>
      <c r="AC1149" s="376" t="s">
        <v>851</v>
      </c>
      <c r="AD1149" s="376" t="s">
        <v>170</v>
      </c>
      <c r="AE1149" s="376" t="s">
        <v>863</v>
      </c>
      <c r="AF1149" s="376" t="s">
        <v>393</v>
      </c>
      <c r="AG1149" s="376" t="s">
        <v>178</v>
      </c>
      <c r="AH1149" s="381">
        <v>18.670000000000002</v>
      </c>
      <c r="AI1149" s="381">
        <v>25136.6</v>
      </c>
      <c r="AJ1149" s="376" t="s">
        <v>179</v>
      </c>
      <c r="AK1149" s="376" t="s">
        <v>180</v>
      </c>
      <c r="AL1149" s="376" t="s">
        <v>181</v>
      </c>
      <c r="AM1149" s="376" t="s">
        <v>182</v>
      </c>
      <c r="AN1149" s="376" t="s">
        <v>68</v>
      </c>
      <c r="AO1149" s="379">
        <v>80</v>
      </c>
      <c r="AP1149" s="385">
        <v>1</v>
      </c>
      <c r="AQ1149" s="385">
        <v>0</v>
      </c>
      <c r="AR1149" s="383" t="s">
        <v>183</v>
      </c>
      <c r="AS1149" s="387">
        <f t="shared" si="775"/>
        <v>0</v>
      </c>
      <c r="AT1149">
        <f t="shared" si="776"/>
        <v>0</v>
      </c>
      <c r="AU1149" s="387" t="str">
        <f>IF(AT1149=0,"",IF(AND(AT1149=1,M1149="F",SUMIF(C2:C1334,C1149,AS2:AS1334)&lt;=1),SUMIF(C2:C1334,C1149,AS2:AS1334),IF(AND(AT1149=1,M1149="F",SUMIF(C2:C1334,C1149,AS2:AS1334)&gt;1),1,"")))</f>
        <v/>
      </c>
      <c r="AV1149" s="387" t="str">
        <f>IF(AT1149=0,"",IF(AND(AT1149=3,M1149="F",SUMIF(C2:C1334,C1149,AS2:AS1334)&lt;=1),SUMIF(C2:C1334,C1149,AS2:AS1334),IF(AND(AT1149=3,M1149="F",SUMIF(C2:C1334,C1149,AS2:AS1334)&gt;1),1,"")))</f>
        <v/>
      </c>
      <c r="AW1149" s="387">
        <f>SUMIF(C2:C1334,C1149,O2:O1334)</f>
        <v>3</v>
      </c>
      <c r="AX1149" s="387">
        <f>IF(AND(M1149="F",AS1149&lt;&gt;0),SUMIF(C2:C1334,C1149,W2:W1334),0)</f>
        <v>0</v>
      </c>
      <c r="AY1149" s="387" t="str">
        <f t="shared" si="777"/>
        <v/>
      </c>
      <c r="AZ1149" s="387" t="str">
        <f t="shared" si="778"/>
        <v/>
      </c>
      <c r="BA1149" s="387">
        <f t="shared" si="779"/>
        <v>0</v>
      </c>
      <c r="BB1149" s="387">
        <f t="shared" si="748"/>
        <v>0</v>
      </c>
      <c r="BC1149" s="387">
        <f t="shared" si="749"/>
        <v>0</v>
      </c>
      <c r="BD1149" s="387">
        <f t="shared" si="750"/>
        <v>0</v>
      </c>
      <c r="BE1149" s="387">
        <f t="shared" si="751"/>
        <v>0</v>
      </c>
      <c r="BF1149" s="387">
        <f t="shared" si="752"/>
        <v>0</v>
      </c>
      <c r="BG1149" s="387">
        <f t="shared" si="753"/>
        <v>0</v>
      </c>
      <c r="BH1149" s="387">
        <f t="shared" si="754"/>
        <v>0</v>
      </c>
      <c r="BI1149" s="387">
        <f t="shared" si="755"/>
        <v>0</v>
      </c>
      <c r="BJ1149" s="387">
        <f t="shared" si="756"/>
        <v>0</v>
      </c>
      <c r="BK1149" s="387">
        <f t="shared" si="757"/>
        <v>0</v>
      </c>
      <c r="BL1149" s="387">
        <f t="shared" si="780"/>
        <v>0</v>
      </c>
      <c r="BM1149" s="387">
        <f t="shared" si="781"/>
        <v>0</v>
      </c>
      <c r="BN1149" s="387">
        <f t="shared" si="758"/>
        <v>0</v>
      </c>
      <c r="BO1149" s="387">
        <f t="shared" si="759"/>
        <v>0</v>
      </c>
      <c r="BP1149" s="387">
        <f t="shared" si="760"/>
        <v>0</v>
      </c>
      <c r="BQ1149" s="387">
        <f t="shared" si="761"/>
        <v>0</v>
      </c>
      <c r="BR1149" s="387">
        <f t="shared" si="762"/>
        <v>0</v>
      </c>
      <c r="BS1149" s="387">
        <f t="shared" si="763"/>
        <v>0</v>
      </c>
      <c r="BT1149" s="387">
        <f t="shared" si="764"/>
        <v>0</v>
      </c>
      <c r="BU1149" s="387">
        <f t="shared" si="765"/>
        <v>0</v>
      </c>
      <c r="BV1149" s="387">
        <f t="shared" si="766"/>
        <v>0</v>
      </c>
      <c r="BW1149" s="387">
        <f t="shared" si="767"/>
        <v>0</v>
      </c>
      <c r="BX1149" s="387">
        <f t="shared" si="782"/>
        <v>0</v>
      </c>
      <c r="BY1149" s="387">
        <f t="shared" si="783"/>
        <v>0</v>
      </c>
      <c r="BZ1149" s="387">
        <f t="shared" si="784"/>
        <v>0</v>
      </c>
      <c r="CA1149" s="387">
        <f t="shared" si="785"/>
        <v>0</v>
      </c>
      <c r="CB1149" s="387">
        <f t="shared" si="786"/>
        <v>0</v>
      </c>
      <c r="CC1149" s="387">
        <f t="shared" si="768"/>
        <v>0</v>
      </c>
      <c r="CD1149" s="387">
        <f t="shared" si="769"/>
        <v>0</v>
      </c>
      <c r="CE1149" s="387">
        <f t="shared" si="770"/>
        <v>0</v>
      </c>
      <c r="CF1149" s="387">
        <f t="shared" si="771"/>
        <v>0</v>
      </c>
      <c r="CG1149" s="387">
        <f t="shared" si="772"/>
        <v>0</v>
      </c>
      <c r="CH1149" s="387">
        <f t="shared" si="773"/>
        <v>0</v>
      </c>
      <c r="CI1149" s="387">
        <f t="shared" si="774"/>
        <v>0</v>
      </c>
      <c r="CJ1149" s="387">
        <f t="shared" si="787"/>
        <v>0</v>
      </c>
      <c r="CK1149" s="387" t="str">
        <f t="shared" si="788"/>
        <v/>
      </c>
      <c r="CL1149" s="387" t="str">
        <f t="shared" si="789"/>
        <v/>
      </c>
      <c r="CM1149" s="387" t="str">
        <f t="shared" si="790"/>
        <v/>
      </c>
      <c r="CN1149" s="387" t="str">
        <f t="shared" si="791"/>
        <v>0348-31</v>
      </c>
    </row>
    <row r="1150" spans="1:92" ht="15.75" thickBot="1" x14ac:dyDescent="0.3">
      <c r="A1150" s="376" t="s">
        <v>161</v>
      </c>
      <c r="B1150" s="376" t="s">
        <v>162</v>
      </c>
      <c r="C1150" s="376" t="s">
        <v>1961</v>
      </c>
      <c r="D1150" s="376" t="s">
        <v>574</v>
      </c>
      <c r="E1150" s="376" t="s">
        <v>224</v>
      </c>
      <c r="F1150" s="382" t="s">
        <v>225</v>
      </c>
      <c r="G1150" s="376" t="s">
        <v>1945</v>
      </c>
      <c r="H1150" s="378"/>
      <c r="I1150" s="378"/>
      <c r="J1150" s="376" t="s">
        <v>215</v>
      </c>
      <c r="K1150" s="376" t="s">
        <v>575</v>
      </c>
      <c r="L1150" s="376" t="s">
        <v>351</v>
      </c>
      <c r="M1150" s="376" t="s">
        <v>566</v>
      </c>
      <c r="N1150" s="376" t="s">
        <v>172</v>
      </c>
      <c r="O1150" s="379">
        <v>0</v>
      </c>
      <c r="P1150" s="385">
        <v>0</v>
      </c>
      <c r="Q1150" s="385">
        <v>0</v>
      </c>
      <c r="R1150" s="380">
        <v>80</v>
      </c>
      <c r="S1150" s="385">
        <v>0</v>
      </c>
      <c r="T1150" s="380">
        <v>2246.8000000000002</v>
      </c>
      <c r="U1150" s="380">
        <v>0</v>
      </c>
      <c r="V1150" s="380">
        <v>695.78</v>
      </c>
      <c r="W1150" s="380">
        <v>0</v>
      </c>
      <c r="X1150" s="380">
        <v>0</v>
      </c>
      <c r="Y1150" s="380">
        <v>0</v>
      </c>
      <c r="Z1150" s="380">
        <v>0</v>
      </c>
      <c r="AA1150" s="378"/>
      <c r="AB1150" s="376" t="s">
        <v>45</v>
      </c>
      <c r="AC1150" s="376" t="s">
        <v>45</v>
      </c>
      <c r="AD1150" s="378"/>
      <c r="AE1150" s="378"/>
      <c r="AF1150" s="378"/>
      <c r="AG1150" s="378"/>
      <c r="AH1150" s="379">
        <v>0</v>
      </c>
      <c r="AI1150" s="379">
        <v>0</v>
      </c>
      <c r="AJ1150" s="378"/>
      <c r="AK1150" s="378"/>
      <c r="AL1150" s="376" t="s">
        <v>181</v>
      </c>
      <c r="AM1150" s="378"/>
      <c r="AN1150" s="378"/>
      <c r="AO1150" s="379">
        <v>0</v>
      </c>
      <c r="AP1150" s="385">
        <v>0</v>
      </c>
      <c r="AQ1150" s="385">
        <v>0</v>
      </c>
      <c r="AR1150" s="384"/>
      <c r="AS1150" s="387">
        <f t="shared" si="775"/>
        <v>0</v>
      </c>
      <c r="AT1150">
        <f t="shared" si="776"/>
        <v>0</v>
      </c>
      <c r="AU1150" s="387" t="str">
        <f>IF(AT1150=0,"",IF(AND(AT1150=1,M1150="F",SUMIF(C2:C1334,C1150,AS2:AS1334)&lt;=1),SUMIF(C2:C1334,C1150,AS2:AS1334),IF(AND(AT1150=1,M1150="F",SUMIF(C2:C1334,C1150,AS2:AS1334)&gt;1),1,"")))</f>
        <v/>
      </c>
      <c r="AV1150" s="387" t="str">
        <f>IF(AT1150=0,"",IF(AND(AT1150=3,M1150="F",SUMIF(C2:C1334,C1150,AS2:AS1334)&lt;=1),SUMIF(C2:C1334,C1150,AS2:AS1334),IF(AND(AT1150=3,M1150="F",SUMIF(C2:C1334,C1150,AS2:AS1334)&gt;1),1,"")))</f>
        <v/>
      </c>
      <c r="AW1150" s="387">
        <f>SUMIF(C2:C1334,C1150,O2:O1334)</f>
        <v>0</v>
      </c>
      <c r="AX1150" s="387">
        <f>IF(AND(M1150="F",AS1150&lt;&gt;0),SUMIF(C2:C1334,C1150,W2:W1334),0)</f>
        <v>0</v>
      </c>
      <c r="AY1150" s="387" t="str">
        <f t="shared" si="777"/>
        <v/>
      </c>
      <c r="AZ1150" s="387" t="str">
        <f t="shared" si="778"/>
        <v/>
      </c>
      <c r="BA1150" s="387">
        <f t="shared" si="779"/>
        <v>0</v>
      </c>
      <c r="BB1150" s="387">
        <f t="shared" si="748"/>
        <v>0</v>
      </c>
      <c r="BC1150" s="387">
        <f t="shared" si="749"/>
        <v>0</v>
      </c>
      <c r="BD1150" s="387">
        <f t="shared" si="750"/>
        <v>0</v>
      </c>
      <c r="BE1150" s="387">
        <f t="shared" si="751"/>
        <v>0</v>
      </c>
      <c r="BF1150" s="387">
        <f t="shared" si="752"/>
        <v>0</v>
      </c>
      <c r="BG1150" s="387">
        <f t="shared" si="753"/>
        <v>0</v>
      </c>
      <c r="BH1150" s="387">
        <f t="shared" si="754"/>
        <v>0</v>
      </c>
      <c r="BI1150" s="387">
        <f t="shared" si="755"/>
        <v>0</v>
      </c>
      <c r="BJ1150" s="387">
        <f t="shared" si="756"/>
        <v>0</v>
      </c>
      <c r="BK1150" s="387">
        <f t="shared" si="757"/>
        <v>0</v>
      </c>
      <c r="BL1150" s="387">
        <f t="shared" si="780"/>
        <v>0</v>
      </c>
      <c r="BM1150" s="387">
        <f t="shared" si="781"/>
        <v>0</v>
      </c>
      <c r="BN1150" s="387">
        <f t="shared" si="758"/>
        <v>0</v>
      </c>
      <c r="BO1150" s="387">
        <f t="shared" si="759"/>
        <v>0</v>
      </c>
      <c r="BP1150" s="387">
        <f t="shared" si="760"/>
        <v>0</v>
      </c>
      <c r="BQ1150" s="387">
        <f t="shared" si="761"/>
        <v>0</v>
      </c>
      <c r="BR1150" s="387">
        <f t="shared" si="762"/>
        <v>0</v>
      </c>
      <c r="BS1150" s="387">
        <f t="shared" si="763"/>
        <v>0</v>
      </c>
      <c r="BT1150" s="387">
        <f t="shared" si="764"/>
        <v>0</v>
      </c>
      <c r="BU1150" s="387">
        <f t="shared" si="765"/>
        <v>0</v>
      </c>
      <c r="BV1150" s="387">
        <f t="shared" si="766"/>
        <v>0</v>
      </c>
      <c r="BW1150" s="387">
        <f t="shared" si="767"/>
        <v>0</v>
      </c>
      <c r="BX1150" s="387">
        <f t="shared" si="782"/>
        <v>0</v>
      </c>
      <c r="BY1150" s="387">
        <f t="shared" si="783"/>
        <v>0</v>
      </c>
      <c r="BZ1150" s="387">
        <f t="shared" si="784"/>
        <v>0</v>
      </c>
      <c r="CA1150" s="387">
        <f t="shared" si="785"/>
        <v>0</v>
      </c>
      <c r="CB1150" s="387">
        <f t="shared" si="786"/>
        <v>0</v>
      </c>
      <c r="CC1150" s="387">
        <f t="shared" si="768"/>
        <v>0</v>
      </c>
      <c r="CD1150" s="387">
        <f t="shared" si="769"/>
        <v>0</v>
      </c>
      <c r="CE1150" s="387">
        <f t="shared" si="770"/>
        <v>0</v>
      </c>
      <c r="CF1150" s="387">
        <f t="shared" si="771"/>
        <v>0</v>
      </c>
      <c r="CG1150" s="387">
        <f t="shared" si="772"/>
        <v>0</v>
      </c>
      <c r="CH1150" s="387">
        <f t="shared" si="773"/>
        <v>0</v>
      </c>
      <c r="CI1150" s="387">
        <f t="shared" si="774"/>
        <v>0</v>
      </c>
      <c r="CJ1150" s="387">
        <f t="shared" si="787"/>
        <v>0</v>
      </c>
      <c r="CK1150" s="387" t="str">
        <f t="shared" si="788"/>
        <v/>
      </c>
      <c r="CL1150" s="387" t="str">
        <f t="shared" si="789"/>
        <v/>
      </c>
      <c r="CM1150" s="387" t="str">
        <f t="shared" si="790"/>
        <v/>
      </c>
      <c r="CN1150" s="387" t="str">
        <f t="shared" si="791"/>
        <v>0348-31</v>
      </c>
    </row>
    <row r="1151" spans="1:92" ht="15.75" thickBot="1" x14ac:dyDescent="0.3">
      <c r="A1151" s="376" t="s">
        <v>161</v>
      </c>
      <c r="B1151" s="376" t="s">
        <v>162</v>
      </c>
      <c r="C1151" s="376" t="s">
        <v>909</v>
      </c>
      <c r="D1151" s="376" t="s">
        <v>862</v>
      </c>
      <c r="E1151" s="376" t="s">
        <v>224</v>
      </c>
      <c r="F1151" s="382" t="s">
        <v>225</v>
      </c>
      <c r="G1151" s="376" t="s">
        <v>1945</v>
      </c>
      <c r="H1151" s="378"/>
      <c r="I1151" s="378"/>
      <c r="J1151" s="376" t="s">
        <v>239</v>
      </c>
      <c r="K1151" s="376" t="s">
        <v>863</v>
      </c>
      <c r="L1151" s="376" t="s">
        <v>252</v>
      </c>
      <c r="M1151" s="376" t="s">
        <v>171</v>
      </c>
      <c r="N1151" s="376" t="s">
        <v>172</v>
      </c>
      <c r="O1151" s="379">
        <v>1</v>
      </c>
      <c r="P1151" s="385">
        <v>0.4</v>
      </c>
      <c r="Q1151" s="385">
        <v>0.4</v>
      </c>
      <c r="R1151" s="380">
        <v>80</v>
      </c>
      <c r="S1151" s="385">
        <v>0.4</v>
      </c>
      <c r="T1151" s="380">
        <v>30900.58</v>
      </c>
      <c r="U1151" s="380">
        <v>0</v>
      </c>
      <c r="V1151" s="380">
        <v>12791.78</v>
      </c>
      <c r="W1151" s="380">
        <v>23079.68</v>
      </c>
      <c r="X1151" s="380">
        <v>9650.9599999999991</v>
      </c>
      <c r="Y1151" s="380">
        <v>23079.68</v>
      </c>
      <c r="Z1151" s="380">
        <v>9554.0300000000007</v>
      </c>
      <c r="AA1151" s="376" t="s">
        <v>910</v>
      </c>
      <c r="AB1151" s="376" t="s">
        <v>911</v>
      </c>
      <c r="AC1151" s="376" t="s">
        <v>912</v>
      </c>
      <c r="AD1151" s="376" t="s">
        <v>566</v>
      </c>
      <c r="AE1151" s="376" t="s">
        <v>863</v>
      </c>
      <c r="AF1151" s="376" t="s">
        <v>393</v>
      </c>
      <c r="AG1151" s="376" t="s">
        <v>178</v>
      </c>
      <c r="AH1151" s="381">
        <v>27.74</v>
      </c>
      <c r="AI1151" s="381">
        <v>65177.9</v>
      </c>
      <c r="AJ1151" s="376" t="s">
        <v>179</v>
      </c>
      <c r="AK1151" s="376" t="s">
        <v>180</v>
      </c>
      <c r="AL1151" s="376" t="s">
        <v>181</v>
      </c>
      <c r="AM1151" s="376" t="s">
        <v>182</v>
      </c>
      <c r="AN1151" s="376" t="s">
        <v>68</v>
      </c>
      <c r="AO1151" s="379">
        <v>80</v>
      </c>
      <c r="AP1151" s="385">
        <v>1</v>
      </c>
      <c r="AQ1151" s="385">
        <v>0.4</v>
      </c>
      <c r="AR1151" s="383" t="s">
        <v>183</v>
      </c>
      <c r="AS1151" s="387">
        <f t="shared" si="775"/>
        <v>0.4</v>
      </c>
      <c r="AT1151">
        <f t="shared" si="776"/>
        <v>1</v>
      </c>
      <c r="AU1151" s="387">
        <f>IF(AT1151=0,"",IF(AND(AT1151=1,M1151="F",SUMIF(C2:C1334,C1151,AS2:AS1334)&lt;=1),SUMIF(C2:C1334,C1151,AS2:AS1334),IF(AND(AT1151=1,M1151="F",SUMIF(C2:C1334,C1151,AS2:AS1334)&gt;1),1,"")))</f>
        <v>1</v>
      </c>
      <c r="AV1151" s="387" t="str">
        <f>IF(AT1151=0,"",IF(AND(AT1151=3,M1151="F",SUMIF(C2:C1334,C1151,AS2:AS1334)&lt;=1),SUMIF(C2:C1334,C1151,AS2:AS1334),IF(AND(AT1151=3,M1151="F",SUMIF(C2:C1334,C1151,AS2:AS1334)&gt;1),1,"")))</f>
        <v/>
      </c>
      <c r="AW1151" s="387">
        <f>SUMIF(C2:C1334,C1151,O2:O1334)</f>
        <v>3</v>
      </c>
      <c r="AX1151" s="387">
        <f>IF(AND(M1151="F",AS1151&lt;&gt;0),SUMIF(C2:C1334,C1151,W2:W1334),0)</f>
        <v>57699.199999999997</v>
      </c>
      <c r="AY1151" s="387">
        <f t="shared" si="777"/>
        <v>23079.68</v>
      </c>
      <c r="AZ1151" s="387" t="str">
        <f t="shared" si="778"/>
        <v/>
      </c>
      <c r="BA1151" s="387">
        <f t="shared" si="779"/>
        <v>0</v>
      </c>
      <c r="BB1151" s="387">
        <f t="shared" si="748"/>
        <v>4660</v>
      </c>
      <c r="BC1151" s="387">
        <f t="shared" si="749"/>
        <v>0</v>
      </c>
      <c r="BD1151" s="387">
        <f t="shared" si="750"/>
        <v>1430.9401600000001</v>
      </c>
      <c r="BE1151" s="387">
        <f t="shared" si="751"/>
        <v>334.65536000000003</v>
      </c>
      <c r="BF1151" s="387">
        <f t="shared" si="752"/>
        <v>2755.713792</v>
      </c>
      <c r="BG1151" s="387">
        <f t="shared" si="753"/>
        <v>166.40449280000001</v>
      </c>
      <c r="BH1151" s="387">
        <f t="shared" si="754"/>
        <v>113.09043199999999</v>
      </c>
      <c r="BI1151" s="387">
        <f t="shared" si="755"/>
        <v>127.7460288</v>
      </c>
      <c r="BJ1151" s="387">
        <f t="shared" si="756"/>
        <v>62.315136000000003</v>
      </c>
      <c r="BK1151" s="387">
        <f t="shared" si="757"/>
        <v>0</v>
      </c>
      <c r="BL1151" s="387">
        <f t="shared" si="780"/>
        <v>4990.865401600001</v>
      </c>
      <c r="BM1151" s="387">
        <f t="shared" si="781"/>
        <v>0</v>
      </c>
      <c r="BN1151" s="387">
        <f t="shared" si="758"/>
        <v>4660</v>
      </c>
      <c r="BO1151" s="387">
        <f t="shared" si="759"/>
        <v>0</v>
      </c>
      <c r="BP1151" s="387">
        <f t="shared" si="760"/>
        <v>1430.9401600000001</v>
      </c>
      <c r="BQ1151" s="387">
        <f t="shared" si="761"/>
        <v>334.65536000000003</v>
      </c>
      <c r="BR1151" s="387">
        <f t="shared" si="762"/>
        <v>2755.713792</v>
      </c>
      <c r="BS1151" s="387">
        <f t="shared" si="763"/>
        <v>166.40449280000001</v>
      </c>
      <c r="BT1151" s="387">
        <f t="shared" si="764"/>
        <v>0</v>
      </c>
      <c r="BU1151" s="387">
        <f t="shared" si="765"/>
        <v>127.7460288</v>
      </c>
      <c r="BV1151" s="387">
        <f t="shared" si="766"/>
        <v>78.470911999999998</v>
      </c>
      <c r="BW1151" s="387">
        <f t="shared" si="767"/>
        <v>0</v>
      </c>
      <c r="BX1151" s="387">
        <f t="shared" si="782"/>
        <v>4893.9307456000006</v>
      </c>
      <c r="BY1151" s="387">
        <f t="shared" si="783"/>
        <v>0</v>
      </c>
      <c r="BZ1151" s="387">
        <f t="shared" si="784"/>
        <v>0</v>
      </c>
      <c r="CA1151" s="387">
        <f t="shared" si="785"/>
        <v>0</v>
      </c>
      <c r="CB1151" s="387">
        <f t="shared" si="786"/>
        <v>0</v>
      </c>
      <c r="CC1151" s="387">
        <f t="shared" si="768"/>
        <v>0</v>
      </c>
      <c r="CD1151" s="387">
        <f t="shared" si="769"/>
        <v>0</v>
      </c>
      <c r="CE1151" s="387">
        <f t="shared" si="770"/>
        <v>0</v>
      </c>
      <c r="CF1151" s="387">
        <f t="shared" si="771"/>
        <v>-113.09043199999999</v>
      </c>
      <c r="CG1151" s="387">
        <f t="shared" si="772"/>
        <v>0</v>
      </c>
      <c r="CH1151" s="387">
        <f t="shared" si="773"/>
        <v>16.155775999999992</v>
      </c>
      <c r="CI1151" s="387">
        <f t="shared" si="774"/>
        <v>0</v>
      </c>
      <c r="CJ1151" s="387">
        <f t="shared" si="787"/>
        <v>-96.934656000000004</v>
      </c>
      <c r="CK1151" s="387" t="str">
        <f t="shared" si="788"/>
        <v/>
      </c>
      <c r="CL1151" s="387" t="str">
        <f t="shared" si="789"/>
        <v/>
      </c>
      <c r="CM1151" s="387" t="str">
        <f t="shared" si="790"/>
        <v/>
      </c>
      <c r="CN1151" s="387" t="str">
        <f t="shared" si="791"/>
        <v>0348-31</v>
      </c>
    </row>
    <row r="1152" spans="1:92" ht="15.75" thickBot="1" x14ac:dyDescent="0.3">
      <c r="A1152" s="376" t="s">
        <v>161</v>
      </c>
      <c r="B1152" s="376" t="s">
        <v>162</v>
      </c>
      <c r="C1152" s="376" t="s">
        <v>1926</v>
      </c>
      <c r="D1152" s="376" t="s">
        <v>862</v>
      </c>
      <c r="E1152" s="376" t="s">
        <v>224</v>
      </c>
      <c r="F1152" s="382" t="s">
        <v>225</v>
      </c>
      <c r="G1152" s="376" t="s">
        <v>1945</v>
      </c>
      <c r="H1152" s="378"/>
      <c r="I1152" s="378"/>
      <c r="J1152" s="376" t="s">
        <v>239</v>
      </c>
      <c r="K1152" s="376" t="s">
        <v>863</v>
      </c>
      <c r="L1152" s="376" t="s">
        <v>252</v>
      </c>
      <c r="M1152" s="376" t="s">
        <v>171</v>
      </c>
      <c r="N1152" s="376" t="s">
        <v>172</v>
      </c>
      <c r="O1152" s="379">
        <v>1</v>
      </c>
      <c r="P1152" s="385">
        <v>0.25</v>
      </c>
      <c r="Q1152" s="385">
        <v>0.25</v>
      </c>
      <c r="R1152" s="380">
        <v>80</v>
      </c>
      <c r="S1152" s="385">
        <v>0.25</v>
      </c>
      <c r="T1152" s="380">
        <v>19354.03</v>
      </c>
      <c r="U1152" s="380">
        <v>82.58</v>
      </c>
      <c r="V1152" s="380">
        <v>10261.34</v>
      </c>
      <c r="W1152" s="380">
        <v>9833.2000000000007</v>
      </c>
      <c r="X1152" s="380">
        <v>5038.92</v>
      </c>
      <c r="Y1152" s="380">
        <v>9833.2000000000007</v>
      </c>
      <c r="Z1152" s="380">
        <v>4997.62</v>
      </c>
      <c r="AA1152" s="376" t="s">
        <v>1927</v>
      </c>
      <c r="AB1152" s="376" t="s">
        <v>1928</v>
      </c>
      <c r="AC1152" s="376" t="s">
        <v>1929</v>
      </c>
      <c r="AD1152" s="376" t="s">
        <v>324</v>
      </c>
      <c r="AE1152" s="376" t="s">
        <v>863</v>
      </c>
      <c r="AF1152" s="376" t="s">
        <v>393</v>
      </c>
      <c r="AG1152" s="376" t="s">
        <v>178</v>
      </c>
      <c r="AH1152" s="381">
        <v>18.91</v>
      </c>
      <c r="AI1152" s="379">
        <v>3392</v>
      </c>
      <c r="AJ1152" s="376" t="s">
        <v>179</v>
      </c>
      <c r="AK1152" s="376" t="s">
        <v>180</v>
      </c>
      <c r="AL1152" s="376" t="s">
        <v>181</v>
      </c>
      <c r="AM1152" s="376" t="s">
        <v>182</v>
      </c>
      <c r="AN1152" s="376" t="s">
        <v>68</v>
      </c>
      <c r="AO1152" s="379">
        <v>80</v>
      </c>
      <c r="AP1152" s="385">
        <v>1</v>
      </c>
      <c r="AQ1152" s="385">
        <v>0.25</v>
      </c>
      <c r="AR1152" s="383" t="s">
        <v>183</v>
      </c>
      <c r="AS1152" s="387">
        <f t="shared" si="775"/>
        <v>0.25</v>
      </c>
      <c r="AT1152">
        <f t="shared" si="776"/>
        <v>1</v>
      </c>
      <c r="AU1152" s="387">
        <f>IF(AT1152=0,"",IF(AND(AT1152=1,M1152="F",SUMIF(C2:C1334,C1152,AS2:AS1334)&lt;=1),SUMIF(C2:C1334,C1152,AS2:AS1334),IF(AND(AT1152=1,M1152="F",SUMIF(C2:C1334,C1152,AS2:AS1334)&gt;1),1,"")))</f>
        <v>1</v>
      </c>
      <c r="AV1152" s="387" t="str">
        <f>IF(AT1152=0,"",IF(AND(AT1152=3,M1152="F",SUMIF(C2:C1334,C1152,AS2:AS1334)&lt;=1),SUMIF(C2:C1334,C1152,AS2:AS1334),IF(AND(AT1152=3,M1152="F",SUMIF(C2:C1334,C1152,AS2:AS1334)&gt;1),1,"")))</f>
        <v/>
      </c>
      <c r="AW1152" s="387">
        <f>SUMIF(C2:C1334,C1152,O2:O1334)</f>
        <v>3</v>
      </c>
      <c r="AX1152" s="387">
        <f>IF(AND(M1152="F",AS1152&lt;&gt;0),SUMIF(C2:C1334,C1152,W2:W1334),0)</f>
        <v>39332.800000000003</v>
      </c>
      <c r="AY1152" s="387">
        <f t="shared" si="777"/>
        <v>9833.2000000000007</v>
      </c>
      <c r="AZ1152" s="387" t="str">
        <f t="shared" si="778"/>
        <v/>
      </c>
      <c r="BA1152" s="387">
        <f t="shared" si="779"/>
        <v>0</v>
      </c>
      <c r="BB1152" s="387">
        <f t="shared" si="748"/>
        <v>2912.5</v>
      </c>
      <c r="BC1152" s="387">
        <f t="shared" si="749"/>
        <v>0</v>
      </c>
      <c r="BD1152" s="387">
        <f t="shared" si="750"/>
        <v>609.65840000000003</v>
      </c>
      <c r="BE1152" s="387">
        <f t="shared" si="751"/>
        <v>142.58140000000003</v>
      </c>
      <c r="BF1152" s="387">
        <f t="shared" si="752"/>
        <v>1174.0840800000001</v>
      </c>
      <c r="BG1152" s="387">
        <f t="shared" si="753"/>
        <v>70.897372000000004</v>
      </c>
      <c r="BH1152" s="387">
        <f t="shared" si="754"/>
        <v>48.182680000000005</v>
      </c>
      <c r="BI1152" s="387">
        <f t="shared" si="755"/>
        <v>54.426762000000004</v>
      </c>
      <c r="BJ1152" s="387">
        <f t="shared" si="756"/>
        <v>26.549640000000004</v>
      </c>
      <c r="BK1152" s="387">
        <f t="shared" si="757"/>
        <v>0</v>
      </c>
      <c r="BL1152" s="387">
        <f t="shared" si="780"/>
        <v>2126.3803340000004</v>
      </c>
      <c r="BM1152" s="387">
        <f t="shared" si="781"/>
        <v>0</v>
      </c>
      <c r="BN1152" s="387">
        <f t="shared" si="758"/>
        <v>2912.5</v>
      </c>
      <c r="BO1152" s="387">
        <f t="shared" si="759"/>
        <v>0</v>
      </c>
      <c r="BP1152" s="387">
        <f t="shared" si="760"/>
        <v>609.65840000000003</v>
      </c>
      <c r="BQ1152" s="387">
        <f t="shared" si="761"/>
        <v>142.58140000000003</v>
      </c>
      <c r="BR1152" s="387">
        <f t="shared" si="762"/>
        <v>1174.0840800000001</v>
      </c>
      <c r="BS1152" s="387">
        <f t="shared" si="763"/>
        <v>70.897372000000004</v>
      </c>
      <c r="BT1152" s="387">
        <f t="shared" si="764"/>
        <v>0</v>
      </c>
      <c r="BU1152" s="387">
        <f t="shared" si="765"/>
        <v>54.426762000000004</v>
      </c>
      <c r="BV1152" s="387">
        <f t="shared" si="766"/>
        <v>33.432879999999997</v>
      </c>
      <c r="BW1152" s="387">
        <f t="shared" si="767"/>
        <v>0</v>
      </c>
      <c r="BX1152" s="387">
        <f t="shared" si="782"/>
        <v>2085.0808939999997</v>
      </c>
      <c r="BY1152" s="387">
        <f t="shared" si="783"/>
        <v>0</v>
      </c>
      <c r="BZ1152" s="387">
        <f t="shared" si="784"/>
        <v>0</v>
      </c>
      <c r="CA1152" s="387">
        <f t="shared" si="785"/>
        <v>0</v>
      </c>
      <c r="CB1152" s="387">
        <f t="shared" si="786"/>
        <v>0</v>
      </c>
      <c r="CC1152" s="387">
        <f t="shared" si="768"/>
        <v>0</v>
      </c>
      <c r="CD1152" s="387">
        <f t="shared" si="769"/>
        <v>0</v>
      </c>
      <c r="CE1152" s="387">
        <f t="shared" si="770"/>
        <v>0</v>
      </c>
      <c r="CF1152" s="387">
        <f t="shared" si="771"/>
        <v>-48.182680000000005</v>
      </c>
      <c r="CG1152" s="387">
        <f t="shared" si="772"/>
        <v>0</v>
      </c>
      <c r="CH1152" s="387">
        <f t="shared" si="773"/>
        <v>6.8832399999999971</v>
      </c>
      <c r="CI1152" s="387">
        <f t="shared" si="774"/>
        <v>0</v>
      </c>
      <c r="CJ1152" s="387">
        <f t="shared" si="787"/>
        <v>-41.299440000000004</v>
      </c>
      <c r="CK1152" s="387" t="str">
        <f t="shared" si="788"/>
        <v/>
      </c>
      <c r="CL1152" s="387" t="str">
        <f t="shared" si="789"/>
        <v/>
      </c>
      <c r="CM1152" s="387" t="str">
        <f t="shared" si="790"/>
        <v/>
      </c>
      <c r="CN1152" s="387" t="str">
        <f t="shared" si="791"/>
        <v>0348-31</v>
      </c>
    </row>
    <row r="1153" spans="1:92" ht="15.75" thickBot="1" x14ac:dyDescent="0.3">
      <c r="A1153" s="376" t="s">
        <v>161</v>
      </c>
      <c r="B1153" s="376" t="s">
        <v>162</v>
      </c>
      <c r="C1153" s="376" t="s">
        <v>2375</v>
      </c>
      <c r="D1153" s="376" t="s">
        <v>862</v>
      </c>
      <c r="E1153" s="376" t="s">
        <v>224</v>
      </c>
      <c r="F1153" s="382" t="s">
        <v>225</v>
      </c>
      <c r="G1153" s="376" t="s">
        <v>1945</v>
      </c>
      <c r="H1153" s="378"/>
      <c r="I1153" s="378"/>
      <c r="J1153" s="376" t="s">
        <v>215</v>
      </c>
      <c r="K1153" s="376" t="s">
        <v>863</v>
      </c>
      <c r="L1153" s="376" t="s">
        <v>252</v>
      </c>
      <c r="M1153" s="376" t="s">
        <v>171</v>
      </c>
      <c r="N1153" s="376" t="s">
        <v>172</v>
      </c>
      <c r="O1153" s="379">
        <v>1</v>
      </c>
      <c r="P1153" s="385">
        <v>1</v>
      </c>
      <c r="Q1153" s="385">
        <v>1</v>
      </c>
      <c r="R1153" s="380">
        <v>80</v>
      </c>
      <c r="S1153" s="385">
        <v>1</v>
      </c>
      <c r="T1153" s="380">
        <v>11604.8</v>
      </c>
      <c r="U1153" s="380">
        <v>0</v>
      </c>
      <c r="V1153" s="380">
        <v>5328.73</v>
      </c>
      <c r="W1153" s="380">
        <v>46300.800000000003</v>
      </c>
      <c r="X1153" s="380">
        <v>21662.51</v>
      </c>
      <c r="Y1153" s="380">
        <v>46300.800000000003</v>
      </c>
      <c r="Z1153" s="380">
        <v>21468.05</v>
      </c>
      <c r="AA1153" s="376" t="s">
        <v>2376</v>
      </c>
      <c r="AB1153" s="376" t="s">
        <v>2377</v>
      </c>
      <c r="AC1153" s="376" t="s">
        <v>2378</v>
      </c>
      <c r="AD1153" s="376" t="s">
        <v>170</v>
      </c>
      <c r="AE1153" s="376" t="s">
        <v>863</v>
      </c>
      <c r="AF1153" s="376" t="s">
        <v>393</v>
      </c>
      <c r="AG1153" s="376" t="s">
        <v>178</v>
      </c>
      <c r="AH1153" s="381">
        <v>22.26</v>
      </c>
      <c r="AI1153" s="381">
        <v>24721.4</v>
      </c>
      <c r="AJ1153" s="376" t="s">
        <v>179</v>
      </c>
      <c r="AK1153" s="376" t="s">
        <v>180</v>
      </c>
      <c r="AL1153" s="376" t="s">
        <v>181</v>
      </c>
      <c r="AM1153" s="376" t="s">
        <v>182</v>
      </c>
      <c r="AN1153" s="376" t="s">
        <v>68</v>
      </c>
      <c r="AO1153" s="379">
        <v>80</v>
      </c>
      <c r="AP1153" s="385">
        <v>1</v>
      </c>
      <c r="AQ1153" s="385">
        <v>1</v>
      </c>
      <c r="AR1153" s="383" t="s">
        <v>183</v>
      </c>
      <c r="AS1153" s="387">
        <f t="shared" si="775"/>
        <v>1</v>
      </c>
      <c r="AT1153">
        <f t="shared" si="776"/>
        <v>1</v>
      </c>
      <c r="AU1153" s="387">
        <f>IF(AT1153=0,"",IF(AND(AT1153=1,M1153="F",SUMIF(C2:C1334,C1153,AS2:AS1334)&lt;=1),SUMIF(C2:C1334,C1153,AS2:AS1334),IF(AND(AT1153=1,M1153="F",SUMIF(C2:C1334,C1153,AS2:AS1334)&gt;1),1,"")))</f>
        <v>1</v>
      </c>
      <c r="AV1153" s="387" t="str">
        <f>IF(AT1153=0,"",IF(AND(AT1153=3,M1153="F",SUMIF(C2:C1334,C1153,AS2:AS1334)&lt;=1),SUMIF(C2:C1334,C1153,AS2:AS1334),IF(AND(AT1153=3,M1153="F",SUMIF(C2:C1334,C1153,AS2:AS1334)&gt;1),1,"")))</f>
        <v/>
      </c>
      <c r="AW1153" s="387">
        <f>SUMIF(C2:C1334,C1153,O2:O1334)</f>
        <v>1</v>
      </c>
      <c r="AX1153" s="387">
        <f>IF(AND(M1153="F",AS1153&lt;&gt;0),SUMIF(C2:C1334,C1153,W2:W1334),0)</f>
        <v>46300.800000000003</v>
      </c>
      <c r="AY1153" s="387">
        <f t="shared" si="777"/>
        <v>46300.800000000003</v>
      </c>
      <c r="AZ1153" s="387" t="str">
        <f t="shared" si="778"/>
        <v/>
      </c>
      <c r="BA1153" s="387">
        <f t="shared" si="779"/>
        <v>0</v>
      </c>
      <c r="BB1153" s="387">
        <f t="shared" si="748"/>
        <v>11650</v>
      </c>
      <c r="BC1153" s="387">
        <f t="shared" si="749"/>
        <v>0</v>
      </c>
      <c r="BD1153" s="387">
        <f t="shared" si="750"/>
        <v>2870.6496000000002</v>
      </c>
      <c r="BE1153" s="387">
        <f t="shared" si="751"/>
        <v>671.36160000000007</v>
      </c>
      <c r="BF1153" s="387">
        <f t="shared" si="752"/>
        <v>5528.315520000001</v>
      </c>
      <c r="BG1153" s="387">
        <f t="shared" si="753"/>
        <v>333.82876800000003</v>
      </c>
      <c r="BH1153" s="387">
        <f t="shared" si="754"/>
        <v>226.87392</v>
      </c>
      <c r="BI1153" s="387">
        <f t="shared" si="755"/>
        <v>256.27492799999999</v>
      </c>
      <c r="BJ1153" s="387">
        <f t="shared" si="756"/>
        <v>125.01216000000001</v>
      </c>
      <c r="BK1153" s="387">
        <f t="shared" si="757"/>
        <v>0</v>
      </c>
      <c r="BL1153" s="387">
        <f t="shared" si="780"/>
        <v>10012.316496000001</v>
      </c>
      <c r="BM1153" s="387">
        <f t="shared" si="781"/>
        <v>0</v>
      </c>
      <c r="BN1153" s="387">
        <f t="shared" si="758"/>
        <v>11650</v>
      </c>
      <c r="BO1153" s="387">
        <f t="shared" si="759"/>
        <v>0</v>
      </c>
      <c r="BP1153" s="387">
        <f t="shared" si="760"/>
        <v>2870.6496000000002</v>
      </c>
      <c r="BQ1153" s="387">
        <f t="shared" si="761"/>
        <v>671.36160000000007</v>
      </c>
      <c r="BR1153" s="387">
        <f t="shared" si="762"/>
        <v>5528.315520000001</v>
      </c>
      <c r="BS1153" s="387">
        <f t="shared" si="763"/>
        <v>333.82876800000003</v>
      </c>
      <c r="BT1153" s="387">
        <f t="shared" si="764"/>
        <v>0</v>
      </c>
      <c r="BU1153" s="387">
        <f t="shared" si="765"/>
        <v>256.27492799999999</v>
      </c>
      <c r="BV1153" s="387">
        <f t="shared" si="766"/>
        <v>157.42272</v>
      </c>
      <c r="BW1153" s="387">
        <f t="shared" si="767"/>
        <v>0</v>
      </c>
      <c r="BX1153" s="387">
        <f t="shared" si="782"/>
        <v>9817.8531360000015</v>
      </c>
      <c r="BY1153" s="387">
        <f t="shared" si="783"/>
        <v>0</v>
      </c>
      <c r="BZ1153" s="387">
        <f t="shared" si="784"/>
        <v>0</v>
      </c>
      <c r="CA1153" s="387">
        <f t="shared" si="785"/>
        <v>0</v>
      </c>
      <c r="CB1153" s="387">
        <f t="shared" si="786"/>
        <v>0</v>
      </c>
      <c r="CC1153" s="387">
        <f t="shared" si="768"/>
        <v>0</v>
      </c>
      <c r="CD1153" s="387">
        <f t="shared" si="769"/>
        <v>0</v>
      </c>
      <c r="CE1153" s="387">
        <f t="shared" si="770"/>
        <v>0</v>
      </c>
      <c r="CF1153" s="387">
        <f t="shared" si="771"/>
        <v>-226.87392</v>
      </c>
      <c r="CG1153" s="387">
        <f t="shared" si="772"/>
        <v>0</v>
      </c>
      <c r="CH1153" s="387">
        <f t="shared" si="773"/>
        <v>32.41055999999999</v>
      </c>
      <c r="CI1153" s="387">
        <f t="shared" si="774"/>
        <v>0</v>
      </c>
      <c r="CJ1153" s="387">
        <f t="shared" si="787"/>
        <v>-194.46336000000002</v>
      </c>
      <c r="CK1153" s="387" t="str">
        <f t="shared" si="788"/>
        <v/>
      </c>
      <c r="CL1153" s="387" t="str">
        <f t="shared" si="789"/>
        <v/>
      </c>
      <c r="CM1153" s="387" t="str">
        <f t="shared" si="790"/>
        <v/>
      </c>
      <c r="CN1153" s="387" t="str">
        <f t="shared" si="791"/>
        <v>0348-31</v>
      </c>
    </row>
    <row r="1154" spans="1:92" ht="15.75" thickBot="1" x14ac:dyDescent="0.3">
      <c r="A1154" s="376" t="s">
        <v>161</v>
      </c>
      <c r="B1154" s="376" t="s">
        <v>162</v>
      </c>
      <c r="C1154" s="376" t="s">
        <v>2379</v>
      </c>
      <c r="D1154" s="376" t="s">
        <v>862</v>
      </c>
      <c r="E1154" s="376" t="s">
        <v>224</v>
      </c>
      <c r="F1154" s="382" t="s">
        <v>225</v>
      </c>
      <c r="G1154" s="376" t="s">
        <v>1945</v>
      </c>
      <c r="H1154" s="378"/>
      <c r="I1154" s="378"/>
      <c r="J1154" s="376" t="s">
        <v>215</v>
      </c>
      <c r="K1154" s="376" t="s">
        <v>863</v>
      </c>
      <c r="L1154" s="376" t="s">
        <v>252</v>
      </c>
      <c r="M1154" s="376" t="s">
        <v>272</v>
      </c>
      <c r="N1154" s="376" t="s">
        <v>172</v>
      </c>
      <c r="O1154" s="379">
        <v>0</v>
      </c>
      <c r="P1154" s="385">
        <v>1</v>
      </c>
      <c r="Q1154" s="385">
        <v>1</v>
      </c>
      <c r="R1154" s="380">
        <v>80</v>
      </c>
      <c r="S1154" s="385">
        <v>1</v>
      </c>
      <c r="T1154" s="380">
        <v>30966.5</v>
      </c>
      <c r="U1154" s="380">
        <v>0</v>
      </c>
      <c r="V1154" s="380">
        <v>16197.06</v>
      </c>
      <c r="W1154" s="380">
        <v>42328</v>
      </c>
      <c r="X1154" s="380">
        <v>18539.66</v>
      </c>
      <c r="Y1154" s="380">
        <v>42328</v>
      </c>
      <c r="Z1154" s="380">
        <v>18328.02</v>
      </c>
      <c r="AA1154" s="378"/>
      <c r="AB1154" s="376" t="s">
        <v>45</v>
      </c>
      <c r="AC1154" s="376" t="s">
        <v>45</v>
      </c>
      <c r="AD1154" s="378"/>
      <c r="AE1154" s="378"/>
      <c r="AF1154" s="378"/>
      <c r="AG1154" s="378"/>
      <c r="AH1154" s="379">
        <v>0</v>
      </c>
      <c r="AI1154" s="379">
        <v>0</v>
      </c>
      <c r="AJ1154" s="378"/>
      <c r="AK1154" s="378"/>
      <c r="AL1154" s="376" t="s">
        <v>181</v>
      </c>
      <c r="AM1154" s="378"/>
      <c r="AN1154" s="378"/>
      <c r="AO1154" s="379">
        <v>0</v>
      </c>
      <c r="AP1154" s="385">
        <v>0</v>
      </c>
      <c r="AQ1154" s="385">
        <v>0</v>
      </c>
      <c r="AR1154" s="384"/>
      <c r="AS1154" s="387">
        <f t="shared" si="775"/>
        <v>0</v>
      </c>
      <c r="AT1154">
        <f t="shared" si="776"/>
        <v>0</v>
      </c>
      <c r="AU1154" s="387" t="str">
        <f>IF(AT1154=0,"",IF(AND(AT1154=1,M1154="F",SUMIF(C2:C1334,C1154,AS2:AS1334)&lt;=1),SUMIF(C2:C1334,C1154,AS2:AS1334),IF(AND(AT1154=1,M1154="F",SUMIF(C2:C1334,C1154,AS2:AS1334)&gt;1),1,"")))</f>
        <v/>
      </c>
      <c r="AV1154" s="387" t="str">
        <f>IF(AT1154=0,"",IF(AND(AT1154=3,M1154="F",SUMIF(C2:C1334,C1154,AS2:AS1334)&lt;=1),SUMIF(C2:C1334,C1154,AS2:AS1334),IF(AND(AT1154=3,M1154="F",SUMIF(C2:C1334,C1154,AS2:AS1334)&gt;1),1,"")))</f>
        <v/>
      </c>
      <c r="AW1154" s="387">
        <f>SUMIF(C2:C1334,C1154,O2:O1334)</f>
        <v>0</v>
      </c>
      <c r="AX1154" s="387">
        <f>IF(AND(M1154="F",AS1154&lt;&gt;0),SUMIF(C2:C1334,C1154,W2:W1334),0)</f>
        <v>0</v>
      </c>
      <c r="AY1154" s="387" t="str">
        <f t="shared" si="777"/>
        <v/>
      </c>
      <c r="AZ1154" s="387" t="str">
        <f t="shared" si="778"/>
        <v/>
      </c>
      <c r="BA1154" s="387">
        <f t="shared" si="779"/>
        <v>0</v>
      </c>
      <c r="BB1154" s="387">
        <f t="shared" ref="BB1154:BB1217" si="792">IF(AND(AT1154=1,AK1154="E",AU1154&gt;=0.75,AW1154=1),Health,IF(AND(AT1154=1,AK1154="E",AU1154&gt;=0.75),Health*P1154,IF(AND(AT1154=1,AK1154="E",AU1154&gt;=0.5,AW1154=1),PTHealth,IF(AND(AT1154=1,AK1154="E",AU1154&gt;=0.5),PTHealth*P1154,0))))</f>
        <v>0</v>
      </c>
      <c r="BC1154" s="387">
        <f t="shared" ref="BC1154:BC1217" si="793">IF(AND(AT1154=3,AK1154="E",AV1154&gt;=0.75,AW1154=1),Health,IF(AND(AT1154=3,AK1154="E",AV1154&gt;=0.75),Health*P1154,IF(AND(AT1154=3,AK1154="E",AV1154&gt;=0.5,AW1154=1),PTHealth,IF(AND(AT1154=3,AK1154="E",AV1154&gt;=0.5),PTHealth*P1154,0))))</f>
        <v>0</v>
      </c>
      <c r="BD1154" s="387">
        <f t="shared" ref="BD1154:BD1217" si="794">IF(AND(AT1154&lt;&gt;0,AX1154&gt;=MAXSSDI),SSDI*MAXSSDI*P1154,IF(AT1154&lt;&gt;0,SSDI*W1154,0))</f>
        <v>0</v>
      </c>
      <c r="BE1154" s="387">
        <f t="shared" ref="BE1154:BE1217" si="795">IF(AT1154&lt;&gt;0,SSHI*W1154,0)</f>
        <v>0</v>
      </c>
      <c r="BF1154" s="387">
        <f t="shared" ref="BF1154:BF1217" si="796">IF(AND(AT1154&lt;&gt;0,AN1154&lt;&gt;"NE"),VLOOKUP(AN1154,Retirement_Rates,3,FALSE)*W1154,0)</f>
        <v>0</v>
      </c>
      <c r="BG1154" s="387">
        <f t="shared" ref="BG1154:BG1217" si="797">IF(AND(AT1154&lt;&gt;0,AJ1154&lt;&gt;"PF"),Life*W1154,0)</f>
        <v>0</v>
      </c>
      <c r="BH1154" s="387">
        <f t="shared" ref="BH1154:BH1217" si="798">IF(AND(AT1154&lt;&gt;0,AM1154="Y"),UI*W1154,0)</f>
        <v>0</v>
      </c>
      <c r="BI1154" s="387">
        <f t="shared" ref="BI1154:BI1217" si="799">IF(AND(AT1154&lt;&gt;0,N1154&lt;&gt;"NR"),DHR*W1154,0)</f>
        <v>0</v>
      </c>
      <c r="BJ1154" s="387">
        <f t="shared" ref="BJ1154:BJ1217" si="800">IF(AT1154&lt;&gt;0,WC*W1154,0)</f>
        <v>0</v>
      </c>
      <c r="BK1154" s="387">
        <f t="shared" ref="BK1154:BK1217" si="801">IF(OR(AND(AT1154&lt;&gt;0,AJ1154&lt;&gt;"PF",AN1154&lt;&gt;"NE",AG1154&lt;&gt;"A"),AND(AL1154="E",OR(AT1154=1,AT1154=3))),Sick*W1154,0)</f>
        <v>0</v>
      </c>
      <c r="BL1154" s="387">
        <f t="shared" si="780"/>
        <v>0</v>
      </c>
      <c r="BM1154" s="387">
        <f t="shared" si="781"/>
        <v>0</v>
      </c>
      <c r="BN1154" s="387">
        <f t="shared" ref="BN1154:BN1217" si="802">IF(AND(AT1154=1,AK1154="E",AU1154&gt;=0.75,AW1154=1),HealthBY,IF(AND(AT1154=1,AK1154="E",AU1154&gt;=0.75),HealthBY*P1154,IF(AND(AT1154=1,AK1154="E",AU1154&gt;=0.5,AW1154=1),PTHealthBY,IF(AND(AT1154=1,AK1154="E",AU1154&gt;=0.5),PTHealthBY*P1154,0))))</f>
        <v>0</v>
      </c>
      <c r="BO1154" s="387">
        <f t="shared" ref="BO1154:BO1217" si="803">IF(AND(AT1154=3,AK1154="E",AV1154&gt;=0.75,AW1154=1),HealthBY,IF(AND(AT1154=3,AK1154="E",AV1154&gt;=0.75),HealthBY*P1154,IF(AND(AT1154=3,AK1154="E",AV1154&gt;=0.5,AW1154=1),PTHealthBY,IF(AND(AT1154=3,AK1154="E",AV1154&gt;=0.5),PTHealthBY*P1154,0))))</f>
        <v>0</v>
      </c>
      <c r="BP1154" s="387">
        <f t="shared" ref="BP1154:BP1217" si="804">IF(AND(AT1154&lt;&gt;0,(AX1154+BA1154)&gt;=MAXSSDIBY),SSDIBY*MAXSSDIBY*P1154,IF(AT1154&lt;&gt;0,SSDIBY*W1154,0))</f>
        <v>0</v>
      </c>
      <c r="BQ1154" s="387">
        <f t="shared" ref="BQ1154:BQ1217" si="805">IF(AT1154&lt;&gt;0,SSHIBY*W1154,0)</f>
        <v>0</v>
      </c>
      <c r="BR1154" s="387">
        <f t="shared" ref="BR1154:BR1217" si="806">IF(AND(AT1154&lt;&gt;0,AN1154&lt;&gt;"NE"),VLOOKUP(AN1154,Retirement_Rates,4,FALSE)*W1154,0)</f>
        <v>0</v>
      </c>
      <c r="BS1154" s="387">
        <f t="shared" ref="BS1154:BS1217" si="807">IF(AND(AT1154&lt;&gt;0,AJ1154&lt;&gt;"PF"),LifeBY*W1154,0)</f>
        <v>0</v>
      </c>
      <c r="BT1154" s="387">
        <f t="shared" ref="BT1154:BT1217" si="808">IF(AND(AT1154&lt;&gt;0,AM1154="Y"),UIBY*W1154,0)</f>
        <v>0</v>
      </c>
      <c r="BU1154" s="387">
        <f t="shared" ref="BU1154:BU1217" si="809">IF(AND(AT1154&lt;&gt;0,N1154&lt;&gt;"NR"),DHRBY*W1154,0)</f>
        <v>0</v>
      </c>
      <c r="BV1154" s="387">
        <f t="shared" ref="BV1154:BV1217" si="810">IF(AT1154&lt;&gt;0,WCBY*W1154,0)</f>
        <v>0</v>
      </c>
      <c r="BW1154" s="387">
        <f t="shared" ref="BW1154:BW1217" si="811">IF(OR(AND(AT1154&lt;&gt;0,AJ1154&lt;&gt;"PF",AN1154&lt;&gt;"NE",AG1154&lt;&gt;"A"),AND(AL1154="E",OR(AT1154=1,AT1154=3))),SickBY*W1154,0)</f>
        <v>0</v>
      </c>
      <c r="BX1154" s="387">
        <f t="shared" si="782"/>
        <v>0</v>
      </c>
      <c r="BY1154" s="387">
        <f t="shared" si="783"/>
        <v>0</v>
      </c>
      <c r="BZ1154" s="387">
        <f t="shared" si="784"/>
        <v>0</v>
      </c>
      <c r="CA1154" s="387">
        <f t="shared" si="785"/>
        <v>0</v>
      </c>
      <c r="CB1154" s="387">
        <f t="shared" si="786"/>
        <v>0</v>
      </c>
      <c r="CC1154" s="387">
        <f t="shared" ref="CC1154:CC1217" si="812">IF(AT1154&lt;&gt;0,SSHICHG*Y1154,0)</f>
        <v>0</v>
      </c>
      <c r="CD1154" s="387">
        <f t="shared" ref="CD1154:CD1217" si="813">IF(AND(AT1154&lt;&gt;0,AN1154&lt;&gt;"NE"),VLOOKUP(AN1154,Retirement_Rates,5,FALSE)*Y1154,0)</f>
        <v>0</v>
      </c>
      <c r="CE1154" s="387">
        <f t="shared" ref="CE1154:CE1217" si="814">IF(AND(AT1154&lt;&gt;0,AJ1154&lt;&gt;"PF"),LifeCHG*Y1154,0)</f>
        <v>0</v>
      </c>
      <c r="CF1154" s="387">
        <f t="shared" ref="CF1154:CF1217" si="815">IF(AND(AT1154&lt;&gt;0,AM1154="Y"),UICHG*Y1154,0)</f>
        <v>0</v>
      </c>
      <c r="CG1154" s="387">
        <f t="shared" ref="CG1154:CG1217" si="816">IF(AND(AT1154&lt;&gt;0,N1154&lt;&gt;"NR"),DHRCHG*Y1154,0)</f>
        <v>0</v>
      </c>
      <c r="CH1154" s="387">
        <f t="shared" ref="CH1154:CH1217" si="817">IF(AT1154&lt;&gt;0,WCCHG*Y1154,0)</f>
        <v>0</v>
      </c>
      <c r="CI1154" s="387">
        <f t="shared" ref="CI1154:CI1217" si="818">IF(OR(AND(AT1154&lt;&gt;0,AJ1154&lt;&gt;"PF",AN1154&lt;&gt;"NE",AG1154&lt;&gt;"A"),AND(AL1154="E",OR(AT1154=1,AT1154=3))),SickCHG*Y1154,0)</f>
        <v>0</v>
      </c>
      <c r="CJ1154" s="387">
        <f t="shared" si="787"/>
        <v>0</v>
      </c>
      <c r="CK1154" s="387" t="str">
        <f t="shared" si="788"/>
        <v/>
      </c>
      <c r="CL1154" s="387" t="str">
        <f t="shared" si="789"/>
        <v/>
      </c>
      <c r="CM1154" s="387" t="str">
        <f t="shared" si="790"/>
        <v/>
      </c>
      <c r="CN1154" s="387" t="str">
        <f t="shared" si="791"/>
        <v>0348-31</v>
      </c>
    </row>
    <row r="1155" spans="1:92" ht="15.75" thickBot="1" x14ac:dyDescent="0.3">
      <c r="A1155" s="376" t="s">
        <v>161</v>
      </c>
      <c r="B1155" s="376" t="s">
        <v>162</v>
      </c>
      <c r="C1155" s="376" t="s">
        <v>2380</v>
      </c>
      <c r="D1155" s="376" t="s">
        <v>2173</v>
      </c>
      <c r="E1155" s="376" t="s">
        <v>224</v>
      </c>
      <c r="F1155" s="382" t="s">
        <v>225</v>
      </c>
      <c r="G1155" s="376" t="s">
        <v>1945</v>
      </c>
      <c r="H1155" s="378"/>
      <c r="I1155" s="378"/>
      <c r="J1155" s="376" t="s">
        <v>215</v>
      </c>
      <c r="K1155" s="376" t="s">
        <v>2174</v>
      </c>
      <c r="L1155" s="376" t="s">
        <v>296</v>
      </c>
      <c r="M1155" s="376" t="s">
        <v>171</v>
      </c>
      <c r="N1155" s="376" t="s">
        <v>172</v>
      </c>
      <c r="O1155" s="379">
        <v>1</v>
      </c>
      <c r="P1155" s="385">
        <v>1</v>
      </c>
      <c r="Q1155" s="385">
        <v>1</v>
      </c>
      <c r="R1155" s="380">
        <v>80</v>
      </c>
      <c r="S1155" s="385">
        <v>1</v>
      </c>
      <c r="T1155" s="380">
        <v>49076.78</v>
      </c>
      <c r="U1155" s="380">
        <v>2380.6</v>
      </c>
      <c r="V1155" s="380">
        <v>22215.56</v>
      </c>
      <c r="W1155" s="380">
        <v>54808</v>
      </c>
      <c r="X1155" s="380">
        <v>23502.19</v>
      </c>
      <c r="Y1155" s="380">
        <v>54808</v>
      </c>
      <c r="Z1155" s="380">
        <v>23272</v>
      </c>
      <c r="AA1155" s="376" t="s">
        <v>2381</v>
      </c>
      <c r="AB1155" s="376" t="s">
        <v>2382</v>
      </c>
      <c r="AC1155" s="376" t="s">
        <v>2383</v>
      </c>
      <c r="AD1155" s="376" t="s">
        <v>324</v>
      </c>
      <c r="AE1155" s="376" t="s">
        <v>2174</v>
      </c>
      <c r="AF1155" s="376" t="s">
        <v>301</v>
      </c>
      <c r="AG1155" s="376" t="s">
        <v>178</v>
      </c>
      <c r="AH1155" s="381">
        <v>26.35</v>
      </c>
      <c r="AI1155" s="381">
        <v>27725.4</v>
      </c>
      <c r="AJ1155" s="376" t="s">
        <v>179</v>
      </c>
      <c r="AK1155" s="376" t="s">
        <v>180</v>
      </c>
      <c r="AL1155" s="376" t="s">
        <v>181</v>
      </c>
      <c r="AM1155" s="376" t="s">
        <v>182</v>
      </c>
      <c r="AN1155" s="376" t="s">
        <v>68</v>
      </c>
      <c r="AO1155" s="379">
        <v>80</v>
      </c>
      <c r="AP1155" s="385">
        <v>1</v>
      </c>
      <c r="AQ1155" s="385">
        <v>1</v>
      </c>
      <c r="AR1155" s="383" t="s">
        <v>183</v>
      </c>
      <c r="AS1155" s="387">
        <f t="shared" ref="AS1155:AS1218" si="819">IF(((AO1155/80)*AP1155*P1155)&gt;1,AQ1155,((AO1155/80)*AP1155*P1155))</f>
        <v>1</v>
      </c>
      <c r="AT1155">
        <f t="shared" ref="AT1155:AT1218" si="820">IF(AND(M1155="F",N1155&lt;&gt;"NG",AS1155&lt;&gt;0,AND(AR1155&lt;&gt;6,AR1155&lt;&gt;36,AR1155&lt;&gt;56),AG1155&lt;&gt;"A",OR(AG1155="H",AJ1155="FS")),1,IF(AND(M1155="F",N1155&lt;&gt;"NG",AS1155&lt;&gt;0,AG1155="A"),3,0))</f>
        <v>1</v>
      </c>
      <c r="AU1155" s="387">
        <f>IF(AT1155=0,"",IF(AND(AT1155=1,M1155="F",SUMIF(C2:C1334,C1155,AS2:AS1334)&lt;=1),SUMIF(C2:C1334,C1155,AS2:AS1334),IF(AND(AT1155=1,M1155="F",SUMIF(C2:C1334,C1155,AS2:AS1334)&gt;1),1,"")))</f>
        <v>1</v>
      </c>
      <c r="AV1155" s="387" t="str">
        <f>IF(AT1155=0,"",IF(AND(AT1155=3,M1155="F",SUMIF(C2:C1334,C1155,AS2:AS1334)&lt;=1),SUMIF(C2:C1334,C1155,AS2:AS1334),IF(AND(AT1155=3,M1155="F",SUMIF(C2:C1334,C1155,AS2:AS1334)&gt;1),1,"")))</f>
        <v/>
      </c>
      <c r="AW1155" s="387">
        <f>SUMIF(C2:C1334,C1155,O2:O1334)</f>
        <v>1</v>
      </c>
      <c r="AX1155" s="387">
        <f>IF(AND(M1155="F",AS1155&lt;&gt;0),SUMIF(C2:C1334,C1155,W2:W1334),0)</f>
        <v>54808</v>
      </c>
      <c r="AY1155" s="387">
        <f t="shared" ref="AY1155:AY1218" si="821">IF(AT1155=1,W1155,"")</f>
        <v>54808</v>
      </c>
      <c r="AZ1155" s="387" t="str">
        <f t="shared" ref="AZ1155:AZ1218" si="822">IF(AT1155=3,W1155,"")</f>
        <v/>
      </c>
      <c r="BA1155" s="387">
        <f t="shared" ref="BA1155:BA1218" si="823">IF(AT1155=1,Y1155-W1155,0)</f>
        <v>0</v>
      </c>
      <c r="BB1155" s="387">
        <f t="shared" si="792"/>
        <v>11650</v>
      </c>
      <c r="BC1155" s="387">
        <f t="shared" si="793"/>
        <v>0</v>
      </c>
      <c r="BD1155" s="387">
        <f t="shared" si="794"/>
        <v>3398.096</v>
      </c>
      <c r="BE1155" s="387">
        <f t="shared" si="795"/>
        <v>794.71600000000001</v>
      </c>
      <c r="BF1155" s="387">
        <f t="shared" si="796"/>
        <v>6544.0752000000002</v>
      </c>
      <c r="BG1155" s="387">
        <f t="shared" si="797"/>
        <v>395.16568000000001</v>
      </c>
      <c r="BH1155" s="387">
        <f t="shared" si="798"/>
        <v>268.55919999999998</v>
      </c>
      <c r="BI1155" s="387">
        <f t="shared" si="799"/>
        <v>303.36228</v>
      </c>
      <c r="BJ1155" s="387">
        <f t="shared" si="800"/>
        <v>147.98160000000001</v>
      </c>
      <c r="BK1155" s="387">
        <f t="shared" si="801"/>
        <v>0</v>
      </c>
      <c r="BL1155" s="387">
        <f t="shared" ref="BL1155:BL1218" si="824">IF(AT1155=1,SUM(BD1155:BK1155),0)</f>
        <v>11851.955959999999</v>
      </c>
      <c r="BM1155" s="387">
        <f t="shared" ref="BM1155:BM1218" si="825">IF(AT1155=3,SUM(BD1155:BK1155),0)</f>
        <v>0</v>
      </c>
      <c r="BN1155" s="387">
        <f t="shared" si="802"/>
        <v>11650</v>
      </c>
      <c r="BO1155" s="387">
        <f t="shared" si="803"/>
        <v>0</v>
      </c>
      <c r="BP1155" s="387">
        <f t="shared" si="804"/>
        <v>3398.096</v>
      </c>
      <c r="BQ1155" s="387">
        <f t="shared" si="805"/>
        <v>794.71600000000001</v>
      </c>
      <c r="BR1155" s="387">
        <f t="shared" si="806"/>
        <v>6544.0752000000002</v>
      </c>
      <c r="BS1155" s="387">
        <f t="shared" si="807"/>
        <v>395.16568000000001</v>
      </c>
      <c r="BT1155" s="387">
        <f t="shared" si="808"/>
        <v>0</v>
      </c>
      <c r="BU1155" s="387">
        <f t="shared" si="809"/>
        <v>303.36228</v>
      </c>
      <c r="BV1155" s="387">
        <f t="shared" si="810"/>
        <v>186.34719999999999</v>
      </c>
      <c r="BW1155" s="387">
        <f t="shared" si="811"/>
        <v>0</v>
      </c>
      <c r="BX1155" s="387">
        <f t="shared" ref="BX1155:BX1218" si="826">IF(AT1155=1,SUM(BP1155:BW1155),0)</f>
        <v>11621.762360000001</v>
      </c>
      <c r="BY1155" s="387">
        <f t="shared" ref="BY1155:BY1218" si="827">IF(AT1155=3,SUM(BP1155:BW1155),0)</f>
        <v>0</v>
      </c>
      <c r="BZ1155" s="387">
        <f t="shared" ref="BZ1155:BZ1218" si="828">IF(AT1155=1,BN1155-BB1155,0)</f>
        <v>0</v>
      </c>
      <c r="CA1155" s="387">
        <f t="shared" ref="CA1155:CA1218" si="829">IF(AT1155=3,BO1155-BC1155,0)</f>
        <v>0</v>
      </c>
      <c r="CB1155" s="387">
        <f t="shared" ref="CB1155:CB1218" si="830">BP1155-BD1155</f>
        <v>0</v>
      </c>
      <c r="CC1155" s="387">
        <f t="shared" si="812"/>
        <v>0</v>
      </c>
      <c r="CD1155" s="387">
        <f t="shared" si="813"/>
        <v>0</v>
      </c>
      <c r="CE1155" s="387">
        <f t="shared" si="814"/>
        <v>0</v>
      </c>
      <c r="CF1155" s="387">
        <f t="shared" si="815"/>
        <v>-268.55919999999998</v>
      </c>
      <c r="CG1155" s="387">
        <f t="shared" si="816"/>
        <v>0</v>
      </c>
      <c r="CH1155" s="387">
        <f t="shared" si="817"/>
        <v>38.365599999999979</v>
      </c>
      <c r="CI1155" s="387">
        <f t="shared" si="818"/>
        <v>0</v>
      </c>
      <c r="CJ1155" s="387">
        <f t="shared" ref="CJ1155:CJ1218" si="831">IF(AT1155=1,SUM(CB1155:CI1155),0)</f>
        <v>-230.1936</v>
      </c>
      <c r="CK1155" s="387" t="str">
        <f t="shared" ref="CK1155:CK1218" si="832">IF(AT1155=3,SUM(CB1155:CI1155),"")</f>
        <v/>
      </c>
      <c r="CL1155" s="387" t="str">
        <f t="shared" ref="CL1155:CL1218" si="833">IF(OR(N1155="NG",AG1155="D"),(T1155+U1155),"")</f>
        <v/>
      </c>
      <c r="CM1155" s="387" t="str">
        <f t="shared" ref="CM1155:CM1218" si="834">IF(OR(N1155="NG",AG1155="D"),V1155,"")</f>
        <v/>
      </c>
      <c r="CN1155" s="387" t="str">
        <f t="shared" ref="CN1155:CN1218" si="835">E1155 &amp; "-" &amp; F1155</f>
        <v>0348-31</v>
      </c>
    </row>
    <row r="1156" spans="1:92" ht="15.75" thickBot="1" x14ac:dyDescent="0.3">
      <c r="A1156" s="376" t="s">
        <v>161</v>
      </c>
      <c r="B1156" s="376" t="s">
        <v>162</v>
      </c>
      <c r="C1156" s="376" t="s">
        <v>2384</v>
      </c>
      <c r="D1156" s="376" t="s">
        <v>862</v>
      </c>
      <c r="E1156" s="376" t="s">
        <v>224</v>
      </c>
      <c r="F1156" s="382" t="s">
        <v>225</v>
      </c>
      <c r="G1156" s="376" t="s">
        <v>1945</v>
      </c>
      <c r="H1156" s="378"/>
      <c r="I1156" s="378"/>
      <c r="J1156" s="376" t="s">
        <v>215</v>
      </c>
      <c r="K1156" s="376" t="s">
        <v>863</v>
      </c>
      <c r="L1156" s="376" t="s">
        <v>252</v>
      </c>
      <c r="M1156" s="376" t="s">
        <v>171</v>
      </c>
      <c r="N1156" s="376" t="s">
        <v>172</v>
      </c>
      <c r="O1156" s="379">
        <v>1</v>
      </c>
      <c r="P1156" s="385">
        <v>1</v>
      </c>
      <c r="Q1156" s="385">
        <v>1</v>
      </c>
      <c r="R1156" s="380">
        <v>80</v>
      </c>
      <c r="S1156" s="385">
        <v>1</v>
      </c>
      <c r="T1156" s="380">
        <v>38508.050000000003</v>
      </c>
      <c r="U1156" s="380">
        <v>508.3</v>
      </c>
      <c r="V1156" s="380">
        <v>19721.2</v>
      </c>
      <c r="W1156" s="380">
        <v>40955.199999999997</v>
      </c>
      <c r="X1156" s="380">
        <v>20506.54</v>
      </c>
      <c r="Y1156" s="380">
        <v>40955.199999999997</v>
      </c>
      <c r="Z1156" s="380">
        <v>20334.53</v>
      </c>
      <c r="AA1156" s="376" t="s">
        <v>2385</v>
      </c>
      <c r="AB1156" s="376" t="s">
        <v>2386</v>
      </c>
      <c r="AC1156" s="376" t="s">
        <v>1534</v>
      </c>
      <c r="AD1156" s="376" t="s">
        <v>324</v>
      </c>
      <c r="AE1156" s="376" t="s">
        <v>863</v>
      </c>
      <c r="AF1156" s="376" t="s">
        <v>393</v>
      </c>
      <c r="AG1156" s="376" t="s">
        <v>178</v>
      </c>
      <c r="AH1156" s="381">
        <v>19.690000000000001</v>
      </c>
      <c r="AI1156" s="381">
        <v>9605.5</v>
      </c>
      <c r="AJ1156" s="376" t="s">
        <v>179</v>
      </c>
      <c r="AK1156" s="376" t="s">
        <v>180</v>
      </c>
      <c r="AL1156" s="376" t="s">
        <v>181</v>
      </c>
      <c r="AM1156" s="376" t="s">
        <v>182</v>
      </c>
      <c r="AN1156" s="376" t="s">
        <v>68</v>
      </c>
      <c r="AO1156" s="379">
        <v>80</v>
      </c>
      <c r="AP1156" s="385">
        <v>1</v>
      </c>
      <c r="AQ1156" s="385">
        <v>1</v>
      </c>
      <c r="AR1156" s="383" t="s">
        <v>183</v>
      </c>
      <c r="AS1156" s="387">
        <f t="shared" si="819"/>
        <v>1</v>
      </c>
      <c r="AT1156">
        <f t="shared" si="820"/>
        <v>1</v>
      </c>
      <c r="AU1156" s="387">
        <f>IF(AT1156=0,"",IF(AND(AT1156=1,M1156="F",SUMIF(C2:C1334,C1156,AS2:AS1334)&lt;=1),SUMIF(C2:C1334,C1156,AS2:AS1334),IF(AND(AT1156=1,M1156="F",SUMIF(C2:C1334,C1156,AS2:AS1334)&gt;1),1,"")))</f>
        <v>1</v>
      </c>
      <c r="AV1156" s="387" t="str">
        <f>IF(AT1156=0,"",IF(AND(AT1156=3,M1156="F",SUMIF(C2:C1334,C1156,AS2:AS1334)&lt;=1),SUMIF(C2:C1334,C1156,AS2:AS1334),IF(AND(AT1156=3,M1156="F",SUMIF(C2:C1334,C1156,AS2:AS1334)&gt;1),1,"")))</f>
        <v/>
      </c>
      <c r="AW1156" s="387">
        <f>SUMIF(C2:C1334,C1156,O2:O1334)</f>
        <v>1</v>
      </c>
      <c r="AX1156" s="387">
        <f>IF(AND(M1156="F",AS1156&lt;&gt;0),SUMIF(C2:C1334,C1156,W2:W1334),0)</f>
        <v>40955.199999999997</v>
      </c>
      <c r="AY1156" s="387">
        <f t="shared" si="821"/>
        <v>40955.199999999997</v>
      </c>
      <c r="AZ1156" s="387" t="str">
        <f t="shared" si="822"/>
        <v/>
      </c>
      <c r="BA1156" s="387">
        <f t="shared" si="823"/>
        <v>0</v>
      </c>
      <c r="BB1156" s="387">
        <f t="shared" si="792"/>
        <v>11650</v>
      </c>
      <c r="BC1156" s="387">
        <f t="shared" si="793"/>
        <v>0</v>
      </c>
      <c r="BD1156" s="387">
        <f t="shared" si="794"/>
        <v>2539.2223999999997</v>
      </c>
      <c r="BE1156" s="387">
        <f t="shared" si="795"/>
        <v>593.85040000000004</v>
      </c>
      <c r="BF1156" s="387">
        <f t="shared" si="796"/>
        <v>4890.0508799999998</v>
      </c>
      <c r="BG1156" s="387">
        <f t="shared" si="797"/>
        <v>295.286992</v>
      </c>
      <c r="BH1156" s="387">
        <f t="shared" si="798"/>
        <v>200.68047999999999</v>
      </c>
      <c r="BI1156" s="387">
        <f t="shared" si="799"/>
        <v>226.68703199999999</v>
      </c>
      <c r="BJ1156" s="387">
        <f t="shared" si="800"/>
        <v>110.57903999999999</v>
      </c>
      <c r="BK1156" s="387">
        <f t="shared" si="801"/>
        <v>0</v>
      </c>
      <c r="BL1156" s="387">
        <f t="shared" si="824"/>
        <v>8856.3572240000012</v>
      </c>
      <c r="BM1156" s="387">
        <f t="shared" si="825"/>
        <v>0</v>
      </c>
      <c r="BN1156" s="387">
        <f t="shared" si="802"/>
        <v>11650</v>
      </c>
      <c r="BO1156" s="387">
        <f t="shared" si="803"/>
        <v>0</v>
      </c>
      <c r="BP1156" s="387">
        <f t="shared" si="804"/>
        <v>2539.2223999999997</v>
      </c>
      <c r="BQ1156" s="387">
        <f t="shared" si="805"/>
        <v>593.85040000000004</v>
      </c>
      <c r="BR1156" s="387">
        <f t="shared" si="806"/>
        <v>4890.0508799999998</v>
      </c>
      <c r="BS1156" s="387">
        <f t="shared" si="807"/>
        <v>295.286992</v>
      </c>
      <c r="BT1156" s="387">
        <f t="shared" si="808"/>
        <v>0</v>
      </c>
      <c r="BU1156" s="387">
        <f t="shared" si="809"/>
        <v>226.68703199999999</v>
      </c>
      <c r="BV1156" s="387">
        <f t="shared" si="810"/>
        <v>139.24767999999997</v>
      </c>
      <c r="BW1156" s="387">
        <f t="shared" si="811"/>
        <v>0</v>
      </c>
      <c r="BX1156" s="387">
        <f t="shared" si="826"/>
        <v>8684.3453840000002</v>
      </c>
      <c r="BY1156" s="387">
        <f t="shared" si="827"/>
        <v>0</v>
      </c>
      <c r="BZ1156" s="387">
        <f t="shared" si="828"/>
        <v>0</v>
      </c>
      <c r="CA1156" s="387">
        <f t="shared" si="829"/>
        <v>0</v>
      </c>
      <c r="CB1156" s="387">
        <f t="shared" si="830"/>
        <v>0</v>
      </c>
      <c r="CC1156" s="387">
        <f t="shared" si="812"/>
        <v>0</v>
      </c>
      <c r="CD1156" s="387">
        <f t="shared" si="813"/>
        <v>0</v>
      </c>
      <c r="CE1156" s="387">
        <f t="shared" si="814"/>
        <v>0</v>
      </c>
      <c r="CF1156" s="387">
        <f t="shared" si="815"/>
        <v>-200.68047999999999</v>
      </c>
      <c r="CG1156" s="387">
        <f t="shared" si="816"/>
        <v>0</v>
      </c>
      <c r="CH1156" s="387">
        <f t="shared" si="817"/>
        <v>28.668639999999986</v>
      </c>
      <c r="CI1156" s="387">
        <f t="shared" si="818"/>
        <v>0</v>
      </c>
      <c r="CJ1156" s="387">
        <f t="shared" si="831"/>
        <v>-172.01184000000001</v>
      </c>
      <c r="CK1156" s="387" t="str">
        <f t="shared" si="832"/>
        <v/>
      </c>
      <c r="CL1156" s="387" t="str">
        <f t="shared" si="833"/>
        <v/>
      </c>
      <c r="CM1156" s="387" t="str">
        <f t="shared" si="834"/>
        <v/>
      </c>
      <c r="CN1156" s="387" t="str">
        <f t="shared" si="835"/>
        <v>0348-31</v>
      </c>
    </row>
    <row r="1157" spans="1:92" ht="15.75" thickBot="1" x14ac:dyDescent="0.3">
      <c r="A1157" s="376" t="s">
        <v>161</v>
      </c>
      <c r="B1157" s="376" t="s">
        <v>162</v>
      </c>
      <c r="C1157" s="376" t="s">
        <v>2387</v>
      </c>
      <c r="D1157" s="376" t="s">
        <v>862</v>
      </c>
      <c r="E1157" s="376" t="s">
        <v>224</v>
      </c>
      <c r="F1157" s="382" t="s">
        <v>225</v>
      </c>
      <c r="G1157" s="376" t="s">
        <v>1945</v>
      </c>
      <c r="H1157" s="378"/>
      <c r="I1157" s="378"/>
      <c r="J1157" s="376" t="s">
        <v>215</v>
      </c>
      <c r="K1157" s="376" t="s">
        <v>863</v>
      </c>
      <c r="L1157" s="376" t="s">
        <v>252</v>
      </c>
      <c r="M1157" s="376" t="s">
        <v>171</v>
      </c>
      <c r="N1157" s="376" t="s">
        <v>172</v>
      </c>
      <c r="O1157" s="379">
        <v>1</v>
      </c>
      <c r="P1157" s="385">
        <v>1</v>
      </c>
      <c r="Q1157" s="385">
        <v>1</v>
      </c>
      <c r="R1157" s="380">
        <v>80</v>
      </c>
      <c r="S1157" s="385">
        <v>1</v>
      </c>
      <c r="T1157" s="380">
        <v>36342.120000000003</v>
      </c>
      <c r="U1157" s="380">
        <v>1705.53</v>
      </c>
      <c r="V1157" s="380">
        <v>19231.79</v>
      </c>
      <c r="W1157" s="380">
        <v>39041.599999999999</v>
      </c>
      <c r="X1157" s="380">
        <v>20092.71</v>
      </c>
      <c r="Y1157" s="380">
        <v>39041.599999999999</v>
      </c>
      <c r="Z1157" s="380">
        <v>19928.740000000002</v>
      </c>
      <c r="AA1157" s="376" t="s">
        <v>2388</v>
      </c>
      <c r="AB1157" s="376" t="s">
        <v>2389</v>
      </c>
      <c r="AC1157" s="376" t="s">
        <v>2390</v>
      </c>
      <c r="AD1157" s="376" t="s">
        <v>587</v>
      </c>
      <c r="AE1157" s="376" t="s">
        <v>863</v>
      </c>
      <c r="AF1157" s="376" t="s">
        <v>393</v>
      </c>
      <c r="AG1157" s="376" t="s">
        <v>178</v>
      </c>
      <c r="AH1157" s="381">
        <v>18.77</v>
      </c>
      <c r="AI1157" s="381">
        <v>2380.3000000000002</v>
      </c>
      <c r="AJ1157" s="376" t="s">
        <v>179</v>
      </c>
      <c r="AK1157" s="376" t="s">
        <v>180</v>
      </c>
      <c r="AL1157" s="376" t="s">
        <v>181</v>
      </c>
      <c r="AM1157" s="376" t="s">
        <v>182</v>
      </c>
      <c r="AN1157" s="376" t="s">
        <v>68</v>
      </c>
      <c r="AO1157" s="379">
        <v>80</v>
      </c>
      <c r="AP1157" s="385">
        <v>1</v>
      </c>
      <c r="AQ1157" s="385">
        <v>1</v>
      </c>
      <c r="AR1157" s="383" t="s">
        <v>183</v>
      </c>
      <c r="AS1157" s="387">
        <f t="shared" si="819"/>
        <v>1</v>
      </c>
      <c r="AT1157">
        <f t="shared" si="820"/>
        <v>1</v>
      </c>
      <c r="AU1157" s="387">
        <f>IF(AT1157=0,"",IF(AND(AT1157=1,M1157="F",SUMIF(C2:C1334,C1157,AS2:AS1334)&lt;=1),SUMIF(C2:C1334,C1157,AS2:AS1334),IF(AND(AT1157=1,M1157="F",SUMIF(C2:C1334,C1157,AS2:AS1334)&gt;1),1,"")))</f>
        <v>1</v>
      </c>
      <c r="AV1157" s="387" t="str">
        <f>IF(AT1157=0,"",IF(AND(AT1157=3,M1157="F",SUMIF(C2:C1334,C1157,AS2:AS1334)&lt;=1),SUMIF(C2:C1334,C1157,AS2:AS1334),IF(AND(AT1157=3,M1157="F",SUMIF(C2:C1334,C1157,AS2:AS1334)&gt;1),1,"")))</f>
        <v/>
      </c>
      <c r="AW1157" s="387">
        <f>SUMIF(C2:C1334,C1157,O2:O1334)</f>
        <v>1</v>
      </c>
      <c r="AX1157" s="387">
        <f>IF(AND(M1157="F",AS1157&lt;&gt;0),SUMIF(C2:C1334,C1157,W2:W1334),0)</f>
        <v>39041.599999999999</v>
      </c>
      <c r="AY1157" s="387">
        <f t="shared" si="821"/>
        <v>39041.599999999999</v>
      </c>
      <c r="AZ1157" s="387" t="str">
        <f t="shared" si="822"/>
        <v/>
      </c>
      <c r="BA1157" s="387">
        <f t="shared" si="823"/>
        <v>0</v>
      </c>
      <c r="BB1157" s="387">
        <f t="shared" si="792"/>
        <v>11650</v>
      </c>
      <c r="BC1157" s="387">
        <f t="shared" si="793"/>
        <v>0</v>
      </c>
      <c r="BD1157" s="387">
        <f t="shared" si="794"/>
        <v>2420.5791999999997</v>
      </c>
      <c r="BE1157" s="387">
        <f t="shared" si="795"/>
        <v>566.10320000000002</v>
      </c>
      <c r="BF1157" s="387">
        <f t="shared" si="796"/>
        <v>4661.5670399999999</v>
      </c>
      <c r="BG1157" s="387">
        <f t="shared" si="797"/>
        <v>281.489936</v>
      </c>
      <c r="BH1157" s="387">
        <f t="shared" si="798"/>
        <v>191.30383999999998</v>
      </c>
      <c r="BI1157" s="387">
        <f t="shared" si="799"/>
        <v>216.09525599999998</v>
      </c>
      <c r="BJ1157" s="387">
        <f t="shared" si="800"/>
        <v>105.41232000000001</v>
      </c>
      <c r="BK1157" s="387">
        <f t="shared" si="801"/>
        <v>0</v>
      </c>
      <c r="BL1157" s="387">
        <f t="shared" si="824"/>
        <v>8442.5507919999982</v>
      </c>
      <c r="BM1157" s="387">
        <f t="shared" si="825"/>
        <v>0</v>
      </c>
      <c r="BN1157" s="387">
        <f t="shared" si="802"/>
        <v>11650</v>
      </c>
      <c r="BO1157" s="387">
        <f t="shared" si="803"/>
        <v>0</v>
      </c>
      <c r="BP1157" s="387">
        <f t="shared" si="804"/>
        <v>2420.5791999999997</v>
      </c>
      <c r="BQ1157" s="387">
        <f t="shared" si="805"/>
        <v>566.10320000000002</v>
      </c>
      <c r="BR1157" s="387">
        <f t="shared" si="806"/>
        <v>4661.5670399999999</v>
      </c>
      <c r="BS1157" s="387">
        <f t="shared" si="807"/>
        <v>281.489936</v>
      </c>
      <c r="BT1157" s="387">
        <f t="shared" si="808"/>
        <v>0</v>
      </c>
      <c r="BU1157" s="387">
        <f t="shared" si="809"/>
        <v>216.09525599999998</v>
      </c>
      <c r="BV1157" s="387">
        <f t="shared" si="810"/>
        <v>132.74143999999998</v>
      </c>
      <c r="BW1157" s="387">
        <f t="shared" si="811"/>
        <v>0</v>
      </c>
      <c r="BX1157" s="387">
        <f t="shared" si="826"/>
        <v>8278.5760719999998</v>
      </c>
      <c r="BY1157" s="387">
        <f t="shared" si="827"/>
        <v>0</v>
      </c>
      <c r="BZ1157" s="387">
        <f t="shared" si="828"/>
        <v>0</v>
      </c>
      <c r="CA1157" s="387">
        <f t="shared" si="829"/>
        <v>0</v>
      </c>
      <c r="CB1157" s="387">
        <f t="shared" si="830"/>
        <v>0</v>
      </c>
      <c r="CC1157" s="387">
        <f t="shared" si="812"/>
        <v>0</v>
      </c>
      <c r="CD1157" s="387">
        <f t="shared" si="813"/>
        <v>0</v>
      </c>
      <c r="CE1157" s="387">
        <f t="shared" si="814"/>
        <v>0</v>
      </c>
      <c r="CF1157" s="387">
        <f t="shared" si="815"/>
        <v>-191.30383999999998</v>
      </c>
      <c r="CG1157" s="387">
        <f t="shared" si="816"/>
        <v>0</v>
      </c>
      <c r="CH1157" s="387">
        <f t="shared" si="817"/>
        <v>27.329119999999985</v>
      </c>
      <c r="CI1157" s="387">
        <f t="shared" si="818"/>
        <v>0</v>
      </c>
      <c r="CJ1157" s="387">
        <f t="shared" si="831"/>
        <v>-163.97471999999999</v>
      </c>
      <c r="CK1157" s="387" t="str">
        <f t="shared" si="832"/>
        <v/>
      </c>
      <c r="CL1157" s="387" t="str">
        <f t="shared" si="833"/>
        <v/>
      </c>
      <c r="CM1157" s="387" t="str">
        <f t="shared" si="834"/>
        <v/>
      </c>
      <c r="CN1157" s="387" t="str">
        <f t="shared" si="835"/>
        <v>0348-31</v>
      </c>
    </row>
    <row r="1158" spans="1:92" ht="15.75" thickBot="1" x14ac:dyDescent="0.3">
      <c r="A1158" s="376" t="s">
        <v>161</v>
      </c>
      <c r="B1158" s="376" t="s">
        <v>162</v>
      </c>
      <c r="C1158" s="376" t="s">
        <v>1499</v>
      </c>
      <c r="D1158" s="376" t="s">
        <v>868</v>
      </c>
      <c r="E1158" s="376" t="s">
        <v>224</v>
      </c>
      <c r="F1158" s="382" t="s">
        <v>225</v>
      </c>
      <c r="G1158" s="376" t="s">
        <v>1945</v>
      </c>
      <c r="H1158" s="378"/>
      <c r="I1158" s="378"/>
      <c r="J1158" s="376" t="s">
        <v>215</v>
      </c>
      <c r="K1158" s="376" t="s">
        <v>869</v>
      </c>
      <c r="L1158" s="376" t="s">
        <v>296</v>
      </c>
      <c r="M1158" s="376" t="s">
        <v>171</v>
      </c>
      <c r="N1158" s="376" t="s">
        <v>172</v>
      </c>
      <c r="O1158" s="379">
        <v>1</v>
      </c>
      <c r="P1158" s="385">
        <v>1</v>
      </c>
      <c r="Q1158" s="385">
        <v>1</v>
      </c>
      <c r="R1158" s="380">
        <v>80</v>
      </c>
      <c r="S1158" s="385">
        <v>1</v>
      </c>
      <c r="T1158" s="380">
        <v>0</v>
      </c>
      <c r="U1158" s="380">
        <v>0</v>
      </c>
      <c r="V1158" s="380">
        <v>0</v>
      </c>
      <c r="W1158" s="380">
        <v>42016</v>
      </c>
      <c r="X1158" s="380">
        <v>20735.93</v>
      </c>
      <c r="Y1158" s="380">
        <v>42016</v>
      </c>
      <c r="Z1158" s="380">
        <v>20559.47</v>
      </c>
      <c r="AA1158" s="376" t="s">
        <v>1500</v>
      </c>
      <c r="AB1158" s="376" t="s">
        <v>1501</v>
      </c>
      <c r="AC1158" s="376" t="s">
        <v>412</v>
      </c>
      <c r="AD1158" s="376" t="s">
        <v>1502</v>
      </c>
      <c r="AE1158" s="376" t="s">
        <v>873</v>
      </c>
      <c r="AF1158" s="376" t="s">
        <v>393</v>
      </c>
      <c r="AG1158" s="376" t="s">
        <v>178</v>
      </c>
      <c r="AH1158" s="381">
        <v>20.2</v>
      </c>
      <c r="AI1158" s="379">
        <v>1600</v>
      </c>
      <c r="AJ1158" s="376" t="s">
        <v>179</v>
      </c>
      <c r="AK1158" s="376" t="s">
        <v>180</v>
      </c>
      <c r="AL1158" s="376" t="s">
        <v>181</v>
      </c>
      <c r="AM1158" s="376" t="s">
        <v>182</v>
      </c>
      <c r="AN1158" s="376" t="s">
        <v>68</v>
      </c>
      <c r="AO1158" s="379">
        <v>80</v>
      </c>
      <c r="AP1158" s="385">
        <v>1</v>
      </c>
      <c r="AQ1158" s="385">
        <v>1</v>
      </c>
      <c r="AR1158" s="383">
        <v>3</v>
      </c>
      <c r="AS1158" s="387">
        <f t="shared" si="819"/>
        <v>1</v>
      </c>
      <c r="AT1158">
        <f t="shared" si="820"/>
        <v>1</v>
      </c>
      <c r="AU1158" s="387">
        <f>IF(AT1158=0,"",IF(AND(AT1158=1,M1158="F",SUMIF(C2:C1334,C1158,AS2:AS1334)&lt;=1),SUMIF(C2:C1334,C1158,AS2:AS1334),IF(AND(AT1158=1,M1158="F",SUMIF(C2:C1334,C1158,AS2:AS1334)&gt;1),1,"")))</f>
        <v>1</v>
      </c>
      <c r="AV1158" s="387" t="str">
        <f>IF(AT1158=0,"",IF(AND(AT1158=3,M1158="F",SUMIF(C2:C1334,C1158,AS2:AS1334)&lt;=1),SUMIF(C2:C1334,C1158,AS2:AS1334),IF(AND(AT1158=3,M1158="F",SUMIF(C2:C1334,C1158,AS2:AS1334)&gt;1),1,"")))</f>
        <v/>
      </c>
      <c r="AW1158" s="387">
        <f>SUMIF(C2:C1334,C1158,O2:O1334)</f>
        <v>2</v>
      </c>
      <c r="AX1158" s="387">
        <f>IF(AND(M1158="F",AS1158&lt;&gt;0),SUMIF(C2:C1334,C1158,W2:W1334),0)</f>
        <v>42016</v>
      </c>
      <c r="AY1158" s="387">
        <f t="shared" si="821"/>
        <v>42016</v>
      </c>
      <c r="AZ1158" s="387" t="str">
        <f t="shared" si="822"/>
        <v/>
      </c>
      <c r="BA1158" s="387">
        <f t="shared" si="823"/>
        <v>0</v>
      </c>
      <c r="BB1158" s="387">
        <f t="shared" si="792"/>
        <v>11650</v>
      </c>
      <c r="BC1158" s="387">
        <f t="shared" si="793"/>
        <v>0</v>
      </c>
      <c r="BD1158" s="387">
        <f t="shared" si="794"/>
        <v>2604.9920000000002</v>
      </c>
      <c r="BE1158" s="387">
        <f t="shared" si="795"/>
        <v>609.23200000000008</v>
      </c>
      <c r="BF1158" s="387">
        <f t="shared" si="796"/>
        <v>5016.7103999999999</v>
      </c>
      <c r="BG1158" s="387">
        <f t="shared" si="797"/>
        <v>302.93536</v>
      </c>
      <c r="BH1158" s="387">
        <f t="shared" si="798"/>
        <v>205.8784</v>
      </c>
      <c r="BI1158" s="387">
        <f t="shared" si="799"/>
        <v>232.55856</v>
      </c>
      <c r="BJ1158" s="387">
        <f t="shared" si="800"/>
        <v>113.4432</v>
      </c>
      <c r="BK1158" s="387">
        <f t="shared" si="801"/>
        <v>0</v>
      </c>
      <c r="BL1158" s="387">
        <f t="shared" si="824"/>
        <v>9085.7499199999984</v>
      </c>
      <c r="BM1158" s="387">
        <f t="shared" si="825"/>
        <v>0</v>
      </c>
      <c r="BN1158" s="387">
        <f t="shared" si="802"/>
        <v>11650</v>
      </c>
      <c r="BO1158" s="387">
        <f t="shared" si="803"/>
        <v>0</v>
      </c>
      <c r="BP1158" s="387">
        <f t="shared" si="804"/>
        <v>2604.9920000000002</v>
      </c>
      <c r="BQ1158" s="387">
        <f t="shared" si="805"/>
        <v>609.23200000000008</v>
      </c>
      <c r="BR1158" s="387">
        <f t="shared" si="806"/>
        <v>5016.7103999999999</v>
      </c>
      <c r="BS1158" s="387">
        <f t="shared" si="807"/>
        <v>302.93536</v>
      </c>
      <c r="BT1158" s="387">
        <f t="shared" si="808"/>
        <v>0</v>
      </c>
      <c r="BU1158" s="387">
        <f t="shared" si="809"/>
        <v>232.55856</v>
      </c>
      <c r="BV1158" s="387">
        <f t="shared" si="810"/>
        <v>142.8544</v>
      </c>
      <c r="BW1158" s="387">
        <f t="shared" si="811"/>
        <v>0</v>
      </c>
      <c r="BX1158" s="387">
        <f t="shared" si="826"/>
        <v>8909.2827199999992</v>
      </c>
      <c r="BY1158" s="387">
        <f t="shared" si="827"/>
        <v>0</v>
      </c>
      <c r="BZ1158" s="387">
        <f t="shared" si="828"/>
        <v>0</v>
      </c>
      <c r="CA1158" s="387">
        <f t="shared" si="829"/>
        <v>0</v>
      </c>
      <c r="CB1158" s="387">
        <f t="shared" si="830"/>
        <v>0</v>
      </c>
      <c r="CC1158" s="387">
        <f t="shared" si="812"/>
        <v>0</v>
      </c>
      <c r="CD1158" s="387">
        <f t="shared" si="813"/>
        <v>0</v>
      </c>
      <c r="CE1158" s="387">
        <f t="shared" si="814"/>
        <v>0</v>
      </c>
      <c r="CF1158" s="387">
        <f t="shared" si="815"/>
        <v>-205.8784</v>
      </c>
      <c r="CG1158" s="387">
        <f t="shared" si="816"/>
        <v>0</v>
      </c>
      <c r="CH1158" s="387">
        <f t="shared" si="817"/>
        <v>29.411199999999987</v>
      </c>
      <c r="CI1158" s="387">
        <f t="shared" si="818"/>
        <v>0</v>
      </c>
      <c r="CJ1158" s="387">
        <f t="shared" si="831"/>
        <v>-176.46720000000002</v>
      </c>
      <c r="CK1158" s="387" t="str">
        <f t="shared" si="832"/>
        <v/>
      </c>
      <c r="CL1158" s="387" t="str">
        <f t="shared" si="833"/>
        <v/>
      </c>
      <c r="CM1158" s="387" t="str">
        <f t="shared" si="834"/>
        <v/>
      </c>
      <c r="CN1158" s="387" t="str">
        <f t="shared" si="835"/>
        <v>0348-31</v>
      </c>
    </row>
    <row r="1159" spans="1:92" ht="15.75" thickBot="1" x14ac:dyDescent="0.3">
      <c r="A1159" s="376" t="s">
        <v>161</v>
      </c>
      <c r="B1159" s="376" t="s">
        <v>162</v>
      </c>
      <c r="C1159" s="376" t="s">
        <v>1644</v>
      </c>
      <c r="D1159" s="376" t="s">
        <v>974</v>
      </c>
      <c r="E1159" s="376" t="s">
        <v>224</v>
      </c>
      <c r="F1159" s="382" t="s">
        <v>225</v>
      </c>
      <c r="G1159" s="376" t="s">
        <v>1945</v>
      </c>
      <c r="H1159" s="378"/>
      <c r="I1159" s="378"/>
      <c r="J1159" s="376" t="s">
        <v>215</v>
      </c>
      <c r="K1159" s="376" t="s">
        <v>975</v>
      </c>
      <c r="L1159" s="376" t="s">
        <v>296</v>
      </c>
      <c r="M1159" s="376" t="s">
        <v>272</v>
      </c>
      <c r="N1159" s="376" t="s">
        <v>172</v>
      </c>
      <c r="O1159" s="379">
        <v>0</v>
      </c>
      <c r="P1159" s="385">
        <v>1</v>
      </c>
      <c r="Q1159" s="385">
        <v>1</v>
      </c>
      <c r="R1159" s="380">
        <v>80</v>
      </c>
      <c r="S1159" s="385">
        <v>1</v>
      </c>
      <c r="T1159" s="380">
        <v>24681.97</v>
      </c>
      <c r="U1159" s="380">
        <v>63.68</v>
      </c>
      <c r="V1159" s="380">
        <v>12217.39</v>
      </c>
      <c r="W1159" s="380">
        <v>47403.199999999997</v>
      </c>
      <c r="X1159" s="380">
        <v>20762.599999999999</v>
      </c>
      <c r="Y1159" s="380">
        <v>47403.199999999997</v>
      </c>
      <c r="Z1159" s="380">
        <v>20525.580000000002</v>
      </c>
      <c r="AA1159" s="378"/>
      <c r="AB1159" s="376" t="s">
        <v>45</v>
      </c>
      <c r="AC1159" s="376" t="s">
        <v>45</v>
      </c>
      <c r="AD1159" s="378"/>
      <c r="AE1159" s="378"/>
      <c r="AF1159" s="378"/>
      <c r="AG1159" s="378"/>
      <c r="AH1159" s="379">
        <v>0</v>
      </c>
      <c r="AI1159" s="379">
        <v>0</v>
      </c>
      <c r="AJ1159" s="378"/>
      <c r="AK1159" s="378"/>
      <c r="AL1159" s="376" t="s">
        <v>181</v>
      </c>
      <c r="AM1159" s="378"/>
      <c r="AN1159" s="378"/>
      <c r="AO1159" s="379">
        <v>0</v>
      </c>
      <c r="AP1159" s="385">
        <v>0</v>
      </c>
      <c r="AQ1159" s="385">
        <v>0</v>
      </c>
      <c r="AR1159" s="384"/>
      <c r="AS1159" s="387">
        <f t="shared" si="819"/>
        <v>0</v>
      </c>
      <c r="AT1159">
        <f t="shared" si="820"/>
        <v>0</v>
      </c>
      <c r="AU1159" s="387" t="str">
        <f>IF(AT1159=0,"",IF(AND(AT1159=1,M1159="F",SUMIF(C2:C1334,C1159,AS2:AS1334)&lt;=1),SUMIF(C2:C1334,C1159,AS2:AS1334),IF(AND(AT1159=1,M1159="F",SUMIF(C2:C1334,C1159,AS2:AS1334)&gt;1),1,"")))</f>
        <v/>
      </c>
      <c r="AV1159" s="387" t="str">
        <f>IF(AT1159=0,"",IF(AND(AT1159=3,M1159="F",SUMIF(C2:C1334,C1159,AS2:AS1334)&lt;=1),SUMIF(C2:C1334,C1159,AS2:AS1334),IF(AND(AT1159=3,M1159="F",SUMIF(C2:C1334,C1159,AS2:AS1334)&gt;1),1,"")))</f>
        <v/>
      </c>
      <c r="AW1159" s="387">
        <f>SUMIF(C2:C1334,C1159,O2:O1334)</f>
        <v>0</v>
      </c>
      <c r="AX1159" s="387">
        <f>IF(AND(M1159="F",AS1159&lt;&gt;0),SUMIF(C2:C1334,C1159,W2:W1334),0)</f>
        <v>0</v>
      </c>
      <c r="AY1159" s="387" t="str">
        <f t="shared" si="821"/>
        <v/>
      </c>
      <c r="AZ1159" s="387" t="str">
        <f t="shared" si="822"/>
        <v/>
      </c>
      <c r="BA1159" s="387">
        <f t="shared" si="823"/>
        <v>0</v>
      </c>
      <c r="BB1159" s="387">
        <f t="shared" si="792"/>
        <v>0</v>
      </c>
      <c r="BC1159" s="387">
        <f t="shared" si="793"/>
        <v>0</v>
      </c>
      <c r="BD1159" s="387">
        <f t="shared" si="794"/>
        <v>0</v>
      </c>
      <c r="BE1159" s="387">
        <f t="shared" si="795"/>
        <v>0</v>
      </c>
      <c r="BF1159" s="387">
        <f t="shared" si="796"/>
        <v>0</v>
      </c>
      <c r="BG1159" s="387">
        <f t="shared" si="797"/>
        <v>0</v>
      </c>
      <c r="BH1159" s="387">
        <f t="shared" si="798"/>
        <v>0</v>
      </c>
      <c r="BI1159" s="387">
        <f t="shared" si="799"/>
        <v>0</v>
      </c>
      <c r="BJ1159" s="387">
        <f t="shared" si="800"/>
        <v>0</v>
      </c>
      <c r="BK1159" s="387">
        <f t="shared" si="801"/>
        <v>0</v>
      </c>
      <c r="BL1159" s="387">
        <f t="shared" si="824"/>
        <v>0</v>
      </c>
      <c r="BM1159" s="387">
        <f t="shared" si="825"/>
        <v>0</v>
      </c>
      <c r="BN1159" s="387">
        <f t="shared" si="802"/>
        <v>0</v>
      </c>
      <c r="BO1159" s="387">
        <f t="shared" si="803"/>
        <v>0</v>
      </c>
      <c r="BP1159" s="387">
        <f t="shared" si="804"/>
        <v>0</v>
      </c>
      <c r="BQ1159" s="387">
        <f t="shared" si="805"/>
        <v>0</v>
      </c>
      <c r="BR1159" s="387">
        <f t="shared" si="806"/>
        <v>0</v>
      </c>
      <c r="BS1159" s="387">
        <f t="shared" si="807"/>
        <v>0</v>
      </c>
      <c r="BT1159" s="387">
        <f t="shared" si="808"/>
        <v>0</v>
      </c>
      <c r="BU1159" s="387">
        <f t="shared" si="809"/>
        <v>0</v>
      </c>
      <c r="BV1159" s="387">
        <f t="shared" si="810"/>
        <v>0</v>
      </c>
      <c r="BW1159" s="387">
        <f t="shared" si="811"/>
        <v>0</v>
      </c>
      <c r="BX1159" s="387">
        <f t="shared" si="826"/>
        <v>0</v>
      </c>
      <c r="BY1159" s="387">
        <f t="shared" si="827"/>
        <v>0</v>
      </c>
      <c r="BZ1159" s="387">
        <f t="shared" si="828"/>
        <v>0</v>
      </c>
      <c r="CA1159" s="387">
        <f t="shared" si="829"/>
        <v>0</v>
      </c>
      <c r="CB1159" s="387">
        <f t="shared" si="830"/>
        <v>0</v>
      </c>
      <c r="CC1159" s="387">
        <f t="shared" si="812"/>
        <v>0</v>
      </c>
      <c r="CD1159" s="387">
        <f t="shared" si="813"/>
        <v>0</v>
      </c>
      <c r="CE1159" s="387">
        <f t="shared" si="814"/>
        <v>0</v>
      </c>
      <c r="CF1159" s="387">
        <f t="shared" si="815"/>
        <v>0</v>
      </c>
      <c r="CG1159" s="387">
        <f t="shared" si="816"/>
        <v>0</v>
      </c>
      <c r="CH1159" s="387">
        <f t="shared" si="817"/>
        <v>0</v>
      </c>
      <c r="CI1159" s="387">
        <f t="shared" si="818"/>
        <v>0</v>
      </c>
      <c r="CJ1159" s="387">
        <f t="shared" si="831"/>
        <v>0</v>
      </c>
      <c r="CK1159" s="387" t="str">
        <f t="shared" si="832"/>
        <v/>
      </c>
      <c r="CL1159" s="387" t="str">
        <f t="shared" si="833"/>
        <v/>
      </c>
      <c r="CM1159" s="387" t="str">
        <f t="shared" si="834"/>
        <v/>
      </c>
      <c r="CN1159" s="387" t="str">
        <f t="shared" si="835"/>
        <v>0348-31</v>
      </c>
    </row>
    <row r="1160" spans="1:92" ht="15.75" thickBot="1" x14ac:dyDescent="0.3">
      <c r="A1160" s="376" t="s">
        <v>161</v>
      </c>
      <c r="B1160" s="376" t="s">
        <v>162</v>
      </c>
      <c r="C1160" s="376" t="s">
        <v>1659</v>
      </c>
      <c r="D1160" s="376" t="s">
        <v>862</v>
      </c>
      <c r="E1160" s="376" t="s">
        <v>224</v>
      </c>
      <c r="F1160" s="382" t="s">
        <v>225</v>
      </c>
      <c r="G1160" s="376" t="s">
        <v>1945</v>
      </c>
      <c r="H1160" s="378"/>
      <c r="I1160" s="378"/>
      <c r="J1160" s="376" t="s">
        <v>239</v>
      </c>
      <c r="K1160" s="376" t="s">
        <v>863</v>
      </c>
      <c r="L1160" s="376" t="s">
        <v>252</v>
      </c>
      <c r="M1160" s="376" t="s">
        <v>171</v>
      </c>
      <c r="N1160" s="376" t="s">
        <v>172</v>
      </c>
      <c r="O1160" s="379">
        <v>1</v>
      </c>
      <c r="P1160" s="385">
        <v>0.6</v>
      </c>
      <c r="Q1160" s="385">
        <v>0.6</v>
      </c>
      <c r="R1160" s="380">
        <v>80</v>
      </c>
      <c r="S1160" s="385">
        <v>0.6</v>
      </c>
      <c r="T1160" s="380">
        <v>13412.83</v>
      </c>
      <c r="U1160" s="380">
        <v>818.32</v>
      </c>
      <c r="V1160" s="380">
        <v>6745.06</v>
      </c>
      <c r="W1160" s="380">
        <v>28616.639999999999</v>
      </c>
      <c r="X1160" s="380">
        <v>13178.32</v>
      </c>
      <c r="Y1160" s="380">
        <v>28616.639999999999</v>
      </c>
      <c r="Z1160" s="380">
        <v>13058.14</v>
      </c>
      <c r="AA1160" s="376" t="s">
        <v>1660</v>
      </c>
      <c r="AB1160" s="376" t="s">
        <v>1661</v>
      </c>
      <c r="AC1160" s="376" t="s">
        <v>1662</v>
      </c>
      <c r="AD1160" s="376" t="s">
        <v>324</v>
      </c>
      <c r="AE1160" s="376" t="s">
        <v>863</v>
      </c>
      <c r="AF1160" s="376" t="s">
        <v>393</v>
      </c>
      <c r="AG1160" s="376" t="s">
        <v>178</v>
      </c>
      <c r="AH1160" s="381">
        <v>22.93</v>
      </c>
      <c r="AI1160" s="379">
        <v>36070</v>
      </c>
      <c r="AJ1160" s="376" t="s">
        <v>179</v>
      </c>
      <c r="AK1160" s="376" t="s">
        <v>180</v>
      </c>
      <c r="AL1160" s="376" t="s">
        <v>181</v>
      </c>
      <c r="AM1160" s="376" t="s">
        <v>182</v>
      </c>
      <c r="AN1160" s="376" t="s">
        <v>68</v>
      </c>
      <c r="AO1160" s="379">
        <v>80</v>
      </c>
      <c r="AP1160" s="385">
        <v>1</v>
      </c>
      <c r="AQ1160" s="385">
        <v>0.6</v>
      </c>
      <c r="AR1160" s="383" t="s">
        <v>183</v>
      </c>
      <c r="AS1160" s="387">
        <f t="shared" si="819"/>
        <v>0.6</v>
      </c>
      <c r="AT1160">
        <f t="shared" si="820"/>
        <v>1</v>
      </c>
      <c r="AU1160" s="387">
        <f>IF(AT1160=0,"",IF(AND(AT1160=1,M1160="F",SUMIF(C2:C1334,C1160,AS2:AS1334)&lt;=1),SUMIF(C2:C1334,C1160,AS2:AS1334),IF(AND(AT1160=1,M1160="F",SUMIF(C2:C1334,C1160,AS2:AS1334)&gt;1),1,"")))</f>
        <v>1</v>
      </c>
      <c r="AV1160" s="387" t="str">
        <f>IF(AT1160=0,"",IF(AND(AT1160=3,M1160="F",SUMIF(C2:C1334,C1160,AS2:AS1334)&lt;=1),SUMIF(C2:C1334,C1160,AS2:AS1334),IF(AND(AT1160=3,M1160="F",SUMIF(C2:C1334,C1160,AS2:AS1334)&gt;1),1,"")))</f>
        <v/>
      </c>
      <c r="AW1160" s="387">
        <f>SUMIF(C2:C1334,C1160,O2:O1334)</f>
        <v>3</v>
      </c>
      <c r="AX1160" s="387">
        <f>IF(AND(M1160="F",AS1160&lt;&gt;0),SUMIF(C2:C1334,C1160,W2:W1334),0)</f>
        <v>47694.399999999994</v>
      </c>
      <c r="AY1160" s="387">
        <f t="shared" si="821"/>
        <v>28616.639999999999</v>
      </c>
      <c r="AZ1160" s="387" t="str">
        <f t="shared" si="822"/>
        <v/>
      </c>
      <c r="BA1160" s="387">
        <f t="shared" si="823"/>
        <v>0</v>
      </c>
      <c r="BB1160" s="387">
        <f t="shared" si="792"/>
        <v>6990</v>
      </c>
      <c r="BC1160" s="387">
        <f t="shared" si="793"/>
        <v>0</v>
      </c>
      <c r="BD1160" s="387">
        <f t="shared" si="794"/>
        <v>1774.2316799999999</v>
      </c>
      <c r="BE1160" s="387">
        <f t="shared" si="795"/>
        <v>414.94128000000001</v>
      </c>
      <c r="BF1160" s="387">
        <f t="shared" si="796"/>
        <v>3416.8268160000002</v>
      </c>
      <c r="BG1160" s="387">
        <f t="shared" si="797"/>
        <v>206.32597440000001</v>
      </c>
      <c r="BH1160" s="387">
        <f t="shared" si="798"/>
        <v>140.22153599999999</v>
      </c>
      <c r="BI1160" s="387">
        <f t="shared" si="799"/>
        <v>158.3931024</v>
      </c>
      <c r="BJ1160" s="387">
        <f t="shared" si="800"/>
        <v>77.264927999999998</v>
      </c>
      <c r="BK1160" s="387">
        <f t="shared" si="801"/>
        <v>0</v>
      </c>
      <c r="BL1160" s="387">
        <f t="shared" si="824"/>
        <v>6188.2053168000002</v>
      </c>
      <c r="BM1160" s="387">
        <f t="shared" si="825"/>
        <v>0</v>
      </c>
      <c r="BN1160" s="387">
        <f t="shared" si="802"/>
        <v>6990</v>
      </c>
      <c r="BO1160" s="387">
        <f t="shared" si="803"/>
        <v>0</v>
      </c>
      <c r="BP1160" s="387">
        <f t="shared" si="804"/>
        <v>1774.2316799999999</v>
      </c>
      <c r="BQ1160" s="387">
        <f t="shared" si="805"/>
        <v>414.94128000000001</v>
      </c>
      <c r="BR1160" s="387">
        <f t="shared" si="806"/>
        <v>3416.8268160000002</v>
      </c>
      <c r="BS1160" s="387">
        <f t="shared" si="807"/>
        <v>206.32597440000001</v>
      </c>
      <c r="BT1160" s="387">
        <f t="shared" si="808"/>
        <v>0</v>
      </c>
      <c r="BU1160" s="387">
        <f t="shared" si="809"/>
        <v>158.3931024</v>
      </c>
      <c r="BV1160" s="387">
        <f t="shared" si="810"/>
        <v>97.296575999999988</v>
      </c>
      <c r="BW1160" s="387">
        <f t="shared" si="811"/>
        <v>0</v>
      </c>
      <c r="BX1160" s="387">
        <f t="shared" si="826"/>
        <v>6068.0154288000003</v>
      </c>
      <c r="BY1160" s="387">
        <f t="shared" si="827"/>
        <v>0</v>
      </c>
      <c r="BZ1160" s="387">
        <f t="shared" si="828"/>
        <v>0</v>
      </c>
      <c r="CA1160" s="387">
        <f t="shared" si="829"/>
        <v>0</v>
      </c>
      <c r="CB1160" s="387">
        <f t="shared" si="830"/>
        <v>0</v>
      </c>
      <c r="CC1160" s="387">
        <f t="shared" si="812"/>
        <v>0</v>
      </c>
      <c r="CD1160" s="387">
        <f t="shared" si="813"/>
        <v>0</v>
      </c>
      <c r="CE1160" s="387">
        <f t="shared" si="814"/>
        <v>0</v>
      </c>
      <c r="CF1160" s="387">
        <f t="shared" si="815"/>
        <v>-140.22153599999999</v>
      </c>
      <c r="CG1160" s="387">
        <f t="shared" si="816"/>
        <v>0</v>
      </c>
      <c r="CH1160" s="387">
        <f t="shared" si="817"/>
        <v>20.03164799999999</v>
      </c>
      <c r="CI1160" s="387">
        <f t="shared" si="818"/>
        <v>0</v>
      </c>
      <c r="CJ1160" s="387">
        <f t="shared" si="831"/>
        <v>-120.189888</v>
      </c>
      <c r="CK1160" s="387" t="str">
        <f t="shared" si="832"/>
        <v/>
      </c>
      <c r="CL1160" s="387" t="str">
        <f t="shared" si="833"/>
        <v/>
      </c>
      <c r="CM1160" s="387" t="str">
        <f t="shared" si="834"/>
        <v/>
      </c>
      <c r="CN1160" s="387" t="str">
        <f t="shared" si="835"/>
        <v>0348-31</v>
      </c>
    </row>
    <row r="1161" spans="1:92" ht="15.75" thickBot="1" x14ac:dyDescent="0.3">
      <c r="A1161" s="376" t="s">
        <v>161</v>
      </c>
      <c r="B1161" s="376" t="s">
        <v>162</v>
      </c>
      <c r="C1161" s="376" t="s">
        <v>1666</v>
      </c>
      <c r="D1161" s="376" t="s">
        <v>974</v>
      </c>
      <c r="E1161" s="376" t="s">
        <v>224</v>
      </c>
      <c r="F1161" s="382" t="s">
        <v>225</v>
      </c>
      <c r="G1161" s="376" t="s">
        <v>1945</v>
      </c>
      <c r="H1161" s="378"/>
      <c r="I1161" s="378"/>
      <c r="J1161" s="376" t="s">
        <v>215</v>
      </c>
      <c r="K1161" s="376" t="s">
        <v>975</v>
      </c>
      <c r="L1161" s="376" t="s">
        <v>296</v>
      </c>
      <c r="M1161" s="376" t="s">
        <v>171</v>
      </c>
      <c r="N1161" s="376" t="s">
        <v>172</v>
      </c>
      <c r="O1161" s="379">
        <v>1</v>
      </c>
      <c r="P1161" s="385">
        <v>1</v>
      </c>
      <c r="Q1161" s="385">
        <v>1</v>
      </c>
      <c r="R1161" s="380">
        <v>80</v>
      </c>
      <c r="S1161" s="385">
        <v>1</v>
      </c>
      <c r="T1161" s="380">
        <v>32196.41</v>
      </c>
      <c r="U1161" s="380">
        <v>468.28</v>
      </c>
      <c r="V1161" s="380">
        <v>15618.76</v>
      </c>
      <c r="W1161" s="380">
        <v>43284.800000000003</v>
      </c>
      <c r="X1161" s="380">
        <v>21010.29</v>
      </c>
      <c r="Y1161" s="380">
        <v>43284.800000000003</v>
      </c>
      <c r="Z1161" s="380">
        <v>20828.5</v>
      </c>
      <c r="AA1161" s="376" t="s">
        <v>1667</v>
      </c>
      <c r="AB1161" s="376" t="s">
        <v>1668</v>
      </c>
      <c r="AC1161" s="376" t="s">
        <v>888</v>
      </c>
      <c r="AD1161" s="376" t="s">
        <v>279</v>
      </c>
      <c r="AE1161" s="376" t="s">
        <v>975</v>
      </c>
      <c r="AF1161" s="376" t="s">
        <v>301</v>
      </c>
      <c r="AG1161" s="376" t="s">
        <v>178</v>
      </c>
      <c r="AH1161" s="381">
        <v>20.81</v>
      </c>
      <c r="AI1161" s="379">
        <v>2959</v>
      </c>
      <c r="AJ1161" s="376" t="s">
        <v>179</v>
      </c>
      <c r="AK1161" s="376" t="s">
        <v>180</v>
      </c>
      <c r="AL1161" s="376" t="s">
        <v>181</v>
      </c>
      <c r="AM1161" s="376" t="s">
        <v>182</v>
      </c>
      <c r="AN1161" s="376" t="s">
        <v>68</v>
      </c>
      <c r="AO1161" s="379">
        <v>80</v>
      </c>
      <c r="AP1161" s="385">
        <v>1</v>
      </c>
      <c r="AQ1161" s="385">
        <v>1</v>
      </c>
      <c r="AR1161" s="383" t="s">
        <v>183</v>
      </c>
      <c r="AS1161" s="387">
        <f t="shared" si="819"/>
        <v>1</v>
      </c>
      <c r="AT1161">
        <f t="shared" si="820"/>
        <v>1</v>
      </c>
      <c r="AU1161" s="387">
        <f>IF(AT1161=0,"",IF(AND(AT1161=1,M1161="F",SUMIF(C2:C1334,C1161,AS2:AS1334)&lt;=1),SUMIF(C2:C1334,C1161,AS2:AS1334),IF(AND(AT1161=1,M1161="F",SUMIF(C2:C1334,C1161,AS2:AS1334)&gt;1),1,"")))</f>
        <v>1</v>
      </c>
      <c r="AV1161" s="387" t="str">
        <f>IF(AT1161=0,"",IF(AND(AT1161=3,M1161="F",SUMIF(C2:C1334,C1161,AS2:AS1334)&lt;=1),SUMIF(C2:C1334,C1161,AS2:AS1334),IF(AND(AT1161=3,M1161="F",SUMIF(C2:C1334,C1161,AS2:AS1334)&gt;1),1,"")))</f>
        <v/>
      </c>
      <c r="AW1161" s="387">
        <f>SUMIF(C2:C1334,C1161,O2:O1334)</f>
        <v>2</v>
      </c>
      <c r="AX1161" s="387">
        <f>IF(AND(M1161="F",AS1161&lt;&gt;0),SUMIF(C2:C1334,C1161,W2:W1334),0)</f>
        <v>43284.800000000003</v>
      </c>
      <c r="AY1161" s="387">
        <f t="shared" si="821"/>
        <v>43284.800000000003</v>
      </c>
      <c r="AZ1161" s="387" t="str">
        <f t="shared" si="822"/>
        <v/>
      </c>
      <c r="BA1161" s="387">
        <f t="shared" si="823"/>
        <v>0</v>
      </c>
      <c r="BB1161" s="387">
        <f t="shared" si="792"/>
        <v>11650</v>
      </c>
      <c r="BC1161" s="387">
        <f t="shared" si="793"/>
        <v>0</v>
      </c>
      <c r="BD1161" s="387">
        <f t="shared" si="794"/>
        <v>2683.6576</v>
      </c>
      <c r="BE1161" s="387">
        <f t="shared" si="795"/>
        <v>627.6296000000001</v>
      </c>
      <c r="BF1161" s="387">
        <f t="shared" si="796"/>
        <v>5168.2051200000005</v>
      </c>
      <c r="BG1161" s="387">
        <f t="shared" si="797"/>
        <v>312.08340800000002</v>
      </c>
      <c r="BH1161" s="387">
        <f t="shared" si="798"/>
        <v>212.09551999999999</v>
      </c>
      <c r="BI1161" s="387">
        <f t="shared" si="799"/>
        <v>239.58136800000003</v>
      </c>
      <c r="BJ1161" s="387">
        <f t="shared" si="800"/>
        <v>116.86896000000002</v>
      </c>
      <c r="BK1161" s="387">
        <f t="shared" si="801"/>
        <v>0</v>
      </c>
      <c r="BL1161" s="387">
        <f t="shared" si="824"/>
        <v>9360.1215760000014</v>
      </c>
      <c r="BM1161" s="387">
        <f t="shared" si="825"/>
        <v>0</v>
      </c>
      <c r="BN1161" s="387">
        <f t="shared" si="802"/>
        <v>11650</v>
      </c>
      <c r="BO1161" s="387">
        <f t="shared" si="803"/>
        <v>0</v>
      </c>
      <c r="BP1161" s="387">
        <f t="shared" si="804"/>
        <v>2683.6576</v>
      </c>
      <c r="BQ1161" s="387">
        <f t="shared" si="805"/>
        <v>627.6296000000001</v>
      </c>
      <c r="BR1161" s="387">
        <f t="shared" si="806"/>
        <v>5168.2051200000005</v>
      </c>
      <c r="BS1161" s="387">
        <f t="shared" si="807"/>
        <v>312.08340800000002</v>
      </c>
      <c r="BT1161" s="387">
        <f t="shared" si="808"/>
        <v>0</v>
      </c>
      <c r="BU1161" s="387">
        <f t="shared" si="809"/>
        <v>239.58136800000003</v>
      </c>
      <c r="BV1161" s="387">
        <f t="shared" si="810"/>
        <v>147.16831999999999</v>
      </c>
      <c r="BW1161" s="387">
        <f t="shared" si="811"/>
        <v>0</v>
      </c>
      <c r="BX1161" s="387">
        <f t="shared" si="826"/>
        <v>9178.3254160000015</v>
      </c>
      <c r="BY1161" s="387">
        <f t="shared" si="827"/>
        <v>0</v>
      </c>
      <c r="BZ1161" s="387">
        <f t="shared" si="828"/>
        <v>0</v>
      </c>
      <c r="CA1161" s="387">
        <f t="shared" si="829"/>
        <v>0</v>
      </c>
      <c r="CB1161" s="387">
        <f t="shared" si="830"/>
        <v>0</v>
      </c>
      <c r="CC1161" s="387">
        <f t="shared" si="812"/>
        <v>0</v>
      </c>
      <c r="CD1161" s="387">
        <f t="shared" si="813"/>
        <v>0</v>
      </c>
      <c r="CE1161" s="387">
        <f t="shared" si="814"/>
        <v>0</v>
      </c>
      <c r="CF1161" s="387">
        <f t="shared" si="815"/>
        <v>-212.09551999999999</v>
      </c>
      <c r="CG1161" s="387">
        <f t="shared" si="816"/>
        <v>0</v>
      </c>
      <c r="CH1161" s="387">
        <f t="shared" si="817"/>
        <v>30.299359999999989</v>
      </c>
      <c r="CI1161" s="387">
        <f t="shared" si="818"/>
        <v>0</v>
      </c>
      <c r="CJ1161" s="387">
        <f t="shared" si="831"/>
        <v>-181.79616000000001</v>
      </c>
      <c r="CK1161" s="387" t="str">
        <f t="shared" si="832"/>
        <v/>
      </c>
      <c r="CL1161" s="387" t="str">
        <f t="shared" si="833"/>
        <v/>
      </c>
      <c r="CM1161" s="387" t="str">
        <f t="shared" si="834"/>
        <v/>
      </c>
      <c r="CN1161" s="387" t="str">
        <f t="shared" si="835"/>
        <v>0348-31</v>
      </c>
    </row>
    <row r="1162" spans="1:92" ht="15.75" thickBot="1" x14ac:dyDescent="0.3">
      <c r="A1162" s="376" t="s">
        <v>161</v>
      </c>
      <c r="B1162" s="376" t="s">
        <v>162</v>
      </c>
      <c r="C1162" s="376" t="s">
        <v>1543</v>
      </c>
      <c r="D1162" s="376" t="s">
        <v>247</v>
      </c>
      <c r="E1162" s="376" t="s">
        <v>224</v>
      </c>
      <c r="F1162" s="382" t="s">
        <v>225</v>
      </c>
      <c r="G1162" s="376" t="s">
        <v>1945</v>
      </c>
      <c r="H1162" s="378"/>
      <c r="I1162" s="378"/>
      <c r="J1162" s="376" t="s">
        <v>215</v>
      </c>
      <c r="K1162" s="376" t="s">
        <v>248</v>
      </c>
      <c r="L1162" s="376" t="s">
        <v>178</v>
      </c>
      <c r="M1162" s="376" t="s">
        <v>171</v>
      </c>
      <c r="N1162" s="376" t="s">
        <v>172</v>
      </c>
      <c r="O1162" s="379">
        <v>1</v>
      </c>
      <c r="P1162" s="385">
        <v>1</v>
      </c>
      <c r="Q1162" s="385">
        <v>1</v>
      </c>
      <c r="R1162" s="380">
        <v>80</v>
      </c>
      <c r="S1162" s="385">
        <v>1</v>
      </c>
      <c r="T1162" s="380">
        <v>0</v>
      </c>
      <c r="U1162" s="380">
        <v>0</v>
      </c>
      <c r="V1162" s="380">
        <v>0</v>
      </c>
      <c r="W1162" s="380">
        <v>35921.599999999999</v>
      </c>
      <c r="X1162" s="380">
        <v>19418</v>
      </c>
      <c r="Y1162" s="380">
        <v>35921.599999999999</v>
      </c>
      <c r="Z1162" s="380">
        <v>19267.14</v>
      </c>
      <c r="AA1162" s="376" t="s">
        <v>1544</v>
      </c>
      <c r="AB1162" s="376" t="s">
        <v>1545</v>
      </c>
      <c r="AC1162" s="376" t="s">
        <v>1546</v>
      </c>
      <c r="AD1162" s="376" t="s">
        <v>441</v>
      </c>
      <c r="AE1162" s="376" t="s">
        <v>248</v>
      </c>
      <c r="AF1162" s="376" t="s">
        <v>253</v>
      </c>
      <c r="AG1162" s="376" t="s">
        <v>178</v>
      </c>
      <c r="AH1162" s="381">
        <v>17.27</v>
      </c>
      <c r="AI1162" s="381">
        <v>12495.6</v>
      </c>
      <c r="AJ1162" s="376" t="s">
        <v>179</v>
      </c>
      <c r="AK1162" s="376" t="s">
        <v>180</v>
      </c>
      <c r="AL1162" s="376" t="s">
        <v>181</v>
      </c>
      <c r="AM1162" s="376" t="s">
        <v>182</v>
      </c>
      <c r="AN1162" s="376" t="s">
        <v>68</v>
      </c>
      <c r="AO1162" s="379">
        <v>80</v>
      </c>
      <c r="AP1162" s="385">
        <v>1</v>
      </c>
      <c r="AQ1162" s="385">
        <v>1</v>
      </c>
      <c r="AR1162" s="383" t="s">
        <v>183</v>
      </c>
      <c r="AS1162" s="387">
        <f t="shared" si="819"/>
        <v>1</v>
      </c>
      <c r="AT1162">
        <f t="shared" si="820"/>
        <v>1</v>
      </c>
      <c r="AU1162" s="387">
        <f>IF(AT1162=0,"",IF(AND(AT1162=1,M1162="F",SUMIF(C2:C1334,C1162,AS2:AS1334)&lt;=1),SUMIF(C2:C1334,C1162,AS2:AS1334),IF(AND(AT1162=1,M1162="F",SUMIF(C2:C1334,C1162,AS2:AS1334)&gt;1),1,"")))</f>
        <v>1</v>
      </c>
      <c r="AV1162" s="387" t="str">
        <f>IF(AT1162=0,"",IF(AND(AT1162=3,M1162="F",SUMIF(C2:C1334,C1162,AS2:AS1334)&lt;=1),SUMIF(C2:C1334,C1162,AS2:AS1334),IF(AND(AT1162=3,M1162="F",SUMIF(C2:C1334,C1162,AS2:AS1334)&gt;1),1,"")))</f>
        <v/>
      </c>
      <c r="AW1162" s="387">
        <f>SUMIF(C2:C1334,C1162,O2:O1334)</f>
        <v>2</v>
      </c>
      <c r="AX1162" s="387">
        <f>IF(AND(M1162="F",AS1162&lt;&gt;0),SUMIF(C2:C1334,C1162,W2:W1334),0)</f>
        <v>35921.599999999999</v>
      </c>
      <c r="AY1162" s="387">
        <f t="shared" si="821"/>
        <v>35921.599999999999</v>
      </c>
      <c r="AZ1162" s="387" t="str">
        <f t="shared" si="822"/>
        <v/>
      </c>
      <c r="BA1162" s="387">
        <f t="shared" si="823"/>
        <v>0</v>
      </c>
      <c r="BB1162" s="387">
        <f t="shared" si="792"/>
        <v>11650</v>
      </c>
      <c r="BC1162" s="387">
        <f t="shared" si="793"/>
        <v>0</v>
      </c>
      <c r="BD1162" s="387">
        <f t="shared" si="794"/>
        <v>2227.1392000000001</v>
      </c>
      <c r="BE1162" s="387">
        <f t="shared" si="795"/>
        <v>520.86320000000001</v>
      </c>
      <c r="BF1162" s="387">
        <f t="shared" si="796"/>
        <v>4289.0390399999997</v>
      </c>
      <c r="BG1162" s="387">
        <f t="shared" si="797"/>
        <v>258.99473599999999</v>
      </c>
      <c r="BH1162" s="387">
        <f t="shared" si="798"/>
        <v>176.01584</v>
      </c>
      <c r="BI1162" s="387">
        <f t="shared" si="799"/>
        <v>198.82605599999999</v>
      </c>
      <c r="BJ1162" s="387">
        <f t="shared" si="800"/>
        <v>96.988320000000002</v>
      </c>
      <c r="BK1162" s="387">
        <f t="shared" si="801"/>
        <v>0</v>
      </c>
      <c r="BL1162" s="387">
        <f t="shared" si="824"/>
        <v>7767.8663919999999</v>
      </c>
      <c r="BM1162" s="387">
        <f t="shared" si="825"/>
        <v>0</v>
      </c>
      <c r="BN1162" s="387">
        <f t="shared" si="802"/>
        <v>11650</v>
      </c>
      <c r="BO1162" s="387">
        <f t="shared" si="803"/>
        <v>0</v>
      </c>
      <c r="BP1162" s="387">
        <f t="shared" si="804"/>
        <v>2227.1392000000001</v>
      </c>
      <c r="BQ1162" s="387">
        <f t="shared" si="805"/>
        <v>520.86320000000001</v>
      </c>
      <c r="BR1162" s="387">
        <f t="shared" si="806"/>
        <v>4289.0390399999997</v>
      </c>
      <c r="BS1162" s="387">
        <f t="shared" si="807"/>
        <v>258.99473599999999</v>
      </c>
      <c r="BT1162" s="387">
        <f t="shared" si="808"/>
        <v>0</v>
      </c>
      <c r="BU1162" s="387">
        <f t="shared" si="809"/>
        <v>198.82605599999999</v>
      </c>
      <c r="BV1162" s="387">
        <f t="shared" si="810"/>
        <v>122.13343999999999</v>
      </c>
      <c r="BW1162" s="387">
        <f t="shared" si="811"/>
        <v>0</v>
      </c>
      <c r="BX1162" s="387">
        <f t="shared" si="826"/>
        <v>7616.9956719999991</v>
      </c>
      <c r="BY1162" s="387">
        <f t="shared" si="827"/>
        <v>0</v>
      </c>
      <c r="BZ1162" s="387">
        <f t="shared" si="828"/>
        <v>0</v>
      </c>
      <c r="CA1162" s="387">
        <f t="shared" si="829"/>
        <v>0</v>
      </c>
      <c r="CB1162" s="387">
        <f t="shared" si="830"/>
        <v>0</v>
      </c>
      <c r="CC1162" s="387">
        <f t="shared" si="812"/>
        <v>0</v>
      </c>
      <c r="CD1162" s="387">
        <f t="shared" si="813"/>
        <v>0</v>
      </c>
      <c r="CE1162" s="387">
        <f t="shared" si="814"/>
        <v>0</v>
      </c>
      <c r="CF1162" s="387">
        <f t="shared" si="815"/>
        <v>-176.01584</v>
      </c>
      <c r="CG1162" s="387">
        <f t="shared" si="816"/>
        <v>0</v>
      </c>
      <c r="CH1162" s="387">
        <f t="shared" si="817"/>
        <v>25.145119999999988</v>
      </c>
      <c r="CI1162" s="387">
        <f t="shared" si="818"/>
        <v>0</v>
      </c>
      <c r="CJ1162" s="387">
        <f t="shared" si="831"/>
        <v>-150.87072000000001</v>
      </c>
      <c r="CK1162" s="387" t="str">
        <f t="shared" si="832"/>
        <v/>
      </c>
      <c r="CL1162" s="387" t="str">
        <f t="shared" si="833"/>
        <v/>
      </c>
      <c r="CM1162" s="387" t="str">
        <f t="shared" si="834"/>
        <v/>
      </c>
      <c r="CN1162" s="387" t="str">
        <f t="shared" si="835"/>
        <v>0348-31</v>
      </c>
    </row>
    <row r="1163" spans="1:92" ht="15.75" thickBot="1" x14ac:dyDescent="0.3">
      <c r="A1163" s="376" t="s">
        <v>161</v>
      </c>
      <c r="B1163" s="376" t="s">
        <v>162</v>
      </c>
      <c r="C1163" s="376" t="s">
        <v>2391</v>
      </c>
      <c r="D1163" s="376" t="s">
        <v>1949</v>
      </c>
      <c r="E1163" s="376" t="s">
        <v>224</v>
      </c>
      <c r="F1163" s="382" t="s">
        <v>225</v>
      </c>
      <c r="G1163" s="376" t="s">
        <v>1945</v>
      </c>
      <c r="H1163" s="378"/>
      <c r="I1163" s="378"/>
      <c r="J1163" s="376" t="s">
        <v>215</v>
      </c>
      <c r="K1163" s="376" t="s">
        <v>1950</v>
      </c>
      <c r="L1163" s="376" t="s">
        <v>170</v>
      </c>
      <c r="M1163" s="376" t="s">
        <v>171</v>
      </c>
      <c r="N1163" s="376" t="s">
        <v>172</v>
      </c>
      <c r="O1163" s="379">
        <v>1</v>
      </c>
      <c r="P1163" s="385">
        <v>1</v>
      </c>
      <c r="Q1163" s="385">
        <v>1</v>
      </c>
      <c r="R1163" s="380">
        <v>80</v>
      </c>
      <c r="S1163" s="385">
        <v>1</v>
      </c>
      <c r="T1163" s="380">
        <v>49505.31</v>
      </c>
      <c r="U1163" s="380">
        <v>5503.49</v>
      </c>
      <c r="V1163" s="380">
        <v>20330.900000000001</v>
      </c>
      <c r="W1163" s="380">
        <v>49025.599999999999</v>
      </c>
      <c r="X1163" s="380">
        <v>22251.75</v>
      </c>
      <c r="Y1163" s="380">
        <v>49025.599999999999</v>
      </c>
      <c r="Z1163" s="380">
        <v>22045.85</v>
      </c>
      <c r="AA1163" s="376" t="s">
        <v>2392</v>
      </c>
      <c r="AB1163" s="376" t="s">
        <v>2393</v>
      </c>
      <c r="AC1163" s="376" t="s">
        <v>1324</v>
      </c>
      <c r="AD1163" s="376" t="s">
        <v>170</v>
      </c>
      <c r="AE1163" s="376" t="s">
        <v>1950</v>
      </c>
      <c r="AF1163" s="376" t="s">
        <v>177</v>
      </c>
      <c r="AG1163" s="376" t="s">
        <v>178</v>
      </c>
      <c r="AH1163" s="381">
        <v>23.57</v>
      </c>
      <c r="AI1163" s="381">
        <v>13187.8</v>
      </c>
      <c r="AJ1163" s="376" t="s">
        <v>179</v>
      </c>
      <c r="AK1163" s="376" t="s">
        <v>180</v>
      </c>
      <c r="AL1163" s="376" t="s">
        <v>181</v>
      </c>
      <c r="AM1163" s="376" t="s">
        <v>182</v>
      </c>
      <c r="AN1163" s="376" t="s">
        <v>68</v>
      </c>
      <c r="AO1163" s="379">
        <v>80</v>
      </c>
      <c r="AP1163" s="385">
        <v>1</v>
      </c>
      <c r="AQ1163" s="385">
        <v>1</v>
      </c>
      <c r="AR1163" s="383" t="s">
        <v>183</v>
      </c>
      <c r="AS1163" s="387">
        <f t="shared" si="819"/>
        <v>1</v>
      </c>
      <c r="AT1163">
        <f t="shared" si="820"/>
        <v>1</v>
      </c>
      <c r="AU1163" s="387">
        <f>IF(AT1163=0,"",IF(AND(AT1163=1,M1163="F",SUMIF(C2:C1334,C1163,AS2:AS1334)&lt;=1),SUMIF(C2:C1334,C1163,AS2:AS1334),IF(AND(AT1163=1,M1163="F",SUMIF(C2:C1334,C1163,AS2:AS1334)&gt;1),1,"")))</f>
        <v>1</v>
      </c>
      <c r="AV1163" s="387" t="str">
        <f>IF(AT1163=0,"",IF(AND(AT1163=3,M1163="F",SUMIF(C2:C1334,C1163,AS2:AS1334)&lt;=1),SUMIF(C2:C1334,C1163,AS2:AS1334),IF(AND(AT1163=3,M1163="F",SUMIF(C2:C1334,C1163,AS2:AS1334)&gt;1),1,"")))</f>
        <v/>
      </c>
      <c r="AW1163" s="387">
        <f>SUMIF(C2:C1334,C1163,O2:O1334)</f>
        <v>1</v>
      </c>
      <c r="AX1163" s="387">
        <f>IF(AND(M1163="F",AS1163&lt;&gt;0),SUMIF(C2:C1334,C1163,W2:W1334),0)</f>
        <v>49025.599999999999</v>
      </c>
      <c r="AY1163" s="387">
        <f t="shared" si="821"/>
        <v>49025.599999999999</v>
      </c>
      <c r="AZ1163" s="387" t="str">
        <f t="shared" si="822"/>
        <v/>
      </c>
      <c r="BA1163" s="387">
        <f t="shared" si="823"/>
        <v>0</v>
      </c>
      <c r="BB1163" s="387">
        <f t="shared" si="792"/>
        <v>11650</v>
      </c>
      <c r="BC1163" s="387">
        <f t="shared" si="793"/>
        <v>0</v>
      </c>
      <c r="BD1163" s="387">
        <f t="shared" si="794"/>
        <v>3039.5871999999999</v>
      </c>
      <c r="BE1163" s="387">
        <f t="shared" si="795"/>
        <v>710.87120000000004</v>
      </c>
      <c r="BF1163" s="387">
        <f t="shared" si="796"/>
        <v>5853.6566400000002</v>
      </c>
      <c r="BG1163" s="387">
        <f t="shared" si="797"/>
        <v>353.47457600000001</v>
      </c>
      <c r="BH1163" s="387">
        <f t="shared" si="798"/>
        <v>240.22543999999999</v>
      </c>
      <c r="BI1163" s="387">
        <f t="shared" si="799"/>
        <v>271.356696</v>
      </c>
      <c r="BJ1163" s="387">
        <f t="shared" si="800"/>
        <v>132.36912000000001</v>
      </c>
      <c r="BK1163" s="387">
        <f t="shared" si="801"/>
        <v>0</v>
      </c>
      <c r="BL1163" s="387">
        <f t="shared" si="824"/>
        <v>10601.540872000001</v>
      </c>
      <c r="BM1163" s="387">
        <f t="shared" si="825"/>
        <v>0</v>
      </c>
      <c r="BN1163" s="387">
        <f t="shared" si="802"/>
        <v>11650</v>
      </c>
      <c r="BO1163" s="387">
        <f t="shared" si="803"/>
        <v>0</v>
      </c>
      <c r="BP1163" s="387">
        <f t="shared" si="804"/>
        <v>3039.5871999999999</v>
      </c>
      <c r="BQ1163" s="387">
        <f t="shared" si="805"/>
        <v>710.87120000000004</v>
      </c>
      <c r="BR1163" s="387">
        <f t="shared" si="806"/>
        <v>5853.6566400000002</v>
      </c>
      <c r="BS1163" s="387">
        <f t="shared" si="807"/>
        <v>353.47457600000001</v>
      </c>
      <c r="BT1163" s="387">
        <f t="shared" si="808"/>
        <v>0</v>
      </c>
      <c r="BU1163" s="387">
        <f t="shared" si="809"/>
        <v>271.356696</v>
      </c>
      <c r="BV1163" s="387">
        <f t="shared" si="810"/>
        <v>166.68704</v>
      </c>
      <c r="BW1163" s="387">
        <f t="shared" si="811"/>
        <v>0</v>
      </c>
      <c r="BX1163" s="387">
        <f t="shared" si="826"/>
        <v>10395.633352000003</v>
      </c>
      <c r="BY1163" s="387">
        <f t="shared" si="827"/>
        <v>0</v>
      </c>
      <c r="BZ1163" s="387">
        <f t="shared" si="828"/>
        <v>0</v>
      </c>
      <c r="CA1163" s="387">
        <f t="shared" si="829"/>
        <v>0</v>
      </c>
      <c r="CB1163" s="387">
        <f t="shared" si="830"/>
        <v>0</v>
      </c>
      <c r="CC1163" s="387">
        <f t="shared" si="812"/>
        <v>0</v>
      </c>
      <c r="CD1163" s="387">
        <f t="shared" si="813"/>
        <v>0</v>
      </c>
      <c r="CE1163" s="387">
        <f t="shared" si="814"/>
        <v>0</v>
      </c>
      <c r="CF1163" s="387">
        <f t="shared" si="815"/>
        <v>-240.22543999999999</v>
      </c>
      <c r="CG1163" s="387">
        <f t="shared" si="816"/>
        <v>0</v>
      </c>
      <c r="CH1163" s="387">
        <f t="shared" si="817"/>
        <v>34.31791999999998</v>
      </c>
      <c r="CI1163" s="387">
        <f t="shared" si="818"/>
        <v>0</v>
      </c>
      <c r="CJ1163" s="387">
        <f t="shared" si="831"/>
        <v>-205.90752000000001</v>
      </c>
      <c r="CK1163" s="387" t="str">
        <f t="shared" si="832"/>
        <v/>
      </c>
      <c r="CL1163" s="387" t="str">
        <f t="shared" si="833"/>
        <v/>
      </c>
      <c r="CM1163" s="387" t="str">
        <f t="shared" si="834"/>
        <v/>
      </c>
      <c r="CN1163" s="387" t="str">
        <f t="shared" si="835"/>
        <v>0348-31</v>
      </c>
    </row>
    <row r="1164" spans="1:92" ht="15.75" thickBot="1" x14ac:dyDescent="0.3">
      <c r="A1164" s="376" t="s">
        <v>161</v>
      </c>
      <c r="B1164" s="376" t="s">
        <v>162</v>
      </c>
      <c r="C1164" s="376" t="s">
        <v>934</v>
      </c>
      <c r="D1164" s="376" t="s">
        <v>862</v>
      </c>
      <c r="E1164" s="376" t="s">
        <v>224</v>
      </c>
      <c r="F1164" s="382" t="s">
        <v>225</v>
      </c>
      <c r="G1164" s="376" t="s">
        <v>1945</v>
      </c>
      <c r="H1164" s="378"/>
      <c r="I1164" s="378"/>
      <c r="J1164" s="376" t="s">
        <v>168</v>
      </c>
      <c r="K1164" s="376" t="s">
        <v>863</v>
      </c>
      <c r="L1164" s="376" t="s">
        <v>252</v>
      </c>
      <c r="M1164" s="376" t="s">
        <v>171</v>
      </c>
      <c r="N1164" s="376" t="s">
        <v>172</v>
      </c>
      <c r="O1164" s="379">
        <v>1</v>
      </c>
      <c r="P1164" s="385">
        <v>0.35</v>
      </c>
      <c r="Q1164" s="385">
        <v>0.35</v>
      </c>
      <c r="R1164" s="380">
        <v>80</v>
      </c>
      <c r="S1164" s="385">
        <v>0.35</v>
      </c>
      <c r="T1164" s="380">
        <v>9216.92</v>
      </c>
      <c r="U1164" s="380">
        <v>612.4</v>
      </c>
      <c r="V1164" s="380">
        <v>4709.4799999999996</v>
      </c>
      <c r="W1164" s="380">
        <v>17180.8</v>
      </c>
      <c r="X1164" s="380">
        <v>7792.83</v>
      </c>
      <c r="Y1164" s="380">
        <v>17180.8</v>
      </c>
      <c r="Z1164" s="380">
        <v>7720.67</v>
      </c>
      <c r="AA1164" s="376" t="s">
        <v>935</v>
      </c>
      <c r="AB1164" s="376" t="s">
        <v>936</v>
      </c>
      <c r="AC1164" s="376" t="s">
        <v>747</v>
      </c>
      <c r="AD1164" s="376" t="s">
        <v>324</v>
      </c>
      <c r="AE1164" s="376" t="s">
        <v>863</v>
      </c>
      <c r="AF1164" s="376" t="s">
        <v>393</v>
      </c>
      <c r="AG1164" s="376" t="s">
        <v>178</v>
      </c>
      <c r="AH1164" s="381">
        <v>23.6</v>
      </c>
      <c r="AI1164" s="381">
        <v>33730.199999999997</v>
      </c>
      <c r="AJ1164" s="376" t="s">
        <v>179</v>
      </c>
      <c r="AK1164" s="376" t="s">
        <v>180</v>
      </c>
      <c r="AL1164" s="376" t="s">
        <v>181</v>
      </c>
      <c r="AM1164" s="376" t="s">
        <v>182</v>
      </c>
      <c r="AN1164" s="376" t="s">
        <v>68</v>
      </c>
      <c r="AO1164" s="379">
        <v>80</v>
      </c>
      <c r="AP1164" s="385">
        <v>1</v>
      </c>
      <c r="AQ1164" s="385">
        <v>0.35</v>
      </c>
      <c r="AR1164" s="383" t="s">
        <v>183</v>
      </c>
      <c r="AS1164" s="387">
        <f t="shared" si="819"/>
        <v>0.35</v>
      </c>
      <c r="AT1164">
        <f t="shared" si="820"/>
        <v>1</v>
      </c>
      <c r="AU1164" s="387">
        <f>IF(AT1164=0,"",IF(AND(AT1164=1,M1164="F",SUMIF(C2:C1334,C1164,AS2:AS1334)&lt;=1),SUMIF(C2:C1334,C1164,AS2:AS1334),IF(AND(AT1164=1,M1164="F",SUMIF(C2:C1334,C1164,AS2:AS1334)&gt;1),1,"")))</f>
        <v>1</v>
      </c>
      <c r="AV1164" s="387" t="str">
        <f>IF(AT1164=0,"",IF(AND(AT1164=3,M1164="F",SUMIF(C2:C1334,C1164,AS2:AS1334)&lt;=1),SUMIF(C2:C1334,C1164,AS2:AS1334),IF(AND(AT1164=3,M1164="F",SUMIF(C2:C1334,C1164,AS2:AS1334)&gt;1),1,"")))</f>
        <v/>
      </c>
      <c r="AW1164" s="387">
        <f>SUMIF(C2:C1334,C1164,O2:O1334)</f>
        <v>3</v>
      </c>
      <c r="AX1164" s="387">
        <f>IF(AND(M1164="F",AS1164&lt;&gt;0),SUMIF(C2:C1334,C1164,W2:W1334),0)</f>
        <v>49088</v>
      </c>
      <c r="AY1164" s="387">
        <f t="shared" si="821"/>
        <v>17180.8</v>
      </c>
      <c r="AZ1164" s="387" t="str">
        <f t="shared" si="822"/>
        <v/>
      </c>
      <c r="BA1164" s="387">
        <f t="shared" si="823"/>
        <v>0</v>
      </c>
      <c r="BB1164" s="387">
        <f t="shared" si="792"/>
        <v>4077.4999999999995</v>
      </c>
      <c r="BC1164" s="387">
        <f t="shared" si="793"/>
        <v>0</v>
      </c>
      <c r="BD1164" s="387">
        <f t="shared" si="794"/>
        <v>1065.2095999999999</v>
      </c>
      <c r="BE1164" s="387">
        <f t="shared" si="795"/>
        <v>249.1216</v>
      </c>
      <c r="BF1164" s="387">
        <f t="shared" si="796"/>
        <v>2051.3875200000002</v>
      </c>
      <c r="BG1164" s="387">
        <f t="shared" si="797"/>
        <v>123.87356800000001</v>
      </c>
      <c r="BH1164" s="387">
        <f t="shared" si="798"/>
        <v>84.185919999999996</v>
      </c>
      <c r="BI1164" s="387">
        <f t="shared" si="799"/>
        <v>95.095727999999994</v>
      </c>
      <c r="BJ1164" s="387">
        <f t="shared" si="800"/>
        <v>46.388159999999999</v>
      </c>
      <c r="BK1164" s="387">
        <f t="shared" si="801"/>
        <v>0</v>
      </c>
      <c r="BL1164" s="387">
        <f t="shared" si="824"/>
        <v>3715.2620959999995</v>
      </c>
      <c r="BM1164" s="387">
        <f t="shared" si="825"/>
        <v>0</v>
      </c>
      <c r="BN1164" s="387">
        <f t="shared" si="802"/>
        <v>4077.4999999999995</v>
      </c>
      <c r="BO1164" s="387">
        <f t="shared" si="803"/>
        <v>0</v>
      </c>
      <c r="BP1164" s="387">
        <f t="shared" si="804"/>
        <v>1065.2095999999999</v>
      </c>
      <c r="BQ1164" s="387">
        <f t="shared" si="805"/>
        <v>249.1216</v>
      </c>
      <c r="BR1164" s="387">
        <f t="shared" si="806"/>
        <v>2051.3875200000002</v>
      </c>
      <c r="BS1164" s="387">
        <f t="shared" si="807"/>
        <v>123.87356800000001</v>
      </c>
      <c r="BT1164" s="387">
        <f t="shared" si="808"/>
        <v>0</v>
      </c>
      <c r="BU1164" s="387">
        <f t="shared" si="809"/>
        <v>95.095727999999994</v>
      </c>
      <c r="BV1164" s="387">
        <f t="shared" si="810"/>
        <v>58.414719999999996</v>
      </c>
      <c r="BW1164" s="387">
        <f t="shared" si="811"/>
        <v>0</v>
      </c>
      <c r="BX1164" s="387">
        <f t="shared" si="826"/>
        <v>3643.1027359999998</v>
      </c>
      <c r="BY1164" s="387">
        <f t="shared" si="827"/>
        <v>0</v>
      </c>
      <c r="BZ1164" s="387">
        <f t="shared" si="828"/>
        <v>0</v>
      </c>
      <c r="CA1164" s="387">
        <f t="shared" si="829"/>
        <v>0</v>
      </c>
      <c r="CB1164" s="387">
        <f t="shared" si="830"/>
        <v>0</v>
      </c>
      <c r="CC1164" s="387">
        <f t="shared" si="812"/>
        <v>0</v>
      </c>
      <c r="CD1164" s="387">
        <f t="shared" si="813"/>
        <v>0</v>
      </c>
      <c r="CE1164" s="387">
        <f t="shared" si="814"/>
        <v>0</v>
      </c>
      <c r="CF1164" s="387">
        <f t="shared" si="815"/>
        <v>-84.185919999999996</v>
      </c>
      <c r="CG1164" s="387">
        <f t="shared" si="816"/>
        <v>0</v>
      </c>
      <c r="CH1164" s="387">
        <f t="shared" si="817"/>
        <v>12.026559999999995</v>
      </c>
      <c r="CI1164" s="387">
        <f t="shared" si="818"/>
        <v>0</v>
      </c>
      <c r="CJ1164" s="387">
        <f t="shared" si="831"/>
        <v>-72.159360000000007</v>
      </c>
      <c r="CK1164" s="387" t="str">
        <f t="shared" si="832"/>
        <v/>
      </c>
      <c r="CL1164" s="387" t="str">
        <f t="shared" si="833"/>
        <v/>
      </c>
      <c r="CM1164" s="387" t="str">
        <f t="shared" si="834"/>
        <v/>
      </c>
      <c r="CN1164" s="387" t="str">
        <f t="shared" si="835"/>
        <v>0348-31</v>
      </c>
    </row>
    <row r="1165" spans="1:92" ht="15.75" thickBot="1" x14ac:dyDescent="0.3">
      <c r="A1165" s="376" t="s">
        <v>161</v>
      </c>
      <c r="B1165" s="376" t="s">
        <v>162</v>
      </c>
      <c r="C1165" s="376" t="s">
        <v>1977</v>
      </c>
      <c r="D1165" s="376" t="s">
        <v>368</v>
      </c>
      <c r="E1165" s="376" t="s">
        <v>224</v>
      </c>
      <c r="F1165" s="382" t="s">
        <v>225</v>
      </c>
      <c r="G1165" s="376" t="s">
        <v>1945</v>
      </c>
      <c r="H1165" s="378"/>
      <c r="I1165" s="378"/>
      <c r="J1165" s="376" t="s">
        <v>215</v>
      </c>
      <c r="K1165" s="376" t="s">
        <v>424</v>
      </c>
      <c r="L1165" s="376" t="s">
        <v>210</v>
      </c>
      <c r="M1165" s="376" t="s">
        <v>171</v>
      </c>
      <c r="N1165" s="376" t="s">
        <v>172</v>
      </c>
      <c r="O1165" s="379">
        <v>1</v>
      </c>
      <c r="P1165" s="385">
        <v>1</v>
      </c>
      <c r="Q1165" s="385">
        <v>1</v>
      </c>
      <c r="R1165" s="380">
        <v>80</v>
      </c>
      <c r="S1165" s="385">
        <v>1</v>
      </c>
      <c r="T1165" s="380">
        <v>95728.8</v>
      </c>
      <c r="U1165" s="380">
        <v>2691.2</v>
      </c>
      <c r="V1165" s="380">
        <v>31930.75</v>
      </c>
      <c r="W1165" s="380">
        <v>93932.800000000003</v>
      </c>
      <c r="X1165" s="380">
        <v>31962.93</v>
      </c>
      <c r="Y1165" s="380">
        <v>93932.800000000003</v>
      </c>
      <c r="Z1165" s="380">
        <v>31568.42</v>
      </c>
      <c r="AA1165" s="376" t="s">
        <v>1978</v>
      </c>
      <c r="AB1165" s="376" t="s">
        <v>1979</v>
      </c>
      <c r="AC1165" s="376" t="s">
        <v>1153</v>
      </c>
      <c r="AD1165" s="376" t="s">
        <v>1980</v>
      </c>
      <c r="AE1165" s="376" t="s">
        <v>424</v>
      </c>
      <c r="AF1165" s="376" t="s">
        <v>245</v>
      </c>
      <c r="AG1165" s="376" t="s">
        <v>178</v>
      </c>
      <c r="AH1165" s="381">
        <v>45.16</v>
      </c>
      <c r="AI1165" s="381">
        <v>24848.9</v>
      </c>
      <c r="AJ1165" s="376" t="s">
        <v>179</v>
      </c>
      <c r="AK1165" s="376" t="s">
        <v>180</v>
      </c>
      <c r="AL1165" s="376" t="s">
        <v>181</v>
      </c>
      <c r="AM1165" s="376" t="s">
        <v>182</v>
      </c>
      <c r="AN1165" s="376" t="s">
        <v>68</v>
      </c>
      <c r="AO1165" s="379">
        <v>80</v>
      </c>
      <c r="AP1165" s="385">
        <v>1</v>
      </c>
      <c r="AQ1165" s="385">
        <v>1</v>
      </c>
      <c r="AR1165" s="383" t="s">
        <v>183</v>
      </c>
      <c r="AS1165" s="387">
        <f t="shared" si="819"/>
        <v>1</v>
      </c>
      <c r="AT1165">
        <f t="shared" si="820"/>
        <v>1</v>
      </c>
      <c r="AU1165" s="387">
        <f>IF(AT1165=0,"",IF(AND(AT1165=1,M1165="F",SUMIF(C2:C1334,C1165,AS2:AS1334)&lt;=1),SUMIF(C2:C1334,C1165,AS2:AS1334),IF(AND(AT1165=1,M1165="F",SUMIF(C2:C1334,C1165,AS2:AS1334)&gt;1),1,"")))</f>
        <v>1</v>
      </c>
      <c r="AV1165" s="387" t="str">
        <f>IF(AT1165=0,"",IF(AND(AT1165=3,M1165="F",SUMIF(C2:C1334,C1165,AS2:AS1334)&lt;=1),SUMIF(C2:C1334,C1165,AS2:AS1334),IF(AND(AT1165=3,M1165="F",SUMIF(C2:C1334,C1165,AS2:AS1334)&gt;1),1,"")))</f>
        <v/>
      </c>
      <c r="AW1165" s="387">
        <f>SUMIF(C2:C1334,C1165,O2:O1334)</f>
        <v>2</v>
      </c>
      <c r="AX1165" s="387">
        <f>IF(AND(M1165="F",AS1165&lt;&gt;0),SUMIF(C2:C1334,C1165,W2:W1334),0)</f>
        <v>93932.800000000003</v>
      </c>
      <c r="AY1165" s="387">
        <f t="shared" si="821"/>
        <v>93932.800000000003</v>
      </c>
      <c r="AZ1165" s="387" t="str">
        <f t="shared" si="822"/>
        <v/>
      </c>
      <c r="BA1165" s="387">
        <f t="shared" si="823"/>
        <v>0</v>
      </c>
      <c r="BB1165" s="387">
        <f t="shared" si="792"/>
        <v>11650</v>
      </c>
      <c r="BC1165" s="387">
        <f t="shared" si="793"/>
        <v>0</v>
      </c>
      <c r="BD1165" s="387">
        <f t="shared" si="794"/>
        <v>5823.8335999999999</v>
      </c>
      <c r="BE1165" s="387">
        <f t="shared" si="795"/>
        <v>1362.0256000000002</v>
      </c>
      <c r="BF1165" s="387">
        <f t="shared" si="796"/>
        <v>11215.57632</v>
      </c>
      <c r="BG1165" s="387">
        <f t="shared" si="797"/>
        <v>677.25548800000001</v>
      </c>
      <c r="BH1165" s="387">
        <f t="shared" si="798"/>
        <v>460.27071999999998</v>
      </c>
      <c r="BI1165" s="387">
        <f t="shared" si="799"/>
        <v>519.918048</v>
      </c>
      <c r="BJ1165" s="387">
        <f t="shared" si="800"/>
        <v>253.61856000000003</v>
      </c>
      <c r="BK1165" s="387">
        <f t="shared" si="801"/>
        <v>0</v>
      </c>
      <c r="BL1165" s="387">
        <f t="shared" si="824"/>
        <v>20312.498335999997</v>
      </c>
      <c r="BM1165" s="387">
        <f t="shared" si="825"/>
        <v>0</v>
      </c>
      <c r="BN1165" s="387">
        <f t="shared" si="802"/>
        <v>11650</v>
      </c>
      <c r="BO1165" s="387">
        <f t="shared" si="803"/>
        <v>0</v>
      </c>
      <c r="BP1165" s="387">
        <f t="shared" si="804"/>
        <v>5823.8335999999999</v>
      </c>
      <c r="BQ1165" s="387">
        <f t="shared" si="805"/>
        <v>1362.0256000000002</v>
      </c>
      <c r="BR1165" s="387">
        <f t="shared" si="806"/>
        <v>11215.57632</v>
      </c>
      <c r="BS1165" s="387">
        <f t="shared" si="807"/>
        <v>677.25548800000001</v>
      </c>
      <c r="BT1165" s="387">
        <f t="shared" si="808"/>
        <v>0</v>
      </c>
      <c r="BU1165" s="387">
        <f t="shared" si="809"/>
        <v>519.918048</v>
      </c>
      <c r="BV1165" s="387">
        <f t="shared" si="810"/>
        <v>319.37151999999998</v>
      </c>
      <c r="BW1165" s="387">
        <f t="shared" si="811"/>
        <v>0</v>
      </c>
      <c r="BX1165" s="387">
        <f t="shared" si="826"/>
        <v>19917.980575999998</v>
      </c>
      <c r="BY1165" s="387">
        <f t="shared" si="827"/>
        <v>0</v>
      </c>
      <c r="BZ1165" s="387">
        <f t="shared" si="828"/>
        <v>0</v>
      </c>
      <c r="CA1165" s="387">
        <f t="shared" si="829"/>
        <v>0</v>
      </c>
      <c r="CB1165" s="387">
        <f t="shared" si="830"/>
        <v>0</v>
      </c>
      <c r="CC1165" s="387">
        <f t="shared" si="812"/>
        <v>0</v>
      </c>
      <c r="CD1165" s="387">
        <f t="shared" si="813"/>
        <v>0</v>
      </c>
      <c r="CE1165" s="387">
        <f t="shared" si="814"/>
        <v>0</v>
      </c>
      <c r="CF1165" s="387">
        <f t="shared" si="815"/>
        <v>-460.27071999999998</v>
      </c>
      <c r="CG1165" s="387">
        <f t="shared" si="816"/>
        <v>0</v>
      </c>
      <c r="CH1165" s="387">
        <f t="shared" si="817"/>
        <v>65.752959999999973</v>
      </c>
      <c r="CI1165" s="387">
        <f t="shared" si="818"/>
        <v>0</v>
      </c>
      <c r="CJ1165" s="387">
        <f t="shared" si="831"/>
        <v>-394.51776000000001</v>
      </c>
      <c r="CK1165" s="387" t="str">
        <f t="shared" si="832"/>
        <v/>
      </c>
      <c r="CL1165" s="387" t="str">
        <f t="shared" si="833"/>
        <v/>
      </c>
      <c r="CM1165" s="387" t="str">
        <f t="shared" si="834"/>
        <v/>
      </c>
      <c r="CN1165" s="387" t="str">
        <f t="shared" si="835"/>
        <v>0348-31</v>
      </c>
    </row>
    <row r="1166" spans="1:92" ht="15.75" thickBot="1" x14ac:dyDescent="0.3">
      <c r="A1166" s="376" t="s">
        <v>161</v>
      </c>
      <c r="B1166" s="376" t="s">
        <v>162</v>
      </c>
      <c r="C1166" s="376" t="s">
        <v>1658</v>
      </c>
      <c r="D1166" s="376" t="s">
        <v>862</v>
      </c>
      <c r="E1166" s="376" t="s">
        <v>224</v>
      </c>
      <c r="F1166" s="382" t="s">
        <v>225</v>
      </c>
      <c r="G1166" s="376" t="s">
        <v>1945</v>
      </c>
      <c r="H1166" s="378"/>
      <c r="I1166" s="378"/>
      <c r="J1166" s="376" t="s">
        <v>215</v>
      </c>
      <c r="K1166" s="376" t="s">
        <v>863</v>
      </c>
      <c r="L1166" s="376" t="s">
        <v>252</v>
      </c>
      <c r="M1166" s="376" t="s">
        <v>272</v>
      </c>
      <c r="N1166" s="376" t="s">
        <v>172</v>
      </c>
      <c r="O1166" s="379">
        <v>0</v>
      </c>
      <c r="P1166" s="385">
        <v>1</v>
      </c>
      <c r="Q1166" s="385">
        <v>1</v>
      </c>
      <c r="R1166" s="380">
        <v>80</v>
      </c>
      <c r="S1166" s="385">
        <v>1</v>
      </c>
      <c r="T1166" s="380">
        <v>0</v>
      </c>
      <c r="U1166" s="380">
        <v>0</v>
      </c>
      <c r="V1166" s="380">
        <v>0</v>
      </c>
      <c r="W1166" s="380">
        <v>42328</v>
      </c>
      <c r="X1166" s="380">
        <v>18539.66</v>
      </c>
      <c r="Y1166" s="380">
        <v>42328</v>
      </c>
      <c r="Z1166" s="380">
        <v>18328.02</v>
      </c>
      <c r="AA1166" s="378"/>
      <c r="AB1166" s="376" t="s">
        <v>45</v>
      </c>
      <c r="AC1166" s="376" t="s">
        <v>45</v>
      </c>
      <c r="AD1166" s="378"/>
      <c r="AE1166" s="378"/>
      <c r="AF1166" s="378"/>
      <c r="AG1166" s="378"/>
      <c r="AH1166" s="379">
        <v>0</v>
      </c>
      <c r="AI1166" s="379">
        <v>0</v>
      </c>
      <c r="AJ1166" s="378"/>
      <c r="AK1166" s="378"/>
      <c r="AL1166" s="376" t="s">
        <v>181</v>
      </c>
      <c r="AM1166" s="378"/>
      <c r="AN1166" s="378"/>
      <c r="AO1166" s="379">
        <v>0</v>
      </c>
      <c r="AP1166" s="385">
        <v>0</v>
      </c>
      <c r="AQ1166" s="385">
        <v>0</v>
      </c>
      <c r="AR1166" s="384"/>
      <c r="AS1166" s="387">
        <f t="shared" si="819"/>
        <v>0</v>
      </c>
      <c r="AT1166">
        <f t="shared" si="820"/>
        <v>0</v>
      </c>
      <c r="AU1166" s="387" t="str">
        <f>IF(AT1166=0,"",IF(AND(AT1166=1,M1166="F",SUMIF(C2:C1334,C1166,AS2:AS1334)&lt;=1),SUMIF(C2:C1334,C1166,AS2:AS1334),IF(AND(AT1166=1,M1166="F",SUMIF(C2:C1334,C1166,AS2:AS1334)&gt;1),1,"")))</f>
        <v/>
      </c>
      <c r="AV1166" s="387" t="str">
        <f>IF(AT1166=0,"",IF(AND(AT1166=3,M1166="F",SUMIF(C2:C1334,C1166,AS2:AS1334)&lt;=1),SUMIF(C2:C1334,C1166,AS2:AS1334),IF(AND(AT1166=3,M1166="F",SUMIF(C2:C1334,C1166,AS2:AS1334)&gt;1),1,"")))</f>
        <v/>
      </c>
      <c r="AW1166" s="387">
        <f>SUMIF(C2:C1334,C1166,O2:O1334)</f>
        <v>0</v>
      </c>
      <c r="AX1166" s="387">
        <f>IF(AND(M1166="F",AS1166&lt;&gt;0),SUMIF(C2:C1334,C1166,W2:W1334),0)</f>
        <v>0</v>
      </c>
      <c r="AY1166" s="387" t="str">
        <f t="shared" si="821"/>
        <v/>
      </c>
      <c r="AZ1166" s="387" t="str">
        <f t="shared" si="822"/>
        <v/>
      </c>
      <c r="BA1166" s="387">
        <f t="shared" si="823"/>
        <v>0</v>
      </c>
      <c r="BB1166" s="387">
        <f t="shared" si="792"/>
        <v>0</v>
      </c>
      <c r="BC1166" s="387">
        <f t="shared" si="793"/>
        <v>0</v>
      </c>
      <c r="BD1166" s="387">
        <f t="shared" si="794"/>
        <v>0</v>
      </c>
      <c r="BE1166" s="387">
        <f t="shared" si="795"/>
        <v>0</v>
      </c>
      <c r="BF1166" s="387">
        <f t="shared" si="796"/>
        <v>0</v>
      </c>
      <c r="BG1166" s="387">
        <f t="shared" si="797"/>
        <v>0</v>
      </c>
      <c r="BH1166" s="387">
        <f t="shared" si="798"/>
        <v>0</v>
      </c>
      <c r="BI1166" s="387">
        <f t="shared" si="799"/>
        <v>0</v>
      </c>
      <c r="BJ1166" s="387">
        <f t="shared" si="800"/>
        <v>0</v>
      </c>
      <c r="BK1166" s="387">
        <f t="shared" si="801"/>
        <v>0</v>
      </c>
      <c r="BL1166" s="387">
        <f t="shared" si="824"/>
        <v>0</v>
      </c>
      <c r="BM1166" s="387">
        <f t="shared" si="825"/>
        <v>0</v>
      </c>
      <c r="BN1166" s="387">
        <f t="shared" si="802"/>
        <v>0</v>
      </c>
      <c r="BO1166" s="387">
        <f t="shared" si="803"/>
        <v>0</v>
      </c>
      <c r="BP1166" s="387">
        <f t="shared" si="804"/>
        <v>0</v>
      </c>
      <c r="BQ1166" s="387">
        <f t="shared" si="805"/>
        <v>0</v>
      </c>
      <c r="BR1166" s="387">
        <f t="shared" si="806"/>
        <v>0</v>
      </c>
      <c r="BS1166" s="387">
        <f t="shared" si="807"/>
        <v>0</v>
      </c>
      <c r="BT1166" s="387">
        <f t="shared" si="808"/>
        <v>0</v>
      </c>
      <c r="BU1166" s="387">
        <f t="shared" si="809"/>
        <v>0</v>
      </c>
      <c r="BV1166" s="387">
        <f t="shared" si="810"/>
        <v>0</v>
      </c>
      <c r="BW1166" s="387">
        <f t="shared" si="811"/>
        <v>0</v>
      </c>
      <c r="BX1166" s="387">
        <f t="shared" si="826"/>
        <v>0</v>
      </c>
      <c r="BY1166" s="387">
        <f t="shared" si="827"/>
        <v>0</v>
      </c>
      <c r="BZ1166" s="387">
        <f t="shared" si="828"/>
        <v>0</v>
      </c>
      <c r="CA1166" s="387">
        <f t="shared" si="829"/>
        <v>0</v>
      </c>
      <c r="CB1166" s="387">
        <f t="shared" si="830"/>
        <v>0</v>
      </c>
      <c r="CC1166" s="387">
        <f t="shared" si="812"/>
        <v>0</v>
      </c>
      <c r="CD1166" s="387">
        <f t="shared" si="813"/>
        <v>0</v>
      </c>
      <c r="CE1166" s="387">
        <f t="shared" si="814"/>
        <v>0</v>
      </c>
      <c r="CF1166" s="387">
        <f t="shared" si="815"/>
        <v>0</v>
      </c>
      <c r="CG1166" s="387">
        <f t="shared" si="816"/>
        <v>0</v>
      </c>
      <c r="CH1166" s="387">
        <f t="shared" si="817"/>
        <v>0</v>
      </c>
      <c r="CI1166" s="387">
        <f t="shared" si="818"/>
        <v>0</v>
      </c>
      <c r="CJ1166" s="387">
        <f t="shared" si="831"/>
        <v>0</v>
      </c>
      <c r="CK1166" s="387" t="str">
        <f t="shared" si="832"/>
        <v/>
      </c>
      <c r="CL1166" s="387" t="str">
        <f t="shared" si="833"/>
        <v/>
      </c>
      <c r="CM1166" s="387" t="str">
        <f t="shared" si="834"/>
        <v/>
      </c>
      <c r="CN1166" s="387" t="str">
        <f t="shared" si="835"/>
        <v>0348-31</v>
      </c>
    </row>
    <row r="1167" spans="1:92" ht="15.75" thickBot="1" x14ac:dyDescent="0.3">
      <c r="A1167" s="376" t="s">
        <v>161</v>
      </c>
      <c r="B1167" s="376" t="s">
        <v>162</v>
      </c>
      <c r="C1167" s="376" t="s">
        <v>829</v>
      </c>
      <c r="D1167" s="376" t="s">
        <v>786</v>
      </c>
      <c r="E1167" s="376" t="s">
        <v>224</v>
      </c>
      <c r="F1167" s="382" t="s">
        <v>225</v>
      </c>
      <c r="G1167" s="376" t="s">
        <v>1945</v>
      </c>
      <c r="H1167" s="378"/>
      <c r="I1167" s="378"/>
      <c r="J1167" s="376" t="s">
        <v>215</v>
      </c>
      <c r="K1167" s="376" t="s">
        <v>787</v>
      </c>
      <c r="L1167" s="376" t="s">
        <v>181</v>
      </c>
      <c r="M1167" s="376" t="s">
        <v>171</v>
      </c>
      <c r="N1167" s="376" t="s">
        <v>172</v>
      </c>
      <c r="O1167" s="379">
        <v>1</v>
      </c>
      <c r="P1167" s="385">
        <v>0</v>
      </c>
      <c r="Q1167" s="385">
        <v>0</v>
      </c>
      <c r="R1167" s="380">
        <v>80</v>
      </c>
      <c r="S1167" s="385">
        <v>0</v>
      </c>
      <c r="T1167" s="380">
        <v>214.35</v>
      </c>
      <c r="U1167" s="380">
        <v>0</v>
      </c>
      <c r="V1167" s="380">
        <v>90.83</v>
      </c>
      <c r="W1167" s="380">
        <v>0</v>
      </c>
      <c r="X1167" s="380">
        <v>0</v>
      </c>
      <c r="Y1167" s="380">
        <v>0</v>
      </c>
      <c r="Z1167" s="380">
        <v>0</v>
      </c>
      <c r="AA1167" s="376" t="s">
        <v>830</v>
      </c>
      <c r="AB1167" s="376" t="s">
        <v>831</v>
      </c>
      <c r="AC1167" s="376" t="s">
        <v>832</v>
      </c>
      <c r="AD1167" s="376" t="s">
        <v>170</v>
      </c>
      <c r="AE1167" s="376" t="s">
        <v>787</v>
      </c>
      <c r="AF1167" s="376" t="s">
        <v>211</v>
      </c>
      <c r="AG1167" s="376" t="s">
        <v>178</v>
      </c>
      <c r="AH1167" s="381">
        <v>35.299999999999997</v>
      </c>
      <c r="AI1167" s="381">
        <v>36143.599999999999</v>
      </c>
      <c r="AJ1167" s="376" t="s">
        <v>179</v>
      </c>
      <c r="AK1167" s="376" t="s">
        <v>180</v>
      </c>
      <c r="AL1167" s="376" t="s">
        <v>181</v>
      </c>
      <c r="AM1167" s="376" t="s">
        <v>182</v>
      </c>
      <c r="AN1167" s="376" t="s">
        <v>68</v>
      </c>
      <c r="AO1167" s="379">
        <v>80</v>
      </c>
      <c r="AP1167" s="385">
        <v>1</v>
      </c>
      <c r="AQ1167" s="385">
        <v>0</v>
      </c>
      <c r="AR1167" s="383" t="s">
        <v>183</v>
      </c>
      <c r="AS1167" s="387">
        <f t="shared" si="819"/>
        <v>0</v>
      </c>
      <c r="AT1167">
        <f t="shared" si="820"/>
        <v>0</v>
      </c>
      <c r="AU1167" s="387" t="str">
        <f>IF(AT1167=0,"",IF(AND(AT1167=1,M1167="F",SUMIF(C2:C1334,C1167,AS2:AS1334)&lt;=1),SUMIF(C2:C1334,C1167,AS2:AS1334),IF(AND(AT1167=1,M1167="F",SUMIF(C2:C1334,C1167,AS2:AS1334)&gt;1),1,"")))</f>
        <v/>
      </c>
      <c r="AV1167" s="387" t="str">
        <f>IF(AT1167=0,"",IF(AND(AT1167=3,M1167="F",SUMIF(C2:C1334,C1167,AS2:AS1334)&lt;=1),SUMIF(C2:C1334,C1167,AS2:AS1334),IF(AND(AT1167=3,M1167="F",SUMIF(C2:C1334,C1167,AS2:AS1334)&gt;1),1,"")))</f>
        <v/>
      </c>
      <c r="AW1167" s="387">
        <f>SUMIF(C2:C1334,C1167,O2:O1334)</f>
        <v>4</v>
      </c>
      <c r="AX1167" s="387">
        <f>IF(AND(M1167="F",AS1167&lt;&gt;0),SUMIF(C2:C1334,C1167,W2:W1334),0)</f>
        <v>0</v>
      </c>
      <c r="AY1167" s="387" t="str">
        <f t="shared" si="821"/>
        <v/>
      </c>
      <c r="AZ1167" s="387" t="str">
        <f t="shared" si="822"/>
        <v/>
      </c>
      <c r="BA1167" s="387">
        <f t="shared" si="823"/>
        <v>0</v>
      </c>
      <c r="BB1167" s="387">
        <f t="shared" si="792"/>
        <v>0</v>
      </c>
      <c r="BC1167" s="387">
        <f t="shared" si="793"/>
        <v>0</v>
      </c>
      <c r="BD1167" s="387">
        <f t="shared" si="794"/>
        <v>0</v>
      </c>
      <c r="BE1167" s="387">
        <f t="shared" si="795"/>
        <v>0</v>
      </c>
      <c r="BF1167" s="387">
        <f t="shared" si="796"/>
        <v>0</v>
      </c>
      <c r="BG1167" s="387">
        <f t="shared" si="797"/>
        <v>0</v>
      </c>
      <c r="BH1167" s="387">
        <f t="shared" si="798"/>
        <v>0</v>
      </c>
      <c r="BI1167" s="387">
        <f t="shared" si="799"/>
        <v>0</v>
      </c>
      <c r="BJ1167" s="387">
        <f t="shared" si="800"/>
        <v>0</v>
      </c>
      <c r="BK1167" s="387">
        <f t="shared" si="801"/>
        <v>0</v>
      </c>
      <c r="BL1167" s="387">
        <f t="shared" si="824"/>
        <v>0</v>
      </c>
      <c r="BM1167" s="387">
        <f t="shared" si="825"/>
        <v>0</v>
      </c>
      <c r="BN1167" s="387">
        <f t="shared" si="802"/>
        <v>0</v>
      </c>
      <c r="BO1167" s="387">
        <f t="shared" si="803"/>
        <v>0</v>
      </c>
      <c r="BP1167" s="387">
        <f t="shared" si="804"/>
        <v>0</v>
      </c>
      <c r="BQ1167" s="387">
        <f t="shared" si="805"/>
        <v>0</v>
      </c>
      <c r="BR1167" s="387">
        <f t="shared" si="806"/>
        <v>0</v>
      </c>
      <c r="BS1167" s="387">
        <f t="shared" si="807"/>
        <v>0</v>
      </c>
      <c r="BT1167" s="387">
        <f t="shared" si="808"/>
        <v>0</v>
      </c>
      <c r="BU1167" s="387">
        <f t="shared" si="809"/>
        <v>0</v>
      </c>
      <c r="BV1167" s="387">
        <f t="shared" si="810"/>
        <v>0</v>
      </c>
      <c r="BW1167" s="387">
        <f t="shared" si="811"/>
        <v>0</v>
      </c>
      <c r="BX1167" s="387">
        <f t="shared" si="826"/>
        <v>0</v>
      </c>
      <c r="BY1167" s="387">
        <f t="shared" si="827"/>
        <v>0</v>
      </c>
      <c r="BZ1167" s="387">
        <f t="shared" si="828"/>
        <v>0</v>
      </c>
      <c r="CA1167" s="387">
        <f t="shared" si="829"/>
        <v>0</v>
      </c>
      <c r="CB1167" s="387">
        <f t="shared" si="830"/>
        <v>0</v>
      </c>
      <c r="CC1167" s="387">
        <f t="shared" si="812"/>
        <v>0</v>
      </c>
      <c r="CD1167" s="387">
        <f t="shared" si="813"/>
        <v>0</v>
      </c>
      <c r="CE1167" s="387">
        <f t="shared" si="814"/>
        <v>0</v>
      </c>
      <c r="CF1167" s="387">
        <f t="shared" si="815"/>
        <v>0</v>
      </c>
      <c r="CG1167" s="387">
        <f t="shared" si="816"/>
        <v>0</v>
      </c>
      <c r="CH1167" s="387">
        <f t="shared" si="817"/>
        <v>0</v>
      </c>
      <c r="CI1167" s="387">
        <f t="shared" si="818"/>
        <v>0</v>
      </c>
      <c r="CJ1167" s="387">
        <f t="shared" si="831"/>
        <v>0</v>
      </c>
      <c r="CK1167" s="387" t="str">
        <f t="shared" si="832"/>
        <v/>
      </c>
      <c r="CL1167" s="387" t="str">
        <f t="shared" si="833"/>
        <v/>
      </c>
      <c r="CM1167" s="387" t="str">
        <f t="shared" si="834"/>
        <v/>
      </c>
      <c r="CN1167" s="387" t="str">
        <f t="shared" si="835"/>
        <v>0348-31</v>
      </c>
    </row>
    <row r="1168" spans="1:92" ht="15.75" thickBot="1" x14ac:dyDescent="0.3">
      <c r="A1168" s="376" t="s">
        <v>161</v>
      </c>
      <c r="B1168" s="376" t="s">
        <v>162</v>
      </c>
      <c r="C1168" s="376" t="s">
        <v>2394</v>
      </c>
      <c r="D1168" s="376" t="s">
        <v>974</v>
      </c>
      <c r="E1168" s="376" t="s">
        <v>224</v>
      </c>
      <c r="F1168" s="382" t="s">
        <v>225</v>
      </c>
      <c r="G1168" s="376" t="s">
        <v>1945</v>
      </c>
      <c r="H1168" s="378"/>
      <c r="I1168" s="378"/>
      <c r="J1168" s="376" t="s">
        <v>215</v>
      </c>
      <c r="K1168" s="376" t="s">
        <v>975</v>
      </c>
      <c r="L1168" s="376" t="s">
        <v>296</v>
      </c>
      <c r="M1168" s="376" t="s">
        <v>171</v>
      </c>
      <c r="N1168" s="376" t="s">
        <v>172</v>
      </c>
      <c r="O1168" s="379">
        <v>1</v>
      </c>
      <c r="P1168" s="385">
        <v>1</v>
      </c>
      <c r="Q1168" s="385">
        <v>1</v>
      </c>
      <c r="R1168" s="380">
        <v>80</v>
      </c>
      <c r="S1168" s="385">
        <v>1</v>
      </c>
      <c r="T1168" s="380">
        <v>58868.54</v>
      </c>
      <c r="U1168" s="380">
        <v>2653.46</v>
      </c>
      <c r="V1168" s="380">
        <v>24313.45</v>
      </c>
      <c r="W1168" s="380">
        <v>58593.599999999999</v>
      </c>
      <c r="X1168" s="380">
        <v>24320.82</v>
      </c>
      <c r="Y1168" s="380">
        <v>58593.599999999999</v>
      </c>
      <c r="Z1168" s="380">
        <v>24074.73</v>
      </c>
      <c r="AA1168" s="376" t="s">
        <v>2395</v>
      </c>
      <c r="AB1168" s="376" t="s">
        <v>1074</v>
      </c>
      <c r="AC1168" s="376" t="s">
        <v>2396</v>
      </c>
      <c r="AD1168" s="376" t="s">
        <v>252</v>
      </c>
      <c r="AE1168" s="376" t="s">
        <v>975</v>
      </c>
      <c r="AF1168" s="376" t="s">
        <v>301</v>
      </c>
      <c r="AG1168" s="376" t="s">
        <v>178</v>
      </c>
      <c r="AH1168" s="381">
        <v>28.17</v>
      </c>
      <c r="AI1168" s="381">
        <v>29958.400000000001</v>
      </c>
      <c r="AJ1168" s="376" t="s">
        <v>179</v>
      </c>
      <c r="AK1168" s="376" t="s">
        <v>180</v>
      </c>
      <c r="AL1168" s="376" t="s">
        <v>181</v>
      </c>
      <c r="AM1168" s="376" t="s">
        <v>182</v>
      </c>
      <c r="AN1168" s="376" t="s">
        <v>68</v>
      </c>
      <c r="AO1168" s="379">
        <v>80</v>
      </c>
      <c r="AP1168" s="385">
        <v>1</v>
      </c>
      <c r="AQ1168" s="385">
        <v>1</v>
      </c>
      <c r="AR1168" s="383" t="s">
        <v>183</v>
      </c>
      <c r="AS1168" s="387">
        <f t="shared" si="819"/>
        <v>1</v>
      </c>
      <c r="AT1168">
        <f t="shared" si="820"/>
        <v>1</v>
      </c>
      <c r="AU1168" s="387">
        <f>IF(AT1168=0,"",IF(AND(AT1168=1,M1168="F",SUMIF(C2:C1334,C1168,AS2:AS1334)&lt;=1),SUMIF(C2:C1334,C1168,AS2:AS1334),IF(AND(AT1168=1,M1168="F",SUMIF(C2:C1334,C1168,AS2:AS1334)&gt;1),1,"")))</f>
        <v>1</v>
      </c>
      <c r="AV1168" s="387" t="str">
        <f>IF(AT1168=0,"",IF(AND(AT1168=3,M1168="F",SUMIF(C2:C1334,C1168,AS2:AS1334)&lt;=1),SUMIF(C2:C1334,C1168,AS2:AS1334),IF(AND(AT1168=3,M1168="F",SUMIF(C2:C1334,C1168,AS2:AS1334)&gt;1),1,"")))</f>
        <v/>
      </c>
      <c r="AW1168" s="387">
        <f>SUMIF(C2:C1334,C1168,O2:O1334)</f>
        <v>1</v>
      </c>
      <c r="AX1168" s="387">
        <f>IF(AND(M1168="F",AS1168&lt;&gt;0),SUMIF(C2:C1334,C1168,W2:W1334),0)</f>
        <v>58593.599999999999</v>
      </c>
      <c r="AY1168" s="387">
        <f t="shared" si="821"/>
        <v>58593.599999999999</v>
      </c>
      <c r="AZ1168" s="387" t="str">
        <f t="shared" si="822"/>
        <v/>
      </c>
      <c r="BA1168" s="387">
        <f t="shared" si="823"/>
        <v>0</v>
      </c>
      <c r="BB1168" s="387">
        <f t="shared" si="792"/>
        <v>11650</v>
      </c>
      <c r="BC1168" s="387">
        <f t="shared" si="793"/>
        <v>0</v>
      </c>
      <c r="BD1168" s="387">
        <f t="shared" si="794"/>
        <v>3632.8031999999998</v>
      </c>
      <c r="BE1168" s="387">
        <f t="shared" si="795"/>
        <v>849.60720000000003</v>
      </c>
      <c r="BF1168" s="387">
        <f t="shared" si="796"/>
        <v>6996.0758400000004</v>
      </c>
      <c r="BG1168" s="387">
        <f t="shared" si="797"/>
        <v>422.459856</v>
      </c>
      <c r="BH1168" s="387">
        <f t="shared" si="798"/>
        <v>287.10863999999998</v>
      </c>
      <c r="BI1168" s="387">
        <f t="shared" si="799"/>
        <v>324.31557599999996</v>
      </c>
      <c r="BJ1168" s="387">
        <f t="shared" si="800"/>
        <v>158.20272</v>
      </c>
      <c r="BK1168" s="387">
        <f t="shared" si="801"/>
        <v>0</v>
      </c>
      <c r="BL1168" s="387">
        <f t="shared" si="824"/>
        <v>12670.573031999998</v>
      </c>
      <c r="BM1168" s="387">
        <f t="shared" si="825"/>
        <v>0</v>
      </c>
      <c r="BN1168" s="387">
        <f t="shared" si="802"/>
        <v>11650</v>
      </c>
      <c r="BO1168" s="387">
        <f t="shared" si="803"/>
        <v>0</v>
      </c>
      <c r="BP1168" s="387">
        <f t="shared" si="804"/>
        <v>3632.8031999999998</v>
      </c>
      <c r="BQ1168" s="387">
        <f t="shared" si="805"/>
        <v>849.60720000000003</v>
      </c>
      <c r="BR1168" s="387">
        <f t="shared" si="806"/>
        <v>6996.0758400000004</v>
      </c>
      <c r="BS1168" s="387">
        <f t="shared" si="807"/>
        <v>422.459856</v>
      </c>
      <c r="BT1168" s="387">
        <f t="shared" si="808"/>
        <v>0</v>
      </c>
      <c r="BU1168" s="387">
        <f t="shared" si="809"/>
        <v>324.31557599999996</v>
      </c>
      <c r="BV1168" s="387">
        <f t="shared" si="810"/>
        <v>199.21823999999998</v>
      </c>
      <c r="BW1168" s="387">
        <f t="shared" si="811"/>
        <v>0</v>
      </c>
      <c r="BX1168" s="387">
        <f t="shared" si="826"/>
        <v>12424.479912000001</v>
      </c>
      <c r="BY1168" s="387">
        <f t="shared" si="827"/>
        <v>0</v>
      </c>
      <c r="BZ1168" s="387">
        <f t="shared" si="828"/>
        <v>0</v>
      </c>
      <c r="CA1168" s="387">
        <f t="shared" si="829"/>
        <v>0</v>
      </c>
      <c r="CB1168" s="387">
        <f t="shared" si="830"/>
        <v>0</v>
      </c>
      <c r="CC1168" s="387">
        <f t="shared" si="812"/>
        <v>0</v>
      </c>
      <c r="CD1168" s="387">
        <f t="shared" si="813"/>
        <v>0</v>
      </c>
      <c r="CE1168" s="387">
        <f t="shared" si="814"/>
        <v>0</v>
      </c>
      <c r="CF1168" s="387">
        <f t="shared" si="815"/>
        <v>-287.10863999999998</v>
      </c>
      <c r="CG1168" s="387">
        <f t="shared" si="816"/>
        <v>0</v>
      </c>
      <c r="CH1168" s="387">
        <f t="shared" si="817"/>
        <v>41.015519999999981</v>
      </c>
      <c r="CI1168" s="387">
        <f t="shared" si="818"/>
        <v>0</v>
      </c>
      <c r="CJ1168" s="387">
        <f t="shared" si="831"/>
        <v>-246.09312</v>
      </c>
      <c r="CK1168" s="387" t="str">
        <f t="shared" si="832"/>
        <v/>
      </c>
      <c r="CL1168" s="387" t="str">
        <f t="shared" si="833"/>
        <v/>
      </c>
      <c r="CM1168" s="387" t="str">
        <f t="shared" si="834"/>
        <v/>
      </c>
      <c r="CN1168" s="387" t="str">
        <f t="shared" si="835"/>
        <v>0348-31</v>
      </c>
    </row>
    <row r="1169" spans="1:92" ht="15.75" thickBot="1" x14ac:dyDescent="0.3">
      <c r="A1169" s="376" t="s">
        <v>161</v>
      </c>
      <c r="B1169" s="376" t="s">
        <v>162</v>
      </c>
      <c r="C1169" s="376" t="s">
        <v>1693</v>
      </c>
      <c r="D1169" s="376" t="s">
        <v>862</v>
      </c>
      <c r="E1169" s="376" t="s">
        <v>224</v>
      </c>
      <c r="F1169" s="382" t="s">
        <v>225</v>
      </c>
      <c r="G1169" s="376" t="s">
        <v>1945</v>
      </c>
      <c r="H1169" s="378"/>
      <c r="I1169" s="378"/>
      <c r="J1169" s="376" t="s">
        <v>215</v>
      </c>
      <c r="K1169" s="376" t="s">
        <v>863</v>
      </c>
      <c r="L1169" s="376" t="s">
        <v>252</v>
      </c>
      <c r="M1169" s="376" t="s">
        <v>171</v>
      </c>
      <c r="N1169" s="376" t="s">
        <v>172</v>
      </c>
      <c r="O1169" s="379">
        <v>1</v>
      </c>
      <c r="P1169" s="385">
        <v>1</v>
      </c>
      <c r="Q1169" s="385">
        <v>1</v>
      </c>
      <c r="R1169" s="380">
        <v>80</v>
      </c>
      <c r="S1169" s="385">
        <v>1</v>
      </c>
      <c r="T1169" s="380">
        <v>9537.6299999999992</v>
      </c>
      <c r="U1169" s="380">
        <v>0</v>
      </c>
      <c r="V1169" s="380">
        <v>4392.9799999999996</v>
      </c>
      <c r="W1169" s="380">
        <v>44241.599999999999</v>
      </c>
      <c r="X1169" s="380">
        <v>21217.21</v>
      </c>
      <c r="Y1169" s="380">
        <v>44241.599999999999</v>
      </c>
      <c r="Z1169" s="380">
        <v>21031.4</v>
      </c>
      <c r="AA1169" s="376" t="s">
        <v>1694</v>
      </c>
      <c r="AB1169" s="376" t="s">
        <v>1695</v>
      </c>
      <c r="AC1169" s="376" t="s">
        <v>1696</v>
      </c>
      <c r="AD1169" s="376" t="s">
        <v>324</v>
      </c>
      <c r="AE1169" s="376" t="s">
        <v>863</v>
      </c>
      <c r="AF1169" s="376" t="s">
        <v>393</v>
      </c>
      <c r="AG1169" s="376" t="s">
        <v>178</v>
      </c>
      <c r="AH1169" s="381">
        <v>21.27</v>
      </c>
      <c r="AI1169" s="381">
        <v>16004.3</v>
      </c>
      <c r="AJ1169" s="376" t="s">
        <v>179</v>
      </c>
      <c r="AK1169" s="376" t="s">
        <v>180</v>
      </c>
      <c r="AL1169" s="376" t="s">
        <v>181</v>
      </c>
      <c r="AM1169" s="376" t="s">
        <v>182</v>
      </c>
      <c r="AN1169" s="376" t="s">
        <v>68</v>
      </c>
      <c r="AO1169" s="379">
        <v>80</v>
      </c>
      <c r="AP1169" s="385">
        <v>1</v>
      </c>
      <c r="AQ1169" s="385">
        <v>1</v>
      </c>
      <c r="AR1169" s="383" t="s">
        <v>183</v>
      </c>
      <c r="AS1169" s="387">
        <f t="shared" si="819"/>
        <v>1</v>
      </c>
      <c r="AT1169">
        <f t="shared" si="820"/>
        <v>1</v>
      </c>
      <c r="AU1169" s="387">
        <f>IF(AT1169=0,"",IF(AND(AT1169=1,M1169="F",SUMIF(C2:C1334,C1169,AS2:AS1334)&lt;=1),SUMIF(C2:C1334,C1169,AS2:AS1334),IF(AND(AT1169=1,M1169="F",SUMIF(C2:C1334,C1169,AS2:AS1334)&gt;1),1,"")))</f>
        <v>1</v>
      </c>
      <c r="AV1169" s="387" t="str">
        <f>IF(AT1169=0,"",IF(AND(AT1169=3,M1169="F",SUMIF(C2:C1334,C1169,AS2:AS1334)&lt;=1),SUMIF(C2:C1334,C1169,AS2:AS1334),IF(AND(AT1169=3,M1169="F",SUMIF(C2:C1334,C1169,AS2:AS1334)&gt;1),1,"")))</f>
        <v/>
      </c>
      <c r="AW1169" s="387">
        <f>SUMIF(C2:C1334,C1169,O2:O1334)</f>
        <v>2</v>
      </c>
      <c r="AX1169" s="387">
        <f>IF(AND(M1169="F",AS1169&lt;&gt;0),SUMIF(C2:C1334,C1169,W2:W1334),0)</f>
        <v>44241.599999999999</v>
      </c>
      <c r="AY1169" s="387">
        <f t="shared" si="821"/>
        <v>44241.599999999999</v>
      </c>
      <c r="AZ1169" s="387" t="str">
        <f t="shared" si="822"/>
        <v/>
      </c>
      <c r="BA1169" s="387">
        <f t="shared" si="823"/>
        <v>0</v>
      </c>
      <c r="BB1169" s="387">
        <f t="shared" si="792"/>
        <v>11650</v>
      </c>
      <c r="BC1169" s="387">
        <f t="shared" si="793"/>
        <v>0</v>
      </c>
      <c r="BD1169" s="387">
        <f t="shared" si="794"/>
        <v>2742.9791999999998</v>
      </c>
      <c r="BE1169" s="387">
        <f t="shared" si="795"/>
        <v>641.50319999999999</v>
      </c>
      <c r="BF1169" s="387">
        <f t="shared" si="796"/>
        <v>5282.44704</v>
      </c>
      <c r="BG1169" s="387">
        <f t="shared" si="797"/>
        <v>318.98193600000002</v>
      </c>
      <c r="BH1169" s="387">
        <f t="shared" si="798"/>
        <v>216.78384</v>
      </c>
      <c r="BI1169" s="387">
        <f t="shared" si="799"/>
        <v>244.87725599999999</v>
      </c>
      <c r="BJ1169" s="387">
        <f t="shared" si="800"/>
        <v>119.45232</v>
      </c>
      <c r="BK1169" s="387">
        <f t="shared" si="801"/>
        <v>0</v>
      </c>
      <c r="BL1169" s="387">
        <f t="shared" si="824"/>
        <v>9567.0247920000002</v>
      </c>
      <c r="BM1169" s="387">
        <f t="shared" si="825"/>
        <v>0</v>
      </c>
      <c r="BN1169" s="387">
        <f t="shared" si="802"/>
        <v>11650</v>
      </c>
      <c r="BO1169" s="387">
        <f t="shared" si="803"/>
        <v>0</v>
      </c>
      <c r="BP1169" s="387">
        <f t="shared" si="804"/>
        <v>2742.9791999999998</v>
      </c>
      <c r="BQ1169" s="387">
        <f t="shared" si="805"/>
        <v>641.50319999999999</v>
      </c>
      <c r="BR1169" s="387">
        <f t="shared" si="806"/>
        <v>5282.44704</v>
      </c>
      <c r="BS1169" s="387">
        <f t="shared" si="807"/>
        <v>318.98193600000002</v>
      </c>
      <c r="BT1169" s="387">
        <f t="shared" si="808"/>
        <v>0</v>
      </c>
      <c r="BU1169" s="387">
        <f t="shared" si="809"/>
        <v>244.87725599999999</v>
      </c>
      <c r="BV1169" s="387">
        <f t="shared" si="810"/>
        <v>150.42143999999999</v>
      </c>
      <c r="BW1169" s="387">
        <f t="shared" si="811"/>
        <v>0</v>
      </c>
      <c r="BX1169" s="387">
        <f t="shared" si="826"/>
        <v>9381.2100719999999</v>
      </c>
      <c r="BY1169" s="387">
        <f t="shared" si="827"/>
        <v>0</v>
      </c>
      <c r="BZ1169" s="387">
        <f t="shared" si="828"/>
        <v>0</v>
      </c>
      <c r="CA1169" s="387">
        <f t="shared" si="829"/>
        <v>0</v>
      </c>
      <c r="CB1169" s="387">
        <f t="shared" si="830"/>
        <v>0</v>
      </c>
      <c r="CC1169" s="387">
        <f t="shared" si="812"/>
        <v>0</v>
      </c>
      <c r="CD1169" s="387">
        <f t="shared" si="813"/>
        <v>0</v>
      </c>
      <c r="CE1169" s="387">
        <f t="shared" si="814"/>
        <v>0</v>
      </c>
      <c r="CF1169" s="387">
        <f t="shared" si="815"/>
        <v>-216.78384</v>
      </c>
      <c r="CG1169" s="387">
        <f t="shared" si="816"/>
        <v>0</v>
      </c>
      <c r="CH1169" s="387">
        <f t="shared" si="817"/>
        <v>30.969119999999986</v>
      </c>
      <c r="CI1169" s="387">
        <f t="shared" si="818"/>
        <v>0</v>
      </c>
      <c r="CJ1169" s="387">
        <f t="shared" si="831"/>
        <v>-185.81472000000002</v>
      </c>
      <c r="CK1169" s="387" t="str">
        <f t="shared" si="832"/>
        <v/>
      </c>
      <c r="CL1169" s="387" t="str">
        <f t="shared" si="833"/>
        <v/>
      </c>
      <c r="CM1169" s="387" t="str">
        <f t="shared" si="834"/>
        <v/>
      </c>
      <c r="CN1169" s="387" t="str">
        <f t="shared" si="835"/>
        <v>0348-31</v>
      </c>
    </row>
    <row r="1170" spans="1:92" ht="15.75" thickBot="1" x14ac:dyDescent="0.3">
      <c r="A1170" s="376" t="s">
        <v>161</v>
      </c>
      <c r="B1170" s="376" t="s">
        <v>162</v>
      </c>
      <c r="C1170" s="376" t="s">
        <v>1433</v>
      </c>
      <c r="D1170" s="376" t="s">
        <v>862</v>
      </c>
      <c r="E1170" s="376" t="s">
        <v>224</v>
      </c>
      <c r="F1170" s="382" t="s">
        <v>225</v>
      </c>
      <c r="G1170" s="376" t="s">
        <v>1945</v>
      </c>
      <c r="H1170" s="378"/>
      <c r="I1170" s="378"/>
      <c r="J1170" s="376" t="s">
        <v>168</v>
      </c>
      <c r="K1170" s="376" t="s">
        <v>863</v>
      </c>
      <c r="L1170" s="376" t="s">
        <v>252</v>
      </c>
      <c r="M1170" s="376" t="s">
        <v>171</v>
      </c>
      <c r="N1170" s="376" t="s">
        <v>172</v>
      </c>
      <c r="O1170" s="379">
        <v>1</v>
      </c>
      <c r="P1170" s="385">
        <v>0.35</v>
      </c>
      <c r="Q1170" s="385">
        <v>0.35</v>
      </c>
      <c r="R1170" s="380">
        <v>80</v>
      </c>
      <c r="S1170" s="385">
        <v>0.35</v>
      </c>
      <c r="T1170" s="380">
        <v>17229.43</v>
      </c>
      <c r="U1170" s="380">
        <v>3585.78</v>
      </c>
      <c r="V1170" s="380">
        <v>8038.32</v>
      </c>
      <c r="W1170" s="380">
        <v>20202</v>
      </c>
      <c r="X1170" s="380">
        <v>8446.17</v>
      </c>
      <c r="Y1170" s="380">
        <v>20202</v>
      </c>
      <c r="Z1170" s="380">
        <v>8361.32</v>
      </c>
      <c r="AA1170" s="376" t="s">
        <v>1434</v>
      </c>
      <c r="AB1170" s="376" t="s">
        <v>1435</v>
      </c>
      <c r="AC1170" s="376" t="s">
        <v>1436</v>
      </c>
      <c r="AD1170" s="376" t="s">
        <v>170</v>
      </c>
      <c r="AE1170" s="376" t="s">
        <v>863</v>
      </c>
      <c r="AF1170" s="376" t="s">
        <v>393</v>
      </c>
      <c r="AG1170" s="376" t="s">
        <v>178</v>
      </c>
      <c r="AH1170" s="381">
        <v>27.75</v>
      </c>
      <c r="AI1170" s="381">
        <v>37920.5</v>
      </c>
      <c r="AJ1170" s="376" t="s">
        <v>179</v>
      </c>
      <c r="AK1170" s="376" t="s">
        <v>180</v>
      </c>
      <c r="AL1170" s="376" t="s">
        <v>181</v>
      </c>
      <c r="AM1170" s="376" t="s">
        <v>182</v>
      </c>
      <c r="AN1170" s="376" t="s">
        <v>68</v>
      </c>
      <c r="AO1170" s="379">
        <v>80</v>
      </c>
      <c r="AP1170" s="385">
        <v>1</v>
      </c>
      <c r="AQ1170" s="385">
        <v>0.35</v>
      </c>
      <c r="AR1170" s="383" t="s">
        <v>183</v>
      </c>
      <c r="AS1170" s="387">
        <f t="shared" si="819"/>
        <v>0.35</v>
      </c>
      <c r="AT1170">
        <f t="shared" si="820"/>
        <v>1</v>
      </c>
      <c r="AU1170" s="387">
        <f>IF(AT1170=0,"",IF(AND(AT1170=1,M1170="F",SUMIF(C2:C1334,C1170,AS2:AS1334)&lt;=1),SUMIF(C2:C1334,C1170,AS2:AS1334),IF(AND(AT1170=1,M1170="F",SUMIF(C2:C1334,C1170,AS2:AS1334)&gt;1),1,"")))</f>
        <v>1</v>
      </c>
      <c r="AV1170" s="387" t="str">
        <f>IF(AT1170=0,"",IF(AND(AT1170=3,M1170="F",SUMIF(C2:C1334,C1170,AS2:AS1334)&lt;=1),SUMIF(C2:C1334,C1170,AS2:AS1334),IF(AND(AT1170=3,M1170="F",SUMIF(C2:C1334,C1170,AS2:AS1334)&gt;1),1,"")))</f>
        <v/>
      </c>
      <c r="AW1170" s="387">
        <f>SUMIF(C2:C1334,C1170,O2:O1334)</f>
        <v>3</v>
      </c>
      <c r="AX1170" s="387">
        <f>IF(AND(M1170="F",AS1170&lt;&gt;0),SUMIF(C2:C1334,C1170,W2:W1334),0)</f>
        <v>57720</v>
      </c>
      <c r="AY1170" s="387">
        <f t="shared" si="821"/>
        <v>20202</v>
      </c>
      <c r="AZ1170" s="387" t="str">
        <f t="shared" si="822"/>
        <v/>
      </c>
      <c r="BA1170" s="387">
        <f t="shared" si="823"/>
        <v>0</v>
      </c>
      <c r="BB1170" s="387">
        <f t="shared" si="792"/>
        <v>4077.4999999999995</v>
      </c>
      <c r="BC1170" s="387">
        <f t="shared" si="793"/>
        <v>0</v>
      </c>
      <c r="BD1170" s="387">
        <f t="shared" si="794"/>
        <v>1252.5239999999999</v>
      </c>
      <c r="BE1170" s="387">
        <f t="shared" si="795"/>
        <v>292.92900000000003</v>
      </c>
      <c r="BF1170" s="387">
        <f t="shared" si="796"/>
        <v>2412.1188000000002</v>
      </c>
      <c r="BG1170" s="387">
        <f t="shared" si="797"/>
        <v>145.65642</v>
      </c>
      <c r="BH1170" s="387">
        <f t="shared" si="798"/>
        <v>98.989800000000002</v>
      </c>
      <c r="BI1170" s="387">
        <f t="shared" si="799"/>
        <v>111.81807000000001</v>
      </c>
      <c r="BJ1170" s="387">
        <f t="shared" si="800"/>
        <v>54.545400000000001</v>
      </c>
      <c r="BK1170" s="387">
        <f t="shared" si="801"/>
        <v>0</v>
      </c>
      <c r="BL1170" s="387">
        <f t="shared" si="824"/>
        <v>4368.5814900000005</v>
      </c>
      <c r="BM1170" s="387">
        <f t="shared" si="825"/>
        <v>0</v>
      </c>
      <c r="BN1170" s="387">
        <f t="shared" si="802"/>
        <v>4077.4999999999995</v>
      </c>
      <c r="BO1170" s="387">
        <f t="shared" si="803"/>
        <v>0</v>
      </c>
      <c r="BP1170" s="387">
        <f t="shared" si="804"/>
        <v>1252.5239999999999</v>
      </c>
      <c r="BQ1170" s="387">
        <f t="shared" si="805"/>
        <v>292.92900000000003</v>
      </c>
      <c r="BR1170" s="387">
        <f t="shared" si="806"/>
        <v>2412.1188000000002</v>
      </c>
      <c r="BS1170" s="387">
        <f t="shared" si="807"/>
        <v>145.65642</v>
      </c>
      <c r="BT1170" s="387">
        <f t="shared" si="808"/>
        <v>0</v>
      </c>
      <c r="BU1170" s="387">
        <f t="shared" si="809"/>
        <v>111.81807000000001</v>
      </c>
      <c r="BV1170" s="387">
        <f t="shared" si="810"/>
        <v>68.686799999999991</v>
      </c>
      <c r="BW1170" s="387">
        <f t="shared" si="811"/>
        <v>0</v>
      </c>
      <c r="BX1170" s="387">
        <f t="shared" si="826"/>
        <v>4283.7330900000006</v>
      </c>
      <c r="BY1170" s="387">
        <f t="shared" si="827"/>
        <v>0</v>
      </c>
      <c r="BZ1170" s="387">
        <f t="shared" si="828"/>
        <v>0</v>
      </c>
      <c r="CA1170" s="387">
        <f t="shared" si="829"/>
        <v>0</v>
      </c>
      <c r="CB1170" s="387">
        <f t="shared" si="830"/>
        <v>0</v>
      </c>
      <c r="CC1170" s="387">
        <f t="shared" si="812"/>
        <v>0</v>
      </c>
      <c r="CD1170" s="387">
        <f t="shared" si="813"/>
        <v>0</v>
      </c>
      <c r="CE1170" s="387">
        <f t="shared" si="814"/>
        <v>0</v>
      </c>
      <c r="CF1170" s="387">
        <f t="shared" si="815"/>
        <v>-98.989800000000002</v>
      </c>
      <c r="CG1170" s="387">
        <f t="shared" si="816"/>
        <v>0</v>
      </c>
      <c r="CH1170" s="387">
        <f t="shared" si="817"/>
        <v>14.141399999999994</v>
      </c>
      <c r="CI1170" s="387">
        <f t="shared" si="818"/>
        <v>0</v>
      </c>
      <c r="CJ1170" s="387">
        <f t="shared" si="831"/>
        <v>-84.848400000000012</v>
      </c>
      <c r="CK1170" s="387" t="str">
        <f t="shared" si="832"/>
        <v/>
      </c>
      <c r="CL1170" s="387" t="str">
        <f t="shared" si="833"/>
        <v/>
      </c>
      <c r="CM1170" s="387" t="str">
        <f t="shared" si="834"/>
        <v/>
      </c>
      <c r="CN1170" s="387" t="str">
        <f t="shared" si="835"/>
        <v>0348-31</v>
      </c>
    </row>
    <row r="1171" spans="1:92" ht="15.75" thickBot="1" x14ac:dyDescent="0.3">
      <c r="A1171" s="376" t="s">
        <v>161</v>
      </c>
      <c r="B1171" s="376" t="s">
        <v>162</v>
      </c>
      <c r="C1171" s="376" t="s">
        <v>2397</v>
      </c>
      <c r="D1171" s="376" t="s">
        <v>974</v>
      </c>
      <c r="E1171" s="376" t="s">
        <v>224</v>
      </c>
      <c r="F1171" s="382" t="s">
        <v>225</v>
      </c>
      <c r="G1171" s="376" t="s">
        <v>1945</v>
      </c>
      <c r="H1171" s="378"/>
      <c r="I1171" s="378"/>
      <c r="J1171" s="376" t="s">
        <v>215</v>
      </c>
      <c r="K1171" s="376" t="s">
        <v>975</v>
      </c>
      <c r="L1171" s="376" t="s">
        <v>296</v>
      </c>
      <c r="M1171" s="376" t="s">
        <v>171</v>
      </c>
      <c r="N1171" s="376" t="s">
        <v>172</v>
      </c>
      <c r="O1171" s="379">
        <v>1</v>
      </c>
      <c r="P1171" s="385">
        <v>1</v>
      </c>
      <c r="Q1171" s="385">
        <v>1</v>
      </c>
      <c r="R1171" s="380">
        <v>80</v>
      </c>
      <c r="S1171" s="385">
        <v>1</v>
      </c>
      <c r="T1171" s="380">
        <v>47371.65</v>
      </c>
      <c r="U1171" s="380">
        <v>5435.72</v>
      </c>
      <c r="V1171" s="380">
        <v>22390.74</v>
      </c>
      <c r="W1171" s="380">
        <v>49816</v>
      </c>
      <c r="X1171" s="380">
        <v>22422.69</v>
      </c>
      <c r="Y1171" s="380">
        <v>49816</v>
      </c>
      <c r="Z1171" s="380">
        <v>22213.47</v>
      </c>
      <c r="AA1171" s="376" t="s">
        <v>2398</v>
      </c>
      <c r="AB1171" s="376" t="s">
        <v>2399</v>
      </c>
      <c r="AC1171" s="376" t="s">
        <v>956</v>
      </c>
      <c r="AD1171" s="376" t="s">
        <v>317</v>
      </c>
      <c r="AE1171" s="376" t="s">
        <v>975</v>
      </c>
      <c r="AF1171" s="376" t="s">
        <v>301</v>
      </c>
      <c r="AG1171" s="376" t="s">
        <v>178</v>
      </c>
      <c r="AH1171" s="381">
        <v>23.95</v>
      </c>
      <c r="AI1171" s="381">
        <v>40155.300000000003</v>
      </c>
      <c r="AJ1171" s="376" t="s">
        <v>179</v>
      </c>
      <c r="AK1171" s="376" t="s">
        <v>180</v>
      </c>
      <c r="AL1171" s="376" t="s">
        <v>181</v>
      </c>
      <c r="AM1171" s="376" t="s">
        <v>182</v>
      </c>
      <c r="AN1171" s="376" t="s">
        <v>68</v>
      </c>
      <c r="AO1171" s="379">
        <v>80</v>
      </c>
      <c r="AP1171" s="385">
        <v>1</v>
      </c>
      <c r="AQ1171" s="385">
        <v>1</v>
      </c>
      <c r="AR1171" s="383" t="s">
        <v>183</v>
      </c>
      <c r="AS1171" s="387">
        <f t="shared" si="819"/>
        <v>1</v>
      </c>
      <c r="AT1171">
        <f t="shared" si="820"/>
        <v>1</v>
      </c>
      <c r="AU1171" s="387">
        <f>IF(AT1171=0,"",IF(AND(AT1171=1,M1171="F",SUMIF(C2:C1334,C1171,AS2:AS1334)&lt;=1),SUMIF(C2:C1334,C1171,AS2:AS1334),IF(AND(AT1171=1,M1171="F",SUMIF(C2:C1334,C1171,AS2:AS1334)&gt;1),1,"")))</f>
        <v>1</v>
      </c>
      <c r="AV1171" s="387" t="str">
        <f>IF(AT1171=0,"",IF(AND(AT1171=3,M1171="F",SUMIF(C2:C1334,C1171,AS2:AS1334)&lt;=1),SUMIF(C2:C1334,C1171,AS2:AS1334),IF(AND(AT1171=3,M1171="F",SUMIF(C2:C1334,C1171,AS2:AS1334)&gt;1),1,"")))</f>
        <v/>
      </c>
      <c r="AW1171" s="387">
        <f>SUMIF(C2:C1334,C1171,O2:O1334)</f>
        <v>1</v>
      </c>
      <c r="AX1171" s="387">
        <f>IF(AND(M1171="F",AS1171&lt;&gt;0),SUMIF(C2:C1334,C1171,W2:W1334),0)</f>
        <v>49816</v>
      </c>
      <c r="AY1171" s="387">
        <f t="shared" si="821"/>
        <v>49816</v>
      </c>
      <c r="AZ1171" s="387" t="str">
        <f t="shared" si="822"/>
        <v/>
      </c>
      <c r="BA1171" s="387">
        <f t="shared" si="823"/>
        <v>0</v>
      </c>
      <c r="BB1171" s="387">
        <f t="shared" si="792"/>
        <v>11650</v>
      </c>
      <c r="BC1171" s="387">
        <f t="shared" si="793"/>
        <v>0</v>
      </c>
      <c r="BD1171" s="387">
        <f t="shared" si="794"/>
        <v>3088.5920000000001</v>
      </c>
      <c r="BE1171" s="387">
        <f t="shared" si="795"/>
        <v>722.33199999999999</v>
      </c>
      <c r="BF1171" s="387">
        <f t="shared" si="796"/>
        <v>5948.0304000000006</v>
      </c>
      <c r="BG1171" s="387">
        <f t="shared" si="797"/>
        <v>359.17336</v>
      </c>
      <c r="BH1171" s="387">
        <f t="shared" si="798"/>
        <v>244.0984</v>
      </c>
      <c r="BI1171" s="387">
        <f t="shared" si="799"/>
        <v>275.73156</v>
      </c>
      <c r="BJ1171" s="387">
        <f t="shared" si="800"/>
        <v>134.50320000000002</v>
      </c>
      <c r="BK1171" s="387">
        <f t="shared" si="801"/>
        <v>0</v>
      </c>
      <c r="BL1171" s="387">
        <f t="shared" si="824"/>
        <v>10772.460920000001</v>
      </c>
      <c r="BM1171" s="387">
        <f t="shared" si="825"/>
        <v>0</v>
      </c>
      <c r="BN1171" s="387">
        <f t="shared" si="802"/>
        <v>11650</v>
      </c>
      <c r="BO1171" s="387">
        <f t="shared" si="803"/>
        <v>0</v>
      </c>
      <c r="BP1171" s="387">
        <f t="shared" si="804"/>
        <v>3088.5920000000001</v>
      </c>
      <c r="BQ1171" s="387">
        <f t="shared" si="805"/>
        <v>722.33199999999999</v>
      </c>
      <c r="BR1171" s="387">
        <f t="shared" si="806"/>
        <v>5948.0304000000006</v>
      </c>
      <c r="BS1171" s="387">
        <f t="shared" si="807"/>
        <v>359.17336</v>
      </c>
      <c r="BT1171" s="387">
        <f t="shared" si="808"/>
        <v>0</v>
      </c>
      <c r="BU1171" s="387">
        <f t="shared" si="809"/>
        <v>275.73156</v>
      </c>
      <c r="BV1171" s="387">
        <f t="shared" si="810"/>
        <v>169.37439999999998</v>
      </c>
      <c r="BW1171" s="387">
        <f t="shared" si="811"/>
        <v>0</v>
      </c>
      <c r="BX1171" s="387">
        <f t="shared" si="826"/>
        <v>10563.233720000002</v>
      </c>
      <c r="BY1171" s="387">
        <f t="shared" si="827"/>
        <v>0</v>
      </c>
      <c r="BZ1171" s="387">
        <f t="shared" si="828"/>
        <v>0</v>
      </c>
      <c r="CA1171" s="387">
        <f t="shared" si="829"/>
        <v>0</v>
      </c>
      <c r="CB1171" s="387">
        <f t="shared" si="830"/>
        <v>0</v>
      </c>
      <c r="CC1171" s="387">
        <f t="shared" si="812"/>
        <v>0</v>
      </c>
      <c r="CD1171" s="387">
        <f t="shared" si="813"/>
        <v>0</v>
      </c>
      <c r="CE1171" s="387">
        <f t="shared" si="814"/>
        <v>0</v>
      </c>
      <c r="CF1171" s="387">
        <f t="shared" si="815"/>
        <v>-244.0984</v>
      </c>
      <c r="CG1171" s="387">
        <f t="shared" si="816"/>
        <v>0</v>
      </c>
      <c r="CH1171" s="387">
        <f t="shared" si="817"/>
        <v>34.87119999999998</v>
      </c>
      <c r="CI1171" s="387">
        <f t="shared" si="818"/>
        <v>0</v>
      </c>
      <c r="CJ1171" s="387">
        <f t="shared" si="831"/>
        <v>-209.22720000000001</v>
      </c>
      <c r="CK1171" s="387" t="str">
        <f t="shared" si="832"/>
        <v/>
      </c>
      <c r="CL1171" s="387" t="str">
        <f t="shared" si="833"/>
        <v/>
      </c>
      <c r="CM1171" s="387" t="str">
        <f t="shared" si="834"/>
        <v/>
      </c>
      <c r="CN1171" s="387" t="str">
        <f t="shared" si="835"/>
        <v>0348-31</v>
      </c>
    </row>
    <row r="1172" spans="1:92" ht="15.75" thickBot="1" x14ac:dyDescent="0.3">
      <c r="A1172" s="376" t="s">
        <v>161</v>
      </c>
      <c r="B1172" s="376" t="s">
        <v>162</v>
      </c>
      <c r="C1172" s="376" t="s">
        <v>2400</v>
      </c>
      <c r="D1172" s="376" t="s">
        <v>862</v>
      </c>
      <c r="E1172" s="376" t="s">
        <v>224</v>
      </c>
      <c r="F1172" s="382" t="s">
        <v>225</v>
      </c>
      <c r="G1172" s="376" t="s">
        <v>1945</v>
      </c>
      <c r="H1172" s="378"/>
      <c r="I1172" s="378"/>
      <c r="J1172" s="376" t="s">
        <v>215</v>
      </c>
      <c r="K1172" s="376" t="s">
        <v>863</v>
      </c>
      <c r="L1172" s="376" t="s">
        <v>252</v>
      </c>
      <c r="M1172" s="376" t="s">
        <v>171</v>
      </c>
      <c r="N1172" s="376" t="s">
        <v>172</v>
      </c>
      <c r="O1172" s="379">
        <v>1</v>
      </c>
      <c r="P1172" s="385">
        <v>1</v>
      </c>
      <c r="Q1172" s="385">
        <v>1</v>
      </c>
      <c r="R1172" s="380">
        <v>80</v>
      </c>
      <c r="S1172" s="385">
        <v>1</v>
      </c>
      <c r="T1172" s="380">
        <v>36436.44</v>
      </c>
      <c r="U1172" s="380">
        <v>1159.01</v>
      </c>
      <c r="V1172" s="380">
        <v>19536.060000000001</v>
      </c>
      <c r="W1172" s="380">
        <v>39062.400000000001</v>
      </c>
      <c r="X1172" s="380">
        <v>20097.2</v>
      </c>
      <c r="Y1172" s="380">
        <v>39062.400000000001</v>
      </c>
      <c r="Z1172" s="380">
        <v>19933.150000000001</v>
      </c>
      <c r="AA1172" s="376" t="s">
        <v>2401</v>
      </c>
      <c r="AB1172" s="376" t="s">
        <v>434</v>
      </c>
      <c r="AC1172" s="376" t="s">
        <v>2028</v>
      </c>
      <c r="AD1172" s="376" t="s">
        <v>210</v>
      </c>
      <c r="AE1172" s="376" t="s">
        <v>863</v>
      </c>
      <c r="AF1172" s="376" t="s">
        <v>393</v>
      </c>
      <c r="AG1172" s="376" t="s">
        <v>178</v>
      </c>
      <c r="AH1172" s="381">
        <v>18.78</v>
      </c>
      <c r="AI1172" s="381">
        <v>2621.1</v>
      </c>
      <c r="AJ1172" s="376" t="s">
        <v>179</v>
      </c>
      <c r="AK1172" s="376" t="s">
        <v>180</v>
      </c>
      <c r="AL1172" s="376" t="s">
        <v>181</v>
      </c>
      <c r="AM1172" s="376" t="s">
        <v>182</v>
      </c>
      <c r="AN1172" s="376" t="s">
        <v>68</v>
      </c>
      <c r="AO1172" s="379">
        <v>80</v>
      </c>
      <c r="AP1172" s="385">
        <v>1</v>
      </c>
      <c r="AQ1172" s="385">
        <v>1</v>
      </c>
      <c r="AR1172" s="383" t="s">
        <v>183</v>
      </c>
      <c r="AS1172" s="387">
        <f t="shared" si="819"/>
        <v>1</v>
      </c>
      <c r="AT1172">
        <f t="shared" si="820"/>
        <v>1</v>
      </c>
      <c r="AU1172" s="387">
        <f>IF(AT1172=0,"",IF(AND(AT1172=1,M1172="F",SUMIF(C2:C1334,C1172,AS2:AS1334)&lt;=1),SUMIF(C2:C1334,C1172,AS2:AS1334),IF(AND(AT1172=1,M1172="F",SUMIF(C2:C1334,C1172,AS2:AS1334)&gt;1),1,"")))</f>
        <v>1</v>
      </c>
      <c r="AV1172" s="387" t="str">
        <f>IF(AT1172=0,"",IF(AND(AT1172=3,M1172="F",SUMIF(C2:C1334,C1172,AS2:AS1334)&lt;=1),SUMIF(C2:C1334,C1172,AS2:AS1334),IF(AND(AT1172=3,M1172="F",SUMIF(C2:C1334,C1172,AS2:AS1334)&gt;1),1,"")))</f>
        <v/>
      </c>
      <c r="AW1172" s="387">
        <f>SUMIF(C2:C1334,C1172,O2:O1334)</f>
        <v>1</v>
      </c>
      <c r="AX1172" s="387">
        <f>IF(AND(M1172="F",AS1172&lt;&gt;0),SUMIF(C2:C1334,C1172,W2:W1334),0)</f>
        <v>39062.400000000001</v>
      </c>
      <c r="AY1172" s="387">
        <f t="shared" si="821"/>
        <v>39062.400000000001</v>
      </c>
      <c r="AZ1172" s="387" t="str">
        <f t="shared" si="822"/>
        <v/>
      </c>
      <c r="BA1172" s="387">
        <f t="shared" si="823"/>
        <v>0</v>
      </c>
      <c r="BB1172" s="387">
        <f t="shared" si="792"/>
        <v>11650</v>
      </c>
      <c r="BC1172" s="387">
        <f t="shared" si="793"/>
        <v>0</v>
      </c>
      <c r="BD1172" s="387">
        <f t="shared" si="794"/>
        <v>2421.8688000000002</v>
      </c>
      <c r="BE1172" s="387">
        <f t="shared" si="795"/>
        <v>566.40480000000002</v>
      </c>
      <c r="BF1172" s="387">
        <f t="shared" si="796"/>
        <v>4664.0505600000006</v>
      </c>
      <c r="BG1172" s="387">
        <f t="shared" si="797"/>
        <v>281.639904</v>
      </c>
      <c r="BH1172" s="387">
        <f t="shared" si="798"/>
        <v>191.40576000000001</v>
      </c>
      <c r="BI1172" s="387">
        <f t="shared" si="799"/>
        <v>216.210384</v>
      </c>
      <c r="BJ1172" s="387">
        <f t="shared" si="800"/>
        <v>105.46848000000001</v>
      </c>
      <c r="BK1172" s="387">
        <f t="shared" si="801"/>
        <v>0</v>
      </c>
      <c r="BL1172" s="387">
        <f t="shared" si="824"/>
        <v>8447.0486880000008</v>
      </c>
      <c r="BM1172" s="387">
        <f t="shared" si="825"/>
        <v>0</v>
      </c>
      <c r="BN1172" s="387">
        <f t="shared" si="802"/>
        <v>11650</v>
      </c>
      <c r="BO1172" s="387">
        <f t="shared" si="803"/>
        <v>0</v>
      </c>
      <c r="BP1172" s="387">
        <f t="shared" si="804"/>
        <v>2421.8688000000002</v>
      </c>
      <c r="BQ1172" s="387">
        <f t="shared" si="805"/>
        <v>566.40480000000002</v>
      </c>
      <c r="BR1172" s="387">
        <f t="shared" si="806"/>
        <v>4664.0505600000006</v>
      </c>
      <c r="BS1172" s="387">
        <f t="shared" si="807"/>
        <v>281.639904</v>
      </c>
      <c r="BT1172" s="387">
        <f t="shared" si="808"/>
        <v>0</v>
      </c>
      <c r="BU1172" s="387">
        <f t="shared" si="809"/>
        <v>216.210384</v>
      </c>
      <c r="BV1172" s="387">
        <f t="shared" si="810"/>
        <v>132.81216000000001</v>
      </c>
      <c r="BW1172" s="387">
        <f t="shared" si="811"/>
        <v>0</v>
      </c>
      <c r="BX1172" s="387">
        <f t="shared" si="826"/>
        <v>8282.9866080000011</v>
      </c>
      <c r="BY1172" s="387">
        <f t="shared" si="827"/>
        <v>0</v>
      </c>
      <c r="BZ1172" s="387">
        <f t="shared" si="828"/>
        <v>0</v>
      </c>
      <c r="CA1172" s="387">
        <f t="shared" si="829"/>
        <v>0</v>
      </c>
      <c r="CB1172" s="387">
        <f t="shared" si="830"/>
        <v>0</v>
      </c>
      <c r="CC1172" s="387">
        <f t="shared" si="812"/>
        <v>0</v>
      </c>
      <c r="CD1172" s="387">
        <f t="shared" si="813"/>
        <v>0</v>
      </c>
      <c r="CE1172" s="387">
        <f t="shared" si="814"/>
        <v>0</v>
      </c>
      <c r="CF1172" s="387">
        <f t="shared" si="815"/>
        <v>-191.40576000000001</v>
      </c>
      <c r="CG1172" s="387">
        <f t="shared" si="816"/>
        <v>0</v>
      </c>
      <c r="CH1172" s="387">
        <f t="shared" si="817"/>
        <v>27.343679999999988</v>
      </c>
      <c r="CI1172" s="387">
        <f t="shared" si="818"/>
        <v>0</v>
      </c>
      <c r="CJ1172" s="387">
        <f t="shared" si="831"/>
        <v>-164.06208000000004</v>
      </c>
      <c r="CK1172" s="387" t="str">
        <f t="shared" si="832"/>
        <v/>
      </c>
      <c r="CL1172" s="387" t="str">
        <f t="shared" si="833"/>
        <v/>
      </c>
      <c r="CM1172" s="387" t="str">
        <f t="shared" si="834"/>
        <v/>
      </c>
      <c r="CN1172" s="387" t="str">
        <f t="shared" si="835"/>
        <v>0348-31</v>
      </c>
    </row>
    <row r="1173" spans="1:92" ht="15.75" thickBot="1" x14ac:dyDescent="0.3">
      <c r="A1173" s="376" t="s">
        <v>161</v>
      </c>
      <c r="B1173" s="376" t="s">
        <v>162</v>
      </c>
      <c r="C1173" s="376" t="s">
        <v>1531</v>
      </c>
      <c r="D1173" s="376" t="s">
        <v>868</v>
      </c>
      <c r="E1173" s="376" t="s">
        <v>224</v>
      </c>
      <c r="F1173" s="382" t="s">
        <v>225</v>
      </c>
      <c r="G1173" s="376" t="s">
        <v>1945</v>
      </c>
      <c r="H1173" s="378"/>
      <c r="I1173" s="378"/>
      <c r="J1173" s="376" t="s">
        <v>215</v>
      </c>
      <c r="K1173" s="376" t="s">
        <v>869</v>
      </c>
      <c r="L1173" s="376" t="s">
        <v>296</v>
      </c>
      <c r="M1173" s="376" t="s">
        <v>171</v>
      </c>
      <c r="N1173" s="376" t="s">
        <v>172</v>
      </c>
      <c r="O1173" s="379">
        <v>1</v>
      </c>
      <c r="P1173" s="385">
        <v>1</v>
      </c>
      <c r="Q1173" s="385">
        <v>1</v>
      </c>
      <c r="R1173" s="380">
        <v>80</v>
      </c>
      <c r="S1173" s="385">
        <v>1</v>
      </c>
      <c r="T1173" s="380">
        <v>0</v>
      </c>
      <c r="U1173" s="380">
        <v>0</v>
      </c>
      <c r="V1173" s="380">
        <v>0</v>
      </c>
      <c r="W1173" s="380">
        <v>50086.400000000001</v>
      </c>
      <c r="X1173" s="380">
        <v>22481.15</v>
      </c>
      <c r="Y1173" s="380">
        <v>50086.400000000001</v>
      </c>
      <c r="Z1173" s="380">
        <v>22270.79</v>
      </c>
      <c r="AA1173" s="376" t="s">
        <v>1532</v>
      </c>
      <c r="AB1173" s="376" t="s">
        <v>1533</v>
      </c>
      <c r="AC1173" s="376" t="s">
        <v>1534</v>
      </c>
      <c r="AD1173" s="376" t="s">
        <v>1535</v>
      </c>
      <c r="AE1173" s="376" t="s">
        <v>869</v>
      </c>
      <c r="AF1173" s="376" t="s">
        <v>301</v>
      </c>
      <c r="AG1173" s="376" t="s">
        <v>178</v>
      </c>
      <c r="AH1173" s="381">
        <v>24.08</v>
      </c>
      <c r="AI1173" s="381">
        <v>16667.3</v>
      </c>
      <c r="AJ1173" s="376" t="s">
        <v>179</v>
      </c>
      <c r="AK1173" s="376" t="s">
        <v>180</v>
      </c>
      <c r="AL1173" s="376" t="s">
        <v>181</v>
      </c>
      <c r="AM1173" s="376" t="s">
        <v>182</v>
      </c>
      <c r="AN1173" s="376" t="s">
        <v>68</v>
      </c>
      <c r="AO1173" s="379">
        <v>80</v>
      </c>
      <c r="AP1173" s="385">
        <v>1</v>
      </c>
      <c r="AQ1173" s="385">
        <v>1</v>
      </c>
      <c r="AR1173" s="383" t="s">
        <v>183</v>
      </c>
      <c r="AS1173" s="387">
        <f t="shared" si="819"/>
        <v>1</v>
      </c>
      <c r="AT1173">
        <f t="shared" si="820"/>
        <v>1</v>
      </c>
      <c r="AU1173" s="387">
        <f>IF(AT1173=0,"",IF(AND(AT1173=1,M1173="F",SUMIF(C2:C1334,C1173,AS2:AS1334)&lt;=1),SUMIF(C2:C1334,C1173,AS2:AS1334),IF(AND(AT1173=1,M1173="F",SUMIF(C2:C1334,C1173,AS2:AS1334)&gt;1),1,"")))</f>
        <v>1</v>
      </c>
      <c r="AV1173" s="387" t="str">
        <f>IF(AT1173=0,"",IF(AND(AT1173=3,M1173="F",SUMIF(C2:C1334,C1173,AS2:AS1334)&lt;=1),SUMIF(C2:C1334,C1173,AS2:AS1334),IF(AND(AT1173=3,M1173="F",SUMIF(C2:C1334,C1173,AS2:AS1334)&gt;1),1,"")))</f>
        <v/>
      </c>
      <c r="AW1173" s="387">
        <f>SUMIF(C2:C1334,C1173,O2:O1334)</f>
        <v>2</v>
      </c>
      <c r="AX1173" s="387">
        <f>IF(AND(M1173="F",AS1173&lt;&gt;0),SUMIF(C2:C1334,C1173,W2:W1334),0)</f>
        <v>50086.400000000001</v>
      </c>
      <c r="AY1173" s="387">
        <f t="shared" si="821"/>
        <v>50086.400000000001</v>
      </c>
      <c r="AZ1173" s="387" t="str">
        <f t="shared" si="822"/>
        <v/>
      </c>
      <c r="BA1173" s="387">
        <f t="shared" si="823"/>
        <v>0</v>
      </c>
      <c r="BB1173" s="387">
        <f t="shared" si="792"/>
        <v>11650</v>
      </c>
      <c r="BC1173" s="387">
        <f t="shared" si="793"/>
        <v>0</v>
      </c>
      <c r="BD1173" s="387">
        <f t="shared" si="794"/>
        <v>3105.3568</v>
      </c>
      <c r="BE1173" s="387">
        <f t="shared" si="795"/>
        <v>726.25280000000009</v>
      </c>
      <c r="BF1173" s="387">
        <f t="shared" si="796"/>
        <v>5980.3161600000003</v>
      </c>
      <c r="BG1173" s="387">
        <f t="shared" si="797"/>
        <v>361.12294400000002</v>
      </c>
      <c r="BH1173" s="387">
        <f t="shared" si="798"/>
        <v>245.42336</v>
      </c>
      <c r="BI1173" s="387">
        <f t="shared" si="799"/>
        <v>277.22822400000001</v>
      </c>
      <c r="BJ1173" s="387">
        <f t="shared" si="800"/>
        <v>135.23328000000001</v>
      </c>
      <c r="BK1173" s="387">
        <f t="shared" si="801"/>
        <v>0</v>
      </c>
      <c r="BL1173" s="387">
        <f t="shared" si="824"/>
        <v>10830.933568000002</v>
      </c>
      <c r="BM1173" s="387">
        <f t="shared" si="825"/>
        <v>0</v>
      </c>
      <c r="BN1173" s="387">
        <f t="shared" si="802"/>
        <v>11650</v>
      </c>
      <c r="BO1173" s="387">
        <f t="shared" si="803"/>
        <v>0</v>
      </c>
      <c r="BP1173" s="387">
        <f t="shared" si="804"/>
        <v>3105.3568</v>
      </c>
      <c r="BQ1173" s="387">
        <f t="shared" si="805"/>
        <v>726.25280000000009</v>
      </c>
      <c r="BR1173" s="387">
        <f t="shared" si="806"/>
        <v>5980.3161600000003</v>
      </c>
      <c r="BS1173" s="387">
        <f t="shared" si="807"/>
        <v>361.12294400000002</v>
      </c>
      <c r="BT1173" s="387">
        <f t="shared" si="808"/>
        <v>0</v>
      </c>
      <c r="BU1173" s="387">
        <f t="shared" si="809"/>
        <v>277.22822400000001</v>
      </c>
      <c r="BV1173" s="387">
        <f t="shared" si="810"/>
        <v>170.29375999999999</v>
      </c>
      <c r="BW1173" s="387">
        <f t="shared" si="811"/>
        <v>0</v>
      </c>
      <c r="BX1173" s="387">
        <f t="shared" si="826"/>
        <v>10620.570688000002</v>
      </c>
      <c r="BY1173" s="387">
        <f t="shared" si="827"/>
        <v>0</v>
      </c>
      <c r="BZ1173" s="387">
        <f t="shared" si="828"/>
        <v>0</v>
      </c>
      <c r="CA1173" s="387">
        <f t="shared" si="829"/>
        <v>0</v>
      </c>
      <c r="CB1173" s="387">
        <f t="shared" si="830"/>
        <v>0</v>
      </c>
      <c r="CC1173" s="387">
        <f t="shared" si="812"/>
        <v>0</v>
      </c>
      <c r="CD1173" s="387">
        <f t="shared" si="813"/>
        <v>0</v>
      </c>
      <c r="CE1173" s="387">
        <f t="shared" si="814"/>
        <v>0</v>
      </c>
      <c r="CF1173" s="387">
        <f t="shared" si="815"/>
        <v>-245.42336</v>
      </c>
      <c r="CG1173" s="387">
        <f t="shared" si="816"/>
        <v>0</v>
      </c>
      <c r="CH1173" s="387">
        <f t="shared" si="817"/>
        <v>35.060479999999984</v>
      </c>
      <c r="CI1173" s="387">
        <f t="shared" si="818"/>
        <v>0</v>
      </c>
      <c r="CJ1173" s="387">
        <f t="shared" si="831"/>
        <v>-210.36288000000002</v>
      </c>
      <c r="CK1173" s="387" t="str">
        <f t="shared" si="832"/>
        <v/>
      </c>
      <c r="CL1173" s="387" t="str">
        <f t="shared" si="833"/>
        <v/>
      </c>
      <c r="CM1173" s="387" t="str">
        <f t="shared" si="834"/>
        <v/>
      </c>
      <c r="CN1173" s="387" t="str">
        <f t="shared" si="835"/>
        <v>0348-31</v>
      </c>
    </row>
    <row r="1174" spans="1:92" ht="15.75" thickBot="1" x14ac:dyDescent="0.3">
      <c r="A1174" s="376" t="s">
        <v>161</v>
      </c>
      <c r="B1174" s="376" t="s">
        <v>162</v>
      </c>
      <c r="C1174" s="376" t="s">
        <v>1688</v>
      </c>
      <c r="D1174" s="376" t="s">
        <v>862</v>
      </c>
      <c r="E1174" s="376" t="s">
        <v>224</v>
      </c>
      <c r="F1174" s="382" t="s">
        <v>225</v>
      </c>
      <c r="G1174" s="376" t="s">
        <v>1945</v>
      </c>
      <c r="H1174" s="378"/>
      <c r="I1174" s="378"/>
      <c r="J1174" s="376" t="s">
        <v>215</v>
      </c>
      <c r="K1174" s="376" t="s">
        <v>863</v>
      </c>
      <c r="L1174" s="376" t="s">
        <v>252</v>
      </c>
      <c r="M1174" s="376" t="s">
        <v>171</v>
      </c>
      <c r="N1174" s="376" t="s">
        <v>172</v>
      </c>
      <c r="O1174" s="379">
        <v>1</v>
      </c>
      <c r="P1174" s="385">
        <v>0</v>
      </c>
      <c r="Q1174" s="385">
        <v>0</v>
      </c>
      <c r="R1174" s="380">
        <v>80</v>
      </c>
      <c r="S1174" s="385">
        <v>0</v>
      </c>
      <c r="T1174" s="380">
        <v>15728.24</v>
      </c>
      <c r="U1174" s="380">
        <v>891.75</v>
      </c>
      <c r="V1174" s="380">
        <v>7719.42</v>
      </c>
      <c r="W1174" s="380">
        <v>0</v>
      </c>
      <c r="X1174" s="380">
        <v>0</v>
      </c>
      <c r="Y1174" s="380">
        <v>0</v>
      </c>
      <c r="Z1174" s="380">
        <v>0</v>
      </c>
      <c r="AA1174" s="376" t="s">
        <v>1689</v>
      </c>
      <c r="AB1174" s="376" t="s">
        <v>1690</v>
      </c>
      <c r="AC1174" s="376" t="s">
        <v>1691</v>
      </c>
      <c r="AD1174" s="376" t="s">
        <v>1692</v>
      </c>
      <c r="AE1174" s="376" t="s">
        <v>863</v>
      </c>
      <c r="AF1174" s="376" t="s">
        <v>393</v>
      </c>
      <c r="AG1174" s="376" t="s">
        <v>178</v>
      </c>
      <c r="AH1174" s="381">
        <v>23.03</v>
      </c>
      <c r="AI1174" s="381">
        <v>36356.5</v>
      </c>
      <c r="AJ1174" s="376" t="s">
        <v>179</v>
      </c>
      <c r="AK1174" s="376" t="s">
        <v>180</v>
      </c>
      <c r="AL1174" s="376" t="s">
        <v>181</v>
      </c>
      <c r="AM1174" s="376" t="s">
        <v>182</v>
      </c>
      <c r="AN1174" s="376" t="s">
        <v>68</v>
      </c>
      <c r="AO1174" s="379">
        <v>80</v>
      </c>
      <c r="AP1174" s="385">
        <v>1</v>
      </c>
      <c r="AQ1174" s="385">
        <v>0</v>
      </c>
      <c r="AR1174" s="383" t="s">
        <v>183</v>
      </c>
      <c r="AS1174" s="387">
        <f t="shared" si="819"/>
        <v>0</v>
      </c>
      <c r="AT1174">
        <f t="shared" si="820"/>
        <v>0</v>
      </c>
      <c r="AU1174" s="387" t="str">
        <f>IF(AT1174=0,"",IF(AND(AT1174=1,M1174="F",SUMIF(C2:C1334,C1174,AS2:AS1334)&lt;=1),SUMIF(C2:C1334,C1174,AS2:AS1334),IF(AND(AT1174=1,M1174="F",SUMIF(C2:C1334,C1174,AS2:AS1334)&gt;1),1,"")))</f>
        <v/>
      </c>
      <c r="AV1174" s="387" t="str">
        <f>IF(AT1174=0,"",IF(AND(AT1174=3,M1174="F",SUMIF(C2:C1334,C1174,AS2:AS1334)&lt;=1),SUMIF(C2:C1334,C1174,AS2:AS1334),IF(AND(AT1174=3,M1174="F",SUMIF(C2:C1334,C1174,AS2:AS1334)&gt;1),1,"")))</f>
        <v/>
      </c>
      <c r="AW1174" s="387">
        <f>SUMIF(C2:C1334,C1174,O2:O1334)</f>
        <v>3</v>
      </c>
      <c r="AX1174" s="387">
        <f>IF(AND(M1174="F",AS1174&lt;&gt;0),SUMIF(C2:C1334,C1174,W2:W1334),0)</f>
        <v>0</v>
      </c>
      <c r="AY1174" s="387" t="str">
        <f t="shared" si="821"/>
        <v/>
      </c>
      <c r="AZ1174" s="387" t="str">
        <f t="shared" si="822"/>
        <v/>
      </c>
      <c r="BA1174" s="387">
        <f t="shared" si="823"/>
        <v>0</v>
      </c>
      <c r="BB1174" s="387">
        <f t="shared" si="792"/>
        <v>0</v>
      </c>
      <c r="BC1174" s="387">
        <f t="shared" si="793"/>
        <v>0</v>
      </c>
      <c r="BD1174" s="387">
        <f t="shared" si="794"/>
        <v>0</v>
      </c>
      <c r="BE1174" s="387">
        <f t="shared" si="795"/>
        <v>0</v>
      </c>
      <c r="BF1174" s="387">
        <f t="shared" si="796"/>
        <v>0</v>
      </c>
      <c r="BG1174" s="387">
        <f t="shared" si="797"/>
        <v>0</v>
      </c>
      <c r="BH1174" s="387">
        <f t="shared" si="798"/>
        <v>0</v>
      </c>
      <c r="BI1174" s="387">
        <f t="shared" si="799"/>
        <v>0</v>
      </c>
      <c r="BJ1174" s="387">
        <f t="shared" si="800"/>
        <v>0</v>
      </c>
      <c r="BK1174" s="387">
        <f t="shared" si="801"/>
        <v>0</v>
      </c>
      <c r="BL1174" s="387">
        <f t="shared" si="824"/>
        <v>0</v>
      </c>
      <c r="BM1174" s="387">
        <f t="shared" si="825"/>
        <v>0</v>
      </c>
      <c r="BN1174" s="387">
        <f t="shared" si="802"/>
        <v>0</v>
      </c>
      <c r="BO1174" s="387">
        <f t="shared" si="803"/>
        <v>0</v>
      </c>
      <c r="BP1174" s="387">
        <f t="shared" si="804"/>
        <v>0</v>
      </c>
      <c r="BQ1174" s="387">
        <f t="shared" si="805"/>
        <v>0</v>
      </c>
      <c r="BR1174" s="387">
        <f t="shared" si="806"/>
        <v>0</v>
      </c>
      <c r="BS1174" s="387">
        <f t="shared" si="807"/>
        <v>0</v>
      </c>
      <c r="BT1174" s="387">
        <f t="shared" si="808"/>
        <v>0</v>
      </c>
      <c r="BU1174" s="387">
        <f t="shared" si="809"/>
        <v>0</v>
      </c>
      <c r="BV1174" s="387">
        <f t="shared" si="810"/>
        <v>0</v>
      </c>
      <c r="BW1174" s="387">
        <f t="shared" si="811"/>
        <v>0</v>
      </c>
      <c r="BX1174" s="387">
        <f t="shared" si="826"/>
        <v>0</v>
      </c>
      <c r="BY1174" s="387">
        <f t="shared" si="827"/>
        <v>0</v>
      </c>
      <c r="BZ1174" s="387">
        <f t="shared" si="828"/>
        <v>0</v>
      </c>
      <c r="CA1174" s="387">
        <f t="shared" si="829"/>
        <v>0</v>
      </c>
      <c r="CB1174" s="387">
        <f t="shared" si="830"/>
        <v>0</v>
      </c>
      <c r="CC1174" s="387">
        <f t="shared" si="812"/>
        <v>0</v>
      </c>
      <c r="CD1174" s="387">
        <f t="shared" si="813"/>
        <v>0</v>
      </c>
      <c r="CE1174" s="387">
        <f t="shared" si="814"/>
        <v>0</v>
      </c>
      <c r="CF1174" s="387">
        <f t="shared" si="815"/>
        <v>0</v>
      </c>
      <c r="CG1174" s="387">
        <f t="shared" si="816"/>
        <v>0</v>
      </c>
      <c r="CH1174" s="387">
        <f t="shared" si="817"/>
        <v>0</v>
      </c>
      <c r="CI1174" s="387">
        <f t="shared" si="818"/>
        <v>0</v>
      </c>
      <c r="CJ1174" s="387">
        <f t="shared" si="831"/>
        <v>0</v>
      </c>
      <c r="CK1174" s="387" t="str">
        <f t="shared" si="832"/>
        <v/>
      </c>
      <c r="CL1174" s="387" t="str">
        <f t="shared" si="833"/>
        <v/>
      </c>
      <c r="CM1174" s="387" t="str">
        <f t="shared" si="834"/>
        <v/>
      </c>
      <c r="CN1174" s="387" t="str">
        <f t="shared" si="835"/>
        <v>0348-31</v>
      </c>
    </row>
    <row r="1175" spans="1:92" ht="15.75" thickBot="1" x14ac:dyDescent="0.3">
      <c r="A1175" s="376" t="s">
        <v>161</v>
      </c>
      <c r="B1175" s="376" t="s">
        <v>162</v>
      </c>
      <c r="C1175" s="376" t="s">
        <v>1700</v>
      </c>
      <c r="D1175" s="376" t="s">
        <v>974</v>
      </c>
      <c r="E1175" s="376" t="s">
        <v>224</v>
      </c>
      <c r="F1175" s="382" t="s">
        <v>225</v>
      </c>
      <c r="G1175" s="376" t="s">
        <v>1945</v>
      </c>
      <c r="H1175" s="378"/>
      <c r="I1175" s="378"/>
      <c r="J1175" s="376" t="s">
        <v>215</v>
      </c>
      <c r="K1175" s="376" t="s">
        <v>975</v>
      </c>
      <c r="L1175" s="376" t="s">
        <v>296</v>
      </c>
      <c r="M1175" s="376" t="s">
        <v>171</v>
      </c>
      <c r="N1175" s="376" t="s">
        <v>172</v>
      </c>
      <c r="O1175" s="379">
        <v>1</v>
      </c>
      <c r="P1175" s="385">
        <v>1</v>
      </c>
      <c r="Q1175" s="385">
        <v>1</v>
      </c>
      <c r="R1175" s="380">
        <v>80</v>
      </c>
      <c r="S1175" s="385">
        <v>1</v>
      </c>
      <c r="T1175" s="380">
        <v>32208.080000000002</v>
      </c>
      <c r="U1175" s="380">
        <v>233.16</v>
      </c>
      <c r="V1175" s="380">
        <v>16932.150000000001</v>
      </c>
      <c r="W1175" s="380">
        <v>43284.800000000003</v>
      </c>
      <c r="X1175" s="380">
        <v>21010.29</v>
      </c>
      <c r="Y1175" s="380">
        <v>43284.800000000003</v>
      </c>
      <c r="Z1175" s="380">
        <v>20828.5</v>
      </c>
      <c r="AA1175" s="376" t="s">
        <v>1701</v>
      </c>
      <c r="AB1175" s="376" t="s">
        <v>1702</v>
      </c>
      <c r="AC1175" s="376" t="s">
        <v>623</v>
      </c>
      <c r="AD1175" s="376" t="s">
        <v>1703</v>
      </c>
      <c r="AE1175" s="376" t="s">
        <v>975</v>
      </c>
      <c r="AF1175" s="376" t="s">
        <v>301</v>
      </c>
      <c r="AG1175" s="376" t="s">
        <v>178</v>
      </c>
      <c r="AH1175" s="381">
        <v>20.81</v>
      </c>
      <c r="AI1175" s="381">
        <v>16452.900000000001</v>
      </c>
      <c r="AJ1175" s="376" t="s">
        <v>179</v>
      </c>
      <c r="AK1175" s="376" t="s">
        <v>180</v>
      </c>
      <c r="AL1175" s="376" t="s">
        <v>181</v>
      </c>
      <c r="AM1175" s="376" t="s">
        <v>182</v>
      </c>
      <c r="AN1175" s="376" t="s">
        <v>68</v>
      </c>
      <c r="AO1175" s="379">
        <v>80</v>
      </c>
      <c r="AP1175" s="385">
        <v>1</v>
      </c>
      <c r="AQ1175" s="385">
        <v>1</v>
      </c>
      <c r="AR1175" s="383" t="s">
        <v>183</v>
      </c>
      <c r="AS1175" s="387">
        <f t="shared" si="819"/>
        <v>1</v>
      </c>
      <c r="AT1175">
        <f t="shared" si="820"/>
        <v>1</v>
      </c>
      <c r="AU1175" s="387">
        <f>IF(AT1175=0,"",IF(AND(AT1175=1,M1175="F",SUMIF(C2:C1334,C1175,AS2:AS1334)&lt;=1),SUMIF(C2:C1334,C1175,AS2:AS1334),IF(AND(AT1175=1,M1175="F",SUMIF(C2:C1334,C1175,AS2:AS1334)&gt;1),1,"")))</f>
        <v>1</v>
      </c>
      <c r="AV1175" s="387" t="str">
        <f>IF(AT1175=0,"",IF(AND(AT1175=3,M1175="F",SUMIF(C2:C1334,C1175,AS2:AS1334)&lt;=1),SUMIF(C2:C1334,C1175,AS2:AS1334),IF(AND(AT1175=3,M1175="F",SUMIF(C2:C1334,C1175,AS2:AS1334)&gt;1),1,"")))</f>
        <v/>
      </c>
      <c r="AW1175" s="387">
        <f>SUMIF(C2:C1334,C1175,O2:O1334)</f>
        <v>2</v>
      </c>
      <c r="AX1175" s="387">
        <f>IF(AND(M1175="F",AS1175&lt;&gt;0),SUMIF(C2:C1334,C1175,W2:W1334),0)</f>
        <v>43284.800000000003</v>
      </c>
      <c r="AY1175" s="387">
        <f t="shared" si="821"/>
        <v>43284.800000000003</v>
      </c>
      <c r="AZ1175" s="387" t="str">
        <f t="shared" si="822"/>
        <v/>
      </c>
      <c r="BA1175" s="387">
        <f t="shared" si="823"/>
        <v>0</v>
      </c>
      <c r="BB1175" s="387">
        <f t="shared" si="792"/>
        <v>11650</v>
      </c>
      <c r="BC1175" s="387">
        <f t="shared" si="793"/>
        <v>0</v>
      </c>
      <c r="BD1175" s="387">
        <f t="shared" si="794"/>
        <v>2683.6576</v>
      </c>
      <c r="BE1175" s="387">
        <f t="shared" si="795"/>
        <v>627.6296000000001</v>
      </c>
      <c r="BF1175" s="387">
        <f t="shared" si="796"/>
        <v>5168.2051200000005</v>
      </c>
      <c r="BG1175" s="387">
        <f t="shared" si="797"/>
        <v>312.08340800000002</v>
      </c>
      <c r="BH1175" s="387">
        <f t="shared" si="798"/>
        <v>212.09551999999999</v>
      </c>
      <c r="BI1175" s="387">
        <f t="shared" si="799"/>
        <v>239.58136800000003</v>
      </c>
      <c r="BJ1175" s="387">
        <f t="shared" si="800"/>
        <v>116.86896000000002</v>
      </c>
      <c r="BK1175" s="387">
        <f t="shared" si="801"/>
        <v>0</v>
      </c>
      <c r="BL1175" s="387">
        <f t="shared" si="824"/>
        <v>9360.1215760000014</v>
      </c>
      <c r="BM1175" s="387">
        <f t="shared" si="825"/>
        <v>0</v>
      </c>
      <c r="BN1175" s="387">
        <f t="shared" si="802"/>
        <v>11650</v>
      </c>
      <c r="BO1175" s="387">
        <f t="shared" si="803"/>
        <v>0</v>
      </c>
      <c r="BP1175" s="387">
        <f t="shared" si="804"/>
        <v>2683.6576</v>
      </c>
      <c r="BQ1175" s="387">
        <f t="shared" si="805"/>
        <v>627.6296000000001</v>
      </c>
      <c r="BR1175" s="387">
        <f t="shared" si="806"/>
        <v>5168.2051200000005</v>
      </c>
      <c r="BS1175" s="387">
        <f t="shared" si="807"/>
        <v>312.08340800000002</v>
      </c>
      <c r="BT1175" s="387">
        <f t="shared" si="808"/>
        <v>0</v>
      </c>
      <c r="BU1175" s="387">
        <f t="shared" si="809"/>
        <v>239.58136800000003</v>
      </c>
      <c r="BV1175" s="387">
        <f t="shared" si="810"/>
        <v>147.16831999999999</v>
      </c>
      <c r="BW1175" s="387">
        <f t="shared" si="811"/>
        <v>0</v>
      </c>
      <c r="BX1175" s="387">
        <f t="shared" si="826"/>
        <v>9178.3254160000015</v>
      </c>
      <c r="BY1175" s="387">
        <f t="shared" si="827"/>
        <v>0</v>
      </c>
      <c r="BZ1175" s="387">
        <f t="shared" si="828"/>
        <v>0</v>
      </c>
      <c r="CA1175" s="387">
        <f t="shared" si="829"/>
        <v>0</v>
      </c>
      <c r="CB1175" s="387">
        <f t="shared" si="830"/>
        <v>0</v>
      </c>
      <c r="CC1175" s="387">
        <f t="shared" si="812"/>
        <v>0</v>
      </c>
      <c r="CD1175" s="387">
        <f t="shared" si="813"/>
        <v>0</v>
      </c>
      <c r="CE1175" s="387">
        <f t="shared" si="814"/>
        <v>0</v>
      </c>
      <c r="CF1175" s="387">
        <f t="shared" si="815"/>
        <v>-212.09551999999999</v>
      </c>
      <c r="CG1175" s="387">
        <f t="shared" si="816"/>
        <v>0</v>
      </c>
      <c r="CH1175" s="387">
        <f t="shared" si="817"/>
        <v>30.299359999999989</v>
      </c>
      <c r="CI1175" s="387">
        <f t="shared" si="818"/>
        <v>0</v>
      </c>
      <c r="CJ1175" s="387">
        <f t="shared" si="831"/>
        <v>-181.79616000000001</v>
      </c>
      <c r="CK1175" s="387" t="str">
        <f t="shared" si="832"/>
        <v/>
      </c>
      <c r="CL1175" s="387" t="str">
        <f t="shared" si="833"/>
        <v/>
      </c>
      <c r="CM1175" s="387" t="str">
        <f t="shared" si="834"/>
        <v/>
      </c>
      <c r="CN1175" s="387" t="str">
        <f t="shared" si="835"/>
        <v>0348-31</v>
      </c>
    </row>
    <row r="1176" spans="1:92" ht="15.75" thickBot="1" x14ac:dyDescent="0.3">
      <c r="A1176" s="376" t="s">
        <v>161</v>
      </c>
      <c r="B1176" s="376" t="s">
        <v>162</v>
      </c>
      <c r="C1176" s="376" t="s">
        <v>1577</v>
      </c>
      <c r="D1176" s="376" t="s">
        <v>868</v>
      </c>
      <c r="E1176" s="376" t="s">
        <v>224</v>
      </c>
      <c r="F1176" s="382" t="s">
        <v>225</v>
      </c>
      <c r="G1176" s="376" t="s">
        <v>1945</v>
      </c>
      <c r="H1176" s="378"/>
      <c r="I1176" s="378"/>
      <c r="J1176" s="376" t="s">
        <v>215</v>
      </c>
      <c r="K1176" s="376" t="s">
        <v>869</v>
      </c>
      <c r="L1176" s="376" t="s">
        <v>296</v>
      </c>
      <c r="M1176" s="376" t="s">
        <v>171</v>
      </c>
      <c r="N1176" s="376" t="s">
        <v>172</v>
      </c>
      <c r="O1176" s="379">
        <v>1</v>
      </c>
      <c r="P1176" s="385">
        <v>1</v>
      </c>
      <c r="Q1176" s="385">
        <v>1</v>
      </c>
      <c r="R1176" s="380">
        <v>80</v>
      </c>
      <c r="S1176" s="385">
        <v>1</v>
      </c>
      <c r="T1176" s="380">
        <v>0</v>
      </c>
      <c r="U1176" s="380">
        <v>0</v>
      </c>
      <c r="V1176" s="380">
        <v>0</v>
      </c>
      <c r="W1176" s="380">
        <v>58510.400000000001</v>
      </c>
      <c r="X1176" s="380">
        <v>24302.84</v>
      </c>
      <c r="Y1176" s="380">
        <v>58510.400000000001</v>
      </c>
      <c r="Z1176" s="380">
        <v>24057.1</v>
      </c>
      <c r="AA1176" s="376" t="s">
        <v>1578</v>
      </c>
      <c r="AB1176" s="376" t="s">
        <v>1579</v>
      </c>
      <c r="AC1176" s="376" t="s">
        <v>1580</v>
      </c>
      <c r="AD1176" s="376" t="s">
        <v>1581</v>
      </c>
      <c r="AE1176" s="376" t="s">
        <v>869</v>
      </c>
      <c r="AF1176" s="376" t="s">
        <v>301</v>
      </c>
      <c r="AG1176" s="376" t="s">
        <v>178</v>
      </c>
      <c r="AH1176" s="381">
        <v>28.13</v>
      </c>
      <c r="AI1176" s="381">
        <v>33284.1</v>
      </c>
      <c r="AJ1176" s="376" t="s">
        <v>179</v>
      </c>
      <c r="AK1176" s="376" t="s">
        <v>180</v>
      </c>
      <c r="AL1176" s="376" t="s">
        <v>181</v>
      </c>
      <c r="AM1176" s="376" t="s">
        <v>182</v>
      </c>
      <c r="AN1176" s="376" t="s">
        <v>68</v>
      </c>
      <c r="AO1176" s="379">
        <v>80</v>
      </c>
      <c r="AP1176" s="385">
        <v>1</v>
      </c>
      <c r="AQ1176" s="385">
        <v>1</v>
      </c>
      <c r="AR1176" s="383" t="s">
        <v>183</v>
      </c>
      <c r="AS1176" s="387">
        <f t="shared" si="819"/>
        <v>1</v>
      </c>
      <c r="AT1176">
        <f t="shared" si="820"/>
        <v>1</v>
      </c>
      <c r="AU1176" s="387">
        <f>IF(AT1176=0,"",IF(AND(AT1176=1,M1176="F",SUMIF(C2:C1334,C1176,AS2:AS1334)&lt;=1),SUMIF(C2:C1334,C1176,AS2:AS1334),IF(AND(AT1176=1,M1176="F",SUMIF(C2:C1334,C1176,AS2:AS1334)&gt;1),1,"")))</f>
        <v>1</v>
      </c>
      <c r="AV1176" s="387" t="str">
        <f>IF(AT1176=0,"",IF(AND(AT1176=3,M1176="F",SUMIF(C2:C1334,C1176,AS2:AS1334)&lt;=1),SUMIF(C2:C1334,C1176,AS2:AS1334),IF(AND(AT1176=3,M1176="F",SUMIF(C2:C1334,C1176,AS2:AS1334)&gt;1),1,"")))</f>
        <v/>
      </c>
      <c r="AW1176" s="387">
        <f>SUMIF(C2:C1334,C1176,O2:O1334)</f>
        <v>2</v>
      </c>
      <c r="AX1176" s="387">
        <f>IF(AND(M1176="F",AS1176&lt;&gt;0),SUMIF(C2:C1334,C1176,W2:W1334),0)</f>
        <v>58510.400000000001</v>
      </c>
      <c r="AY1176" s="387">
        <f t="shared" si="821"/>
        <v>58510.400000000001</v>
      </c>
      <c r="AZ1176" s="387" t="str">
        <f t="shared" si="822"/>
        <v/>
      </c>
      <c r="BA1176" s="387">
        <f t="shared" si="823"/>
        <v>0</v>
      </c>
      <c r="BB1176" s="387">
        <f t="shared" si="792"/>
        <v>11650</v>
      </c>
      <c r="BC1176" s="387">
        <f t="shared" si="793"/>
        <v>0</v>
      </c>
      <c r="BD1176" s="387">
        <f t="shared" si="794"/>
        <v>3627.6448</v>
      </c>
      <c r="BE1176" s="387">
        <f t="shared" si="795"/>
        <v>848.40080000000012</v>
      </c>
      <c r="BF1176" s="387">
        <f t="shared" si="796"/>
        <v>6986.1417600000004</v>
      </c>
      <c r="BG1176" s="387">
        <f t="shared" si="797"/>
        <v>421.85998400000005</v>
      </c>
      <c r="BH1176" s="387">
        <f t="shared" si="798"/>
        <v>286.70096000000001</v>
      </c>
      <c r="BI1176" s="387">
        <f t="shared" si="799"/>
        <v>323.85506400000003</v>
      </c>
      <c r="BJ1176" s="387">
        <f t="shared" si="800"/>
        <v>157.97808000000001</v>
      </c>
      <c r="BK1176" s="387">
        <f t="shared" si="801"/>
        <v>0</v>
      </c>
      <c r="BL1176" s="387">
        <f t="shared" si="824"/>
        <v>12652.581448000001</v>
      </c>
      <c r="BM1176" s="387">
        <f t="shared" si="825"/>
        <v>0</v>
      </c>
      <c r="BN1176" s="387">
        <f t="shared" si="802"/>
        <v>11650</v>
      </c>
      <c r="BO1176" s="387">
        <f t="shared" si="803"/>
        <v>0</v>
      </c>
      <c r="BP1176" s="387">
        <f t="shared" si="804"/>
        <v>3627.6448</v>
      </c>
      <c r="BQ1176" s="387">
        <f t="shared" si="805"/>
        <v>848.40080000000012</v>
      </c>
      <c r="BR1176" s="387">
        <f t="shared" si="806"/>
        <v>6986.1417600000004</v>
      </c>
      <c r="BS1176" s="387">
        <f t="shared" si="807"/>
        <v>421.85998400000005</v>
      </c>
      <c r="BT1176" s="387">
        <f t="shared" si="808"/>
        <v>0</v>
      </c>
      <c r="BU1176" s="387">
        <f t="shared" si="809"/>
        <v>323.85506400000003</v>
      </c>
      <c r="BV1176" s="387">
        <f t="shared" si="810"/>
        <v>198.93536</v>
      </c>
      <c r="BW1176" s="387">
        <f t="shared" si="811"/>
        <v>0</v>
      </c>
      <c r="BX1176" s="387">
        <f t="shared" si="826"/>
        <v>12406.837767999999</v>
      </c>
      <c r="BY1176" s="387">
        <f t="shared" si="827"/>
        <v>0</v>
      </c>
      <c r="BZ1176" s="387">
        <f t="shared" si="828"/>
        <v>0</v>
      </c>
      <c r="CA1176" s="387">
        <f t="shared" si="829"/>
        <v>0</v>
      </c>
      <c r="CB1176" s="387">
        <f t="shared" si="830"/>
        <v>0</v>
      </c>
      <c r="CC1176" s="387">
        <f t="shared" si="812"/>
        <v>0</v>
      </c>
      <c r="CD1176" s="387">
        <f t="shared" si="813"/>
        <v>0</v>
      </c>
      <c r="CE1176" s="387">
        <f t="shared" si="814"/>
        <v>0</v>
      </c>
      <c r="CF1176" s="387">
        <f t="shared" si="815"/>
        <v>-286.70096000000001</v>
      </c>
      <c r="CG1176" s="387">
        <f t="shared" si="816"/>
        <v>0</v>
      </c>
      <c r="CH1176" s="387">
        <f t="shared" si="817"/>
        <v>40.957279999999983</v>
      </c>
      <c r="CI1176" s="387">
        <f t="shared" si="818"/>
        <v>0</v>
      </c>
      <c r="CJ1176" s="387">
        <f t="shared" si="831"/>
        <v>-245.74368000000004</v>
      </c>
      <c r="CK1176" s="387" t="str">
        <f t="shared" si="832"/>
        <v/>
      </c>
      <c r="CL1176" s="387" t="str">
        <f t="shared" si="833"/>
        <v/>
      </c>
      <c r="CM1176" s="387" t="str">
        <f t="shared" si="834"/>
        <v/>
      </c>
      <c r="CN1176" s="387" t="str">
        <f t="shared" si="835"/>
        <v>0348-31</v>
      </c>
    </row>
    <row r="1177" spans="1:92" ht="15.75" thickBot="1" x14ac:dyDescent="0.3">
      <c r="A1177" s="376" t="s">
        <v>161</v>
      </c>
      <c r="B1177" s="376" t="s">
        <v>162</v>
      </c>
      <c r="C1177" s="376" t="s">
        <v>2402</v>
      </c>
      <c r="D1177" s="376" t="s">
        <v>2173</v>
      </c>
      <c r="E1177" s="376" t="s">
        <v>224</v>
      </c>
      <c r="F1177" s="382" t="s">
        <v>225</v>
      </c>
      <c r="G1177" s="376" t="s">
        <v>1945</v>
      </c>
      <c r="H1177" s="378"/>
      <c r="I1177" s="378"/>
      <c r="J1177" s="376" t="s">
        <v>215</v>
      </c>
      <c r="K1177" s="376" t="s">
        <v>2174</v>
      </c>
      <c r="L1177" s="376" t="s">
        <v>296</v>
      </c>
      <c r="M1177" s="376" t="s">
        <v>171</v>
      </c>
      <c r="N1177" s="376" t="s">
        <v>172</v>
      </c>
      <c r="O1177" s="379">
        <v>1</v>
      </c>
      <c r="P1177" s="385">
        <v>1</v>
      </c>
      <c r="Q1177" s="385">
        <v>1</v>
      </c>
      <c r="R1177" s="380">
        <v>80</v>
      </c>
      <c r="S1177" s="385">
        <v>1</v>
      </c>
      <c r="T1177" s="380">
        <v>52780.02</v>
      </c>
      <c r="U1177" s="380">
        <v>290.39999999999998</v>
      </c>
      <c r="V1177" s="380">
        <v>22510.2</v>
      </c>
      <c r="W1177" s="380">
        <v>54600</v>
      </c>
      <c r="X1177" s="380">
        <v>23457.24</v>
      </c>
      <c r="Y1177" s="380">
        <v>54600</v>
      </c>
      <c r="Z1177" s="380">
        <v>23227.919999999998</v>
      </c>
      <c r="AA1177" s="376" t="s">
        <v>2403</v>
      </c>
      <c r="AB1177" s="376" t="s">
        <v>2404</v>
      </c>
      <c r="AC1177" s="376" t="s">
        <v>600</v>
      </c>
      <c r="AD1177" s="376" t="s">
        <v>351</v>
      </c>
      <c r="AE1177" s="376" t="s">
        <v>2174</v>
      </c>
      <c r="AF1177" s="376" t="s">
        <v>301</v>
      </c>
      <c r="AG1177" s="376" t="s">
        <v>178</v>
      </c>
      <c r="AH1177" s="381">
        <v>26.25</v>
      </c>
      <c r="AI1177" s="381">
        <v>42435.7</v>
      </c>
      <c r="AJ1177" s="376" t="s">
        <v>179</v>
      </c>
      <c r="AK1177" s="376" t="s">
        <v>180</v>
      </c>
      <c r="AL1177" s="376" t="s">
        <v>181</v>
      </c>
      <c r="AM1177" s="376" t="s">
        <v>182</v>
      </c>
      <c r="AN1177" s="376" t="s">
        <v>68</v>
      </c>
      <c r="AO1177" s="379">
        <v>80</v>
      </c>
      <c r="AP1177" s="385">
        <v>1</v>
      </c>
      <c r="AQ1177" s="385">
        <v>1</v>
      </c>
      <c r="AR1177" s="383" t="s">
        <v>183</v>
      </c>
      <c r="AS1177" s="387">
        <f t="shared" si="819"/>
        <v>1</v>
      </c>
      <c r="AT1177">
        <f t="shared" si="820"/>
        <v>1</v>
      </c>
      <c r="AU1177" s="387">
        <f>IF(AT1177=0,"",IF(AND(AT1177=1,M1177="F",SUMIF(C2:C1334,C1177,AS2:AS1334)&lt;=1),SUMIF(C2:C1334,C1177,AS2:AS1334),IF(AND(AT1177=1,M1177="F",SUMIF(C2:C1334,C1177,AS2:AS1334)&gt;1),1,"")))</f>
        <v>1</v>
      </c>
      <c r="AV1177" s="387" t="str">
        <f>IF(AT1177=0,"",IF(AND(AT1177=3,M1177="F",SUMIF(C2:C1334,C1177,AS2:AS1334)&lt;=1),SUMIF(C2:C1334,C1177,AS2:AS1334),IF(AND(AT1177=3,M1177="F",SUMIF(C2:C1334,C1177,AS2:AS1334)&gt;1),1,"")))</f>
        <v/>
      </c>
      <c r="AW1177" s="387">
        <f>SUMIF(C2:C1334,C1177,O2:O1334)</f>
        <v>1</v>
      </c>
      <c r="AX1177" s="387">
        <f>IF(AND(M1177="F",AS1177&lt;&gt;0),SUMIF(C2:C1334,C1177,W2:W1334),0)</f>
        <v>54600</v>
      </c>
      <c r="AY1177" s="387">
        <f t="shared" si="821"/>
        <v>54600</v>
      </c>
      <c r="AZ1177" s="387" t="str">
        <f t="shared" si="822"/>
        <v/>
      </c>
      <c r="BA1177" s="387">
        <f t="shared" si="823"/>
        <v>0</v>
      </c>
      <c r="BB1177" s="387">
        <f t="shared" si="792"/>
        <v>11650</v>
      </c>
      <c r="BC1177" s="387">
        <f t="shared" si="793"/>
        <v>0</v>
      </c>
      <c r="BD1177" s="387">
        <f t="shared" si="794"/>
        <v>3385.2</v>
      </c>
      <c r="BE1177" s="387">
        <f t="shared" si="795"/>
        <v>791.7</v>
      </c>
      <c r="BF1177" s="387">
        <f t="shared" si="796"/>
        <v>6519.2400000000007</v>
      </c>
      <c r="BG1177" s="387">
        <f t="shared" si="797"/>
        <v>393.666</v>
      </c>
      <c r="BH1177" s="387">
        <f t="shared" si="798"/>
        <v>267.53999999999996</v>
      </c>
      <c r="BI1177" s="387">
        <f t="shared" si="799"/>
        <v>302.21100000000001</v>
      </c>
      <c r="BJ1177" s="387">
        <f t="shared" si="800"/>
        <v>147.42000000000002</v>
      </c>
      <c r="BK1177" s="387">
        <f t="shared" si="801"/>
        <v>0</v>
      </c>
      <c r="BL1177" s="387">
        <f t="shared" si="824"/>
        <v>11806.976999999997</v>
      </c>
      <c r="BM1177" s="387">
        <f t="shared" si="825"/>
        <v>0</v>
      </c>
      <c r="BN1177" s="387">
        <f t="shared" si="802"/>
        <v>11650</v>
      </c>
      <c r="BO1177" s="387">
        <f t="shared" si="803"/>
        <v>0</v>
      </c>
      <c r="BP1177" s="387">
        <f t="shared" si="804"/>
        <v>3385.2</v>
      </c>
      <c r="BQ1177" s="387">
        <f t="shared" si="805"/>
        <v>791.7</v>
      </c>
      <c r="BR1177" s="387">
        <f t="shared" si="806"/>
        <v>6519.2400000000007</v>
      </c>
      <c r="BS1177" s="387">
        <f t="shared" si="807"/>
        <v>393.666</v>
      </c>
      <c r="BT1177" s="387">
        <f t="shared" si="808"/>
        <v>0</v>
      </c>
      <c r="BU1177" s="387">
        <f t="shared" si="809"/>
        <v>302.21100000000001</v>
      </c>
      <c r="BV1177" s="387">
        <f t="shared" si="810"/>
        <v>185.64</v>
      </c>
      <c r="BW1177" s="387">
        <f t="shared" si="811"/>
        <v>0</v>
      </c>
      <c r="BX1177" s="387">
        <f t="shared" si="826"/>
        <v>11577.656999999997</v>
      </c>
      <c r="BY1177" s="387">
        <f t="shared" si="827"/>
        <v>0</v>
      </c>
      <c r="BZ1177" s="387">
        <f t="shared" si="828"/>
        <v>0</v>
      </c>
      <c r="CA1177" s="387">
        <f t="shared" si="829"/>
        <v>0</v>
      </c>
      <c r="CB1177" s="387">
        <f t="shared" si="830"/>
        <v>0</v>
      </c>
      <c r="CC1177" s="387">
        <f t="shared" si="812"/>
        <v>0</v>
      </c>
      <c r="CD1177" s="387">
        <f t="shared" si="813"/>
        <v>0</v>
      </c>
      <c r="CE1177" s="387">
        <f t="shared" si="814"/>
        <v>0</v>
      </c>
      <c r="CF1177" s="387">
        <f t="shared" si="815"/>
        <v>-267.53999999999996</v>
      </c>
      <c r="CG1177" s="387">
        <f t="shared" si="816"/>
        <v>0</v>
      </c>
      <c r="CH1177" s="387">
        <f t="shared" si="817"/>
        <v>38.219999999999985</v>
      </c>
      <c r="CI1177" s="387">
        <f t="shared" si="818"/>
        <v>0</v>
      </c>
      <c r="CJ1177" s="387">
        <f t="shared" si="831"/>
        <v>-229.32</v>
      </c>
      <c r="CK1177" s="387" t="str">
        <f t="shared" si="832"/>
        <v/>
      </c>
      <c r="CL1177" s="387" t="str">
        <f t="shared" si="833"/>
        <v/>
      </c>
      <c r="CM1177" s="387" t="str">
        <f t="shared" si="834"/>
        <v/>
      </c>
      <c r="CN1177" s="387" t="str">
        <f t="shared" si="835"/>
        <v>0348-31</v>
      </c>
    </row>
    <row r="1178" spans="1:92" ht="15.75" thickBot="1" x14ac:dyDescent="0.3">
      <c r="A1178" s="376" t="s">
        <v>161</v>
      </c>
      <c r="B1178" s="376" t="s">
        <v>162</v>
      </c>
      <c r="C1178" s="376" t="s">
        <v>484</v>
      </c>
      <c r="D1178" s="376" t="s">
        <v>485</v>
      </c>
      <c r="E1178" s="376" t="s">
        <v>224</v>
      </c>
      <c r="F1178" s="382" t="s">
        <v>225</v>
      </c>
      <c r="G1178" s="376" t="s">
        <v>1945</v>
      </c>
      <c r="H1178" s="378"/>
      <c r="I1178" s="378"/>
      <c r="J1178" s="376" t="s">
        <v>215</v>
      </c>
      <c r="K1178" s="376" t="s">
        <v>486</v>
      </c>
      <c r="L1178" s="376" t="s">
        <v>210</v>
      </c>
      <c r="M1178" s="376" t="s">
        <v>171</v>
      </c>
      <c r="N1178" s="376" t="s">
        <v>172</v>
      </c>
      <c r="O1178" s="379">
        <v>1</v>
      </c>
      <c r="P1178" s="385">
        <v>0</v>
      </c>
      <c r="Q1178" s="385">
        <v>0</v>
      </c>
      <c r="R1178" s="380">
        <v>80</v>
      </c>
      <c r="S1178" s="385">
        <v>0</v>
      </c>
      <c r="T1178" s="380">
        <v>9868.56</v>
      </c>
      <c r="U1178" s="380">
        <v>0</v>
      </c>
      <c r="V1178" s="380">
        <v>3500.16</v>
      </c>
      <c r="W1178" s="380">
        <v>0</v>
      </c>
      <c r="X1178" s="380">
        <v>0</v>
      </c>
      <c r="Y1178" s="380">
        <v>0</v>
      </c>
      <c r="Z1178" s="380">
        <v>0</v>
      </c>
      <c r="AA1178" s="376" t="s">
        <v>487</v>
      </c>
      <c r="AB1178" s="376" t="s">
        <v>488</v>
      </c>
      <c r="AC1178" s="376" t="s">
        <v>489</v>
      </c>
      <c r="AD1178" s="376" t="s">
        <v>210</v>
      </c>
      <c r="AE1178" s="376" t="s">
        <v>486</v>
      </c>
      <c r="AF1178" s="376" t="s">
        <v>245</v>
      </c>
      <c r="AG1178" s="376" t="s">
        <v>178</v>
      </c>
      <c r="AH1178" s="381">
        <v>40.69</v>
      </c>
      <c r="AI1178" s="381">
        <v>47688.5</v>
      </c>
      <c r="AJ1178" s="376" t="s">
        <v>179</v>
      </c>
      <c r="AK1178" s="376" t="s">
        <v>180</v>
      </c>
      <c r="AL1178" s="376" t="s">
        <v>181</v>
      </c>
      <c r="AM1178" s="376" t="s">
        <v>182</v>
      </c>
      <c r="AN1178" s="376" t="s">
        <v>68</v>
      </c>
      <c r="AO1178" s="379">
        <v>80</v>
      </c>
      <c r="AP1178" s="385">
        <v>1</v>
      </c>
      <c r="AQ1178" s="385">
        <v>0</v>
      </c>
      <c r="AR1178" s="383" t="s">
        <v>183</v>
      </c>
      <c r="AS1178" s="387">
        <f t="shared" si="819"/>
        <v>0</v>
      </c>
      <c r="AT1178">
        <f t="shared" si="820"/>
        <v>0</v>
      </c>
      <c r="AU1178" s="387" t="str">
        <f>IF(AT1178=0,"",IF(AND(AT1178=1,M1178="F",SUMIF(C2:C1334,C1178,AS2:AS1334)&lt;=1),SUMIF(C2:C1334,C1178,AS2:AS1334),IF(AND(AT1178=1,M1178="F",SUMIF(C2:C1334,C1178,AS2:AS1334)&gt;1),1,"")))</f>
        <v/>
      </c>
      <c r="AV1178" s="387" t="str">
        <f>IF(AT1178=0,"",IF(AND(AT1178=3,M1178="F",SUMIF(C2:C1334,C1178,AS2:AS1334)&lt;=1),SUMIF(C2:C1334,C1178,AS2:AS1334),IF(AND(AT1178=3,M1178="F",SUMIF(C2:C1334,C1178,AS2:AS1334)&gt;1),1,"")))</f>
        <v/>
      </c>
      <c r="AW1178" s="387">
        <f>SUMIF(C2:C1334,C1178,O2:O1334)</f>
        <v>3</v>
      </c>
      <c r="AX1178" s="387">
        <f>IF(AND(M1178="F",AS1178&lt;&gt;0),SUMIF(C2:C1334,C1178,W2:W1334),0)</f>
        <v>0</v>
      </c>
      <c r="AY1178" s="387" t="str">
        <f t="shared" si="821"/>
        <v/>
      </c>
      <c r="AZ1178" s="387" t="str">
        <f t="shared" si="822"/>
        <v/>
      </c>
      <c r="BA1178" s="387">
        <f t="shared" si="823"/>
        <v>0</v>
      </c>
      <c r="BB1178" s="387">
        <f t="shared" si="792"/>
        <v>0</v>
      </c>
      <c r="BC1178" s="387">
        <f t="shared" si="793"/>
        <v>0</v>
      </c>
      <c r="BD1178" s="387">
        <f t="shared" si="794"/>
        <v>0</v>
      </c>
      <c r="BE1178" s="387">
        <f t="shared" si="795"/>
        <v>0</v>
      </c>
      <c r="BF1178" s="387">
        <f t="shared" si="796"/>
        <v>0</v>
      </c>
      <c r="BG1178" s="387">
        <f t="shared" si="797"/>
        <v>0</v>
      </c>
      <c r="BH1178" s="387">
        <f t="shared" si="798"/>
        <v>0</v>
      </c>
      <c r="BI1178" s="387">
        <f t="shared" si="799"/>
        <v>0</v>
      </c>
      <c r="BJ1178" s="387">
        <f t="shared" si="800"/>
        <v>0</v>
      </c>
      <c r="BK1178" s="387">
        <f t="shared" si="801"/>
        <v>0</v>
      </c>
      <c r="BL1178" s="387">
        <f t="shared" si="824"/>
        <v>0</v>
      </c>
      <c r="BM1178" s="387">
        <f t="shared" si="825"/>
        <v>0</v>
      </c>
      <c r="BN1178" s="387">
        <f t="shared" si="802"/>
        <v>0</v>
      </c>
      <c r="BO1178" s="387">
        <f t="shared" si="803"/>
        <v>0</v>
      </c>
      <c r="BP1178" s="387">
        <f t="shared" si="804"/>
        <v>0</v>
      </c>
      <c r="BQ1178" s="387">
        <f t="shared" si="805"/>
        <v>0</v>
      </c>
      <c r="BR1178" s="387">
        <f t="shared" si="806"/>
        <v>0</v>
      </c>
      <c r="BS1178" s="387">
        <f t="shared" si="807"/>
        <v>0</v>
      </c>
      <c r="BT1178" s="387">
        <f t="shared" si="808"/>
        <v>0</v>
      </c>
      <c r="BU1178" s="387">
        <f t="shared" si="809"/>
        <v>0</v>
      </c>
      <c r="BV1178" s="387">
        <f t="shared" si="810"/>
        <v>0</v>
      </c>
      <c r="BW1178" s="387">
        <f t="shared" si="811"/>
        <v>0</v>
      </c>
      <c r="BX1178" s="387">
        <f t="shared" si="826"/>
        <v>0</v>
      </c>
      <c r="BY1178" s="387">
        <f t="shared" si="827"/>
        <v>0</v>
      </c>
      <c r="BZ1178" s="387">
        <f t="shared" si="828"/>
        <v>0</v>
      </c>
      <c r="CA1178" s="387">
        <f t="shared" si="829"/>
        <v>0</v>
      </c>
      <c r="CB1178" s="387">
        <f t="shared" si="830"/>
        <v>0</v>
      </c>
      <c r="CC1178" s="387">
        <f t="shared" si="812"/>
        <v>0</v>
      </c>
      <c r="CD1178" s="387">
        <f t="shared" si="813"/>
        <v>0</v>
      </c>
      <c r="CE1178" s="387">
        <f t="shared" si="814"/>
        <v>0</v>
      </c>
      <c r="CF1178" s="387">
        <f t="shared" si="815"/>
        <v>0</v>
      </c>
      <c r="CG1178" s="387">
        <f t="shared" si="816"/>
        <v>0</v>
      </c>
      <c r="CH1178" s="387">
        <f t="shared" si="817"/>
        <v>0</v>
      </c>
      <c r="CI1178" s="387">
        <f t="shared" si="818"/>
        <v>0</v>
      </c>
      <c r="CJ1178" s="387">
        <f t="shared" si="831"/>
        <v>0</v>
      </c>
      <c r="CK1178" s="387" t="str">
        <f t="shared" si="832"/>
        <v/>
      </c>
      <c r="CL1178" s="387" t="str">
        <f t="shared" si="833"/>
        <v/>
      </c>
      <c r="CM1178" s="387" t="str">
        <f t="shared" si="834"/>
        <v/>
      </c>
      <c r="CN1178" s="387" t="str">
        <f t="shared" si="835"/>
        <v>0348-31</v>
      </c>
    </row>
    <row r="1179" spans="1:92" ht="15.75" thickBot="1" x14ac:dyDescent="0.3">
      <c r="A1179" s="376" t="s">
        <v>161</v>
      </c>
      <c r="B1179" s="376" t="s">
        <v>162</v>
      </c>
      <c r="C1179" s="376" t="s">
        <v>398</v>
      </c>
      <c r="D1179" s="376" t="s">
        <v>375</v>
      </c>
      <c r="E1179" s="376" t="s">
        <v>224</v>
      </c>
      <c r="F1179" s="382" t="s">
        <v>225</v>
      </c>
      <c r="G1179" s="376" t="s">
        <v>1945</v>
      </c>
      <c r="H1179" s="378"/>
      <c r="I1179" s="378"/>
      <c r="J1179" s="376" t="s">
        <v>239</v>
      </c>
      <c r="K1179" s="376" t="s">
        <v>376</v>
      </c>
      <c r="L1179" s="376" t="s">
        <v>178</v>
      </c>
      <c r="M1179" s="376" t="s">
        <v>171</v>
      </c>
      <c r="N1179" s="376" t="s">
        <v>172</v>
      </c>
      <c r="O1179" s="379">
        <v>1</v>
      </c>
      <c r="P1179" s="385">
        <v>0.95</v>
      </c>
      <c r="Q1179" s="385">
        <v>0.95</v>
      </c>
      <c r="R1179" s="380">
        <v>80</v>
      </c>
      <c r="S1179" s="385">
        <v>0.95</v>
      </c>
      <c r="T1179" s="380">
        <v>26387.42</v>
      </c>
      <c r="U1179" s="380">
        <v>1241.46</v>
      </c>
      <c r="V1179" s="380">
        <v>15645.94</v>
      </c>
      <c r="W1179" s="380">
        <v>30054.959999999999</v>
      </c>
      <c r="X1179" s="380">
        <v>17566.849999999999</v>
      </c>
      <c r="Y1179" s="380">
        <v>30054.959999999999</v>
      </c>
      <c r="Z1179" s="380">
        <v>17440.63</v>
      </c>
      <c r="AA1179" s="376" t="s">
        <v>399</v>
      </c>
      <c r="AB1179" s="376" t="s">
        <v>400</v>
      </c>
      <c r="AC1179" s="376" t="s">
        <v>401</v>
      </c>
      <c r="AD1179" s="376" t="s">
        <v>402</v>
      </c>
      <c r="AE1179" s="376" t="s">
        <v>376</v>
      </c>
      <c r="AF1179" s="376" t="s">
        <v>253</v>
      </c>
      <c r="AG1179" s="376" t="s">
        <v>178</v>
      </c>
      <c r="AH1179" s="381">
        <v>15.21</v>
      </c>
      <c r="AI1179" s="381">
        <v>13084.3</v>
      </c>
      <c r="AJ1179" s="376" t="s">
        <v>179</v>
      </c>
      <c r="AK1179" s="376" t="s">
        <v>180</v>
      </c>
      <c r="AL1179" s="376" t="s">
        <v>181</v>
      </c>
      <c r="AM1179" s="376" t="s">
        <v>182</v>
      </c>
      <c r="AN1179" s="376" t="s">
        <v>68</v>
      </c>
      <c r="AO1179" s="379">
        <v>80</v>
      </c>
      <c r="AP1179" s="385">
        <v>1</v>
      </c>
      <c r="AQ1179" s="385">
        <v>0.95</v>
      </c>
      <c r="AR1179" s="383" t="s">
        <v>183</v>
      </c>
      <c r="AS1179" s="387">
        <f t="shared" si="819"/>
        <v>0.95</v>
      </c>
      <c r="AT1179">
        <f t="shared" si="820"/>
        <v>1</v>
      </c>
      <c r="AU1179" s="387">
        <f>IF(AT1179=0,"",IF(AND(AT1179=1,M1179="F",SUMIF(C2:C1334,C1179,AS2:AS1334)&lt;=1),SUMIF(C2:C1334,C1179,AS2:AS1334),IF(AND(AT1179=1,M1179="F",SUMIF(C2:C1334,C1179,AS2:AS1334)&gt;1),1,"")))</f>
        <v>1</v>
      </c>
      <c r="AV1179" s="387" t="str">
        <f>IF(AT1179=0,"",IF(AND(AT1179=3,M1179="F",SUMIF(C2:C1334,C1179,AS2:AS1334)&lt;=1),SUMIF(C2:C1334,C1179,AS2:AS1334),IF(AND(AT1179=3,M1179="F",SUMIF(C2:C1334,C1179,AS2:AS1334)&gt;1),1,"")))</f>
        <v/>
      </c>
      <c r="AW1179" s="387">
        <f>SUMIF(C2:C1334,C1179,O2:O1334)</f>
        <v>6</v>
      </c>
      <c r="AX1179" s="387">
        <f>IF(AND(M1179="F",AS1179&lt;&gt;0),SUMIF(C2:C1334,C1179,W2:W1334),0)</f>
        <v>31636.799999999999</v>
      </c>
      <c r="AY1179" s="387">
        <f t="shared" si="821"/>
        <v>30054.959999999999</v>
      </c>
      <c r="AZ1179" s="387" t="str">
        <f t="shared" si="822"/>
        <v/>
      </c>
      <c r="BA1179" s="387">
        <f t="shared" si="823"/>
        <v>0</v>
      </c>
      <c r="BB1179" s="387">
        <f t="shared" si="792"/>
        <v>11067.5</v>
      </c>
      <c r="BC1179" s="387">
        <f t="shared" si="793"/>
        <v>0</v>
      </c>
      <c r="BD1179" s="387">
        <f t="shared" si="794"/>
        <v>1863.40752</v>
      </c>
      <c r="BE1179" s="387">
        <f t="shared" si="795"/>
        <v>435.79692</v>
      </c>
      <c r="BF1179" s="387">
        <f t="shared" si="796"/>
        <v>3588.5622240000002</v>
      </c>
      <c r="BG1179" s="387">
        <f t="shared" si="797"/>
        <v>216.69626160000001</v>
      </c>
      <c r="BH1179" s="387">
        <f t="shared" si="798"/>
        <v>147.26930399999998</v>
      </c>
      <c r="BI1179" s="387">
        <f t="shared" si="799"/>
        <v>166.35420360000001</v>
      </c>
      <c r="BJ1179" s="387">
        <f t="shared" si="800"/>
        <v>81.148392000000001</v>
      </c>
      <c r="BK1179" s="387">
        <f t="shared" si="801"/>
        <v>0</v>
      </c>
      <c r="BL1179" s="387">
        <f t="shared" si="824"/>
        <v>6499.2348252000011</v>
      </c>
      <c r="BM1179" s="387">
        <f t="shared" si="825"/>
        <v>0</v>
      </c>
      <c r="BN1179" s="387">
        <f t="shared" si="802"/>
        <v>11067.5</v>
      </c>
      <c r="BO1179" s="387">
        <f t="shared" si="803"/>
        <v>0</v>
      </c>
      <c r="BP1179" s="387">
        <f t="shared" si="804"/>
        <v>1863.40752</v>
      </c>
      <c r="BQ1179" s="387">
        <f t="shared" si="805"/>
        <v>435.79692</v>
      </c>
      <c r="BR1179" s="387">
        <f t="shared" si="806"/>
        <v>3588.5622240000002</v>
      </c>
      <c r="BS1179" s="387">
        <f t="shared" si="807"/>
        <v>216.69626160000001</v>
      </c>
      <c r="BT1179" s="387">
        <f t="shared" si="808"/>
        <v>0</v>
      </c>
      <c r="BU1179" s="387">
        <f t="shared" si="809"/>
        <v>166.35420360000001</v>
      </c>
      <c r="BV1179" s="387">
        <f t="shared" si="810"/>
        <v>102.18686399999999</v>
      </c>
      <c r="BW1179" s="387">
        <f t="shared" si="811"/>
        <v>0</v>
      </c>
      <c r="BX1179" s="387">
        <f t="shared" si="826"/>
        <v>6373.0039932000009</v>
      </c>
      <c r="BY1179" s="387">
        <f t="shared" si="827"/>
        <v>0</v>
      </c>
      <c r="BZ1179" s="387">
        <f t="shared" si="828"/>
        <v>0</v>
      </c>
      <c r="CA1179" s="387">
        <f t="shared" si="829"/>
        <v>0</v>
      </c>
      <c r="CB1179" s="387">
        <f t="shared" si="830"/>
        <v>0</v>
      </c>
      <c r="CC1179" s="387">
        <f t="shared" si="812"/>
        <v>0</v>
      </c>
      <c r="CD1179" s="387">
        <f t="shared" si="813"/>
        <v>0</v>
      </c>
      <c r="CE1179" s="387">
        <f t="shared" si="814"/>
        <v>0</v>
      </c>
      <c r="CF1179" s="387">
        <f t="shared" si="815"/>
        <v>-147.26930399999998</v>
      </c>
      <c r="CG1179" s="387">
        <f t="shared" si="816"/>
        <v>0</v>
      </c>
      <c r="CH1179" s="387">
        <f t="shared" si="817"/>
        <v>21.038471999999988</v>
      </c>
      <c r="CI1179" s="387">
        <f t="shared" si="818"/>
        <v>0</v>
      </c>
      <c r="CJ1179" s="387">
        <f t="shared" si="831"/>
        <v>-126.23083199999999</v>
      </c>
      <c r="CK1179" s="387" t="str">
        <f t="shared" si="832"/>
        <v/>
      </c>
      <c r="CL1179" s="387" t="str">
        <f t="shared" si="833"/>
        <v/>
      </c>
      <c r="CM1179" s="387" t="str">
        <f t="shared" si="834"/>
        <v/>
      </c>
      <c r="CN1179" s="387" t="str">
        <f t="shared" si="835"/>
        <v>0348-31</v>
      </c>
    </row>
    <row r="1180" spans="1:92" ht="15.75" thickBot="1" x14ac:dyDescent="0.3">
      <c r="A1180" s="376" t="s">
        <v>161</v>
      </c>
      <c r="B1180" s="376" t="s">
        <v>162</v>
      </c>
      <c r="C1180" s="376" t="s">
        <v>1687</v>
      </c>
      <c r="D1180" s="376" t="s">
        <v>868</v>
      </c>
      <c r="E1180" s="376" t="s">
        <v>224</v>
      </c>
      <c r="F1180" s="382" t="s">
        <v>225</v>
      </c>
      <c r="G1180" s="376" t="s">
        <v>1945</v>
      </c>
      <c r="H1180" s="378"/>
      <c r="I1180" s="378"/>
      <c r="J1180" s="376" t="s">
        <v>215</v>
      </c>
      <c r="K1180" s="376" t="s">
        <v>869</v>
      </c>
      <c r="L1180" s="376" t="s">
        <v>296</v>
      </c>
      <c r="M1180" s="376" t="s">
        <v>272</v>
      </c>
      <c r="N1180" s="376" t="s">
        <v>172</v>
      </c>
      <c r="O1180" s="379">
        <v>0</v>
      </c>
      <c r="P1180" s="385">
        <v>1</v>
      </c>
      <c r="Q1180" s="385">
        <v>1</v>
      </c>
      <c r="R1180" s="380">
        <v>80</v>
      </c>
      <c r="S1180" s="385">
        <v>1</v>
      </c>
      <c r="T1180" s="380">
        <v>0</v>
      </c>
      <c r="U1180" s="380">
        <v>0</v>
      </c>
      <c r="V1180" s="380">
        <v>0</v>
      </c>
      <c r="W1180" s="380">
        <v>47403.199999999997</v>
      </c>
      <c r="X1180" s="380">
        <v>20762.599999999999</v>
      </c>
      <c r="Y1180" s="380">
        <v>47403.199999999997</v>
      </c>
      <c r="Z1180" s="380">
        <v>20525.580000000002</v>
      </c>
      <c r="AA1180" s="378"/>
      <c r="AB1180" s="376" t="s">
        <v>45</v>
      </c>
      <c r="AC1180" s="376" t="s">
        <v>45</v>
      </c>
      <c r="AD1180" s="378"/>
      <c r="AE1180" s="378"/>
      <c r="AF1180" s="378"/>
      <c r="AG1180" s="378"/>
      <c r="AH1180" s="379">
        <v>0</v>
      </c>
      <c r="AI1180" s="379">
        <v>0</v>
      </c>
      <c r="AJ1180" s="378"/>
      <c r="AK1180" s="378"/>
      <c r="AL1180" s="376" t="s">
        <v>181</v>
      </c>
      <c r="AM1180" s="378"/>
      <c r="AN1180" s="378"/>
      <c r="AO1180" s="379">
        <v>0</v>
      </c>
      <c r="AP1180" s="385">
        <v>0</v>
      </c>
      <c r="AQ1180" s="385">
        <v>0</v>
      </c>
      <c r="AR1180" s="384"/>
      <c r="AS1180" s="387">
        <f t="shared" si="819"/>
        <v>0</v>
      </c>
      <c r="AT1180">
        <f t="shared" si="820"/>
        <v>0</v>
      </c>
      <c r="AU1180" s="387" t="str">
        <f>IF(AT1180=0,"",IF(AND(AT1180=1,M1180="F",SUMIF(C2:C1334,C1180,AS2:AS1334)&lt;=1),SUMIF(C2:C1334,C1180,AS2:AS1334),IF(AND(AT1180=1,M1180="F",SUMIF(C2:C1334,C1180,AS2:AS1334)&gt;1),1,"")))</f>
        <v/>
      </c>
      <c r="AV1180" s="387" t="str">
        <f>IF(AT1180=0,"",IF(AND(AT1180=3,M1180="F",SUMIF(C2:C1334,C1180,AS2:AS1334)&lt;=1),SUMIF(C2:C1334,C1180,AS2:AS1334),IF(AND(AT1180=3,M1180="F",SUMIF(C2:C1334,C1180,AS2:AS1334)&gt;1),1,"")))</f>
        <v/>
      </c>
      <c r="AW1180" s="387">
        <f>SUMIF(C2:C1334,C1180,O2:O1334)</f>
        <v>0</v>
      </c>
      <c r="AX1180" s="387">
        <f>IF(AND(M1180="F",AS1180&lt;&gt;0),SUMIF(C2:C1334,C1180,W2:W1334),0)</f>
        <v>0</v>
      </c>
      <c r="AY1180" s="387" t="str">
        <f t="shared" si="821"/>
        <v/>
      </c>
      <c r="AZ1180" s="387" t="str">
        <f t="shared" si="822"/>
        <v/>
      </c>
      <c r="BA1180" s="387">
        <f t="shared" si="823"/>
        <v>0</v>
      </c>
      <c r="BB1180" s="387">
        <f t="shared" si="792"/>
        <v>0</v>
      </c>
      <c r="BC1180" s="387">
        <f t="shared" si="793"/>
        <v>0</v>
      </c>
      <c r="BD1180" s="387">
        <f t="shared" si="794"/>
        <v>0</v>
      </c>
      <c r="BE1180" s="387">
        <f t="shared" si="795"/>
        <v>0</v>
      </c>
      <c r="BF1180" s="387">
        <f t="shared" si="796"/>
        <v>0</v>
      </c>
      <c r="BG1180" s="387">
        <f t="shared" si="797"/>
        <v>0</v>
      </c>
      <c r="BH1180" s="387">
        <f t="shared" si="798"/>
        <v>0</v>
      </c>
      <c r="BI1180" s="387">
        <f t="shared" si="799"/>
        <v>0</v>
      </c>
      <c r="BJ1180" s="387">
        <f t="shared" si="800"/>
        <v>0</v>
      </c>
      <c r="BK1180" s="387">
        <f t="shared" si="801"/>
        <v>0</v>
      </c>
      <c r="BL1180" s="387">
        <f t="shared" si="824"/>
        <v>0</v>
      </c>
      <c r="BM1180" s="387">
        <f t="shared" si="825"/>
        <v>0</v>
      </c>
      <c r="BN1180" s="387">
        <f t="shared" si="802"/>
        <v>0</v>
      </c>
      <c r="BO1180" s="387">
        <f t="shared" si="803"/>
        <v>0</v>
      </c>
      <c r="BP1180" s="387">
        <f t="shared" si="804"/>
        <v>0</v>
      </c>
      <c r="BQ1180" s="387">
        <f t="shared" si="805"/>
        <v>0</v>
      </c>
      <c r="BR1180" s="387">
        <f t="shared" si="806"/>
        <v>0</v>
      </c>
      <c r="BS1180" s="387">
        <f t="shared" si="807"/>
        <v>0</v>
      </c>
      <c r="BT1180" s="387">
        <f t="shared" si="808"/>
        <v>0</v>
      </c>
      <c r="BU1180" s="387">
        <f t="shared" si="809"/>
        <v>0</v>
      </c>
      <c r="BV1180" s="387">
        <f t="shared" si="810"/>
        <v>0</v>
      </c>
      <c r="BW1180" s="387">
        <f t="shared" si="811"/>
        <v>0</v>
      </c>
      <c r="BX1180" s="387">
        <f t="shared" si="826"/>
        <v>0</v>
      </c>
      <c r="BY1180" s="387">
        <f t="shared" si="827"/>
        <v>0</v>
      </c>
      <c r="BZ1180" s="387">
        <f t="shared" si="828"/>
        <v>0</v>
      </c>
      <c r="CA1180" s="387">
        <f t="shared" si="829"/>
        <v>0</v>
      </c>
      <c r="CB1180" s="387">
        <f t="shared" si="830"/>
        <v>0</v>
      </c>
      <c r="CC1180" s="387">
        <f t="shared" si="812"/>
        <v>0</v>
      </c>
      <c r="CD1180" s="387">
        <f t="shared" si="813"/>
        <v>0</v>
      </c>
      <c r="CE1180" s="387">
        <f t="shared" si="814"/>
        <v>0</v>
      </c>
      <c r="CF1180" s="387">
        <f t="shared" si="815"/>
        <v>0</v>
      </c>
      <c r="CG1180" s="387">
        <f t="shared" si="816"/>
        <v>0</v>
      </c>
      <c r="CH1180" s="387">
        <f t="shared" si="817"/>
        <v>0</v>
      </c>
      <c r="CI1180" s="387">
        <f t="shared" si="818"/>
        <v>0</v>
      </c>
      <c r="CJ1180" s="387">
        <f t="shared" si="831"/>
        <v>0</v>
      </c>
      <c r="CK1180" s="387" t="str">
        <f t="shared" si="832"/>
        <v/>
      </c>
      <c r="CL1180" s="387" t="str">
        <f t="shared" si="833"/>
        <v/>
      </c>
      <c r="CM1180" s="387" t="str">
        <f t="shared" si="834"/>
        <v/>
      </c>
      <c r="CN1180" s="387" t="str">
        <f t="shared" si="835"/>
        <v>0348-31</v>
      </c>
    </row>
    <row r="1181" spans="1:92" ht="15.75" thickBot="1" x14ac:dyDescent="0.3">
      <c r="A1181" s="376" t="s">
        <v>161</v>
      </c>
      <c r="B1181" s="376" t="s">
        <v>162</v>
      </c>
      <c r="C1181" s="376" t="s">
        <v>833</v>
      </c>
      <c r="D1181" s="376" t="s">
        <v>786</v>
      </c>
      <c r="E1181" s="376" t="s">
        <v>224</v>
      </c>
      <c r="F1181" s="382" t="s">
        <v>225</v>
      </c>
      <c r="G1181" s="376" t="s">
        <v>1945</v>
      </c>
      <c r="H1181" s="378"/>
      <c r="I1181" s="378"/>
      <c r="J1181" s="376" t="s">
        <v>239</v>
      </c>
      <c r="K1181" s="376" t="s">
        <v>787</v>
      </c>
      <c r="L1181" s="376" t="s">
        <v>181</v>
      </c>
      <c r="M1181" s="376" t="s">
        <v>171</v>
      </c>
      <c r="N1181" s="376" t="s">
        <v>172</v>
      </c>
      <c r="O1181" s="379">
        <v>1</v>
      </c>
      <c r="P1181" s="385">
        <v>0.05</v>
      </c>
      <c r="Q1181" s="385">
        <v>0.05</v>
      </c>
      <c r="R1181" s="380">
        <v>80</v>
      </c>
      <c r="S1181" s="385">
        <v>0.05</v>
      </c>
      <c r="T1181" s="380">
        <v>2509.5</v>
      </c>
      <c r="U1181" s="380">
        <v>0</v>
      </c>
      <c r="V1181" s="380">
        <v>919.98</v>
      </c>
      <c r="W1181" s="380">
        <v>3949.92</v>
      </c>
      <c r="X1181" s="380">
        <v>1436.66</v>
      </c>
      <c r="Y1181" s="380">
        <v>3949.92</v>
      </c>
      <c r="Z1181" s="380">
        <v>1420.07</v>
      </c>
      <c r="AA1181" s="376" t="s">
        <v>834</v>
      </c>
      <c r="AB1181" s="376" t="s">
        <v>835</v>
      </c>
      <c r="AC1181" s="376" t="s">
        <v>428</v>
      </c>
      <c r="AD1181" s="376" t="s">
        <v>836</v>
      </c>
      <c r="AE1181" s="376" t="s">
        <v>787</v>
      </c>
      <c r="AF1181" s="376" t="s">
        <v>211</v>
      </c>
      <c r="AG1181" s="376" t="s">
        <v>178</v>
      </c>
      <c r="AH1181" s="381">
        <v>37.979999999999997</v>
      </c>
      <c r="AI1181" s="381">
        <v>27965.8</v>
      </c>
      <c r="AJ1181" s="376" t="s">
        <v>179</v>
      </c>
      <c r="AK1181" s="376" t="s">
        <v>180</v>
      </c>
      <c r="AL1181" s="376" t="s">
        <v>181</v>
      </c>
      <c r="AM1181" s="376" t="s">
        <v>182</v>
      </c>
      <c r="AN1181" s="376" t="s">
        <v>68</v>
      </c>
      <c r="AO1181" s="379">
        <v>80</v>
      </c>
      <c r="AP1181" s="385">
        <v>1</v>
      </c>
      <c r="AQ1181" s="385">
        <v>0.05</v>
      </c>
      <c r="AR1181" s="383" t="s">
        <v>183</v>
      </c>
      <c r="AS1181" s="387">
        <f t="shared" si="819"/>
        <v>0.05</v>
      </c>
      <c r="AT1181">
        <f t="shared" si="820"/>
        <v>1</v>
      </c>
      <c r="AU1181" s="387">
        <f>IF(AT1181=0,"",IF(AND(AT1181=1,M1181="F",SUMIF(C2:C1334,C1181,AS2:AS1334)&lt;=1),SUMIF(C2:C1334,C1181,AS2:AS1334),IF(AND(AT1181=1,M1181="F",SUMIF(C2:C1334,C1181,AS2:AS1334)&gt;1),1,"")))</f>
        <v>1</v>
      </c>
      <c r="AV1181" s="387" t="str">
        <f>IF(AT1181=0,"",IF(AND(AT1181=3,M1181="F",SUMIF(C2:C1334,C1181,AS2:AS1334)&lt;=1),SUMIF(C2:C1334,C1181,AS2:AS1334),IF(AND(AT1181=3,M1181="F",SUMIF(C2:C1334,C1181,AS2:AS1334)&gt;1),1,"")))</f>
        <v/>
      </c>
      <c r="AW1181" s="387">
        <f>SUMIF(C2:C1334,C1181,O2:O1334)</f>
        <v>4</v>
      </c>
      <c r="AX1181" s="387">
        <f>IF(AND(M1181="F",AS1181&lt;&gt;0),SUMIF(C2:C1334,C1181,W2:W1334),0)</f>
        <v>78998.399999999994</v>
      </c>
      <c r="AY1181" s="387">
        <f t="shared" si="821"/>
        <v>3949.92</v>
      </c>
      <c r="AZ1181" s="387" t="str">
        <f t="shared" si="822"/>
        <v/>
      </c>
      <c r="BA1181" s="387">
        <f t="shared" si="823"/>
        <v>0</v>
      </c>
      <c r="BB1181" s="387">
        <f t="shared" si="792"/>
        <v>582.5</v>
      </c>
      <c r="BC1181" s="387">
        <f t="shared" si="793"/>
        <v>0</v>
      </c>
      <c r="BD1181" s="387">
        <f t="shared" si="794"/>
        <v>244.89503999999999</v>
      </c>
      <c r="BE1181" s="387">
        <f t="shared" si="795"/>
        <v>57.273840000000007</v>
      </c>
      <c r="BF1181" s="387">
        <f t="shared" si="796"/>
        <v>471.62044800000001</v>
      </c>
      <c r="BG1181" s="387">
        <f t="shared" si="797"/>
        <v>28.478923200000001</v>
      </c>
      <c r="BH1181" s="387">
        <f t="shared" si="798"/>
        <v>19.354607999999999</v>
      </c>
      <c r="BI1181" s="387">
        <f t="shared" si="799"/>
        <v>21.862807199999999</v>
      </c>
      <c r="BJ1181" s="387">
        <f t="shared" si="800"/>
        <v>10.664784000000001</v>
      </c>
      <c r="BK1181" s="387">
        <f t="shared" si="801"/>
        <v>0</v>
      </c>
      <c r="BL1181" s="387">
        <f t="shared" si="824"/>
        <v>854.15045040000018</v>
      </c>
      <c r="BM1181" s="387">
        <f t="shared" si="825"/>
        <v>0</v>
      </c>
      <c r="BN1181" s="387">
        <f t="shared" si="802"/>
        <v>582.5</v>
      </c>
      <c r="BO1181" s="387">
        <f t="shared" si="803"/>
        <v>0</v>
      </c>
      <c r="BP1181" s="387">
        <f t="shared" si="804"/>
        <v>244.89503999999999</v>
      </c>
      <c r="BQ1181" s="387">
        <f t="shared" si="805"/>
        <v>57.273840000000007</v>
      </c>
      <c r="BR1181" s="387">
        <f t="shared" si="806"/>
        <v>471.62044800000001</v>
      </c>
      <c r="BS1181" s="387">
        <f t="shared" si="807"/>
        <v>28.478923200000001</v>
      </c>
      <c r="BT1181" s="387">
        <f t="shared" si="808"/>
        <v>0</v>
      </c>
      <c r="BU1181" s="387">
        <f t="shared" si="809"/>
        <v>21.862807199999999</v>
      </c>
      <c r="BV1181" s="387">
        <f t="shared" si="810"/>
        <v>13.429727999999999</v>
      </c>
      <c r="BW1181" s="387">
        <f t="shared" si="811"/>
        <v>0</v>
      </c>
      <c r="BX1181" s="387">
        <f t="shared" si="826"/>
        <v>837.5607864000001</v>
      </c>
      <c r="BY1181" s="387">
        <f t="shared" si="827"/>
        <v>0</v>
      </c>
      <c r="BZ1181" s="387">
        <f t="shared" si="828"/>
        <v>0</v>
      </c>
      <c r="CA1181" s="387">
        <f t="shared" si="829"/>
        <v>0</v>
      </c>
      <c r="CB1181" s="387">
        <f t="shared" si="830"/>
        <v>0</v>
      </c>
      <c r="CC1181" s="387">
        <f t="shared" si="812"/>
        <v>0</v>
      </c>
      <c r="CD1181" s="387">
        <f t="shared" si="813"/>
        <v>0</v>
      </c>
      <c r="CE1181" s="387">
        <f t="shared" si="814"/>
        <v>0</v>
      </c>
      <c r="CF1181" s="387">
        <f t="shared" si="815"/>
        <v>-19.354607999999999</v>
      </c>
      <c r="CG1181" s="387">
        <f t="shared" si="816"/>
        <v>0</v>
      </c>
      <c r="CH1181" s="387">
        <f t="shared" si="817"/>
        <v>2.764943999999999</v>
      </c>
      <c r="CI1181" s="387">
        <f t="shared" si="818"/>
        <v>0</v>
      </c>
      <c r="CJ1181" s="387">
        <f t="shared" si="831"/>
        <v>-16.589663999999999</v>
      </c>
      <c r="CK1181" s="387" t="str">
        <f t="shared" si="832"/>
        <v/>
      </c>
      <c r="CL1181" s="387" t="str">
        <f t="shared" si="833"/>
        <v/>
      </c>
      <c r="CM1181" s="387" t="str">
        <f t="shared" si="834"/>
        <v/>
      </c>
      <c r="CN1181" s="387" t="str">
        <f t="shared" si="835"/>
        <v>0348-31</v>
      </c>
    </row>
    <row r="1182" spans="1:92" ht="15.75" thickBot="1" x14ac:dyDescent="0.3">
      <c r="A1182" s="376" t="s">
        <v>161</v>
      </c>
      <c r="B1182" s="376" t="s">
        <v>162</v>
      </c>
      <c r="C1182" s="376" t="s">
        <v>880</v>
      </c>
      <c r="D1182" s="376" t="s">
        <v>881</v>
      </c>
      <c r="E1182" s="376" t="s">
        <v>224</v>
      </c>
      <c r="F1182" s="382" t="s">
        <v>225</v>
      </c>
      <c r="G1182" s="376" t="s">
        <v>1945</v>
      </c>
      <c r="H1182" s="378"/>
      <c r="I1182" s="378"/>
      <c r="J1182" s="376" t="s">
        <v>215</v>
      </c>
      <c r="K1182" s="376" t="s">
        <v>882</v>
      </c>
      <c r="L1182" s="376" t="s">
        <v>210</v>
      </c>
      <c r="M1182" s="376" t="s">
        <v>171</v>
      </c>
      <c r="N1182" s="376" t="s">
        <v>172</v>
      </c>
      <c r="O1182" s="379">
        <v>1</v>
      </c>
      <c r="P1182" s="385">
        <v>1</v>
      </c>
      <c r="Q1182" s="385">
        <v>1</v>
      </c>
      <c r="R1182" s="380">
        <v>80</v>
      </c>
      <c r="S1182" s="385">
        <v>1</v>
      </c>
      <c r="T1182" s="380">
        <v>27913.3</v>
      </c>
      <c r="U1182" s="380">
        <v>1244.1199999999999</v>
      </c>
      <c r="V1182" s="380">
        <v>12066.95</v>
      </c>
      <c r="W1182" s="380">
        <v>62275.199999999997</v>
      </c>
      <c r="X1182" s="380">
        <v>25116.98</v>
      </c>
      <c r="Y1182" s="380">
        <v>62275.199999999997</v>
      </c>
      <c r="Z1182" s="380">
        <v>24855.43</v>
      </c>
      <c r="AA1182" s="376" t="s">
        <v>883</v>
      </c>
      <c r="AB1182" s="376" t="s">
        <v>884</v>
      </c>
      <c r="AC1182" s="376" t="s">
        <v>365</v>
      </c>
      <c r="AD1182" s="376" t="s">
        <v>198</v>
      </c>
      <c r="AE1182" s="376" t="s">
        <v>882</v>
      </c>
      <c r="AF1182" s="376" t="s">
        <v>245</v>
      </c>
      <c r="AG1182" s="376" t="s">
        <v>178</v>
      </c>
      <c r="AH1182" s="381">
        <v>29.94</v>
      </c>
      <c r="AI1182" s="381">
        <v>28465.5</v>
      </c>
      <c r="AJ1182" s="376" t="s">
        <v>179</v>
      </c>
      <c r="AK1182" s="376" t="s">
        <v>180</v>
      </c>
      <c r="AL1182" s="376" t="s">
        <v>181</v>
      </c>
      <c r="AM1182" s="376" t="s">
        <v>182</v>
      </c>
      <c r="AN1182" s="376" t="s">
        <v>68</v>
      </c>
      <c r="AO1182" s="379">
        <v>80</v>
      </c>
      <c r="AP1182" s="385">
        <v>1</v>
      </c>
      <c r="AQ1182" s="385">
        <v>1</v>
      </c>
      <c r="AR1182" s="383" t="s">
        <v>183</v>
      </c>
      <c r="AS1182" s="387">
        <f t="shared" si="819"/>
        <v>1</v>
      </c>
      <c r="AT1182">
        <f t="shared" si="820"/>
        <v>1</v>
      </c>
      <c r="AU1182" s="387">
        <f>IF(AT1182=0,"",IF(AND(AT1182=1,M1182="F",SUMIF(C2:C1334,C1182,AS2:AS1334)&lt;=1),SUMIF(C2:C1334,C1182,AS2:AS1334),IF(AND(AT1182=1,M1182="F",SUMIF(C2:C1334,C1182,AS2:AS1334)&gt;1),1,"")))</f>
        <v>1</v>
      </c>
      <c r="AV1182" s="387" t="str">
        <f>IF(AT1182=0,"",IF(AND(AT1182=3,M1182="F",SUMIF(C2:C1334,C1182,AS2:AS1334)&lt;=1),SUMIF(C2:C1334,C1182,AS2:AS1334),IF(AND(AT1182=3,M1182="F",SUMIF(C2:C1334,C1182,AS2:AS1334)&gt;1),1,"")))</f>
        <v/>
      </c>
      <c r="AW1182" s="387">
        <f>SUMIF(C2:C1334,C1182,O2:O1334)</f>
        <v>2</v>
      </c>
      <c r="AX1182" s="387">
        <f>IF(AND(M1182="F",AS1182&lt;&gt;0),SUMIF(C2:C1334,C1182,W2:W1334),0)</f>
        <v>62275.199999999997</v>
      </c>
      <c r="AY1182" s="387">
        <f t="shared" si="821"/>
        <v>62275.199999999997</v>
      </c>
      <c r="AZ1182" s="387" t="str">
        <f t="shared" si="822"/>
        <v/>
      </c>
      <c r="BA1182" s="387">
        <f t="shared" si="823"/>
        <v>0</v>
      </c>
      <c r="BB1182" s="387">
        <f t="shared" si="792"/>
        <v>11650</v>
      </c>
      <c r="BC1182" s="387">
        <f t="shared" si="793"/>
        <v>0</v>
      </c>
      <c r="BD1182" s="387">
        <f t="shared" si="794"/>
        <v>3861.0623999999998</v>
      </c>
      <c r="BE1182" s="387">
        <f t="shared" si="795"/>
        <v>902.99040000000002</v>
      </c>
      <c r="BF1182" s="387">
        <f t="shared" si="796"/>
        <v>7435.65888</v>
      </c>
      <c r="BG1182" s="387">
        <f t="shared" si="797"/>
        <v>449.00419199999999</v>
      </c>
      <c r="BH1182" s="387">
        <f t="shared" si="798"/>
        <v>305.14847999999995</v>
      </c>
      <c r="BI1182" s="387">
        <f t="shared" si="799"/>
        <v>344.69323199999997</v>
      </c>
      <c r="BJ1182" s="387">
        <f t="shared" si="800"/>
        <v>168.14304000000001</v>
      </c>
      <c r="BK1182" s="387">
        <f t="shared" si="801"/>
        <v>0</v>
      </c>
      <c r="BL1182" s="387">
        <f t="shared" si="824"/>
        <v>13466.700624000001</v>
      </c>
      <c r="BM1182" s="387">
        <f t="shared" si="825"/>
        <v>0</v>
      </c>
      <c r="BN1182" s="387">
        <f t="shared" si="802"/>
        <v>11650</v>
      </c>
      <c r="BO1182" s="387">
        <f t="shared" si="803"/>
        <v>0</v>
      </c>
      <c r="BP1182" s="387">
        <f t="shared" si="804"/>
        <v>3861.0623999999998</v>
      </c>
      <c r="BQ1182" s="387">
        <f t="shared" si="805"/>
        <v>902.99040000000002</v>
      </c>
      <c r="BR1182" s="387">
        <f t="shared" si="806"/>
        <v>7435.65888</v>
      </c>
      <c r="BS1182" s="387">
        <f t="shared" si="807"/>
        <v>449.00419199999999</v>
      </c>
      <c r="BT1182" s="387">
        <f t="shared" si="808"/>
        <v>0</v>
      </c>
      <c r="BU1182" s="387">
        <f t="shared" si="809"/>
        <v>344.69323199999997</v>
      </c>
      <c r="BV1182" s="387">
        <f t="shared" si="810"/>
        <v>211.73567999999997</v>
      </c>
      <c r="BW1182" s="387">
        <f t="shared" si="811"/>
        <v>0</v>
      </c>
      <c r="BX1182" s="387">
        <f t="shared" si="826"/>
        <v>13205.144784</v>
      </c>
      <c r="BY1182" s="387">
        <f t="shared" si="827"/>
        <v>0</v>
      </c>
      <c r="BZ1182" s="387">
        <f t="shared" si="828"/>
        <v>0</v>
      </c>
      <c r="CA1182" s="387">
        <f t="shared" si="829"/>
        <v>0</v>
      </c>
      <c r="CB1182" s="387">
        <f t="shared" si="830"/>
        <v>0</v>
      </c>
      <c r="CC1182" s="387">
        <f t="shared" si="812"/>
        <v>0</v>
      </c>
      <c r="CD1182" s="387">
        <f t="shared" si="813"/>
        <v>0</v>
      </c>
      <c r="CE1182" s="387">
        <f t="shared" si="814"/>
        <v>0</v>
      </c>
      <c r="CF1182" s="387">
        <f t="shared" si="815"/>
        <v>-305.14847999999995</v>
      </c>
      <c r="CG1182" s="387">
        <f t="shared" si="816"/>
        <v>0</v>
      </c>
      <c r="CH1182" s="387">
        <f t="shared" si="817"/>
        <v>43.592639999999975</v>
      </c>
      <c r="CI1182" s="387">
        <f t="shared" si="818"/>
        <v>0</v>
      </c>
      <c r="CJ1182" s="387">
        <f t="shared" si="831"/>
        <v>-261.55583999999999</v>
      </c>
      <c r="CK1182" s="387" t="str">
        <f t="shared" si="832"/>
        <v/>
      </c>
      <c r="CL1182" s="387" t="str">
        <f t="shared" si="833"/>
        <v/>
      </c>
      <c r="CM1182" s="387" t="str">
        <f t="shared" si="834"/>
        <v/>
      </c>
      <c r="CN1182" s="387" t="str">
        <f t="shared" si="835"/>
        <v>0348-31</v>
      </c>
    </row>
    <row r="1183" spans="1:92" ht="15.75" thickBot="1" x14ac:dyDescent="0.3">
      <c r="A1183" s="376" t="s">
        <v>161</v>
      </c>
      <c r="B1183" s="376" t="s">
        <v>162</v>
      </c>
      <c r="C1183" s="376" t="s">
        <v>1730</v>
      </c>
      <c r="D1183" s="376" t="s">
        <v>862</v>
      </c>
      <c r="E1183" s="376" t="s">
        <v>224</v>
      </c>
      <c r="F1183" s="382" t="s">
        <v>225</v>
      </c>
      <c r="G1183" s="376" t="s">
        <v>1945</v>
      </c>
      <c r="H1183" s="378"/>
      <c r="I1183" s="378"/>
      <c r="J1183" s="376" t="s">
        <v>215</v>
      </c>
      <c r="K1183" s="376" t="s">
        <v>863</v>
      </c>
      <c r="L1183" s="376" t="s">
        <v>252</v>
      </c>
      <c r="M1183" s="376" t="s">
        <v>171</v>
      </c>
      <c r="N1183" s="376" t="s">
        <v>172</v>
      </c>
      <c r="O1183" s="379">
        <v>1</v>
      </c>
      <c r="P1183" s="385">
        <v>1</v>
      </c>
      <c r="Q1183" s="385">
        <v>1</v>
      </c>
      <c r="R1183" s="380">
        <v>80</v>
      </c>
      <c r="S1183" s="385">
        <v>1</v>
      </c>
      <c r="T1183" s="380">
        <v>15722.04</v>
      </c>
      <c r="U1183" s="380">
        <v>0</v>
      </c>
      <c r="V1183" s="380">
        <v>7962.6</v>
      </c>
      <c r="W1183" s="380">
        <v>41371.199999999997</v>
      </c>
      <c r="X1183" s="380">
        <v>20596.490000000002</v>
      </c>
      <c r="Y1183" s="380">
        <v>41371.199999999997</v>
      </c>
      <c r="Z1183" s="380">
        <v>20422.740000000002</v>
      </c>
      <c r="AA1183" s="376" t="s">
        <v>1731</v>
      </c>
      <c r="AB1183" s="376" t="s">
        <v>1695</v>
      </c>
      <c r="AC1183" s="376" t="s">
        <v>1732</v>
      </c>
      <c r="AD1183" s="376" t="s">
        <v>324</v>
      </c>
      <c r="AE1183" s="376" t="s">
        <v>863</v>
      </c>
      <c r="AF1183" s="376" t="s">
        <v>393</v>
      </c>
      <c r="AG1183" s="376" t="s">
        <v>178</v>
      </c>
      <c r="AH1183" s="381">
        <v>19.89</v>
      </c>
      <c r="AI1183" s="381">
        <v>3907.9</v>
      </c>
      <c r="AJ1183" s="376" t="s">
        <v>179</v>
      </c>
      <c r="AK1183" s="376" t="s">
        <v>180</v>
      </c>
      <c r="AL1183" s="376" t="s">
        <v>181</v>
      </c>
      <c r="AM1183" s="376" t="s">
        <v>182</v>
      </c>
      <c r="AN1183" s="376" t="s">
        <v>68</v>
      </c>
      <c r="AO1183" s="379">
        <v>80</v>
      </c>
      <c r="AP1183" s="385">
        <v>1</v>
      </c>
      <c r="AQ1183" s="385">
        <v>1</v>
      </c>
      <c r="AR1183" s="383" t="s">
        <v>183</v>
      </c>
      <c r="AS1183" s="387">
        <f t="shared" si="819"/>
        <v>1</v>
      </c>
      <c r="AT1183">
        <f t="shared" si="820"/>
        <v>1</v>
      </c>
      <c r="AU1183" s="387">
        <f>IF(AT1183=0,"",IF(AND(AT1183=1,M1183="F",SUMIF(C2:C1334,C1183,AS2:AS1334)&lt;=1),SUMIF(C2:C1334,C1183,AS2:AS1334),IF(AND(AT1183=1,M1183="F",SUMIF(C2:C1334,C1183,AS2:AS1334)&gt;1),1,"")))</f>
        <v>1</v>
      </c>
      <c r="AV1183" s="387" t="str">
        <f>IF(AT1183=0,"",IF(AND(AT1183=3,M1183="F",SUMIF(C2:C1334,C1183,AS2:AS1334)&lt;=1),SUMIF(C2:C1334,C1183,AS2:AS1334),IF(AND(AT1183=3,M1183="F",SUMIF(C2:C1334,C1183,AS2:AS1334)&gt;1),1,"")))</f>
        <v/>
      </c>
      <c r="AW1183" s="387">
        <f>SUMIF(C2:C1334,C1183,O2:O1334)</f>
        <v>2</v>
      </c>
      <c r="AX1183" s="387">
        <f>IF(AND(M1183="F",AS1183&lt;&gt;0),SUMIF(C2:C1334,C1183,W2:W1334),0)</f>
        <v>41371.199999999997</v>
      </c>
      <c r="AY1183" s="387">
        <f t="shared" si="821"/>
        <v>41371.199999999997</v>
      </c>
      <c r="AZ1183" s="387" t="str">
        <f t="shared" si="822"/>
        <v/>
      </c>
      <c r="BA1183" s="387">
        <f t="shared" si="823"/>
        <v>0</v>
      </c>
      <c r="BB1183" s="387">
        <f t="shared" si="792"/>
        <v>11650</v>
      </c>
      <c r="BC1183" s="387">
        <f t="shared" si="793"/>
        <v>0</v>
      </c>
      <c r="BD1183" s="387">
        <f t="shared" si="794"/>
        <v>2565.0144</v>
      </c>
      <c r="BE1183" s="387">
        <f t="shared" si="795"/>
        <v>599.88239999999996</v>
      </c>
      <c r="BF1183" s="387">
        <f t="shared" si="796"/>
        <v>4939.7212799999998</v>
      </c>
      <c r="BG1183" s="387">
        <f t="shared" si="797"/>
        <v>298.28635199999997</v>
      </c>
      <c r="BH1183" s="387">
        <f t="shared" si="798"/>
        <v>202.71887999999998</v>
      </c>
      <c r="BI1183" s="387">
        <f t="shared" si="799"/>
        <v>228.98959199999999</v>
      </c>
      <c r="BJ1183" s="387">
        <f t="shared" si="800"/>
        <v>111.70224</v>
      </c>
      <c r="BK1183" s="387">
        <f t="shared" si="801"/>
        <v>0</v>
      </c>
      <c r="BL1183" s="387">
        <f t="shared" si="824"/>
        <v>8946.3151440000001</v>
      </c>
      <c r="BM1183" s="387">
        <f t="shared" si="825"/>
        <v>0</v>
      </c>
      <c r="BN1183" s="387">
        <f t="shared" si="802"/>
        <v>11650</v>
      </c>
      <c r="BO1183" s="387">
        <f t="shared" si="803"/>
        <v>0</v>
      </c>
      <c r="BP1183" s="387">
        <f t="shared" si="804"/>
        <v>2565.0144</v>
      </c>
      <c r="BQ1183" s="387">
        <f t="shared" si="805"/>
        <v>599.88239999999996</v>
      </c>
      <c r="BR1183" s="387">
        <f t="shared" si="806"/>
        <v>4939.7212799999998</v>
      </c>
      <c r="BS1183" s="387">
        <f t="shared" si="807"/>
        <v>298.28635199999997</v>
      </c>
      <c r="BT1183" s="387">
        <f t="shared" si="808"/>
        <v>0</v>
      </c>
      <c r="BU1183" s="387">
        <f t="shared" si="809"/>
        <v>228.98959199999999</v>
      </c>
      <c r="BV1183" s="387">
        <f t="shared" si="810"/>
        <v>140.66207999999997</v>
      </c>
      <c r="BW1183" s="387">
        <f t="shared" si="811"/>
        <v>0</v>
      </c>
      <c r="BX1183" s="387">
        <f t="shared" si="826"/>
        <v>8772.5561039999993</v>
      </c>
      <c r="BY1183" s="387">
        <f t="shared" si="827"/>
        <v>0</v>
      </c>
      <c r="BZ1183" s="387">
        <f t="shared" si="828"/>
        <v>0</v>
      </c>
      <c r="CA1183" s="387">
        <f t="shared" si="829"/>
        <v>0</v>
      </c>
      <c r="CB1183" s="387">
        <f t="shared" si="830"/>
        <v>0</v>
      </c>
      <c r="CC1183" s="387">
        <f t="shared" si="812"/>
        <v>0</v>
      </c>
      <c r="CD1183" s="387">
        <f t="shared" si="813"/>
        <v>0</v>
      </c>
      <c r="CE1183" s="387">
        <f t="shared" si="814"/>
        <v>0</v>
      </c>
      <c r="CF1183" s="387">
        <f t="shared" si="815"/>
        <v>-202.71887999999998</v>
      </c>
      <c r="CG1183" s="387">
        <f t="shared" si="816"/>
        <v>0</v>
      </c>
      <c r="CH1183" s="387">
        <f t="shared" si="817"/>
        <v>28.959839999999986</v>
      </c>
      <c r="CI1183" s="387">
        <f t="shared" si="818"/>
        <v>0</v>
      </c>
      <c r="CJ1183" s="387">
        <f t="shared" si="831"/>
        <v>-173.75904</v>
      </c>
      <c r="CK1183" s="387" t="str">
        <f t="shared" si="832"/>
        <v/>
      </c>
      <c r="CL1183" s="387" t="str">
        <f t="shared" si="833"/>
        <v/>
      </c>
      <c r="CM1183" s="387" t="str">
        <f t="shared" si="834"/>
        <v/>
      </c>
      <c r="CN1183" s="387" t="str">
        <f t="shared" si="835"/>
        <v>0348-31</v>
      </c>
    </row>
    <row r="1184" spans="1:92" ht="15.75" thickBot="1" x14ac:dyDescent="0.3">
      <c r="A1184" s="376" t="s">
        <v>161</v>
      </c>
      <c r="B1184" s="376" t="s">
        <v>162</v>
      </c>
      <c r="C1184" s="376" t="s">
        <v>1733</v>
      </c>
      <c r="D1184" s="376" t="s">
        <v>862</v>
      </c>
      <c r="E1184" s="376" t="s">
        <v>224</v>
      </c>
      <c r="F1184" s="382" t="s">
        <v>225</v>
      </c>
      <c r="G1184" s="376" t="s">
        <v>1945</v>
      </c>
      <c r="H1184" s="378"/>
      <c r="I1184" s="378"/>
      <c r="J1184" s="376" t="s">
        <v>215</v>
      </c>
      <c r="K1184" s="376" t="s">
        <v>863</v>
      </c>
      <c r="L1184" s="376" t="s">
        <v>252</v>
      </c>
      <c r="M1184" s="376" t="s">
        <v>272</v>
      </c>
      <c r="N1184" s="376" t="s">
        <v>877</v>
      </c>
      <c r="O1184" s="379">
        <v>0</v>
      </c>
      <c r="P1184" s="385">
        <v>1</v>
      </c>
      <c r="Q1184" s="385">
        <v>1</v>
      </c>
      <c r="R1184" s="380">
        <v>80</v>
      </c>
      <c r="S1184" s="385">
        <v>1</v>
      </c>
      <c r="T1184" s="380">
        <v>10986.21</v>
      </c>
      <c r="U1184" s="380">
        <v>0</v>
      </c>
      <c r="V1184" s="380">
        <v>5824.1</v>
      </c>
      <c r="W1184" s="380">
        <v>42328</v>
      </c>
      <c r="X1184" s="380">
        <v>18539.66</v>
      </c>
      <c r="Y1184" s="380">
        <v>42328</v>
      </c>
      <c r="Z1184" s="380">
        <v>18328.02</v>
      </c>
      <c r="AA1184" s="378"/>
      <c r="AB1184" s="376" t="s">
        <v>45</v>
      </c>
      <c r="AC1184" s="376" t="s">
        <v>45</v>
      </c>
      <c r="AD1184" s="378"/>
      <c r="AE1184" s="378"/>
      <c r="AF1184" s="378"/>
      <c r="AG1184" s="378"/>
      <c r="AH1184" s="379">
        <v>0</v>
      </c>
      <c r="AI1184" s="379">
        <v>0</v>
      </c>
      <c r="AJ1184" s="378"/>
      <c r="AK1184" s="378"/>
      <c r="AL1184" s="376" t="s">
        <v>181</v>
      </c>
      <c r="AM1184" s="378"/>
      <c r="AN1184" s="378"/>
      <c r="AO1184" s="379">
        <v>0</v>
      </c>
      <c r="AP1184" s="385">
        <v>0</v>
      </c>
      <c r="AQ1184" s="385">
        <v>0</v>
      </c>
      <c r="AR1184" s="384"/>
      <c r="AS1184" s="387">
        <f t="shared" si="819"/>
        <v>0</v>
      </c>
      <c r="AT1184">
        <f t="shared" si="820"/>
        <v>0</v>
      </c>
      <c r="AU1184" s="387" t="str">
        <f>IF(AT1184=0,"",IF(AND(AT1184=1,M1184="F",SUMIF(C2:C1334,C1184,AS2:AS1334)&lt;=1),SUMIF(C2:C1334,C1184,AS2:AS1334),IF(AND(AT1184=1,M1184="F",SUMIF(C2:C1334,C1184,AS2:AS1334)&gt;1),1,"")))</f>
        <v/>
      </c>
      <c r="AV1184" s="387" t="str">
        <f>IF(AT1184=0,"",IF(AND(AT1184=3,M1184="F",SUMIF(C2:C1334,C1184,AS2:AS1334)&lt;=1),SUMIF(C2:C1334,C1184,AS2:AS1334),IF(AND(AT1184=3,M1184="F",SUMIF(C2:C1334,C1184,AS2:AS1334)&gt;1),1,"")))</f>
        <v/>
      </c>
      <c r="AW1184" s="387">
        <f>SUMIF(C2:C1334,C1184,O2:O1334)</f>
        <v>0</v>
      </c>
      <c r="AX1184" s="387">
        <f>IF(AND(M1184="F",AS1184&lt;&gt;0),SUMIF(C2:C1334,C1184,W2:W1334),0)</f>
        <v>0</v>
      </c>
      <c r="AY1184" s="387" t="str">
        <f t="shared" si="821"/>
        <v/>
      </c>
      <c r="AZ1184" s="387" t="str">
        <f t="shared" si="822"/>
        <v/>
      </c>
      <c r="BA1184" s="387">
        <f t="shared" si="823"/>
        <v>0</v>
      </c>
      <c r="BB1184" s="387">
        <f t="shared" si="792"/>
        <v>0</v>
      </c>
      <c r="BC1184" s="387">
        <f t="shared" si="793"/>
        <v>0</v>
      </c>
      <c r="BD1184" s="387">
        <f t="shared" si="794"/>
        <v>0</v>
      </c>
      <c r="BE1184" s="387">
        <f t="shared" si="795"/>
        <v>0</v>
      </c>
      <c r="BF1184" s="387">
        <f t="shared" si="796"/>
        <v>0</v>
      </c>
      <c r="BG1184" s="387">
        <f t="shared" si="797"/>
        <v>0</v>
      </c>
      <c r="BH1184" s="387">
        <f t="shared" si="798"/>
        <v>0</v>
      </c>
      <c r="BI1184" s="387">
        <f t="shared" si="799"/>
        <v>0</v>
      </c>
      <c r="BJ1184" s="387">
        <f t="shared" si="800"/>
        <v>0</v>
      </c>
      <c r="BK1184" s="387">
        <f t="shared" si="801"/>
        <v>0</v>
      </c>
      <c r="BL1184" s="387">
        <f t="shared" si="824"/>
        <v>0</v>
      </c>
      <c r="BM1184" s="387">
        <f t="shared" si="825"/>
        <v>0</v>
      </c>
      <c r="BN1184" s="387">
        <f t="shared" si="802"/>
        <v>0</v>
      </c>
      <c r="BO1184" s="387">
        <f t="shared" si="803"/>
        <v>0</v>
      </c>
      <c r="BP1184" s="387">
        <f t="shared" si="804"/>
        <v>0</v>
      </c>
      <c r="BQ1184" s="387">
        <f t="shared" si="805"/>
        <v>0</v>
      </c>
      <c r="BR1184" s="387">
        <f t="shared" si="806"/>
        <v>0</v>
      </c>
      <c r="BS1184" s="387">
        <f t="shared" si="807"/>
        <v>0</v>
      </c>
      <c r="BT1184" s="387">
        <f t="shared" si="808"/>
        <v>0</v>
      </c>
      <c r="BU1184" s="387">
        <f t="shared" si="809"/>
        <v>0</v>
      </c>
      <c r="BV1184" s="387">
        <f t="shared" si="810"/>
        <v>0</v>
      </c>
      <c r="BW1184" s="387">
        <f t="shared" si="811"/>
        <v>0</v>
      </c>
      <c r="BX1184" s="387">
        <f t="shared" si="826"/>
        <v>0</v>
      </c>
      <c r="BY1184" s="387">
        <f t="shared" si="827"/>
        <v>0</v>
      </c>
      <c r="BZ1184" s="387">
        <f t="shared" si="828"/>
        <v>0</v>
      </c>
      <c r="CA1184" s="387">
        <f t="shared" si="829"/>
        <v>0</v>
      </c>
      <c r="CB1184" s="387">
        <f t="shared" si="830"/>
        <v>0</v>
      </c>
      <c r="CC1184" s="387">
        <f t="shared" si="812"/>
        <v>0</v>
      </c>
      <c r="CD1184" s="387">
        <f t="shared" si="813"/>
        <v>0</v>
      </c>
      <c r="CE1184" s="387">
        <f t="shared" si="814"/>
        <v>0</v>
      </c>
      <c r="CF1184" s="387">
        <f t="shared" si="815"/>
        <v>0</v>
      </c>
      <c r="CG1184" s="387">
        <f t="shared" si="816"/>
        <v>0</v>
      </c>
      <c r="CH1184" s="387">
        <f t="shared" si="817"/>
        <v>0</v>
      </c>
      <c r="CI1184" s="387">
        <f t="shared" si="818"/>
        <v>0</v>
      </c>
      <c r="CJ1184" s="387">
        <f t="shared" si="831"/>
        <v>0</v>
      </c>
      <c r="CK1184" s="387" t="str">
        <f t="shared" si="832"/>
        <v/>
      </c>
      <c r="CL1184" s="387" t="str">
        <f t="shared" si="833"/>
        <v/>
      </c>
      <c r="CM1184" s="387" t="str">
        <f t="shared" si="834"/>
        <v/>
      </c>
      <c r="CN1184" s="387" t="str">
        <f t="shared" si="835"/>
        <v>0348-31</v>
      </c>
    </row>
    <row r="1185" spans="1:92" ht="15.75" thickBot="1" x14ac:dyDescent="0.3">
      <c r="A1185" s="376" t="s">
        <v>161</v>
      </c>
      <c r="B1185" s="376" t="s">
        <v>162</v>
      </c>
      <c r="C1185" s="376" t="s">
        <v>394</v>
      </c>
      <c r="D1185" s="376" t="s">
        <v>238</v>
      </c>
      <c r="E1185" s="376" t="s">
        <v>224</v>
      </c>
      <c r="F1185" s="382" t="s">
        <v>225</v>
      </c>
      <c r="G1185" s="376" t="s">
        <v>1945</v>
      </c>
      <c r="H1185" s="378"/>
      <c r="I1185" s="378"/>
      <c r="J1185" s="376" t="s">
        <v>239</v>
      </c>
      <c r="K1185" s="376" t="s">
        <v>240</v>
      </c>
      <c r="L1185" s="376" t="s">
        <v>210</v>
      </c>
      <c r="M1185" s="376" t="s">
        <v>171</v>
      </c>
      <c r="N1185" s="376" t="s">
        <v>172</v>
      </c>
      <c r="O1185" s="379">
        <v>1</v>
      </c>
      <c r="P1185" s="385">
        <v>0.1</v>
      </c>
      <c r="Q1185" s="385">
        <v>0.1</v>
      </c>
      <c r="R1185" s="380">
        <v>80</v>
      </c>
      <c r="S1185" s="385">
        <v>0.1</v>
      </c>
      <c r="T1185" s="380">
        <v>2905.55</v>
      </c>
      <c r="U1185" s="380">
        <v>0</v>
      </c>
      <c r="V1185" s="380">
        <v>1142.75</v>
      </c>
      <c r="W1185" s="380">
        <v>6448</v>
      </c>
      <c r="X1185" s="380">
        <v>2559.37</v>
      </c>
      <c r="Y1185" s="380">
        <v>6448</v>
      </c>
      <c r="Z1185" s="380">
        <v>2532.29</v>
      </c>
      <c r="AA1185" s="376" t="s">
        <v>395</v>
      </c>
      <c r="AB1185" s="376" t="s">
        <v>396</v>
      </c>
      <c r="AC1185" s="376" t="s">
        <v>260</v>
      </c>
      <c r="AD1185" s="376" t="s">
        <v>397</v>
      </c>
      <c r="AE1185" s="376" t="s">
        <v>240</v>
      </c>
      <c r="AF1185" s="376" t="s">
        <v>245</v>
      </c>
      <c r="AG1185" s="376" t="s">
        <v>178</v>
      </c>
      <c r="AH1185" s="379">
        <v>31</v>
      </c>
      <c r="AI1185" s="381">
        <v>39495.5</v>
      </c>
      <c r="AJ1185" s="376" t="s">
        <v>179</v>
      </c>
      <c r="AK1185" s="376" t="s">
        <v>180</v>
      </c>
      <c r="AL1185" s="376" t="s">
        <v>181</v>
      </c>
      <c r="AM1185" s="376" t="s">
        <v>182</v>
      </c>
      <c r="AN1185" s="376" t="s">
        <v>68</v>
      </c>
      <c r="AO1185" s="379">
        <v>80</v>
      </c>
      <c r="AP1185" s="385">
        <v>1</v>
      </c>
      <c r="AQ1185" s="385">
        <v>0.1</v>
      </c>
      <c r="AR1185" s="383" t="s">
        <v>183</v>
      </c>
      <c r="AS1185" s="387">
        <f t="shared" si="819"/>
        <v>0.1</v>
      </c>
      <c r="AT1185">
        <f t="shared" si="820"/>
        <v>1</v>
      </c>
      <c r="AU1185" s="387">
        <f>IF(AT1185=0,"",IF(AND(AT1185=1,M1185="F",SUMIF(C2:C1334,C1185,AS2:AS1334)&lt;=1),SUMIF(C2:C1334,C1185,AS2:AS1334),IF(AND(AT1185=1,M1185="F",SUMIF(C2:C1334,C1185,AS2:AS1334)&gt;1),1,"")))</f>
        <v>1</v>
      </c>
      <c r="AV1185" s="387" t="str">
        <f>IF(AT1185=0,"",IF(AND(AT1185=3,M1185="F",SUMIF(C2:C1334,C1185,AS2:AS1334)&lt;=1),SUMIF(C2:C1334,C1185,AS2:AS1334),IF(AND(AT1185=3,M1185="F",SUMIF(C2:C1334,C1185,AS2:AS1334)&gt;1),1,"")))</f>
        <v/>
      </c>
      <c r="AW1185" s="387">
        <f>SUMIF(C2:C1334,C1185,O2:O1334)</f>
        <v>3</v>
      </c>
      <c r="AX1185" s="387">
        <f>IF(AND(M1185="F",AS1185&lt;&gt;0),SUMIF(C2:C1334,C1185,W2:W1334),0)</f>
        <v>64480</v>
      </c>
      <c r="AY1185" s="387">
        <f t="shared" si="821"/>
        <v>6448</v>
      </c>
      <c r="AZ1185" s="387" t="str">
        <f t="shared" si="822"/>
        <v/>
      </c>
      <c r="BA1185" s="387">
        <f t="shared" si="823"/>
        <v>0</v>
      </c>
      <c r="BB1185" s="387">
        <f t="shared" si="792"/>
        <v>1165</v>
      </c>
      <c r="BC1185" s="387">
        <f t="shared" si="793"/>
        <v>0</v>
      </c>
      <c r="BD1185" s="387">
        <f t="shared" si="794"/>
        <v>399.77600000000001</v>
      </c>
      <c r="BE1185" s="387">
        <f t="shared" si="795"/>
        <v>93.496000000000009</v>
      </c>
      <c r="BF1185" s="387">
        <f t="shared" si="796"/>
        <v>769.89120000000003</v>
      </c>
      <c r="BG1185" s="387">
        <f t="shared" si="797"/>
        <v>46.490079999999999</v>
      </c>
      <c r="BH1185" s="387">
        <f t="shared" si="798"/>
        <v>31.595199999999998</v>
      </c>
      <c r="BI1185" s="387">
        <f t="shared" si="799"/>
        <v>35.689680000000003</v>
      </c>
      <c r="BJ1185" s="387">
        <f t="shared" si="800"/>
        <v>17.409600000000001</v>
      </c>
      <c r="BK1185" s="387">
        <f t="shared" si="801"/>
        <v>0</v>
      </c>
      <c r="BL1185" s="387">
        <f t="shared" si="824"/>
        <v>1394.3477599999999</v>
      </c>
      <c r="BM1185" s="387">
        <f t="shared" si="825"/>
        <v>0</v>
      </c>
      <c r="BN1185" s="387">
        <f t="shared" si="802"/>
        <v>1165</v>
      </c>
      <c r="BO1185" s="387">
        <f t="shared" si="803"/>
        <v>0</v>
      </c>
      <c r="BP1185" s="387">
        <f t="shared" si="804"/>
        <v>399.77600000000001</v>
      </c>
      <c r="BQ1185" s="387">
        <f t="shared" si="805"/>
        <v>93.496000000000009</v>
      </c>
      <c r="BR1185" s="387">
        <f t="shared" si="806"/>
        <v>769.89120000000003</v>
      </c>
      <c r="BS1185" s="387">
        <f t="shared" si="807"/>
        <v>46.490079999999999</v>
      </c>
      <c r="BT1185" s="387">
        <f t="shared" si="808"/>
        <v>0</v>
      </c>
      <c r="BU1185" s="387">
        <f t="shared" si="809"/>
        <v>35.689680000000003</v>
      </c>
      <c r="BV1185" s="387">
        <f t="shared" si="810"/>
        <v>21.923199999999998</v>
      </c>
      <c r="BW1185" s="387">
        <f t="shared" si="811"/>
        <v>0</v>
      </c>
      <c r="BX1185" s="387">
        <f t="shared" si="826"/>
        <v>1367.2661599999999</v>
      </c>
      <c r="BY1185" s="387">
        <f t="shared" si="827"/>
        <v>0</v>
      </c>
      <c r="BZ1185" s="387">
        <f t="shared" si="828"/>
        <v>0</v>
      </c>
      <c r="CA1185" s="387">
        <f t="shared" si="829"/>
        <v>0</v>
      </c>
      <c r="CB1185" s="387">
        <f t="shared" si="830"/>
        <v>0</v>
      </c>
      <c r="CC1185" s="387">
        <f t="shared" si="812"/>
        <v>0</v>
      </c>
      <c r="CD1185" s="387">
        <f t="shared" si="813"/>
        <v>0</v>
      </c>
      <c r="CE1185" s="387">
        <f t="shared" si="814"/>
        <v>0</v>
      </c>
      <c r="CF1185" s="387">
        <f t="shared" si="815"/>
        <v>-31.595199999999998</v>
      </c>
      <c r="CG1185" s="387">
        <f t="shared" si="816"/>
        <v>0</v>
      </c>
      <c r="CH1185" s="387">
        <f t="shared" si="817"/>
        <v>4.5135999999999976</v>
      </c>
      <c r="CI1185" s="387">
        <f t="shared" si="818"/>
        <v>0</v>
      </c>
      <c r="CJ1185" s="387">
        <f t="shared" si="831"/>
        <v>-27.081600000000002</v>
      </c>
      <c r="CK1185" s="387" t="str">
        <f t="shared" si="832"/>
        <v/>
      </c>
      <c r="CL1185" s="387" t="str">
        <f t="shared" si="833"/>
        <v/>
      </c>
      <c r="CM1185" s="387" t="str">
        <f t="shared" si="834"/>
        <v/>
      </c>
      <c r="CN1185" s="387" t="str">
        <f t="shared" si="835"/>
        <v>0348-31</v>
      </c>
    </row>
    <row r="1186" spans="1:92" ht="15.75" thickBot="1" x14ac:dyDescent="0.3">
      <c r="A1186" s="376" t="s">
        <v>161</v>
      </c>
      <c r="B1186" s="376" t="s">
        <v>162</v>
      </c>
      <c r="C1186" s="376" t="s">
        <v>2405</v>
      </c>
      <c r="D1186" s="376" t="s">
        <v>974</v>
      </c>
      <c r="E1186" s="376" t="s">
        <v>224</v>
      </c>
      <c r="F1186" s="382" t="s">
        <v>225</v>
      </c>
      <c r="G1186" s="376" t="s">
        <v>1945</v>
      </c>
      <c r="H1186" s="378"/>
      <c r="I1186" s="378"/>
      <c r="J1186" s="376" t="s">
        <v>215</v>
      </c>
      <c r="K1186" s="376" t="s">
        <v>975</v>
      </c>
      <c r="L1186" s="376" t="s">
        <v>296</v>
      </c>
      <c r="M1186" s="376" t="s">
        <v>171</v>
      </c>
      <c r="N1186" s="376" t="s">
        <v>172</v>
      </c>
      <c r="O1186" s="379">
        <v>1</v>
      </c>
      <c r="P1186" s="385">
        <v>1</v>
      </c>
      <c r="Q1186" s="385">
        <v>1</v>
      </c>
      <c r="R1186" s="380">
        <v>80</v>
      </c>
      <c r="S1186" s="385">
        <v>1</v>
      </c>
      <c r="T1186" s="380">
        <v>41125.629999999997</v>
      </c>
      <c r="U1186" s="380">
        <v>452.73</v>
      </c>
      <c r="V1186" s="380">
        <v>20337.990000000002</v>
      </c>
      <c r="W1186" s="380">
        <v>45988.800000000003</v>
      </c>
      <c r="X1186" s="380">
        <v>21595.03</v>
      </c>
      <c r="Y1186" s="380">
        <v>45988.800000000003</v>
      </c>
      <c r="Z1186" s="380">
        <v>21401.89</v>
      </c>
      <c r="AA1186" s="376" t="s">
        <v>2406</v>
      </c>
      <c r="AB1186" s="376" t="s">
        <v>2407</v>
      </c>
      <c r="AC1186" s="376" t="s">
        <v>2408</v>
      </c>
      <c r="AD1186" s="376" t="s">
        <v>441</v>
      </c>
      <c r="AE1186" s="376" t="s">
        <v>975</v>
      </c>
      <c r="AF1186" s="376" t="s">
        <v>301</v>
      </c>
      <c r="AG1186" s="376" t="s">
        <v>178</v>
      </c>
      <c r="AH1186" s="381">
        <v>22.11</v>
      </c>
      <c r="AI1186" s="381">
        <v>10194.6</v>
      </c>
      <c r="AJ1186" s="376" t="s">
        <v>179</v>
      </c>
      <c r="AK1186" s="376" t="s">
        <v>180</v>
      </c>
      <c r="AL1186" s="376" t="s">
        <v>181</v>
      </c>
      <c r="AM1186" s="376" t="s">
        <v>182</v>
      </c>
      <c r="AN1186" s="376" t="s">
        <v>68</v>
      </c>
      <c r="AO1186" s="379">
        <v>80</v>
      </c>
      <c r="AP1186" s="385">
        <v>1</v>
      </c>
      <c r="AQ1186" s="385">
        <v>1</v>
      </c>
      <c r="AR1186" s="383" t="s">
        <v>183</v>
      </c>
      <c r="AS1186" s="387">
        <f t="shared" si="819"/>
        <v>1</v>
      </c>
      <c r="AT1186">
        <f t="shared" si="820"/>
        <v>1</v>
      </c>
      <c r="AU1186" s="387">
        <f>IF(AT1186=0,"",IF(AND(AT1186=1,M1186="F",SUMIF(C2:C1334,C1186,AS2:AS1334)&lt;=1),SUMIF(C2:C1334,C1186,AS2:AS1334),IF(AND(AT1186=1,M1186="F",SUMIF(C2:C1334,C1186,AS2:AS1334)&gt;1),1,"")))</f>
        <v>1</v>
      </c>
      <c r="AV1186" s="387" t="str">
        <f>IF(AT1186=0,"",IF(AND(AT1186=3,M1186="F",SUMIF(C2:C1334,C1186,AS2:AS1334)&lt;=1),SUMIF(C2:C1334,C1186,AS2:AS1334),IF(AND(AT1186=3,M1186="F",SUMIF(C2:C1334,C1186,AS2:AS1334)&gt;1),1,"")))</f>
        <v/>
      </c>
      <c r="AW1186" s="387">
        <f>SUMIF(C2:C1334,C1186,O2:O1334)</f>
        <v>1</v>
      </c>
      <c r="AX1186" s="387">
        <f>IF(AND(M1186="F",AS1186&lt;&gt;0),SUMIF(C2:C1334,C1186,W2:W1334),0)</f>
        <v>45988.800000000003</v>
      </c>
      <c r="AY1186" s="387">
        <f t="shared" si="821"/>
        <v>45988.800000000003</v>
      </c>
      <c r="AZ1186" s="387" t="str">
        <f t="shared" si="822"/>
        <v/>
      </c>
      <c r="BA1186" s="387">
        <f t="shared" si="823"/>
        <v>0</v>
      </c>
      <c r="BB1186" s="387">
        <f t="shared" si="792"/>
        <v>11650</v>
      </c>
      <c r="BC1186" s="387">
        <f t="shared" si="793"/>
        <v>0</v>
      </c>
      <c r="BD1186" s="387">
        <f t="shared" si="794"/>
        <v>2851.3056000000001</v>
      </c>
      <c r="BE1186" s="387">
        <f t="shared" si="795"/>
        <v>666.83760000000007</v>
      </c>
      <c r="BF1186" s="387">
        <f t="shared" si="796"/>
        <v>5491.0627200000008</v>
      </c>
      <c r="BG1186" s="387">
        <f t="shared" si="797"/>
        <v>331.57924800000001</v>
      </c>
      <c r="BH1186" s="387">
        <f t="shared" si="798"/>
        <v>225.34512000000001</v>
      </c>
      <c r="BI1186" s="387">
        <f t="shared" si="799"/>
        <v>254.54800800000001</v>
      </c>
      <c r="BJ1186" s="387">
        <f t="shared" si="800"/>
        <v>124.16976000000001</v>
      </c>
      <c r="BK1186" s="387">
        <f t="shared" si="801"/>
        <v>0</v>
      </c>
      <c r="BL1186" s="387">
        <f t="shared" si="824"/>
        <v>9944.8480560000007</v>
      </c>
      <c r="BM1186" s="387">
        <f t="shared" si="825"/>
        <v>0</v>
      </c>
      <c r="BN1186" s="387">
        <f t="shared" si="802"/>
        <v>11650</v>
      </c>
      <c r="BO1186" s="387">
        <f t="shared" si="803"/>
        <v>0</v>
      </c>
      <c r="BP1186" s="387">
        <f t="shared" si="804"/>
        <v>2851.3056000000001</v>
      </c>
      <c r="BQ1186" s="387">
        <f t="shared" si="805"/>
        <v>666.83760000000007</v>
      </c>
      <c r="BR1186" s="387">
        <f t="shared" si="806"/>
        <v>5491.0627200000008</v>
      </c>
      <c r="BS1186" s="387">
        <f t="shared" si="807"/>
        <v>331.57924800000001</v>
      </c>
      <c r="BT1186" s="387">
        <f t="shared" si="808"/>
        <v>0</v>
      </c>
      <c r="BU1186" s="387">
        <f t="shared" si="809"/>
        <v>254.54800800000001</v>
      </c>
      <c r="BV1186" s="387">
        <f t="shared" si="810"/>
        <v>156.36192</v>
      </c>
      <c r="BW1186" s="387">
        <f t="shared" si="811"/>
        <v>0</v>
      </c>
      <c r="BX1186" s="387">
        <f t="shared" si="826"/>
        <v>9751.6950959999995</v>
      </c>
      <c r="BY1186" s="387">
        <f t="shared" si="827"/>
        <v>0</v>
      </c>
      <c r="BZ1186" s="387">
        <f t="shared" si="828"/>
        <v>0</v>
      </c>
      <c r="CA1186" s="387">
        <f t="shared" si="829"/>
        <v>0</v>
      </c>
      <c r="CB1186" s="387">
        <f t="shared" si="830"/>
        <v>0</v>
      </c>
      <c r="CC1186" s="387">
        <f t="shared" si="812"/>
        <v>0</v>
      </c>
      <c r="CD1186" s="387">
        <f t="shared" si="813"/>
        <v>0</v>
      </c>
      <c r="CE1186" s="387">
        <f t="shared" si="814"/>
        <v>0</v>
      </c>
      <c r="CF1186" s="387">
        <f t="shared" si="815"/>
        <v>-225.34512000000001</v>
      </c>
      <c r="CG1186" s="387">
        <f t="shared" si="816"/>
        <v>0</v>
      </c>
      <c r="CH1186" s="387">
        <f t="shared" si="817"/>
        <v>32.192159999999987</v>
      </c>
      <c r="CI1186" s="387">
        <f t="shared" si="818"/>
        <v>0</v>
      </c>
      <c r="CJ1186" s="387">
        <f t="shared" si="831"/>
        <v>-193.15296000000001</v>
      </c>
      <c r="CK1186" s="387" t="str">
        <f t="shared" si="832"/>
        <v/>
      </c>
      <c r="CL1186" s="387" t="str">
        <f t="shared" si="833"/>
        <v/>
      </c>
      <c r="CM1186" s="387" t="str">
        <f t="shared" si="834"/>
        <v/>
      </c>
      <c r="CN1186" s="387" t="str">
        <f t="shared" si="835"/>
        <v>0348-31</v>
      </c>
    </row>
    <row r="1187" spans="1:92" ht="15.75" thickBot="1" x14ac:dyDescent="0.3">
      <c r="A1187" s="376" t="s">
        <v>161</v>
      </c>
      <c r="B1187" s="376" t="s">
        <v>162</v>
      </c>
      <c r="C1187" s="376" t="s">
        <v>1019</v>
      </c>
      <c r="D1187" s="376" t="s">
        <v>238</v>
      </c>
      <c r="E1187" s="376" t="s">
        <v>224</v>
      </c>
      <c r="F1187" s="382" t="s">
        <v>225</v>
      </c>
      <c r="G1187" s="376" t="s">
        <v>1945</v>
      </c>
      <c r="H1187" s="378"/>
      <c r="I1187" s="378"/>
      <c r="J1187" s="376" t="s">
        <v>215</v>
      </c>
      <c r="K1187" s="376" t="s">
        <v>285</v>
      </c>
      <c r="L1187" s="376" t="s">
        <v>170</v>
      </c>
      <c r="M1187" s="376" t="s">
        <v>171</v>
      </c>
      <c r="N1187" s="376" t="s">
        <v>172</v>
      </c>
      <c r="O1187" s="379">
        <v>1</v>
      </c>
      <c r="P1187" s="385">
        <v>1</v>
      </c>
      <c r="Q1187" s="385">
        <v>1</v>
      </c>
      <c r="R1187" s="380">
        <v>80</v>
      </c>
      <c r="S1187" s="385">
        <v>1</v>
      </c>
      <c r="T1187" s="380">
        <v>55972.53</v>
      </c>
      <c r="U1187" s="380">
        <v>0</v>
      </c>
      <c r="V1187" s="380">
        <v>22668.47</v>
      </c>
      <c r="W1187" s="380">
        <v>59966.400000000001</v>
      </c>
      <c r="X1187" s="380">
        <v>24617.69</v>
      </c>
      <c r="Y1187" s="380">
        <v>59966.400000000001</v>
      </c>
      <c r="Z1187" s="380">
        <v>24365.84</v>
      </c>
      <c r="AA1187" s="376" t="s">
        <v>1020</v>
      </c>
      <c r="AB1187" s="376" t="s">
        <v>981</v>
      </c>
      <c r="AC1187" s="376" t="s">
        <v>427</v>
      </c>
      <c r="AD1187" s="376" t="s">
        <v>252</v>
      </c>
      <c r="AE1187" s="376" t="s">
        <v>285</v>
      </c>
      <c r="AF1187" s="376" t="s">
        <v>177</v>
      </c>
      <c r="AG1187" s="376" t="s">
        <v>178</v>
      </c>
      <c r="AH1187" s="381">
        <v>28.83</v>
      </c>
      <c r="AI1187" s="381">
        <v>11512.1</v>
      </c>
      <c r="AJ1187" s="376" t="s">
        <v>179</v>
      </c>
      <c r="AK1187" s="376" t="s">
        <v>180</v>
      </c>
      <c r="AL1187" s="376" t="s">
        <v>181</v>
      </c>
      <c r="AM1187" s="376" t="s">
        <v>182</v>
      </c>
      <c r="AN1187" s="376" t="s">
        <v>68</v>
      </c>
      <c r="AO1187" s="379">
        <v>80</v>
      </c>
      <c r="AP1187" s="385">
        <v>1</v>
      </c>
      <c r="AQ1187" s="385">
        <v>1</v>
      </c>
      <c r="AR1187" s="383" t="s">
        <v>183</v>
      </c>
      <c r="AS1187" s="387">
        <f t="shared" si="819"/>
        <v>1</v>
      </c>
      <c r="AT1187">
        <f t="shared" si="820"/>
        <v>1</v>
      </c>
      <c r="AU1187" s="387">
        <f>IF(AT1187=0,"",IF(AND(AT1187=1,M1187="F",SUMIF(C2:C1334,C1187,AS2:AS1334)&lt;=1),SUMIF(C2:C1334,C1187,AS2:AS1334),IF(AND(AT1187=1,M1187="F",SUMIF(C2:C1334,C1187,AS2:AS1334)&gt;1),1,"")))</f>
        <v>1</v>
      </c>
      <c r="AV1187" s="387" t="str">
        <f>IF(AT1187=0,"",IF(AND(AT1187=3,M1187="F",SUMIF(C2:C1334,C1187,AS2:AS1334)&lt;=1),SUMIF(C2:C1334,C1187,AS2:AS1334),IF(AND(AT1187=3,M1187="F",SUMIF(C2:C1334,C1187,AS2:AS1334)&gt;1),1,"")))</f>
        <v/>
      </c>
      <c r="AW1187" s="387">
        <f>SUMIF(C2:C1334,C1187,O2:O1334)</f>
        <v>2</v>
      </c>
      <c r="AX1187" s="387">
        <f>IF(AND(M1187="F",AS1187&lt;&gt;0),SUMIF(C2:C1334,C1187,W2:W1334),0)</f>
        <v>59966.400000000001</v>
      </c>
      <c r="AY1187" s="387">
        <f t="shared" si="821"/>
        <v>59966.400000000001</v>
      </c>
      <c r="AZ1187" s="387" t="str">
        <f t="shared" si="822"/>
        <v/>
      </c>
      <c r="BA1187" s="387">
        <f t="shared" si="823"/>
        <v>0</v>
      </c>
      <c r="BB1187" s="387">
        <f t="shared" si="792"/>
        <v>11650</v>
      </c>
      <c r="BC1187" s="387">
        <f t="shared" si="793"/>
        <v>0</v>
      </c>
      <c r="BD1187" s="387">
        <f t="shared" si="794"/>
        <v>3717.9168</v>
      </c>
      <c r="BE1187" s="387">
        <f t="shared" si="795"/>
        <v>869.51280000000008</v>
      </c>
      <c r="BF1187" s="387">
        <f t="shared" si="796"/>
        <v>7159.9881600000008</v>
      </c>
      <c r="BG1187" s="387">
        <f t="shared" si="797"/>
        <v>432.35774400000003</v>
      </c>
      <c r="BH1187" s="387">
        <f t="shared" si="798"/>
        <v>293.83535999999998</v>
      </c>
      <c r="BI1187" s="387">
        <f t="shared" si="799"/>
        <v>331.91402399999998</v>
      </c>
      <c r="BJ1187" s="387">
        <f t="shared" si="800"/>
        <v>161.90928000000002</v>
      </c>
      <c r="BK1187" s="387">
        <f t="shared" si="801"/>
        <v>0</v>
      </c>
      <c r="BL1187" s="387">
        <f t="shared" si="824"/>
        <v>12967.434168</v>
      </c>
      <c r="BM1187" s="387">
        <f t="shared" si="825"/>
        <v>0</v>
      </c>
      <c r="BN1187" s="387">
        <f t="shared" si="802"/>
        <v>11650</v>
      </c>
      <c r="BO1187" s="387">
        <f t="shared" si="803"/>
        <v>0</v>
      </c>
      <c r="BP1187" s="387">
        <f t="shared" si="804"/>
        <v>3717.9168</v>
      </c>
      <c r="BQ1187" s="387">
        <f t="shared" si="805"/>
        <v>869.51280000000008</v>
      </c>
      <c r="BR1187" s="387">
        <f t="shared" si="806"/>
        <v>7159.9881600000008</v>
      </c>
      <c r="BS1187" s="387">
        <f t="shared" si="807"/>
        <v>432.35774400000003</v>
      </c>
      <c r="BT1187" s="387">
        <f t="shared" si="808"/>
        <v>0</v>
      </c>
      <c r="BU1187" s="387">
        <f t="shared" si="809"/>
        <v>331.91402399999998</v>
      </c>
      <c r="BV1187" s="387">
        <f t="shared" si="810"/>
        <v>203.88576</v>
      </c>
      <c r="BW1187" s="387">
        <f t="shared" si="811"/>
        <v>0</v>
      </c>
      <c r="BX1187" s="387">
        <f t="shared" si="826"/>
        <v>12715.575288</v>
      </c>
      <c r="BY1187" s="387">
        <f t="shared" si="827"/>
        <v>0</v>
      </c>
      <c r="BZ1187" s="387">
        <f t="shared" si="828"/>
        <v>0</v>
      </c>
      <c r="CA1187" s="387">
        <f t="shared" si="829"/>
        <v>0</v>
      </c>
      <c r="CB1187" s="387">
        <f t="shared" si="830"/>
        <v>0</v>
      </c>
      <c r="CC1187" s="387">
        <f t="shared" si="812"/>
        <v>0</v>
      </c>
      <c r="CD1187" s="387">
        <f t="shared" si="813"/>
        <v>0</v>
      </c>
      <c r="CE1187" s="387">
        <f t="shared" si="814"/>
        <v>0</v>
      </c>
      <c r="CF1187" s="387">
        <f t="shared" si="815"/>
        <v>-293.83535999999998</v>
      </c>
      <c r="CG1187" s="387">
        <f t="shared" si="816"/>
        <v>0</v>
      </c>
      <c r="CH1187" s="387">
        <f t="shared" si="817"/>
        <v>41.976479999999981</v>
      </c>
      <c r="CI1187" s="387">
        <f t="shared" si="818"/>
        <v>0</v>
      </c>
      <c r="CJ1187" s="387">
        <f t="shared" si="831"/>
        <v>-251.85888</v>
      </c>
      <c r="CK1187" s="387" t="str">
        <f t="shared" si="832"/>
        <v/>
      </c>
      <c r="CL1187" s="387" t="str">
        <f t="shared" si="833"/>
        <v/>
      </c>
      <c r="CM1187" s="387" t="str">
        <f t="shared" si="834"/>
        <v/>
      </c>
      <c r="CN1187" s="387" t="str">
        <f t="shared" si="835"/>
        <v>0348-31</v>
      </c>
    </row>
    <row r="1188" spans="1:92" ht="15.75" thickBot="1" x14ac:dyDescent="0.3">
      <c r="A1188" s="376" t="s">
        <v>161</v>
      </c>
      <c r="B1188" s="376" t="s">
        <v>162</v>
      </c>
      <c r="C1188" s="376" t="s">
        <v>1572</v>
      </c>
      <c r="D1188" s="376" t="s">
        <v>1573</v>
      </c>
      <c r="E1188" s="376" t="s">
        <v>224</v>
      </c>
      <c r="F1188" s="382" t="s">
        <v>225</v>
      </c>
      <c r="G1188" s="376" t="s">
        <v>1945</v>
      </c>
      <c r="H1188" s="378"/>
      <c r="I1188" s="378"/>
      <c r="J1188" s="376" t="s">
        <v>215</v>
      </c>
      <c r="K1188" s="376" t="s">
        <v>1574</v>
      </c>
      <c r="L1188" s="376" t="s">
        <v>210</v>
      </c>
      <c r="M1188" s="376" t="s">
        <v>171</v>
      </c>
      <c r="N1188" s="376" t="s">
        <v>172</v>
      </c>
      <c r="O1188" s="379">
        <v>1</v>
      </c>
      <c r="P1188" s="385">
        <v>1</v>
      </c>
      <c r="Q1188" s="385">
        <v>1</v>
      </c>
      <c r="R1188" s="380">
        <v>80</v>
      </c>
      <c r="S1188" s="385">
        <v>1</v>
      </c>
      <c r="T1188" s="380">
        <v>0</v>
      </c>
      <c r="U1188" s="380">
        <v>0</v>
      </c>
      <c r="V1188" s="380">
        <v>0</v>
      </c>
      <c r="W1188" s="380">
        <v>69492.800000000003</v>
      </c>
      <c r="X1188" s="380">
        <v>26677.8</v>
      </c>
      <c r="Y1188" s="380">
        <v>69492.800000000003</v>
      </c>
      <c r="Z1188" s="380">
        <v>26385.93</v>
      </c>
      <c r="AA1188" s="376" t="s">
        <v>1575</v>
      </c>
      <c r="AB1188" s="376" t="s">
        <v>315</v>
      </c>
      <c r="AC1188" s="376" t="s">
        <v>1576</v>
      </c>
      <c r="AD1188" s="376" t="s">
        <v>296</v>
      </c>
      <c r="AE1188" s="376" t="s">
        <v>1574</v>
      </c>
      <c r="AF1188" s="376" t="s">
        <v>245</v>
      </c>
      <c r="AG1188" s="376" t="s">
        <v>178</v>
      </c>
      <c r="AH1188" s="381">
        <v>33.409999999999997</v>
      </c>
      <c r="AI1188" s="381">
        <v>56506.7</v>
      </c>
      <c r="AJ1188" s="376" t="s">
        <v>179</v>
      </c>
      <c r="AK1188" s="376" t="s">
        <v>180</v>
      </c>
      <c r="AL1188" s="376" t="s">
        <v>181</v>
      </c>
      <c r="AM1188" s="376" t="s">
        <v>182</v>
      </c>
      <c r="AN1188" s="376" t="s">
        <v>68</v>
      </c>
      <c r="AO1188" s="379">
        <v>80</v>
      </c>
      <c r="AP1188" s="385">
        <v>1</v>
      </c>
      <c r="AQ1188" s="385">
        <v>1</v>
      </c>
      <c r="AR1188" s="383" t="s">
        <v>183</v>
      </c>
      <c r="AS1188" s="387">
        <f t="shared" si="819"/>
        <v>1</v>
      </c>
      <c r="AT1188">
        <f t="shared" si="820"/>
        <v>1</v>
      </c>
      <c r="AU1188" s="387">
        <f>IF(AT1188=0,"",IF(AND(AT1188=1,M1188="F",SUMIF(C2:C1334,C1188,AS2:AS1334)&lt;=1),SUMIF(C2:C1334,C1188,AS2:AS1334),IF(AND(AT1188=1,M1188="F",SUMIF(C2:C1334,C1188,AS2:AS1334)&gt;1),1,"")))</f>
        <v>1</v>
      </c>
      <c r="AV1188" s="387" t="str">
        <f>IF(AT1188=0,"",IF(AND(AT1188=3,M1188="F",SUMIF(C2:C1334,C1188,AS2:AS1334)&lt;=1),SUMIF(C2:C1334,C1188,AS2:AS1334),IF(AND(AT1188=3,M1188="F",SUMIF(C2:C1334,C1188,AS2:AS1334)&gt;1),1,"")))</f>
        <v/>
      </c>
      <c r="AW1188" s="387">
        <f>SUMIF(C2:C1334,C1188,O2:O1334)</f>
        <v>2</v>
      </c>
      <c r="AX1188" s="387">
        <f>IF(AND(M1188="F",AS1188&lt;&gt;0),SUMIF(C2:C1334,C1188,W2:W1334),0)</f>
        <v>69492.800000000003</v>
      </c>
      <c r="AY1188" s="387">
        <f t="shared" si="821"/>
        <v>69492.800000000003</v>
      </c>
      <c r="AZ1188" s="387" t="str">
        <f t="shared" si="822"/>
        <v/>
      </c>
      <c r="BA1188" s="387">
        <f t="shared" si="823"/>
        <v>0</v>
      </c>
      <c r="BB1188" s="387">
        <f t="shared" si="792"/>
        <v>11650</v>
      </c>
      <c r="BC1188" s="387">
        <f t="shared" si="793"/>
        <v>0</v>
      </c>
      <c r="BD1188" s="387">
        <f t="shared" si="794"/>
        <v>4308.5536000000002</v>
      </c>
      <c r="BE1188" s="387">
        <f t="shared" si="795"/>
        <v>1007.6456000000001</v>
      </c>
      <c r="BF1188" s="387">
        <f t="shared" si="796"/>
        <v>8297.4403200000015</v>
      </c>
      <c r="BG1188" s="387">
        <f t="shared" si="797"/>
        <v>501.04308800000001</v>
      </c>
      <c r="BH1188" s="387">
        <f t="shared" si="798"/>
        <v>340.51472000000001</v>
      </c>
      <c r="BI1188" s="387">
        <f t="shared" si="799"/>
        <v>384.64264800000001</v>
      </c>
      <c r="BJ1188" s="387">
        <f t="shared" si="800"/>
        <v>187.63056000000003</v>
      </c>
      <c r="BK1188" s="387">
        <f t="shared" si="801"/>
        <v>0</v>
      </c>
      <c r="BL1188" s="387">
        <f t="shared" si="824"/>
        <v>15027.470535999999</v>
      </c>
      <c r="BM1188" s="387">
        <f t="shared" si="825"/>
        <v>0</v>
      </c>
      <c r="BN1188" s="387">
        <f t="shared" si="802"/>
        <v>11650</v>
      </c>
      <c r="BO1188" s="387">
        <f t="shared" si="803"/>
        <v>0</v>
      </c>
      <c r="BP1188" s="387">
        <f t="shared" si="804"/>
        <v>4308.5536000000002</v>
      </c>
      <c r="BQ1188" s="387">
        <f t="shared" si="805"/>
        <v>1007.6456000000001</v>
      </c>
      <c r="BR1188" s="387">
        <f t="shared" si="806"/>
        <v>8297.4403200000015</v>
      </c>
      <c r="BS1188" s="387">
        <f t="shared" si="807"/>
        <v>501.04308800000001</v>
      </c>
      <c r="BT1188" s="387">
        <f t="shared" si="808"/>
        <v>0</v>
      </c>
      <c r="BU1188" s="387">
        <f t="shared" si="809"/>
        <v>384.64264800000001</v>
      </c>
      <c r="BV1188" s="387">
        <f t="shared" si="810"/>
        <v>236.27552</v>
      </c>
      <c r="BW1188" s="387">
        <f t="shared" si="811"/>
        <v>0</v>
      </c>
      <c r="BX1188" s="387">
        <f t="shared" si="826"/>
        <v>14735.600775999999</v>
      </c>
      <c r="BY1188" s="387">
        <f t="shared" si="827"/>
        <v>0</v>
      </c>
      <c r="BZ1188" s="387">
        <f t="shared" si="828"/>
        <v>0</v>
      </c>
      <c r="CA1188" s="387">
        <f t="shared" si="829"/>
        <v>0</v>
      </c>
      <c r="CB1188" s="387">
        <f t="shared" si="830"/>
        <v>0</v>
      </c>
      <c r="CC1188" s="387">
        <f t="shared" si="812"/>
        <v>0</v>
      </c>
      <c r="CD1188" s="387">
        <f t="shared" si="813"/>
        <v>0</v>
      </c>
      <c r="CE1188" s="387">
        <f t="shared" si="814"/>
        <v>0</v>
      </c>
      <c r="CF1188" s="387">
        <f t="shared" si="815"/>
        <v>-340.51472000000001</v>
      </c>
      <c r="CG1188" s="387">
        <f t="shared" si="816"/>
        <v>0</v>
      </c>
      <c r="CH1188" s="387">
        <f t="shared" si="817"/>
        <v>48.644959999999976</v>
      </c>
      <c r="CI1188" s="387">
        <f t="shared" si="818"/>
        <v>0</v>
      </c>
      <c r="CJ1188" s="387">
        <f t="shared" si="831"/>
        <v>-291.86976000000004</v>
      </c>
      <c r="CK1188" s="387" t="str">
        <f t="shared" si="832"/>
        <v/>
      </c>
      <c r="CL1188" s="387" t="str">
        <f t="shared" si="833"/>
        <v/>
      </c>
      <c r="CM1188" s="387" t="str">
        <f t="shared" si="834"/>
        <v/>
      </c>
      <c r="CN1188" s="387" t="str">
        <f t="shared" si="835"/>
        <v>0348-31</v>
      </c>
    </row>
    <row r="1189" spans="1:92" ht="15.75" thickBot="1" x14ac:dyDescent="0.3">
      <c r="A1189" s="376" t="s">
        <v>161</v>
      </c>
      <c r="B1189" s="376" t="s">
        <v>162</v>
      </c>
      <c r="C1189" s="376" t="s">
        <v>2409</v>
      </c>
      <c r="D1189" s="376" t="s">
        <v>823</v>
      </c>
      <c r="E1189" s="376" t="s">
        <v>224</v>
      </c>
      <c r="F1189" s="382" t="s">
        <v>225</v>
      </c>
      <c r="G1189" s="376" t="s">
        <v>1945</v>
      </c>
      <c r="H1189" s="378"/>
      <c r="I1189" s="378"/>
      <c r="J1189" s="376" t="s">
        <v>215</v>
      </c>
      <c r="K1189" s="376" t="s">
        <v>824</v>
      </c>
      <c r="L1189" s="376" t="s">
        <v>166</v>
      </c>
      <c r="M1189" s="376" t="s">
        <v>272</v>
      </c>
      <c r="N1189" s="376" t="s">
        <v>780</v>
      </c>
      <c r="O1189" s="379">
        <v>0</v>
      </c>
      <c r="P1189" s="385">
        <v>1</v>
      </c>
      <c r="Q1189" s="385">
        <v>0</v>
      </c>
      <c r="R1189" s="380">
        <v>0</v>
      </c>
      <c r="S1189" s="385">
        <v>0</v>
      </c>
      <c r="T1189" s="380">
        <v>0</v>
      </c>
      <c r="U1189" s="380">
        <v>0</v>
      </c>
      <c r="V1189" s="380">
        <v>0</v>
      </c>
      <c r="W1189" s="380">
        <v>0</v>
      </c>
      <c r="X1189" s="380">
        <v>0</v>
      </c>
      <c r="Y1189" s="380">
        <v>0</v>
      </c>
      <c r="Z1189" s="380">
        <v>0</v>
      </c>
      <c r="AA1189" s="378"/>
      <c r="AB1189" s="376" t="s">
        <v>45</v>
      </c>
      <c r="AC1189" s="376" t="s">
        <v>45</v>
      </c>
      <c r="AD1189" s="378"/>
      <c r="AE1189" s="378"/>
      <c r="AF1189" s="378"/>
      <c r="AG1189" s="378"/>
      <c r="AH1189" s="379">
        <v>0</v>
      </c>
      <c r="AI1189" s="379">
        <v>0</v>
      </c>
      <c r="AJ1189" s="378"/>
      <c r="AK1189" s="378"/>
      <c r="AL1189" s="376" t="s">
        <v>181</v>
      </c>
      <c r="AM1189" s="378"/>
      <c r="AN1189" s="378"/>
      <c r="AO1189" s="379">
        <v>0</v>
      </c>
      <c r="AP1189" s="385">
        <v>0</v>
      </c>
      <c r="AQ1189" s="385">
        <v>0</v>
      </c>
      <c r="AR1189" s="384"/>
      <c r="AS1189" s="387">
        <f t="shared" si="819"/>
        <v>0</v>
      </c>
      <c r="AT1189">
        <f t="shared" si="820"/>
        <v>0</v>
      </c>
      <c r="AU1189" s="387" t="str">
        <f>IF(AT1189=0,"",IF(AND(AT1189=1,M1189="F",SUMIF(C2:C1334,C1189,AS2:AS1334)&lt;=1),SUMIF(C2:C1334,C1189,AS2:AS1334),IF(AND(AT1189=1,M1189="F",SUMIF(C2:C1334,C1189,AS2:AS1334)&gt;1),1,"")))</f>
        <v/>
      </c>
      <c r="AV1189" s="387" t="str">
        <f>IF(AT1189=0,"",IF(AND(AT1189=3,M1189="F",SUMIF(C2:C1334,C1189,AS2:AS1334)&lt;=1),SUMIF(C2:C1334,C1189,AS2:AS1334),IF(AND(AT1189=3,M1189="F",SUMIF(C2:C1334,C1189,AS2:AS1334)&gt;1),1,"")))</f>
        <v/>
      </c>
      <c r="AW1189" s="387">
        <f>SUMIF(C2:C1334,C1189,O2:O1334)</f>
        <v>0</v>
      </c>
      <c r="AX1189" s="387">
        <f>IF(AND(M1189="F",AS1189&lt;&gt;0),SUMIF(C2:C1334,C1189,W2:W1334),0)</f>
        <v>0</v>
      </c>
      <c r="AY1189" s="387" t="str">
        <f t="shared" si="821"/>
        <v/>
      </c>
      <c r="AZ1189" s="387" t="str">
        <f t="shared" si="822"/>
        <v/>
      </c>
      <c r="BA1189" s="387">
        <f t="shared" si="823"/>
        <v>0</v>
      </c>
      <c r="BB1189" s="387">
        <f t="shared" si="792"/>
        <v>0</v>
      </c>
      <c r="BC1189" s="387">
        <f t="shared" si="793"/>
        <v>0</v>
      </c>
      <c r="BD1189" s="387">
        <f t="shared" si="794"/>
        <v>0</v>
      </c>
      <c r="BE1189" s="387">
        <f t="shared" si="795"/>
        <v>0</v>
      </c>
      <c r="BF1189" s="387">
        <f t="shared" si="796"/>
        <v>0</v>
      </c>
      <c r="BG1189" s="387">
        <f t="shared" si="797"/>
        <v>0</v>
      </c>
      <c r="BH1189" s="387">
        <f t="shared" si="798"/>
        <v>0</v>
      </c>
      <c r="BI1189" s="387">
        <f t="shared" si="799"/>
        <v>0</v>
      </c>
      <c r="BJ1189" s="387">
        <f t="shared" si="800"/>
        <v>0</v>
      </c>
      <c r="BK1189" s="387">
        <f t="shared" si="801"/>
        <v>0</v>
      </c>
      <c r="BL1189" s="387">
        <f t="shared" si="824"/>
        <v>0</v>
      </c>
      <c r="BM1189" s="387">
        <f t="shared" si="825"/>
        <v>0</v>
      </c>
      <c r="BN1189" s="387">
        <f t="shared" si="802"/>
        <v>0</v>
      </c>
      <c r="BO1189" s="387">
        <f t="shared" si="803"/>
        <v>0</v>
      </c>
      <c r="BP1189" s="387">
        <f t="shared" si="804"/>
        <v>0</v>
      </c>
      <c r="BQ1189" s="387">
        <f t="shared" si="805"/>
        <v>0</v>
      </c>
      <c r="BR1189" s="387">
        <f t="shared" si="806"/>
        <v>0</v>
      </c>
      <c r="BS1189" s="387">
        <f t="shared" si="807"/>
        <v>0</v>
      </c>
      <c r="BT1189" s="387">
        <f t="shared" si="808"/>
        <v>0</v>
      </c>
      <c r="BU1189" s="387">
        <f t="shared" si="809"/>
        <v>0</v>
      </c>
      <c r="BV1189" s="387">
        <f t="shared" si="810"/>
        <v>0</v>
      </c>
      <c r="BW1189" s="387">
        <f t="shared" si="811"/>
        <v>0</v>
      </c>
      <c r="BX1189" s="387">
        <f t="shared" si="826"/>
        <v>0</v>
      </c>
      <c r="BY1189" s="387">
        <f t="shared" si="827"/>
        <v>0</v>
      </c>
      <c r="BZ1189" s="387">
        <f t="shared" si="828"/>
        <v>0</v>
      </c>
      <c r="CA1189" s="387">
        <f t="shared" si="829"/>
        <v>0</v>
      </c>
      <c r="CB1189" s="387">
        <f t="shared" si="830"/>
        <v>0</v>
      </c>
      <c r="CC1189" s="387">
        <f t="shared" si="812"/>
        <v>0</v>
      </c>
      <c r="CD1189" s="387">
        <f t="shared" si="813"/>
        <v>0</v>
      </c>
      <c r="CE1189" s="387">
        <f t="shared" si="814"/>
        <v>0</v>
      </c>
      <c r="CF1189" s="387">
        <f t="shared" si="815"/>
        <v>0</v>
      </c>
      <c r="CG1189" s="387">
        <f t="shared" si="816"/>
        <v>0</v>
      </c>
      <c r="CH1189" s="387">
        <f t="shared" si="817"/>
        <v>0</v>
      </c>
      <c r="CI1189" s="387">
        <f t="shared" si="818"/>
        <v>0</v>
      </c>
      <c r="CJ1189" s="387">
        <f t="shared" si="831"/>
        <v>0</v>
      </c>
      <c r="CK1189" s="387" t="str">
        <f t="shared" si="832"/>
        <v/>
      </c>
      <c r="CL1189" s="387">
        <f t="shared" si="833"/>
        <v>0</v>
      </c>
      <c r="CM1189" s="387">
        <f t="shared" si="834"/>
        <v>0</v>
      </c>
      <c r="CN1189" s="387" t="str">
        <f t="shared" si="835"/>
        <v>0348-31</v>
      </c>
    </row>
    <row r="1190" spans="1:92" ht="15.75" thickBot="1" x14ac:dyDescent="0.3">
      <c r="A1190" s="376" t="s">
        <v>161</v>
      </c>
      <c r="B1190" s="376" t="s">
        <v>162</v>
      </c>
      <c r="C1190" s="376" t="s">
        <v>2410</v>
      </c>
      <c r="D1190" s="376" t="s">
        <v>974</v>
      </c>
      <c r="E1190" s="376" t="s">
        <v>224</v>
      </c>
      <c r="F1190" s="382" t="s">
        <v>225</v>
      </c>
      <c r="G1190" s="376" t="s">
        <v>1945</v>
      </c>
      <c r="H1190" s="378"/>
      <c r="I1190" s="378"/>
      <c r="J1190" s="376" t="s">
        <v>215</v>
      </c>
      <c r="K1190" s="376" t="s">
        <v>975</v>
      </c>
      <c r="L1190" s="376" t="s">
        <v>296</v>
      </c>
      <c r="M1190" s="376" t="s">
        <v>272</v>
      </c>
      <c r="N1190" s="376" t="s">
        <v>172</v>
      </c>
      <c r="O1190" s="379">
        <v>0</v>
      </c>
      <c r="P1190" s="385">
        <v>1</v>
      </c>
      <c r="Q1190" s="385">
        <v>1</v>
      </c>
      <c r="R1190" s="380">
        <v>80</v>
      </c>
      <c r="S1190" s="385">
        <v>1</v>
      </c>
      <c r="T1190" s="380">
        <v>21761.62</v>
      </c>
      <c r="U1190" s="380">
        <v>699.48</v>
      </c>
      <c r="V1190" s="380">
        <v>11008.59</v>
      </c>
      <c r="W1190" s="380">
        <v>47403.199999999997</v>
      </c>
      <c r="X1190" s="380">
        <v>20762.599999999999</v>
      </c>
      <c r="Y1190" s="380">
        <v>47403.199999999997</v>
      </c>
      <c r="Z1190" s="380">
        <v>20525.580000000002</v>
      </c>
      <c r="AA1190" s="378"/>
      <c r="AB1190" s="376" t="s">
        <v>45</v>
      </c>
      <c r="AC1190" s="376" t="s">
        <v>45</v>
      </c>
      <c r="AD1190" s="378"/>
      <c r="AE1190" s="378"/>
      <c r="AF1190" s="378"/>
      <c r="AG1190" s="378"/>
      <c r="AH1190" s="379">
        <v>0</v>
      </c>
      <c r="AI1190" s="379">
        <v>0</v>
      </c>
      <c r="AJ1190" s="378"/>
      <c r="AK1190" s="378"/>
      <c r="AL1190" s="376" t="s">
        <v>181</v>
      </c>
      <c r="AM1190" s="378"/>
      <c r="AN1190" s="378"/>
      <c r="AO1190" s="379">
        <v>0</v>
      </c>
      <c r="AP1190" s="385">
        <v>0</v>
      </c>
      <c r="AQ1190" s="385">
        <v>0</v>
      </c>
      <c r="AR1190" s="384"/>
      <c r="AS1190" s="387">
        <f t="shared" si="819"/>
        <v>0</v>
      </c>
      <c r="AT1190">
        <f t="shared" si="820"/>
        <v>0</v>
      </c>
      <c r="AU1190" s="387" t="str">
        <f>IF(AT1190=0,"",IF(AND(AT1190=1,M1190="F",SUMIF(C2:C1334,C1190,AS2:AS1334)&lt;=1),SUMIF(C2:C1334,C1190,AS2:AS1334),IF(AND(AT1190=1,M1190="F",SUMIF(C2:C1334,C1190,AS2:AS1334)&gt;1),1,"")))</f>
        <v/>
      </c>
      <c r="AV1190" s="387" t="str">
        <f>IF(AT1190=0,"",IF(AND(AT1190=3,M1190="F",SUMIF(C2:C1334,C1190,AS2:AS1334)&lt;=1),SUMIF(C2:C1334,C1190,AS2:AS1334),IF(AND(AT1190=3,M1190="F",SUMIF(C2:C1334,C1190,AS2:AS1334)&gt;1),1,"")))</f>
        <v/>
      </c>
      <c r="AW1190" s="387">
        <f>SUMIF(C2:C1334,C1190,O2:O1334)</f>
        <v>0</v>
      </c>
      <c r="AX1190" s="387">
        <f>IF(AND(M1190="F",AS1190&lt;&gt;0),SUMIF(C2:C1334,C1190,W2:W1334),0)</f>
        <v>0</v>
      </c>
      <c r="AY1190" s="387" t="str">
        <f t="shared" si="821"/>
        <v/>
      </c>
      <c r="AZ1190" s="387" t="str">
        <f t="shared" si="822"/>
        <v/>
      </c>
      <c r="BA1190" s="387">
        <f t="shared" si="823"/>
        <v>0</v>
      </c>
      <c r="BB1190" s="387">
        <f t="shared" si="792"/>
        <v>0</v>
      </c>
      <c r="BC1190" s="387">
        <f t="shared" si="793"/>
        <v>0</v>
      </c>
      <c r="BD1190" s="387">
        <f t="shared" si="794"/>
        <v>0</v>
      </c>
      <c r="BE1190" s="387">
        <f t="shared" si="795"/>
        <v>0</v>
      </c>
      <c r="BF1190" s="387">
        <f t="shared" si="796"/>
        <v>0</v>
      </c>
      <c r="BG1190" s="387">
        <f t="shared" si="797"/>
        <v>0</v>
      </c>
      <c r="BH1190" s="387">
        <f t="shared" si="798"/>
        <v>0</v>
      </c>
      <c r="BI1190" s="387">
        <f t="shared" si="799"/>
        <v>0</v>
      </c>
      <c r="BJ1190" s="387">
        <f t="shared" si="800"/>
        <v>0</v>
      </c>
      <c r="BK1190" s="387">
        <f t="shared" si="801"/>
        <v>0</v>
      </c>
      <c r="BL1190" s="387">
        <f t="shared" si="824"/>
        <v>0</v>
      </c>
      <c r="BM1190" s="387">
        <f t="shared" si="825"/>
        <v>0</v>
      </c>
      <c r="BN1190" s="387">
        <f t="shared" si="802"/>
        <v>0</v>
      </c>
      <c r="BO1190" s="387">
        <f t="shared" si="803"/>
        <v>0</v>
      </c>
      <c r="BP1190" s="387">
        <f t="shared" si="804"/>
        <v>0</v>
      </c>
      <c r="BQ1190" s="387">
        <f t="shared" si="805"/>
        <v>0</v>
      </c>
      <c r="BR1190" s="387">
        <f t="shared" si="806"/>
        <v>0</v>
      </c>
      <c r="BS1190" s="387">
        <f t="shared" si="807"/>
        <v>0</v>
      </c>
      <c r="BT1190" s="387">
        <f t="shared" si="808"/>
        <v>0</v>
      </c>
      <c r="BU1190" s="387">
        <f t="shared" si="809"/>
        <v>0</v>
      </c>
      <c r="BV1190" s="387">
        <f t="shared" si="810"/>
        <v>0</v>
      </c>
      <c r="BW1190" s="387">
        <f t="shared" si="811"/>
        <v>0</v>
      </c>
      <c r="BX1190" s="387">
        <f t="shared" si="826"/>
        <v>0</v>
      </c>
      <c r="BY1190" s="387">
        <f t="shared" si="827"/>
        <v>0</v>
      </c>
      <c r="BZ1190" s="387">
        <f t="shared" si="828"/>
        <v>0</v>
      </c>
      <c r="CA1190" s="387">
        <f t="shared" si="829"/>
        <v>0</v>
      </c>
      <c r="CB1190" s="387">
        <f t="shared" si="830"/>
        <v>0</v>
      </c>
      <c r="CC1190" s="387">
        <f t="shared" si="812"/>
        <v>0</v>
      </c>
      <c r="CD1190" s="387">
        <f t="shared" si="813"/>
        <v>0</v>
      </c>
      <c r="CE1190" s="387">
        <f t="shared" si="814"/>
        <v>0</v>
      </c>
      <c r="CF1190" s="387">
        <f t="shared" si="815"/>
        <v>0</v>
      </c>
      <c r="CG1190" s="387">
        <f t="shared" si="816"/>
        <v>0</v>
      </c>
      <c r="CH1190" s="387">
        <f t="shared" si="817"/>
        <v>0</v>
      </c>
      <c r="CI1190" s="387">
        <f t="shared" si="818"/>
        <v>0</v>
      </c>
      <c r="CJ1190" s="387">
        <f t="shared" si="831"/>
        <v>0</v>
      </c>
      <c r="CK1190" s="387" t="str">
        <f t="shared" si="832"/>
        <v/>
      </c>
      <c r="CL1190" s="387" t="str">
        <f t="shared" si="833"/>
        <v/>
      </c>
      <c r="CM1190" s="387" t="str">
        <f t="shared" si="834"/>
        <v/>
      </c>
      <c r="CN1190" s="387" t="str">
        <f t="shared" si="835"/>
        <v>0348-31</v>
      </c>
    </row>
    <row r="1191" spans="1:92" ht="15.75" thickBot="1" x14ac:dyDescent="0.3">
      <c r="A1191" s="376" t="s">
        <v>161</v>
      </c>
      <c r="B1191" s="376" t="s">
        <v>162</v>
      </c>
      <c r="C1191" s="376" t="s">
        <v>2411</v>
      </c>
      <c r="D1191" s="376" t="s">
        <v>2173</v>
      </c>
      <c r="E1191" s="376" t="s">
        <v>224</v>
      </c>
      <c r="F1191" s="382" t="s">
        <v>225</v>
      </c>
      <c r="G1191" s="376" t="s">
        <v>1945</v>
      </c>
      <c r="H1191" s="378"/>
      <c r="I1191" s="378"/>
      <c r="J1191" s="376" t="s">
        <v>215</v>
      </c>
      <c r="K1191" s="376" t="s">
        <v>2174</v>
      </c>
      <c r="L1191" s="376" t="s">
        <v>296</v>
      </c>
      <c r="M1191" s="376" t="s">
        <v>171</v>
      </c>
      <c r="N1191" s="376" t="s">
        <v>172</v>
      </c>
      <c r="O1191" s="379">
        <v>1</v>
      </c>
      <c r="P1191" s="385">
        <v>1</v>
      </c>
      <c r="Q1191" s="385">
        <v>1</v>
      </c>
      <c r="R1191" s="380">
        <v>80</v>
      </c>
      <c r="S1191" s="385">
        <v>1</v>
      </c>
      <c r="T1191" s="380">
        <v>52162.26</v>
      </c>
      <c r="U1191" s="380">
        <v>790.55</v>
      </c>
      <c r="V1191" s="380">
        <v>22594.5</v>
      </c>
      <c r="W1191" s="380">
        <v>59966.400000000001</v>
      </c>
      <c r="X1191" s="380">
        <v>24617.69</v>
      </c>
      <c r="Y1191" s="380">
        <v>59966.400000000001</v>
      </c>
      <c r="Z1191" s="380">
        <v>24365.84</v>
      </c>
      <c r="AA1191" s="376" t="s">
        <v>2412</v>
      </c>
      <c r="AB1191" s="376" t="s">
        <v>2413</v>
      </c>
      <c r="AC1191" s="376" t="s">
        <v>2059</v>
      </c>
      <c r="AD1191" s="376" t="s">
        <v>534</v>
      </c>
      <c r="AE1191" s="376" t="s">
        <v>2174</v>
      </c>
      <c r="AF1191" s="376" t="s">
        <v>301</v>
      </c>
      <c r="AG1191" s="376" t="s">
        <v>178</v>
      </c>
      <c r="AH1191" s="381">
        <v>28.83</v>
      </c>
      <c r="AI1191" s="379">
        <v>49068</v>
      </c>
      <c r="AJ1191" s="376" t="s">
        <v>179</v>
      </c>
      <c r="AK1191" s="376" t="s">
        <v>180</v>
      </c>
      <c r="AL1191" s="376" t="s">
        <v>181</v>
      </c>
      <c r="AM1191" s="376" t="s">
        <v>182</v>
      </c>
      <c r="AN1191" s="376" t="s">
        <v>68</v>
      </c>
      <c r="AO1191" s="379">
        <v>80</v>
      </c>
      <c r="AP1191" s="385">
        <v>1</v>
      </c>
      <c r="AQ1191" s="385">
        <v>1</v>
      </c>
      <c r="AR1191" s="383" t="s">
        <v>183</v>
      </c>
      <c r="AS1191" s="387">
        <f t="shared" si="819"/>
        <v>1</v>
      </c>
      <c r="AT1191">
        <f t="shared" si="820"/>
        <v>1</v>
      </c>
      <c r="AU1191" s="387">
        <f>IF(AT1191=0,"",IF(AND(AT1191=1,M1191="F",SUMIF(C2:C1334,C1191,AS2:AS1334)&lt;=1),SUMIF(C2:C1334,C1191,AS2:AS1334),IF(AND(AT1191=1,M1191="F",SUMIF(C2:C1334,C1191,AS2:AS1334)&gt;1),1,"")))</f>
        <v>1</v>
      </c>
      <c r="AV1191" s="387" t="str">
        <f>IF(AT1191=0,"",IF(AND(AT1191=3,M1191="F",SUMIF(C2:C1334,C1191,AS2:AS1334)&lt;=1),SUMIF(C2:C1334,C1191,AS2:AS1334),IF(AND(AT1191=3,M1191="F",SUMIF(C2:C1334,C1191,AS2:AS1334)&gt;1),1,"")))</f>
        <v/>
      </c>
      <c r="AW1191" s="387">
        <f>SUMIF(C2:C1334,C1191,O2:O1334)</f>
        <v>1</v>
      </c>
      <c r="AX1191" s="387">
        <f>IF(AND(M1191="F",AS1191&lt;&gt;0),SUMIF(C2:C1334,C1191,W2:W1334),0)</f>
        <v>59966.400000000001</v>
      </c>
      <c r="AY1191" s="387">
        <f t="shared" si="821"/>
        <v>59966.400000000001</v>
      </c>
      <c r="AZ1191" s="387" t="str">
        <f t="shared" si="822"/>
        <v/>
      </c>
      <c r="BA1191" s="387">
        <f t="shared" si="823"/>
        <v>0</v>
      </c>
      <c r="BB1191" s="387">
        <f t="shared" si="792"/>
        <v>11650</v>
      </c>
      <c r="BC1191" s="387">
        <f t="shared" si="793"/>
        <v>0</v>
      </c>
      <c r="BD1191" s="387">
        <f t="shared" si="794"/>
        <v>3717.9168</v>
      </c>
      <c r="BE1191" s="387">
        <f t="shared" si="795"/>
        <v>869.51280000000008</v>
      </c>
      <c r="BF1191" s="387">
        <f t="shared" si="796"/>
        <v>7159.9881600000008</v>
      </c>
      <c r="BG1191" s="387">
        <f t="shared" si="797"/>
        <v>432.35774400000003</v>
      </c>
      <c r="BH1191" s="387">
        <f t="shared" si="798"/>
        <v>293.83535999999998</v>
      </c>
      <c r="BI1191" s="387">
        <f t="shared" si="799"/>
        <v>331.91402399999998</v>
      </c>
      <c r="BJ1191" s="387">
        <f t="shared" si="800"/>
        <v>161.90928000000002</v>
      </c>
      <c r="BK1191" s="387">
        <f t="shared" si="801"/>
        <v>0</v>
      </c>
      <c r="BL1191" s="387">
        <f t="shared" si="824"/>
        <v>12967.434168</v>
      </c>
      <c r="BM1191" s="387">
        <f t="shared" si="825"/>
        <v>0</v>
      </c>
      <c r="BN1191" s="387">
        <f t="shared" si="802"/>
        <v>11650</v>
      </c>
      <c r="BO1191" s="387">
        <f t="shared" si="803"/>
        <v>0</v>
      </c>
      <c r="BP1191" s="387">
        <f t="shared" si="804"/>
        <v>3717.9168</v>
      </c>
      <c r="BQ1191" s="387">
        <f t="shared" si="805"/>
        <v>869.51280000000008</v>
      </c>
      <c r="BR1191" s="387">
        <f t="shared" si="806"/>
        <v>7159.9881600000008</v>
      </c>
      <c r="BS1191" s="387">
        <f t="shared" si="807"/>
        <v>432.35774400000003</v>
      </c>
      <c r="BT1191" s="387">
        <f t="shared" si="808"/>
        <v>0</v>
      </c>
      <c r="BU1191" s="387">
        <f t="shared" si="809"/>
        <v>331.91402399999998</v>
      </c>
      <c r="BV1191" s="387">
        <f t="shared" si="810"/>
        <v>203.88576</v>
      </c>
      <c r="BW1191" s="387">
        <f t="shared" si="811"/>
        <v>0</v>
      </c>
      <c r="BX1191" s="387">
        <f t="shared" si="826"/>
        <v>12715.575288</v>
      </c>
      <c r="BY1191" s="387">
        <f t="shared" si="827"/>
        <v>0</v>
      </c>
      <c r="BZ1191" s="387">
        <f t="shared" si="828"/>
        <v>0</v>
      </c>
      <c r="CA1191" s="387">
        <f t="shared" si="829"/>
        <v>0</v>
      </c>
      <c r="CB1191" s="387">
        <f t="shared" si="830"/>
        <v>0</v>
      </c>
      <c r="CC1191" s="387">
        <f t="shared" si="812"/>
        <v>0</v>
      </c>
      <c r="CD1191" s="387">
        <f t="shared" si="813"/>
        <v>0</v>
      </c>
      <c r="CE1191" s="387">
        <f t="shared" si="814"/>
        <v>0</v>
      </c>
      <c r="CF1191" s="387">
        <f t="shared" si="815"/>
        <v>-293.83535999999998</v>
      </c>
      <c r="CG1191" s="387">
        <f t="shared" si="816"/>
        <v>0</v>
      </c>
      <c r="CH1191" s="387">
        <f t="shared" si="817"/>
        <v>41.976479999999981</v>
      </c>
      <c r="CI1191" s="387">
        <f t="shared" si="818"/>
        <v>0</v>
      </c>
      <c r="CJ1191" s="387">
        <f t="shared" si="831"/>
        <v>-251.85888</v>
      </c>
      <c r="CK1191" s="387" t="str">
        <f t="shared" si="832"/>
        <v/>
      </c>
      <c r="CL1191" s="387" t="str">
        <f t="shared" si="833"/>
        <v/>
      </c>
      <c r="CM1191" s="387" t="str">
        <f t="shared" si="834"/>
        <v/>
      </c>
      <c r="CN1191" s="387" t="str">
        <f t="shared" si="835"/>
        <v>0348-31</v>
      </c>
    </row>
    <row r="1192" spans="1:92" ht="15.75" thickBot="1" x14ac:dyDescent="0.3">
      <c r="A1192" s="376" t="s">
        <v>161</v>
      </c>
      <c r="B1192" s="376" t="s">
        <v>162</v>
      </c>
      <c r="C1192" s="376" t="s">
        <v>2414</v>
      </c>
      <c r="D1192" s="376" t="s">
        <v>974</v>
      </c>
      <c r="E1192" s="376" t="s">
        <v>224</v>
      </c>
      <c r="F1192" s="382" t="s">
        <v>225</v>
      </c>
      <c r="G1192" s="376" t="s">
        <v>1945</v>
      </c>
      <c r="H1192" s="378"/>
      <c r="I1192" s="378"/>
      <c r="J1192" s="376" t="s">
        <v>215</v>
      </c>
      <c r="K1192" s="376" t="s">
        <v>975</v>
      </c>
      <c r="L1192" s="376" t="s">
        <v>296</v>
      </c>
      <c r="M1192" s="376" t="s">
        <v>171</v>
      </c>
      <c r="N1192" s="376" t="s">
        <v>172</v>
      </c>
      <c r="O1192" s="379">
        <v>1</v>
      </c>
      <c r="P1192" s="385">
        <v>1</v>
      </c>
      <c r="Q1192" s="385">
        <v>1</v>
      </c>
      <c r="R1192" s="380">
        <v>80</v>
      </c>
      <c r="S1192" s="385">
        <v>1</v>
      </c>
      <c r="T1192" s="380">
        <v>34663.21</v>
      </c>
      <c r="U1192" s="380">
        <v>16.34</v>
      </c>
      <c r="V1192" s="380">
        <v>16423.5</v>
      </c>
      <c r="W1192" s="380">
        <v>45448</v>
      </c>
      <c r="X1192" s="380">
        <v>21478.1</v>
      </c>
      <c r="Y1192" s="380">
        <v>45448</v>
      </c>
      <c r="Z1192" s="380">
        <v>21287.23</v>
      </c>
      <c r="AA1192" s="376" t="s">
        <v>2415</v>
      </c>
      <c r="AB1192" s="376" t="s">
        <v>2416</v>
      </c>
      <c r="AC1192" s="376" t="s">
        <v>2417</v>
      </c>
      <c r="AD1192" s="376" t="s">
        <v>324</v>
      </c>
      <c r="AE1192" s="376" t="s">
        <v>975</v>
      </c>
      <c r="AF1192" s="376" t="s">
        <v>301</v>
      </c>
      <c r="AG1192" s="376" t="s">
        <v>178</v>
      </c>
      <c r="AH1192" s="381">
        <v>21.85</v>
      </c>
      <c r="AI1192" s="381">
        <v>5161.6000000000004</v>
      </c>
      <c r="AJ1192" s="376" t="s">
        <v>179</v>
      </c>
      <c r="AK1192" s="376" t="s">
        <v>180</v>
      </c>
      <c r="AL1192" s="376" t="s">
        <v>181</v>
      </c>
      <c r="AM1192" s="376" t="s">
        <v>182</v>
      </c>
      <c r="AN1192" s="376" t="s">
        <v>68</v>
      </c>
      <c r="AO1192" s="379">
        <v>80</v>
      </c>
      <c r="AP1192" s="385">
        <v>1</v>
      </c>
      <c r="AQ1192" s="385">
        <v>1</v>
      </c>
      <c r="AR1192" s="383" t="s">
        <v>183</v>
      </c>
      <c r="AS1192" s="387">
        <f t="shared" si="819"/>
        <v>1</v>
      </c>
      <c r="AT1192">
        <f t="shared" si="820"/>
        <v>1</v>
      </c>
      <c r="AU1192" s="387">
        <f>IF(AT1192=0,"",IF(AND(AT1192=1,M1192="F",SUMIF(C2:C1334,C1192,AS2:AS1334)&lt;=1),SUMIF(C2:C1334,C1192,AS2:AS1334),IF(AND(AT1192=1,M1192="F",SUMIF(C2:C1334,C1192,AS2:AS1334)&gt;1),1,"")))</f>
        <v>1</v>
      </c>
      <c r="AV1192" s="387" t="str">
        <f>IF(AT1192=0,"",IF(AND(AT1192=3,M1192="F",SUMIF(C2:C1334,C1192,AS2:AS1334)&lt;=1),SUMIF(C2:C1334,C1192,AS2:AS1334),IF(AND(AT1192=3,M1192="F",SUMIF(C2:C1334,C1192,AS2:AS1334)&gt;1),1,"")))</f>
        <v/>
      </c>
      <c r="AW1192" s="387">
        <f>SUMIF(C2:C1334,C1192,O2:O1334)</f>
        <v>1</v>
      </c>
      <c r="AX1192" s="387">
        <f>IF(AND(M1192="F",AS1192&lt;&gt;0),SUMIF(C2:C1334,C1192,W2:W1334),0)</f>
        <v>45448</v>
      </c>
      <c r="AY1192" s="387">
        <f t="shared" si="821"/>
        <v>45448</v>
      </c>
      <c r="AZ1192" s="387" t="str">
        <f t="shared" si="822"/>
        <v/>
      </c>
      <c r="BA1192" s="387">
        <f t="shared" si="823"/>
        <v>0</v>
      </c>
      <c r="BB1192" s="387">
        <f t="shared" si="792"/>
        <v>11650</v>
      </c>
      <c r="BC1192" s="387">
        <f t="shared" si="793"/>
        <v>0</v>
      </c>
      <c r="BD1192" s="387">
        <f t="shared" si="794"/>
        <v>2817.7759999999998</v>
      </c>
      <c r="BE1192" s="387">
        <f t="shared" si="795"/>
        <v>658.99599999999998</v>
      </c>
      <c r="BF1192" s="387">
        <f t="shared" si="796"/>
        <v>5426.4912000000004</v>
      </c>
      <c r="BG1192" s="387">
        <f t="shared" si="797"/>
        <v>327.68008000000003</v>
      </c>
      <c r="BH1192" s="387">
        <f t="shared" si="798"/>
        <v>222.6952</v>
      </c>
      <c r="BI1192" s="387">
        <f t="shared" si="799"/>
        <v>251.55467999999999</v>
      </c>
      <c r="BJ1192" s="387">
        <f t="shared" si="800"/>
        <v>122.70960000000001</v>
      </c>
      <c r="BK1192" s="387">
        <f t="shared" si="801"/>
        <v>0</v>
      </c>
      <c r="BL1192" s="387">
        <f t="shared" si="824"/>
        <v>9827.9027600000009</v>
      </c>
      <c r="BM1192" s="387">
        <f t="shared" si="825"/>
        <v>0</v>
      </c>
      <c r="BN1192" s="387">
        <f t="shared" si="802"/>
        <v>11650</v>
      </c>
      <c r="BO1192" s="387">
        <f t="shared" si="803"/>
        <v>0</v>
      </c>
      <c r="BP1192" s="387">
        <f t="shared" si="804"/>
        <v>2817.7759999999998</v>
      </c>
      <c r="BQ1192" s="387">
        <f t="shared" si="805"/>
        <v>658.99599999999998</v>
      </c>
      <c r="BR1192" s="387">
        <f t="shared" si="806"/>
        <v>5426.4912000000004</v>
      </c>
      <c r="BS1192" s="387">
        <f t="shared" si="807"/>
        <v>327.68008000000003</v>
      </c>
      <c r="BT1192" s="387">
        <f t="shared" si="808"/>
        <v>0</v>
      </c>
      <c r="BU1192" s="387">
        <f t="shared" si="809"/>
        <v>251.55467999999999</v>
      </c>
      <c r="BV1192" s="387">
        <f t="shared" si="810"/>
        <v>154.5232</v>
      </c>
      <c r="BW1192" s="387">
        <f t="shared" si="811"/>
        <v>0</v>
      </c>
      <c r="BX1192" s="387">
        <f t="shared" si="826"/>
        <v>9637.0211600000002</v>
      </c>
      <c r="BY1192" s="387">
        <f t="shared" si="827"/>
        <v>0</v>
      </c>
      <c r="BZ1192" s="387">
        <f t="shared" si="828"/>
        <v>0</v>
      </c>
      <c r="CA1192" s="387">
        <f t="shared" si="829"/>
        <v>0</v>
      </c>
      <c r="CB1192" s="387">
        <f t="shared" si="830"/>
        <v>0</v>
      </c>
      <c r="CC1192" s="387">
        <f t="shared" si="812"/>
        <v>0</v>
      </c>
      <c r="CD1192" s="387">
        <f t="shared" si="813"/>
        <v>0</v>
      </c>
      <c r="CE1192" s="387">
        <f t="shared" si="814"/>
        <v>0</v>
      </c>
      <c r="CF1192" s="387">
        <f t="shared" si="815"/>
        <v>-222.6952</v>
      </c>
      <c r="CG1192" s="387">
        <f t="shared" si="816"/>
        <v>0</v>
      </c>
      <c r="CH1192" s="387">
        <f t="shared" si="817"/>
        <v>31.813599999999983</v>
      </c>
      <c r="CI1192" s="387">
        <f t="shared" si="818"/>
        <v>0</v>
      </c>
      <c r="CJ1192" s="387">
        <f t="shared" si="831"/>
        <v>-190.88160000000002</v>
      </c>
      <c r="CK1192" s="387" t="str">
        <f t="shared" si="832"/>
        <v/>
      </c>
      <c r="CL1192" s="387" t="str">
        <f t="shared" si="833"/>
        <v/>
      </c>
      <c r="CM1192" s="387" t="str">
        <f t="shared" si="834"/>
        <v/>
      </c>
      <c r="CN1192" s="387" t="str">
        <f t="shared" si="835"/>
        <v>0348-31</v>
      </c>
    </row>
    <row r="1193" spans="1:92" ht="15.75" thickBot="1" x14ac:dyDescent="0.3">
      <c r="A1193" s="376" t="s">
        <v>161</v>
      </c>
      <c r="B1193" s="376" t="s">
        <v>162</v>
      </c>
      <c r="C1193" s="376" t="s">
        <v>2418</v>
      </c>
      <c r="D1193" s="376" t="s">
        <v>247</v>
      </c>
      <c r="E1193" s="376" t="s">
        <v>224</v>
      </c>
      <c r="F1193" s="382" t="s">
        <v>225</v>
      </c>
      <c r="G1193" s="376" t="s">
        <v>1945</v>
      </c>
      <c r="H1193" s="378"/>
      <c r="I1193" s="378"/>
      <c r="J1193" s="376" t="s">
        <v>215</v>
      </c>
      <c r="K1193" s="376" t="s">
        <v>248</v>
      </c>
      <c r="L1193" s="376" t="s">
        <v>178</v>
      </c>
      <c r="M1193" s="376" t="s">
        <v>171</v>
      </c>
      <c r="N1193" s="376" t="s">
        <v>172</v>
      </c>
      <c r="O1193" s="379">
        <v>1</v>
      </c>
      <c r="P1193" s="385">
        <v>1</v>
      </c>
      <c r="Q1193" s="385">
        <v>1</v>
      </c>
      <c r="R1193" s="380">
        <v>80</v>
      </c>
      <c r="S1193" s="385">
        <v>1</v>
      </c>
      <c r="T1193" s="380">
        <v>0</v>
      </c>
      <c r="U1193" s="380">
        <v>0</v>
      </c>
      <c r="V1193" s="380">
        <v>0</v>
      </c>
      <c r="W1193" s="380">
        <v>31720</v>
      </c>
      <c r="X1193" s="380">
        <v>18509.419999999998</v>
      </c>
      <c r="Y1193" s="380">
        <v>31720</v>
      </c>
      <c r="Z1193" s="380">
        <v>18376.2</v>
      </c>
      <c r="AA1193" s="376" t="s">
        <v>2419</v>
      </c>
      <c r="AB1193" s="376" t="s">
        <v>2420</v>
      </c>
      <c r="AC1193" s="376" t="s">
        <v>2421</v>
      </c>
      <c r="AD1193" s="376" t="s">
        <v>2422</v>
      </c>
      <c r="AE1193" s="376" t="s">
        <v>248</v>
      </c>
      <c r="AF1193" s="376" t="s">
        <v>253</v>
      </c>
      <c r="AG1193" s="376" t="s">
        <v>178</v>
      </c>
      <c r="AH1193" s="381">
        <v>15.25</v>
      </c>
      <c r="AI1193" s="379">
        <v>0</v>
      </c>
      <c r="AJ1193" s="376" t="s">
        <v>179</v>
      </c>
      <c r="AK1193" s="376" t="s">
        <v>180</v>
      </c>
      <c r="AL1193" s="376" t="s">
        <v>181</v>
      </c>
      <c r="AM1193" s="376" t="s">
        <v>182</v>
      </c>
      <c r="AN1193" s="376" t="s">
        <v>68</v>
      </c>
      <c r="AO1193" s="379">
        <v>80</v>
      </c>
      <c r="AP1193" s="385">
        <v>1</v>
      </c>
      <c r="AQ1193" s="385">
        <v>1</v>
      </c>
      <c r="AR1193" s="383" t="s">
        <v>183</v>
      </c>
      <c r="AS1193" s="387">
        <f t="shared" si="819"/>
        <v>1</v>
      </c>
      <c r="AT1193">
        <f t="shared" si="820"/>
        <v>1</v>
      </c>
      <c r="AU1193" s="387">
        <f>IF(AT1193=0,"",IF(AND(AT1193=1,M1193="F",SUMIF(C2:C1334,C1193,AS2:AS1334)&lt;=1),SUMIF(C2:C1334,C1193,AS2:AS1334),IF(AND(AT1193=1,M1193="F",SUMIF(C2:C1334,C1193,AS2:AS1334)&gt;1),1,"")))</f>
        <v>1</v>
      </c>
      <c r="AV1193" s="387" t="str">
        <f>IF(AT1193=0,"",IF(AND(AT1193=3,M1193="F",SUMIF(C2:C1334,C1193,AS2:AS1334)&lt;=1),SUMIF(C2:C1334,C1193,AS2:AS1334),IF(AND(AT1193=3,M1193="F",SUMIF(C2:C1334,C1193,AS2:AS1334)&gt;1),1,"")))</f>
        <v/>
      </c>
      <c r="AW1193" s="387">
        <f>SUMIF(C2:C1334,C1193,O2:O1334)</f>
        <v>1</v>
      </c>
      <c r="AX1193" s="387">
        <f>IF(AND(M1193="F",AS1193&lt;&gt;0),SUMIF(C2:C1334,C1193,W2:W1334),0)</f>
        <v>31720</v>
      </c>
      <c r="AY1193" s="387">
        <f t="shared" si="821"/>
        <v>31720</v>
      </c>
      <c r="AZ1193" s="387" t="str">
        <f t="shared" si="822"/>
        <v/>
      </c>
      <c r="BA1193" s="387">
        <f t="shared" si="823"/>
        <v>0</v>
      </c>
      <c r="BB1193" s="387">
        <f t="shared" si="792"/>
        <v>11650</v>
      </c>
      <c r="BC1193" s="387">
        <f t="shared" si="793"/>
        <v>0</v>
      </c>
      <c r="BD1193" s="387">
        <f t="shared" si="794"/>
        <v>1966.6399999999999</v>
      </c>
      <c r="BE1193" s="387">
        <f t="shared" si="795"/>
        <v>459.94</v>
      </c>
      <c r="BF1193" s="387">
        <f t="shared" si="796"/>
        <v>3787.3680000000004</v>
      </c>
      <c r="BG1193" s="387">
        <f t="shared" si="797"/>
        <v>228.7012</v>
      </c>
      <c r="BH1193" s="387">
        <f t="shared" si="798"/>
        <v>155.428</v>
      </c>
      <c r="BI1193" s="387">
        <f t="shared" si="799"/>
        <v>175.5702</v>
      </c>
      <c r="BJ1193" s="387">
        <f t="shared" si="800"/>
        <v>85.644000000000005</v>
      </c>
      <c r="BK1193" s="387">
        <f t="shared" si="801"/>
        <v>0</v>
      </c>
      <c r="BL1193" s="387">
        <f t="shared" si="824"/>
        <v>6859.291400000001</v>
      </c>
      <c r="BM1193" s="387">
        <f t="shared" si="825"/>
        <v>0</v>
      </c>
      <c r="BN1193" s="387">
        <f t="shared" si="802"/>
        <v>11650</v>
      </c>
      <c r="BO1193" s="387">
        <f t="shared" si="803"/>
        <v>0</v>
      </c>
      <c r="BP1193" s="387">
        <f t="shared" si="804"/>
        <v>1966.6399999999999</v>
      </c>
      <c r="BQ1193" s="387">
        <f t="shared" si="805"/>
        <v>459.94</v>
      </c>
      <c r="BR1193" s="387">
        <f t="shared" si="806"/>
        <v>3787.3680000000004</v>
      </c>
      <c r="BS1193" s="387">
        <f t="shared" si="807"/>
        <v>228.7012</v>
      </c>
      <c r="BT1193" s="387">
        <f t="shared" si="808"/>
        <v>0</v>
      </c>
      <c r="BU1193" s="387">
        <f t="shared" si="809"/>
        <v>175.5702</v>
      </c>
      <c r="BV1193" s="387">
        <f t="shared" si="810"/>
        <v>107.848</v>
      </c>
      <c r="BW1193" s="387">
        <f t="shared" si="811"/>
        <v>0</v>
      </c>
      <c r="BX1193" s="387">
        <f t="shared" si="826"/>
        <v>6726.0674000000008</v>
      </c>
      <c r="BY1193" s="387">
        <f t="shared" si="827"/>
        <v>0</v>
      </c>
      <c r="BZ1193" s="387">
        <f t="shared" si="828"/>
        <v>0</v>
      </c>
      <c r="CA1193" s="387">
        <f t="shared" si="829"/>
        <v>0</v>
      </c>
      <c r="CB1193" s="387">
        <f t="shared" si="830"/>
        <v>0</v>
      </c>
      <c r="CC1193" s="387">
        <f t="shared" si="812"/>
        <v>0</v>
      </c>
      <c r="CD1193" s="387">
        <f t="shared" si="813"/>
        <v>0</v>
      </c>
      <c r="CE1193" s="387">
        <f t="shared" si="814"/>
        <v>0</v>
      </c>
      <c r="CF1193" s="387">
        <f t="shared" si="815"/>
        <v>-155.428</v>
      </c>
      <c r="CG1193" s="387">
        <f t="shared" si="816"/>
        <v>0</v>
      </c>
      <c r="CH1193" s="387">
        <f t="shared" si="817"/>
        <v>22.20399999999999</v>
      </c>
      <c r="CI1193" s="387">
        <f t="shared" si="818"/>
        <v>0</v>
      </c>
      <c r="CJ1193" s="387">
        <f t="shared" si="831"/>
        <v>-133.22400000000002</v>
      </c>
      <c r="CK1193" s="387" t="str">
        <f t="shared" si="832"/>
        <v/>
      </c>
      <c r="CL1193" s="387" t="str">
        <f t="shared" si="833"/>
        <v/>
      </c>
      <c r="CM1193" s="387" t="str">
        <f t="shared" si="834"/>
        <v/>
      </c>
      <c r="CN1193" s="387" t="str">
        <f t="shared" si="835"/>
        <v>0348-31</v>
      </c>
    </row>
    <row r="1194" spans="1:92" ht="15.75" thickBot="1" x14ac:dyDescent="0.3">
      <c r="A1194" s="376" t="s">
        <v>161</v>
      </c>
      <c r="B1194" s="376" t="s">
        <v>162</v>
      </c>
      <c r="C1194" s="376" t="s">
        <v>2423</v>
      </c>
      <c r="D1194" s="376" t="s">
        <v>862</v>
      </c>
      <c r="E1194" s="376" t="s">
        <v>224</v>
      </c>
      <c r="F1194" s="382" t="s">
        <v>225</v>
      </c>
      <c r="G1194" s="376" t="s">
        <v>1945</v>
      </c>
      <c r="H1194" s="378"/>
      <c r="I1194" s="378"/>
      <c r="J1194" s="376" t="s">
        <v>215</v>
      </c>
      <c r="K1194" s="376" t="s">
        <v>863</v>
      </c>
      <c r="L1194" s="376" t="s">
        <v>252</v>
      </c>
      <c r="M1194" s="376" t="s">
        <v>566</v>
      </c>
      <c r="N1194" s="376" t="s">
        <v>172</v>
      </c>
      <c r="O1194" s="379">
        <v>0</v>
      </c>
      <c r="P1194" s="385">
        <v>0</v>
      </c>
      <c r="Q1194" s="385">
        <v>0</v>
      </c>
      <c r="R1194" s="380">
        <v>80</v>
      </c>
      <c r="S1194" s="385">
        <v>0</v>
      </c>
      <c r="T1194" s="380">
        <v>7695.18</v>
      </c>
      <c r="U1194" s="380">
        <v>988.87</v>
      </c>
      <c r="V1194" s="380">
        <v>4180.95</v>
      </c>
      <c r="W1194" s="380">
        <v>0</v>
      </c>
      <c r="X1194" s="380">
        <v>0</v>
      </c>
      <c r="Y1194" s="380">
        <v>0</v>
      </c>
      <c r="Z1194" s="380">
        <v>0</v>
      </c>
      <c r="AA1194" s="378"/>
      <c r="AB1194" s="376" t="s">
        <v>45</v>
      </c>
      <c r="AC1194" s="376" t="s">
        <v>45</v>
      </c>
      <c r="AD1194" s="378"/>
      <c r="AE1194" s="378"/>
      <c r="AF1194" s="378"/>
      <c r="AG1194" s="378"/>
      <c r="AH1194" s="379">
        <v>0</v>
      </c>
      <c r="AI1194" s="379">
        <v>0</v>
      </c>
      <c r="AJ1194" s="378"/>
      <c r="AK1194" s="378"/>
      <c r="AL1194" s="376" t="s">
        <v>181</v>
      </c>
      <c r="AM1194" s="378"/>
      <c r="AN1194" s="378"/>
      <c r="AO1194" s="379">
        <v>0</v>
      </c>
      <c r="AP1194" s="385">
        <v>0</v>
      </c>
      <c r="AQ1194" s="385">
        <v>0</v>
      </c>
      <c r="AR1194" s="384"/>
      <c r="AS1194" s="387">
        <f t="shared" si="819"/>
        <v>0</v>
      </c>
      <c r="AT1194">
        <f t="shared" si="820"/>
        <v>0</v>
      </c>
      <c r="AU1194" s="387" t="str">
        <f>IF(AT1194=0,"",IF(AND(AT1194=1,M1194="F",SUMIF(C2:C1334,C1194,AS2:AS1334)&lt;=1),SUMIF(C2:C1334,C1194,AS2:AS1334),IF(AND(AT1194=1,M1194="F",SUMIF(C2:C1334,C1194,AS2:AS1334)&gt;1),1,"")))</f>
        <v/>
      </c>
      <c r="AV1194" s="387" t="str">
        <f>IF(AT1194=0,"",IF(AND(AT1194=3,M1194="F",SUMIF(C2:C1334,C1194,AS2:AS1334)&lt;=1),SUMIF(C2:C1334,C1194,AS2:AS1334),IF(AND(AT1194=3,M1194="F",SUMIF(C2:C1334,C1194,AS2:AS1334)&gt;1),1,"")))</f>
        <v/>
      </c>
      <c r="AW1194" s="387">
        <f>SUMIF(C2:C1334,C1194,O2:O1334)</f>
        <v>0</v>
      </c>
      <c r="AX1194" s="387">
        <f>IF(AND(M1194="F",AS1194&lt;&gt;0),SUMIF(C2:C1334,C1194,W2:W1334),0)</f>
        <v>0</v>
      </c>
      <c r="AY1194" s="387" t="str">
        <f t="shared" si="821"/>
        <v/>
      </c>
      <c r="AZ1194" s="387" t="str">
        <f t="shared" si="822"/>
        <v/>
      </c>
      <c r="BA1194" s="387">
        <f t="shared" si="823"/>
        <v>0</v>
      </c>
      <c r="BB1194" s="387">
        <f t="shared" si="792"/>
        <v>0</v>
      </c>
      <c r="BC1194" s="387">
        <f t="shared" si="793"/>
        <v>0</v>
      </c>
      <c r="BD1194" s="387">
        <f t="shared" si="794"/>
        <v>0</v>
      </c>
      <c r="BE1194" s="387">
        <f t="shared" si="795"/>
        <v>0</v>
      </c>
      <c r="BF1194" s="387">
        <f t="shared" si="796"/>
        <v>0</v>
      </c>
      <c r="BG1194" s="387">
        <f t="shared" si="797"/>
        <v>0</v>
      </c>
      <c r="BH1194" s="387">
        <f t="shared" si="798"/>
        <v>0</v>
      </c>
      <c r="BI1194" s="387">
        <f t="shared" si="799"/>
        <v>0</v>
      </c>
      <c r="BJ1194" s="387">
        <f t="shared" si="800"/>
        <v>0</v>
      </c>
      <c r="BK1194" s="387">
        <f t="shared" si="801"/>
        <v>0</v>
      </c>
      <c r="BL1194" s="387">
        <f t="shared" si="824"/>
        <v>0</v>
      </c>
      <c r="BM1194" s="387">
        <f t="shared" si="825"/>
        <v>0</v>
      </c>
      <c r="BN1194" s="387">
        <f t="shared" si="802"/>
        <v>0</v>
      </c>
      <c r="BO1194" s="387">
        <f t="shared" si="803"/>
        <v>0</v>
      </c>
      <c r="BP1194" s="387">
        <f t="shared" si="804"/>
        <v>0</v>
      </c>
      <c r="BQ1194" s="387">
        <f t="shared" si="805"/>
        <v>0</v>
      </c>
      <c r="BR1194" s="387">
        <f t="shared" si="806"/>
        <v>0</v>
      </c>
      <c r="BS1194" s="387">
        <f t="shared" si="807"/>
        <v>0</v>
      </c>
      <c r="BT1194" s="387">
        <f t="shared" si="808"/>
        <v>0</v>
      </c>
      <c r="BU1194" s="387">
        <f t="shared" si="809"/>
        <v>0</v>
      </c>
      <c r="BV1194" s="387">
        <f t="shared" si="810"/>
        <v>0</v>
      </c>
      <c r="BW1194" s="387">
        <f t="shared" si="811"/>
        <v>0</v>
      </c>
      <c r="BX1194" s="387">
        <f t="shared" si="826"/>
        <v>0</v>
      </c>
      <c r="BY1194" s="387">
        <f t="shared" si="827"/>
        <v>0</v>
      </c>
      <c r="BZ1194" s="387">
        <f t="shared" si="828"/>
        <v>0</v>
      </c>
      <c r="CA1194" s="387">
        <f t="shared" si="829"/>
        <v>0</v>
      </c>
      <c r="CB1194" s="387">
        <f t="shared" si="830"/>
        <v>0</v>
      </c>
      <c r="CC1194" s="387">
        <f t="shared" si="812"/>
        <v>0</v>
      </c>
      <c r="CD1194" s="387">
        <f t="shared" si="813"/>
        <v>0</v>
      </c>
      <c r="CE1194" s="387">
        <f t="shared" si="814"/>
        <v>0</v>
      </c>
      <c r="CF1194" s="387">
        <f t="shared" si="815"/>
        <v>0</v>
      </c>
      <c r="CG1194" s="387">
        <f t="shared" si="816"/>
        <v>0</v>
      </c>
      <c r="CH1194" s="387">
        <f t="shared" si="817"/>
        <v>0</v>
      </c>
      <c r="CI1194" s="387">
        <f t="shared" si="818"/>
        <v>0</v>
      </c>
      <c r="CJ1194" s="387">
        <f t="shared" si="831"/>
        <v>0</v>
      </c>
      <c r="CK1194" s="387" t="str">
        <f t="shared" si="832"/>
        <v/>
      </c>
      <c r="CL1194" s="387" t="str">
        <f t="shared" si="833"/>
        <v/>
      </c>
      <c r="CM1194" s="387" t="str">
        <f t="shared" si="834"/>
        <v/>
      </c>
      <c r="CN1194" s="387" t="str">
        <f t="shared" si="835"/>
        <v>0348-31</v>
      </c>
    </row>
    <row r="1195" spans="1:92" ht="15.75" thickBot="1" x14ac:dyDescent="0.3">
      <c r="A1195" s="376" t="s">
        <v>161</v>
      </c>
      <c r="B1195" s="376" t="s">
        <v>162</v>
      </c>
      <c r="C1195" s="376" t="s">
        <v>2424</v>
      </c>
      <c r="D1195" s="376" t="s">
        <v>2173</v>
      </c>
      <c r="E1195" s="376" t="s">
        <v>224</v>
      </c>
      <c r="F1195" s="382" t="s">
        <v>225</v>
      </c>
      <c r="G1195" s="376" t="s">
        <v>1945</v>
      </c>
      <c r="H1195" s="378"/>
      <c r="I1195" s="378"/>
      <c r="J1195" s="376" t="s">
        <v>215</v>
      </c>
      <c r="K1195" s="376" t="s">
        <v>2174</v>
      </c>
      <c r="L1195" s="376" t="s">
        <v>296</v>
      </c>
      <c r="M1195" s="376" t="s">
        <v>171</v>
      </c>
      <c r="N1195" s="376" t="s">
        <v>172</v>
      </c>
      <c r="O1195" s="379">
        <v>1</v>
      </c>
      <c r="P1195" s="385">
        <v>1</v>
      </c>
      <c r="Q1195" s="385">
        <v>1</v>
      </c>
      <c r="R1195" s="380">
        <v>80</v>
      </c>
      <c r="S1195" s="385">
        <v>1</v>
      </c>
      <c r="T1195" s="380">
        <v>56269.62</v>
      </c>
      <c r="U1195" s="380">
        <v>640.32000000000005</v>
      </c>
      <c r="V1195" s="380">
        <v>23401.360000000001</v>
      </c>
      <c r="W1195" s="380">
        <v>59342.400000000001</v>
      </c>
      <c r="X1195" s="380">
        <v>24482.75</v>
      </c>
      <c r="Y1195" s="380">
        <v>59342.400000000001</v>
      </c>
      <c r="Z1195" s="380">
        <v>24233.52</v>
      </c>
      <c r="AA1195" s="376" t="s">
        <v>2425</v>
      </c>
      <c r="AB1195" s="376" t="s">
        <v>457</v>
      </c>
      <c r="AC1195" s="376" t="s">
        <v>2426</v>
      </c>
      <c r="AD1195" s="376" t="s">
        <v>198</v>
      </c>
      <c r="AE1195" s="376" t="s">
        <v>2174</v>
      </c>
      <c r="AF1195" s="376" t="s">
        <v>301</v>
      </c>
      <c r="AG1195" s="376" t="s">
        <v>178</v>
      </c>
      <c r="AH1195" s="381">
        <v>28.53</v>
      </c>
      <c r="AI1195" s="381">
        <v>63041.1</v>
      </c>
      <c r="AJ1195" s="376" t="s">
        <v>179</v>
      </c>
      <c r="AK1195" s="376" t="s">
        <v>180</v>
      </c>
      <c r="AL1195" s="376" t="s">
        <v>181</v>
      </c>
      <c r="AM1195" s="376" t="s">
        <v>182</v>
      </c>
      <c r="AN1195" s="376" t="s">
        <v>68</v>
      </c>
      <c r="AO1195" s="379">
        <v>80</v>
      </c>
      <c r="AP1195" s="385">
        <v>1</v>
      </c>
      <c r="AQ1195" s="385">
        <v>1</v>
      </c>
      <c r="AR1195" s="383" t="s">
        <v>183</v>
      </c>
      <c r="AS1195" s="387">
        <f t="shared" si="819"/>
        <v>1</v>
      </c>
      <c r="AT1195">
        <f t="shared" si="820"/>
        <v>1</v>
      </c>
      <c r="AU1195" s="387">
        <f>IF(AT1195=0,"",IF(AND(AT1195=1,M1195="F",SUMIF(C2:C1334,C1195,AS2:AS1334)&lt;=1),SUMIF(C2:C1334,C1195,AS2:AS1334),IF(AND(AT1195=1,M1195="F",SUMIF(C2:C1334,C1195,AS2:AS1334)&gt;1),1,"")))</f>
        <v>1</v>
      </c>
      <c r="AV1195" s="387" t="str">
        <f>IF(AT1195=0,"",IF(AND(AT1195=3,M1195="F",SUMIF(C2:C1334,C1195,AS2:AS1334)&lt;=1),SUMIF(C2:C1334,C1195,AS2:AS1334),IF(AND(AT1195=3,M1195="F",SUMIF(C2:C1334,C1195,AS2:AS1334)&gt;1),1,"")))</f>
        <v/>
      </c>
      <c r="AW1195" s="387">
        <f>SUMIF(C2:C1334,C1195,O2:O1334)</f>
        <v>1</v>
      </c>
      <c r="AX1195" s="387">
        <f>IF(AND(M1195="F",AS1195&lt;&gt;0),SUMIF(C2:C1334,C1195,W2:W1334),0)</f>
        <v>59342.400000000001</v>
      </c>
      <c r="AY1195" s="387">
        <f t="shared" si="821"/>
        <v>59342.400000000001</v>
      </c>
      <c r="AZ1195" s="387" t="str">
        <f t="shared" si="822"/>
        <v/>
      </c>
      <c r="BA1195" s="387">
        <f t="shared" si="823"/>
        <v>0</v>
      </c>
      <c r="BB1195" s="387">
        <f t="shared" si="792"/>
        <v>11650</v>
      </c>
      <c r="BC1195" s="387">
        <f t="shared" si="793"/>
        <v>0</v>
      </c>
      <c r="BD1195" s="387">
        <f t="shared" si="794"/>
        <v>3679.2287999999999</v>
      </c>
      <c r="BE1195" s="387">
        <f t="shared" si="795"/>
        <v>860.46480000000008</v>
      </c>
      <c r="BF1195" s="387">
        <f t="shared" si="796"/>
        <v>7085.4825600000004</v>
      </c>
      <c r="BG1195" s="387">
        <f t="shared" si="797"/>
        <v>427.85870400000005</v>
      </c>
      <c r="BH1195" s="387">
        <f t="shared" si="798"/>
        <v>290.77776</v>
      </c>
      <c r="BI1195" s="387">
        <f t="shared" si="799"/>
        <v>328.46018400000003</v>
      </c>
      <c r="BJ1195" s="387">
        <f t="shared" si="800"/>
        <v>160.22448</v>
      </c>
      <c r="BK1195" s="387">
        <f t="shared" si="801"/>
        <v>0</v>
      </c>
      <c r="BL1195" s="387">
        <f t="shared" si="824"/>
        <v>12832.497288</v>
      </c>
      <c r="BM1195" s="387">
        <f t="shared" si="825"/>
        <v>0</v>
      </c>
      <c r="BN1195" s="387">
        <f t="shared" si="802"/>
        <v>11650</v>
      </c>
      <c r="BO1195" s="387">
        <f t="shared" si="803"/>
        <v>0</v>
      </c>
      <c r="BP1195" s="387">
        <f t="shared" si="804"/>
        <v>3679.2287999999999</v>
      </c>
      <c r="BQ1195" s="387">
        <f t="shared" si="805"/>
        <v>860.46480000000008</v>
      </c>
      <c r="BR1195" s="387">
        <f t="shared" si="806"/>
        <v>7085.4825600000004</v>
      </c>
      <c r="BS1195" s="387">
        <f t="shared" si="807"/>
        <v>427.85870400000005</v>
      </c>
      <c r="BT1195" s="387">
        <f t="shared" si="808"/>
        <v>0</v>
      </c>
      <c r="BU1195" s="387">
        <f t="shared" si="809"/>
        <v>328.46018400000003</v>
      </c>
      <c r="BV1195" s="387">
        <f t="shared" si="810"/>
        <v>201.76416</v>
      </c>
      <c r="BW1195" s="387">
        <f t="shared" si="811"/>
        <v>0</v>
      </c>
      <c r="BX1195" s="387">
        <f t="shared" si="826"/>
        <v>12583.259207999999</v>
      </c>
      <c r="BY1195" s="387">
        <f t="shared" si="827"/>
        <v>0</v>
      </c>
      <c r="BZ1195" s="387">
        <f t="shared" si="828"/>
        <v>0</v>
      </c>
      <c r="CA1195" s="387">
        <f t="shared" si="829"/>
        <v>0</v>
      </c>
      <c r="CB1195" s="387">
        <f t="shared" si="830"/>
        <v>0</v>
      </c>
      <c r="CC1195" s="387">
        <f t="shared" si="812"/>
        <v>0</v>
      </c>
      <c r="CD1195" s="387">
        <f t="shared" si="813"/>
        <v>0</v>
      </c>
      <c r="CE1195" s="387">
        <f t="shared" si="814"/>
        <v>0</v>
      </c>
      <c r="CF1195" s="387">
        <f t="shared" si="815"/>
        <v>-290.77776</v>
      </c>
      <c r="CG1195" s="387">
        <f t="shared" si="816"/>
        <v>0</v>
      </c>
      <c r="CH1195" s="387">
        <f t="shared" si="817"/>
        <v>41.539679999999983</v>
      </c>
      <c r="CI1195" s="387">
        <f t="shared" si="818"/>
        <v>0</v>
      </c>
      <c r="CJ1195" s="387">
        <f t="shared" si="831"/>
        <v>-249.23808000000002</v>
      </c>
      <c r="CK1195" s="387" t="str">
        <f t="shared" si="832"/>
        <v/>
      </c>
      <c r="CL1195" s="387" t="str">
        <f t="shared" si="833"/>
        <v/>
      </c>
      <c r="CM1195" s="387" t="str">
        <f t="shared" si="834"/>
        <v/>
      </c>
      <c r="CN1195" s="387" t="str">
        <f t="shared" si="835"/>
        <v>0348-31</v>
      </c>
    </row>
    <row r="1196" spans="1:92" ht="15.75" thickBot="1" x14ac:dyDescent="0.3">
      <c r="A1196" s="376" t="s">
        <v>161</v>
      </c>
      <c r="B1196" s="376" t="s">
        <v>162</v>
      </c>
      <c r="C1196" s="376" t="s">
        <v>2427</v>
      </c>
      <c r="D1196" s="376" t="s">
        <v>862</v>
      </c>
      <c r="E1196" s="376" t="s">
        <v>224</v>
      </c>
      <c r="F1196" s="382" t="s">
        <v>225</v>
      </c>
      <c r="G1196" s="376" t="s">
        <v>1945</v>
      </c>
      <c r="H1196" s="378"/>
      <c r="I1196" s="378"/>
      <c r="J1196" s="376" t="s">
        <v>215</v>
      </c>
      <c r="K1196" s="376" t="s">
        <v>863</v>
      </c>
      <c r="L1196" s="376" t="s">
        <v>252</v>
      </c>
      <c r="M1196" s="376" t="s">
        <v>171</v>
      </c>
      <c r="N1196" s="376" t="s">
        <v>172</v>
      </c>
      <c r="O1196" s="379">
        <v>1</v>
      </c>
      <c r="P1196" s="385">
        <v>1</v>
      </c>
      <c r="Q1196" s="385">
        <v>1</v>
      </c>
      <c r="R1196" s="380">
        <v>80</v>
      </c>
      <c r="S1196" s="385">
        <v>1</v>
      </c>
      <c r="T1196" s="380">
        <v>36514.03</v>
      </c>
      <c r="U1196" s="380">
        <v>1368.92</v>
      </c>
      <c r="V1196" s="380">
        <v>19579.72</v>
      </c>
      <c r="W1196" s="380">
        <v>38937.599999999999</v>
      </c>
      <c r="X1196" s="380">
        <v>20070.23</v>
      </c>
      <c r="Y1196" s="380">
        <v>38937.599999999999</v>
      </c>
      <c r="Z1196" s="380">
        <v>19906.689999999999</v>
      </c>
      <c r="AA1196" s="376" t="s">
        <v>2428</v>
      </c>
      <c r="AB1196" s="376" t="s">
        <v>2429</v>
      </c>
      <c r="AC1196" s="376" t="s">
        <v>685</v>
      </c>
      <c r="AD1196" s="376" t="s">
        <v>268</v>
      </c>
      <c r="AE1196" s="376" t="s">
        <v>863</v>
      </c>
      <c r="AF1196" s="376" t="s">
        <v>393</v>
      </c>
      <c r="AG1196" s="376" t="s">
        <v>178</v>
      </c>
      <c r="AH1196" s="381">
        <v>18.72</v>
      </c>
      <c r="AI1196" s="381">
        <v>2944.2</v>
      </c>
      <c r="AJ1196" s="376" t="s">
        <v>179</v>
      </c>
      <c r="AK1196" s="376" t="s">
        <v>180</v>
      </c>
      <c r="AL1196" s="376" t="s">
        <v>181</v>
      </c>
      <c r="AM1196" s="376" t="s">
        <v>182</v>
      </c>
      <c r="AN1196" s="376" t="s">
        <v>68</v>
      </c>
      <c r="AO1196" s="379">
        <v>80</v>
      </c>
      <c r="AP1196" s="385">
        <v>1</v>
      </c>
      <c r="AQ1196" s="385">
        <v>1</v>
      </c>
      <c r="AR1196" s="383" t="s">
        <v>183</v>
      </c>
      <c r="AS1196" s="387">
        <f t="shared" si="819"/>
        <v>1</v>
      </c>
      <c r="AT1196">
        <f t="shared" si="820"/>
        <v>1</v>
      </c>
      <c r="AU1196" s="387">
        <f>IF(AT1196=0,"",IF(AND(AT1196=1,M1196="F",SUMIF(C2:C1334,C1196,AS2:AS1334)&lt;=1),SUMIF(C2:C1334,C1196,AS2:AS1334),IF(AND(AT1196=1,M1196="F",SUMIF(C2:C1334,C1196,AS2:AS1334)&gt;1),1,"")))</f>
        <v>1</v>
      </c>
      <c r="AV1196" s="387" t="str">
        <f>IF(AT1196=0,"",IF(AND(AT1196=3,M1196="F",SUMIF(C2:C1334,C1196,AS2:AS1334)&lt;=1),SUMIF(C2:C1334,C1196,AS2:AS1334),IF(AND(AT1196=3,M1196="F",SUMIF(C2:C1334,C1196,AS2:AS1334)&gt;1),1,"")))</f>
        <v/>
      </c>
      <c r="AW1196" s="387">
        <f>SUMIF(C2:C1334,C1196,O2:O1334)</f>
        <v>1</v>
      </c>
      <c r="AX1196" s="387">
        <f>IF(AND(M1196="F",AS1196&lt;&gt;0),SUMIF(C2:C1334,C1196,W2:W1334),0)</f>
        <v>38937.599999999999</v>
      </c>
      <c r="AY1196" s="387">
        <f t="shared" si="821"/>
        <v>38937.599999999999</v>
      </c>
      <c r="AZ1196" s="387" t="str">
        <f t="shared" si="822"/>
        <v/>
      </c>
      <c r="BA1196" s="387">
        <f t="shared" si="823"/>
        <v>0</v>
      </c>
      <c r="BB1196" s="387">
        <f t="shared" si="792"/>
        <v>11650</v>
      </c>
      <c r="BC1196" s="387">
        <f t="shared" si="793"/>
        <v>0</v>
      </c>
      <c r="BD1196" s="387">
        <f t="shared" si="794"/>
        <v>2414.1311999999998</v>
      </c>
      <c r="BE1196" s="387">
        <f t="shared" si="795"/>
        <v>564.59519999999998</v>
      </c>
      <c r="BF1196" s="387">
        <f t="shared" si="796"/>
        <v>4649.1494400000001</v>
      </c>
      <c r="BG1196" s="387">
        <f t="shared" si="797"/>
        <v>280.74009599999999</v>
      </c>
      <c r="BH1196" s="387">
        <f t="shared" si="798"/>
        <v>190.79423999999997</v>
      </c>
      <c r="BI1196" s="387">
        <f t="shared" si="799"/>
        <v>215.51961599999998</v>
      </c>
      <c r="BJ1196" s="387">
        <f t="shared" si="800"/>
        <v>105.13151999999999</v>
      </c>
      <c r="BK1196" s="387">
        <f t="shared" si="801"/>
        <v>0</v>
      </c>
      <c r="BL1196" s="387">
        <f t="shared" si="824"/>
        <v>8420.0613120000016</v>
      </c>
      <c r="BM1196" s="387">
        <f t="shared" si="825"/>
        <v>0</v>
      </c>
      <c r="BN1196" s="387">
        <f t="shared" si="802"/>
        <v>11650</v>
      </c>
      <c r="BO1196" s="387">
        <f t="shared" si="803"/>
        <v>0</v>
      </c>
      <c r="BP1196" s="387">
        <f t="shared" si="804"/>
        <v>2414.1311999999998</v>
      </c>
      <c r="BQ1196" s="387">
        <f t="shared" si="805"/>
        <v>564.59519999999998</v>
      </c>
      <c r="BR1196" s="387">
        <f t="shared" si="806"/>
        <v>4649.1494400000001</v>
      </c>
      <c r="BS1196" s="387">
        <f t="shared" si="807"/>
        <v>280.74009599999999</v>
      </c>
      <c r="BT1196" s="387">
        <f t="shared" si="808"/>
        <v>0</v>
      </c>
      <c r="BU1196" s="387">
        <f t="shared" si="809"/>
        <v>215.51961599999998</v>
      </c>
      <c r="BV1196" s="387">
        <f t="shared" si="810"/>
        <v>132.38783999999998</v>
      </c>
      <c r="BW1196" s="387">
        <f t="shared" si="811"/>
        <v>0</v>
      </c>
      <c r="BX1196" s="387">
        <f t="shared" si="826"/>
        <v>8256.5233919999991</v>
      </c>
      <c r="BY1196" s="387">
        <f t="shared" si="827"/>
        <v>0</v>
      </c>
      <c r="BZ1196" s="387">
        <f t="shared" si="828"/>
        <v>0</v>
      </c>
      <c r="CA1196" s="387">
        <f t="shared" si="829"/>
        <v>0</v>
      </c>
      <c r="CB1196" s="387">
        <f t="shared" si="830"/>
        <v>0</v>
      </c>
      <c r="CC1196" s="387">
        <f t="shared" si="812"/>
        <v>0</v>
      </c>
      <c r="CD1196" s="387">
        <f t="shared" si="813"/>
        <v>0</v>
      </c>
      <c r="CE1196" s="387">
        <f t="shared" si="814"/>
        <v>0</v>
      </c>
      <c r="CF1196" s="387">
        <f t="shared" si="815"/>
        <v>-190.79423999999997</v>
      </c>
      <c r="CG1196" s="387">
        <f t="shared" si="816"/>
        <v>0</v>
      </c>
      <c r="CH1196" s="387">
        <f t="shared" si="817"/>
        <v>27.256319999999985</v>
      </c>
      <c r="CI1196" s="387">
        <f t="shared" si="818"/>
        <v>0</v>
      </c>
      <c r="CJ1196" s="387">
        <f t="shared" si="831"/>
        <v>-163.53791999999999</v>
      </c>
      <c r="CK1196" s="387" t="str">
        <f t="shared" si="832"/>
        <v/>
      </c>
      <c r="CL1196" s="387" t="str">
        <f t="shared" si="833"/>
        <v/>
      </c>
      <c r="CM1196" s="387" t="str">
        <f t="shared" si="834"/>
        <v/>
      </c>
      <c r="CN1196" s="387" t="str">
        <f t="shared" si="835"/>
        <v>0348-31</v>
      </c>
    </row>
    <row r="1197" spans="1:92" ht="15.75" thickBot="1" x14ac:dyDescent="0.3">
      <c r="A1197" s="376" t="s">
        <v>161</v>
      </c>
      <c r="B1197" s="376" t="s">
        <v>162</v>
      </c>
      <c r="C1197" s="376" t="s">
        <v>1556</v>
      </c>
      <c r="D1197" s="376" t="s">
        <v>238</v>
      </c>
      <c r="E1197" s="376" t="s">
        <v>224</v>
      </c>
      <c r="F1197" s="382" t="s">
        <v>225</v>
      </c>
      <c r="G1197" s="376" t="s">
        <v>1945</v>
      </c>
      <c r="H1197" s="378"/>
      <c r="I1197" s="378"/>
      <c r="J1197" s="376" t="s">
        <v>215</v>
      </c>
      <c r="K1197" s="376" t="s">
        <v>285</v>
      </c>
      <c r="L1197" s="376" t="s">
        <v>170</v>
      </c>
      <c r="M1197" s="376" t="s">
        <v>171</v>
      </c>
      <c r="N1197" s="376" t="s">
        <v>172</v>
      </c>
      <c r="O1197" s="379">
        <v>1</v>
      </c>
      <c r="P1197" s="385">
        <v>1</v>
      </c>
      <c r="Q1197" s="385">
        <v>1</v>
      </c>
      <c r="R1197" s="380">
        <v>80</v>
      </c>
      <c r="S1197" s="385">
        <v>1</v>
      </c>
      <c r="T1197" s="380">
        <v>38256</v>
      </c>
      <c r="U1197" s="380">
        <v>0</v>
      </c>
      <c r="V1197" s="380">
        <v>19177.990000000002</v>
      </c>
      <c r="W1197" s="380">
        <v>46508.800000000003</v>
      </c>
      <c r="X1197" s="380">
        <v>21707.49</v>
      </c>
      <c r="Y1197" s="380">
        <v>46508.800000000003</v>
      </c>
      <c r="Z1197" s="380">
        <v>21512.15</v>
      </c>
      <c r="AA1197" s="376" t="s">
        <v>1557</v>
      </c>
      <c r="AB1197" s="376" t="s">
        <v>1558</v>
      </c>
      <c r="AC1197" s="376" t="s">
        <v>1559</v>
      </c>
      <c r="AD1197" s="376" t="s">
        <v>317</v>
      </c>
      <c r="AE1197" s="376" t="s">
        <v>285</v>
      </c>
      <c r="AF1197" s="376" t="s">
        <v>177</v>
      </c>
      <c r="AG1197" s="376" t="s">
        <v>178</v>
      </c>
      <c r="AH1197" s="381">
        <v>22.36</v>
      </c>
      <c r="AI1197" s="381">
        <v>9555.4</v>
      </c>
      <c r="AJ1197" s="376" t="s">
        <v>179</v>
      </c>
      <c r="AK1197" s="376" t="s">
        <v>180</v>
      </c>
      <c r="AL1197" s="376" t="s">
        <v>181</v>
      </c>
      <c r="AM1197" s="376" t="s">
        <v>182</v>
      </c>
      <c r="AN1197" s="376" t="s">
        <v>68</v>
      </c>
      <c r="AO1197" s="379">
        <v>80</v>
      </c>
      <c r="AP1197" s="385">
        <v>1</v>
      </c>
      <c r="AQ1197" s="385">
        <v>1</v>
      </c>
      <c r="AR1197" s="383" t="s">
        <v>183</v>
      </c>
      <c r="AS1197" s="387">
        <f t="shared" si="819"/>
        <v>1</v>
      </c>
      <c r="AT1197">
        <f t="shared" si="820"/>
        <v>1</v>
      </c>
      <c r="AU1197" s="387">
        <f>IF(AT1197=0,"",IF(AND(AT1197=1,M1197="F",SUMIF(C2:C1334,C1197,AS2:AS1334)&lt;=1),SUMIF(C2:C1334,C1197,AS2:AS1334),IF(AND(AT1197=1,M1197="F",SUMIF(C2:C1334,C1197,AS2:AS1334)&gt;1),1,"")))</f>
        <v>1</v>
      </c>
      <c r="AV1197" s="387" t="str">
        <f>IF(AT1197=0,"",IF(AND(AT1197=3,M1197="F",SUMIF(C2:C1334,C1197,AS2:AS1334)&lt;=1),SUMIF(C2:C1334,C1197,AS2:AS1334),IF(AND(AT1197=3,M1197="F",SUMIF(C2:C1334,C1197,AS2:AS1334)&gt;1),1,"")))</f>
        <v/>
      </c>
      <c r="AW1197" s="387">
        <f>SUMIF(C2:C1334,C1197,O2:O1334)</f>
        <v>3</v>
      </c>
      <c r="AX1197" s="387">
        <f>IF(AND(M1197="F",AS1197&lt;&gt;0),SUMIF(C2:C1334,C1197,W2:W1334),0)</f>
        <v>46508.800000000003</v>
      </c>
      <c r="AY1197" s="387">
        <f t="shared" si="821"/>
        <v>46508.800000000003</v>
      </c>
      <c r="AZ1197" s="387" t="str">
        <f t="shared" si="822"/>
        <v/>
      </c>
      <c r="BA1197" s="387">
        <f t="shared" si="823"/>
        <v>0</v>
      </c>
      <c r="BB1197" s="387">
        <f t="shared" si="792"/>
        <v>11650</v>
      </c>
      <c r="BC1197" s="387">
        <f t="shared" si="793"/>
        <v>0</v>
      </c>
      <c r="BD1197" s="387">
        <f t="shared" si="794"/>
        <v>2883.5456000000004</v>
      </c>
      <c r="BE1197" s="387">
        <f t="shared" si="795"/>
        <v>674.37760000000003</v>
      </c>
      <c r="BF1197" s="387">
        <f t="shared" si="796"/>
        <v>5553.1507200000005</v>
      </c>
      <c r="BG1197" s="387">
        <f t="shared" si="797"/>
        <v>335.32844800000004</v>
      </c>
      <c r="BH1197" s="387">
        <f t="shared" si="798"/>
        <v>227.89312000000001</v>
      </c>
      <c r="BI1197" s="387">
        <f t="shared" si="799"/>
        <v>257.42620800000003</v>
      </c>
      <c r="BJ1197" s="387">
        <f t="shared" si="800"/>
        <v>125.57376000000002</v>
      </c>
      <c r="BK1197" s="387">
        <f t="shared" si="801"/>
        <v>0</v>
      </c>
      <c r="BL1197" s="387">
        <f t="shared" si="824"/>
        <v>10057.295456000002</v>
      </c>
      <c r="BM1197" s="387">
        <f t="shared" si="825"/>
        <v>0</v>
      </c>
      <c r="BN1197" s="387">
        <f t="shared" si="802"/>
        <v>11650</v>
      </c>
      <c r="BO1197" s="387">
        <f t="shared" si="803"/>
        <v>0</v>
      </c>
      <c r="BP1197" s="387">
        <f t="shared" si="804"/>
        <v>2883.5456000000004</v>
      </c>
      <c r="BQ1197" s="387">
        <f t="shared" si="805"/>
        <v>674.37760000000003</v>
      </c>
      <c r="BR1197" s="387">
        <f t="shared" si="806"/>
        <v>5553.1507200000005</v>
      </c>
      <c r="BS1197" s="387">
        <f t="shared" si="807"/>
        <v>335.32844800000004</v>
      </c>
      <c r="BT1197" s="387">
        <f t="shared" si="808"/>
        <v>0</v>
      </c>
      <c r="BU1197" s="387">
        <f t="shared" si="809"/>
        <v>257.42620800000003</v>
      </c>
      <c r="BV1197" s="387">
        <f t="shared" si="810"/>
        <v>158.12992</v>
      </c>
      <c r="BW1197" s="387">
        <f t="shared" si="811"/>
        <v>0</v>
      </c>
      <c r="BX1197" s="387">
        <f t="shared" si="826"/>
        <v>9861.9584960000011</v>
      </c>
      <c r="BY1197" s="387">
        <f t="shared" si="827"/>
        <v>0</v>
      </c>
      <c r="BZ1197" s="387">
        <f t="shared" si="828"/>
        <v>0</v>
      </c>
      <c r="CA1197" s="387">
        <f t="shared" si="829"/>
        <v>0</v>
      </c>
      <c r="CB1197" s="387">
        <f t="shared" si="830"/>
        <v>0</v>
      </c>
      <c r="CC1197" s="387">
        <f t="shared" si="812"/>
        <v>0</v>
      </c>
      <c r="CD1197" s="387">
        <f t="shared" si="813"/>
        <v>0</v>
      </c>
      <c r="CE1197" s="387">
        <f t="shared" si="814"/>
        <v>0</v>
      </c>
      <c r="CF1197" s="387">
        <f t="shared" si="815"/>
        <v>-227.89312000000001</v>
      </c>
      <c r="CG1197" s="387">
        <f t="shared" si="816"/>
        <v>0</v>
      </c>
      <c r="CH1197" s="387">
        <f t="shared" si="817"/>
        <v>32.556159999999984</v>
      </c>
      <c r="CI1197" s="387">
        <f t="shared" si="818"/>
        <v>0</v>
      </c>
      <c r="CJ1197" s="387">
        <f t="shared" si="831"/>
        <v>-195.33696000000003</v>
      </c>
      <c r="CK1197" s="387" t="str">
        <f t="shared" si="832"/>
        <v/>
      </c>
      <c r="CL1197" s="387" t="str">
        <f t="shared" si="833"/>
        <v/>
      </c>
      <c r="CM1197" s="387" t="str">
        <f t="shared" si="834"/>
        <v/>
      </c>
      <c r="CN1197" s="387" t="str">
        <f t="shared" si="835"/>
        <v>0348-31</v>
      </c>
    </row>
    <row r="1198" spans="1:92" ht="15.75" thickBot="1" x14ac:dyDescent="0.3">
      <c r="A1198" s="376" t="s">
        <v>161</v>
      </c>
      <c r="B1198" s="376" t="s">
        <v>162</v>
      </c>
      <c r="C1198" s="376" t="s">
        <v>2430</v>
      </c>
      <c r="D1198" s="376" t="s">
        <v>862</v>
      </c>
      <c r="E1198" s="376" t="s">
        <v>224</v>
      </c>
      <c r="F1198" s="382" t="s">
        <v>225</v>
      </c>
      <c r="G1198" s="376" t="s">
        <v>1945</v>
      </c>
      <c r="H1198" s="378"/>
      <c r="I1198" s="378"/>
      <c r="J1198" s="376" t="s">
        <v>215</v>
      </c>
      <c r="K1198" s="376" t="s">
        <v>863</v>
      </c>
      <c r="L1198" s="376" t="s">
        <v>252</v>
      </c>
      <c r="M1198" s="376" t="s">
        <v>566</v>
      </c>
      <c r="N1198" s="376" t="s">
        <v>172</v>
      </c>
      <c r="O1198" s="379">
        <v>0</v>
      </c>
      <c r="P1198" s="385">
        <v>0</v>
      </c>
      <c r="Q1198" s="385">
        <v>0</v>
      </c>
      <c r="R1198" s="380">
        <v>80</v>
      </c>
      <c r="S1198" s="385">
        <v>0</v>
      </c>
      <c r="T1198" s="380">
        <v>7035.43</v>
      </c>
      <c r="U1198" s="380">
        <v>808.53</v>
      </c>
      <c r="V1198" s="380">
        <v>4342.67</v>
      </c>
      <c r="W1198" s="380">
        <v>0</v>
      </c>
      <c r="X1198" s="380">
        <v>0</v>
      </c>
      <c r="Y1198" s="380">
        <v>0</v>
      </c>
      <c r="Z1198" s="380">
        <v>0</v>
      </c>
      <c r="AA1198" s="378"/>
      <c r="AB1198" s="376" t="s">
        <v>45</v>
      </c>
      <c r="AC1198" s="376" t="s">
        <v>45</v>
      </c>
      <c r="AD1198" s="378"/>
      <c r="AE1198" s="378"/>
      <c r="AF1198" s="378"/>
      <c r="AG1198" s="378"/>
      <c r="AH1198" s="379">
        <v>0</v>
      </c>
      <c r="AI1198" s="379">
        <v>0</v>
      </c>
      <c r="AJ1198" s="378"/>
      <c r="AK1198" s="378"/>
      <c r="AL1198" s="376" t="s">
        <v>181</v>
      </c>
      <c r="AM1198" s="378"/>
      <c r="AN1198" s="378"/>
      <c r="AO1198" s="379">
        <v>0</v>
      </c>
      <c r="AP1198" s="385">
        <v>0</v>
      </c>
      <c r="AQ1198" s="385">
        <v>0</v>
      </c>
      <c r="AR1198" s="384"/>
      <c r="AS1198" s="387">
        <f t="shared" si="819"/>
        <v>0</v>
      </c>
      <c r="AT1198">
        <f t="shared" si="820"/>
        <v>0</v>
      </c>
      <c r="AU1198" s="387" t="str">
        <f>IF(AT1198=0,"",IF(AND(AT1198=1,M1198="F",SUMIF(C2:C1334,C1198,AS2:AS1334)&lt;=1),SUMIF(C2:C1334,C1198,AS2:AS1334),IF(AND(AT1198=1,M1198="F",SUMIF(C2:C1334,C1198,AS2:AS1334)&gt;1),1,"")))</f>
        <v/>
      </c>
      <c r="AV1198" s="387" t="str">
        <f>IF(AT1198=0,"",IF(AND(AT1198=3,M1198="F",SUMIF(C2:C1334,C1198,AS2:AS1334)&lt;=1),SUMIF(C2:C1334,C1198,AS2:AS1334),IF(AND(AT1198=3,M1198="F",SUMIF(C2:C1334,C1198,AS2:AS1334)&gt;1),1,"")))</f>
        <v/>
      </c>
      <c r="AW1198" s="387">
        <f>SUMIF(C2:C1334,C1198,O2:O1334)</f>
        <v>0</v>
      </c>
      <c r="AX1198" s="387">
        <f>IF(AND(M1198="F",AS1198&lt;&gt;0),SUMIF(C2:C1334,C1198,W2:W1334),0)</f>
        <v>0</v>
      </c>
      <c r="AY1198" s="387" t="str">
        <f t="shared" si="821"/>
        <v/>
      </c>
      <c r="AZ1198" s="387" t="str">
        <f t="shared" si="822"/>
        <v/>
      </c>
      <c r="BA1198" s="387">
        <f t="shared" si="823"/>
        <v>0</v>
      </c>
      <c r="BB1198" s="387">
        <f t="shared" si="792"/>
        <v>0</v>
      </c>
      <c r="BC1198" s="387">
        <f t="shared" si="793"/>
        <v>0</v>
      </c>
      <c r="BD1198" s="387">
        <f t="shared" si="794"/>
        <v>0</v>
      </c>
      <c r="BE1198" s="387">
        <f t="shared" si="795"/>
        <v>0</v>
      </c>
      <c r="BF1198" s="387">
        <f t="shared" si="796"/>
        <v>0</v>
      </c>
      <c r="BG1198" s="387">
        <f t="shared" si="797"/>
        <v>0</v>
      </c>
      <c r="BH1198" s="387">
        <f t="shared" si="798"/>
        <v>0</v>
      </c>
      <c r="BI1198" s="387">
        <f t="shared" si="799"/>
        <v>0</v>
      </c>
      <c r="BJ1198" s="387">
        <f t="shared" si="800"/>
        <v>0</v>
      </c>
      <c r="BK1198" s="387">
        <f t="shared" si="801"/>
        <v>0</v>
      </c>
      <c r="BL1198" s="387">
        <f t="shared" si="824"/>
        <v>0</v>
      </c>
      <c r="BM1198" s="387">
        <f t="shared" si="825"/>
        <v>0</v>
      </c>
      <c r="BN1198" s="387">
        <f t="shared" si="802"/>
        <v>0</v>
      </c>
      <c r="BO1198" s="387">
        <f t="shared" si="803"/>
        <v>0</v>
      </c>
      <c r="BP1198" s="387">
        <f t="shared" si="804"/>
        <v>0</v>
      </c>
      <c r="BQ1198" s="387">
        <f t="shared" si="805"/>
        <v>0</v>
      </c>
      <c r="BR1198" s="387">
        <f t="shared" si="806"/>
        <v>0</v>
      </c>
      <c r="BS1198" s="387">
        <f t="shared" si="807"/>
        <v>0</v>
      </c>
      <c r="BT1198" s="387">
        <f t="shared" si="808"/>
        <v>0</v>
      </c>
      <c r="BU1198" s="387">
        <f t="shared" si="809"/>
        <v>0</v>
      </c>
      <c r="BV1198" s="387">
        <f t="shared" si="810"/>
        <v>0</v>
      </c>
      <c r="BW1198" s="387">
        <f t="shared" si="811"/>
        <v>0</v>
      </c>
      <c r="BX1198" s="387">
        <f t="shared" si="826"/>
        <v>0</v>
      </c>
      <c r="BY1198" s="387">
        <f t="shared" si="827"/>
        <v>0</v>
      </c>
      <c r="BZ1198" s="387">
        <f t="shared" si="828"/>
        <v>0</v>
      </c>
      <c r="CA1198" s="387">
        <f t="shared" si="829"/>
        <v>0</v>
      </c>
      <c r="CB1198" s="387">
        <f t="shared" si="830"/>
        <v>0</v>
      </c>
      <c r="CC1198" s="387">
        <f t="shared" si="812"/>
        <v>0</v>
      </c>
      <c r="CD1198" s="387">
        <f t="shared" si="813"/>
        <v>0</v>
      </c>
      <c r="CE1198" s="387">
        <f t="shared" si="814"/>
        <v>0</v>
      </c>
      <c r="CF1198" s="387">
        <f t="shared" si="815"/>
        <v>0</v>
      </c>
      <c r="CG1198" s="387">
        <f t="shared" si="816"/>
        <v>0</v>
      </c>
      <c r="CH1198" s="387">
        <f t="shared" si="817"/>
        <v>0</v>
      </c>
      <c r="CI1198" s="387">
        <f t="shared" si="818"/>
        <v>0</v>
      </c>
      <c r="CJ1198" s="387">
        <f t="shared" si="831"/>
        <v>0</v>
      </c>
      <c r="CK1198" s="387" t="str">
        <f t="shared" si="832"/>
        <v/>
      </c>
      <c r="CL1198" s="387" t="str">
        <f t="shared" si="833"/>
        <v/>
      </c>
      <c r="CM1198" s="387" t="str">
        <f t="shared" si="834"/>
        <v/>
      </c>
      <c r="CN1198" s="387" t="str">
        <f t="shared" si="835"/>
        <v>0348-31</v>
      </c>
    </row>
    <row r="1199" spans="1:92" ht="15.75" thickBot="1" x14ac:dyDescent="0.3">
      <c r="A1199" s="376" t="s">
        <v>161</v>
      </c>
      <c r="B1199" s="376" t="s">
        <v>162</v>
      </c>
      <c r="C1199" s="376" t="s">
        <v>2431</v>
      </c>
      <c r="D1199" s="376" t="s">
        <v>974</v>
      </c>
      <c r="E1199" s="376" t="s">
        <v>224</v>
      </c>
      <c r="F1199" s="382" t="s">
        <v>225</v>
      </c>
      <c r="G1199" s="376" t="s">
        <v>1945</v>
      </c>
      <c r="H1199" s="378"/>
      <c r="I1199" s="378"/>
      <c r="J1199" s="376" t="s">
        <v>215</v>
      </c>
      <c r="K1199" s="376" t="s">
        <v>975</v>
      </c>
      <c r="L1199" s="376" t="s">
        <v>296</v>
      </c>
      <c r="M1199" s="376" t="s">
        <v>171</v>
      </c>
      <c r="N1199" s="376" t="s">
        <v>172</v>
      </c>
      <c r="O1199" s="379">
        <v>1</v>
      </c>
      <c r="P1199" s="385">
        <v>1</v>
      </c>
      <c r="Q1199" s="385">
        <v>1</v>
      </c>
      <c r="R1199" s="380">
        <v>80</v>
      </c>
      <c r="S1199" s="385">
        <v>1</v>
      </c>
      <c r="T1199" s="380">
        <v>43510.83</v>
      </c>
      <c r="U1199" s="380">
        <v>5544.72</v>
      </c>
      <c r="V1199" s="380">
        <v>21716.78</v>
      </c>
      <c r="W1199" s="380">
        <v>48152</v>
      </c>
      <c r="X1199" s="380">
        <v>22062.84</v>
      </c>
      <c r="Y1199" s="380">
        <v>48152</v>
      </c>
      <c r="Z1199" s="380">
        <v>21860.6</v>
      </c>
      <c r="AA1199" s="376" t="s">
        <v>2432</v>
      </c>
      <c r="AB1199" s="376" t="s">
        <v>2433</v>
      </c>
      <c r="AC1199" s="376" t="s">
        <v>971</v>
      </c>
      <c r="AD1199" s="376" t="s">
        <v>1900</v>
      </c>
      <c r="AE1199" s="376" t="s">
        <v>975</v>
      </c>
      <c r="AF1199" s="376" t="s">
        <v>301</v>
      </c>
      <c r="AG1199" s="376" t="s">
        <v>178</v>
      </c>
      <c r="AH1199" s="381">
        <v>23.15</v>
      </c>
      <c r="AI1199" s="381">
        <v>24106.1</v>
      </c>
      <c r="AJ1199" s="376" t="s">
        <v>179</v>
      </c>
      <c r="AK1199" s="376" t="s">
        <v>180</v>
      </c>
      <c r="AL1199" s="376" t="s">
        <v>181</v>
      </c>
      <c r="AM1199" s="376" t="s">
        <v>182</v>
      </c>
      <c r="AN1199" s="376" t="s">
        <v>68</v>
      </c>
      <c r="AO1199" s="379">
        <v>80</v>
      </c>
      <c r="AP1199" s="385">
        <v>1</v>
      </c>
      <c r="AQ1199" s="385">
        <v>1</v>
      </c>
      <c r="AR1199" s="383" t="s">
        <v>183</v>
      </c>
      <c r="AS1199" s="387">
        <f t="shared" si="819"/>
        <v>1</v>
      </c>
      <c r="AT1199">
        <f t="shared" si="820"/>
        <v>1</v>
      </c>
      <c r="AU1199" s="387">
        <f>IF(AT1199=0,"",IF(AND(AT1199=1,M1199="F",SUMIF(C2:C1334,C1199,AS2:AS1334)&lt;=1),SUMIF(C2:C1334,C1199,AS2:AS1334),IF(AND(AT1199=1,M1199="F",SUMIF(C2:C1334,C1199,AS2:AS1334)&gt;1),1,"")))</f>
        <v>1</v>
      </c>
      <c r="AV1199" s="387" t="str">
        <f>IF(AT1199=0,"",IF(AND(AT1199=3,M1199="F",SUMIF(C2:C1334,C1199,AS2:AS1334)&lt;=1),SUMIF(C2:C1334,C1199,AS2:AS1334),IF(AND(AT1199=3,M1199="F",SUMIF(C2:C1334,C1199,AS2:AS1334)&gt;1),1,"")))</f>
        <v/>
      </c>
      <c r="AW1199" s="387">
        <f>SUMIF(C2:C1334,C1199,O2:O1334)</f>
        <v>1</v>
      </c>
      <c r="AX1199" s="387">
        <f>IF(AND(M1199="F",AS1199&lt;&gt;0),SUMIF(C2:C1334,C1199,W2:W1334),0)</f>
        <v>48152</v>
      </c>
      <c r="AY1199" s="387">
        <f t="shared" si="821"/>
        <v>48152</v>
      </c>
      <c r="AZ1199" s="387" t="str">
        <f t="shared" si="822"/>
        <v/>
      </c>
      <c r="BA1199" s="387">
        <f t="shared" si="823"/>
        <v>0</v>
      </c>
      <c r="BB1199" s="387">
        <f t="shared" si="792"/>
        <v>11650</v>
      </c>
      <c r="BC1199" s="387">
        <f t="shared" si="793"/>
        <v>0</v>
      </c>
      <c r="BD1199" s="387">
        <f t="shared" si="794"/>
        <v>2985.424</v>
      </c>
      <c r="BE1199" s="387">
        <f t="shared" si="795"/>
        <v>698.20400000000006</v>
      </c>
      <c r="BF1199" s="387">
        <f t="shared" si="796"/>
        <v>5749.3488000000007</v>
      </c>
      <c r="BG1199" s="387">
        <f t="shared" si="797"/>
        <v>347.17592000000002</v>
      </c>
      <c r="BH1199" s="387">
        <f t="shared" si="798"/>
        <v>235.94479999999999</v>
      </c>
      <c r="BI1199" s="387">
        <f t="shared" si="799"/>
        <v>266.52132</v>
      </c>
      <c r="BJ1199" s="387">
        <f t="shared" si="800"/>
        <v>130.0104</v>
      </c>
      <c r="BK1199" s="387">
        <f t="shared" si="801"/>
        <v>0</v>
      </c>
      <c r="BL1199" s="387">
        <f t="shared" si="824"/>
        <v>10412.629239999998</v>
      </c>
      <c r="BM1199" s="387">
        <f t="shared" si="825"/>
        <v>0</v>
      </c>
      <c r="BN1199" s="387">
        <f t="shared" si="802"/>
        <v>11650</v>
      </c>
      <c r="BO1199" s="387">
        <f t="shared" si="803"/>
        <v>0</v>
      </c>
      <c r="BP1199" s="387">
        <f t="shared" si="804"/>
        <v>2985.424</v>
      </c>
      <c r="BQ1199" s="387">
        <f t="shared" si="805"/>
        <v>698.20400000000006</v>
      </c>
      <c r="BR1199" s="387">
        <f t="shared" si="806"/>
        <v>5749.3488000000007</v>
      </c>
      <c r="BS1199" s="387">
        <f t="shared" si="807"/>
        <v>347.17592000000002</v>
      </c>
      <c r="BT1199" s="387">
        <f t="shared" si="808"/>
        <v>0</v>
      </c>
      <c r="BU1199" s="387">
        <f t="shared" si="809"/>
        <v>266.52132</v>
      </c>
      <c r="BV1199" s="387">
        <f t="shared" si="810"/>
        <v>163.71679999999998</v>
      </c>
      <c r="BW1199" s="387">
        <f t="shared" si="811"/>
        <v>0</v>
      </c>
      <c r="BX1199" s="387">
        <f t="shared" si="826"/>
        <v>10210.39084</v>
      </c>
      <c r="BY1199" s="387">
        <f t="shared" si="827"/>
        <v>0</v>
      </c>
      <c r="BZ1199" s="387">
        <f t="shared" si="828"/>
        <v>0</v>
      </c>
      <c r="CA1199" s="387">
        <f t="shared" si="829"/>
        <v>0</v>
      </c>
      <c r="CB1199" s="387">
        <f t="shared" si="830"/>
        <v>0</v>
      </c>
      <c r="CC1199" s="387">
        <f t="shared" si="812"/>
        <v>0</v>
      </c>
      <c r="CD1199" s="387">
        <f t="shared" si="813"/>
        <v>0</v>
      </c>
      <c r="CE1199" s="387">
        <f t="shared" si="814"/>
        <v>0</v>
      </c>
      <c r="CF1199" s="387">
        <f t="shared" si="815"/>
        <v>-235.94479999999999</v>
      </c>
      <c r="CG1199" s="387">
        <f t="shared" si="816"/>
        <v>0</v>
      </c>
      <c r="CH1199" s="387">
        <f t="shared" si="817"/>
        <v>33.706399999999981</v>
      </c>
      <c r="CI1199" s="387">
        <f t="shared" si="818"/>
        <v>0</v>
      </c>
      <c r="CJ1199" s="387">
        <f t="shared" si="831"/>
        <v>-202.23840000000001</v>
      </c>
      <c r="CK1199" s="387" t="str">
        <f t="shared" si="832"/>
        <v/>
      </c>
      <c r="CL1199" s="387" t="str">
        <f t="shared" si="833"/>
        <v/>
      </c>
      <c r="CM1199" s="387" t="str">
        <f t="shared" si="834"/>
        <v/>
      </c>
      <c r="CN1199" s="387" t="str">
        <f t="shared" si="835"/>
        <v>0348-31</v>
      </c>
    </row>
    <row r="1200" spans="1:92" ht="15.75" thickBot="1" x14ac:dyDescent="0.3">
      <c r="A1200" s="376" t="s">
        <v>161</v>
      </c>
      <c r="B1200" s="376" t="s">
        <v>162</v>
      </c>
      <c r="C1200" s="376" t="s">
        <v>2434</v>
      </c>
      <c r="D1200" s="376" t="s">
        <v>2435</v>
      </c>
      <c r="E1200" s="376" t="s">
        <v>224</v>
      </c>
      <c r="F1200" s="382" t="s">
        <v>225</v>
      </c>
      <c r="G1200" s="376" t="s">
        <v>1945</v>
      </c>
      <c r="H1200" s="378"/>
      <c r="I1200" s="378"/>
      <c r="J1200" s="376" t="s">
        <v>215</v>
      </c>
      <c r="K1200" s="376" t="s">
        <v>2436</v>
      </c>
      <c r="L1200" s="376" t="s">
        <v>210</v>
      </c>
      <c r="M1200" s="376" t="s">
        <v>171</v>
      </c>
      <c r="N1200" s="376" t="s">
        <v>172</v>
      </c>
      <c r="O1200" s="379">
        <v>1</v>
      </c>
      <c r="P1200" s="385">
        <v>1</v>
      </c>
      <c r="Q1200" s="385">
        <v>1</v>
      </c>
      <c r="R1200" s="380">
        <v>80</v>
      </c>
      <c r="S1200" s="385">
        <v>1</v>
      </c>
      <c r="T1200" s="380">
        <v>58253.63</v>
      </c>
      <c r="U1200" s="380">
        <v>0</v>
      </c>
      <c r="V1200" s="380">
        <v>23656.04</v>
      </c>
      <c r="W1200" s="380">
        <v>61068.800000000003</v>
      </c>
      <c r="X1200" s="380">
        <v>24856.09</v>
      </c>
      <c r="Y1200" s="380">
        <v>61068.800000000003</v>
      </c>
      <c r="Z1200" s="380">
        <v>24599.61</v>
      </c>
      <c r="AA1200" s="376" t="s">
        <v>2437</v>
      </c>
      <c r="AB1200" s="376" t="s">
        <v>590</v>
      </c>
      <c r="AC1200" s="376" t="s">
        <v>860</v>
      </c>
      <c r="AD1200" s="376" t="s">
        <v>252</v>
      </c>
      <c r="AE1200" s="376" t="s">
        <v>2436</v>
      </c>
      <c r="AF1200" s="376" t="s">
        <v>245</v>
      </c>
      <c r="AG1200" s="376" t="s">
        <v>178</v>
      </c>
      <c r="AH1200" s="381">
        <v>29.36</v>
      </c>
      <c r="AI1200" s="379">
        <v>36197</v>
      </c>
      <c r="AJ1200" s="376" t="s">
        <v>179</v>
      </c>
      <c r="AK1200" s="376" t="s">
        <v>180</v>
      </c>
      <c r="AL1200" s="376" t="s">
        <v>181</v>
      </c>
      <c r="AM1200" s="376" t="s">
        <v>182</v>
      </c>
      <c r="AN1200" s="376" t="s">
        <v>68</v>
      </c>
      <c r="AO1200" s="379">
        <v>80</v>
      </c>
      <c r="AP1200" s="385">
        <v>1</v>
      </c>
      <c r="AQ1200" s="385">
        <v>1</v>
      </c>
      <c r="AR1200" s="383" t="s">
        <v>183</v>
      </c>
      <c r="AS1200" s="387">
        <f t="shared" si="819"/>
        <v>1</v>
      </c>
      <c r="AT1200">
        <f t="shared" si="820"/>
        <v>1</v>
      </c>
      <c r="AU1200" s="387">
        <f>IF(AT1200=0,"",IF(AND(AT1200=1,M1200="F",SUMIF(C2:C1334,C1200,AS2:AS1334)&lt;=1),SUMIF(C2:C1334,C1200,AS2:AS1334),IF(AND(AT1200=1,M1200="F",SUMIF(C2:C1334,C1200,AS2:AS1334)&gt;1),1,"")))</f>
        <v>1</v>
      </c>
      <c r="AV1200" s="387" t="str">
        <f>IF(AT1200=0,"",IF(AND(AT1200=3,M1200="F",SUMIF(C2:C1334,C1200,AS2:AS1334)&lt;=1),SUMIF(C2:C1334,C1200,AS2:AS1334),IF(AND(AT1200=3,M1200="F",SUMIF(C2:C1334,C1200,AS2:AS1334)&gt;1),1,"")))</f>
        <v/>
      </c>
      <c r="AW1200" s="387">
        <f>SUMIF(C2:C1334,C1200,O2:O1334)</f>
        <v>1</v>
      </c>
      <c r="AX1200" s="387">
        <f>IF(AND(M1200="F",AS1200&lt;&gt;0),SUMIF(C2:C1334,C1200,W2:W1334),0)</f>
        <v>61068.800000000003</v>
      </c>
      <c r="AY1200" s="387">
        <f t="shared" si="821"/>
        <v>61068.800000000003</v>
      </c>
      <c r="AZ1200" s="387" t="str">
        <f t="shared" si="822"/>
        <v/>
      </c>
      <c r="BA1200" s="387">
        <f t="shared" si="823"/>
        <v>0</v>
      </c>
      <c r="BB1200" s="387">
        <f t="shared" si="792"/>
        <v>11650</v>
      </c>
      <c r="BC1200" s="387">
        <f t="shared" si="793"/>
        <v>0</v>
      </c>
      <c r="BD1200" s="387">
        <f t="shared" si="794"/>
        <v>3786.2656000000002</v>
      </c>
      <c r="BE1200" s="387">
        <f t="shared" si="795"/>
        <v>885.49760000000003</v>
      </c>
      <c r="BF1200" s="387">
        <f t="shared" si="796"/>
        <v>7291.6147200000005</v>
      </c>
      <c r="BG1200" s="387">
        <f t="shared" si="797"/>
        <v>440.30604800000003</v>
      </c>
      <c r="BH1200" s="387">
        <f t="shared" si="798"/>
        <v>299.23712</v>
      </c>
      <c r="BI1200" s="387">
        <f t="shared" si="799"/>
        <v>338.01580799999999</v>
      </c>
      <c r="BJ1200" s="387">
        <f t="shared" si="800"/>
        <v>164.88576</v>
      </c>
      <c r="BK1200" s="387">
        <f t="shared" si="801"/>
        <v>0</v>
      </c>
      <c r="BL1200" s="387">
        <f t="shared" si="824"/>
        <v>13205.822656</v>
      </c>
      <c r="BM1200" s="387">
        <f t="shared" si="825"/>
        <v>0</v>
      </c>
      <c r="BN1200" s="387">
        <f t="shared" si="802"/>
        <v>11650</v>
      </c>
      <c r="BO1200" s="387">
        <f t="shared" si="803"/>
        <v>0</v>
      </c>
      <c r="BP1200" s="387">
        <f t="shared" si="804"/>
        <v>3786.2656000000002</v>
      </c>
      <c r="BQ1200" s="387">
        <f t="shared" si="805"/>
        <v>885.49760000000003</v>
      </c>
      <c r="BR1200" s="387">
        <f t="shared" si="806"/>
        <v>7291.6147200000005</v>
      </c>
      <c r="BS1200" s="387">
        <f t="shared" si="807"/>
        <v>440.30604800000003</v>
      </c>
      <c r="BT1200" s="387">
        <f t="shared" si="808"/>
        <v>0</v>
      </c>
      <c r="BU1200" s="387">
        <f t="shared" si="809"/>
        <v>338.01580799999999</v>
      </c>
      <c r="BV1200" s="387">
        <f t="shared" si="810"/>
        <v>207.63391999999999</v>
      </c>
      <c r="BW1200" s="387">
        <f t="shared" si="811"/>
        <v>0</v>
      </c>
      <c r="BX1200" s="387">
        <f t="shared" si="826"/>
        <v>12949.333696000002</v>
      </c>
      <c r="BY1200" s="387">
        <f t="shared" si="827"/>
        <v>0</v>
      </c>
      <c r="BZ1200" s="387">
        <f t="shared" si="828"/>
        <v>0</v>
      </c>
      <c r="CA1200" s="387">
        <f t="shared" si="829"/>
        <v>0</v>
      </c>
      <c r="CB1200" s="387">
        <f t="shared" si="830"/>
        <v>0</v>
      </c>
      <c r="CC1200" s="387">
        <f t="shared" si="812"/>
        <v>0</v>
      </c>
      <c r="CD1200" s="387">
        <f t="shared" si="813"/>
        <v>0</v>
      </c>
      <c r="CE1200" s="387">
        <f t="shared" si="814"/>
        <v>0</v>
      </c>
      <c r="CF1200" s="387">
        <f t="shared" si="815"/>
        <v>-299.23712</v>
      </c>
      <c r="CG1200" s="387">
        <f t="shared" si="816"/>
        <v>0</v>
      </c>
      <c r="CH1200" s="387">
        <f t="shared" si="817"/>
        <v>42.748159999999984</v>
      </c>
      <c r="CI1200" s="387">
        <f t="shared" si="818"/>
        <v>0</v>
      </c>
      <c r="CJ1200" s="387">
        <f t="shared" si="831"/>
        <v>-256.48896000000002</v>
      </c>
      <c r="CK1200" s="387" t="str">
        <f t="shared" si="832"/>
        <v/>
      </c>
      <c r="CL1200" s="387" t="str">
        <f t="shared" si="833"/>
        <v/>
      </c>
      <c r="CM1200" s="387" t="str">
        <f t="shared" si="834"/>
        <v/>
      </c>
      <c r="CN1200" s="387" t="str">
        <f t="shared" si="835"/>
        <v>0348-31</v>
      </c>
    </row>
    <row r="1201" spans="1:92" ht="15.75" thickBot="1" x14ac:dyDescent="0.3">
      <c r="A1201" s="376" t="s">
        <v>161</v>
      </c>
      <c r="B1201" s="376" t="s">
        <v>162</v>
      </c>
      <c r="C1201" s="376" t="s">
        <v>2438</v>
      </c>
      <c r="D1201" s="376" t="s">
        <v>792</v>
      </c>
      <c r="E1201" s="376" t="s">
        <v>224</v>
      </c>
      <c r="F1201" s="382" t="s">
        <v>225</v>
      </c>
      <c r="G1201" s="376" t="s">
        <v>1945</v>
      </c>
      <c r="H1201" s="378"/>
      <c r="I1201" s="378"/>
      <c r="J1201" s="376" t="s">
        <v>215</v>
      </c>
      <c r="K1201" s="376" t="s">
        <v>793</v>
      </c>
      <c r="L1201" s="376" t="s">
        <v>170</v>
      </c>
      <c r="M1201" s="376" t="s">
        <v>171</v>
      </c>
      <c r="N1201" s="376" t="s">
        <v>172</v>
      </c>
      <c r="O1201" s="379">
        <v>1</v>
      </c>
      <c r="P1201" s="385">
        <v>1</v>
      </c>
      <c r="Q1201" s="385">
        <v>1</v>
      </c>
      <c r="R1201" s="380">
        <v>80</v>
      </c>
      <c r="S1201" s="385">
        <v>1</v>
      </c>
      <c r="T1201" s="380">
        <v>46098.42</v>
      </c>
      <c r="U1201" s="380">
        <v>0</v>
      </c>
      <c r="V1201" s="380">
        <v>21080.42</v>
      </c>
      <c r="W1201" s="380">
        <v>48692.800000000003</v>
      </c>
      <c r="X1201" s="380">
        <v>22179.79</v>
      </c>
      <c r="Y1201" s="380">
        <v>48692.800000000003</v>
      </c>
      <c r="Z1201" s="380">
        <v>21975.279999999999</v>
      </c>
      <c r="AA1201" s="376" t="s">
        <v>2439</v>
      </c>
      <c r="AB1201" s="376" t="s">
        <v>2440</v>
      </c>
      <c r="AC1201" s="376" t="s">
        <v>354</v>
      </c>
      <c r="AD1201" s="376" t="s">
        <v>432</v>
      </c>
      <c r="AE1201" s="376" t="s">
        <v>793</v>
      </c>
      <c r="AF1201" s="376" t="s">
        <v>177</v>
      </c>
      <c r="AG1201" s="376" t="s">
        <v>178</v>
      </c>
      <c r="AH1201" s="381">
        <v>23.41</v>
      </c>
      <c r="AI1201" s="381">
        <v>8211.5</v>
      </c>
      <c r="AJ1201" s="376" t="s">
        <v>179</v>
      </c>
      <c r="AK1201" s="376" t="s">
        <v>180</v>
      </c>
      <c r="AL1201" s="376" t="s">
        <v>181</v>
      </c>
      <c r="AM1201" s="376" t="s">
        <v>182</v>
      </c>
      <c r="AN1201" s="376" t="s">
        <v>68</v>
      </c>
      <c r="AO1201" s="379">
        <v>80</v>
      </c>
      <c r="AP1201" s="385">
        <v>1</v>
      </c>
      <c r="AQ1201" s="385">
        <v>1</v>
      </c>
      <c r="AR1201" s="383" t="s">
        <v>183</v>
      </c>
      <c r="AS1201" s="387">
        <f t="shared" si="819"/>
        <v>1</v>
      </c>
      <c r="AT1201">
        <f t="shared" si="820"/>
        <v>1</v>
      </c>
      <c r="AU1201" s="387">
        <f>IF(AT1201=0,"",IF(AND(AT1201=1,M1201="F",SUMIF(C2:C1334,C1201,AS2:AS1334)&lt;=1),SUMIF(C2:C1334,C1201,AS2:AS1334),IF(AND(AT1201=1,M1201="F",SUMIF(C2:C1334,C1201,AS2:AS1334)&gt;1),1,"")))</f>
        <v>1</v>
      </c>
      <c r="AV1201" s="387" t="str">
        <f>IF(AT1201=0,"",IF(AND(AT1201=3,M1201="F",SUMIF(C2:C1334,C1201,AS2:AS1334)&lt;=1),SUMIF(C2:C1334,C1201,AS2:AS1334),IF(AND(AT1201=3,M1201="F",SUMIF(C2:C1334,C1201,AS2:AS1334)&gt;1),1,"")))</f>
        <v/>
      </c>
      <c r="AW1201" s="387">
        <f>SUMIF(C2:C1334,C1201,O2:O1334)</f>
        <v>1</v>
      </c>
      <c r="AX1201" s="387">
        <f>IF(AND(M1201="F",AS1201&lt;&gt;0),SUMIF(C2:C1334,C1201,W2:W1334),0)</f>
        <v>48692.800000000003</v>
      </c>
      <c r="AY1201" s="387">
        <f t="shared" si="821"/>
        <v>48692.800000000003</v>
      </c>
      <c r="AZ1201" s="387" t="str">
        <f t="shared" si="822"/>
        <v/>
      </c>
      <c r="BA1201" s="387">
        <f t="shared" si="823"/>
        <v>0</v>
      </c>
      <c r="BB1201" s="387">
        <f t="shared" si="792"/>
        <v>11650</v>
      </c>
      <c r="BC1201" s="387">
        <f t="shared" si="793"/>
        <v>0</v>
      </c>
      <c r="BD1201" s="387">
        <f t="shared" si="794"/>
        <v>3018.9536000000003</v>
      </c>
      <c r="BE1201" s="387">
        <f t="shared" si="795"/>
        <v>706.04560000000004</v>
      </c>
      <c r="BF1201" s="387">
        <f t="shared" si="796"/>
        <v>5813.9203200000011</v>
      </c>
      <c r="BG1201" s="387">
        <f t="shared" si="797"/>
        <v>351.07508800000005</v>
      </c>
      <c r="BH1201" s="387">
        <f t="shared" si="798"/>
        <v>238.59472</v>
      </c>
      <c r="BI1201" s="387">
        <f t="shared" si="799"/>
        <v>269.51464800000002</v>
      </c>
      <c r="BJ1201" s="387">
        <f t="shared" si="800"/>
        <v>131.47056000000001</v>
      </c>
      <c r="BK1201" s="387">
        <f t="shared" si="801"/>
        <v>0</v>
      </c>
      <c r="BL1201" s="387">
        <f t="shared" si="824"/>
        <v>10529.574536</v>
      </c>
      <c r="BM1201" s="387">
        <f t="shared" si="825"/>
        <v>0</v>
      </c>
      <c r="BN1201" s="387">
        <f t="shared" si="802"/>
        <v>11650</v>
      </c>
      <c r="BO1201" s="387">
        <f t="shared" si="803"/>
        <v>0</v>
      </c>
      <c r="BP1201" s="387">
        <f t="shared" si="804"/>
        <v>3018.9536000000003</v>
      </c>
      <c r="BQ1201" s="387">
        <f t="shared" si="805"/>
        <v>706.04560000000004</v>
      </c>
      <c r="BR1201" s="387">
        <f t="shared" si="806"/>
        <v>5813.9203200000011</v>
      </c>
      <c r="BS1201" s="387">
        <f t="shared" si="807"/>
        <v>351.07508800000005</v>
      </c>
      <c r="BT1201" s="387">
        <f t="shared" si="808"/>
        <v>0</v>
      </c>
      <c r="BU1201" s="387">
        <f t="shared" si="809"/>
        <v>269.51464800000002</v>
      </c>
      <c r="BV1201" s="387">
        <f t="shared" si="810"/>
        <v>165.55552</v>
      </c>
      <c r="BW1201" s="387">
        <f t="shared" si="811"/>
        <v>0</v>
      </c>
      <c r="BX1201" s="387">
        <f t="shared" si="826"/>
        <v>10325.064776000001</v>
      </c>
      <c r="BY1201" s="387">
        <f t="shared" si="827"/>
        <v>0</v>
      </c>
      <c r="BZ1201" s="387">
        <f t="shared" si="828"/>
        <v>0</v>
      </c>
      <c r="CA1201" s="387">
        <f t="shared" si="829"/>
        <v>0</v>
      </c>
      <c r="CB1201" s="387">
        <f t="shared" si="830"/>
        <v>0</v>
      </c>
      <c r="CC1201" s="387">
        <f t="shared" si="812"/>
        <v>0</v>
      </c>
      <c r="CD1201" s="387">
        <f t="shared" si="813"/>
        <v>0</v>
      </c>
      <c r="CE1201" s="387">
        <f t="shared" si="814"/>
        <v>0</v>
      </c>
      <c r="CF1201" s="387">
        <f t="shared" si="815"/>
        <v>-238.59472</v>
      </c>
      <c r="CG1201" s="387">
        <f t="shared" si="816"/>
        <v>0</v>
      </c>
      <c r="CH1201" s="387">
        <f t="shared" si="817"/>
        <v>34.084959999999988</v>
      </c>
      <c r="CI1201" s="387">
        <f t="shared" si="818"/>
        <v>0</v>
      </c>
      <c r="CJ1201" s="387">
        <f t="shared" si="831"/>
        <v>-204.50976</v>
      </c>
      <c r="CK1201" s="387" t="str">
        <f t="shared" si="832"/>
        <v/>
      </c>
      <c r="CL1201" s="387" t="str">
        <f t="shared" si="833"/>
        <v/>
      </c>
      <c r="CM1201" s="387" t="str">
        <f t="shared" si="834"/>
        <v/>
      </c>
      <c r="CN1201" s="387" t="str">
        <f t="shared" si="835"/>
        <v>0348-31</v>
      </c>
    </row>
    <row r="1202" spans="1:92" ht="15.75" thickBot="1" x14ac:dyDescent="0.3">
      <c r="A1202" s="376" t="s">
        <v>161</v>
      </c>
      <c r="B1202" s="376" t="s">
        <v>162</v>
      </c>
      <c r="C1202" s="376" t="s">
        <v>2441</v>
      </c>
      <c r="D1202" s="376" t="s">
        <v>270</v>
      </c>
      <c r="E1202" s="376" t="s">
        <v>224</v>
      </c>
      <c r="F1202" s="382" t="s">
        <v>225</v>
      </c>
      <c r="G1202" s="376" t="s">
        <v>1945</v>
      </c>
      <c r="H1202" s="378"/>
      <c r="I1202" s="378"/>
      <c r="J1202" s="376" t="s">
        <v>215</v>
      </c>
      <c r="K1202" s="376" t="s">
        <v>271</v>
      </c>
      <c r="L1202" s="376" t="s">
        <v>217</v>
      </c>
      <c r="M1202" s="376" t="s">
        <v>171</v>
      </c>
      <c r="N1202" s="376" t="s">
        <v>172</v>
      </c>
      <c r="O1202" s="379">
        <v>1</v>
      </c>
      <c r="P1202" s="385">
        <v>1</v>
      </c>
      <c r="Q1202" s="385">
        <v>1</v>
      </c>
      <c r="R1202" s="380">
        <v>80</v>
      </c>
      <c r="S1202" s="385">
        <v>1</v>
      </c>
      <c r="T1202" s="380">
        <v>35030.07</v>
      </c>
      <c r="U1202" s="380">
        <v>1012.99</v>
      </c>
      <c r="V1202" s="380">
        <v>20747.36</v>
      </c>
      <c r="W1202" s="380">
        <v>33883.199999999997</v>
      </c>
      <c r="X1202" s="380">
        <v>18977.2</v>
      </c>
      <c r="Y1202" s="380">
        <v>33883.199999999997</v>
      </c>
      <c r="Z1202" s="380">
        <v>18834.900000000001</v>
      </c>
      <c r="AA1202" s="376" t="s">
        <v>2442</v>
      </c>
      <c r="AB1202" s="376" t="s">
        <v>2443</v>
      </c>
      <c r="AC1202" s="376" t="s">
        <v>2444</v>
      </c>
      <c r="AD1202" s="376" t="s">
        <v>2445</v>
      </c>
      <c r="AE1202" s="376" t="s">
        <v>271</v>
      </c>
      <c r="AF1202" s="376" t="s">
        <v>221</v>
      </c>
      <c r="AG1202" s="376" t="s">
        <v>178</v>
      </c>
      <c r="AH1202" s="381">
        <v>16.29</v>
      </c>
      <c r="AI1202" s="381">
        <v>1974.8</v>
      </c>
      <c r="AJ1202" s="376" t="s">
        <v>179</v>
      </c>
      <c r="AK1202" s="376" t="s">
        <v>180</v>
      </c>
      <c r="AL1202" s="376" t="s">
        <v>181</v>
      </c>
      <c r="AM1202" s="376" t="s">
        <v>182</v>
      </c>
      <c r="AN1202" s="376" t="s">
        <v>68</v>
      </c>
      <c r="AO1202" s="379">
        <v>80</v>
      </c>
      <c r="AP1202" s="385">
        <v>1</v>
      </c>
      <c r="AQ1202" s="385">
        <v>1</v>
      </c>
      <c r="AR1202" s="383" t="s">
        <v>183</v>
      </c>
      <c r="AS1202" s="387">
        <f t="shared" si="819"/>
        <v>1</v>
      </c>
      <c r="AT1202">
        <f t="shared" si="820"/>
        <v>1</v>
      </c>
      <c r="AU1202" s="387">
        <f>IF(AT1202=0,"",IF(AND(AT1202=1,M1202="F",SUMIF(C2:C1334,C1202,AS2:AS1334)&lt;=1),SUMIF(C2:C1334,C1202,AS2:AS1334),IF(AND(AT1202=1,M1202="F",SUMIF(C2:C1334,C1202,AS2:AS1334)&gt;1),1,"")))</f>
        <v>1</v>
      </c>
      <c r="AV1202" s="387" t="str">
        <f>IF(AT1202=0,"",IF(AND(AT1202=3,M1202="F",SUMIF(C2:C1334,C1202,AS2:AS1334)&lt;=1),SUMIF(C2:C1334,C1202,AS2:AS1334),IF(AND(AT1202=3,M1202="F",SUMIF(C2:C1334,C1202,AS2:AS1334)&gt;1),1,"")))</f>
        <v/>
      </c>
      <c r="AW1202" s="387">
        <f>SUMIF(C2:C1334,C1202,O2:O1334)</f>
        <v>1</v>
      </c>
      <c r="AX1202" s="387">
        <f>IF(AND(M1202="F",AS1202&lt;&gt;0),SUMIF(C2:C1334,C1202,W2:W1334),0)</f>
        <v>33883.199999999997</v>
      </c>
      <c r="AY1202" s="387">
        <f t="shared" si="821"/>
        <v>33883.199999999997</v>
      </c>
      <c r="AZ1202" s="387" t="str">
        <f t="shared" si="822"/>
        <v/>
      </c>
      <c r="BA1202" s="387">
        <f t="shared" si="823"/>
        <v>0</v>
      </c>
      <c r="BB1202" s="387">
        <f t="shared" si="792"/>
        <v>11650</v>
      </c>
      <c r="BC1202" s="387">
        <f t="shared" si="793"/>
        <v>0</v>
      </c>
      <c r="BD1202" s="387">
        <f t="shared" si="794"/>
        <v>2100.7583999999997</v>
      </c>
      <c r="BE1202" s="387">
        <f t="shared" si="795"/>
        <v>491.3064</v>
      </c>
      <c r="BF1202" s="387">
        <f t="shared" si="796"/>
        <v>4045.6540799999998</v>
      </c>
      <c r="BG1202" s="387">
        <f t="shared" si="797"/>
        <v>244.29787199999998</v>
      </c>
      <c r="BH1202" s="387">
        <f t="shared" si="798"/>
        <v>166.02767999999998</v>
      </c>
      <c r="BI1202" s="387">
        <f t="shared" si="799"/>
        <v>187.54351199999999</v>
      </c>
      <c r="BJ1202" s="387">
        <f t="shared" si="800"/>
        <v>91.484639999999999</v>
      </c>
      <c r="BK1202" s="387">
        <f t="shared" si="801"/>
        <v>0</v>
      </c>
      <c r="BL1202" s="387">
        <f t="shared" si="824"/>
        <v>7327.0725839999996</v>
      </c>
      <c r="BM1202" s="387">
        <f t="shared" si="825"/>
        <v>0</v>
      </c>
      <c r="BN1202" s="387">
        <f t="shared" si="802"/>
        <v>11650</v>
      </c>
      <c r="BO1202" s="387">
        <f t="shared" si="803"/>
        <v>0</v>
      </c>
      <c r="BP1202" s="387">
        <f t="shared" si="804"/>
        <v>2100.7583999999997</v>
      </c>
      <c r="BQ1202" s="387">
        <f t="shared" si="805"/>
        <v>491.3064</v>
      </c>
      <c r="BR1202" s="387">
        <f t="shared" si="806"/>
        <v>4045.6540799999998</v>
      </c>
      <c r="BS1202" s="387">
        <f t="shared" si="807"/>
        <v>244.29787199999998</v>
      </c>
      <c r="BT1202" s="387">
        <f t="shared" si="808"/>
        <v>0</v>
      </c>
      <c r="BU1202" s="387">
        <f t="shared" si="809"/>
        <v>187.54351199999999</v>
      </c>
      <c r="BV1202" s="387">
        <f t="shared" si="810"/>
        <v>115.20287999999998</v>
      </c>
      <c r="BW1202" s="387">
        <f t="shared" si="811"/>
        <v>0</v>
      </c>
      <c r="BX1202" s="387">
        <f t="shared" si="826"/>
        <v>7184.7631439999996</v>
      </c>
      <c r="BY1202" s="387">
        <f t="shared" si="827"/>
        <v>0</v>
      </c>
      <c r="BZ1202" s="387">
        <f t="shared" si="828"/>
        <v>0</v>
      </c>
      <c r="CA1202" s="387">
        <f t="shared" si="829"/>
        <v>0</v>
      </c>
      <c r="CB1202" s="387">
        <f t="shared" si="830"/>
        <v>0</v>
      </c>
      <c r="CC1202" s="387">
        <f t="shared" si="812"/>
        <v>0</v>
      </c>
      <c r="CD1202" s="387">
        <f t="shared" si="813"/>
        <v>0</v>
      </c>
      <c r="CE1202" s="387">
        <f t="shared" si="814"/>
        <v>0</v>
      </c>
      <c r="CF1202" s="387">
        <f t="shared" si="815"/>
        <v>-166.02767999999998</v>
      </c>
      <c r="CG1202" s="387">
        <f t="shared" si="816"/>
        <v>0</v>
      </c>
      <c r="CH1202" s="387">
        <f t="shared" si="817"/>
        <v>23.718239999999987</v>
      </c>
      <c r="CI1202" s="387">
        <f t="shared" si="818"/>
        <v>0</v>
      </c>
      <c r="CJ1202" s="387">
        <f t="shared" si="831"/>
        <v>-142.30944</v>
      </c>
      <c r="CK1202" s="387" t="str">
        <f t="shared" si="832"/>
        <v/>
      </c>
      <c r="CL1202" s="387" t="str">
        <f t="shared" si="833"/>
        <v/>
      </c>
      <c r="CM1202" s="387" t="str">
        <f t="shared" si="834"/>
        <v/>
      </c>
      <c r="CN1202" s="387" t="str">
        <f t="shared" si="835"/>
        <v>0348-31</v>
      </c>
    </row>
    <row r="1203" spans="1:92" ht="15.75" thickBot="1" x14ac:dyDescent="0.3">
      <c r="A1203" s="376" t="s">
        <v>161</v>
      </c>
      <c r="B1203" s="376" t="s">
        <v>162</v>
      </c>
      <c r="C1203" s="376" t="s">
        <v>1514</v>
      </c>
      <c r="D1203" s="376" t="s">
        <v>862</v>
      </c>
      <c r="E1203" s="376" t="s">
        <v>224</v>
      </c>
      <c r="F1203" s="382" t="s">
        <v>225</v>
      </c>
      <c r="G1203" s="376" t="s">
        <v>1945</v>
      </c>
      <c r="H1203" s="378"/>
      <c r="I1203" s="378"/>
      <c r="J1203" s="376" t="s">
        <v>215</v>
      </c>
      <c r="K1203" s="376" t="s">
        <v>863</v>
      </c>
      <c r="L1203" s="376" t="s">
        <v>252</v>
      </c>
      <c r="M1203" s="376" t="s">
        <v>171</v>
      </c>
      <c r="N1203" s="376" t="s">
        <v>172</v>
      </c>
      <c r="O1203" s="379">
        <v>1</v>
      </c>
      <c r="P1203" s="385">
        <v>0</v>
      </c>
      <c r="Q1203" s="385">
        <v>0</v>
      </c>
      <c r="R1203" s="380">
        <v>80</v>
      </c>
      <c r="S1203" s="385">
        <v>0</v>
      </c>
      <c r="T1203" s="380">
        <v>168.16</v>
      </c>
      <c r="U1203" s="380">
        <v>0</v>
      </c>
      <c r="V1203" s="380">
        <v>66.45</v>
      </c>
      <c r="W1203" s="380">
        <v>0</v>
      </c>
      <c r="X1203" s="380">
        <v>0</v>
      </c>
      <c r="Y1203" s="380">
        <v>0</v>
      </c>
      <c r="Z1203" s="380">
        <v>0</v>
      </c>
      <c r="AA1203" s="376" t="s">
        <v>1515</v>
      </c>
      <c r="AB1203" s="376" t="s">
        <v>1516</v>
      </c>
      <c r="AC1203" s="376" t="s">
        <v>1517</v>
      </c>
      <c r="AD1203" s="376" t="s">
        <v>1518</v>
      </c>
      <c r="AE1203" s="376" t="s">
        <v>863</v>
      </c>
      <c r="AF1203" s="376" t="s">
        <v>393</v>
      </c>
      <c r="AG1203" s="376" t="s">
        <v>178</v>
      </c>
      <c r="AH1203" s="381">
        <v>18.68</v>
      </c>
      <c r="AI1203" s="379">
        <v>1560</v>
      </c>
      <c r="AJ1203" s="376" t="s">
        <v>179</v>
      </c>
      <c r="AK1203" s="376" t="s">
        <v>180</v>
      </c>
      <c r="AL1203" s="376" t="s">
        <v>181</v>
      </c>
      <c r="AM1203" s="376" t="s">
        <v>182</v>
      </c>
      <c r="AN1203" s="376" t="s">
        <v>68</v>
      </c>
      <c r="AO1203" s="379">
        <v>80</v>
      </c>
      <c r="AP1203" s="385">
        <v>1</v>
      </c>
      <c r="AQ1203" s="385">
        <v>0</v>
      </c>
      <c r="AR1203" s="383" t="s">
        <v>183</v>
      </c>
      <c r="AS1203" s="387">
        <f t="shared" si="819"/>
        <v>0</v>
      </c>
      <c r="AT1203">
        <f t="shared" si="820"/>
        <v>0</v>
      </c>
      <c r="AU1203" s="387" t="str">
        <f>IF(AT1203=0,"",IF(AND(AT1203=1,M1203="F",SUMIF(C2:C1334,C1203,AS2:AS1334)&lt;=1),SUMIF(C2:C1334,C1203,AS2:AS1334),IF(AND(AT1203=1,M1203="F",SUMIF(C2:C1334,C1203,AS2:AS1334)&gt;1),1,"")))</f>
        <v/>
      </c>
      <c r="AV1203" s="387" t="str">
        <f>IF(AT1203=0,"",IF(AND(AT1203=3,M1203="F",SUMIF(C2:C1334,C1203,AS2:AS1334)&lt;=1),SUMIF(C2:C1334,C1203,AS2:AS1334),IF(AND(AT1203=3,M1203="F",SUMIF(C2:C1334,C1203,AS2:AS1334)&gt;1),1,"")))</f>
        <v/>
      </c>
      <c r="AW1203" s="387">
        <f>SUMIF(C2:C1334,C1203,O2:O1334)</f>
        <v>3</v>
      </c>
      <c r="AX1203" s="387">
        <f>IF(AND(M1203="F",AS1203&lt;&gt;0),SUMIF(C2:C1334,C1203,W2:W1334),0)</f>
        <v>0</v>
      </c>
      <c r="AY1203" s="387" t="str">
        <f t="shared" si="821"/>
        <v/>
      </c>
      <c r="AZ1203" s="387" t="str">
        <f t="shared" si="822"/>
        <v/>
      </c>
      <c r="BA1203" s="387">
        <f t="shared" si="823"/>
        <v>0</v>
      </c>
      <c r="BB1203" s="387">
        <f t="shared" si="792"/>
        <v>0</v>
      </c>
      <c r="BC1203" s="387">
        <f t="shared" si="793"/>
        <v>0</v>
      </c>
      <c r="BD1203" s="387">
        <f t="shared" si="794"/>
        <v>0</v>
      </c>
      <c r="BE1203" s="387">
        <f t="shared" si="795"/>
        <v>0</v>
      </c>
      <c r="BF1203" s="387">
        <f t="shared" si="796"/>
        <v>0</v>
      </c>
      <c r="BG1203" s="387">
        <f t="shared" si="797"/>
        <v>0</v>
      </c>
      <c r="BH1203" s="387">
        <f t="shared" si="798"/>
        <v>0</v>
      </c>
      <c r="BI1203" s="387">
        <f t="shared" si="799"/>
        <v>0</v>
      </c>
      <c r="BJ1203" s="387">
        <f t="shared" si="800"/>
        <v>0</v>
      </c>
      <c r="BK1203" s="387">
        <f t="shared" si="801"/>
        <v>0</v>
      </c>
      <c r="BL1203" s="387">
        <f t="shared" si="824"/>
        <v>0</v>
      </c>
      <c r="BM1203" s="387">
        <f t="shared" si="825"/>
        <v>0</v>
      </c>
      <c r="BN1203" s="387">
        <f t="shared" si="802"/>
        <v>0</v>
      </c>
      <c r="BO1203" s="387">
        <f t="shared" si="803"/>
        <v>0</v>
      </c>
      <c r="BP1203" s="387">
        <f t="shared" si="804"/>
        <v>0</v>
      </c>
      <c r="BQ1203" s="387">
        <f t="shared" si="805"/>
        <v>0</v>
      </c>
      <c r="BR1203" s="387">
        <f t="shared" si="806"/>
        <v>0</v>
      </c>
      <c r="BS1203" s="387">
        <f t="shared" si="807"/>
        <v>0</v>
      </c>
      <c r="BT1203" s="387">
        <f t="shared" si="808"/>
        <v>0</v>
      </c>
      <c r="BU1203" s="387">
        <f t="shared" si="809"/>
        <v>0</v>
      </c>
      <c r="BV1203" s="387">
        <f t="shared" si="810"/>
        <v>0</v>
      </c>
      <c r="BW1203" s="387">
        <f t="shared" si="811"/>
        <v>0</v>
      </c>
      <c r="BX1203" s="387">
        <f t="shared" si="826"/>
        <v>0</v>
      </c>
      <c r="BY1203" s="387">
        <f t="shared" si="827"/>
        <v>0</v>
      </c>
      <c r="BZ1203" s="387">
        <f t="shared" si="828"/>
        <v>0</v>
      </c>
      <c r="CA1203" s="387">
        <f t="shared" si="829"/>
        <v>0</v>
      </c>
      <c r="CB1203" s="387">
        <f t="shared" si="830"/>
        <v>0</v>
      </c>
      <c r="CC1203" s="387">
        <f t="shared" si="812"/>
        <v>0</v>
      </c>
      <c r="CD1203" s="387">
        <f t="shared" si="813"/>
        <v>0</v>
      </c>
      <c r="CE1203" s="387">
        <f t="shared" si="814"/>
        <v>0</v>
      </c>
      <c r="CF1203" s="387">
        <f t="shared" si="815"/>
        <v>0</v>
      </c>
      <c r="CG1203" s="387">
        <f t="shared" si="816"/>
        <v>0</v>
      </c>
      <c r="CH1203" s="387">
        <f t="shared" si="817"/>
        <v>0</v>
      </c>
      <c r="CI1203" s="387">
        <f t="shared" si="818"/>
        <v>0</v>
      </c>
      <c r="CJ1203" s="387">
        <f t="shared" si="831"/>
        <v>0</v>
      </c>
      <c r="CK1203" s="387" t="str">
        <f t="shared" si="832"/>
        <v/>
      </c>
      <c r="CL1203" s="387" t="str">
        <f t="shared" si="833"/>
        <v/>
      </c>
      <c r="CM1203" s="387" t="str">
        <f t="shared" si="834"/>
        <v/>
      </c>
      <c r="CN1203" s="387" t="str">
        <f t="shared" si="835"/>
        <v>0348-31</v>
      </c>
    </row>
    <row r="1204" spans="1:92" ht="15.75" thickBot="1" x14ac:dyDescent="0.3">
      <c r="A1204" s="376" t="s">
        <v>161</v>
      </c>
      <c r="B1204" s="376" t="s">
        <v>162</v>
      </c>
      <c r="C1204" s="376" t="s">
        <v>2446</v>
      </c>
      <c r="D1204" s="376" t="s">
        <v>1476</v>
      </c>
      <c r="E1204" s="376" t="s">
        <v>224</v>
      </c>
      <c r="F1204" s="382" t="s">
        <v>225</v>
      </c>
      <c r="G1204" s="376" t="s">
        <v>1945</v>
      </c>
      <c r="H1204" s="378"/>
      <c r="I1204" s="378"/>
      <c r="J1204" s="376" t="s">
        <v>215</v>
      </c>
      <c r="K1204" s="376" t="s">
        <v>1477</v>
      </c>
      <c r="L1204" s="376" t="s">
        <v>296</v>
      </c>
      <c r="M1204" s="376" t="s">
        <v>171</v>
      </c>
      <c r="N1204" s="376" t="s">
        <v>172</v>
      </c>
      <c r="O1204" s="379">
        <v>1</v>
      </c>
      <c r="P1204" s="385">
        <v>1</v>
      </c>
      <c r="Q1204" s="385">
        <v>1</v>
      </c>
      <c r="R1204" s="380">
        <v>80</v>
      </c>
      <c r="S1204" s="385">
        <v>1</v>
      </c>
      <c r="T1204" s="380">
        <v>50215.839999999997</v>
      </c>
      <c r="U1204" s="380">
        <v>3059.99</v>
      </c>
      <c r="V1204" s="380">
        <v>22532.13</v>
      </c>
      <c r="W1204" s="380">
        <v>52208</v>
      </c>
      <c r="X1204" s="380">
        <v>22939.94</v>
      </c>
      <c r="Y1204" s="380">
        <v>52208</v>
      </c>
      <c r="Z1204" s="380">
        <v>22720.67</v>
      </c>
      <c r="AA1204" s="376" t="s">
        <v>2447</v>
      </c>
      <c r="AB1204" s="376" t="s">
        <v>2448</v>
      </c>
      <c r="AC1204" s="376" t="s">
        <v>2130</v>
      </c>
      <c r="AD1204" s="376" t="s">
        <v>210</v>
      </c>
      <c r="AE1204" s="376" t="s">
        <v>1477</v>
      </c>
      <c r="AF1204" s="376" t="s">
        <v>301</v>
      </c>
      <c r="AG1204" s="376" t="s">
        <v>178</v>
      </c>
      <c r="AH1204" s="381">
        <v>25.1</v>
      </c>
      <c r="AI1204" s="381">
        <v>23423.7</v>
      </c>
      <c r="AJ1204" s="376" t="s">
        <v>179</v>
      </c>
      <c r="AK1204" s="376" t="s">
        <v>180</v>
      </c>
      <c r="AL1204" s="376" t="s">
        <v>181</v>
      </c>
      <c r="AM1204" s="376" t="s">
        <v>182</v>
      </c>
      <c r="AN1204" s="376" t="s">
        <v>68</v>
      </c>
      <c r="AO1204" s="379">
        <v>80</v>
      </c>
      <c r="AP1204" s="385">
        <v>1</v>
      </c>
      <c r="AQ1204" s="385">
        <v>1</v>
      </c>
      <c r="AR1204" s="383" t="s">
        <v>183</v>
      </c>
      <c r="AS1204" s="387">
        <f t="shared" si="819"/>
        <v>1</v>
      </c>
      <c r="AT1204">
        <f t="shared" si="820"/>
        <v>1</v>
      </c>
      <c r="AU1204" s="387">
        <f>IF(AT1204=0,"",IF(AND(AT1204=1,M1204="F",SUMIF(C2:C1334,C1204,AS2:AS1334)&lt;=1),SUMIF(C2:C1334,C1204,AS2:AS1334),IF(AND(AT1204=1,M1204="F",SUMIF(C2:C1334,C1204,AS2:AS1334)&gt;1),1,"")))</f>
        <v>1</v>
      </c>
      <c r="AV1204" s="387" t="str">
        <f>IF(AT1204=0,"",IF(AND(AT1204=3,M1204="F",SUMIF(C2:C1334,C1204,AS2:AS1334)&lt;=1),SUMIF(C2:C1334,C1204,AS2:AS1334),IF(AND(AT1204=3,M1204="F",SUMIF(C2:C1334,C1204,AS2:AS1334)&gt;1),1,"")))</f>
        <v/>
      </c>
      <c r="AW1204" s="387">
        <f>SUMIF(C2:C1334,C1204,O2:O1334)</f>
        <v>1</v>
      </c>
      <c r="AX1204" s="387">
        <f>IF(AND(M1204="F",AS1204&lt;&gt;0),SUMIF(C2:C1334,C1204,W2:W1334),0)</f>
        <v>52208</v>
      </c>
      <c r="AY1204" s="387">
        <f t="shared" si="821"/>
        <v>52208</v>
      </c>
      <c r="AZ1204" s="387" t="str">
        <f t="shared" si="822"/>
        <v/>
      </c>
      <c r="BA1204" s="387">
        <f t="shared" si="823"/>
        <v>0</v>
      </c>
      <c r="BB1204" s="387">
        <f t="shared" si="792"/>
        <v>11650</v>
      </c>
      <c r="BC1204" s="387">
        <f t="shared" si="793"/>
        <v>0</v>
      </c>
      <c r="BD1204" s="387">
        <f t="shared" si="794"/>
        <v>3236.8960000000002</v>
      </c>
      <c r="BE1204" s="387">
        <f t="shared" si="795"/>
        <v>757.01600000000008</v>
      </c>
      <c r="BF1204" s="387">
        <f t="shared" si="796"/>
        <v>6233.6352000000006</v>
      </c>
      <c r="BG1204" s="387">
        <f t="shared" si="797"/>
        <v>376.41968000000003</v>
      </c>
      <c r="BH1204" s="387">
        <f t="shared" si="798"/>
        <v>255.8192</v>
      </c>
      <c r="BI1204" s="387">
        <f t="shared" si="799"/>
        <v>288.97127999999998</v>
      </c>
      <c r="BJ1204" s="387">
        <f t="shared" si="800"/>
        <v>140.9616</v>
      </c>
      <c r="BK1204" s="387">
        <f t="shared" si="801"/>
        <v>0</v>
      </c>
      <c r="BL1204" s="387">
        <f t="shared" si="824"/>
        <v>11289.718960000002</v>
      </c>
      <c r="BM1204" s="387">
        <f t="shared" si="825"/>
        <v>0</v>
      </c>
      <c r="BN1204" s="387">
        <f t="shared" si="802"/>
        <v>11650</v>
      </c>
      <c r="BO1204" s="387">
        <f t="shared" si="803"/>
        <v>0</v>
      </c>
      <c r="BP1204" s="387">
        <f t="shared" si="804"/>
        <v>3236.8960000000002</v>
      </c>
      <c r="BQ1204" s="387">
        <f t="shared" si="805"/>
        <v>757.01600000000008</v>
      </c>
      <c r="BR1204" s="387">
        <f t="shared" si="806"/>
        <v>6233.6352000000006</v>
      </c>
      <c r="BS1204" s="387">
        <f t="shared" si="807"/>
        <v>376.41968000000003</v>
      </c>
      <c r="BT1204" s="387">
        <f t="shared" si="808"/>
        <v>0</v>
      </c>
      <c r="BU1204" s="387">
        <f t="shared" si="809"/>
        <v>288.97127999999998</v>
      </c>
      <c r="BV1204" s="387">
        <f t="shared" si="810"/>
        <v>177.50719999999998</v>
      </c>
      <c r="BW1204" s="387">
        <f t="shared" si="811"/>
        <v>0</v>
      </c>
      <c r="BX1204" s="387">
        <f t="shared" si="826"/>
        <v>11070.445360000002</v>
      </c>
      <c r="BY1204" s="387">
        <f t="shared" si="827"/>
        <v>0</v>
      </c>
      <c r="BZ1204" s="387">
        <f t="shared" si="828"/>
        <v>0</v>
      </c>
      <c r="CA1204" s="387">
        <f t="shared" si="829"/>
        <v>0</v>
      </c>
      <c r="CB1204" s="387">
        <f t="shared" si="830"/>
        <v>0</v>
      </c>
      <c r="CC1204" s="387">
        <f t="shared" si="812"/>
        <v>0</v>
      </c>
      <c r="CD1204" s="387">
        <f t="shared" si="813"/>
        <v>0</v>
      </c>
      <c r="CE1204" s="387">
        <f t="shared" si="814"/>
        <v>0</v>
      </c>
      <c r="CF1204" s="387">
        <f t="shared" si="815"/>
        <v>-255.8192</v>
      </c>
      <c r="CG1204" s="387">
        <f t="shared" si="816"/>
        <v>0</v>
      </c>
      <c r="CH1204" s="387">
        <f t="shared" si="817"/>
        <v>36.545599999999986</v>
      </c>
      <c r="CI1204" s="387">
        <f t="shared" si="818"/>
        <v>0</v>
      </c>
      <c r="CJ1204" s="387">
        <f t="shared" si="831"/>
        <v>-219.27360000000002</v>
      </c>
      <c r="CK1204" s="387" t="str">
        <f t="shared" si="832"/>
        <v/>
      </c>
      <c r="CL1204" s="387" t="str">
        <f t="shared" si="833"/>
        <v/>
      </c>
      <c r="CM1204" s="387" t="str">
        <f t="shared" si="834"/>
        <v/>
      </c>
      <c r="CN1204" s="387" t="str">
        <f t="shared" si="835"/>
        <v>0348-31</v>
      </c>
    </row>
    <row r="1205" spans="1:92" ht="15.75" thickBot="1" x14ac:dyDescent="0.3">
      <c r="A1205" s="376" t="s">
        <v>161</v>
      </c>
      <c r="B1205" s="376" t="s">
        <v>162</v>
      </c>
      <c r="C1205" s="376" t="s">
        <v>1609</v>
      </c>
      <c r="D1205" s="376" t="s">
        <v>270</v>
      </c>
      <c r="E1205" s="376" t="s">
        <v>224</v>
      </c>
      <c r="F1205" s="382" t="s">
        <v>225</v>
      </c>
      <c r="G1205" s="376" t="s">
        <v>1945</v>
      </c>
      <c r="H1205" s="378"/>
      <c r="I1205" s="378"/>
      <c r="J1205" s="376" t="s">
        <v>215</v>
      </c>
      <c r="K1205" s="376" t="s">
        <v>271</v>
      </c>
      <c r="L1205" s="376" t="s">
        <v>217</v>
      </c>
      <c r="M1205" s="376" t="s">
        <v>171</v>
      </c>
      <c r="N1205" s="376" t="s">
        <v>172</v>
      </c>
      <c r="O1205" s="379">
        <v>1</v>
      </c>
      <c r="P1205" s="385">
        <v>1</v>
      </c>
      <c r="Q1205" s="385">
        <v>1</v>
      </c>
      <c r="R1205" s="380">
        <v>80</v>
      </c>
      <c r="S1205" s="385">
        <v>1</v>
      </c>
      <c r="T1205" s="380">
        <v>0</v>
      </c>
      <c r="U1205" s="380">
        <v>0</v>
      </c>
      <c r="V1205" s="380">
        <v>0</v>
      </c>
      <c r="W1205" s="380">
        <v>33280</v>
      </c>
      <c r="X1205" s="380">
        <v>18846.78</v>
      </c>
      <c r="Y1205" s="380">
        <v>33280</v>
      </c>
      <c r="Z1205" s="380">
        <v>18707.009999999998</v>
      </c>
      <c r="AA1205" s="376" t="s">
        <v>1610</v>
      </c>
      <c r="AB1205" s="376" t="s">
        <v>977</v>
      </c>
      <c r="AC1205" s="376" t="s">
        <v>365</v>
      </c>
      <c r="AD1205" s="376" t="s">
        <v>198</v>
      </c>
      <c r="AE1205" s="376" t="s">
        <v>271</v>
      </c>
      <c r="AF1205" s="376" t="s">
        <v>221</v>
      </c>
      <c r="AG1205" s="376" t="s">
        <v>178</v>
      </c>
      <c r="AH1205" s="379">
        <v>16</v>
      </c>
      <c r="AI1205" s="379">
        <v>752</v>
      </c>
      <c r="AJ1205" s="376" t="s">
        <v>179</v>
      </c>
      <c r="AK1205" s="376" t="s">
        <v>180</v>
      </c>
      <c r="AL1205" s="376" t="s">
        <v>181</v>
      </c>
      <c r="AM1205" s="376" t="s">
        <v>182</v>
      </c>
      <c r="AN1205" s="376" t="s">
        <v>68</v>
      </c>
      <c r="AO1205" s="379">
        <v>80</v>
      </c>
      <c r="AP1205" s="385">
        <v>1</v>
      </c>
      <c r="AQ1205" s="385">
        <v>1</v>
      </c>
      <c r="AR1205" s="383" t="s">
        <v>183</v>
      </c>
      <c r="AS1205" s="387">
        <f t="shared" si="819"/>
        <v>1</v>
      </c>
      <c r="AT1205">
        <f t="shared" si="820"/>
        <v>1</v>
      </c>
      <c r="AU1205" s="387">
        <f>IF(AT1205=0,"",IF(AND(AT1205=1,M1205="F",SUMIF(C2:C1334,C1205,AS2:AS1334)&lt;=1),SUMIF(C2:C1334,C1205,AS2:AS1334),IF(AND(AT1205=1,M1205="F",SUMIF(C2:C1334,C1205,AS2:AS1334)&gt;1),1,"")))</f>
        <v>1</v>
      </c>
      <c r="AV1205" s="387" t="str">
        <f>IF(AT1205=0,"",IF(AND(AT1205=3,M1205="F",SUMIF(C2:C1334,C1205,AS2:AS1334)&lt;=1),SUMIF(C2:C1334,C1205,AS2:AS1334),IF(AND(AT1205=3,M1205="F",SUMIF(C2:C1334,C1205,AS2:AS1334)&gt;1),1,"")))</f>
        <v/>
      </c>
      <c r="AW1205" s="387">
        <f>SUMIF(C2:C1334,C1205,O2:O1334)</f>
        <v>2</v>
      </c>
      <c r="AX1205" s="387">
        <f>IF(AND(M1205="F",AS1205&lt;&gt;0),SUMIF(C2:C1334,C1205,W2:W1334),0)</f>
        <v>33280</v>
      </c>
      <c r="AY1205" s="387">
        <f t="shared" si="821"/>
        <v>33280</v>
      </c>
      <c r="AZ1205" s="387" t="str">
        <f t="shared" si="822"/>
        <v/>
      </c>
      <c r="BA1205" s="387">
        <f t="shared" si="823"/>
        <v>0</v>
      </c>
      <c r="BB1205" s="387">
        <f t="shared" si="792"/>
        <v>11650</v>
      </c>
      <c r="BC1205" s="387">
        <f t="shared" si="793"/>
        <v>0</v>
      </c>
      <c r="BD1205" s="387">
        <f t="shared" si="794"/>
        <v>2063.36</v>
      </c>
      <c r="BE1205" s="387">
        <f t="shared" si="795"/>
        <v>482.56</v>
      </c>
      <c r="BF1205" s="387">
        <f t="shared" si="796"/>
        <v>3973.6320000000001</v>
      </c>
      <c r="BG1205" s="387">
        <f t="shared" si="797"/>
        <v>239.94880000000001</v>
      </c>
      <c r="BH1205" s="387">
        <f t="shared" si="798"/>
        <v>163.072</v>
      </c>
      <c r="BI1205" s="387">
        <f t="shared" si="799"/>
        <v>184.20480000000001</v>
      </c>
      <c r="BJ1205" s="387">
        <f t="shared" si="800"/>
        <v>89.856000000000009</v>
      </c>
      <c r="BK1205" s="387">
        <f t="shared" si="801"/>
        <v>0</v>
      </c>
      <c r="BL1205" s="387">
        <f t="shared" si="824"/>
        <v>7196.6336000000001</v>
      </c>
      <c r="BM1205" s="387">
        <f t="shared" si="825"/>
        <v>0</v>
      </c>
      <c r="BN1205" s="387">
        <f t="shared" si="802"/>
        <v>11650</v>
      </c>
      <c r="BO1205" s="387">
        <f t="shared" si="803"/>
        <v>0</v>
      </c>
      <c r="BP1205" s="387">
        <f t="shared" si="804"/>
        <v>2063.36</v>
      </c>
      <c r="BQ1205" s="387">
        <f t="shared" si="805"/>
        <v>482.56</v>
      </c>
      <c r="BR1205" s="387">
        <f t="shared" si="806"/>
        <v>3973.6320000000001</v>
      </c>
      <c r="BS1205" s="387">
        <f t="shared" si="807"/>
        <v>239.94880000000001</v>
      </c>
      <c r="BT1205" s="387">
        <f t="shared" si="808"/>
        <v>0</v>
      </c>
      <c r="BU1205" s="387">
        <f t="shared" si="809"/>
        <v>184.20480000000001</v>
      </c>
      <c r="BV1205" s="387">
        <f t="shared" si="810"/>
        <v>113.15199999999999</v>
      </c>
      <c r="BW1205" s="387">
        <f t="shared" si="811"/>
        <v>0</v>
      </c>
      <c r="BX1205" s="387">
        <f t="shared" si="826"/>
        <v>7056.8576000000003</v>
      </c>
      <c r="BY1205" s="387">
        <f t="shared" si="827"/>
        <v>0</v>
      </c>
      <c r="BZ1205" s="387">
        <f t="shared" si="828"/>
        <v>0</v>
      </c>
      <c r="CA1205" s="387">
        <f t="shared" si="829"/>
        <v>0</v>
      </c>
      <c r="CB1205" s="387">
        <f t="shared" si="830"/>
        <v>0</v>
      </c>
      <c r="CC1205" s="387">
        <f t="shared" si="812"/>
        <v>0</v>
      </c>
      <c r="CD1205" s="387">
        <f t="shared" si="813"/>
        <v>0</v>
      </c>
      <c r="CE1205" s="387">
        <f t="shared" si="814"/>
        <v>0</v>
      </c>
      <c r="CF1205" s="387">
        <f t="shared" si="815"/>
        <v>-163.072</v>
      </c>
      <c r="CG1205" s="387">
        <f t="shared" si="816"/>
        <v>0</v>
      </c>
      <c r="CH1205" s="387">
        <f t="shared" si="817"/>
        <v>23.295999999999989</v>
      </c>
      <c r="CI1205" s="387">
        <f t="shared" si="818"/>
        <v>0</v>
      </c>
      <c r="CJ1205" s="387">
        <f t="shared" si="831"/>
        <v>-139.77600000000001</v>
      </c>
      <c r="CK1205" s="387" t="str">
        <f t="shared" si="832"/>
        <v/>
      </c>
      <c r="CL1205" s="387" t="str">
        <f t="shared" si="833"/>
        <v/>
      </c>
      <c r="CM1205" s="387" t="str">
        <f t="shared" si="834"/>
        <v/>
      </c>
      <c r="CN1205" s="387" t="str">
        <f t="shared" si="835"/>
        <v>0348-31</v>
      </c>
    </row>
    <row r="1206" spans="1:92" ht="15.75" thickBot="1" x14ac:dyDescent="0.3">
      <c r="A1206" s="376" t="s">
        <v>161</v>
      </c>
      <c r="B1206" s="376" t="s">
        <v>162</v>
      </c>
      <c r="C1206" s="376" t="s">
        <v>2449</v>
      </c>
      <c r="D1206" s="376" t="s">
        <v>823</v>
      </c>
      <c r="E1206" s="376" t="s">
        <v>224</v>
      </c>
      <c r="F1206" s="382" t="s">
        <v>225</v>
      </c>
      <c r="G1206" s="376" t="s">
        <v>1945</v>
      </c>
      <c r="H1206" s="378"/>
      <c r="I1206" s="378"/>
      <c r="J1206" s="376" t="s">
        <v>215</v>
      </c>
      <c r="K1206" s="376" t="s">
        <v>824</v>
      </c>
      <c r="L1206" s="376" t="s">
        <v>166</v>
      </c>
      <c r="M1206" s="376" t="s">
        <v>171</v>
      </c>
      <c r="N1206" s="376" t="s">
        <v>780</v>
      </c>
      <c r="O1206" s="379">
        <v>0</v>
      </c>
      <c r="P1206" s="385">
        <v>1</v>
      </c>
      <c r="Q1206" s="385">
        <v>0</v>
      </c>
      <c r="R1206" s="380">
        <v>0</v>
      </c>
      <c r="S1206" s="385">
        <v>0</v>
      </c>
      <c r="T1206" s="380">
        <v>8292.93</v>
      </c>
      <c r="U1206" s="380">
        <v>0</v>
      </c>
      <c r="V1206" s="380">
        <v>678.7</v>
      </c>
      <c r="W1206" s="380">
        <v>8292.93</v>
      </c>
      <c r="X1206" s="380">
        <v>678.7</v>
      </c>
      <c r="Y1206" s="380">
        <v>8292.93</v>
      </c>
      <c r="Z1206" s="380">
        <v>678.7</v>
      </c>
      <c r="AA1206" s="378"/>
      <c r="AB1206" s="376" t="s">
        <v>45</v>
      </c>
      <c r="AC1206" s="376" t="s">
        <v>45</v>
      </c>
      <c r="AD1206" s="378"/>
      <c r="AE1206" s="378"/>
      <c r="AF1206" s="378"/>
      <c r="AG1206" s="378"/>
      <c r="AH1206" s="379">
        <v>0</v>
      </c>
      <c r="AI1206" s="379">
        <v>0</v>
      </c>
      <c r="AJ1206" s="378"/>
      <c r="AK1206" s="378"/>
      <c r="AL1206" s="376" t="s">
        <v>181</v>
      </c>
      <c r="AM1206" s="378"/>
      <c r="AN1206" s="378"/>
      <c r="AO1206" s="379">
        <v>0</v>
      </c>
      <c r="AP1206" s="385">
        <v>0</v>
      </c>
      <c r="AQ1206" s="385">
        <v>0</v>
      </c>
      <c r="AR1206" s="384"/>
      <c r="AS1206" s="387">
        <f t="shared" si="819"/>
        <v>0</v>
      </c>
      <c r="AT1206">
        <f t="shared" si="820"/>
        <v>0</v>
      </c>
      <c r="AU1206" s="387" t="str">
        <f>IF(AT1206=0,"",IF(AND(AT1206=1,M1206="F",SUMIF(C2:C1334,C1206,AS2:AS1334)&lt;=1),SUMIF(C2:C1334,C1206,AS2:AS1334),IF(AND(AT1206=1,M1206="F",SUMIF(C2:C1334,C1206,AS2:AS1334)&gt;1),1,"")))</f>
        <v/>
      </c>
      <c r="AV1206" s="387" t="str">
        <f>IF(AT1206=0,"",IF(AND(AT1206=3,M1206="F",SUMIF(C2:C1334,C1206,AS2:AS1334)&lt;=1),SUMIF(C2:C1334,C1206,AS2:AS1334),IF(AND(AT1206=3,M1206="F",SUMIF(C2:C1334,C1206,AS2:AS1334)&gt;1),1,"")))</f>
        <v/>
      </c>
      <c r="AW1206" s="387">
        <f>SUMIF(C2:C1334,C1206,O2:O1334)</f>
        <v>0</v>
      </c>
      <c r="AX1206" s="387">
        <f>IF(AND(M1206="F",AS1206&lt;&gt;0),SUMIF(C2:C1334,C1206,W2:W1334),0)</f>
        <v>0</v>
      </c>
      <c r="AY1206" s="387" t="str">
        <f t="shared" si="821"/>
        <v/>
      </c>
      <c r="AZ1206" s="387" t="str">
        <f t="shared" si="822"/>
        <v/>
      </c>
      <c r="BA1206" s="387">
        <f t="shared" si="823"/>
        <v>0</v>
      </c>
      <c r="BB1206" s="387">
        <f t="shared" si="792"/>
        <v>0</v>
      </c>
      <c r="BC1206" s="387">
        <f t="shared" si="793"/>
        <v>0</v>
      </c>
      <c r="BD1206" s="387">
        <f t="shared" si="794"/>
        <v>0</v>
      </c>
      <c r="BE1206" s="387">
        <f t="shared" si="795"/>
        <v>0</v>
      </c>
      <c r="BF1206" s="387">
        <f t="shared" si="796"/>
        <v>0</v>
      </c>
      <c r="BG1206" s="387">
        <f t="shared" si="797"/>
        <v>0</v>
      </c>
      <c r="BH1206" s="387">
        <f t="shared" si="798"/>
        <v>0</v>
      </c>
      <c r="BI1206" s="387">
        <f t="shared" si="799"/>
        <v>0</v>
      </c>
      <c r="BJ1206" s="387">
        <f t="shared" si="800"/>
        <v>0</v>
      </c>
      <c r="BK1206" s="387">
        <f t="shared" si="801"/>
        <v>0</v>
      </c>
      <c r="BL1206" s="387">
        <f t="shared" si="824"/>
        <v>0</v>
      </c>
      <c r="BM1206" s="387">
        <f t="shared" si="825"/>
        <v>0</v>
      </c>
      <c r="BN1206" s="387">
        <f t="shared" si="802"/>
        <v>0</v>
      </c>
      <c r="BO1206" s="387">
        <f t="shared" si="803"/>
        <v>0</v>
      </c>
      <c r="BP1206" s="387">
        <f t="shared" si="804"/>
        <v>0</v>
      </c>
      <c r="BQ1206" s="387">
        <f t="shared" si="805"/>
        <v>0</v>
      </c>
      <c r="BR1206" s="387">
        <f t="shared" si="806"/>
        <v>0</v>
      </c>
      <c r="BS1206" s="387">
        <f t="shared" si="807"/>
        <v>0</v>
      </c>
      <c r="BT1206" s="387">
        <f t="shared" si="808"/>
        <v>0</v>
      </c>
      <c r="BU1206" s="387">
        <f t="shared" si="809"/>
        <v>0</v>
      </c>
      <c r="BV1206" s="387">
        <f t="shared" si="810"/>
        <v>0</v>
      </c>
      <c r="BW1206" s="387">
        <f t="shared" si="811"/>
        <v>0</v>
      </c>
      <c r="BX1206" s="387">
        <f t="shared" si="826"/>
        <v>0</v>
      </c>
      <c r="BY1206" s="387">
        <f t="shared" si="827"/>
        <v>0</v>
      </c>
      <c r="BZ1206" s="387">
        <f t="shared" si="828"/>
        <v>0</v>
      </c>
      <c r="CA1206" s="387">
        <f t="shared" si="829"/>
        <v>0</v>
      </c>
      <c r="CB1206" s="387">
        <f t="shared" si="830"/>
        <v>0</v>
      </c>
      <c r="CC1206" s="387">
        <f t="shared" si="812"/>
        <v>0</v>
      </c>
      <c r="CD1206" s="387">
        <f t="shared" si="813"/>
        <v>0</v>
      </c>
      <c r="CE1206" s="387">
        <f t="shared" si="814"/>
        <v>0</v>
      </c>
      <c r="CF1206" s="387">
        <f t="shared" si="815"/>
        <v>0</v>
      </c>
      <c r="CG1206" s="387">
        <f t="shared" si="816"/>
        <v>0</v>
      </c>
      <c r="CH1206" s="387">
        <f t="shared" si="817"/>
        <v>0</v>
      </c>
      <c r="CI1206" s="387">
        <f t="shared" si="818"/>
        <v>0</v>
      </c>
      <c r="CJ1206" s="387">
        <f t="shared" si="831"/>
        <v>0</v>
      </c>
      <c r="CK1206" s="387" t="str">
        <f t="shared" si="832"/>
        <v/>
      </c>
      <c r="CL1206" s="387">
        <f t="shared" si="833"/>
        <v>8292.93</v>
      </c>
      <c r="CM1206" s="387">
        <f t="shared" si="834"/>
        <v>678.7</v>
      </c>
      <c r="CN1206" s="387" t="str">
        <f t="shared" si="835"/>
        <v>0348-31</v>
      </c>
    </row>
    <row r="1207" spans="1:92" ht="15.75" thickBot="1" x14ac:dyDescent="0.3">
      <c r="A1207" s="376" t="s">
        <v>161</v>
      </c>
      <c r="B1207" s="376" t="s">
        <v>162</v>
      </c>
      <c r="C1207" s="376" t="s">
        <v>2450</v>
      </c>
      <c r="D1207" s="376" t="s">
        <v>974</v>
      </c>
      <c r="E1207" s="376" t="s">
        <v>224</v>
      </c>
      <c r="F1207" s="382" t="s">
        <v>225</v>
      </c>
      <c r="G1207" s="376" t="s">
        <v>1945</v>
      </c>
      <c r="H1207" s="378"/>
      <c r="I1207" s="378"/>
      <c r="J1207" s="376" t="s">
        <v>215</v>
      </c>
      <c r="K1207" s="376" t="s">
        <v>975</v>
      </c>
      <c r="L1207" s="376" t="s">
        <v>296</v>
      </c>
      <c r="M1207" s="376" t="s">
        <v>272</v>
      </c>
      <c r="N1207" s="376" t="s">
        <v>172</v>
      </c>
      <c r="O1207" s="379">
        <v>0</v>
      </c>
      <c r="P1207" s="385">
        <v>1</v>
      </c>
      <c r="Q1207" s="385">
        <v>1</v>
      </c>
      <c r="R1207" s="380">
        <v>80</v>
      </c>
      <c r="S1207" s="385">
        <v>1</v>
      </c>
      <c r="T1207" s="380">
        <v>22412.03</v>
      </c>
      <c r="U1207" s="380">
        <v>282.31</v>
      </c>
      <c r="V1207" s="380">
        <v>10479.41</v>
      </c>
      <c r="W1207" s="380">
        <v>47403.199999999997</v>
      </c>
      <c r="X1207" s="380">
        <v>20762.599999999999</v>
      </c>
      <c r="Y1207" s="380">
        <v>47403.199999999997</v>
      </c>
      <c r="Z1207" s="380">
        <v>20525.580000000002</v>
      </c>
      <c r="AA1207" s="378"/>
      <c r="AB1207" s="376" t="s">
        <v>45</v>
      </c>
      <c r="AC1207" s="376" t="s">
        <v>45</v>
      </c>
      <c r="AD1207" s="378"/>
      <c r="AE1207" s="378"/>
      <c r="AF1207" s="378"/>
      <c r="AG1207" s="378"/>
      <c r="AH1207" s="379">
        <v>0</v>
      </c>
      <c r="AI1207" s="379">
        <v>0</v>
      </c>
      <c r="AJ1207" s="378"/>
      <c r="AK1207" s="378"/>
      <c r="AL1207" s="376" t="s">
        <v>181</v>
      </c>
      <c r="AM1207" s="378"/>
      <c r="AN1207" s="378"/>
      <c r="AO1207" s="379">
        <v>0</v>
      </c>
      <c r="AP1207" s="385">
        <v>0</v>
      </c>
      <c r="AQ1207" s="385">
        <v>0</v>
      </c>
      <c r="AR1207" s="384"/>
      <c r="AS1207" s="387">
        <f t="shared" si="819"/>
        <v>0</v>
      </c>
      <c r="AT1207">
        <f t="shared" si="820"/>
        <v>0</v>
      </c>
      <c r="AU1207" s="387" t="str">
        <f>IF(AT1207=0,"",IF(AND(AT1207=1,M1207="F",SUMIF(C2:C1334,C1207,AS2:AS1334)&lt;=1),SUMIF(C2:C1334,C1207,AS2:AS1334),IF(AND(AT1207=1,M1207="F",SUMIF(C2:C1334,C1207,AS2:AS1334)&gt;1),1,"")))</f>
        <v/>
      </c>
      <c r="AV1207" s="387" t="str">
        <f>IF(AT1207=0,"",IF(AND(AT1207=3,M1207="F",SUMIF(C2:C1334,C1207,AS2:AS1334)&lt;=1),SUMIF(C2:C1334,C1207,AS2:AS1334),IF(AND(AT1207=3,M1207="F",SUMIF(C2:C1334,C1207,AS2:AS1334)&gt;1),1,"")))</f>
        <v/>
      </c>
      <c r="AW1207" s="387">
        <f>SUMIF(C2:C1334,C1207,O2:O1334)</f>
        <v>0</v>
      </c>
      <c r="AX1207" s="387">
        <f>IF(AND(M1207="F",AS1207&lt;&gt;0),SUMIF(C2:C1334,C1207,W2:W1334),0)</f>
        <v>0</v>
      </c>
      <c r="AY1207" s="387" t="str">
        <f t="shared" si="821"/>
        <v/>
      </c>
      <c r="AZ1207" s="387" t="str">
        <f t="shared" si="822"/>
        <v/>
      </c>
      <c r="BA1207" s="387">
        <f t="shared" si="823"/>
        <v>0</v>
      </c>
      <c r="BB1207" s="387">
        <f t="shared" si="792"/>
        <v>0</v>
      </c>
      <c r="BC1207" s="387">
        <f t="shared" si="793"/>
        <v>0</v>
      </c>
      <c r="BD1207" s="387">
        <f t="shared" si="794"/>
        <v>0</v>
      </c>
      <c r="BE1207" s="387">
        <f t="shared" si="795"/>
        <v>0</v>
      </c>
      <c r="BF1207" s="387">
        <f t="shared" si="796"/>
        <v>0</v>
      </c>
      <c r="BG1207" s="387">
        <f t="shared" si="797"/>
        <v>0</v>
      </c>
      <c r="BH1207" s="387">
        <f t="shared" si="798"/>
        <v>0</v>
      </c>
      <c r="BI1207" s="387">
        <f t="shared" si="799"/>
        <v>0</v>
      </c>
      <c r="BJ1207" s="387">
        <f t="shared" si="800"/>
        <v>0</v>
      </c>
      <c r="BK1207" s="387">
        <f t="shared" si="801"/>
        <v>0</v>
      </c>
      <c r="BL1207" s="387">
        <f t="shared" si="824"/>
        <v>0</v>
      </c>
      <c r="BM1207" s="387">
        <f t="shared" si="825"/>
        <v>0</v>
      </c>
      <c r="BN1207" s="387">
        <f t="shared" si="802"/>
        <v>0</v>
      </c>
      <c r="BO1207" s="387">
        <f t="shared" si="803"/>
        <v>0</v>
      </c>
      <c r="BP1207" s="387">
        <f t="shared" si="804"/>
        <v>0</v>
      </c>
      <c r="BQ1207" s="387">
        <f t="shared" si="805"/>
        <v>0</v>
      </c>
      <c r="BR1207" s="387">
        <f t="shared" si="806"/>
        <v>0</v>
      </c>
      <c r="BS1207" s="387">
        <f t="shared" si="807"/>
        <v>0</v>
      </c>
      <c r="BT1207" s="387">
        <f t="shared" si="808"/>
        <v>0</v>
      </c>
      <c r="BU1207" s="387">
        <f t="shared" si="809"/>
        <v>0</v>
      </c>
      <c r="BV1207" s="387">
        <f t="shared" si="810"/>
        <v>0</v>
      </c>
      <c r="BW1207" s="387">
        <f t="shared" si="811"/>
        <v>0</v>
      </c>
      <c r="BX1207" s="387">
        <f t="shared" si="826"/>
        <v>0</v>
      </c>
      <c r="BY1207" s="387">
        <f t="shared" si="827"/>
        <v>0</v>
      </c>
      <c r="BZ1207" s="387">
        <f t="shared" si="828"/>
        <v>0</v>
      </c>
      <c r="CA1207" s="387">
        <f t="shared" si="829"/>
        <v>0</v>
      </c>
      <c r="CB1207" s="387">
        <f t="shared" si="830"/>
        <v>0</v>
      </c>
      <c r="CC1207" s="387">
        <f t="shared" si="812"/>
        <v>0</v>
      </c>
      <c r="CD1207" s="387">
        <f t="shared" si="813"/>
        <v>0</v>
      </c>
      <c r="CE1207" s="387">
        <f t="shared" si="814"/>
        <v>0</v>
      </c>
      <c r="CF1207" s="387">
        <f t="shared" si="815"/>
        <v>0</v>
      </c>
      <c r="CG1207" s="387">
        <f t="shared" si="816"/>
        <v>0</v>
      </c>
      <c r="CH1207" s="387">
        <f t="shared" si="817"/>
        <v>0</v>
      </c>
      <c r="CI1207" s="387">
        <f t="shared" si="818"/>
        <v>0</v>
      </c>
      <c r="CJ1207" s="387">
        <f t="shared" si="831"/>
        <v>0</v>
      </c>
      <c r="CK1207" s="387" t="str">
        <f t="shared" si="832"/>
        <v/>
      </c>
      <c r="CL1207" s="387" t="str">
        <f t="shared" si="833"/>
        <v/>
      </c>
      <c r="CM1207" s="387" t="str">
        <f t="shared" si="834"/>
        <v/>
      </c>
      <c r="CN1207" s="387" t="str">
        <f t="shared" si="835"/>
        <v>0348-31</v>
      </c>
    </row>
    <row r="1208" spans="1:92" ht="15.75" thickBot="1" x14ac:dyDescent="0.3">
      <c r="A1208" s="376" t="s">
        <v>161</v>
      </c>
      <c r="B1208" s="376" t="s">
        <v>162</v>
      </c>
      <c r="C1208" s="376" t="s">
        <v>2451</v>
      </c>
      <c r="D1208" s="376" t="s">
        <v>792</v>
      </c>
      <c r="E1208" s="376" t="s">
        <v>224</v>
      </c>
      <c r="F1208" s="382" t="s">
        <v>225</v>
      </c>
      <c r="G1208" s="376" t="s">
        <v>1945</v>
      </c>
      <c r="H1208" s="378"/>
      <c r="I1208" s="378"/>
      <c r="J1208" s="376" t="s">
        <v>215</v>
      </c>
      <c r="K1208" s="376" t="s">
        <v>793</v>
      </c>
      <c r="L1208" s="376" t="s">
        <v>170</v>
      </c>
      <c r="M1208" s="376" t="s">
        <v>171</v>
      </c>
      <c r="N1208" s="376" t="s">
        <v>172</v>
      </c>
      <c r="O1208" s="379">
        <v>1</v>
      </c>
      <c r="P1208" s="385">
        <v>1</v>
      </c>
      <c r="Q1208" s="385">
        <v>1</v>
      </c>
      <c r="R1208" s="380">
        <v>80</v>
      </c>
      <c r="S1208" s="385">
        <v>1</v>
      </c>
      <c r="T1208" s="380">
        <v>46574.2</v>
      </c>
      <c r="U1208" s="380">
        <v>2126.86</v>
      </c>
      <c r="V1208" s="380">
        <v>21798.93</v>
      </c>
      <c r="W1208" s="380">
        <v>48339.199999999997</v>
      </c>
      <c r="X1208" s="380">
        <v>22103.32</v>
      </c>
      <c r="Y1208" s="380">
        <v>48339.199999999997</v>
      </c>
      <c r="Z1208" s="380">
        <v>21900.3</v>
      </c>
      <c r="AA1208" s="376" t="s">
        <v>2452</v>
      </c>
      <c r="AB1208" s="376" t="s">
        <v>2453</v>
      </c>
      <c r="AC1208" s="376" t="s">
        <v>591</v>
      </c>
      <c r="AD1208" s="376" t="s">
        <v>366</v>
      </c>
      <c r="AE1208" s="376" t="s">
        <v>793</v>
      </c>
      <c r="AF1208" s="376" t="s">
        <v>177</v>
      </c>
      <c r="AG1208" s="376" t="s">
        <v>178</v>
      </c>
      <c r="AH1208" s="381">
        <v>23.24</v>
      </c>
      <c r="AI1208" s="381">
        <v>26492.5</v>
      </c>
      <c r="AJ1208" s="376" t="s">
        <v>179</v>
      </c>
      <c r="AK1208" s="376" t="s">
        <v>180</v>
      </c>
      <c r="AL1208" s="376" t="s">
        <v>181</v>
      </c>
      <c r="AM1208" s="376" t="s">
        <v>182</v>
      </c>
      <c r="AN1208" s="376" t="s">
        <v>68</v>
      </c>
      <c r="AO1208" s="379">
        <v>80</v>
      </c>
      <c r="AP1208" s="385">
        <v>1</v>
      </c>
      <c r="AQ1208" s="385">
        <v>1</v>
      </c>
      <c r="AR1208" s="383" t="s">
        <v>183</v>
      </c>
      <c r="AS1208" s="387">
        <f t="shared" si="819"/>
        <v>1</v>
      </c>
      <c r="AT1208">
        <f t="shared" si="820"/>
        <v>1</v>
      </c>
      <c r="AU1208" s="387">
        <f>IF(AT1208=0,"",IF(AND(AT1208=1,M1208="F",SUMIF(C2:C1334,C1208,AS2:AS1334)&lt;=1),SUMIF(C2:C1334,C1208,AS2:AS1334),IF(AND(AT1208=1,M1208="F",SUMIF(C2:C1334,C1208,AS2:AS1334)&gt;1),1,"")))</f>
        <v>1</v>
      </c>
      <c r="AV1208" s="387" t="str">
        <f>IF(AT1208=0,"",IF(AND(AT1208=3,M1208="F",SUMIF(C2:C1334,C1208,AS2:AS1334)&lt;=1),SUMIF(C2:C1334,C1208,AS2:AS1334),IF(AND(AT1208=3,M1208="F",SUMIF(C2:C1334,C1208,AS2:AS1334)&gt;1),1,"")))</f>
        <v/>
      </c>
      <c r="AW1208" s="387">
        <f>SUMIF(C2:C1334,C1208,O2:O1334)</f>
        <v>1</v>
      </c>
      <c r="AX1208" s="387">
        <f>IF(AND(M1208="F",AS1208&lt;&gt;0),SUMIF(C2:C1334,C1208,W2:W1334),0)</f>
        <v>48339.199999999997</v>
      </c>
      <c r="AY1208" s="387">
        <f t="shared" si="821"/>
        <v>48339.199999999997</v>
      </c>
      <c r="AZ1208" s="387" t="str">
        <f t="shared" si="822"/>
        <v/>
      </c>
      <c r="BA1208" s="387">
        <f t="shared" si="823"/>
        <v>0</v>
      </c>
      <c r="BB1208" s="387">
        <f t="shared" si="792"/>
        <v>11650</v>
      </c>
      <c r="BC1208" s="387">
        <f t="shared" si="793"/>
        <v>0</v>
      </c>
      <c r="BD1208" s="387">
        <f t="shared" si="794"/>
        <v>2997.0303999999996</v>
      </c>
      <c r="BE1208" s="387">
        <f t="shared" si="795"/>
        <v>700.91840000000002</v>
      </c>
      <c r="BF1208" s="387">
        <f t="shared" si="796"/>
        <v>5771.7004799999995</v>
      </c>
      <c r="BG1208" s="387">
        <f t="shared" si="797"/>
        <v>348.52563199999997</v>
      </c>
      <c r="BH1208" s="387">
        <f t="shared" si="798"/>
        <v>236.86207999999999</v>
      </c>
      <c r="BI1208" s="387">
        <f t="shared" si="799"/>
        <v>267.55747199999996</v>
      </c>
      <c r="BJ1208" s="387">
        <f t="shared" si="800"/>
        <v>130.51584</v>
      </c>
      <c r="BK1208" s="387">
        <f t="shared" si="801"/>
        <v>0</v>
      </c>
      <c r="BL1208" s="387">
        <f t="shared" si="824"/>
        <v>10453.110304000002</v>
      </c>
      <c r="BM1208" s="387">
        <f t="shared" si="825"/>
        <v>0</v>
      </c>
      <c r="BN1208" s="387">
        <f t="shared" si="802"/>
        <v>11650</v>
      </c>
      <c r="BO1208" s="387">
        <f t="shared" si="803"/>
        <v>0</v>
      </c>
      <c r="BP1208" s="387">
        <f t="shared" si="804"/>
        <v>2997.0303999999996</v>
      </c>
      <c r="BQ1208" s="387">
        <f t="shared" si="805"/>
        <v>700.91840000000002</v>
      </c>
      <c r="BR1208" s="387">
        <f t="shared" si="806"/>
        <v>5771.7004799999995</v>
      </c>
      <c r="BS1208" s="387">
        <f t="shared" si="807"/>
        <v>348.52563199999997</v>
      </c>
      <c r="BT1208" s="387">
        <f t="shared" si="808"/>
        <v>0</v>
      </c>
      <c r="BU1208" s="387">
        <f t="shared" si="809"/>
        <v>267.55747199999996</v>
      </c>
      <c r="BV1208" s="387">
        <f t="shared" si="810"/>
        <v>164.35327999999998</v>
      </c>
      <c r="BW1208" s="387">
        <f t="shared" si="811"/>
        <v>0</v>
      </c>
      <c r="BX1208" s="387">
        <f t="shared" si="826"/>
        <v>10250.085664</v>
      </c>
      <c r="BY1208" s="387">
        <f t="shared" si="827"/>
        <v>0</v>
      </c>
      <c r="BZ1208" s="387">
        <f t="shared" si="828"/>
        <v>0</v>
      </c>
      <c r="CA1208" s="387">
        <f t="shared" si="829"/>
        <v>0</v>
      </c>
      <c r="CB1208" s="387">
        <f t="shared" si="830"/>
        <v>0</v>
      </c>
      <c r="CC1208" s="387">
        <f t="shared" si="812"/>
        <v>0</v>
      </c>
      <c r="CD1208" s="387">
        <f t="shared" si="813"/>
        <v>0</v>
      </c>
      <c r="CE1208" s="387">
        <f t="shared" si="814"/>
        <v>0</v>
      </c>
      <c r="CF1208" s="387">
        <f t="shared" si="815"/>
        <v>-236.86207999999999</v>
      </c>
      <c r="CG1208" s="387">
        <f t="shared" si="816"/>
        <v>0</v>
      </c>
      <c r="CH1208" s="387">
        <f t="shared" si="817"/>
        <v>33.83743999999998</v>
      </c>
      <c r="CI1208" s="387">
        <f t="shared" si="818"/>
        <v>0</v>
      </c>
      <c r="CJ1208" s="387">
        <f t="shared" si="831"/>
        <v>-203.02464000000001</v>
      </c>
      <c r="CK1208" s="387" t="str">
        <f t="shared" si="832"/>
        <v/>
      </c>
      <c r="CL1208" s="387" t="str">
        <f t="shared" si="833"/>
        <v/>
      </c>
      <c r="CM1208" s="387" t="str">
        <f t="shared" si="834"/>
        <v/>
      </c>
      <c r="CN1208" s="387" t="str">
        <f t="shared" si="835"/>
        <v>0348-31</v>
      </c>
    </row>
    <row r="1209" spans="1:92" ht="15.75" thickBot="1" x14ac:dyDescent="0.3">
      <c r="A1209" s="376" t="s">
        <v>161</v>
      </c>
      <c r="B1209" s="376" t="s">
        <v>162</v>
      </c>
      <c r="C1209" s="376" t="s">
        <v>1737</v>
      </c>
      <c r="D1209" s="376" t="s">
        <v>974</v>
      </c>
      <c r="E1209" s="376" t="s">
        <v>224</v>
      </c>
      <c r="F1209" s="382" t="s">
        <v>225</v>
      </c>
      <c r="G1209" s="376" t="s">
        <v>1945</v>
      </c>
      <c r="H1209" s="378"/>
      <c r="I1209" s="378"/>
      <c r="J1209" s="376" t="s">
        <v>215</v>
      </c>
      <c r="K1209" s="376" t="s">
        <v>975</v>
      </c>
      <c r="L1209" s="376" t="s">
        <v>296</v>
      </c>
      <c r="M1209" s="376" t="s">
        <v>171</v>
      </c>
      <c r="N1209" s="376" t="s">
        <v>172</v>
      </c>
      <c r="O1209" s="379">
        <v>1</v>
      </c>
      <c r="P1209" s="385">
        <v>1</v>
      </c>
      <c r="Q1209" s="385">
        <v>1</v>
      </c>
      <c r="R1209" s="380">
        <v>80</v>
      </c>
      <c r="S1209" s="385">
        <v>1</v>
      </c>
      <c r="T1209" s="380">
        <v>32144.81</v>
      </c>
      <c r="U1209" s="380">
        <v>2163.52</v>
      </c>
      <c r="V1209" s="380">
        <v>15997.46</v>
      </c>
      <c r="W1209" s="380">
        <v>43326.400000000001</v>
      </c>
      <c r="X1209" s="380">
        <v>21019.3</v>
      </c>
      <c r="Y1209" s="380">
        <v>43326.400000000001</v>
      </c>
      <c r="Z1209" s="380">
        <v>20837.330000000002</v>
      </c>
      <c r="AA1209" s="376" t="s">
        <v>1738</v>
      </c>
      <c r="AB1209" s="376" t="s">
        <v>1739</v>
      </c>
      <c r="AC1209" s="376" t="s">
        <v>1740</v>
      </c>
      <c r="AD1209" s="376" t="s">
        <v>366</v>
      </c>
      <c r="AE1209" s="376" t="s">
        <v>975</v>
      </c>
      <c r="AF1209" s="376" t="s">
        <v>301</v>
      </c>
      <c r="AG1209" s="376" t="s">
        <v>178</v>
      </c>
      <c r="AH1209" s="381">
        <v>20.83</v>
      </c>
      <c r="AI1209" s="381">
        <v>30444.2</v>
      </c>
      <c r="AJ1209" s="376" t="s">
        <v>179</v>
      </c>
      <c r="AK1209" s="376" t="s">
        <v>180</v>
      </c>
      <c r="AL1209" s="376" t="s">
        <v>181</v>
      </c>
      <c r="AM1209" s="376" t="s">
        <v>182</v>
      </c>
      <c r="AN1209" s="376" t="s">
        <v>68</v>
      </c>
      <c r="AO1209" s="379">
        <v>80</v>
      </c>
      <c r="AP1209" s="385">
        <v>1</v>
      </c>
      <c r="AQ1209" s="385">
        <v>1</v>
      </c>
      <c r="AR1209" s="383" t="s">
        <v>183</v>
      </c>
      <c r="AS1209" s="387">
        <f t="shared" si="819"/>
        <v>1</v>
      </c>
      <c r="AT1209">
        <f t="shared" si="820"/>
        <v>1</v>
      </c>
      <c r="AU1209" s="387">
        <f>IF(AT1209=0,"",IF(AND(AT1209=1,M1209="F",SUMIF(C2:C1334,C1209,AS2:AS1334)&lt;=1),SUMIF(C2:C1334,C1209,AS2:AS1334),IF(AND(AT1209=1,M1209="F",SUMIF(C2:C1334,C1209,AS2:AS1334)&gt;1),1,"")))</f>
        <v>1</v>
      </c>
      <c r="AV1209" s="387" t="str">
        <f>IF(AT1209=0,"",IF(AND(AT1209=3,M1209="F",SUMIF(C2:C1334,C1209,AS2:AS1334)&lt;=1),SUMIF(C2:C1334,C1209,AS2:AS1334),IF(AND(AT1209=3,M1209="F",SUMIF(C2:C1334,C1209,AS2:AS1334)&gt;1),1,"")))</f>
        <v/>
      </c>
      <c r="AW1209" s="387">
        <f>SUMIF(C2:C1334,C1209,O2:O1334)</f>
        <v>2</v>
      </c>
      <c r="AX1209" s="387">
        <f>IF(AND(M1209="F",AS1209&lt;&gt;0),SUMIF(C2:C1334,C1209,W2:W1334),0)</f>
        <v>43326.400000000001</v>
      </c>
      <c r="AY1209" s="387">
        <f t="shared" si="821"/>
        <v>43326.400000000001</v>
      </c>
      <c r="AZ1209" s="387" t="str">
        <f t="shared" si="822"/>
        <v/>
      </c>
      <c r="BA1209" s="387">
        <f t="shared" si="823"/>
        <v>0</v>
      </c>
      <c r="BB1209" s="387">
        <f t="shared" si="792"/>
        <v>11650</v>
      </c>
      <c r="BC1209" s="387">
        <f t="shared" si="793"/>
        <v>0</v>
      </c>
      <c r="BD1209" s="387">
        <f t="shared" si="794"/>
        <v>2686.2368000000001</v>
      </c>
      <c r="BE1209" s="387">
        <f t="shared" si="795"/>
        <v>628.2328</v>
      </c>
      <c r="BF1209" s="387">
        <f t="shared" si="796"/>
        <v>5173.1721600000001</v>
      </c>
      <c r="BG1209" s="387">
        <f t="shared" si="797"/>
        <v>312.38334400000002</v>
      </c>
      <c r="BH1209" s="387">
        <f t="shared" si="798"/>
        <v>212.29936000000001</v>
      </c>
      <c r="BI1209" s="387">
        <f t="shared" si="799"/>
        <v>239.81162399999999</v>
      </c>
      <c r="BJ1209" s="387">
        <f t="shared" si="800"/>
        <v>116.98128000000001</v>
      </c>
      <c r="BK1209" s="387">
        <f t="shared" si="801"/>
        <v>0</v>
      </c>
      <c r="BL1209" s="387">
        <f t="shared" si="824"/>
        <v>9369.1173680000011</v>
      </c>
      <c r="BM1209" s="387">
        <f t="shared" si="825"/>
        <v>0</v>
      </c>
      <c r="BN1209" s="387">
        <f t="shared" si="802"/>
        <v>11650</v>
      </c>
      <c r="BO1209" s="387">
        <f t="shared" si="803"/>
        <v>0</v>
      </c>
      <c r="BP1209" s="387">
        <f t="shared" si="804"/>
        <v>2686.2368000000001</v>
      </c>
      <c r="BQ1209" s="387">
        <f t="shared" si="805"/>
        <v>628.2328</v>
      </c>
      <c r="BR1209" s="387">
        <f t="shared" si="806"/>
        <v>5173.1721600000001</v>
      </c>
      <c r="BS1209" s="387">
        <f t="shared" si="807"/>
        <v>312.38334400000002</v>
      </c>
      <c r="BT1209" s="387">
        <f t="shared" si="808"/>
        <v>0</v>
      </c>
      <c r="BU1209" s="387">
        <f t="shared" si="809"/>
        <v>239.81162399999999</v>
      </c>
      <c r="BV1209" s="387">
        <f t="shared" si="810"/>
        <v>147.30975999999998</v>
      </c>
      <c r="BW1209" s="387">
        <f t="shared" si="811"/>
        <v>0</v>
      </c>
      <c r="BX1209" s="387">
        <f t="shared" si="826"/>
        <v>9187.1464880000003</v>
      </c>
      <c r="BY1209" s="387">
        <f t="shared" si="827"/>
        <v>0</v>
      </c>
      <c r="BZ1209" s="387">
        <f t="shared" si="828"/>
        <v>0</v>
      </c>
      <c r="CA1209" s="387">
        <f t="shared" si="829"/>
        <v>0</v>
      </c>
      <c r="CB1209" s="387">
        <f t="shared" si="830"/>
        <v>0</v>
      </c>
      <c r="CC1209" s="387">
        <f t="shared" si="812"/>
        <v>0</v>
      </c>
      <c r="CD1209" s="387">
        <f t="shared" si="813"/>
        <v>0</v>
      </c>
      <c r="CE1209" s="387">
        <f t="shared" si="814"/>
        <v>0</v>
      </c>
      <c r="CF1209" s="387">
        <f t="shared" si="815"/>
        <v>-212.29936000000001</v>
      </c>
      <c r="CG1209" s="387">
        <f t="shared" si="816"/>
        <v>0</v>
      </c>
      <c r="CH1209" s="387">
        <f t="shared" si="817"/>
        <v>30.328479999999988</v>
      </c>
      <c r="CI1209" s="387">
        <f t="shared" si="818"/>
        <v>0</v>
      </c>
      <c r="CJ1209" s="387">
        <f t="shared" si="831"/>
        <v>-181.97088000000002</v>
      </c>
      <c r="CK1209" s="387" t="str">
        <f t="shared" si="832"/>
        <v/>
      </c>
      <c r="CL1209" s="387" t="str">
        <f t="shared" si="833"/>
        <v/>
      </c>
      <c r="CM1209" s="387" t="str">
        <f t="shared" si="834"/>
        <v/>
      </c>
      <c r="CN1209" s="387" t="str">
        <f t="shared" si="835"/>
        <v>0348-31</v>
      </c>
    </row>
    <row r="1210" spans="1:92" ht="15.75" thickBot="1" x14ac:dyDescent="0.3">
      <c r="A1210" s="376" t="s">
        <v>161</v>
      </c>
      <c r="B1210" s="376" t="s">
        <v>162</v>
      </c>
      <c r="C1210" s="376" t="s">
        <v>1614</v>
      </c>
      <c r="D1210" s="376" t="s">
        <v>868</v>
      </c>
      <c r="E1210" s="376" t="s">
        <v>224</v>
      </c>
      <c r="F1210" s="382" t="s">
        <v>225</v>
      </c>
      <c r="G1210" s="376" t="s">
        <v>1945</v>
      </c>
      <c r="H1210" s="378"/>
      <c r="I1210" s="378"/>
      <c r="J1210" s="376" t="s">
        <v>215</v>
      </c>
      <c r="K1210" s="376" t="s">
        <v>894</v>
      </c>
      <c r="L1210" s="376" t="s">
        <v>170</v>
      </c>
      <c r="M1210" s="376" t="s">
        <v>171</v>
      </c>
      <c r="N1210" s="376" t="s">
        <v>172</v>
      </c>
      <c r="O1210" s="379">
        <v>1</v>
      </c>
      <c r="P1210" s="385">
        <v>1</v>
      </c>
      <c r="Q1210" s="385">
        <v>1</v>
      </c>
      <c r="R1210" s="380">
        <v>80</v>
      </c>
      <c r="S1210" s="385">
        <v>1</v>
      </c>
      <c r="T1210" s="380">
        <v>0</v>
      </c>
      <c r="U1210" s="380">
        <v>0</v>
      </c>
      <c r="V1210" s="380">
        <v>0</v>
      </c>
      <c r="W1210" s="380">
        <v>62379.199999999997</v>
      </c>
      <c r="X1210" s="380">
        <v>25139.47</v>
      </c>
      <c r="Y1210" s="380">
        <v>62379.199999999997</v>
      </c>
      <c r="Z1210" s="380">
        <v>24877.48</v>
      </c>
      <c r="AA1210" s="376" t="s">
        <v>1615</v>
      </c>
      <c r="AB1210" s="376" t="s">
        <v>1616</v>
      </c>
      <c r="AC1210" s="376" t="s">
        <v>1617</v>
      </c>
      <c r="AD1210" s="376" t="s">
        <v>939</v>
      </c>
      <c r="AE1210" s="376" t="s">
        <v>894</v>
      </c>
      <c r="AF1210" s="376" t="s">
        <v>177</v>
      </c>
      <c r="AG1210" s="376" t="s">
        <v>178</v>
      </c>
      <c r="AH1210" s="381">
        <v>29.99</v>
      </c>
      <c r="AI1210" s="381">
        <v>18694.900000000001</v>
      </c>
      <c r="AJ1210" s="376" t="s">
        <v>179</v>
      </c>
      <c r="AK1210" s="376" t="s">
        <v>180</v>
      </c>
      <c r="AL1210" s="376" t="s">
        <v>181</v>
      </c>
      <c r="AM1210" s="376" t="s">
        <v>182</v>
      </c>
      <c r="AN1210" s="376" t="s">
        <v>68</v>
      </c>
      <c r="AO1210" s="379">
        <v>80</v>
      </c>
      <c r="AP1210" s="385">
        <v>1</v>
      </c>
      <c r="AQ1210" s="385">
        <v>1</v>
      </c>
      <c r="AR1210" s="383" t="s">
        <v>183</v>
      </c>
      <c r="AS1210" s="387">
        <f t="shared" si="819"/>
        <v>1</v>
      </c>
      <c r="AT1210">
        <f t="shared" si="820"/>
        <v>1</v>
      </c>
      <c r="AU1210" s="387">
        <f>IF(AT1210=0,"",IF(AND(AT1210=1,M1210="F",SUMIF(C2:C1334,C1210,AS2:AS1334)&lt;=1),SUMIF(C2:C1334,C1210,AS2:AS1334),IF(AND(AT1210=1,M1210="F",SUMIF(C2:C1334,C1210,AS2:AS1334)&gt;1),1,"")))</f>
        <v>1</v>
      </c>
      <c r="AV1210" s="387" t="str">
        <f>IF(AT1210=0,"",IF(AND(AT1210=3,M1210="F",SUMIF(C2:C1334,C1210,AS2:AS1334)&lt;=1),SUMIF(C2:C1334,C1210,AS2:AS1334),IF(AND(AT1210=3,M1210="F",SUMIF(C2:C1334,C1210,AS2:AS1334)&gt;1),1,"")))</f>
        <v/>
      </c>
      <c r="AW1210" s="387">
        <f>SUMIF(C2:C1334,C1210,O2:O1334)</f>
        <v>2</v>
      </c>
      <c r="AX1210" s="387">
        <f>IF(AND(M1210="F",AS1210&lt;&gt;0),SUMIF(C2:C1334,C1210,W2:W1334),0)</f>
        <v>62379.199999999997</v>
      </c>
      <c r="AY1210" s="387">
        <f t="shared" si="821"/>
        <v>62379.199999999997</v>
      </c>
      <c r="AZ1210" s="387" t="str">
        <f t="shared" si="822"/>
        <v/>
      </c>
      <c r="BA1210" s="387">
        <f t="shared" si="823"/>
        <v>0</v>
      </c>
      <c r="BB1210" s="387">
        <f t="shared" si="792"/>
        <v>11650</v>
      </c>
      <c r="BC1210" s="387">
        <f t="shared" si="793"/>
        <v>0</v>
      </c>
      <c r="BD1210" s="387">
        <f t="shared" si="794"/>
        <v>3867.5103999999997</v>
      </c>
      <c r="BE1210" s="387">
        <f t="shared" si="795"/>
        <v>904.49839999999995</v>
      </c>
      <c r="BF1210" s="387">
        <f t="shared" si="796"/>
        <v>7448.0764799999997</v>
      </c>
      <c r="BG1210" s="387">
        <f t="shared" si="797"/>
        <v>449.754032</v>
      </c>
      <c r="BH1210" s="387">
        <f t="shared" si="798"/>
        <v>305.65807999999998</v>
      </c>
      <c r="BI1210" s="387">
        <f t="shared" si="799"/>
        <v>345.26887199999999</v>
      </c>
      <c r="BJ1210" s="387">
        <f t="shared" si="800"/>
        <v>168.42384000000001</v>
      </c>
      <c r="BK1210" s="387">
        <f t="shared" si="801"/>
        <v>0</v>
      </c>
      <c r="BL1210" s="387">
        <f t="shared" si="824"/>
        <v>13489.190103999999</v>
      </c>
      <c r="BM1210" s="387">
        <f t="shared" si="825"/>
        <v>0</v>
      </c>
      <c r="BN1210" s="387">
        <f t="shared" si="802"/>
        <v>11650</v>
      </c>
      <c r="BO1210" s="387">
        <f t="shared" si="803"/>
        <v>0</v>
      </c>
      <c r="BP1210" s="387">
        <f t="shared" si="804"/>
        <v>3867.5103999999997</v>
      </c>
      <c r="BQ1210" s="387">
        <f t="shared" si="805"/>
        <v>904.49839999999995</v>
      </c>
      <c r="BR1210" s="387">
        <f t="shared" si="806"/>
        <v>7448.0764799999997</v>
      </c>
      <c r="BS1210" s="387">
        <f t="shared" si="807"/>
        <v>449.754032</v>
      </c>
      <c r="BT1210" s="387">
        <f t="shared" si="808"/>
        <v>0</v>
      </c>
      <c r="BU1210" s="387">
        <f t="shared" si="809"/>
        <v>345.26887199999999</v>
      </c>
      <c r="BV1210" s="387">
        <f t="shared" si="810"/>
        <v>212.08927999999997</v>
      </c>
      <c r="BW1210" s="387">
        <f t="shared" si="811"/>
        <v>0</v>
      </c>
      <c r="BX1210" s="387">
        <f t="shared" si="826"/>
        <v>13227.197464000001</v>
      </c>
      <c r="BY1210" s="387">
        <f t="shared" si="827"/>
        <v>0</v>
      </c>
      <c r="BZ1210" s="387">
        <f t="shared" si="828"/>
        <v>0</v>
      </c>
      <c r="CA1210" s="387">
        <f t="shared" si="829"/>
        <v>0</v>
      </c>
      <c r="CB1210" s="387">
        <f t="shared" si="830"/>
        <v>0</v>
      </c>
      <c r="CC1210" s="387">
        <f t="shared" si="812"/>
        <v>0</v>
      </c>
      <c r="CD1210" s="387">
        <f t="shared" si="813"/>
        <v>0</v>
      </c>
      <c r="CE1210" s="387">
        <f t="shared" si="814"/>
        <v>0</v>
      </c>
      <c r="CF1210" s="387">
        <f t="shared" si="815"/>
        <v>-305.65807999999998</v>
      </c>
      <c r="CG1210" s="387">
        <f t="shared" si="816"/>
        <v>0</v>
      </c>
      <c r="CH1210" s="387">
        <f t="shared" si="817"/>
        <v>43.665439999999975</v>
      </c>
      <c r="CI1210" s="387">
        <f t="shared" si="818"/>
        <v>0</v>
      </c>
      <c r="CJ1210" s="387">
        <f t="shared" si="831"/>
        <v>-261.99263999999999</v>
      </c>
      <c r="CK1210" s="387" t="str">
        <f t="shared" si="832"/>
        <v/>
      </c>
      <c r="CL1210" s="387" t="str">
        <f t="shared" si="833"/>
        <v/>
      </c>
      <c r="CM1210" s="387" t="str">
        <f t="shared" si="834"/>
        <v/>
      </c>
      <c r="CN1210" s="387" t="str">
        <f t="shared" si="835"/>
        <v>0348-31</v>
      </c>
    </row>
    <row r="1211" spans="1:92" ht="15.75" thickBot="1" x14ac:dyDescent="0.3">
      <c r="A1211" s="376" t="s">
        <v>161</v>
      </c>
      <c r="B1211" s="376" t="s">
        <v>162</v>
      </c>
      <c r="C1211" s="376" t="s">
        <v>1753</v>
      </c>
      <c r="D1211" s="376" t="s">
        <v>862</v>
      </c>
      <c r="E1211" s="376" t="s">
        <v>224</v>
      </c>
      <c r="F1211" s="382" t="s">
        <v>225</v>
      </c>
      <c r="G1211" s="376" t="s">
        <v>1945</v>
      </c>
      <c r="H1211" s="378"/>
      <c r="I1211" s="378"/>
      <c r="J1211" s="376" t="s">
        <v>239</v>
      </c>
      <c r="K1211" s="376" t="s">
        <v>863</v>
      </c>
      <c r="L1211" s="376" t="s">
        <v>252</v>
      </c>
      <c r="M1211" s="376" t="s">
        <v>272</v>
      </c>
      <c r="N1211" s="376" t="s">
        <v>172</v>
      </c>
      <c r="O1211" s="379">
        <v>0</v>
      </c>
      <c r="P1211" s="385">
        <v>0.5</v>
      </c>
      <c r="Q1211" s="385">
        <v>0.5</v>
      </c>
      <c r="R1211" s="380">
        <v>80</v>
      </c>
      <c r="S1211" s="385">
        <v>0.5</v>
      </c>
      <c r="T1211" s="380">
        <v>3589.01</v>
      </c>
      <c r="U1211" s="380">
        <v>0</v>
      </c>
      <c r="V1211" s="380">
        <v>1966.58</v>
      </c>
      <c r="W1211" s="380">
        <v>21164</v>
      </c>
      <c r="X1211" s="380">
        <v>9269.83</v>
      </c>
      <c r="Y1211" s="380">
        <v>21164</v>
      </c>
      <c r="Z1211" s="380">
        <v>9164.01</v>
      </c>
      <c r="AA1211" s="378"/>
      <c r="AB1211" s="376" t="s">
        <v>45</v>
      </c>
      <c r="AC1211" s="376" t="s">
        <v>45</v>
      </c>
      <c r="AD1211" s="378"/>
      <c r="AE1211" s="378"/>
      <c r="AF1211" s="378"/>
      <c r="AG1211" s="378"/>
      <c r="AH1211" s="379">
        <v>0</v>
      </c>
      <c r="AI1211" s="379">
        <v>0</v>
      </c>
      <c r="AJ1211" s="378"/>
      <c r="AK1211" s="378"/>
      <c r="AL1211" s="376" t="s">
        <v>181</v>
      </c>
      <c r="AM1211" s="378"/>
      <c r="AN1211" s="378"/>
      <c r="AO1211" s="379">
        <v>0</v>
      </c>
      <c r="AP1211" s="385">
        <v>0</v>
      </c>
      <c r="AQ1211" s="385">
        <v>0</v>
      </c>
      <c r="AR1211" s="384"/>
      <c r="AS1211" s="387">
        <f t="shared" si="819"/>
        <v>0</v>
      </c>
      <c r="AT1211">
        <f t="shared" si="820"/>
        <v>0</v>
      </c>
      <c r="AU1211" s="387" t="str">
        <f>IF(AT1211=0,"",IF(AND(AT1211=1,M1211="F",SUMIF(C2:C1334,C1211,AS2:AS1334)&lt;=1),SUMIF(C2:C1334,C1211,AS2:AS1334),IF(AND(AT1211=1,M1211="F",SUMIF(C2:C1334,C1211,AS2:AS1334)&gt;1),1,"")))</f>
        <v/>
      </c>
      <c r="AV1211" s="387" t="str">
        <f>IF(AT1211=0,"",IF(AND(AT1211=3,M1211="F",SUMIF(C2:C1334,C1211,AS2:AS1334)&lt;=1),SUMIF(C2:C1334,C1211,AS2:AS1334),IF(AND(AT1211=3,M1211="F",SUMIF(C2:C1334,C1211,AS2:AS1334)&gt;1),1,"")))</f>
        <v/>
      </c>
      <c r="AW1211" s="387">
        <f>SUMIF(C2:C1334,C1211,O2:O1334)</f>
        <v>0</v>
      </c>
      <c r="AX1211" s="387">
        <f>IF(AND(M1211="F",AS1211&lt;&gt;0),SUMIF(C2:C1334,C1211,W2:W1334),0)</f>
        <v>0</v>
      </c>
      <c r="AY1211" s="387" t="str">
        <f t="shared" si="821"/>
        <v/>
      </c>
      <c r="AZ1211" s="387" t="str">
        <f t="shared" si="822"/>
        <v/>
      </c>
      <c r="BA1211" s="387">
        <f t="shared" si="823"/>
        <v>0</v>
      </c>
      <c r="BB1211" s="387">
        <f t="shared" si="792"/>
        <v>0</v>
      </c>
      <c r="BC1211" s="387">
        <f t="shared" si="793"/>
        <v>0</v>
      </c>
      <c r="BD1211" s="387">
        <f t="shared" si="794"/>
        <v>0</v>
      </c>
      <c r="BE1211" s="387">
        <f t="shared" si="795"/>
        <v>0</v>
      </c>
      <c r="BF1211" s="387">
        <f t="shared" si="796"/>
        <v>0</v>
      </c>
      <c r="BG1211" s="387">
        <f t="shared" si="797"/>
        <v>0</v>
      </c>
      <c r="BH1211" s="387">
        <f t="shared" si="798"/>
        <v>0</v>
      </c>
      <c r="BI1211" s="387">
        <f t="shared" si="799"/>
        <v>0</v>
      </c>
      <c r="BJ1211" s="387">
        <f t="shared" si="800"/>
        <v>0</v>
      </c>
      <c r="BK1211" s="387">
        <f t="shared" si="801"/>
        <v>0</v>
      </c>
      <c r="BL1211" s="387">
        <f t="shared" si="824"/>
        <v>0</v>
      </c>
      <c r="BM1211" s="387">
        <f t="shared" si="825"/>
        <v>0</v>
      </c>
      <c r="BN1211" s="387">
        <f t="shared" si="802"/>
        <v>0</v>
      </c>
      <c r="BO1211" s="387">
        <f t="shared" si="803"/>
        <v>0</v>
      </c>
      <c r="BP1211" s="387">
        <f t="shared" si="804"/>
        <v>0</v>
      </c>
      <c r="BQ1211" s="387">
        <f t="shared" si="805"/>
        <v>0</v>
      </c>
      <c r="BR1211" s="387">
        <f t="shared" si="806"/>
        <v>0</v>
      </c>
      <c r="BS1211" s="387">
        <f t="shared" si="807"/>
        <v>0</v>
      </c>
      <c r="BT1211" s="387">
        <f t="shared" si="808"/>
        <v>0</v>
      </c>
      <c r="BU1211" s="387">
        <f t="shared" si="809"/>
        <v>0</v>
      </c>
      <c r="BV1211" s="387">
        <f t="shared" si="810"/>
        <v>0</v>
      </c>
      <c r="BW1211" s="387">
        <f t="shared" si="811"/>
        <v>0</v>
      </c>
      <c r="BX1211" s="387">
        <f t="shared" si="826"/>
        <v>0</v>
      </c>
      <c r="BY1211" s="387">
        <f t="shared" si="827"/>
        <v>0</v>
      </c>
      <c r="BZ1211" s="387">
        <f t="shared" si="828"/>
        <v>0</v>
      </c>
      <c r="CA1211" s="387">
        <f t="shared" si="829"/>
        <v>0</v>
      </c>
      <c r="CB1211" s="387">
        <f t="shared" si="830"/>
        <v>0</v>
      </c>
      <c r="CC1211" s="387">
        <f t="shared" si="812"/>
        <v>0</v>
      </c>
      <c r="CD1211" s="387">
        <f t="shared" si="813"/>
        <v>0</v>
      </c>
      <c r="CE1211" s="387">
        <f t="shared" si="814"/>
        <v>0</v>
      </c>
      <c r="CF1211" s="387">
        <f t="shared" si="815"/>
        <v>0</v>
      </c>
      <c r="CG1211" s="387">
        <f t="shared" si="816"/>
        <v>0</v>
      </c>
      <c r="CH1211" s="387">
        <f t="shared" si="817"/>
        <v>0</v>
      </c>
      <c r="CI1211" s="387">
        <f t="shared" si="818"/>
        <v>0</v>
      </c>
      <c r="CJ1211" s="387">
        <f t="shared" si="831"/>
        <v>0</v>
      </c>
      <c r="CK1211" s="387" t="str">
        <f t="shared" si="832"/>
        <v/>
      </c>
      <c r="CL1211" s="387" t="str">
        <f t="shared" si="833"/>
        <v/>
      </c>
      <c r="CM1211" s="387" t="str">
        <f t="shared" si="834"/>
        <v/>
      </c>
      <c r="CN1211" s="387" t="str">
        <f t="shared" si="835"/>
        <v>0348-31</v>
      </c>
    </row>
    <row r="1212" spans="1:92" ht="15.75" thickBot="1" x14ac:dyDescent="0.3">
      <c r="A1212" s="376" t="s">
        <v>161</v>
      </c>
      <c r="B1212" s="376" t="s">
        <v>162</v>
      </c>
      <c r="C1212" s="376" t="s">
        <v>2454</v>
      </c>
      <c r="D1212" s="376" t="s">
        <v>2173</v>
      </c>
      <c r="E1212" s="376" t="s">
        <v>224</v>
      </c>
      <c r="F1212" s="382" t="s">
        <v>225</v>
      </c>
      <c r="G1212" s="376" t="s">
        <v>1945</v>
      </c>
      <c r="H1212" s="378"/>
      <c r="I1212" s="378"/>
      <c r="J1212" s="376" t="s">
        <v>215</v>
      </c>
      <c r="K1212" s="376" t="s">
        <v>2174</v>
      </c>
      <c r="L1212" s="376" t="s">
        <v>296</v>
      </c>
      <c r="M1212" s="376" t="s">
        <v>171</v>
      </c>
      <c r="N1212" s="376" t="s">
        <v>172</v>
      </c>
      <c r="O1212" s="379">
        <v>1</v>
      </c>
      <c r="P1212" s="385">
        <v>1</v>
      </c>
      <c r="Q1212" s="385">
        <v>1</v>
      </c>
      <c r="R1212" s="380">
        <v>80</v>
      </c>
      <c r="S1212" s="385">
        <v>1</v>
      </c>
      <c r="T1212" s="380">
        <v>54727.23</v>
      </c>
      <c r="U1212" s="380">
        <v>45.41</v>
      </c>
      <c r="V1212" s="380">
        <v>22999.88</v>
      </c>
      <c r="W1212" s="380">
        <v>60528</v>
      </c>
      <c r="X1212" s="380">
        <v>24739.14</v>
      </c>
      <c r="Y1212" s="380">
        <v>60528</v>
      </c>
      <c r="Z1212" s="380">
        <v>24484.93</v>
      </c>
      <c r="AA1212" s="376" t="s">
        <v>2455</v>
      </c>
      <c r="AB1212" s="376" t="s">
        <v>2456</v>
      </c>
      <c r="AC1212" s="376" t="s">
        <v>916</v>
      </c>
      <c r="AD1212" s="376" t="s">
        <v>566</v>
      </c>
      <c r="AE1212" s="376" t="s">
        <v>2174</v>
      </c>
      <c r="AF1212" s="376" t="s">
        <v>301</v>
      </c>
      <c r="AG1212" s="376" t="s">
        <v>178</v>
      </c>
      <c r="AH1212" s="381">
        <v>29.1</v>
      </c>
      <c r="AI1212" s="381">
        <v>41169.9</v>
      </c>
      <c r="AJ1212" s="376" t="s">
        <v>179</v>
      </c>
      <c r="AK1212" s="376" t="s">
        <v>180</v>
      </c>
      <c r="AL1212" s="376" t="s">
        <v>181</v>
      </c>
      <c r="AM1212" s="376" t="s">
        <v>182</v>
      </c>
      <c r="AN1212" s="376" t="s">
        <v>68</v>
      </c>
      <c r="AO1212" s="379">
        <v>80</v>
      </c>
      <c r="AP1212" s="385">
        <v>1</v>
      </c>
      <c r="AQ1212" s="385">
        <v>1</v>
      </c>
      <c r="AR1212" s="383" t="s">
        <v>183</v>
      </c>
      <c r="AS1212" s="387">
        <f t="shared" si="819"/>
        <v>1</v>
      </c>
      <c r="AT1212">
        <f t="shared" si="820"/>
        <v>1</v>
      </c>
      <c r="AU1212" s="387">
        <f>IF(AT1212=0,"",IF(AND(AT1212=1,M1212="F",SUMIF(C2:C1334,C1212,AS2:AS1334)&lt;=1),SUMIF(C2:C1334,C1212,AS2:AS1334),IF(AND(AT1212=1,M1212="F",SUMIF(C2:C1334,C1212,AS2:AS1334)&gt;1),1,"")))</f>
        <v>1</v>
      </c>
      <c r="AV1212" s="387" t="str">
        <f>IF(AT1212=0,"",IF(AND(AT1212=3,M1212="F",SUMIF(C2:C1334,C1212,AS2:AS1334)&lt;=1),SUMIF(C2:C1334,C1212,AS2:AS1334),IF(AND(AT1212=3,M1212="F",SUMIF(C2:C1334,C1212,AS2:AS1334)&gt;1),1,"")))</f>
        <v/>
      </c>
      <c r="AW1212" s="387">
        <f>SUMIF(C2:C1334,C1212,O2:O1334)</f>
        <v>1</v>
      </c>
      <c r="AX1212" s="387">
        <f>IF(AND(M1212="F",AS1212&lt;&gt;0),SUMIF(C2:C1334,C1212,W2:W1334),0)</f>
        <v>60528</v>
      </c>
      <c r="AY1212" s="387">
        <f t="shared" si="821"/>
        <v>60528</v>
      </c>
      <c r="AZ1212" s="387" t="str">
        <f t="shared" si="822"/>
        <v/>
      </c>
      <c r="BA1212" s="387">
        <f t="shared" si="823"/>
        <v>0</v>
      </c>
      <c r="BB1212" s="387">
        <f t="shared" si="792"/>
        <v>11650</v>
      </c>
      <c r="BC1212" s="387">
        <f t="shared" si="793"/>
        <v>0</v>
      </c>
      <c r="BD1212" s="387">
        <f t="shared" si="794"/>
        <v>3752.7359999999999</v>
      </c>
      <c r="BE1212" s="387">
        <f t="shared" si="795"/>
        <v>877.65600000000006</v>
      </c>
      <c r="BF1212" s="387">
        <f t="shared" si="796"/>
        <v>7227.0432000000001</v>
      </c>
      <c r="BG1212" s="387">
        <f t="shared" si="797"/>
        <v>436.40688</v>
      </c>
      <c r="BH1212" s="387">
        <f t="shared" si="798"/>
        <v>296.5872</v>
      </c>
      <c r="BI1212" s="387">
        <f t="shared" si="799"/>
        <v>335.02247999999997</v>
      </c>
      <c r="BJ1212" s="387">
        <f t="shared" si="800"/>
        <v>163.4256</v>
      </c>
      <c r="BK1212" s="387">
        <f t="shared" si="801"/>
        <v>0</v>
      </c>
      <c r="BL1212" s="387">
        <f t="shared" si="824"/>
        <v>13088.87736</v>
      </c>
      <c r="BM1212" s="387">
        <f t="shared" si="825"/>
        <v>0</v>
      </c>
      <c r="BN1212" s="387">
        <f t="shared" si="802"/>
        <v>11650</v>
      </c>
      <c r="BO1212" s="387">
        <f t="shared" si="803"/>
        <v>0</v>
      </c>
      <c r="BP1212" s="387">
        <f t="shared" si="804"/>
        <v>3752.7359999999999</v>
      </c>
      <c r="BQ1212" s="387">
        <f t="shared" si="805"/>
        <v>877.65600000000006</v>
      </c>
      <c r="BR1212" s="387">
        <f t="shared" si="806"/>
        <v>7227.0432000000001</v>
      </c>
      <c r="BS1212" s="387">
        <f t="shared" si="807"/>
        <v>436.40688</v>
      </c>
      <c r="BT1212" s="387">
        <f t="shared" si="808"/>
        <v>0</v>
      </c>
      <c r="BU1212" s="387">
        <f t="shared" si="809"/>
        <v>335.02247999999997</v>
      </c>
      <c r="BV1212" s="387">
        <f t="shared" si="810"/>
        <v>205.79519999999999</v>
      </c>
      <c r="BW1212" s="387">
        <f t="shared" si="811"/>
        <v>0</v>
      </c>
      <c r="BX1212" s="387">
        <f t="shared" si="826"/>
        <v>12834.65976</v>
      </c>
      <c r="BY1212" s="387">
        <f t="shared" si="827"/>
        <v>0</v>
      </c>
      <c r="BZ1212" s="387">
        <f t="shared" si="828"/>
        <v>0</v>
      </c>
      <c r="CA1212" s="387">
        <f t="shared" si="829"/>
        <v>0</v>
      </c>
      <c r="CB1212" s="387">
        <f t="shared" si="830"/>
        <v>0</v>
      </c>
      <c r="CC1212" s="387">
        <f t="shared" si="812"/>
        <v>0</v>
      </c>
      <c r="CD1212" s="387">
        <f t="shared" si="813"/>
        <v>0</v>
      </c>
      <c r="CE1212" s="387">
        <f t="shared" si="814"/>
        <v>0</v>
      </c>
      <c r="CF1212" s="387">
        <f t="shared" si="815"/>
        <v>-296.5872</v>
      </c>
      <c r="CG1212" s="387">
        <f t="shared" si="816"/>
        <v>0</v>
      </c>
      <c r="CH1212" s="387">
        <f t="shared" si="817"/>
        <v>42.369599999999977</v>
      </c>
      <c r="CI1212" s="387">
        <f t="shared" si="818"/>
        <v>0</v>
      </c>
      <c r="CJ1212" s="387">
        <f t="shared" si="831"/>
        <v>-254.2176</v>
      </c>
      <c r="CK1212" s="387" t="str">
        <f t="shared" si="832"/>
        <v/>
      </c>
      <c r="CL1212" s="387" t="str">
        <f t="shared" si="833"/>
        <v/>
      </c>
      <c r="CM1212" s="387" t="str">
        <f t="shared" si="834"/>
        <v/>
      </c>
      <c r="CN1212" s="387" t="str">
        <f t="shared" si="835"/>
        <v>0348-31</v>
      </c>
    </row>
    <row r="1213" spans="1:92" ht="15.75" thickBot="1" x14ac:dyDescent="0.3">
      <c r="A1213" s="376" t="s">
        <v>161</v>
      </c>
      <c r="B1213" s="376" t="s">
        <v>162</v>
      </c>
      <c r="C1213" s="376" t="s">
        <v>523</v>
      </c>
      <c r="D1213" s="376" t="s">
        <v>524</v>
      </c>
      <c r="E1213" s="376" t="s">
        <v>224</v>
      </c>
      <c r="F1213" s="382" t="s">
        <v>225</v>
      </c>
      <c r="G1213" s="376" t="s">
        <v>1945</v>
      </c>
      <c r="H1213" s="378"/>
      <c r="I1213" s="378"/>
      <c r="J1213" s="376" t="s">
        <v>215</v>
      </c>
      <c r="K1213" s="376" t="s">
        <v>525</v>
      </c>
      <c r="L1213" s="376" t="s">
        <v>170</v>
      </c>
      <c r="M1213" s="376" t="s">
        <v>171</v>
      </c>
      <c r="N1213" s="376" t="s">
        <v>172</v>
      </c>
      <c r="O1213" s="379">
        <v>1</v>
      </c>
      <c r="P1213" s="385">
        <v>0</v>
      </c>
      <c r="Q1213" s="385">
        <v>0</v>
      </c>
      <c r="R1213" s="380">
        <v>80</v>
      </c>
      <c r="S1213" s="385">
        <v>0</v>
      </c>
      <c r="T1213" s="380">
        <v>9051.6299999999992</v>
      </c>
      <c r="U1213" s="380">
        <v>0</v>
      </c>
      <c r="V1213" s="380">
        <v>3962.26</v>
      </c>
      <c r="W1213" s="380">
        <v>0</v>
      </c>
      <c r="X1213" s="380">
        <v>0</v>
      </c>
      <c r="Y1213" s="380">
        <v>0</v>
      </c>
      <c r="Z1213" s="380">
        <v>0</v>
      </c>
      <c r="AA1213" s="376" t="s">
        <v>526</v>
      </c>
      <c r="AB1213" s="376" t="s">
        <v>527</v>
      </c>
      <c r="AC1213" s="376" t="s">
        <v>528</v>
      </c>
      <c r="AD1213" s="376" t="s">
        <v>324</v>
      </c>
      <c r="AE1213" s="376" t="s">
        <v>525</v>
      </c>
      <c r="AF1213" s="376" t="s">
        <v>177</v>
      </c>
      <c r="AG1213" s="376" t="s">
        <v>178</v>
      </c>
      <c r="AH1213" s="379">
        <v>23</v>
      </c>
      <c r="AI1213" s="379">
        <v>80</v>
      </c>
      <c r="AJ1213" s="376" t="s">
        <v>179</v>
      </c>
      <c r="AK1213" s="376" t="s">
        <v>180</v>
      </c>
      <c r="AL1213" s="376" t="s">
        <v>181</v>
      </c>
      <c r="AM1213" s="376" t="s">
        <v>182</v>
      </c>
      <c r="AN1213" s="376" t="s">
        <v>68</v>
      </c>
      <c r="AO1213" s="379">
        <v>80</v>
      </c>
      <c r="AP1213" s="385">
        <v>1</v>
      </c>
      <c r="AQ1213" s="385">
        <v>0</v>
      </c>
      <c r="AR1213" s="383" t="s">
        <v>183</v>
      </c>
      <c r="AS1213" s="387">
        <f t="shared" si="819"/>
        <v>0</v>
      </c>
      <c r="AT1213">
        <f t="shared" si="820"/>
        <v>0</v>
      </c>
      <c r="AU1213" s="387" t="str">
        <f>IF(AT1213=0,"",IF(AND(AT1213=1,M1213="F",SUMIF(C2:C1334,C1213,AS2:AS1334)&lt;=1),SUMIF(C2:C1334,C1213,AS2:AS1334),IF(AND(AT1213=1,M1213="F",SUMIF(C2:C1334,C1213,AS2:AS1334)&gt;1),1,"")))</f>
        <v/>
      </c>
      <c r="AV1213" s="387" t="str">
        <f>IF(AT1213=0,"",IF(AND(AT1213=3,M1213="F",SUMIF(C2:C1334,C1213,AS2:AS1334)&lt;=1),SUMIF(C2:C1334,C1213,AS2:AS1334),IF(AND(AT1213=3,M1213="F",SUMIF(C2:C1334,C1213,AS2:AS1334)&gt;1),1,"")))</f>
        <v/>
      </c>
      <c r="AW1213" s="387">
        <f>SUMIF(C2:C1334,C1213,O2:O1334)</f>
        <v>4</v>
      </c>
      <c r="AX1213" s="387">
        <f>IF(AND(M1213="F",AS1213&lt;&gt;0),SUMIF(C2:C1334,C1213,W2:W1334),0)</f>
        <v>0</v>
      </c>
      <c r="AY1213" s="387" t="str">
        <f t="shared" si="821"/>
        <v/>
      </c>
      <c r="AZ1213" s="387" t="str">
        <f t="shared" si="822"/>
        <v/>
      </c>
      <c r="BA1213" s="387">
        <f t="shared" si="823"/>
        <v>0</v>
      </c>
      <c r="BB1213" s="387">
        <f t="shared" si="792"/>
        <v>0</v>
      </c>
      <c r="BC1213" s="387">
        <f t="shared" si="793"/>
        <v>0</v>
      </c>
      <c r="BD1213" s="387">
        <f t="shared" si="794"/>
        <v>0</v>
      </c>
      <c r="BE1213" s="387">
        <f t="shared" si="795"/>
        <v>0</v>
      </c>
      <c r="BF1213" s="387">
        <f t="shared" si="796"/>
        <v>0</v>
      </c>
      <c r="BG1213" s="387">
        <f t="shared" si="797"/>
        <v>0</v>
      </c>
      <c r="BH1213" s="387">
        <f t="shared" si="798"/>
        <v>0</v>
      </c>
      <c r="BI1213" s="387">
        <f t="shared" si="799"/>
        <v>0</v>
      </c>
      <c r="BJ1213" s="387">
        <f t="shared" si="800"/>
        <v>0</v>
      </c>
      <c r="BK1213" s="387">
        <f t="shared" si="801"/>
        <v>0</v>
      </c>
      <c r="BL1213" s="387">
        <f t="shared" si="824"/>
        <v>0</v>
      </c>
      <c r="BM1213" s="387">
        <f t="shared" si="825"/>
        <v>0</v>
      </c>
      <c r="BN1213" s="387">
        <f t="shared" si="802"/>
        <v>0</v>
      </c>
      <c r="BO1213" s="387">
        <f t="shared" si="803"/>
        <v>0</v>
      </c>
      <c r="BP1213" s="387">
        <f t="shared" si="804"/>
        <v>0</v>
      </c>
      <c r="BQ1213" s="387">
        <f t="shared" si="805"/>
        <v>0</v>
      </c>
      <c r="BR1213" s="387">
        <f t="shared" si="806"/>
        <v>0</v>
      </c>
      <c r="BS1213" s="387">
        <f t="shared" si="807"/>
        <v>0</v>
      </c>
      <c r="BT1213" s="387">
        <f t="shared" si="808"/>
        <v>0</v>
      </c>
      <c r="BU1213" s="387">
        <f t="shared" si="809"/>
        <v>0</v>
      </c>
      <c r="BV1213" s="387">
        <f t="shared" si="810"/>
        <v>0</v>
      </c>
      <c r="BW1213" s="387">
        <f t="shared" si="811"/>
        <v>0</v>
      </c>
      <c r="BX1213" s="387">
        <f t="shared" si="826"/>
        <v>0</v>
      </c>
      <c r="BY1213" s="387">
        <f t="shared" si="827"/>
        <v>0</v>
      </c>
      <c r="BZ1213" s="387">
        <f t="shared" si="828"/>
        <v>0</v>
      </c>
      <c r="CA1213" s="387">
        <f t="shared" si="829"/>
        <v>0</v>
      </c>
      <c r="CB1213" s="387">
        <f t="shared" si="830"/>
        <v>0</v>
      </c>
      <c r="CC1213" s="387">
        <f t="shared" si="812"/>
        <v>0</v>
      </c>
      <c r="CD1213" s="387">
        <f t="shared" si="813"/>
        <v>0</v>
      </c>
      <c r="CE1213" s="387">
        <f t="shared" si="814"/>
        <v>0</v>
      </c>
      <c r="CF1213" s="387">
        <f t="shared" si="815"/>
        <v>0</v>
      </c>
      <c r="CG1213" s="387">
        <f t="shared" si="816"/>
        <v>0</v>
      </c>
      <c r="CH1213" s="387">
        <f t="shared" si="817"/>
        <v>0</v>
      </c>
      <c r="CI1213" s="387">
        <f t="shared" si="818"/>
        <v>0</v>
      </c>
      <c r="CJ1213" s="387">
        <f t="shared" si="831"/>
        <v>0</v>
      </c>
      <c r="CK1213" s="387" t="str">
        <f t="shared" si="832"/>
        <v/>
      </c>
      <c r="CL1213" s="387" t="str">
        <f t="shared" si="833"/>
        <v/>
      </c>
      <c r="CM1213" s="387" t="str">
        <f t="shared" si="834"/>
        <v/>
      </c>
      <c r="CN1213" s="387" t="str">
        <f t="shared" si="835"/>
        <v>0348-31</v>
      </c>
    </row>
    <row r="1214" spans="1:92" ht="15.75" thickBot="1" x14ac:dyDescent="0.3">
      <c r="A1214" s="376" t="s">
        <v>161</v>
      </c>
      <c r="B1214" s="376" t="s">
        <v>162</v>
      </c>
      <c r="C1214" s="376" t="s">
        <v>437</v>
      </c>
      <c r="D1214" s="376" t="s">
        <v>421</v>
      </c>
      <c r="E1214" s="376" t="s">
        <v>224</v>
      </c>
      <c r="F1214" s="382" t="s">
        <v>225</v>
      </c>
      <c r="G1214" s="376" t="s">
        <v>1945</v>
      </c>
      <c r="H1214" s="378"/>
      <c r="I1214" s="378"/>
      <c r="J1214" s="376" t="s">
        <v>239</v>
      </c>
      <c r="K1214" s="376" t="s">
        <v>422</v>
      </c>
      <c r="L1214" s="376" t="s">
        <v>181</v>
      </c>
      <c r="M1214" s="376" t="s">
        <v>171</v>
      </c>
      <c r="N1214" s="376" t="s">
        <v>172</v>
      </c>
      <c r="O1214" s="379">
        <v>1</v>
      </c>
      <c r="P1214" s="385">
        <v>0.75</v>
      </c>
      <c r="Q1214" s="385">
        <v>0.75</v>
      </c>
      <c r="R1214" s="380">
        <v>80</v>
      </c>
      <c r="S1214" s="385">
        <v>0.75</v>
      </c>
      <c r="T1214" s="380">
        <v>69263.69</v>
      </c>
      <c r="U1214" s="380">
        <v>1601.73</v>
      </c>
      <c r="V1214" s="380">
        <v>23805.64</v>
      </c>
      <c r="W1214" s="380">
        <v>70231.199999999997</v>
      </c>
      <c r="X1214" s="380">
        <v>23924.97</v>
      </c>
      <c r="Y1214" s="380">
        <v>70231.199999999997</v>
      </c>
      <c r="Z1214" s="380">
        <v>23630</v>
      </c>
      <c r="AA1214" s="376" t="s">
        <v>438</v>
      </c>
      <c r="AB1214" s="376" t="s">
        <v>439</v>
      </c>
      <c r="AC1214" s="376" t="s">
        <v>440</v>
      </c>
      <c r="AD1214" s="376" t="s">
        <v>441</v>
      </c>
      <c r="AE1214" s="376" t="s">
        <v>422</v>
      </c>
      <c r="AF1214" s="376" t="s">
        <v>211</v>
      </c>
      <c r="AG1214" s="376" t="s">
        <v>178</v>
      </c>
      <c r="AH1214" s="381">
        <v>45.02</v>
      </c>
      <c r="AI1214" s="379">
        <v>25059</v>
      </c>
      <c r="AJ1214" s="376" t="s">
        <v>179</v>
      </c>
      <c r="AK1214" s="376" t="s">
        <v>180</v>
      </c>
      <c r="AL1214" s="376" t="s">
        <v>181</v>
      </c>
      <c r="AM1214" s="376" t="s">
        <v>182</v>
      </c>
      <c r="AN1214" s="376" t="s">
        <v>68</v>
      </c>
      <c r="AO1214" s="379">
        <v>80</v>
      </c>
      <c r="AP1214" s="385">
        <v>1</v>
      </c>
      <c r="AQ1214" s="385">
        <v>0.75</v>
      </c>
      <c r="AR1214" s="383" t="s">
        <v>183</v>
      </c>
      <c r="AS1214" s="387">
        <f t="shared" si="819"/>
        <v>0.75</v>
      </c>
      <c r="AT1214">
        <f t="shared" si="820"/>
        <v>1</v>
      </c>
      <c r="AU1214" s="387">
        <f>IF(AT1214=0,"",IF(AND(AT1214=1,M1214="F",SUMIF(C2:C1334,C1214,AS2:AS1334)&lt;=1),SUMIF(C2:C1334,C1214,AS2:AS1334),IF(AND(AT1214=1,M1214="F",SUMIF(C2:C1334,C1214,AS2:AS1334)&gt;1),1,"")))</f>
        <v>1</v>
      </c>
      <c r="AV1214" s="387" t="str">
        <f>IF(AT1214=0,"",IF(AND(AT1214=3,M1214="F",SUMIF(C2:C1334,C1214,AS2:AS1334)&lt;=1),SUMIF(C2:C1334,C1214,AS2:AS1334),IF(AND(AT1214=3,M1214="F",SUMIF(C2:C1334,C1214,AS2:AS1334)&gt;1),1,"")))</f>
        <v/>
      </c>
      <c r="AW1214" s="387">
        <f>SUMIF(C2:C1334,C1214,O2:O1334)</f>
        <v>4</v>
      </c>
      <c r="AX1214" s="387">
        <f>IF(AND(M1214="F",AS1214&lt;&gt;0),SUMIF(C2:C1334,C1214,W2:W1334),0)</f>
        <v>93641.600000000006</v>
      </c>
      <c r="AY1214" s="387">
        <f t="shared" si="821"/>
        <v>70231.199999999997</v>
      </c>
      <c r="AZ1214" s="387" t="str">
        <f t="shared" si="822"/>
        <v/>
      </c>
      <c r="BA1214" s="387">
        <f t="shared" si="823"/>
        <v>0</v>
      </c>
      <c r="BB1214" s="387">
        <f t="shared" si="792"/>
        <v>8737.5</v>
      </c>
      <c r="BC1214" s="387">
        <f t="shared" si="793"/>
        <v>0</v>
      </c>
      <c r="BD1214" s="387">
        <f t="shared" si="794"/>
        <v>4354.3343999999997</v>
      </c>
      <c r="BE1214" s="387">
        <f t="shared" si="795"/>
        <v>1018.3524</v>
      </c>
      <c r="BF1214" s="387">
        <f t="shared" si="796"/>
        <v>8385.6052799999998</v>
      </c>
      <c r="BG1214" s="387">
        <f t="shared" si="797"/>
        <v>506.36695199999997</v>
      </c>
      <c r="BH1214" s="387">
        <f t="shared" si="798"/>
        <v>344.13288</v>
      </c>
      <c r="BI1214" s="387">
        <f t="shared" si="799"/>
        <v>388.729692</v>
      </c>
      <c r="BJ1214" s="387">
        <f t="shared" si="800"/>
        <v>189.62424000000001</v>
      </c>
      <c r="BK1214" s="387">
        <f t="shared" si="801"/>
        <v>0</v>
      </c>
      <c r="BL1214" s="387">
        <f t="shared" si="824"/>
        <v>15187.145843999999</v>
      </c>
      <c r="BM1214" s="387">
        <f t="shared" si="825"/>
        <v>0</v>
      </c>
      <c r="BN1214" s="387">
        <f t="shared" si="802"/>
        <v>8737.5</v>
      </c>
      <c r="BO1214" s="387">
        <f t="shared" si="803"/>
        <v>0</v>
      </c>
      <c r="BP1214" s="387">
        <f t="shared" si="804"/>
        <v>4354.3343999999997</v>
      </c>
      <c r="BQ1214" s="387">
        <f t="shared" si="805"/>
        <v>1018.3524</v>
      </c>
      <c r="BR1214" s="387">
        <f t="shared" si="806"/>
        <v>8385.6052799999998</v>
      </c>
      <c r="BS1214" s="387">
        <f t="shared" si="807"/>
        <v>506.36695199999997</v>
      </c>
      <c r="BT1214" s="387">
        <f t="shared" si="808"/>
        <v>0</v>
      </c>
      <c r="BU1214" s="387">
        <f t="shared" si="809"/>
        <v>388.729692</v>
      </c>
      <c r="BV1214" s="387">
        <f t="shared" si="810"/>
        <v>238.78607999999997</v>
      </c>
      <c r="BW1214" s="387">
        <f t="shared" si="811"/>
        <v>0</v>
      </c>
      <c r="BX1214" s="387">
        <f t="shared" si="826"/>
        <v>14892.174804</v>
      </c>
      <c r="BY1214" s="387">
        <f t="shared" si="827"/>
        <v>0</v>
      </c>
      <c r="BZ1214" s="387">
        <f t="shared" si="828"/>
        <v>0</v>
      </c>
      <c r="CA1214" s="387">
        <f t="shared" si="829"/>
        <v>0</v>
      </c>
      <c r="CB1214" s="387">
        <f t="shared" si="830"/>
        <v>0</v>
      </c>
      <c r="CC1214" s="387">
        <f t="shared" si="812"/>
        <v>0</v>
      </c>
      <c r="CD1214" s="387">
        <f t="shared" si="813"/>
        <v>0</v>
      </c>
      <c r="CE1214" s="387">
        <f t="shared" si="814"/>
        <v>0</v>
      </c>
      <c r="CF1214" s="387">
        <f t="shared" si="815"/>
        <v>-344.13288</v>
      </c>
      <c r="CG1214" s="387">
        <f t="shared" si="816"/>
        <v>0</v>
      </c>
      <c r="CH1214" s="387">
        <f t="shared" si="817"/>
        <v>49.161839999999977</v>
      </c>
      <c r="CI1214" s="387">
        <f t="shared" si="818"/>
        <v>0</v>
      </c>
      <c r="CJ1214" s="387">
        <f t="shared" si="831"/>
        <v>-294.97104000000002</v>
      </c>
      <c r="CK1214" s="387" t="str">
        <f t="shared" si="832"/>
        <v/>
      </c>
      <c r="CL1214" s="387" t="str">
        <f t="shared" si="833"/>
        <v/>
      </c>
      <c r="CM1214" s="387" t="str">
        <f t="shared" si="834"/>
        <v/>
      </c>
      <c r="CN1214" s="387" t="str">
        <f t="shared" si="835"/>
        <v>0348-31</v>
      </c>
    </row>
    <row r="1215" spans="1:92" ht="15.75" thickBot="1" x14ac:dyDescent="0.3">
      <c r="A1215" s="376" t="s">
        <v>161</v>
      </c>
      <c r="B1215" s="376" t="s">
        <v>162</v>
      </c>
      <c r="C1215" s="376" t="s">
        <v>2457</v>
      </c>
      <c r="D1215" s="376" t="s">
        <v>862</v>
      </c>
      <c r="E1215" s="376" t="s">
        <v>224</v>
      </c>
      <c r="F1215" s="382" t="s">
        <v>225</v>
      </c>
      <c r="G1215" s="376" t="s">
        <v>1945</v>
      </c>
      <c r="H1215" s="378"/>
      <c r="I1215" s="378"/>
      <c r="J1215" s="376" t="s">
        <v>215</v>
      </c>
      <c r="K1215" s="376" t="s">
        <v>863</v>
      </c>
      <c r="L1215" s="376" t="s">
        <v>252</v>
      </c>
      <c r="M1215" s="376" t="s">
        <v>566</v>
      </c>
      <c r="N1215" s="376" t="s">
        <v>172</v>
      </c>
      <c r="O1215" s="379">
        <v>0</v>
      </c>
      <c r="P1215" s="385">
        <v>0</v>
      </c>
      <c r="Q1215" s="385">
        <v>0</v>
      </c>
      <c r="R1215" s="380">
        <v>80</v>
      </c>
      <c r="S1215" s="385">
        <v>0</v>
      </c>
      <c r="T1215" s="380">
        <v>14548</v>
      </c>
      <c r="U1215" s="380">
        <v>0</v>
      </c>
      <c r="V1215" s="380">
        <v>6406.11</v>
      </c>
      <c r="W1215" s="380">
        <v>0</v>
      </c>
      <c r="X1215" s="380">
        <v>0</v>
      </c>
      <c r="Y1215" s="380">
        <v>0</v>
      </c>
      <c r="Z1215" s="380">
        <v>0</v>
      </c>
      <c r="AA1215" s="378"/>
      <c r="AB1215" s="376" t="s">
        <v>45</v>
      </c>
      <c r="AC1215" s="376" t="s">
        <v>45</v>
      </c>
      <c r="AD1215" s="378"/>
      <c r="AE1215" s="378"/>
      <c r="AF1215" s="378"/>
      <c r="AG1215" s="378"/>
      <c r="AH1215" s="379">
        <v>0</v>
      </c>
      <c r="AI1215" s="379">
        <v>0</v>
      </c>
      <c r="AJ1215" s="378"/>
      <c r="AK1215" s="378"/>
      <c r="AL1215" s="376" t="s">
        <v>181</v>
      </c>
      <c r="AM1215" s="378"/>
      <c r="AN1215" s="378"/>
      <c r="AO1215" s="379">
        <v>0</v>
      </c>
      <c r="AP1215" s="385">
        <v>0</v>
      </c>
      <c r="AQ1215" s="385">
        <v>0</v>
      </c>
      <c r="AR1215" s="384"/>
      <c r="AS1215" s="387">
        <f t="shared" si="819"/>
        <v>0</v>
      </c>
      <c r="AT1215">
        <f t="shared" si="820"/>
        <v>0</v>
      </c>
      <c r="AU1215" s="387" t="str">
        <f>IF(AT1215=0,"",IF(AND(AT1215=1,M1215="F",SUMIF(C2:C1334,C1215,AS2:AS1334)&lt;=1),SUMIF(C2:C1334,C1215,AS2:AS1334),IF(AND(AT1215=1,M1215="F",SUMIF(C2:C1334,C1215,AS2:AS1334)&gt;1),1,"")))</f>
        <v/>
      </c>
      <c r="AV1215" s="387" t="str">
        <f>IF(AT1215=0,"",IF(AND(AT1215=3,M1215="F",SUMIF(C2:C1334,C1215,AS2:AS1334)&lt;=1),SUMIF(C2:C1334,C1215,AS2:AS1334),IF(AND(AT1215=3,M1215="F",SUMIF(C2:C1334,C1215,AS2:AS1334)&gt;1),1,"")))</f>
        <v/>
      </c>
      <c r="AW1215" s="387">
        <f>SUMIF(C2:C1334,C1215,O2:O1334)</f>
        <v>0</v>
      </c>
      <c r="AX1215" s="387">
        <f>IF(AND(M1215="F",AS1215&lt;&gt;0),SUMIF(C2:C1334,C1215,W2:W1334),0)</f>
        <v>0</v>
      </c>
      <c r="AY1215" s="387" t="str">
        <f t="shared" si="821"/>
        <v/>
      </c>
      <c r="AZ1215" s="387" t="str">
        <f t="shared" si="822"/>
        <v/>
      </c>
      <c r="BA1215" s="387">
        <f t="shared" si="823"/>
        <v>0</v>
      </c>
      <c r="BB1215" s="387">
        <f t="shared" si="792"/>
        <v>0</v>
      </c>
      <c r="BC1215" s="387">
        <f t="shared" si="793"/>
        <v>0</v>
      </c>
      <c r="BD1215" s="387">
        <f t="shared" si="794"/>
        <v>0</v>
      </c>
      <c r="BE1215" s="387">
        <f t="shared" si="795"/>
        <v>0</v>
      </c>
      <c r="BF1215" s="387">
        <f t="shared" si="796"/>
        <v>0</v>
      </c>
      <c r="BG1215" s="387">
        <f t="shared" si="797"/>
        <v>0</v>
      </c>
      <c r="BH1215" s="387">
        <f t="shared" si="798"/>
        <v>0</v>
      </c>
      <c r="BI1215" s="387">
        <f t="shared" si="799"/>
        <v>0</v>
      </c>
      <c r="BJ1215" s="387">
        <f t="shared" si="800"/>
        <v>0</v>
      </c>
      <c r="BK1215" s="387">
        <f t="shared" si="801"/>
        <v>0</v>
      </c>
      <c r="BL1215" s="387">
        <f t="shared" si="824"/>
        <v>0</v>
      </c>
      <c r="BM1215" s="387">
        <f t="shared" si="825"/>
        <v>0</v>
      </c>
      <c r="BN1215" s="387">
        <f t="shared" si="802"/>
        <v>0</v>
      </c>
      <c r="BO1215" s="387">
        <f t="shared" si="803"/>
        <v>0</v>
      </c>
      <c r="BP1215" s="387">
        <f t="shared" si="804"/>
        <v>0</v>
      </c>
      <c r="BQ1215" s="387">
        <f t="shared" si="805"/>
        <v>0</v>
      </c>
      <c r="BR1215" s="387">
        <f t="shared" si="806"/>
        <v>0</v>
      </c>
      <c r="BS1215" s="387">
        <f t="shared" si="807"/>
        <v>0</v>
      </c>
      <c r="BT1215" s="387">
        <f t="shared" si="808"/>
        <v>0</v>
      </c>
      <c r="BU1215" s="387">
        <f t="shared" si="809"/>
        <v>0</v>
      </c>
      <c r="BV1215" s="387">
        <f t="shared" si="810"/>
        <v>0</v>
      </c>
      <c r="BW1215" s="387">
        <f t="shared" si="811"/>
        <v>0</v>
      </c>
      <c r="BX1215" s="387">
        <f t="shared" si="826"/>
        <v>0</v>
      </c>
      <c r="BY1215" s="387">
        <f t="shared" si="827"/>
        <v>0</v>
      </c>
      <c r="BZ1215" s="387">
        <f t="shared" si="828"/>
        <v>0</v>
      </c>
      <c r="CA1215" s="387">
        <f t="shared" si="829"/>
        <v>0</v>
      </c>
      <c r="CB1215" s="387">
        <f t="shared" si="830"/>
        <v>0</v>
      </c>
      <c r="CC1215" s="387">
        <f t="shared" si="812"/>
        <v>0</v>
      </c>
      <c r="CD1215" s="387">
        <f t="shared" si="813"/>
        <v>0</v>
      </c>
      <c r="CE1215" s="387">
        <f t="shared" si="814"/>
        <v>0</v>
      </c>
      <c r="CF1215" s="387">
        <f t="shared" si="815"/>
        <v>0</v>
      </c>
      <c r="CG1215" s="387">
        <f t="shared" si="816"/>
        <v>0</v>
      </c>
      <c r="CH1215" s="387">
        <f t="shared" si="817"/>
        <v>0</v>
      </c>
      <c r="CI1215" s="387">
        <f t="shared" si="818"/>
        <v>0</v>
      </c>
      <c r="CJ1215" s="387">
        <f t="shared" si="831"/>
        <v>0</v>
      </c>
      <c r="CK1215" s="387" t="str">
        <f t="shared" si="832"/>
        <v/>
      </c>
      <c r="CL1215" s="387" t="str">
        <f t="shared" si="833"/>
        <v/>
      </c>
      <c r="CM1215" s="387" t="str">
        <f t="shared" si="834"/>
        <v/>
      </c>
      <c r="CN1215" s="387" t="str">
        <f t="shared" si="835"/>
        <v>0348-31</v>
      </c>
    </row>
    <row r="1216" spans="1:92" ht="15.75" thickBot="1" x14ac:dyDescent="0.3">
      <c r="A1216" s="376" t="s">
        <v>161</v>
      </c>
      <c r="B1216" s="376" t="s">
        <v>162</v>
      </c>
      <c r="C1216" s="376" t="s">
        <v>2458</v>
      </c>
      <c r="D1216" s="376" t="s">
        <v>270</v>
      </c>
      <c r="E1216" s="376" t="s">
        <v>224</v>
      </c>
      <c r="F1216" s="382" t="s">
        <v>225</v>
      </c>
      <c r="G1216" s="376" t="s">
        <v>1945</v>
      </c>
      <c r="H1216" s="378"/>
      <c r="I1216" s="378"/>
      <c r="J1216" s="376" t="s">
        <v>215</v>
      </c>
      <c r="K1216" s="376" t="s">
        <v>271</v>
      </c>
      <c r="L1216" s="376" t="s">
        <v>217</v>
      </c>
      <c r="M1216" s="376" t="s">
        <v>272</v>
      </c>
      <c r="N1216" s="376" t="s">
        <v>172</v>
      </c>
      <c r="O1216" s="379">
        <v>0</v>
      </c>
      <c r="P1216" s="385">
        <v>1</v>
      </c>
      <c r="Q1216" s="385">
        <v>1</v>
      </c>
      <c r="R1216" s="380">
        <v>80</v>
      </c>
      <c r="S1216" s="385">
        <v>1</v>
      </c>
      <c r="T1216" s="380">
        <v>0</v>
      </c>
      <c r="U1216" s="380">
        <v>0</v>
      </c>
      <c r="V1216" s="380">
        <v>0</v>
      </c>
      <c r="W1216" s="380">
        <v>37502.400000000001</v>
      </c>
      <c r="X1216" s="380">
        <v>16426.05</v>
      </c>
      <c r="Y1216" s="380">
        <v>37502.400000000001</v>
      </c>
      <c r="Z1216" s="380">
        <v>16238.53</v>
      </c>
      <c r="AA1216" s="378"/>
      <c r="AB1216" s="376" t="s">
        <v>45</v>
      </c>
      <c r="AC1216" s="376" t="s">
        <v>45</v>
      </c>
      <c r="AD1216" s="378"/>
      <c r="AE1216" s="378"/>
      <c r="AF1216" s="378"/>
      <c r="AG1216" s="378"/>
      <c r="AH1216" s="379">
        <v>0</v>
      </c>
      <c r="AI1216" s="379">
        <v>0</v>
      </c>
      <c r="AJ1216" s="378"/>
      <c r="AK1216" s="378"/>
      <c r="AL1216" s="376" t="s">
        <v>181</v>
      </c>
      <c r="AM1216" s="378"/>
      <c r="AN1216" s="378"/>
      <c r="AO1216" s="379">
        <v>0</v>
      </c>
      <c r="AP1216" s="385">
        <v>0</v>
      </c>
      <c r="AQ1216" s="385">
        <v>0</v>
      </c>
      <c r="AR1216" s="384"/>
      <c r="AS1216" s="387">
        <f t="shared" si="819"/>
        <v>0</v>
      </c>
      <c r="AT1216">
        <f t="shared" si="820"/>
        <v>0</v>
      </c>
      <c r="AU1216" s="387" t="str">
        <f>IF(AT1216=0,"",IF(AND(AT1216=1,M1216="F",SUMIF(C2:C1334,C1216,AS2:AS1334)&lt;=1),SUMIF(C2:C1334,C1216,AS2:AS1334),IF(AND(AT1216=1,M1216="F",SUMIF(C2:C1334,C1216,AS2:AS1334)&gt;1),1,"")))</f>
        <v/>
      </c>
      <c r="AV1216" s="387" t="str">
        <f>IF(AT1216=0,"",IF(AND(AT1216=3,M1216="F",SUMIF(C2:C1334,C1216,AS2:AS1334)&lt;=1),SUMIF(C2:C1334,C1216,AS2:AS1334),IF(AND(AT1216=3,M1216="F",SUMIF(C2:C1334,C1216,AS2:AS1334)&gt;1),1,"")))</f>
        <v/>
      </c>
      <c r="AW1216" s="387">
        <f>SUMIF(C2:C1334,C1216,O2:O1334)</f>
        <v>0</v>
      </c>
      <c r="AX1216" s="387">
        <f>IF(AND(M1216="F",AS1216&lt;&gt;0),SUMIF(C2:C1334,C1216,W2:W1334),0)</f>
        <v>0</v>
      </c>
      <c r="AY1216" s="387" t="str">
        <f t="shared" si="821"/>
        <v/>
      </c>
      <c r="AZ1216" s="387" t="str">
        <f t="shared" si="822"/>
        <v/>
      </c>
      <c r="BA1216" s="387">
        <f t="shared" si="823"/>
        <v>0</v>
      </c>
      <c r="BB1216" s="387">
        <f t="shared" si="792"/>
        <v>0</v>
      </c>
      <c r="BC1216" s="387">
        <f t="shared" si="793"/>
        <v>0</v>
      </c>
      <c r="BD1216" s="387">
        <f t="shared" si="794"/>
        <v>0</v>
      </c>
      <c r="BE1216" s="387">
        <f t="shared" si="795"/>
        <v>0</v>
      </c>
      <c r="BF1216" s="387">
        <f t="shared" si="796"/>
        <v>0</v>
      </c>
      <c r="BG1216" s="387">
        <f t="shared" si="797"/>
        <v>0</v>
      </c>
      <c r="BH1216" s="387">
        <f t="shared" si="798"/>
        <v>0</v>
      </c>
      <c r="BI1216" s="387">
        <f t="shared" si="799"/>
        <v>0</v>
      </c>
      <c r="BJ1216" s="387">
        <f t="shared" si="800"/>
        <v>0</v>
      </c>
      <c r="BK1216" s="387">
        <f t="shared" si="801"/>
        <v>0</v>
      </c>
      <c r="BL1216" s="387">
        <f t="shared" si="824"/>
        <v>0</v>
      </c>
      <c r="BM1216" s="387">
        <f t="shared" si="825"/>
        <v>0</v>
      </c>
      <c r="BN1216" s="387">
        <f t="shared" si="802"/>
        <v>0</v>
      </c>
      <c r="BO1216" s="387">
        <f t="shared" si="803"/>
        <v>0</v>
      </c>
      <c r="BP1216" s="387">
        <f t="shared" si="804"/>
        <v>0</v>
      </c>
      <c r="BQ1216" s="387">
        <f t="shared" si="805"/>
        <v>0</v>
      </c>
      <c r="BR1216" s="387">
        <f t="shared" si="806"/>
        <v>0</v>
      </c>
      <c r="BS1216" s="387">
        <f t="shared" si="807"/>
        <v>0</v>
      </c>
      <c r="BT1216" s="387">
        <f t="shared" si="808"/>
        <v>0</v>
      </c>
      <c r="BU1216" s="387">
        <f t="shared" si="809"/>
        <v>0</v>
      </c>
      <c r="BV1216" s="387">
        <f t="shared" si="810"/>
        <v>0</v>
      </c>
      <c r="BW1216" s="387">
        <f t="shared" si="811"/>
        <v>0</v>
      </c>
      <c r="BX1216" s="387">
        <f t="shared" si="826"/>
        <v>0</v>
      </c>
      <c r="BY1216" s="387">
        <f t="shared" si="827"/>
        <v>0</v>
      </c>
      <c r="BZ1216" s="387">
        <f t="shared" si="828"/>
        <v>0</v>
      </c>
      <c r="CA1216" s="387">
        <f t="shared" si="829"/>
        <v>0</v>
      </c>
      <c r="CB1216" s="387">
        <f t="shared" si="830"/>
        <v>0</v>
      </c>
      <c r="CC1216" s="387">
        <f t="shared" si="812"/>
        <v>0</v>
      </c>
      <c r="CD1216" s="387">
        <f t="shared" si="813"/>
        <v>0</v>
      </c>
      <c r="CE1216" s="387">
        <f t="shared" si="814"/>
        <v>0</v>
      </c>
      <c r="CF1216" s="387">
        <f t="shared" si="815"/>
        <v>0</v>
      </c>
      <c r="CG1216" s="387">
        <f t="shared" si="816"/>
        <v>0</v>
      </c>
      <c r="CH1216" s="387">
        <f t="shared" si="817"/>
        <v>0</v>
      </c>
      <c r="CI1216" s="387">
        <f t="shared" si="818"/>
        <v>0</v>
      </c>
      <c r="CJ1216" s="387">
        <f t="shared" si="831"/>
        <v>0</v>
      </c>
      <c r="CK1216" s="387" t="str">
        <f t="shared" si="832"/>
        <v/>
      </c>
      <c r="CL1216" s="387" t="str">
        <f t="shared" si="833"/>
        <v/>
      </c>
      <c r="CM1216" s="387" t="str">
        <f t="shared" si="834"/>
        <v/>
      </c>
      <c r="CN1216" s="387" t="str">
        <f t="shared" si="835"/>
        <v>0348-31</v>
      </c>
    </row>
    <row r="1217" spans="1:92" ht="15.75" thickBot="1" x14ac:dyDescent="0.3">
      <c r="A1217" s="376" t="s">
        <v>161</v>
      </c>
      <c r="B1217" s="376" t="s">
        <v>162</v>
      </c>
      <c r="C1217" s="376" t="s">
        <v>2459</v>
      </c>
      <c r="D1217" s="376" t="s">
        <v>862</v>
      </c>
      <c r="E1217" s="376" t="s">
        <v>224</v>
      </c>
      <c r="F1217" s="382" t="s">
        <v>225</v>
      </c>
      <c r="G1217" s="376" t="s">
        <v>1945</v>
      </c>
      <c r="H1217" s="378"/>
      <c r="I1217" s="378"/>
      <c r="J1217" s="376" t="s">
        <v>215</v>
      </c>
      <c r="K1217" s="376" t="s">
        <v>863</v>
      </c>
      <c r="L1217" s="376" t="s">
        <v>252</v>
      </c>
      <c r="M1217" s="376" t="s">
        <v>171</v>
      </c>
      <c r="N1217" s="376" t="s">
        <v>172</v>
      </c>
      <c r="O1217" s="379">
        <v>1</v>
      </c>
      <c r="P1217" s="385">
        <v>1</v>
      </c>
      <c r="Q1217" s="385">
        <v>1</v>
      </c>
      <c r="R1217" s="380">
        <v>80</v>
      </c>
      <c r="S1217" s="385">
        <v>1</v>
      </c>
      <c r="T1217" s="380">
        <v>36328.9</v>
      </c>
      <c r="U1217" s="380">
        <v>352.21</v>
      </c>
      <c r="V1217" s="380">
        <v>19327.37</v>
      </c>
      <c r="W1217" s="380">
        <v>38792</v>
      </c>
      <c r="X1217" s="380">
        <v>20038.740000000002</v>
      </c>
      <c r="Y1217" s="380">
        <v>38792</v>
      </c>
      <c r="Z1217" s="380">
        <v>19875.82</v>
      </c>
      <c r="AA1217" s="376" t="s">
        <v>2460</v>
      </c>
      <c r="AB1217" s="376" t="s">
        <v>2461</v>
      </c>
      <c r="AC1217" s="376" t="s">
        <v>2462</v>
      </c>
      <c r="AD1217" s="376" t="s">
        <v>171</v>
      </c>
      <c r="AE1217" s="376" t="s">
        <v>863</v>
      </c>
      <c r="AF1217" s="376" t="s">
        <v>393</v>
      </c>
      <c r="AG1217" s="376" t="s">
        <v>178</v>
      </c>
      <c r="AH1217" s="381">
        <v>18.649999999999999</v>
      </c>
      <c r="AI1217" s="381">
        <v>2409.4</v>
      </c>
      <c r="AJ1217" s="376" t="s">
        <v>179</v>
      </c>
      <c r="AK1217" s="376" t="s">
        <v>180</v>
      </c>
      <c r="AL1217" s="376" t="s">
        <v>181</v>
      </c>
      <c r="AM1217" s="376" t="s">
        <v>182</v>
      </c>
      <c r="AN1217" s="376" t="s">
        <v>68</v>
      </c>
      <c r="AO1217" s="379">
        <v>80</v>
      </c>
      <c r="AP1217" s="385">
        <v>1</v>
      </c>
      <c r="AQ1217" s="385">
        <v>1</v>
      </c>
      <c r="AR1217" s="383" t="s">
        <v>183</v>
      </c>
      <c r="AS1217" s="387">
        <f t="shared" si="819"/>
        <v>1</v>
      </c>
      <c r="AT1217">
        <f t="shared" si="820"/>
        <v>1</v>
      </c>
      <c r="AU1217" s="387">
        <f>IF(AT1217=0,"",IF(AND(AT1217=1,M1217="F",SUMIF(C2:C1334,C1217,AS2:AS1334)&lt;=1),SUMIF(C2:C1334,C1217,AS2:AS1334),IF(AND(AT1217=1,M1217="F",SUMIF(C2:C1334,C1217,AS2:AS1334)&gt;1),1,"")))</f>
        <v>1</v>
      </c>
      <c r="AV1217" s="387" t="str">
        <f>IF(AT1217=0,"",IF(AND(AT1217=3,M1217="F",SUMIF(C2:C1334,C1217,AS2:AS1334)&lt;=1),SUMIF(C2:C1334,C1217,AS2:AS1334),IF(AND(AT1217=3,M1217="F",SUMIF(C2:C1334,C1217,AS2:AS1334)&gt;1),1,"")))</f>
        <v/>
      </c>
      <c r="AW1217" s="387">
        <f>SUMIF(C2:C1334,C1217,O2:O1334)</f>
        <v>1</v>
      </c>
      <c r="AX1217" s="387">
        <f>IF(AND(M1217="F",AS1217&lt;&gt;0),SUMIF(C2:C1334,C1217,W2:W1334),0)</f>
        <v>38792</v>
      </c>
      <c r="AY1217" s="387">
        <f t="shared" si="821"/>
        <v>38792</v>
      </c>
      <c r="AZ1217" s="387" t="str">
        <f t="shared" si="822"/>
        <v/>
      </c>
      <c r="BA1217" s="387">
        <f t="shared" si="823"/>
        <v>0</v>
      </c>
      <c r="BB1217" s="387">
        <f t="shared" si="792"/>
        <v>11650</v>
      </c>
      <c r="BC1217" s="387">
        <f t="shared" si="793"/>
        <v>0</v>
      </c>
      <c r="BD1217" s="387">
        <f t="shared" si="794"/>
        <v>2405.1039999999998</v>
      </c>
      <c r="BE1217" s="387">
        <f t="shared" si="795"/>
        <v>562.48400000000004</v>
      </c>
      <c r="BF1217" s="387">
        <f t="shared" si="796"/>
        <v>4631.7647999999999</v>
      </c>
      <c r="BG1217" s="387">
        <f t="shared" si="797"/>
        <v>279.69031999999999</v>
      </c>
      <c r="BH1217" s="387">
        <f t="shared" si="798"/>
        <v>190.08079999999998</v>
      </c>
      <c r="BI1217" s="387">
        <f t="shared" si="799"/>
        <v>214.71372</v>
      </c>
      <c r="BJ1217" s="387">
        <f t="shared" si="800"/>
        <v>104.7384</v>
      </c>
      <c r="BK1217" s="387">
        <f t="shared" si="801"/>
        <v>0</v>
      </c>
      <c r="BL1217" s="387">
        <f t="shared" si="824"/>
        <v>8388.5760399999999</v>
      </c>
      <c r="BM1217" s="387">
        <f t="shared" si="825"/>
        <v>0</v>
      </c>
      <c r="BN1217" s="387">
        <f t="shared" si="802"/>
        <v>11650</v>
      </c>
      <c r="BO1217" s="387">
        <f t="shared" si="803"/>
        <v>0</v>
      </c>
      <c r="BP1217" s="387">
        <f t="shared" si="804"/>
        <v>2405.1039999999998</v>
      </c>
      <c r="BQ1217" s="387">
        <f t="shared" si="805"/>
        <v>562.48400000000004</v>
      </c>
      <c r="BR1217" s="387">
        <f t="shared" si="806"/>
        <v>4631.7647999999999</v>
      </c>
      <c r="BS1217" s="387">
        <f t="shared" si="807"/>
        <v>279.69031999999999</v>
      </c>
      <c r="BT1217" s="387">
        <f t="shared" si="808"/>
        <v>0</v>
      </c>
      <c r="BU1217" s="387">
        <f t="shared" si="809"/>
        <v>214.71372</v>
      </c>
      <c r="BV1217" s="387">
        <f t="shared" si="810"/>
        <v>131.89279999999999</v>
      </c>
      <c r="BW1217" s="387">
        <f t="shared" si="811"/>
        <v>0</v>
      </c>
      <c r="BX1217" s="387">
        <f t="shared" si="826"/>
        <v>8225.6496399999996</v>
      </c>
      <c r="BY1217" s="387">
        <f t="shared" si="827"/>
        <v>0</v>
      </c>
      <c r="BZ1217" s="387">
        <f t="shared" si="828"/>
        <v>0</v>
      </c>
      <c r="CA1217" s="387">
        <f t="shared" si="829"/>
        <v>0</v>
      </c>
      <c r="CB1217" s="387">
        <f t="shared" si="830"/>
        <v>0</v>
      </c>
      <c r="CC1217" s="387">
        <f t="shared" si="812"/>
        <v>0</v>
      </c>
      <c r="CD1217" s="387">
        <f t="shared" si="813"/>
        <v>0</v>
      </c>
      <c r="CE1217" s="387">
        <f t="shared" si="814"/>
        <v>0</v>
      </c>
      <c r="CF1217" s="387">
        <f t="shared" si="815"/>
        <v>-190.08079999999998</v>
      </c>
      <c r="CG1217" s="387">
        <f t="shared" si="816"/>
        <v>0</v>
      </c>
      <c r="CH1217" s="387">
        <f t="shared" si="817"/>
        <v>27.154399999999988</v>
      </c>
      <c r="CI1217" s="387">
        <f t="shared" si="818"/>
        <v>0</v>
      </c>
      <c r="CJ1217" s="387">
        <f t="shared" si="831"/>
        <v>-162.9264</v>
      </c>
      <c r="CK1217" s="387" t="str">
        <f t="shared" si="832"/>
        <v/>
      </c>
      <c r="CL1217" s="387" t="str">
        <f t="shared" si="833"/>
        <v/>
      </c>
      <c r="CM1217" s="387" t="str">
        <f t="shared" si="834"/>
        <v/>
      </c>
      <c r="CN1217" s="387" t="str">
        <f t="shared" si="835"/>
        <v>0348-31</v>
      </c>
    </row>
    <row r="1218" spans="1:92" ht="15.75" thickBot="1" x14ac:dyDescent="0.3">
      <c r="A1218" s="376" t="s">
        <v>161</v>
      </c>
      <c r="B1218" s="376" t="s">
        <v>162</v>
      </c>
      <c r="C1218" s="376" t="s">
        <v>592</v>
      </c>
      <c r="D1218" s="376" t="s">
        <v>294</v>
      </c>
      <c r="E1218" s="376" t="s">
        <v>224</v>
      </c>
      <c r="F1218" s="382" t="s">
        <v>225</v>
      </c>
      <c r="G1218" s="376" t="s">
        <v>1945</v>
      </c>
      <c r="H1218" s="378"/>
      <c r="I1218" s="378"/>
      <c r="J1218" s="376" t="s">
        <v>215</v>
      </c>
      <c r="K1218" s="376" t="s">
        <v>295</v>
      </c>
      <c r="L1218" s="376" t="s">
        <v>296</v>
      </c>
      <c r="M1218" s="376" t="s">
        <v>171</v>
      </c>
      <c r="N1218" s="376" t="s">
        <v>172</v>
      </c>
      <c r="O1218" s="379">
        <v>1</v>
      </c>
      <c r="P1218" s="385">
        <v>0</v>
      </c>
      <c r="Q1218" s="385">
        <v>0</v>
      </c>
      <c r="R1218" s="380">
        <v>80</v>
      </c>
      <c r="S1218" s="385">
        <v>0</v>
      </c>
      <c r="T1218" s="380">
        <v>387</v>
      </c>
      <c r="U1218" s="380">
        <v>0</v>
      </c>
      <c r="V1218" s="380">
        <v>185.47</v>
      </c>
      <c r="W1218" s="380">
        <v>0</v>
      </c>
      <c r="X1218" s="380">
        <v>0</v>
      </c>
      <c r="Y1218" s="380">
        <v>0</v>
      </c>
      <c r="Z1218" s="380">
        <v>0</v>
      </c>
      <c r="AA1218" s="376" t="s">
        <v>593</v>
      </c>
      <c r="AB1218" s="376" t="s">
        <v>594</v>
      </c>
      <c r="AC1218" s="376" t="s">
        <v>595</v>
      </c>
      <c r="AD1218" s="376" t="s">
        <v>324</v>
      </c>
      <c r="AE1218" s="376" t="s">
        <v>295</v>
      </c>
      <c r="AF1218" s="376" t="s">
        <v>301</v>
      </c>
      <c r="AG1218" s="376" t="s">
        <v>178</v>
      </c>
      <c r="AH1218" s="381">
        <v>22.52</v>
      </c>
      <c r="AI1218" s="381">
        <v>23786.799999999999</v>
      </c>
      <c r="AJ1218" s="376" t="s">
        <v>179</v>
      </c>
      <c r="AK1218" s="376" t="s">
        <v>180</v>
      </c>
      <c r="AL1218" s="376" t="s">
        <v>181</v>
      </c>
      <c r="AM1218" s="376" t="s">
        <v>182</v>
      </c>
      <c r="AN1218" s="376" t="s">
        <v>68</v>
      </c>
      <c r="AO1218" s="379">
        <v>80</v>
      </c>
      <c r="AP1218" s="385">
        <v>1</v>
      </c>
      <c r="AQ1218" s="385">
        <v>0</v>
      </c>
      <c r="AR1218" s="383" t="s">
        <v>183</v>
      </c>
      <c r="AS1218" s="387">
        <f t="shared" si="819"/>
        <v>0</v>
      </c>
      <c r="AT1218">
        <f t="shared" si="820"/>
        <v>0</v>
      </c>
      <c r="AU1218" s="387" t="str">
        <f>IF(AT1218=0,"",IF(AND(AT1218=1,M1218="F",SUMIF(C2:C1334,C1218,AS2:AS1334)&lt;=1),SUMIF(C2:C1334,C1218,AS2:AS1334),IF(AND(AT1218=1,M1218="F",SUMIF(C2:C1334,C1218,AS2:AS1334)&gt;1),1,"")))</f>
        <v/>
      </c>
      <c r="AV1218" s="387" t="str">
        <f>IF(AT1218=0,"",IF(AND(AT1218=3,M1218="F",SUMIF(C2:C1334,C1218,AS2:AS1334)&lt;=1),SUMIF(C2:C1334,C1218,AS2:AS1334),IF(AND(AT1218=3,M1218="F",SUMIF(C2:C1334,C1218,AS2:AS1334)&gt;1),1,"")))</f>
        <v/>
      </c>
      <c r="AW1218" s="387">
        <f>SUMIF(C2:C1334,C1218,O2:O1334)</f>
        <v>3</v>
      </c>
      <c r="AX1218" s="387">
        <f>IF(AND(M1218="F",AS1218&lt;&gt;0),SUMIF(C2:C1334,C1218,W2:W1334),0)</f>
        <v>0</v>
      </c>
      <c r="AY1218" s="387" t="str">
        <f t="shared" si="821"/>
        <v/>
      </c>
      <c r="AZ1218" s="387" t="str">
        <f t="shared" si="822"/>
        <v/>
      </c>
      <c r="BA1218" s="387">
        <f t="shared" si="823"/>
        <v>0</v>
      </c>
      <c r="BB1218" s="387">
        <f t="shared" ref="BB1218:BB1281" si="836">IF(AND(AT1218=1,AK1218="E",AU1218&gt;=0.75,AW1218=1),Health,IF(AND(AT1218=1,AK1218="E",AU1218&gt;=0.75),Health*P1218,IF(AND(AT1218=1,AK1218="E",AU1218&gt;=0.5,AW1218=1),PTHealth,IF(AND(AT1218=1,AK1218="E",AU1218&gt;=0.5),PTHealth*P1218,0))))</f>
        <v>0</v>
      </c>
      <c r="BC1218" s="387">
        <f t="shared" ref="BC1218:BC1281" si="837">IF(AND(AT1218=3,AK1218="E",AV1218&gt;=0.75,AW1218=1),Health,IF(AND(AT1218=3,AK1218="E",AV1218&gt;=0.75),Health*P1218,IF(AND(AT1218=3,AK1218="E",AV1218&gt;=0.5,AW1218=1),PTHealth,IF(AND(AT1218=3,AK1218="E",AV1218&gt;=0.5),PTHealth*P1218,0))))</f>
        <v>0</v>
      </c>
      <c r="BD1218" s="387">
        <f t="shared" ref="BD1218:BD1281" si="838">IF(AND(AT1218&lt;&gt;0,AX1218&gt;=MAXSSDI),SSDI*MAXSSDI*P1218,IF(AT1218&lt;&gt;0,SSDI*W1218,0))</f>
        <v>0</v>
      </c>
      <c r="BE1218" s="387">
        <f t="shared" ref="BE1218:BE1281" si="839">IF(AT1218&lt;&gt;0,SSHI*W1218,0)</f>
        <v>0</v>
      </c>
      <c r="BF1218" s="387">
        <f t="shared" ref="BF1218:BF1281" si="840">IF(AND(AT1218&lt;&gt;0,AN1218&lt;&gt;"NE"),VLOOKUP(AN1218,Retirement_Rates,3,FALSE)*W1218,0)</f>
        <v>0</v>
      </c>
      <c r="BG1218" s="387">
        <f t="shared" ref="BG1218:BG1281" si="841">IF(AND(AT1218&lt;&gt;0,AJ1218&lt;&gt;"PF"),Life*W1218,0)</f>
        <v>0</v>
      </c>
      <c r="BH1218" s="387">
        <f t="shared" ref="BH1218:BH1281" si="842">IF(AND(AT1218&lt;&gt;0,AM1218="Y"),UI*W1218,0)</f>
        <v>0</v>
      </c>
      <c r="BI1218" s="387">
        <f t="shared" ref="BI1218:BI1281" si="843">IF(AND(AT1218&lt;&gt;0,N1218&lt;&gt;"NR"),DHR*W1218,0)</f>
        <v>0</v>
      </c>
      <c r="BJ1218" s="387">
        <f t="shared" ref="BJ1218:BJ1281" si="844">IF(AT1218&lt;&gt;0,WC*W1218,0)</f>
        <v>0</v>
      </c>
      <c r="BK1218" s="387">
        <f t="shared" ref="BK1218:BK1281" si="845">IF(OR(AND(AT1218&lt;&gt;0,AJ1218&lt;&gt;"PF",AN1218&lt;&gt;"NE",AG1218&lt;&gt;"A"),AND(AL1218="E",OR(AT1218=1,AT1218=3))),Sick*W1218,0)</f>
        <v>0</v>
      </c>
      <c r="BL1218" s="387">
        <f t="shared" si="824"/>
        <v>0</v>
      </c>
      <c r="BM1218" s="387">
        <f t="shared" si="825"/>
        <v>0</v>
      </c>
      <c r="BN1218" s="387">
        <f t="shared" ref="BN1218:BN1281" si="846">IF(AND(AT1218=1,AK1218="E",AU1218&gt;=0.75,AW1218=1),HealthBY,IF(AND(AT1218=1,AK1218="E",AU1218&gt;=0.75),HealthBY*P1218,IF(AND(AT1218=1,AK1218="E",AU1218&gt;=0.5,AW1218=1),PTHealthBY,IF(AND(AT1218=1,AK1218="E",AU1218&gt;=0.5),PTHealthBY*P1218,0))))</f>
        <v>0</v>
      </c>
      <c r="BO1218" s="387">
        <f t="shared" ref="BO1218:BO1281" si="847">IF(AND(AT1218=3,AK1218="E",AV1218&gt;=0.75,AW1218=1),HealthBY,IF(AND(AT1218=3,AK1218="E",AV1218&gt;=0.75),HealthBY*P1218,IF(AND(AT1218=3,AK1218="E",AV1218&gt;=0.5,AW1218=1),PTHealthBY,IF(AND(AT1218=3,AK1218="E",AV1218&gt;=0.5),PTHealthBY*P1218,0))))</f>
        <v>0</v>
      </c>
      <c r="BP1218" s="387">
        <f t="shared" ref="BP1218:BP1281" si="848">IF(AND(AT1218&lt;&gt;0,(AX1218+BA1218)&gt;=MAXSSDIBY),SSDIBY*MAXSSDIBY*P1218,IF(AT1218&lt;&gt;0,SSDIBY*W1218,0))</f>
        <v>0</v>
      </c>
      <c r="BQ1218" s="387">
        <f t="shared" ref="BQ1218:BQ1281" si="849">IF(AT1218&lt;&gt;0,SSHIBY*W1218,0)</f>
        <v>0</v>
      </c>
      <c r="BR1218" s="387">
        <f t="shared" ref="BR1218:BR1281" si="850">IF(AND(AT1218&lt;&gt;0,AN1218&lt;&gt;"NE"),VLOOKUP(AN1218,Retirement_Rates,4,FALSE)*W1218,0)</f>
        <v>0</v>
      </c>
      <c r="BS1218" s="387">
        <f t="shared" ref="BS1218:BS1281" si="851">IF(AND(AT1218&lt;&gt;0,AJ1218&lt;&gt;"PF"),LifeBY*W1218,0)</f>
        <v>0</v>
      </c>
      <c r="BT1218" s="387">
        <f t="shared" ref="BT1218:BT1281" si="852">IF(AND(AT1218&lt;&gt;0,AM1218="Y"),UIBY*W1218,0)</f>
        <v>0</v>
      </c>
      <c r="BU1218" s="387">
        <f t="shared" ref="BU1218:BU1281" si="853">IF(AND(AT1218&lt;&gt;0,N1218&lt;&gt;"NR"),DHRBY*W1218,0)</f>
        <v>0</v>
      </c>
      <c r="BV1218" s="387">
        <f t="shared" ref="BV1218:BV1281" si="854">IF(AT1218&lt;&gt;0,WCBY*W1218,0)</f>
        <v>0</v>
      </c>
      <c r="BW1218" s="387">
        <f t="shared" ref="BW1218:BW1281" si="855">IF(OR(AND(AT1218&lt;&gt;0,AJ1218&lt;&gt;"PF",AN1218&lt;&gt;"NE",AG1218&lt;&gt;"A"),AND(AL1218="E",OR(AT1218=1,AT1218=3))),SickBY*W1218,0)</f>
        <v>0</v>
      </c>
      <c r="BX1218" s="387">
        <f t="shared" si="826"/>
        <v>0</v>
      </c>
      <c r="BY1218" s="387">
        <f t="shared" si="827"/>
        <v>0</v>
      </c>
      <c r="BZ1218" s="387">
        <f t="shared" si="828"/>
        <v>0</v>
      </c>
      <c r="CA1218" s="387">
        <f t="shared" si="829"/>
        <v>0</v>
      </c>
      <c r="CB1218" s="387">
        <f t="shared" si="830"/>
        <v>0</v>
      </c>
      <c r="CC1218" s="387">
        <f t="shared" ref="CC1218:CC1281" si="856">IF(AT1218&lt;&gt;0,SSHICHG*Y1218,0)</f>
        <v>0</v>
      </c>
      <c r="CD1218" s="387">
        <f t="shared" ref="CD1218:CD1281" si="857">IF(AND(AT1218&lt;&gt;0,AN1218&lt;&gt;"NE"),VLOOKUP(AN1218,Retirement_Rates,5,FALSE)*Y1218,0)</f>
        <v>0</v>
      </c>
      <c r="CE1218" s="387">
        <f t="shared" ref="CE1218:CE1281" si="858">IF(AND(AT1218&lt;&gt;0,AJ1218&lt;&gt;"PF"),LifeCHG*Y1218,0)</f>
        <v>0</v>
      </c>
      <c r="CF1218" s="387">
        <f t="shared" ref="CF1218:CF1281" si="859">IF(AND(AT1218&lt;&gt;0,AM1218="Y"),UICHG*Y1218,0)</f>
        <v>0</v>
      </c>
      <c r="CG1218" s="387">
        <f t="shared" ref="CG1218:CG1281" si="860">IF(AND(AT1218&lt;&gt;0,N1218&lt;&gt;"NR"),DHRCHG*Y1218,0)</f>
        <v>0</v>
      </c>
      <c r="CH1218" s="387">
        <f t="shared" ref="CH1218:CH1281" si="861">IF(AT1218&lt;&gt;0,WCCHG*Y1218,0)</f>
        <v>0</v>
      </c>
      <c r="CI1218" s="387">
        <f t="shared" ref="CI1218:CI1281" si="862">IF(OR(AND(AT1218&lt;&gt;0,AJ1218&lt;&gt;"PF",AN1218&lt;&gt;"NE",AG1218&lt;&gt;"A"),AND(AL1218="E",OR(AT1218=1,AT1218=3))),SickCHG*Y1218,0)</f>
        <v>0</v>
      </c>
      <c r="CJ1218" s="387">
        <f t="shared" si="831"/>
        <v>0</v>
      </c>
      <c r="CK1218" s="387" t="str">
        <f t="shared" si="832"/>
        <v/>
      </c>
      <c r="CL1218" s="387" t="str">
        <f t="shared" si="833"/>
        <v/>
      </c>
      <c r="CM1218" s="387" t="str">
        <f t="shared" si="834"/>
        <v/>
      </c>
      <c r="CN1218" s="387" t="str">
        <f t="shared" si="835"/>
        <v>0348-31</v>
      </c>
    </row>
    <row r="1219" spans="1:92" ht="15.75" thickBot="1" x14ac:dyDescent="0.3">
      <c r="A1219" s="376" t="s">
        <v>161</v>
      </c>
      <c r="B1219" s="376" t="s">
        <v>162</v>
      </c>
      <c r="C1219" s="376" t="s">
        <v>2463</v>
      </c>
      <c r="D1219" s="376" t="s">
        <v>238</v>
      </c>
      <c r="E1219" s="376" t="s">
        <v>224</v>
      </c>
      <c r="F1219" s="382" t="s">
        <v>225</v>
      </c>
      <c r="G1219" s="376" t="s">
        <v>1945</v>
      </c>
      <c r="H1219" s="378"/>
      <c r="I1219" s="378"/>
      <c r="J1219" s="376" t="s">
        <v>215</v>
      </c>
      <c r="K1219" s="376" t="s">
        <v>285</v>
      </c>
      <c r="L1219" s="376" t="s">
        <v>170</v>
      </c>
      <c r="M1219" s="376" t="s">
        <v>171</v>
      </c>
      <c r="N1219" s="376" t="s">
        <v>172</v>
      </c>
      <c r="O1219" s="379">
        <v>1</v>
      </c>
      <c r="P1219" s="385">
        <v>1</v>
      </c>
      <c r="Q1219" s="385">
        <v>1</v>
      </c>
      <c r="R1219" s="380">
        <v>80</v>
      </c>
      <c r="S1219" s="385">
        <v>1</v>
      </c>
      <c r="T1219" s="380">
        <v>46343.6</v>
      </c>
      <c r="U1219" s="380">
        <v>0</v>
      </c>
      <c r="V1219" s="380">
        <v>21289.01</v>
      </c>
      <c r="W1219" s="380">
        <v>48339.199999999997</v>
      </c>
      <c r="X1219" s="380">
        <v>22103.32</v>
      </c>
      <c r="Y1219" s="380">
        <v>48339.199999999997</v>
      </c>
      <c r="Z1219" s="380">
        <v>21900.3</v>
      </c>
      <c r="AA1219" s="376" t="s">
        <v>2464</v>
      </c>
      <c r="AB1219" s="376" t="s">
        <v>2465</v>
      </c>
      <c r="AC1219" s="376" t="s">
        <v>2466</v>
      </c>
      <c r="AD1219" s="376" t="s">
        <v>170</v>
      </c>
      <c r="AE1219" s="376" t="s">
        <v>285</v>
      </c>
      <c r="AF1219" s="376" t="s">
        <v>177</v>
      </c>
      <c r="AG1219" s="376" t="s">
        <v>178</v>
      </c>
      <c r="AH1219" s="381">
        <v>23.24</v>
      </c>
      <c r="AI1219" s="379">
        <v>2888</v>
      </c>
      <c r="AJ1219" s="376" t="s">
        <v>179</v>
      </c>
      <c r="AK1219" s="376" t="s">
        <v>180</v>
      </c>
      <c r="AL1219" s="376" t="s">
        <v>181</v>
      </c>
      <c r="AM1219" s="376" t="s">
        <v>182</v>
      </c>
      <c r="AN1219" s="376" t="s">
        <v>68</v>
      </c>
      <c r="AO1219" s="379">
        <v>80</v>
      </c>
      <c r="AP1219" s="385">
        <v>1</v>
      </c>
      <c r="AQ1219" s="385">
        <v>1</v>
      </c>
      <c r="AR1219" s="383" t="s">
        <v>183</v>
      </c>
      <c r="AS1219" s="387">
        <f t="shared" ref="AS1219:AS1282" si="863">IF(((AO1219/80)*AP1219*P1219)&gt;1,AQ1219,((AO1219/80)*AP1219*P1219))</f>
        <v>1</v>
      </c>
      <c r="AT1219">
        <f t="shared" ref="AT1219:AT1282" si="864">IF(AND(M1219="F",N1219&lt;&gt;"NG",AS1219&lt;&gt;0,AND(AR1219&lt;&gt;6,AR1219&lt;&gt;36,AR1219&lt;&gt;56),AG1219&lt;&gt;"A",OR(AG1219="H",AJ1219="FS")),1,IF(AND(M1219="F",N1219&lt;&gt;"NG",AS1219&lt;&gt;0,AG1219="A"),3,0))</f>
        <v>1</v>
      </c>
      <c r="AU1219" s="387">
        <f>IF(AT1219=0,"",IF(AND(AT1219=1,M1219="F",SUMIF(C2:C1334,C1219,AS2:AS1334)&lt;=1),SUMIF(C2:C1334,C1219,AS2:AS1334),IF(AND(AT1219=1,M1219="F",SUMIF(C2:C1334,C1219,AS2:AS1334)&gt;1),1,"")))</f>
        <v>1</v>
      </c>
      <c r="AV1219" s="387" t="str">
        <f>IF(AT1219=0,"",IF(AND(AT1219=3,M1219="F",SUMIF(C2:C1334,C1219,AS2:AS1334)&lt;=1),SUMIF(C2:C1334,C1219,AS2:AS1334),IF(AND(AT1219=3,M1219="F",SUMIF(C2:C1334,C1219,AS2:AS1334)&gt;1),1,"")))</f>
        <v/>
      </c>
      <c r="AW1219" s="387">
        <f>SUMIF(C2:C1334,C1219,O2:O1334)</f>
        <v>1</v>
      </c>
      <c r="AX1219" s="387">
        <f>IF(AND(M1219="F",AS1219&lt;&gt;0),SUMIF(C2:C1334,C1219,W2:W1334),0)</f>
        <v>48339.199999999997</v>
      </c>
      <c r="AY1219" s="387">
        <f t="shared" ref="AY1219:AY1282" si="865">IF(AT1219=1,W1219,"")</f>
        <v>48339.199999999997</v>
      </c>
      <c r="AZ1219" s="387" t="str">
        <f t="shared" ref="AZ1219:AZ1282" si="866">IF(AT1219=3,W1219,"")</f>
        <v/>
      </c>
      <c r="BA1219" s="387">
        <f t="shared" ref="BA1219:BA1282" si="867">IF(AT1219=1,Y1219-W1219,0)</f>
        <v>0</v>
      </c>
      <c r="BB1219" s="387">
        <f t="shared" si="836"/>
        <v>11650</v>
      </c>
      <c r="BC1219" s="387">
        <f t="shared" si="837"/>
        <v>0</v>
      </c>
      <c r="BD1219" s="387">
        <f t="shared" si="838"/>
        <v>2997.0303999999996</v>
      </c>
      <c r="BE1219" s="387">
        <f t="shared" si="839"/>
        <v>700.91840000000002</v>
      </c>
      <c r="BF1219" s="387">
        <f t="shared" si="840"/>
        <v>5771.7004799999995</v>
      </c>
      <c r="BG1219" s="387">
        <f t="shared" si="841"/>
        <v>348.52563199999997</v>
      </c>
      <c r="BH1219" s="387">
        <f t="shared" si="842"/>
        <v>236.86207999999999</v>
      </c>
      <c r="BI1219" s="387">
        <f t="shared" si="843"/>
        <v>267.55747199999996</v>
      </c>
      <c r="BJ1219" s="387">
        <f t="shared" si="844"/>
        <v>130.51584</v>
      </c>
      <c r="BK1219" s="387">
        <f t="shared" si="845"/>
        <v>0</v>
      </c>
      <c r="BL1219" s="387">
        <f t="shared" ref="BL1219:BL1282" si="868">IF(AT1219=1,SUM(BD1219:BK1219),0)</f>
        <v>10453.110304000002</v>
      </c>
      <c r="BM1219" s="387">
        <f t="shared" ref="BM1219:BM1282" si="869">IF(AT1219=3,SUM(BD1219:BK1219),0)</f>
        <v>0</v>
      </c>
      <c r="BN1219" s="387">
        <f t="shared" si="846"/>
        <v>11650</v>
      </c>
      <c r="BO1219" s="387">
        <f t="shared" si="847"/>
        <v>0</v>
      </c>
      <c r="BP1219" s="387">
        <f t="shared" si="848"/>
        <v>2997.0303999999996</v>
      </c>
      <c r="BQ1219" s="387">
        <f t="shared" si="849"/>
        <v>700.91840000000002</v>
      </c>
      <c r="BR1219" s="387">
        <f t="shared" si="850"/>
        <v>5771.7004799999995</v>
      </c>
      <c r="BS1219" s="387">
        <f t="shared" si="851"/>
        <v>348.52563199999997</v>
      </c>
      <c r="BT1219" s="387">
        <f t="shared" si="852"/>
        <v>0</v>
      </c>
      <c r="BU1219" s="387">
        <f t="shared" si="853"/>
        <v>267.55747199999996</v>
      </c>
      <c r="BV1219" s="387">
        <f t="shared" si="854"/>
        <v>164.35327999999998</v>
      </c>
      <c r="BW1219" s="387">
        <f t="shared" si="855"/>
        <v>0</v>
      </c>
      <c r="BX1219" s="387">
        <f t="shared" ref="BX1219:BX1282" si="870">IF(AT1219=1,SUM(BP1219:BW1219),0)</f>
        <v>10250.085664</v>
      </c>
      <c r="BY1219" s="387">
        <f t="shared" ref="BY1219:BY1282" si="871">IF(AT1219=3,SUM(BP1219:BW1219),0)</f>
        <v>0</v>
      </c>
      <c r="BZ1219" s="387">
        <f t="shared" ref="BZ1219:BZ1282" si="872">IF(AT1219=1,BN1219-BB1219,0)</f>
        <v>0</v>
      </c>
      <c r="CA1219" s="387">
        <f t="shared" ref="CA1219:CA1282" si="873">IF(AT1219=3,BO1219-BC1219,0)</f>
        <v>0</v>
      </c>
      <c r="CB1219" s="387">
        <f t="shared" ref="CB1219:CB1282" si="874">BP1219-BD1219</f>
        <v>0</v>
      </c>
      <c r="CC1219" s="387">
        <f t="shared" si="856"/>
        <v>0</v>
      </c>
      <c r="CD1219" s="387">
        <f t="shared" si="857"/>
        <v>0</v>
      </c>
      <c r="CE1219" s="387">
        <f t="shared" si="858"/>
        <v>0</v>
      </c>
      <c r="CF1219" s="387">
        <f t="shared" si="859"/>
        <v>-236.86207999999999</v>
      </c>
      <c r="CG1219" s="387">
        <f t="shared" si="860"/>
        <v>0</v>
      </c>
      <c r="CH1219" s="387">
        <f t="shared" si="861"/>
        <v>33.83743999999998</v>
      </c>
      <c r="CI1219" s="387">
        <f t="shared" si="862"/>
        <v>0</v>
      </c>
      <c r="CJ1219" s="387">
        <f t="shared" ref="CJ1219:CJ1282" si="875">IF(AT1219=1,SUM(CB1219:CI1219),0)</f>
        <v>-203.02464000000001</v>
      </c>
      <c r="CK1219" s="387" t="str">
        <f t="shared" ref="CK1219:CK1282" si="876">IF(AT1219=3,SUM(CB1219:CI1219),"")</f>
        <v/>
      </c>
      <c r="CL1219" s="387" t="str">
        <f t="shared" ref="CL1219:CL1282" si="877">IF(OR(N1219="NG",AG1219="D"),(T1219+U1219),"")</f>
        <v/>
      </c>
      <c r="CM1219" s="387" t="str">
        <f t="shared" ref="CM1219:CM1282" si="878">IF(OR(N1219="NG",AG1219="D"),V1219,"")</f>
        <v/>
      </c>
      <c r="CN1219" s="387" t="str">
        <f t="shared" ref="CN1219:CN1282" si="879">E1219 &amp; "-" &amp; F1219</f>
        <v>0348-31</v>
      </c>
    </row>
    <row r="1220" spans="1:92" ht="15.75" thickBot="1" x14ac:dyDescent="0.3">
      <c r="A1220" s="376" t="s">
        <v>161</v>
      </c>
      <c r="B1220" s="376" t="s">
        <v>162</v>
      </c>
      <c r="C1220" s="376" t="s">
        <v>407</v>
      </c>
      <c r="D1220" s="376" t="s">
        <v>408</v>
      </c>
      <c r="E1220" s="376" t="s">
        <v>224</v>
      </c>
      <c r="F1220" s="382" t="s">
        <v>225</v>
      </c>
      <c r="G1220" s="376" t="s">
        <v>1945</v>
      </c>
      <c r="H1220" s="378"/>
      <c r="I1220" s="378"/>
      <c r="J1220" s="376" t="s">
        <v>215</v>
      </c>
      <c r="K1220" s="376" t="s">
        <v>409</v>
      </c>
      <c r="L1220" s="376" t="s">
        <v>181</v>
      </c>
      <c r="M1220" s="376" t="s">
        <v>171</v>
      </c>
      <c r="N1220" s="376" t="s">
        <v>172</v>
      </c>
      <c r="O1220" s="379">
        <v>1</v>
      </c>
      <c r="P1220" s="385">
        <v>0</v>
      </c>
      <c r="Q1220" s="385">
        <v>0</v>
      </c>
      <c r="R1220" s="380">
        <v>80</v>
      </c>
      <c r="S1220" s="385">
        <v>0</v>
      </c>
      <c r="T1220" s="380">
        <v>98839.63</v>
      </c>
      <c r="U1220" s="380">
        <v>3684.95</v>
      </c>
      <c r="V1220" s="380">
        <v>29158.41</v>
      </c>
      <c r="W1220" s="380">
        <v>0</v>
      </c>
      <c r="X1220" s="380">
        <v>0</v>
      </c>
      <c r="Y1220" s="380">
        <v>0</v>
      </c>
      <c r="Z1220" s="380">
        <v>0</v>
      </c>
      <c r="AA1220" s="376" t="s">
        <v>410</v>
      </c>
      <c r="AB1220" s="376" t="s">
        <v>411</v>
      </c>
      <c r="AC1220" s="376" t="s">
        <v>412</v>
      </c>
      <c r="AD1220" s="376" t="s">
        <v>198</v>
      </c>
      <c r="AE1220" s="376" t="s">
        <v>409</v>
      </c>
      <c r="AF1220" s="376" t="s">
        <v>211</v>
      </c>
      <c r="AG1220" s="376" t="s">
        <v>178</v>
      </c>
      <c r="AH1220" s="381">
        <v>36.840000000000003</v>
      </c>
      <c r="AI1220" s="381">
        <v>38589.1</v>
      </c>
      <c r="AJ1220" s="376" t="s">
        <v>179</v>
      </c>
      <c r="AK1220" s="376" t="s">
        <v>180</v>
      </c>
      <c r="AL1220" s="376" t="s">
        <v>181</v>
      </c>
      <c r="AM1220" s="376" t="s">
        <v>182</v>
      </c>
      <c r="AN1220" s="376" t="s">
        <v>68</v>
      </c>
      <c r="AO1220" s="379">
        <v>80</v>
      </c>
      <c r="AP1220" s="385">
        <v>1</v>
      </c>
      <c r="AQ1220" s="385">
        <v>0</v>
      </c>
      <c r="AR1220" s="383" t="s">
        <v>183</v>
      </c>
      <c r="AS1220" s="387">
        <f t="shared" si="863"/>
        <v>0</v>
      </c>
      <c r="AT1220">
        <f t="shared" si="864"/>
        <v>0</v>
      </c>
      <c r="AU1220" s="387" t="str">
        <f>IF(AT1220=0,"",IF(AND(AT1220=1,M1220="F",SUMIF(C2:C1334,C1220,AS2:AS1334)&lt;=1),SUMIF(C2:C1334,C1220,AS2:AS1334),IF(AND(AT1220=1,M1220="F",SUMIF(C2:C1334,C1220,AS2:AS1334)&gt;1),1,"")))</f>
        <v/>
      </c>
      <c r="AV1220" s="387" t="str">
        <f>IF(AT1220=0,"",IF(AND(AT1220=3,M1220="F",SUMIF(C2:C1334,C1220,AS2:AS1334)&lt;=1),SUMIF(C2:C1334,C1220,AS2:AS1334),IF(AND(AT1220=3,M1220="F",SUMIF(C2:C1334,C1220,AS2:AS1334)&gt;1),1,"")))</f>
        <v/>
      </c>
      <c r="AW1220" s="387">
        <f>SUMIF(C2:C1334,C1220,O2:O1334)</f>
        <v>4</v>
      </c>
      <c r="AX1220" s="387">
        <f>IF(AND(M1220="F",AS1220&lt;&gt;0),SUMIF(C2:C1334,C1220,W2:W1334),0)</f>
        <v>0</v>
      </c>
      <c r="AY1220" s="387" t="str">
        <f t="shared" si="865"/>
        <v/>
      </c>
      <c r="AZ1220" s="387" t="str">
        <f t="shared" si="866"/>
        <v/>
      </c>
      <c r="BA1220" s="387">
        <f t="shared" si="867"/>
        <v>0</v>
      </c>
      <c r="BB1220" s="387">
        <f t="shared" si="836"/>
        <v>0</v>
      </c>
      <c r="BC1220" s="387">
        <f t="shared" si="837"/>
        <v>0</v>
      </c>
      <c r="BD1220" s="387">
        <f t="shared" si="838"/>
        <v>0</v>
      </c>
      <c r="BE1220" s="387">
        <f t="shared" si="839"/>
        <v>0</v>
      </c>
      <c r="BF1220" s="387">
        <f t="shared" si="840"/>
        <v>0</v>
      </c>
      <c r="BG1220" s="387">
        <f t="shared" si="841"/>
        <v>0</v>
      </c>
      <c r="BH1220" s="387">
        <f t="shared" si="842"/>
        <v>0</v>
      </c>
      <c r="BI1220" s="387">
        <f t="shared" si="843"/>
        <v>0</v>
      </c>
      <c r="BJ1220" s="387">
        <f t="shared" si="844"/>
        <v>0</v>
      </c>
      <c r="BK1220" s="387">
        <f t="shared" si="845"/>
        <v>0</v>
      </c>
      <c r="BL1220" s="387">
        <f t="shared" si="868"/>
        <v>0</v>
      </c>
      <c r="BM1220" s="387">
        <f t="shared" si="869"/>
        <v>0</v>
      </c>
      <c r="BN1220" s="387">
        <f t="shared" si="846"/>
        <v>0</v>
      </c>
      <c r="BO1220" s="387">
        <f t="shared" si="847"/>
        <v>0</v>
      </c>
      <c r="BP1220" s="387">
        <f t="shared" si="848"/>
        <v>0</v>
      </c>
      <c r="BQ1220" s="387">
        <f t="shared" si="849"/>
        <v>0</v>
      </c>
      <c r="BR1220" s="387">
        <f t="shared" si="850"/>
        <v>0</v>
      </c>
      <c r="BS1220" s="387">
        <f t="shared" si="851"/>
        <v>0</v>
      </c>
      <c r="BT1220" s="387">
        <f t="shared" si="852"/>
        <v>0</v>
      </c>
      <c r="BU1220" s="387">
        <f t="shared" si="853"/>
        <v>0</v>
      </c>
      <c r="BV1220" s="387">
        <f t="shared" si="854"/>
        <v>0</v>
      </c>
      <c r="BW1220" s="387">
        <f t="shared" si="855"/>
        <v>0</v>
      </c>
      <c r="BX1220" s="387">
        <f t="shared" si="870"/>
        <v>0</v>
      </c>
      <c r="BY1220" s="387">
        <f t="shared" si="871"/>
        <v>0</v>
      </c>
      <c r="BZ1220" s="387">
        <f t="shared" si="872"/>
        <v>0</v>
      </c>
      <c r="CA1220" s="387">
        <f t="shared" si="873"/>
        <v>0</v>
      </c>
      <c r="CB1220" s="387">
        <f t="shared" si="874"/>
        <v>0</v>
      </c>
      <c r="CC1220" s="387">
        <f t="shared" si="856"/>
        <v>0</v>
      </c>
      <c r="CD1220" s="387">
        <f t="shared" si="857"/>
        <v>0</v>
      </c>
      <c r="CE1220" s="387">
        <f t="shared" si="858"/>
        <v>0</v>
      </c>
      <c r="CF1220" s="387">
        <f t="shared" si="859"/>
        <v>0</v>
      </c>
      <c r="CG1220" s="387">
        <f t="shared" si="860"/>
        <v>0</v>
      </c>
      <c r="CH1220" s="387">
        <f t="shared" si="861"/>
        <v>0</v>
      </c>
      <c r="CI1220" s="387">
        <f t="shared" si="862"/>
        <v>0</v>
      </c>
      <c r="CJ1220" s="387">
        <f t="shared" si="875"/>
        <v>0</v>
      </c>
      <c r="CK1220" s="387" t="str">
        <f t="shared" si="876"/>
        <v/>
      </c>
      <c r="CL1220" s="387" t="str">
        <f t="shared" si="877"/>
        <v/>
      </c>
      <c r="CM1220" s="387" t="str">
        <f t="shared" si="878"/>
        <v/>
      </c>
      <c r="CN1220" s="387" t="str">
        <f t="shared" si="879"/>
        <v>0348-31</v>
      </c>
    </row>
    <row r="1221" spans="1:92" ht="15.75" thickBot="1" x14ac:dyDescent="0.3">
      <c r="A1221" s="376" t="s">
        <v>161</v>
      </c>
      <c r="B1221" s="376" t="s">
        <v>162</v>
      </c>
      <c r="C1221" s="376" t="s">
        <v>2467</v>
      </c>
      <c r="D1221" s="376" t="s">
        <v>862</v>
      </c>
      <c r="E1221" s="376" t="s">
        <v>224</v>
      </c>
      <c r="F1221" s="382" t="s">
        <v>225</v>
      </c>
      <c r="G1221" s="376" t="s">
        <v>1945</v>
      </c>
      <c r="H1221" s="378"/>
      <c r="I1221" s="378"/>
      <c r="J1221" s="376" t="s">
        <v>215</v>
      </c>
      <c r="K1221" s="376" t="s">
        <v>863</v>
      </c>
      <c r="L1221" s="376" t="s">
        <v>252</v>
      </c>
      <c r="M1221" s="376" t="s">
        <v>171</v>
      </c>
      <c r="N1221" s="376" t="s">
        <v>172</v>
      </c>
      <c r="O1221" s="379">
        <v>1</v>
      </c>
      <c r="P1221" s="385">
        <v>1</v>
      </c>
      <c r="Q1221" s="385">
        <v>1</v>
      </c>
      <c r="R1221" s="380">
        <v>80</v>
      </c>
      <c r="S1221" s="385">
        <v>1</v>
      </c>
      <c r="T1221" s="380">
        <v>43517.760000000002</v>
      </c>
      <c r="U1221" s="380">
        <v>573.79</v>
      </c>
      <c r="V1221" s="380">
        <v>20681.32</v>
      </c>
      <c r="W1221" s="380">
        <v>47299.199999999997</v>
      </c>
      <c r="X1221" s="380">
        <v>21878.41</v>
      </c>
      <c r="Y1221" s="380">
        <v>47299.199999999997</v>
      </c>
      <c r="Z1221" s="380">
        <v>21679.759999999998</v>
      </c>
      <c r="AA1221" s="376" t="s">
        <v>2468</v>
      </c>
      <c r="AB1221" s="376" t="s">
        <v>2469</v>
      </c>
      <c r="AC1221" s="376" t="s">
        <v>690</v>
      </c>
      <c r="AD1221" s="376" t="s">
        <v>324</v>
      </c>
      <c r="AE1221" s="376" t="s">
        <v>863</v>
      </c>
      <c r="AF1221" s="376" t="s">
        <v>393</v>
      </c>
      <c r="AG1221" s="376" t="s">
        <v>178</v>
      </c>
      <c r="AH1221" s="381">
        <v>22.74</v>
      </c>
      <c r="AI1221" s="379">
        <v>23236</v>
      </c>
      <c r="AJ1221" s="376" t="s">
        <v>179</v>
      </c>
      <c r="AK1221" s="376" t="s">
        <v>180</v>
      </c>
      <c r="AL1221" s="376" t="s">
        <v>181</v>
      </c>
      <c r="AM1221" s="376" t="s">
        <v>182</v>
      </c>
      <c r="AN1221" s="376" t="s">
        <v>68</v>
      </c>
      <c r="AO1221" s="379">
        <v>80</v>
      </c>
      <c r="AP1221" s="385">
        <v>1</v>
      </c>
      <c r="AQ1221" s="385">
        <v>1</v>
      </c>
      <c r="AR1221" s="383" t="s">
        <v>183</v>
      </c>
      <c r="AS1221" s="387">
        <f t="shared" si="863"/>
        <v>1</v>
      </c>
      <c r="AT1221">
        <f t="shared" si="864"/>
        <v>1</v>
      </c>
      <c r="AU1221" s="387">
        <f>IF(AT1221=0,"",IF(AND(AT1221=1,M1221="F",SUMIF(C2:C1334,C1221,AS2:AS1334)&lt;=1),SUMIF(C2:C1334,C1221,AS2:AS1334),IF(AND(AT1221=1,M1221="F",SUMIF(C2:C1334,C1221,AS2:AS1334)&gt;1),1,"")))</f>
        <v>1</v>
      </c>
      <c r="AV1221" s="387" t="str">
        <f>IF(AT1221=0,"",IF(AND(AT1221=3,M1221="F",SUMIF(C2:C1334,C1221,AS2:AS1334)&lt;=1),SUMIF(C2:C1334,C1221,AS2:AS1334),IF(AND(AT1221=3,M1221="F",SUMIF(C2:C1334,C1221,AS2:AS1334)&gt;1),1,"")))</f>
        <v/>
      </c>
      <c r="AW1221" s="387">
        <f>SUMIF(C2:C1334,C1221,O2:O1334)</f>
        <v>1</v>
      </c>
      <c r="AX1221" s="387">
        <f>IF(AND(M1221="F",AS1221&lt;&gt;0),SUMIF(C2:C1334,C1221,W2:W1334),0)</f>
        <v>47299.199999999997</v>
      </c>
      <c r="AY1221" s="387">
        <f t="shared" si="865"/>
        <v>47299.199999999997</v>
      </c>
      <c r="AZ1221" s="387" t="str">
        <f t="shared" si="866"/>
        <v/>
      </c>
      <c r="BA1221" s="387">
        <f t="shared" si="867"/>
        <v>0</v>
      </c>
      <c r="BB1221" s="387">
        <f t="shared" si="836"/>
        <v>11650</v>
      </c>
      <c r="BC1221" s="387">
        <f t="shared" si="837"/>
        <v>0</v>
      </c>
      <c r="BD1221" s="387">
        <f t="shared" si="838"/>
        <v>2932.5503999999996</v>
      </c>
      <c r="BE1221" s="387">
        <f t="shared" si="839"/>
        <v>685.83839999999998</v>
      </c>
      <c r="BF1221" s="387">
        <f t="shared" si="840"/>
        <v>5647.52448</v>
      </c>
      <c r="BG1221" s="387">
        <f t="shared" si="841"/>
        <v>341.02723199999997</v>
      </c>
      <c r="BH1221" s="387">
        <f t="shared" si="842"/>
        <v>231.76607999999999</v>
      </c>
      <c r="BI1221" s="387">
        <f t="shared" si="843"/>
        <v>261.80107199999998</v>
      </c>
      <c r="BJ1221" s="387">
        <f t="shared" si="844"/>
        <v>127.70784</v>
      </c>
      <c r="BK1221" s="387">
        <f t="shared" si="845"/>
        <v>0</v>
      </c>
      <c r="BL1221" s="387">
        <f t="shared" si="868"/>
        <v>10228.215504</v>
      </c>
      <c r="BM1221" s="387">
        <f t="shared" si="869"/>
        <v>0</v>
      </c>
      <c r="BN1221" s="387">
        <f t="shared" si="846"/>
        <v>11650</v>
      </c>
      <c r="BO1221" s="387">
        <f t="shared" si="847"/>
        <v>0</v>
      </c>
      <c r="BP1221" s="387">
        <f t="shared" si="848"/>
        <v>2932.5503999999996</v>
      </c>
      <c r="BQ1221" s="387">
        <f t="shared" si="849"/>
        <v>685.83839999999998</v>
      </c>
      <c r="BR1221" s="387">
        <f t="shared" si="850"/>
        <v>5647.52448</v>
      </c>
      <c r="BS1221" s="387">
        <f t="shared" si="851"/>
        <v>341.02723199999997</v>
      </c>
      <c r="BT1221" s="387">
        <f t="shared" si="852"/>
        <v>0</v>
      </c>
      <c r="BU1221" s="387">
        <f t="shared" si="853"/>
        <v>261.80107199999998</v>
      </c>
      <c r="BV1221" s="387">
        <f t="shared" si="854"/>
        <v>160.81727999999998</v>
      </c>
      <c r="BW1221" s="387">
        <f t="shared" si="855"/>
        <v>0</v>
      </c>
      <c r="BX1221" s="387">
        <f t="shared" si="870"/>
        <v>10029.558864000001</v>
      </c>
      <c r="BY1221" s="387">
        <f t="shared" si="871"/>
        <v>0</v>
      </c>
      <c r="BZ1221" s="387">
        <f t="shared" si="872"/>
        <v>0</v>
      </c>
      <c r="CA1221" s="387">
        <f t="shared" si="873"/>
        <v>0</v>
      </c>
      <c r="CB1221" s="387">
        <f t="shared" si="874"/>
        <v>0</v>
      </c>
      <c r="CC1221" s="387">
        <f t="shared" si="856"/>
        <v>0</v>
      </c>
      <c r="CD1221" s="387">
        <f t="shared" si="857"/>
        <v>0</v>
      </c>
      <c r="CE1221" s="387">
        <f t="shared" si="858"/>
        <v>0</v>
      </c>
      <c r="CF1221" s="387">
        <f t="shared" si="859"/>
        <v>-231.76607999999999</v>
      </c>
      <c r="CG1221" s="387">
        <f t="shared" si="860"/>
        <v>0</v>
      </c>
      <c r="CH1221" s="387">
        <f t="shared" si="861"/>
        <v>33.109439999999985</v>
      </c>
      <c r="CI1221" s="387">
        <f t="shared" si="862"/>
        <v>0</v>
      </c>
      <c r="CJ1221" s="387">
        <f t="shared" si="875"/>
        <v>-198.65664000000001</v>
      </c>
      <c r="CK1221" s="387" t="str">
        <f t="shared" si="876"/>
        <v/>
      </c>
      <c r="CL1221" s="387" t="str">
        <f t="shared" si="877"/>
        <v/>
      </c>
      <c r="CM1221" s="387" t="str">
        <f t="shared" si="878"/>
        <v/>
      </c>
      <c r="CN1221" s="387" t="str">
        <f t="shared" si="879"/>
        <v>0348-31</v>
      </c>
    </row>
    <row r="1222" spans="1:92" ht="15.75" thickBot="1" x14ac:dyDescent="0.3">
      <c r="A1222" s="376" t="s">
        <v>161</v>
      </c>
      <c r="B1222" s="376" t="s">
        <v>162</v>
      </c>
      <c r="C1222" s="376" t="s">
        <v>2470</v>
      </c>
      <c r="D1222" s="376" t="s">
        <v>270</v>
      </c>
      <c r="E1222" s="376" t="s">
        <v>224</v>
      </c>
      <c r="F1222" s="382" t="s">
        <v>225</v>
      </c>
      <c r="G1222" s="376" t="s">
        <v>1945</v>
      </c>
      <c r="H1222" s="378"/>
      <c r="I1222" s="378"/>
      <c r="J1222" s="376" t="s">
        <v>215</v>
      </c>
      <c r="K1222" s="376" t="s">
        <v>271</v>
      </c>
      <c r="L1222" s="376" t="s">
        <v>217</v>
      </c>
      <c r="M1222" s="376" t="s">
        <v>171</v>
      </c>
      <c r="N1222" s="376" t="s">
        <v>172</v>
      </c>
      <c r="O1222" s="379">
        <v>1</v>
      </c>
      <c r="P1222" s="385">
        <v>1</v>
      </c>
      <c r="Q1222" s="385">
        <v>1</v>
      </c>
      <c r="R1222" s="380">
        <v>80</v>
      </c>
      <c r="S1222" s="385">
        <v>1</v>
      </c>
      <c r="T1222" s="380">
        <v>34999.08</v>
      </c>
      <c r="U1222" s="380">
        <v>4288.6000000000004</v>
      </c>
      <c r="V1222" s="380">
        <v>19453.28</v>
      </c>
      <c r="W1222" s="380">
        <v>35734.400000000001</v>
      </c>
      <c r="X1222" s="380">
        <v>19377.52</v>
      </c>
      <c r="Y1222" s="380">
        <v>35734.400000000001</v>
      </c>
      <c r="Z1222" s="380">
        <v>19227.439999999999</v>
      </c>
      <c r="AA1222" s="376" t="s">
        <v>2471</v>
      </c>
      <c r="AB1222" s="376" t="s">
        <v>2472</v>
      </c>
      <c r="AC1222" s="376" t="s">
        <v>2473</v>
      </c>
      <c r="AD1222" s="376" t="s">
        <v>566</v>
      </c>
      <c r="AE1222" s="376" t="s">
        <v>271</v>
      </c>
      <c r="AF1222" s="376" t="s">
        <v>221</v>
      </c>
      <c r="AG1222" s="376" t="s">
        <v>178</v>
      </c>
      <c r="AH1222" s="381">
        <v>17.18</v>
      </c>
      <c r="AI1222" s="381">
        <v>44435.6</v>
      </c>
      <c r="AJ1222" s="376" t="s">
        <v>179</v>
      </c>
      <c r="AK1222" s="376" t="s">
        <v>180</v>
      </c>
      <c r="AL1222" s="376" t="s">
        <v>181</v>
      </c>
      <c r="AM1222" s="376" t="s">
        <v>182</v>
      </c>
      <c r="AN1222" s="376" t="s">
        <v>68</v>
      </c>
      <c r="AO1222" s="379">
        <v>80</v>
      </c>
      <c r="AP1222" s="385">
        <v>1</v>
      </c>
      <c r="AQ1222" s="385">
        <v>1</v>
      </c>
      <c r="AR1222" s="383" t="s">
        <v>183</v>
      </c>
      <c r="AS1222" s="387">
        <f t="shared" si="863"/>
        <v>1</v>
      </c>
      <c r="AT1222">
        <f t="shared" si="864"/>
        <v>1</v>
      </c>
      <c r="AU1222" s="387">
        <f>IF(AT1222=0,"",IF(AND(AT1222=1,M1222="F",SUMIF(C2:C1334,C1222,AS2:AS1334)&lt;=1),SUMIF(C2:C1334,C1222,AS2:AS1334),IF(AND(AT1222=1,M1222="F",SUMIF(C2:C1334,C1222,AS2:AS1334)&gt;1),1,"")))</f>
        <v>1</v>
      </c>
      <c r="AV1222" s="387" t="str">
        <f>IF(AT1222=0,"",IF(AND(AT1222=3,M1222="F",SUMIF(C2:C1334,C1222,AS2:AS1334)&lt;=1),SUMIF(C2:C1334,C1222,AS2:AS1334),IF(AND(AT1222=3,M1222="F",SUMIF(C2:C1334,C1222,AS2:AS1334)&gt;1),1,"")))</f>
        <v/>
      </c>
      <c r="AW1222" s="387">
        <f>SUMIF(C2:C1334,C1222,O2:O1334)</f>
        <v>1</v>
      </c>
      <c r="AX1222" s="387">
        <f>IF(AND(M1222="F",AS1222&lt;&gt;0),SUMIF(C2:C1334,C1222,W2:W1334),0)</f>
        <v>35734.400000000001</v>
      </c>
      <c r="AY1222" s="387">
        <f t="shared" si="865"/>
        <v>35734.400000000001</v>
      </c>
      <c r="AZ1222" s="387" t="str">
        <f t="shared" si="866"/>
        <v/>
      </c>
      <c r="BA1222" s="387">
        <f t="shared" si="867"/>
        <v>0</v>
      </c>
      <c r="BB1222" s="387">
        <f t="shared" si="836"/>
        <v>11650</v>
      </c>
      <c r="BC1222" s="387">
        <f t="shared" si="837"/>
        <v>0</v>
      </c>
      <c r="BD1222" s="387">
        <f t="shared" si="838"/>
        <v>2215.5328</v>
      </c>
      <c r="BE1222" s="387">
        <f t="shared" si="839"/>
        <v>518.14880000000005</v>
      </c>
      <c r="BF1222" s="387">
        <f t="shared" si="840"/>
        <v>4266.6873600000008</v>
      </c>
      <c r="BG1222" s="387">
        <f t="shared" si="841"/>
        <v>257.64502400000003</v>
      </c>
      <c r="BH1222" s="387">
        <f t="shared" si="842"/>
        <v>175.09855999999999</v>
      </c>
      <c r="BI1222" s="387">
        <f t="shared" si="843"/>
        <v>197.78990400000001</v>
      </c>
      <c r="BJ1222" s="387">
        <f t="shared" si="844"/>
        <v>96.482880000000009</v>
      </c>
      <c r="BK1222" s="387">
        <f t="shared" si="845"/>
        <v>0</v>
      </c>
      <c r="BL1222" s="387">
        <f t="shared" si="868"/>
        <v>7727.3853280000012</v>
      </c>
      <c r="BM1222" s="387">
        <f t="shared" si="869"/>
        <v>0</v>
      </c>
      <c r="BN1222" s="387">
        <f t="shared" si="846"/>
        <v>11650</v>
      </c>
      <c r="BO1222" s="387">
        <f t="shared" si="847"/>
        <v>0</v>
      </c>
      <c r="BP1222" s="387">
        <f t="shared" si="848"/>
        <v>2215.5328</v>
      </c>
      <c r="BQ1222" s="387">
        <f t="shared" si="849"/>
        <v>518.14880000000005</v>
      </c>
      <c r="BR1222" s="387">
        <f t="shared" si="850"/>
        <v>4266.6873600000008</v>
      </c>
      <c r="BS1222" s="387">
        <f t="shared" si="851"/>
        <v>257.64502400000003</v>
      </c>
      <c r="BT1222" s="387">
        <f t="shared" si="852"/>
        <v>0</v>
      </c>
      <c r="BU1222" s="387">
        <f t="shared" si="853"/>
        <v>197.78990400000001</v>
      </c>
      <c r="BV1222" s="387">
        <f t="shared" si="854"/>
        <v>121.49696</v>
      </c>
      <c r="BW1222" s="387">
        <f t="shared" si="855"/>
        <v>0</v>
      </c>
      <c r="BX1222" s="387">
        <f t="shared" si="870"/>
        <v>7577.3008480000017</v>
      </c>
      <c r="BY1222" s="387">
        <f t="shared" si="871"/>
        <v>0</v>
      </c>
      <c r="BZ1222" s="387">
        <f t="shared" si="872"/>
        <v>0</v>
      </c>
      <c r="CA1222" s="387">
        <f t="shared" si="873"/>
        <v>0</v>
      </c>
      <c r="CB1222" s="387">
        <f t="shared" si="874"/>
        <v>0</v>
      </c>
      <c r="CC1222" s="387">
        <f t="shared" si="856"/>
        <v>0</v>
      </c>
      <c r="CD1222" s="387">
        <f t="shared" si="857"/>
        <v>0</v>
      </c>
      <c r="CE1222" s="387">
        <f t="shared" si="858"/>
        <v>0</v>
      </c>
      <c r="CF1222" s="387">
        <f t="shared" si="859"/>
        <v>-175.09855999999999</v>
      </c>
      <c r="CG1222" s="387">
        <f t="shared" si="860"/>
        <v>0</v>
      </c>
      <c r="CH1222" s="387">
        <f t="shared" si="861"/>
        <v>25.014079999999989</v>
      </c>
      <c r="CI1222" s="387">
        <f t="shared" si="862"/>
        <v>0</v>
      </c>
      <c r="CJ1222" s="387">
        <f t="shared" si="875"/>
        <v>-150.08448000000001</v>
      </c>
      <c r="CK1222" s="387" t="str">
        <f t="shared" si="876"/>
        <v/>
      </c>
      <c r="CL1222" s="387" t="str">
        <f t="shared" si="877"/>
        <v/>
      </c>
      <c r="CM1222" s="387" t="str">
        <f t="shared" si="878"/>
        <v/>
      </c>
      <c r="CN1222" s="387" t="str">
        <f t="shared" si="879"/>
        <v>0348-31</v>
      </c>
    </row>
    <row r="1223" spans="1:92" ht="15.75" thickBot="1" x14ac:dyDescent="0.3">
      <c r="A1223" s="376" t="s">
        <v>161</v>
      </c>
      <c r="B1223" s="376" t="s">
        <v>162</v>
      </c>
      <c r="C1223" s="376" t="s">
        <v>1639</v>
      </c>
      <c r="D1223" s="376" t="s">
        <v>868</v>
      </c>
      <c r="E1223" s="376" t="s">
        <v>224</v>
      </c>
      <c r="F1223" s="382" t="s">
        <v>225</v>
      </c>
      <c r="G1223" s="376" t="s">
        <v>1945</v>
      </c>
      <c r="H1223" s="378"/>
      <c r="I1223" s="378"/>
      <c r="J1223" s="376" t="s">
        <v>215</v>
      </c>
      <c r="K1223" s="376" t="s">
        <v>869</v>
      </c>
      <c r="L1223" s="376" t="s">
        <v>296</v>
      </c>
      <c r="M1223" s="376" t="s">
        <v>171</v>
      </c>
      <c r="N1223" s="376" t="s">
        <v>172</v>
      </c>
      <c r="O1223" s="379">
        <v>1</v>
      </c>
      <c r="P1223" s="385">
        <v>1</v>
      </c>
      <c r="Q1223" s="385">
        <v>1</v>
      </c>
      <c r="R1223" s="380">
        <v>80</v>
      </c>
      <c r="S1223" s="385">
        <v>1</v>
      </c>
      <c r="T1223" s="380">
        <v>0</v>
      </c>
      <c r="U1223" s="380">
        <v>0</v>
      </c>
      <c r="V1223" s="380">
        <v>0</v>
      </c>
      <c r="W1223" s="380">
        <v>42016</v>
      </c>
      <c r="X1223" s="380">
        <v>20735.93</v>
      </c>
      <c r="Y1223" s="380">
        <v>42016</v>
      </c>
      <c r="Z1223" s="380">
        <v>20559.47</v>
      </c>
      <c r="AA1223" s="376" t="s">
        <v>1640</v>
      </c>
      <c r="AB1223" s="376" t="s">
        <v>1641</v>
      </c>
      <c r="AC1223" s="376" t="s">
        <v>1266</v>
      </c>
      <c r="AD1223" s="376" t="s">
        <v>1642</v>
      </c>
      <c r="AE1223" s="376" t="s">
        <v>873</v>
      </c>
      <c r="AF1223" s="376" t="s">
        <v>393</v>
      </c>
      <c r="AG1223" s="376" t="s">
        <v>178</v>
      </c>
      <c r="AH1223" s="381">
        <v>20.2</v>
      </c>
      <c r="AI1223" s="379">
        <v>1600</v>
      </c>
      <c r="AJ1223" s="376" t="s">
        <v>179</v>
      </c>
      <c r="AK1223" s="376" t="s">
        <v>180</v>
      </c>
      <c r="AL1223" s="376" t="s">
        <v>181</v>
      </c>
      <c r="AM1223" s="376" t="s">
        <v>182</v>
      </c>
      <c r="AN1223" s="376" t="s">
        <v>68</v>
      </c>
      <c r="AO1223" s="379">
        <v>80</v>
      </c>
      <c r="AP1223" s="385">
        <v>1</v>
      </c>
      <c r="AQ1223" s="385">
        <v>1</v>
      </c>
      <c r="AR1223" s="383">
        <v>3</v>
      </c>
      <c r="AS1223" s="387">
        <f t="shared" si="863"/>
        <v>1</v>
      </c>
      <c r="AT1223">
        <f t="shared" si="864"/>
        <v>1</v>
      </c>
      <c r="AU1223" s="387">
        <f>IF(AT1223=0,"",IF(AND(AT1223=1,M1223="F",SUMIF(C2:C1334,C1223,AS2:AS1334)&lt;=1),SUMIF(C2:C1334,C1223,AS2:AS1334),IF(AND(AT1223=1,M1223="F",SUMIF(C2:C1334,C1223,AS2:AS1334)&gt;1),1,"")))</f>
        <v>1</v>
      </c>
      <c r="AV1223" s="387" t="str">
        <f>IF(AT1223=0,"",IF(AND(AT1223=3,M1223="F",SUMIF(C2:C1334,C1223,AS2:AS1334)&lt;=1),SUMIF(C2:C1334,C1223,AS2:AS1334),IF(AND(AT1223=3,M1223="F",SUMIF(C2:C1334,C1223,AS2:AS1334)&gt;1),1,"")))</f>
        <v/>
      </c>
      <c r="AW1223" s="387">
        <f>SUMIF(C2:C1334,C1223,O2:O1334)</f>
        <v>2</v>
      </c>
      <c r="AX1223" s="387">
        <f>IF(AND(M1223="F",AS1223&lt;&gt;0),SUMIF(C2:C1334,C1223,W2:W1334),0)</f>
        <v>42016</v>
      </c>
      <c r="AY1223" s="387">
        <f t="shared" si="865"/>
        <v>42016</v>
      </c>
      <c r="AZ1223" s="387" t="str">
        <f t="shared" si="866"/>
        <v/>
      </c>
      <c r="BA1223" s="387">
        <f t="shared" si="867"/>
        <v>0</v>
      </c>
      <c r="BB1223" s="387">
        <f t="shared" si="836"/>
        <v>11650</v>
      </c>
      <c r="BC1223" s="387">
        <f t="shared" si="837"/>
        <v>0</v>
      </c>
      <c r="BD1223" s="387">
        <f t="shared" si="838"/>
        <v>2604.9920000000002</v>
      </c>
      <c r="BE1223" s="387">
        <f t="shared" si="839"/>
        <v>609.23200000000008</v>
      </c>
      <c r="BF1223" s="387">
        <f t="shared" si="840"/>
        <v>5016.7103999999999</v>
      </c>
      <c r="BG1223" s="387">
        <f t="shared" si="841"/>
        <v>302.93536</v>
      </c>
      <c r="BH1223" s="387">
        <f t="shared" si="842"/>
        <v>205.8784</v>
      </c>
      <c r="BI1223" s="387">
        <f t="shared" si="843"/>
        <v>232.55856</v>
      </c>
      <c r="BJ1223" s="387">
        <f t="shared" si="844"/>
        <v>113.4432</v>
      </c>
      <c r="BK1223" s="387">
        <f t="shared" si="845"/>
        <v>0</v>
      </c>
      <c r="BL1223" s="387">
        <f t="shared" si="868"/>
        <v>9085.7499199999984</v>
      </c>
      <c r="BM1223" s="387">
        <f t="shared" si="869"/>
        <v>0</v>
      </c>
      <c r="BN1223" s="387">
        <f t="shared" si="846"/>
        <v>11650</v>
      </c>
      <c r="BO1223" s="387">
        <f t="shared" si="847"/>
        <v>0</v>
      </c>
      <c r="BP1223" s="387">
        <f t="shared" si="848"/>
        <v>2604.9920000000002</v>
      </c>
      <c r="BQ1223" s="387">
        <f t="shared" si="849"/>
        <v>609.23200000000008</v>
      </c>
      <c r="BR1223" s="387">
        <f t="shared" si="850"/>
        <v>5016.7103999999999</v>
      </c>
      <c r="BS1223" s="387">
        <f t="shared" si="851"/>
        <v>302.93536</v>
      </c>
      <c r="BT1223" s="387">
        <f t="shared" si="852"/>
        <v>0</v>
      </c>
      <c r="BU1223" s="387">
        <f t="shared" si="853"/>
        <v>232.55856</v>
      </c>
      <c r="BV1223" s="387">
        <f t="shared" si="854"/>
        <v>142.8544</v>
      </c>
      <c r="BW1223" s="387">
        <f t="shared" si="855"/>
        <v>0</v>
      </c>
      <c r="BX1223" s="387">
        <f t="shared" si="870"/>
        <v>8909.2827199999992</v>
      </c>
      <c r="BY1223" s="387">
        <f t="shared" si="871"/>
        <v>0</v>
      </c>
      <c r="BZ1223" s="387">
        <f t="shared" si="872"/>
        <v>0</v>
      </c>
      <c r="CA1223" s="387">
        <f t="shared" si="873"/>
        <v>0</v>
      </c>
      <c r="CB1223" s="387">
        <f t="shared" si="874"/>
        <v>0</v>
      </c>
      <c r="CC1223" s="387">
        <f t="shared" si="856"/>
        <v>0</v>
      </c>
      <c r="CD1223" s="387">
        <f t="shared" si="857"/>
        <v>0</v>
      </c>
      <c r="CE1223" s="387">
        <f t="shared" si="858"/>
        <v>0</v>
      </c>
      <c r="CF1223" s="387">
        <f t="shared" si="859"/>
        <v>-205.8784</v>
      </c>
      <c r="CG1223" s="387">
        <f t="shared" si="860"/>
        <v>0</v>
      </c>
      <c r="CH1223" s="387">
        <f t="shared" si="861"/>
        <v>29.411199999999987</v>
      </c>
      <c r="CI1223" s="387">
        <f t="shared" si="862"/>
        <v>0</v>
      </c>
      <c r="CJ1223" s="387">
        <f t="shared" si="875"/>
        <v>-176.46720000000002</v>
      </c>
      <c r="CK1223" s="387" t="str">
        <f t="shared" si="876"/>
        <v/>
      </c>
      <c r="CL1223" s="387" t="str">
        <f t="shared" si="877"/>
        <v/>
      </c>
      <c r="CM1223" s="387" t="str">
        <f t="shared" si="878"/>
        <v/>
      </c>
      <c r="CN1223" s="387" t="str">
        <f t="shared" si="879"/>
        <v>0348-31</v>
      </c>
    </row>
    <row r="1224" spans="1:92" ht="15.75" thickBot="1" x14ac:dyDescent="0.3">
      <c r="A1224" s="376" t="s">
        <v>161</v>
      </c>
      <c r="B1224" s="376" t="s">
        <v>162</v>
      </c>
      <c r="C1224" s="376" t="s">
        <v>1776</v>
      </c>
      <c r="D1224" s="376" t="s">
        <v>823</v>
      </c>
      <c r="E1224" s="376" t="s">
        <v>224</v>
      </c>
      <c r="F1224" s="382" t="s">
        <v>225</v>
      </c>
      <c r="G1224" s="376" t="s">
        <v>1945</v>
      </c>
      <c r="H1224" s="378"/>
      <c r="I1224" s="378"/>
      <c r="J1224" s="376" t="s">
        <v>215</v>
      </c>
      <c r="K1224" s="376" t="s">
        <v>824</v>
      </c>
      <c r="L1224" s="376" t="s">
        <v>166</v>
      </c>
      <c r="M1224" s="376" t="s">
        <v>171</v>
      </c>
      <c r="N1224" s="376" t="s">
        <v>780</v>
      </c>
      <c r="O1224" s="379">
        <v>0</v>
      </c>
      <c r="P1224" s="385">
        <v>1</v>
      </c>
      <c r="Q1224" s="385">
        <v>0</v>
      </c>
      <c r="R1224" s="380">
        <v>0</v>
      </c>
      <c r="S1224" s="385">
        <v>0</v>
      </c>
      <c r="T1224" s="380">
        <v>135107.85999999999</v>
      </c>
      <c r="U1224" s="380">
        <v>2444.84</v>
      </c>
      <c r="V1224" s="380">
        <v>40384.089999999997</v>
      </c>
      <c r="W1224" s="380">
        <v>140923.5</v>
      </c>
      <c r="X1224" s="380">
        <v>43548.21</v>
      </c>
      <c r="Y1224" s="380">
        <v>140923.5</v>
      </c>
      <c r="Z1224" s="380">
        <v>43548.21</v>
      </c>
      <c r="AA1224" s="378"/>
      <c r="AB1224" s="376" t="s">
        <v>45</v>
      </c>
      <c r="AC1224" s="376" t="s">
        <v>45</v>
      </c>
      <c r="AD1224" s="378"/>
      <c r="AE1224" s="378"/>
      <c r="AF1224" s="378"/>
      <c r="AG1224" s="378"/>
      <c r="AH1224" s="379">
        <v>0</v>
      </c>
      <c r="AI1224" s="379">
        <v>0</v>
      </c>
      <c r="AJ1224" s="378"/>
      <c r="AK1224" s="378"/>
      <c r="AL1224" s="376" t="s">
        <v>181</v>
      </c>
      <c r="AM1224" s="378"/>
      <c r="AN1224" s="378"/>
      <c r="AO1224" s="379">
        <v>0</v>
      </c>
      <c r="AP1224" s="385">
        <v>0</v>
      </c>
      <c r="AQ1224" s="385">
        <v>0</v>
      </c>
      <c r="AR1224" s="384"/>
      <c r="AS1224" s="387">
        <f t="shared" si="863"/>
        <v>0</v>
      </c>
      <c r="AT1224">
        <f t="shared" si="864"/>
        <v>0</v>
      </c>
      <c r="AU1224" s="387" t="str">
        <f>IF(AT1224=0,"",IF(AND(AT1224=1,M1224="F",SUMIF(C2:C1334,C1224,AS2:AS1334)&lt;=1),SUMIF(C2:C1334,C1224,AS2:AS1334),IF(AND(AT1224=1,M1224="F",SUMIF(C2:C1334,C1224,AS2:AS1334)&gt;1),1,"")))</f>
        <v/>
      </c>
      <c r="AV1224" s="387" t="str">
        <f>IF(AT1224=0,"",IF(AND(AT1224=3,M1224="F",SUMIF(C2:C1334,C1224,AS2:AS1334)&lt;=1),SUMIF(C2:C1334,C1224,AS2:AS1334),IF(AND(AT1224=3,M1224="F",SUMIF(C2:C1334,C1224,AS2:AS1334)&gt;1),1,"")))</f>
        <v/>
      </c>
      <c r="AW1224" s="387">
        <f>SUMIF(C2:C1334,C1224,O2:O1334)</f>
        <v>0</v>
      </c>
      <c r="AX1224" s="387">
        <f>IF(AND(M1224="F",AS1224&lt;&gt;0),SUMIF(C2:C1334,C1224,W2:W1334),0)</f>
        <v>0</v>
      </c>
      <c r="AY1224" s="387" t="str">
        <f t="shared" si="865"/>
        <v/>
      </c>
      <c r="AZ1224" s="387" t="str">
        <f t="shared" si="866"/>
        <v/>
      </c>
      <c r="BA1224" s="387">
        <f t="shared" si="867"/>
        <v>0</v>
      </c>
      <c r="BB1224" s="387">
        <f t="shared" si="836"/>
        <v>0</v>
      </c>
      <c r="BC1224" s="387">
        <f t="shared" si="837"/>
        <v>0</v>
      </c>
      <c r="BD1224" s="387">
        <f t="shared" si="838"/>
        <v>0</v>
      </c>
      <c r="BE1224" s="387">
        <f t="shared" si="839"/>
        <v>0</v>
      </c>
      <c r="BF1224" s="387">
        <f t="shared" si="840"/>
        <v>0</v>
      </c>
      <c r="BG1224" s="387">
        <f t="shared" si="841"/>
        <v>0</v>
      </c>
      <c r="BH1224" s="387">
        <f t="shared" si="842"/>
        <v>0</v>
      </c>
      <c r="BI1224" s="387">
        <f t="shared" si="843"/>
        <v>0</v>
      </c>
      <c r="BJ1224" s="387">
        <f t="shared" si="844"/>
        <v>0</v>
      </c>
      <c r="BK1224" s="387">
        <f t="shared" si="845"/>
        <v>0</v>
      </c>
      <c r="BL1224" s="387">
        <f t="shared" si="868"/>
        <v>0</v>
      </c>
      <c r="BM1224" s="387">
        <f t="shared" si="869"/>
        <v>0</v>
      </c>
      <c r="BN1224" s="387">
        <f t="shared" si="846"/>
        <v>0</v>
      </c>
      <c r="BO1224" s="387">
        <f t="shared" si="847"/>
        <v>0</v>
      </c>
      <c r="BP1224" s="387">
        <f t="shared" si="848"/>
        <v>0</v>
      </c>
      <c r="BQ1224" s="387">
        <f t="shared" si="849"/>
        <v>0</v>
      </c>
      <c r="BR1224" s="387">
        <f t="shared" si="850"/>
        <v>0</v>
      </c>
      <c r="BS1224" s="387">
        <f t="shared" si="851"/>
        <v>0</v>
      </c>
      <c r="BT1224" s="387">
        <f t="shared" si="852"/>
        <v>0</v>
      </c>
      <c r="BU1224" s="387">
        <f t="shared" si="853"/>
        <v>0</v>
      </c>
      <c r="BV1224" s="387">
        <f t="shared" si="854"/>
        <v>0</v>
      </c>
      <c r="BW1224" s="387">
        <f t="shared" si="855"/>
        <v>0</v>
      </c>
      <c r="BX1224" s="387">
        <f t="shared" si="870"/>
        <v>0</v>
      </c>
      <c r="BY1224" s="387">
        <f t="shared" si="871"/>
        <v>0</v>
      </c>
      <c r="BZ1224" s="387">
        <f t="shared" si="872"/>
        <v>0</v>
      </c>
      <c r="CA1224" s="387">
        <f t="shared" si="873"/>
        <v>0</v>
      </c>
      <c r="CB1224" s="387">
        <f t="shared" si="874"/>
        <v>0</v>
      </c>
      <c r="CC1224" s="387">
        <f t="shared" si="856"/>
        <v>0</v>
      </c>
      <c r="CD1224" s="387">
        <f t="shared" si="857"/>
        <v>0</v>
      </c>
      <c r="CE1224" s="387">
        <f t="shared" si="858"/>
        <v>0</v>
      </c>
      <c r="CF1224" s="387">
        <f t="shared" si="859"/>
        <v>0</v>
      </c>
      <c r="CG1224" s="387">
        <f t="shared" si="860"/>
        <v>0</v>
      </c>
      <c r="CH1224" s="387">
        <f t="shared" si="861"/>
        <v>0</v>
      </c>
      <c r="CI1224" s="387">
        <f t="shared" si="862"/>
        <v>0</v>
      </c>
      <c r="CJ1224" s="387">
        <f t="shared" si="875"/>
        <v>0</v>
      </c>
      <c r="CK1224" s="387" t="str">
        <f t="shared" si="876"/>
        <v/>
      </c>
      <c r="CL1224" s="387">
        <f t="shared" si="877"/>
        <v>137552.69999999998</v>
      </c>
      <c r="CM1224" s="387">
        <f t="shared" si="878"/>
        <v>40384.089999999997</v>
      </c>
      <c r="CN1224" s="387" t="str">
        <f t="shared" si="879"/>
        <v>0348-31</v>
      </c>
    </row>
    <row r="1225" spans="1:92" ht="15.75" thickBot="1" x14ac:dyDescent="0.3">
      <c r="A1225" s="376" t="s">
        <v>161</v>
      </c>
      <c r="B1225" s="376" t="s">
        <v>162</v>
      </c>
      <c r="C1225" s="376" t="s">
        <v>2474</v>
      </c>
      <c r="D1225" s="376" t="s">
        <v>974</v>
      </c>
      <c r="E1225" s="376" t="s">
        <v>224</v>
      </c>
      <c r="F1225" s="382" t="s">
        <v>225</v>
      </c>
      <c r="G1225" s="376" t="s">
        <v>1945</v>
      </c>
      <c r="H1225" s="378"/>
      <c r="I1225" s="378"/>
      <c r="J1225" s="376" t="s">
        <v>215</v>
      </c>
      <c r="K1225" s="376" t="s">
        <v>975</v>
      </c>
      <c r="L1225" s="376" t="s">
        <v>296</v>
      </c>
      <c r="M1225" s="376" t="s">
        <v>272</v>
      </c>
      <c r="N1225" s="376" t="s">
        <v>172</v>
      </c>
      <c r="O1225" s="379">
        <v>0</v>
      </c>
      <c r="P1225" s="385">
        <v>1</v>
      </c>
      <c r="Q1225" s="385">
        <v>1</v>
      </c>
      <c r="R1225" s="380">
        <v>80</v>
      </c>
      <c r="S1225" s="385">
        <v>1</v>
      </c>
      <c r="T1225" s="380">
        <v>31521.66</v>
      </c>
      <c r="U1225" s="380">
        <v>871.23</v>
      </c>
      <c r="V1225" s="380">
        <v>13848.74</v>
      </c>
      <c r="W1225" s="380">
        <v>47403.199999999997</v>
      </c>
      <c r="X1225" s="380">
        <v>20762.599999999999</v>
      </c>
      <c r="Y1225" s="380">
        <v>47403.199999999997</v>
      </c>
      <c r="Z1225" s="380">
        <v>20525.580000000002</v>
      </c>
      <c r="AA1225" s="378"/>
      <c r="AB1225" s="376" t="s">
        <v>45</v>
      </c>
      <c r="AC1225" s="376" t="s">
        <v>45</v>
      </c>
      <c r="AD1225" s="378"/>
      <c r="AE1225" s="378"/>
      <c r="AF1225" s="378"/>
      <c r="AG1225" s="378"/>
      <c r="AH1225" s="379">
        <v>0</v>
      </c>
      <c r="AI1225" s="379">
        <v>0</v>
      </c>
      <c r="AJ1225" s="378"/>
      <c r="AK1225" s="378"/>
      <c r="AL1225" s="376" t="s">
        <v>181</v>
      </c>
      <c r="AM1225" s="378"/>
      <c r="AN1225" s="378"/>
      <c r="AO1225" s="379">
        <v>0</v>
      </c>
      <c r="AP1225" s="385">
        <v>0</v>
      </c>
      <c r="AQ1225" s="385">
        <v>0</v>
      </c>
      <c r="AR1225" s="384"/>
      <c r="AS1225" s="387">
        <f t="shared" si="863"/>
        <v>0</v>
      </c>
      <c r="AT1225">
        <f t="shared" si="864"/>
        <v>0</v>
      </c>
      <c r="AU1225" s="387" t="str">
        <f>IF(AT1225=0,"",IF(AND(AT1225=1,M1225="F",SUMIF(C2:C1334,C1225,AS2:AS1334)&lt;=1),SUMIF(C2:C1334,C1225,AS2:AS1334),IF(AND(AT1225=1,M1225="F",SUMIF(C2:C1334,C1225,AS2:AS1334)&gt;1),1,"")))</f>
        <v/>
      </c>
      <c r="AV1225" s="387" t="str">
        <f>IF(AT1225=0,"",IF(AND(AT1225=3,M1225="F",SUMIF(C2:C1334,C1225,AS2:AS1334)&lt;=1),SUMIF(C2:C1334,C1225,AS2:AS1334),IF(AND(AT1225=3,M1225="F",SUMIF(C2:C1334,C1225,AS2:AS1334)&gt;1),1,"")))</f>
        <v/>
      </c>
      <c r="AW1225" s="387">
        <f>SUMIF(C2:C1334,C1225,O2:O1334)</f>
        <v>0</v>
      </c>
      <c r="AX1225" s="387">
        <f>IF(AND(M1225="F",AS1225&lt;&gt;0),SUMIF(C2:C1334,C1225,W2:W1334),0)</f>
        <v>0</v>
      </c>
      <c r="AY1225" s="387" t="str">
        <f t="shared" si="865"/>
        <v/>
      </c>
      <c r="AZ1225" s="387" t="str">
        <f t="shared" si="866"/>
        <v/>
      </c>
      <c r="BA1225" s="387">
        <f t="shared" si="867"/>
        <v>0</v>
      </c>
      <c r="BB1225" s="387">
        <f t="shared" si="836"/>
        <v>0</v>
      </c>
      <c r="BC1225" s="387">
        <f t="shared" si="837"/>
        <v>0</v>
      </c>
      <c r="BD1225" s="387">
        <f t="shared" si="838"/>
        <v>0</v>
      </c>
      <c r="BE1225" s="387">
        <f t="shared" si="839"/>
        <v>0</v>
      </c>
      <c r="BF1225" s="387">
        <f t="shared" si="840"/>
        <v>0</v>
      </c>
      <c r="BG1225" s="387">
        <f t="shared" si="841"/>
        <v>0</v>
      </c>
      <c r="BH1225" s="387">
        <f t="shared" si="842"/>
        <v>0</v>
      </c>
      <c r="BI1225" s="387">
        <f t="shared" si="843"/>
        <v>0</v>
      </c>
      <c r="BJ1225" s="387">
        <f t="shared" si="844"/>
        <v>0</v>
      </c>
      <c r="BK1225" s="387">
        <f t="shared" si="845"/>
        <v>0</v>
      </c>
      <c r="BL1225" s="387">
        <f t="shared" si="868"/>
        <v>0</v>
      </c>
      <c r="BM1225" s="387">
        <f t="shared" si="869"/>
        <v>0</v>
      </c>
      <c r="BN1225" s="387">
        <f t="shared" si="846"/>
        <v>0</v>
      </c>
      <c r="BO1225" s="387">
        <f t="shared" si="847"/>
        <v>0</v>
      </c>
      <c r="BP1225" s="387">
        <f t="shared" si="848"/>
        <v>0</v>
      </c>
      <c r="BQ1225" s="387">
        <f t="shared" si="849"/>
        <v>0</v>
      </c>
      <c r="BR1225" s="387">
        <f t="shared" si="850"/>
        <v>0</v>
      </c>
      <c r="BS1225" s="387">
        <f t="shared" si="851"/>
        <v>0</v>
      </c>
      <c r="BT1225" s="387">
        <f t="shared" si="852"/>
        <v>0</v>
      </c>
      <c r="BU1225" s="387">
        <f t="shared" si="853"/>
        <v>0</v>
      </c>
      <c r="BV1225" s="387">
        <f t="shared" si="854"/>
        <v>0</v>
      </c>
      <c r="BW1225" s="387">
        <f t="shared" si="855"/>
        <v>0</v>
      </c>
      <c r="BX1225" s="387">
        <f t="shared" si="870"/>
        <v>0</v>
      </c>
      <c r="BY1225" s="387">
        <f t="shared" si="871"/>
        <v>0</v>
      </c>
      <c r="BZ1225" s="387">
        <f t="shared" si="872"/>
        <v>0</v>
      </c>
      <c r="CA1225" s="387">
        <f t="shared" si="873"/>
        <v>0</v>
      </c>
      <c r="CB1225" s="387">
        <f t="shared" si="874"/>
        <v>0</v>
      </c>
      <c r="CC1225" s="387">
        <f t="shared" si="856"/>
        <v>0</v>
      </c>
      <c r="CD1225" s="387">
        <f t="shared" si="857"/>
        <v>0</v>
      </c>
      <c r="CE1225" s="387">
        <f t="shared" si="858"/>
        <v>0</v>
      </c>
      <c r="CF1225" s="387">
        <f t="shared" si="859"/>
        <v>0</v>
      </c>
      <c r="CG1225" s="387">
        <f t="shared" si="860"/>
        <v>0</v>
      </c>
      <c r="CH1225" s="387">
        <f t="shared" si="861"/>
        <v>0</v>
      </c>
      <c r="CI1225" s="387">
        <f t="shared" si="862"/>
        <v>0</v>
      </c>
      <c r="CJ1225" s="387">
        <f t="shared" si="875"/>
        <v>0</v>
      </c>
      <c r="CK1225" s="387" t="str">
        <f t="shared" si="876"/>
        <v/>
      </c>
      <c r="CL1225" s="387" t="str">
        <f t="shared" si="877"/>
        <v/>
      </c>
      <c r="CM1225" s="387" t="str">
        <f t="shared" si="878"/>
        <v/>
      </c>
      <c r="CN1225" s="387" t="str">
        <f t="shared" si="879"/>
        <v>0348-31</v>
      </c>
    </row>
    <row r="1226" spans="1:92" ht="15.75" thickBot="1" x14ac:dyDescent="0.3">
      <c r="A1226" s="376" t="s">
        <v>161</v>
      </c>
      <c r="B1226" s="376" t="s">
        <v>162</v>
      </c>
      <c r="C1226" s="376" t="s">
        <v>1727</v>
      </c>
      <c r="D1226" s="376" t="s">
        <v>862</v>
      </c>
      <c r="E1226" s="376" t="s">
        <v>224</v>
      </c>
      <c r="F1226" s="382" t="s">
        <v>225</v>
      </c>
      <c r="G1226" s="376" t="s">
        <v>1945</v>
      </c>
      <c r="H1226" s="378"/>
      <c r="I1226" s="378"/>
      <c r="J1226" s="376" t="s">
        <v>239</v>
      </c>
      <c r="K1226" s="376" t="s">
        <v>863</v>
      </c>
      <c r="L1226" s="376" t="s">
        <v>252</v>
      </c>
      <c r="M1226" s="376" t="s">
        <v>171</v>
      </c>
      <c r="N1226" s="376" t="s">
        <v>172</v>
      </c>
      <c r="O1226" s="379">
        <v>1</v>
      </c>
      <c r="P1226" s="385">
        <v>0.1</v>
      </c>
      <c r="Q1226" s="385">
        <v>0.1</v>
      </c>
      <c r="R1226" s="380">
        <v>80</v>
      </c>
      <c r="S1226" s="385">
        <v>0.1</v>
      </c>
      <c r="T1226" s="380">
        <v>6204.23</v>
      </c>
      <c r="U1226" s="380">
        <v>0</v>
      </c>
      <c r="V1226" s="380">
        <v>2614</v>
      </c>
      <c r="W1226" s="380">
        <v>5189.6000000000004</v>
      </c>
      <c r="X1226" s="380">
        <v>2287.2399999999998</v>
      </c>
      <c r="Y1226" s="380">
        <v>5189.6000000000004</v>
      </c>
      <c r="Z1226" s="380">
        <v>2265.4499999999998</v>
      </c>
      <c r="AA1226" s="376" t="s">
        <v>1728</v>
      </c>
      <c r="AB1226" s="376" t="s">
        <v>1729</v>
      </c>
      <c r="AC1226" s="376" t="s">
        <v>836</v>
      </c>
      <c r="AD1226" s="376" t="s">
        <v>324</v>
      </c>
      <c r="AE1226" s="376" t="s">
        <v>863</v>
      </c>
      <c r="AF1226" s="376" t="s">
        <v>393</v>
      </c>
      <c r="AG1226" s="376" t="s">
        <v>178</v>
      </c>
      <c r="AH1226" s="381">
        <v>24.95</v>
      </c>
      <c r="AI1226" s="381">
        <v>32143.599999999999</v>
      </c>
      <c r="AJ1226" s="376" t="s">
        <v>179</v>
      </c>
      <c r="AK1226" s="376" t="s">
        <v>180</v>
      </c>
      <c r="AL1226" s="376" t="s">
        <v>181</v>
      </c>
      <c r="AM1226" s="376" t="s">
        <v>182</v>
      </c>
      <c r="AN1226" s="376" t="s">
        <v>68</v>
      </c>
      <c r="AO1226" s="379">
        <v>80</v>
      </c>
      <c r="AP1226" s="385">
        <v>1</v>
      </c>
      <c r="AQ1226" s="385">
        <v>0.1</v>
      </c>
      <c r="AR1226" s="383" t="s">
        <v>183</v>
      </c>
      <c r="AS1226" s="387">
        <f t="shared" si="863"/>
        <v>0.1</v>
      </c>
      <c r="AT1226">
        <f t="shared" si="864"/>
        <v>1</v>
      </c>
      <c r="AU1226" s="387">
        <f>IF(AT1226=0,"",IF(AND(AT1226=1,M1226="F",SUMIF(C2:C1334,C1226,AS2:AS1334)&lt;=1),SUMIF(C2:C1334,C1226,AS2:AS1334),IF(AND(AT1226=1,M1226="F",SUMIF(C2:C1334,C1226,AS2:AS1334)&gt;1),1,"")))</f>
        <v>1</v>
      </c>
      <c r="AV1226" s="387" t="str">
        <f>IF(AT1226=0,"",IF(AND(AT1226=3,M1226="F",SUMIF(C2:C1334,C1226,AS2:AS1334)&lt;=1),SUMIF(C2:C1334,C1226,AS2:AS1334),IF(AND(AT1226=3,M1226="F",SUMIF(C2:C1334,C1226,AS2:AS1334)&gt;1),1,"")))</f>
        <v/>
      </c>
      <c r="AW1226" s="387">
        <f>SUMIF(C2:C1334,C1226,O2:O1334)</f>
        <v>3</v>
      </c>
      <c r="AX1226" s="387">
        <f>IF(AND(M1226="F",AS1226&lt;&gt;0),SUMIF(C2:C1334,C1226,W2:W1334),0)</f>
        <v>51896</v>
      </c>
      <c r="AY1226" s="387">
        <f t="shared" si="865"/>
        <v>5189.6000000000004</v>
      </c>
      <c r="AZ1226" s="387" t="str">
        <f t="shared" si="866"/>
        <v/>
      </c>
      <c r="BA1226" s="387">
        <f t="shared" si="867"/>
        <v>0</v>
      </c>
      <c r="BB1226" s="387">
        <f t="shared" si="836"/>
        <v>1165</v>
      </c>
      <c r="BC1226" s="387">
        <f t="shared" si="837"/>
        <v>0</v>
      </c>
      <c r="BD1226" s="387">
        <f t="shared" si="838"/>
        <v>321.7552</v>
      </c>
      <c r="BE1226" s="387">
        <f t="shared" si="839"/>
        <v>75.249200000000016</v>
      </c>
      <c r="BF1226" s="387">
        <f t="shared" si="840"/>
        <v>619.63824000000011</v>
      </c>
      <c r="BG1226" s="387">
        <f t="shared" si="841"/>
        <v>37.417016000000004</v>
      </c>
      <c r="BH1226" s="387">
        <f t="shared" si="842"/>
        <v>25.429040000000001</v>
      </c>
      <c r="BI1226" s="387">
        <f t="shared" si="843"/>
        <v>28.724436000000001</v>
      </c>
      <c r="BJ1226" s="387">
        <f t="shared" si="844"/>
        <v>14.011920000000002</v>
      </c>
      <c r="BK1226" s="387">
        <f t="shared" si="845"/>
        <v>0</v>
      </c>
      <c r="BL1226" s="387">
        <f t="shared" si="868"/>
        <v>1122.225052</v>
      </c>
      <c r="BM1226" s="387">
        <f t="shared" si="869"/>
        <v>0</v>
      </c>
      <c r="BN1226" s="387">
        <f t="shared" si="846"/>
        <v>1165</v>
      </c>
      <c r="BO1226" s="387">
        <f t="shared" si="847"/>
        <v>0</v>
      </c>
      <c r="BP1226" s="387">
        <f t="shared" si="848"/>
        <v>321.7552</v>
      </c>
      <c r="BQ1226" s="387">
        <f t="shared" si="849"/>
        <v>75.249200000000016</v>
      </c>
      <c r="BR1226" s="387">
        <f t="shared" si="850"/>
        <v>619.63824000000011</v>
      </c>
      <c r="BS1226" s="387">
        <f t="shared" si="851"/>
        <v>37.417016000000004</v>
      </c>
      <c r="BT1226" s="387">
        <f t="shared" si="852"/>
        <v>0</v>
      </c>
      <c r="BU1226" s="387">
        <f t="shared" si="853"/>
        <v>28.724436000000001</v>
      </c>
      <c r="BV1226" s="387">
        <f t="shared" si="854"/>
        <v>17.644639999999999</v>
      </c>
      <c r="BW1226" s="387">
        <f t="shared" si="855"/>
        <v>0</v>
      </c>
      <c r="BX1226" s="387">
        <f t="shared" si="870"/>
        <v>1100.4287320000001</v>
      </c>
      <c r="BY1226" s="387">
        <f t="shared" si="871"/>
        <v>0</v>
      </c>
      <c r="BZ1226" s="387">
        <f t="shared" si="872"/>
        <v>0</v>
      </c>
      <c r="CA1226" s="387">
        <f t="shared" si="873"/>
        <v>0</v>
      </c>
      <c r="CB1226" s="387">
        <f t="shared" si="874"/>
        <v>0</v>
      </c>
      <c r="CC1226" s="387">
        <f t="shared" si="856"/>
        <v>0</v>
      </c>
      <c r="CD1226" s="387">
        <f t="shared" si="857"/>
        <v>0</v>
      </c>
      <c r="CE1226" s="387">
        <f t="shared" si="858"/>
        <v>0</v>
      </c>
      <c r="CF1226" s="387">
        <f t="shared" si="859"/>
        <v>-25.429040000000001</v>
      </c>
      <c r="CG1226" s="387">
        <f t="shared" si="860"/>
        <v>0</v>
      </c>
      <c r="CH1226" s="387">
        <f t="shared" si="861"/>
        <v>3.6327199999999986</v>
      </c>
      <c r="CI1226" s="387">
        <f t="shared" si="862"/>
        <v>0</v>
      </c>
      <c r="CJ1226" s="387">
        <f t="shared" si="875"/>
        <v>-21.796320000000001</v>
      </c>
      <c r="CK1226" s="387" t="str">
        <f t="shared" si="876"/>
        <v/>
      </c>
      <c r="CL1226" s="387" t="str">
        <f t="shared" si="877"/>
        <v/>
      </c>
      <c r="CM1226" s="387" t="str">
        <f t="shared" si="878"/>
        <v/>
      </c>
      <c r="CN1226" s="387" t="str">
        <f t="shared" si="879"/>
        <v>0348-31</v>
      </c>
    </row>
    <row r="1227" spans="1:92" ht="15.75" thickBot="1" x14ac:dyDescent="0.3">
      <c r="A1227" s="376" t="s">
        <v>161</v>
      </c>
      <c r="B1227" s="376" t="s">
        <v>162</v>
      </c>
      <c r="C1227" s="376" t="s">
        <v>2475</v>
      </c>
      <c r="D1227" s="376" t="s">
        <v>270</v>
      </c>
      <c r="E1227" s="376" t="s">
        <v>224</v>
      </c>
      <c r="F1227" s="382" t="s">
        <v>225</v>
      </c>
      <c r="G1227" s="376" t="s">
        <v>1945</v>
      </c>
      <c r="H1227" s="378"/>
      <c r="I1227" s="378"/>
      <c r="J1227" s="376" t="s">
        <v>215</v>
      </c>
      <c r="K1227" s="376" t="s">
        <v>271</v>
      </c>
      <c r="L1227" s="376" t="s">
        <v>217</v>
      </c>
      <c r="M1227" s="376" t="s">
        <v>171</v>
      </c>
      <c r="N1227" s="376" t="s">
        <v>172</v>
      </c>
      <c r="O1227" s="379">
        <v>1</v>
      </c>
      <c r="P1227" s="385">
        <v>1</v>
      </c>
      <c r="Q1227" s="385">
        <v>1</v>
      </c>
      <c r="R1227" s="380">
        <v>80</v>
      </c>
      <c r="S1227" s="385">
        <v>1</v>
      </c>
      <c r="T1227" s="380">
        <v>0</v>
      </c>
      <c r="U1227" s="380">
        <v>0</v>
      </c>
      <c r="V1227" s="380">
        <v>0</v>
      </c>
      <c r="W1227" s="380">
        <v>32614.400000000001</v>
      </c>
      <c r="X1227" s="380">
        <v>18702.82</v>
      </c>
      <c r="Y1227" s="380">
        <v>32614.400000000001</v>
      </c>
      <c r="Z1227" s="380">
        <v>18565.84</v>
      </c>
      <c r="AA1227" s="376" t="s">
        <v>2476</v>
      </c>
      <c r="AB1227" s="376" t="s">
        <v>1178</v>
      </c>
      <c r="AC1227" s="376" t="s">
        <v>2477</v>
      </c>
      <c r="AD1227" s="376" t="s">
        <v>1144</v>
      </c>
      <c r="AE1227" s="376" t="s">
        <v>271</v>
      </c>
      <c r="AF1227" s="376" t="s">
        <v>221</v>
      </c>
      <c r="AG1227" s="376" t="s">
        <v>178</v>
      </c>
      <c r="AH1227" s="381">
        <v>15.68</v>
      </c>
      <c r="AI1227" s="381">
        <v>681.5</v>
      </c>
      <c r="AJ1227" s="376" t="s">
        <v>179</v>
      </c>
      <c r="AK1227" s="376" t="s">
        <v>180</v>
      </c>
      <c r="AL1227" s="376" t="s">
        <v>181</v>
      </c>
      <c r="AM1227" s="376" t="s">
        <v>182</v>
      </c>
      <c r="AN1227" s="376" t="s">
        <v>68</v>
      </c>
      <c r="AO1227" s="379">
        <v>80</v>
      </c>
      <c r="AP1227" s="385">
        <v>1</v>
      </c>
      <c r="AQ1227" s="385">
        <v>1</v>
      </c>
      <c r="AR1227" s="383" t="s">
        <v>183</v>
      </c>
      <c r="AS1227" s="387">
        <f t="shared" si="863"/>
        <v>1</v>
      </c>
      <c r="AT1227">
        <f t="shared" si="864"/>
        <v>1</v>
      </c>
      <c r="AU1227" s="387">
        <f>IF(AT1227=0,"",IF(AND(AT1227=1,M1227="F",SUMIF(C2:C1334,C1227,AS2:AS1334)&lt;=1),SUMIF(C2:C1334,C1227,AS2:AS1334),IF(AND(AT1227=1,M1227="F",SUMIF(C2:C1334,C1227,AS2:AS1334)&gt;1),1,"")))</f>
        <v>1</v>
      </c>
      <c r="AV1227" s="387" t="str">
        <f>IF(AT1227=0,"",IF(AND(AT1227=3,M1227="F",SUMIF(C2:C1334,C1227,AS2:AS1334)&lt;=1),SUMIF(C2:C1334,C1227,AS2:AS1334),IF(AND(AT1227=3,M1227="F",SUMIF(C2:C1334,C1227,AS2:AS1334)&gt;1),1,"")))</f>
        <v/>
      </c>
      <c r="AW1227" s="387">
        <f>SUMIF(C2:C1334,C1227,O2:O1334)</f>
        <v>1</v>
      </c>
      <c r="AX1227" s="387">
        <f>IF(AND(M1227="F",AS1227&lt;&gt;0),SUMIF(C2:C1334,C1227,W2:W1334),0)</f>
        <v>32614.400000000001</v>
      </c>
      <c r="AY1227" s="387">
        <f t="shared" si="865"/>
        <v>32614.400000000001</v>
      </c>
      <c r="AZ1227" s="387" t="str">
        <f t="shared" si="866"/>
        <v/>
      </c>
      <c r="BA1227" s="387">
        <f t="shared" si="867"/>
        <v>0</v>
      </c>
      <c r="BB1227" s="387">
        <f t="shared" si="836"/>
        <v>11650</v>
      </c>
      <c r="BC1227" s="387">
        <f t="shared" si="837"/>
        <v>0</v>
      </c>
      <c r="BD1227" s="387">
        <f t="shared" si="838"/>
        <v>2022.0928000000001</v>
      </c>
      <c r="BE1227" s="387">
        <f t="shared" si="839"/>
        <v>472.90880000000004</v>
      </c>
      <c r="BF1227" s="387">
        <f t="shared" si="840"/>
        <v>3894.1593600000006</v>
      </c>
      <c r="BG1227" s="387">
        <f t="shared" si="841"/>
        <v>235.14982400000002</v>
      </c>
      <c r="BH1227" s="387">
        <f t="shared" si="842"/>
        <v>159.81056000000001</v>
      </c>
      <c r="BI1227" s="387">
        <f t="shared" si="843"/>
        <v>180.52070399999999</v>
      </c>
      <c r="BJ1227" s="387">
        <f t="shared" si="844"/>
        <v>88.058880000000002</v>
      </c>
      <c r="BK1227" s="387">
        <f t="shared" si="845"/>
        <v>0</v>
      </c>
      <c r="BL1227" s="387">
        <f t="shared" si="868"/>
        <v>7052.7009280000002</v>
      </c>
      <c r="BM1227" s="387">
        <f t="shared" si="869"/>
        <v>0</v>
      </c>
      <c r="BN1227" s="387">
        <f t="shared" si="846"/>
        <v>11650</v>
      </c>
      <c r="BO1227" s="387">
        <f t="shared" si="847"/>
        <v>0</v>
      </c>
      <c r="BP1227" s="387">
        <f t="shared" si="848"/>
        <v>2022.0928000000001</v>
      </c>
      <c r="BQ1227" s="387">
        <f t="shared" si="849"/>
        <v>472.90880000000004</v>
      </c>
      <c r="BR1227" s="387">
        <f t="shared" si="850"/>
        <v>3894.1593600000006</v>
      </c>
      <c r="BS1227" s="387">
        <f t="shared" si="851"/>
        <v>235.14982400000002</v>
      </c>
      <c r="BT1227" s="387">
        <f t="shared" si="852"/>
        <v>0</v>
      </c>
      <c r="BU1227" s="387">
        <f t="shared" si="853"/>
        <v>180.52070399999999</v>
      </c>
      <c r="BV1227" s="387">
        <f t="shared" si="854"/>
        <v>110.88896</v>
      </c>
      <c r="BW1227" s="387">
        <f t="shared" si="855"/>
        <v>0</v>
      </c>
      <c r="BX1227" s="387">
        <f t="shared" si="870"/>
        <v>6915.7204480000009</v>
      </c>
      <c r="BY1227" s="387">
        <f t="shared" si="871"/>
        <v>0</v>
      </c>
      <c r="BZ1227" s="387">
        <f t="shared" si="872"/>
        <v>0</v>
      </c>
      <c r="CA1227" s="387">
        <f t="shared" si="873"/>
        <v>0</v>
      </c>
      <c r="CB1227" s="387">
        <f t="shared" si="874"/>
        <v>0</v>
      </c>
      <c r="CC1227" s="387">
        <f t="shared" si="856"/>
        <v>0</v>
      </c>
      <c r="CD1227" s="387">
        <f t="shared" si="857"/>
        <v>0</v>
      </c>
      <c r="CE1227" s="387">
        <f t="shared" si="858"/>
        <v>0</v>
      </c>
      <c r="CF1227" s="387">
        <f t="shared" si="859"/>
        <v>-159.81056000000001</v>
      </c>
      <c r="CG1227" s="387">
        <f t="shared" si="860"/>
        <v>0</v>
      </c>
      <c r="CH1227" s="387">
        <f t="shared" si="861"/>
        <v>22.830079999999992</v>
      </c>
      <c r="CI1227" s="387">
        <f t="shared" si="862"/>
        <v>0</v>
      </c>
      <c r="CJ1227" s="387">
        <f t="shared" si="875"/>
        <v>-136.98048000000003</v>
      </c>
      <c r="CK1227" s="387" t="str">
        <f t="shared" si="876"/>
        <v/>
      </c>
      <c r="CL1227" s="387" t="str">
        <f t="shared" si="877"/>
        <v/>
      </c>
      <c r="CM1227" s="387" t="str">
        <f t="shared" si="878"/>
        <v/>
      </c>
      <c r="CN1227" s="387" t="str">
        <f t="shared" si="879"/>
        <v>0348-31</v>
      </c>
    </row>
    <row r="1228" spans="1:92" ht="15.75" thickBot="1" x14ac:dyDescent="0.3">
      <c r="A1228" s="376" t="s">
        <v>161</v>
      </c>
      <c r="B1228" s="376" t="s">
        <v>162</v>
      </c>
      <c r="C1228" s="376" t="s">
        <v>1645</v>
      </c>
      <c r="D1228" s="376" t="s">
        <v>868</v>
      </c>
      <c r="E1228" s="376" t="s">
        <v>224</v>
      </c>
      <c r="F1228" s="382" t="s">
        <v>225</v>
      </c>
      <c r="G1228" s="376" t="s">
        <v>1945</v>
      </c>
      <c r="H1228" s="378"/>
      <c r="I1228" s="378"/>
      <c r="J1228" s="376" t="s">
        <v>215</v>
      </c>
      <c r="K1228" s="376" t="s">
        <v>869</v>
      </c>
      <c r="L1228" s="376" t="s">
        <v>296</v>
      </c>
      <c r="M1228" s="376" t="s">
        <v>171</v>
      </c>
      <c r="N1228" s="376" t="s">
        <v>172</v>
      </c>
      <c r="O1228" s="379">
        <v>1</v>
      </c>
      <c r="P1228" s="385">
        <v>1</v>
      </c>
      <c r="Q1228" s="385">
        <v>1</v>
      </c>
      <c r="R1228" s="380">
        <v>80</v>
      </c>
      <c r="S1228" s="385">
        <v>1</v>
      </c>
      <c r="T1228" s="380">
        <v>0</v>
      </c>
      <c r="U1228" s="380">
        <v>0</v>
      </c>
      <c r="V1228" s="380">
        <v>0</v>
      </c>
      <c r="W1228" s="380">
        <v>42016</v>
      </c>
      <c r="X1228" s="380">
        <v>20735.93</v>
      </c>
      <c r="Y1228" s="380">
        <v>42016</v>
      </c>
      <c r="Z1228" s="380">
        <v>20559.47</v>
      </c>
      <c r="AA1228" s="376" t="s">
        <v>1646</v>
      </c>
      <c r="AB1228" s="376" t="s">
        <v>1647</v>
      </c>
      <c r="AC1228" s="376" t="s">
        <v>260</v>
      </c>
      <c r="AD1228" s="376" t="s">
        <v>171</v>
      </c>
      <c r="AE1228" s="376" t="s">
        <v>869</v>
      </c>
      <c r="AF1228" s="376" t="s">
        <v>301</v>
      </c>
      <c r="AG1228" s="376" t="s">
        <v>178</v>
      </c>
      <c r="AH1228" s="381">
        <v>20.2</v>
      </c>
      <c r="AI1228" s="379">
        <v>46966</v>
      </c>
      <c r="AJ1228" s="376" t="s">
        <v>179</v>
      </c>
      <c r="AK1228" s="376" t="s">
        <v>180</v>
      </c>
      <c r="AL1228" s="376" t="s">
        <v>181</v>
      </c>
      <c r="AM1228" s="376" t="s">
        <v>182</v>
      </c>
      <c r="AN1228" s="376" t="s">
        <v>68</v>
      </c>
      <c r="AO1228" s="379">
        <v>80</v>
      </c>
      <c r="AP1228" s="385">
        <v>1</v>
      </c>
      <c r="AQ1228" s="385">
        <v>1</v>
      </c>
      <c r="AR1228" s="383" t="s">
        <v>183</v>
      </c>
      <c r="AS1228" s="387">
        <f t="shared" si="863"/>
        <v>1</v>
      </c>
      <c r="AT1228">
        <f t="shared" si="864"/>
        <v>1</v>
      </c>
      <c r="AU1228" s="387">
        <f>IF(AT1228=0,"",IF(AND(AT1228=1,M1228="F",SUMIF(C2:C1334,C1228,AS2:AS1334)&lt;=1),SUMIF(C2:C1334,C1228,AS2:AS1334),IF(AND(AT1228=1,M1228="F",SUMIF(C2:C1334,C1228,AS2:AS1334)&gt;1),1,"")))</f>
        <v>1</v>
      </c>
      <c r="AV1228" s="387" t="str">
        <f>IF(AT1228=0,"",IF(AND(AT1228=3,M1228="F",SUMIF(C2:C1334,C1228,AS2:AS1334)&lt;=1),SUMIF(C2:C1334,C1228,AS2:AS1334),IF(AND(AT1228=3,M1228="F",SUMIF(C2:C1334,C1228,AS2:AS1334)&gt;1),1,"")))</f>
        <v/>
      </c>
      <c r="AW1228" s="387">
        <f>SUMIF(C2:C1334,C1228,O2:O1334)</f>
        <v>2</v>
      </c>
      <c r="AX1228" s="387">
        <f>IF(AND(M1228="F",AS1228&lt;&gt;0),SUMIF(C2:C1334,C1228,W2:W1334),0)</f>
        <v>42016</v>
      </c>
      <c r="AY1228" s="387">
        <f t="shared" si="865"/>
        <v>42016</v>
      </c>
      <c r="AZ1228" s="387" t="str">
        <f t="shared" si="866"/>
        <v/>
      </c>
      <c r="BA1228" s="387">
        <f t="shared" si="867"/>
        <v>0</v>
      </c>
      <c r="BB1228" s="387">
        <f t="shared" si="836"/>
        <v>11650</v>
      </c>
      <c r="BC1228" s="387">
        <f t="shared" si="837"/>
        <v>0</v>
      </c>
      <c r="BD1228" s="387">
        <f t="shared" si="838"/>
        <v>2604.9920000000002</v>
      </c>
      <c r="BE1228" s="387">
        <f t="shared" si="839"/>
        <v>609.23200000000008</v>
      </c>
      <c r="BF1228" s="387">
        <f t="shared" si="840"/>
        <v>5016.7103999999999</v>
      </c>
      <c r="BG1228" s="387">
        <f t="shared" si="841"/>
        <v>302.93536</v>
      </c>
      <c r="BH1228" s="387">
        <f t="shared" si="842"/>
        <v>205.8784</v>
      </c>
      <c r="BI1228" s="387">
        <f t="shared" si="843"/>
        <v>232.55856</v>
      </c>
      <c r="BJ1228" s="387">
        <f t="shared" si="844"/>
        <v>113.4432</v>
      </c>
      <c r="BK1228" s="387">
        <f t="shared" si="845"/>
        <v>0</v>
      </c>
      <c r="BL1228" s="387">
        <f t="shared" si="868"/>
        <v>9085.7499199999984</v>
      </c>
      <c r="BM1228" s="387">
        <f t="shared" si="869"/>
        <v>0</v>
      </c>
      <c r="BN1228" s="387">
        <f t="shared" si="846"/>
        <v>11650</v>
      </c>
      <c r="BO1228" s="387">
        <f t="shared" si="847"/>
        <v>0</v>
      </c>
      <c r="BP1228" s="387">
        <f t="shared" si="848"/>
        <v>2604.9920000000002</v>
      </c>
      <c r="BQ1228" s="387">
        <f t="shared" si="849"/>
        <v>609.23200000000008</v>
      </c>
      <c r="BR1228" s="387">
        <f t="shared" si="850"/>
        <v>5016.7103999999999</v>
      </c>
      <c r="BS1228" s="387">
        <f t="shared" si="851"/>
        <v>302.93536</v>
      </c>
      <c r="BT1228" s="387">
        <f t="shared" si="852"/>
        <v>0</v>
      </c>
      <c r="BU1228" s="387">
        <f t="shared" si="853"/>
        <v>232.55856</v>
      </c>
      <c r="BV1228" s="387">
        <f t="shared" si="854"/>
        <v>142.8544</v>
      </c>
      <c r="BW1228" s="387">
        <f t="shared" si="855"/>
        <v>0</v>
      </c>
      <c r="BX1228" s="387">
        <f t="shared" si="870"/>
        <v>8909.2827199999992</v>
      </c>
      <c r="BY1228" s="387">
        <f t="shared" si="871"/>
        <v>0</v>
      </c>
      <c r="BZ1228" s="387">
        <f t="shared" si="872"/>
        <v>0</v>
      </c>
      <c r="CA1228" s="387">
        <f t="shared" si="873"/>
        <v>0</v>
      </c>
      <c r="CB1228" s="387">
        <f t="shared" si="874"/>
        <v>0</v>
      </c>
      <c r="CC1228" s="387">
        <f t="shared" si="856"/>
        <v>0</v>
      </c>
      <c r="CD1228" s="387">
        <f t="shared" si="857"/>
        <v>0</v>
      </c>
      <c r="CE1228" s="387">
        <f t="shared" si="858"/>
        <v>0</v>
      </c>
      <c r="CF1228" s="387">
        <f t="shared" si="859"/>
        <v>-205.8784</v>
      </c>
      <c r="CG1228" s="387">
        <f t="shared" si="860"/>
        <v>0</v>
      </c>
      <c r="CH1228" s="387">
        <f t="shared" si="861"/>
        <v>29.411199999999987</v>
      </c>
      <c r="CI1228" s="387">
        <f t="shared" si="862"/>
        <v>0</v>
      </c>
      <c r="CJ1228" s="387">
        <f t="shared" si="875"/>
        <v>-176.46720000000002</v>
      </c>
      <c r="CK1228" s="387" t="str">
        <f t="shared" si="876"/>
        <v/>
      </c>
      <c r="CL1228" s="387" t="str">
        <f t="shared" si="877"/>
        <v/>
      </c>
      <c r="CM1228" s="387" t="str">
        <f t="shared" si="878"/>
        <v/>
      </c>
      <c r="CN1228" s="387" t="str">
        <f t="shared" si="879"/>
        <v>0348-31</v>
      </c>
    </row>
    <row r="1229" spans="1:92" ht="15.75" thickBot="1" x14ac:dyDescent="0.3">
      <c r="A1229" s="376" t="s">
        <v>161</v>
      </c>
      <c r="B1229" s="376" t="s">
        <v>162</v>
      </c>
      <c r="C1229" s="376" t="s">
        <v>1630</v>
      </c>
      <c r="D1229" s="376" t="s">
        <v>862</v>
      </c>
      <c r="E1229" s="376" t="s">
        <v>224</v>
      </c>
      <c r="F1229" s="382" t="s">
        <v>225</v>
      </c>
      <c r="G1229" s="376" t="s">
        <v>1945</v>
      </c>
      <c r="H1229" s="378"/>
      <c r="I1229" s="378"/>
      <c r="J1229" s="376" t="s">
        <v>239</v>
      </c>
      <c r="K1229" s="376" t="s">
        <v>863</v>
      </c>
      <c r="L1229" s="376" t="s">
        <v>252</v>
      </c>
      <c r="M1229" s="376" t="s">
        <v>171</v>
      </c>
      <c r="N1229" s="376" t="s">
        <v>172</v>
      </c>
      <c r="O1229" s="379">
        <v>1</v>
      </c>
      <c r="P1229" s="385">
        <v>0.3</v>
      </c>
      <c r="Q1229" s="385">
        <v>0.3</v>
      </c>
      <c r="R1229" s="380">
        <v>80</v>
      </c>
      <c r="S1229" s="385">
        <v>0.3</v>
      </c>
      <c r="T1229" s="380">
        <v>29962.9</v>
      </c>
      <c r="U1229" s="380">
        <v>0</v>
      </c>
      <c r="V1229" s="380">
        <v>15837.76</v>
      </c>
      <c r="W1229" s="380">
        <v>12392.64</v>
      </c>
      <c r="X1229" s="380">
        <v>6174.9</v>
      </c>
      <c r="Y1229" s="380">
        <v>12392.64</v>
      </c>
      <c r="Z1229" s="380">
        <v>6122.85</v>
      </c>
      <c r="AA1229" s="376" t="s">
        <v>1631</v>
      </c>
      <c r="AB1229" s="376" t="s">
        <v>1632</v>
      </c>
      <c r="AC1229" s="376" t="s">
        <v>1633</v>
      </c>
      <c r="AD1229" s="376" t="s">
        <v>351</v>
      </c>
      <c r="AE1229" s="376" t="s">
        <v>863</v>
      </c>
      <c r="AF1229" s="376" t="s">
        <v>393</v>
      </c>
      <c r="AG1229" s="376" t="s">
        <v>178</v>
      </c>
      <c r="AH1229" s="381">
        <v>19.86</v>
      </c>
      <c r="AI1229" s="381">
        <v>6627.4</v>
      </c>
      <c r="AJ1229" s="376" t="s">
        <v>179</v>
      </c>
      <c r="AK1229" s="376" t="s">
        <v>180</v>
      </c>
      <c r="AL1229" s="376" t="s">
        <v>181</v>
      </c>
      <c r="AM1229" s="376" t="s">
        <v>182</v>
      </c>
      <c r="AN1229" s="376" t="s">
        <v>68</v>
      </c>
      <c r="AO1229" s="379">
        <v>80</v>
      </c>
      <c r="AP1229" s="385">
        <v>1</v>
      </c>
      <c r="AQ1229" s="385">
        <v>0.3</v>
      </c>
      <c r="AR1229" s="383" t="s">
        <v>183</v>
      </c>
      <c r="AS1229" s="387">
        <f t="shared" si="863"/>
        <v>0.3</v>
      </c>
      <c r="AT1229">
        <f t="shared" si="864"/>
        <v>1</v>
      </c>
      <c r="AU1229" s="387">
        <f>IF(AT1229=0,"",IF(AND(AT1229=1,M1229="F",SUMIF(C2:C1334,C1229,AS2:AS1334)&lt;=1),SUMIF(C2:C1334,C1229,AS2:AS1334),IF(AND(AT1229=1,M1229="F",SUMIF(C2:C1334,C1229,AS2:AS1334)&gt;1),1,"")))</f>
        <v>1</v>
      </c>
      <c r="AV1229" s="387" t="str">
        <f>IF(AT1229=0,"",IF(AND(AT1229=3,M1229="F",SUMIF(C2:C1334,C1229,AS2:AS1334)&lt;=1),SUMIF(C2:C1334,C1229,AS2:AS1334),IF(AND(AT1229=3,M1229="F",SUMIF(C2:C1334,C1229,AS2:AS1334)&gt;1),1,"")))</f>
        <v/>
      </c>
      <c r="AW1229" s="387">
        <f>SUMIF(C2:C1334,C1229,O2:O1334)</f>
        <v>3</v>
      </c>
      <c r="AX1229" s="387">
        <f>IF(AND(M1229="F",AS1229&lt;&gt;0),SUMIF(C2:C1334,C1229,W2:W1334),0)</f>
        <v>41308.800000000003</v>
      </c>
      <c r="AY1229" s="387">
        <f t="shared" si="865"/>
        <v>12392.64</v>
      </c>
      <c r="AZ1229" s="387" t="str">
        <f t="shared" si="866"/>
        <v/>
      </c>
      <c r="BA1229" s="387">
        <f t="shared" si="867"/>
        <v>0</v>
      </c>
      <c r="BB1229" s="387">
        <f t="shared" si="836"/>
        <v>3495</v>
      </c>
      <c r="BC1229" s="387">
        <f t="shared" si="837"/>
        <v>0</v>
      </c>
      <c r="BD1229" s="387">
        <f t="shared" si="838"/>
        <v>768.34367999999995</v>
      </c>
      <c r="BE1229" s="387">
        <f t="shared" si="839"/>
        <v>179.69327999999999</v>
      </c>
      <c r="BF1229" s="387">
        <f t="shared" si="840"/>
        <v>1479.6812159999999</v>
      </c>
      <c r="BG1229" s="387">
        <f t="shared" si="841"/>
        <v>89.3509344</v>
      </c>
      <c r="BH1229" s="387">
        <f t="shared" si="842"/>
        <v>60.723935999999995</v>
      </c>
      <c r="BI1229" s="387">
        <f t="shared" si="843"/>
        <v>68.5932624</v>
      </c>
      <c r="BJ1229" s="387">
        <f t="shared" si="844"/>
        <v>33.460127999999997</v>
      </c>
      <c r="BK1229" s="387">
        <f t="shared" si="845"/>
        <v>0</v>
      </c>
      <c r="BL1229" s="387">
        <f t="shared" si="868"/>
        <v>2679.8464368</v>
      </c>
      <c r="BM1229" s="387">
        <f t="shared" si="869"/>
        <v>0</v>
      </c>
      <c r="BN1229" s="387">
        <f t="shared" si="846"/>
        <v>3495</v>
      </c>
      <c r="BO1229" s="387">
        <f t="shared" si="847"/>
        <v>0</v>
      </c>
      <c r="BP1229" s="387">
        <f t="shared" si="848"/>
        <v>768.34367999999995</v>
      </c>
      <c r="BQ1229" s="387">
        <f t="shared" si="849"/>
        <v>179.69327999999999</v>
      </c>
      <c r="BR1229" s="387">
        <f t="shared" si="850"/>
        <v>1479.6812159999999</v>
      </c>
      <c r="BS1229" s="387">
        <f t="shared" si="851"/>
        <v>89.3509344</v>
      </c>
      <c r="BT1229" s="387">
        <f t="shared" si="852"/>
        <v>0</v>
      </c>
      <c r="BU1229" s="387">
        <f t="shared" si="853"/>
        <v>68.5932624</v>
      </c>
      <c r="BV1229" s="387">
        <f t="shared" si="854"/>
        <v>42.134975999999995</v>
      </c>
      <c r="BW1229" s="387">
        <f t="shared" si="855"/>
        <v>0</v>
      </c>
      <c r="BX1229" s="387">
        <f t="shared" si="870"/>
        <v>2627.7973487999998</v>
      </c>
      <c r="BY1229" s="387">
        <f t="shared" si="871"/>
        <v>0</v>
      </c>
      <c r="BZ1229" s="387">
        <f t="shared" si="872"/>
        <v>0</v>
      </c>
      <c r="CA1229" s="387">
        <f t="shared" si="873"/>
        <v>0</v>
      </c>
      <c r="CB1229" s="387">
        <f t="shared" si="874"/>
        <v>0</v>
      </c>
      <c r="CC1229" s="387">
        <f t="shared" si="856"/>
        <v>0</v>
      </c>
      <c r="CD1229" s="387">
        <f t="shared" si="857"/>
        <v>0</v>
      </c>
      <c r="CE1229" s="387">
        <f t="shared" si="858"/>
        <v>0</v>
      </c>
      <c r="CF1229" s="387">
        <f t="shared" si="859"/>
        <v>-60.723935999999995</v>
      </c>
      <c r="CG1229" s="387">
        <f t="shared" si="860"/>
        <v>0</v>
      </c>
      <c r="CH1229" s="387">
        <f t="shared" si="861"/>
        <v>8.6748479999999955</v>
      </c>
      <c r="CI1229" s="387">
        <f t="shared" si="862"/>
        <v>0</v>
      </c>
      <c r="CJ1229" s="387">
        <f t="shared" si="875"/>
        <v>-52.049087999999998</v>
      </c>
      <c r="CK1229" s="387" t="str">
        <f t="shared" si="876"/>
        <v/>
      </c>
      <c r="CL1229" s="387" t="str">
        <f t="shared" si="877"/>
        <v/>
      </c>
      <c r="CM1229" s="387" t="str">
        <f t="shared" si="878"/>
        <v/>
      </c>
      <c r="CN1229" s="387" t="str">
        <f t="shared" si="879"/>
        <v>0348-31</v>
      </c>
    </row>
    <row r="1230" spans="1:92" ht="15.75" thickBot="1" x14ac:dyDescent="0.3">
      <c r="A1230" s="376" t="s">
        <v>161</v>
      </c>
      <c r="B1230" s="376" t="s">
        <v>162</v>
      </c>
      <c r="C1230" s="376" t="s">
        <v>547</v>
      </c>
      <c r="D1230" s="376" t="s">
        <v>238</v>
      </c>
      <c r="E1230" s="376" t="s">
        <v>224</v>
      </c>
      <c r="F1230" s="382" t="s">
        <v>225</v>
      </c>
      <c r="G1230" s="376" t="s">
        <v>1945</v>
      </c>
      <c r="H1230" s="378"/>
      <c r="I1230" s="378"/>
      <c r="J1230" s="376" t="s">
        <v>215</v>
      </c>
      <c r="K1230" s="376" t="s">
        <v>343</v>
      </c>
      <c r="L1230" s="376" t="s">
        <v>296</v>
      </c>
      <c r="M1230" s="376" t="s">
        <v>171</v>
      </c>
      <c r="N1230" s="376" t="s">
        <v>172</v>
      </c>
      <c r="O1230" s="379">
        <v>1</v>
      </c>
      <c r="P1230" s="385">
        <v>0</v>
      </c>
      <c r="Q1230" s="385">
        <v>0</v>
      </c>
      <c r="R1230" s="380">
        <v>80</v>
      </c>
      <c r="S1230" s="385">
        <v>0</v>
      </c>
      <c r="T1230" s="380">
        <v>87.63</v>
      </c>
      <c r="U1230" s="380">
        <v>0</v>
      </c>
      <c r="V1230" s="380">
        <v>7.49</v>
      </c>
      <c r="W1230" s="380">
        <v>0</v>
      </c>
      <c r="X1230" s="380">
        <v>0</v>
      </c>
      <c r="Y1230" s="380">
        <v>0</v>
      </c>
      <c r="Z1230" s="380">
        <v>0</v>
      </c>
      <c r="AA1230" s="376" t="s">
        <v>548</v>
      </c>
      <c r="AB1230" s="376" t="s">
        <v>549</v>
      </c>
      <c r="AC1230" s="376" t="s">
        <v>550</v>
      </c>
      <c r="AD1230" s="376" t="s">
        <v>268</v>
      </c>
      <c r="AE1230" s="376" t="s">
        <v>343</v>
      </c>
      <c r="AF1230" s="376" t="s">
        <v>301</v>
      </c>
      <c r="AG1230" s="376" t="s">
        <v>178</v>
      </c>
      <c r="AH1230" s="381">
        <v>20.02</v>
      </c>
      <c r="AI1230" s="379">
        <v>129</v>
      </c>
      <c r="AJ1230" s="376" t="s">
        <v>179</v>
      </c>
      <c r="AK1230" s="376" t="s">
        <v>180</v>
      </c>
      <c r="AL1230" s="376" t="s">
        <v>181</v>
      </c>
      <c r="AM1230" s="376" t="s">
        <v>182</v>
      </c>
      <c r="AN1230" s="376" t="s">
        <v>68</v>
      </c>
      <c r="AO1230" s="379">
        <v>80</v>
      </c>
      <c r="AP1230" s="385">
        <v>1</v>
      </c>
      <c r="AQ1230" s="385">
        <v>0</v>
      </c>
      <c r="AR1230" s="383" t="s">
        <v>183</v>
      </c>
      <c r="AS1230" s="387">
        <f t="shared" si="863"/>
        <v>0</v>
      </c>
      <c r="AT1230">
        <f t="shared" si="864"/>
        <v>0</v>
      </c>
      <c r="AU1230" s="387" t="str">
        <f>IF(AT1230=0,"",IF(AND(AT1230=1,M1230="F",SUMIF(C2:C1334,C1230,AS2:AS1334)&lt;=1),SUMIF(C2:C1334,C1230,AS2:AS1334),IF(AND(AT1230=1,M1230="F",SUMIF(C2:C1334,C1230,AS2:AS1334)&gt;1),1,"")))</f>
        <v/>
      </c>
      <c r="AV1230" s="387" t="str">
        <f>IF(AT1230=0,"",IF(AND(AT1230=3,M1230="F",SUMIF(C2:C1334,C1230,AS2:AS1334)&lt;=1),SUMIF(C2:C1334,C1230,AS2:AS1334),IF(AND(AT1230=3,M1230="F",SUMIF(C2:C1334,C1230,AS2:AS1334)&gt;1),1,"")))</f>
        <v/>
      </c>
      <c r="AW1230" s="387">
        <f>SUMIF(C2:C1334,C1230,O2:O1334)</f>
        <v>4</v>
      </c>
      <c r="AX1230" s="387">
        <f>IF(AND(M1230="F",AS1230&lt;&gt;0),SUMIF(C2:C1334,C1230,W2:W1334),0)</f>
        <v>0</v>
      </c>
      <c r="AY1230" s="387" t="str">
        <f t="shared" si="865"/>
        <v/>
      </c>
      <c r="AZ1230" s="387" t="str">
        <f t="shared" si="866"/>
        <v/>
      </c>
      <c r="BA1230" s="387">
        <f t="shared" si="867"/>
        <v>0</v>
      </c>
      <c r="BB1230" s="387">
        <f t="shared" si="836"/>
        <v>0</v>
      </c>
      <c r="BC1230" s="387">
        <f t="shared" si="837"/>
        <v>0</v>
      </c>
      <c r="BD1230" s="387">
        <f t="shared" si="838"/>
        <v>0</v>
      </c>
      <c r="BE1230" s="387">
        <f t="shared" si="839"/>
        <v>0</v>
      </c>
      <c r="BF1230" s="387">
        <f t="shared" si="840"/>
        <v>0</v>
      </c>
      <c r="BG1230" s="387">
        <f t="shared" si="841"/>
        <v>0</v>
      </c>
      <c r="BH1230" s="387">
        <f t="shared" si="842"/>
        <v>0</v>
      </c>
      <c r="BI1230" s="387">
        <f t="shared" si="843"/>
        <v>0</v>
      </c>
      <c r="BJ1230" s="387">
        <f t="shared" si="844"/>
        <v>0</v>
      </c>
      <c r="BK1230" s="387">
        <f t="shared" si="845"/>
        <v>0</v>
      </c>
      <c r="BL1230" s="387">
        <f t="shared" si="868"/>
        <v>0</v>
      </c>
      <c r="BM1230" s="387">
        <f t="shared" si="869"/>
        <v>0</v>
      </c>
      <c r="BN1230" s="387">
        <f t="shared" si="846"/>
        <v>0</v>
      </c>
      <c r="BO1230" s="387">
        <f t="shared" si="847"/>
        <v>0</v>
      </c>
      <c r="BP1230" s="387">
        <f t="shared" si="848"/>
        <v>0</v>
      </c>
      <c r="BQ1230" s="387">
        <f t="shared" si="849"/>
        <v>0</v>
      </c>
      <c r="BR1230" s="387">
        <f t="shared" si="850"/>
        <v>0</v>
      </c>
      <c r="BS1230" s="387">
        <f t="shared" si="851"/>
        <v>0</v>
      </c>
      <c r="BT1230" s="387">
        <f t="shared" si="852"/>
        <v>0</v>
      </c>
      <c r="BU1230" s="387">
        <f t="shared" si="853"/>
        <v>0</v>
      </c>
      <c r="BV1230" s="387">
        <f t="shared" si="854"/>
        <v>0</v>
      </c>
      <c r="BW1230" s="387">
        <f t="shared" si="855"/>
        <v>0</v>
      </c>
      <c r="BX1230" s="387">
        <f t="shared" si="870"/>
        <v>0</v>
      </c>
      <c r="BY1230" s="387">
        <f t="shared" si="871"/>
        <v>0</v>
      </c>
      <c r="BZ1230" s="387">
        <f t="shared" si="872"/>
        <v>0</v>
      </c>
      <c r="CA1230" s="387">
        <f t="shared" si="873"/>
        <v>0</v>
      </c>
      <c r="CB1230" s="387">
        <f t="shared" si="874"/>
        <v>0</v>
      </c>
      <c r="CC1230" s="387">
        <f t="shared" si="856"/>
        <v>0</v>
      </c>
      <c r="CD1230" s="387">
        <f t="shared" si="857"/>
        <v>0</v>
      </c>
      <c r="CE1230" s="387">
        <f t="shared" si="858"/>
        <v>0</v>
      </c>
      <c r="CF1230" s="387">
        <f t="shared" si="859"/>
        <v>0</v>
      </c>
      <c r="CG1230" s="387">
        <f t="shared" si="860"/>
        <v>0</v>
      </c>
      <c r="CH1230" s="387">
        <f t="shared" si="861"/>
        <v>0</v>
      </c>
      <c r="CI1230" s="387">
        <f t="shared" si="862"/>
        <v>0</v>
      </c>
      <c r="CJ1230" s="387">
        <f t="shared" si="875"/>
        <v>0</v>
      </c>
      <c r="CK1230" s="387" t="str">
        <f t="shared" si="876"/>
        <v/>
      </c>
      <c r="CL1230" s="387" t="str">
        <f t="shared" si="877"/>
        <v/>
      </c>
      <c r="CM1230" s="387" t="str">
        <f t="shared" si="878"/>
        <v/>
      </c>
      <c r="CN1230" s="387" t="str">
        <f t="shared" si="879"/>
        <v>0348-31</v>
      </c>
    </row>
    <row r="1231" spans="1:92" ht="15.75" thickBot="1" x14ac:dyDescent="0.3">
      <c r="A1231" s="376" t="s">
        <v>161</v>
      </c>
      <c r="B1231" s="376" t="s">
        <v>162</v>
      </c>
      <c r="C1231" s="376" t="s">
        <v>2478</v>
      </c>
      <c r="D1231" s="376" t="s">
        <v>1949</v>
      </c>
      <c r="E1231" s="376" t="s">
        <v>224</v>
      </c>
      <c r="F1231" s="382" t="s">
        <v>225</v>
      </c>
      <c r="G1231" s="376" t="s">
        <v>1945</v>
      </c>
      <c r="H1231" s="378"/>
      <c r="I1231" s="378"/>
      <c r="J1231" s="376" t="s">
        <v>215</v>
      </c>
      <c r="K1231" s="376" t="s">
        <v>1950</v>
      </c>
      <c r="L1231" s="376" t="s">
        <v>170</v>
      </c>
      <c r="M1231" s="376" t="s">
        <v>171</v>
      </c>
      <c r="N1231" s="376" t="s">
        <v>172</v>
      </c>
      <c r="O1231" s="379">
        <v>1</v>
      </c>
      <c r="P1231" s="385">
        <v>1</v>
      </c>
      <c r="Q1231" s="385">
        <v>1</v>
      </c>
      <c r="R1231" s="380">
        <v>80</v>
      </c>
      <c r="S1231" s="385">
        <v>1</v>
      </c>
      <c r="T1231" s="380">
        <v>47470.44</v>
      </c>
      <c r="U1231" s="380">
        <v>8997.7199999999993</v>
      </c>
      <c r="V1231" s="380">
        <v>23234.59</v>
      </c>
      <c r="W1231" s="380">
        <v>48692.800000000003</v>
      </c>
      <c r="X1231" s="380">
        <v>22179.79</v>
      </c>
      <c r="Y1231" s="380">
        <v>48692.800000000003</v>
      </c>
      <c r="Z1231" s="380">
        <v>21975.279999999999</v>
      </c>
      <c r="AA1231" s="376" t="s">
        <v>2479</v>
      </c>
      <c r="AB1231" s="376" t="s">
        <v>2480</v>
      </c>
      <c r="AC1231" s="376" t="s">
        <v>2481</v>
      </c>
      <c r="AD1231" s="376" t="s">
        <v>946</v>
      </c>
      <c r="AE1231" s="376" t="s">
        <v>1950</v>
      </c>
      <c r="AF1231" s="376" t="s">
        <v>177</v>
      </c>
      <c r="AG1231" s="376" t="s">
        <v>178</v>
      </c>
      <c r="AH1231" s="381">
        <v>23.41</v>
      </c>
      <c r="AI1231" s="381">
        <v>16091.7</v>
      </c>
      <c r="AJ1231" s="376" t="s">
        <v>179</v>
      </c>
      <c r="AK1231" s="376" t="s">
        <v>180</v>
      </c>
      <c r="AL1231" s="376" t="s">
        <v>181</v>
      </c>
      <c r="AM1231" s="376" t="s">
        <v>182</v>
      </c>
      <c r="AN1231" s="376" t="s">
        <v>68</v>
      </c>
      <c r="AO1231" s="379">
        <v>80</v>
      </c>
      <c r="AP1231" s="385">
        <v>1</v>
      </c>
      <c r="AQ1231" s="385">
        <v>1</v>
      </c>
      <c r="AR1231" s="383" t="s">
        <v>183</v>
      </c>
      <c r="AS1231" s="387">
        <f t="shared" si="863"/>
        <v>1</v>
      </c>
      <c r="AT1231">
        <f t="shared" si="864"/>
        <v>1</v>
      </c>
      <c r="AU1231" s="387">
        <f>IF(AT1231=0,"",IF(AND(AT1231=1,M1231="F",SUMIF(C2:C1334,C1231,AS2:AS1334)&lt;=1),SUMIF(C2:C1334,C1231,AS2:AS1334),IF(AND(AT1231=1,M1231="F",SUMIF(C2:C1334,C1231,AS2:AS1334)&gt;1),1,"")))</f>
        <v>1</v>
      </c>
      <c r="AV1231" s="387" t="str">
        <f>IF(AT1231=0,"",IF(AND(AT1231=3,M1231="F",SUMIF(C2:C1334,C1231,AS2:AS1334)&lt;=1),SUMIF(C2:C1334,C1231,AS2:AS1334),IF(AND(AT1231=3,M1231="F",SUMIF(C2:C1334,C1231,AS2:AS1334)&gt;1),1,"")))</f>
        <v/>
      </c>
      <c r="AW1231" s="387">
        <f>SUMIF(C2:C1334,C1231,O2:O1334)</f>
        <v>1</v>
      </c>
      <c r="AX1231" s="387">
        <f>IF(AND(M1231="F",AS1231&lt;&gt;0),SUMIF(C2:C1334,C1231,W2:W1334),0)</f>
        <v>48692.800000000003</v>
      </c>
      <c r="AY1231" s="387">
        <f t="shared" si="865"/>
        <v>48692.800000000003</v>
      </c>
      <c r="AZ1231" s="387" t="str">
        <f t="shared" si="866"/>
        <v/>
      </c>
      <c r="BA1231" s="387">
        <f t="shared" si="867"/>
        <v>0</v>
      </c>
      <c r="BB1231" s="387">
        <f t="shared" si="836"/>
        <v>11650</v>
      </c>
      <c r="BC1231" s="387">
        <f t="shared" si="837"/>
        <v>0</v>
      </c>
      <c r="BD1231" s="387">
        <f t="shared" si="838"/>
        <v>3018.9536000000003</v>
      </c>
      <c r="BE1231" s="387">
        <f t="shared" si="839"/>
        <v>706.04560000000004</v>
      </c>
      <c r="BF1231" s="387">
        <f t="shared" si="840"/>
        <v>5813.9203200000011</v>
      </c>
      <c r="BG1231" s="387">
        <f t="shared" si="841"/>
        <v>351.07508800000005</v>
      </c>
      <c r="BH1231" s="387">
        <f t="shared" si="842"/>
        <v>238.59472</v>
      </c>
      <c r="BI1231" s="387">
        <f t="shared" si="843"/>
        <v>269.51464800000002</v>
      </c>
      <c r="BJ1231" s="387">
        <f t="shared" si="844"/>
        <v>131.47056000000001</v>
      </c>
      <c r="BK1231" s="387">
        <f t="shared" si="845"/>
        <v>0</v>
      </c>
      <c r="BL1231" s="387">
        <f t="shared" si="868"/>
        <v>10529.574536</v>
      </c>
      <c r="BM1231" s="387">
        <f t="shared" si="869"/>
        <v>0</v>
      </c>
      <c r="BN1231" s="387">
        <f t="shared" si="846"/>
        <v>11650</v>
      </c>
      <c r="BO1231" s="387">
        <f t="shared" si="847"/>
        <v>0</v>
      </c>
      <c r="BP1231" s="387">
        <f t="shared" si="848"/>
        <v>3018.9536000000003</v>
      </c>
      <c r="BQ1231" s="387">
        <f t="shared" si="849"/>
        <v>706.04560000000004</v>
      </c>
      <c r="BR1231" s="387">
        <f t="shared" si="850"/>
        <v>5813.9203200000011</v>
      </c>
      <c r="BS1231" s="387">
        <f t="shared" si="851"/>
        <v>351.07508800000005</v>
      </c>
      <c r="BT1231" s="387">
        <f t="shared" si="852"/>
        <v>0</v>
      </c>
      <c r="BU1231" s="387">
        <f t="shared" si="853"/>
        <v>269.51464800000002</v>
      </c>
      <c r="BV1231" s="387">
        <f t="shared" si="854"/>
        <v>165.55552</v>
      </c>
      <c r="BW1231" s="387">
        <f t="shared" si="855"/>
        <v>0</v>
      </c>
      <c r="BX1231" s="387">
        <f t="shared" si="870"/>
        <v>10325.064776000001</v>
      </c>
      <c r="BY1231" s="387">
        <f t="shared" si="871"/>
        <v>0</v>
      </c>
      <c r="BZ1231" s="387">
        <f t="shared" si="872"/>
        <v>0</v>
      </c>
      <c r="CA1231" s="387">
        <f t="shared" si="873"/>
        <v>0</v>
      </c>
      <c r="CB1231" s="387">
        <f t="shared" si="874"/>
        <v>0</v>
      </c>
      <c r="CC1231" s="387">
        <f t="shared" si="856"/>
        <v>0</v>
      </c>
      <c r="CD1231" s="387">
        <f t="shared" si="857"/>
        <v>0</v>
      </c>
      <c r="CE1231" s="387">
        <f t="shared" si="858"/>
        <v>0</v>
      </c>
      <c r="CF1231" s="387">
        <f t="shared" si="859"/>
        <v>-238.59472</v>
      </c>
      <c r="CG1231" s="387">
        <f t="shared" si="860"/>
        <v>0</v>
      </c>
      <c r="CH1231" s="387">
        <f t="shared" si="861"/>
        <v>34.084959999999988</v>
      </c>
      <c r="CI1231" s="387">
        <f t="shared" si="862"/>
        <v>0</v>
      </c>
      <c r="CJ1231" s="387">
        <f t="shared" si="875"/>
        <v>-204.50976</v>
      </c>
      <c r="CK1231" s="387" t="str">
        <f t="shared" si="876"/>
        <v/>
      </c>
      <c r="CL1231" s="387" t="str">
        <f t="shared" si="877"/>
        <v/>
      </c>
      <c r="CM1231" s="387" t="str">
        <f t="shared" si="878"/>
        <v/>
      </c>
      <c r="CN1231" s="387" t="str">
        <f t="shared" si="879"/>
        <v>0348-31</v>
      </c>
    </row>
    <row r="1232" spans="1:92" ht="15.75" thickBot="1" x14ac:dyDescent="0.3">
      <c r="A1232" s="376" t="s">
        <v>161</v>
      </c>
      <c r="B1232" s="376" t="s">
        <v>162</v>
      </c>
      <c r="C1232" s="376" t="s">
        <v>1829</v>
      </c>
      <c r="D1232" s="376" t="s">
        <v>862</v>
      </c>
      <c r="E1232" s="376" t="s">
        <v>224</v>
      </c>
      <c r="F1232" s="382" t="s">
        <v>225</v>
      </c>
      <c r="G1232" s="376" t="s">
        <v>1945</v>
      </c>
      <c r="H1232" s="378"/>
      <c r="I1232" s="378"/>
      <c r="J1232" s="376" t="s">
        <v>168</v>
      </c>
      <c r="K1232" s="376" t="s">
        <v>863</v>
      </c>
      <c r="L1232" s="376" t="s">
        <v>252</v>
      </c>
      <c r="M1232" s="376" t="s">
        <v>272</v>
      </c>
      <c r="N1232" s="376" t="s">
        <v>172</v>
      </c>
      <c r="O1232" s="379">
        <v>0</v>
      </c>
      <c r="P1232" s="385">
        <v>0.05</v>
      </c>
      <c r="Q1232" s="385">
        <v>0.05</v>
      </c>
      <c r="R1232" s="380">
        <v>80</v>
      </c>
      <c r="S1232" s="385">
        <v>0.05</v>
      </c>
      <c r="T1232" s="380">
        <v>2458.56</v>
      </c>
      <c r="U1232" s="380">
        <v>0</v>
      </c>
      <c r="V1232" s="380">
        <v>1176.56</v>
      </c>
      <c r="W1232" s="380">
        <v>2116.4</v>
      </c>
      <c r="X1232" s="380">
        <v>926.98</v>
      </c>
      <c r="Y1232" s="380">
        <v>2116.4</v>
      </c>
      <c r="Z1232" s="380">
        <v>916.4</v>
      </c>
      <c r="AA1232" s="378"/>
      <c r="AB1232" s="376" t="s">
        <v>45</v>
      </c>
      <c r="AC1232" s="376" t="s">
        <v>45</v>
      </c>
      <c r="AD1232" s="378"/>
      <c r="AE1232" s="378"/>
      <c r="AF1232" s="378"/>
      <c r="AG1232" s="378"/>
      <c r="AH1232" s="379">
        <v>0</v>
      </c>
      <c r="AI1232" s="379">
        <v>0</v>
      </c>
      <c r="AJ1232" s="378"/>
      <c r="AK1232" s="378"/>
      <c r="AL1232" s="376" t="s">
        <v>181</v>
      </c>
      <c r="AM1232" s="378"/>
      <c r="AN1232" s="378"/>
      <c r="AO1232" s="379">
        <v>0</v>
      </c>
      <c r="AP1232" s="385">
        <v>0</v>
      </c>
      <c r="AQ1232" s="385">
        <v>0</v>
      </c>
      <c r="AR1232" s="384"/>
      <c r="AS1232" s="387">
        <f t="shared" si="863"/>
        <v>0</v>
      </c>
      <c r="AT1232">
        <f t="shared" si="864"/>
        <v>0</v>
      </c>
      <c r="AU1232" s="387" t="str">
        <f>IF(AT1232=0,"",IF(AND(AT1232=1,M1232="F",SUMIF(C2:C1334,C1232,AS2:AS1334)&lt;=1),SUMIF(C2:C1334,C1232,AS2:AS1334),IF(AND(AT1232=1,M1232="F",SUMIF(C2:C1334,C1232,AS2:AS1334)&gt;1),1,"")))</f>
        <v/>
      </c>
      <c r="AV1232" s="387" t="str">
        <f>IF(AT1232=0,"",IF(AND(AT1232=3,M1232="F",SUMIF(C2:C1334,C1232,AS2:AS1334)&lt;=1),SUMIF(C2:C1334,C1232,AS2:AS1334),IF(AND(AT1232=3,M1232="F",SUMIF(C2:C1334,C1232,AS2:AS1334)&gt;1),1,"")))</f>
        <v/>
      </c>
      <c r="AW1232" s="387">
        <f>SUMIF(C2:C1334,C1232,O2:O1334)</f>
        <v>0</v>
      </c>
      <c r="AX1232" s="387">
        <f>IF(AND(M1232="F",AS1232&lt;&gt;0),SUMIF(C2:C1334,C1232,W2:W1334),0)</f>
        <v>0</v>
      </c>
      <c r="AY1232" s="387" t="str">
        <f t="shared" si="865"/>
        <v/>
      </c>
      <c r="AZ1232" s="387" t="str">
        <f t="shared" si="866"/>
        <v/>
      </c>
      <c r="BA1232" s="387">
        <f t="shared" si="867"/>
        <v>0</v>
      </c>
      <c r="BB1232" s="387">
        <f t="shared" si="836"/>
        <v>0</v>
      </c>
      <c r="BC1232" s="387">
        <f t="shared" si="837"/>
        <v>0</v>
      </c>
      <c r="BD1232" s="387">
        <f t="shared" si="838"/>
        <v>0</v>
      </c>
      <c r="BE1232" s="387">
        <f t="shared" si="839"/>
        <v>0</v>
      </c>
      <c r="BF1232" s="387">
        <f t="shared" si="840"/>
        <v>0</v>
      </c>
      <c r="BG1232" s="387">
        <f t="shared" si="841"/>
        <v>0</v>
      </c>
      <c r="BH1232" s="387">
        <f t="shared" si="842"/>
        <v>0</v>
      </c>
      <c r="BI1232" s="387">
        <f t="shared" si="843"/>
        <v>0</v>
      </c>
      <c r="BJ1232" s="387">
        <f t="shared" si="844"/>
        <v>0</v>
      </c>
      <c r="BK1232" s="387">
        <f t="shared" si="845"/>
        <v>0</v>
      </c>
      <c r="BL1232" s="387">
        <f t="shared" si="868"/>
        <v>0</v>
      </c>
      <c r="BM1232" s="387">
        <f t="shared" si="869"/>
        <v>0</v>
      </c>
      <c r="BN1232" s="387">
        <f t="shared" si="846"/>
        <v>0</v>
      </c>
      <c r="BO1232" s="387">
        <f t="shared" si="847"/>
        <v>0</v>
      </c>
      <c r="BP1232" s="387">
        <f t="shared" si="848"/>
        <v>0</v>
      </c>
      <c r="BQ1232" s="387">
        <f t="shared" si="849"/>
        <v>0</v>
      </c>
      <c r="BR1232" s="387">
        <f t="shared" si="850"/>
        <v>0</v>
      </c>
      <c r="BS1232" s="387">
        <f t="shared" si="851"/>
        <v>0</v>
      </c>
      <c r="BT1232" s="387">
        <f t="shared" si="852"/>
        <v>0</v>
      </c>
      <c r="BU1232" s="387">
        <f t="shared" si="853"/>
        <v>0</v>
      </c>
      <c r="BV1232" s="387">
        <f t="shared" si="854"/>
        <v>0</v>
      </c>
      <c r="BW1232" s="387">
        <f t="shared" si="855"/>
        <v>0</v>
      </c>
      <c r="BX1232" s="387">
        <f t="shared" si="870"/>
        <v>0</v>
      </c>
      <c r="BY1232" s="387">
        <f t="shared" si="871"/>
        <v>0</v>
      </c>
      <c r="BZ1232" s="387">
        <f t="shared" si="872"/>
        <v>0</v>
      </c>
      <c r="CA1232" s="387">
        <f t="shared" si="873"/>
        <v>0</v>
      </c>
      <c r="CB1232" s="387">
        <f t="shared" si="874"/>
        <v>0</v>
      </c>
      <c r="CC1232" s="387">
        <f t="shared" si="856"/>
        <v>0</v>
      </c>
      <c r="CD1232" s="387">
        <f t="shared" si="857"/>
        <v>0</v>
      </c>
      <c r="CE1232" s="387">
        <f t="shared" si="858"/>
        <v>0</v>
      </c>
      <c r="CF1232" s="387">
        <f t="shared" si="859"/>
        <v>0</v>
      </c>
      <c r="CG1232" s="387">
        <f t="shared" si="860"/>
        <v>0</v>
      </c>
      <c r="CH1232" s="387">
        <f t="shared" si="861"/>
        <v>0</v>
      </c>
      <c r="CI1232" s="387">
        <f t="shared" si="862"/>
        <v>0</v>
      </c>
      <c r="CJ1232" s="387">
        <f t="shared" si="875"/>
        <v>0</v>
      </c>
      <c r="CK1232" s="387" t="str">
        <f t="shared" si="876"/>
        <v/>
      </c>
      <c r="CL1232" s="387" t="str">
        <f t="shared" si="877"/>
        <v/>
      </c>
      <c r="CM1232" s="387" t="str">
        <f t="shared" si="878"/>
        <v/>
      </c>
      <c r="CN1232" s="387" t="str">
        <f t="shared" si="879"/>
        <v>0348-31</v>
      </c>
    </row>
    <row r="1233" spans="1:92" ht="15.75" thickBot="1" x14ac:dyDescent="0.3">
      <c r="A1233" s="376" t="s">
        <v>161</v>
      </c>
      <c r="B1233" s="376" t="s">
        <v>162</v>
      </c>
      <c r="C1233" s="376" t="s">
        <v>1791</v>
      </c>
      <c r="D1233" s="376" t="s">
        <v>868</v>
      </c>
      <c r="E1233" s="376" t="s">
        <v>224</v>
      </c>
      <c r="F1233" s="382" t="s">
        <v>225</v>
      </c>
      <c r="G1233" s="376" t="s">
        <v>1945</v>
      </c>
      <c r="H1233" s="378"/>
      <c r="I1233" s="378"/>
      <c r="J1233" s="376" t="s">
        <v>215</v>
      </c>
      <c r="K1233" s="376" t="s">
        <v>869</v>
      </c>
      <c r="L1233" s="376" t="s">
        <v>296</v>
      </c>
      <c r="M1233" s="376" t="s">
        <v>272</v>
      </c>
      <c r="N1233" s="376" t="s">
        <v>172</v>
      </c>
      <c r="O1233" s="379">
        <v>0</v>
      </c>
      <c r="P1233" s="385">
        <v>1</v>
      </c>
      <c r="Q1233" s="385">
        <v>1</v>
      </c>
      <c r="R1233" s="380">
        <v>80</v>
      </c>
      <c r="S1233" s="385">
        <v>1</v>
      </c>
      <c r="T1233" s="380">
        <v>0</v>
      </c>
      <c r="U1233" s="380">
        <v>0</v>
      </c>
      <c r="V1233" s="380">
        <v>0</v>
      </c>
      <c r="W1233" s="380">
        <v>47403.199999999997</v>
      </c>
      <c r="X1233" s="380">
        <v>20762.599999999999</v>
      </c>
      <c r="Y1233" s="380">
        <v>47403.199999999997</v>
      </c>
      <c r="Z1233" s="380">
        <v>20525.580000000002</v>
      </c>
      <c r="AA1233" s="378"/>
      <c r="AB1233" s="376" t="s">
        <v>45</v>
      </c>
      <c r="AC1233" s="376" t="s">
        <v>45</v>
      </c>
      <c r="AD1233" s="378"/>
      <c r="AE1233" s="378"/>
      <c r="AF1233" s="378"/>
      <c r="AG1233" s="378"/>
      <c r="AH1233" s="379">
        <v>0</v>
      </c>
      <c r="AI1233" s="379">
        <v>0</v>
      </c>
      <c r="AJ1233" s="378"/>
      <c r="AK1233" s="378"/>
      <c r="AL1233" s="376" t="s">
        <v>181</v>
      </c>
      <c r="AM1233" s="378"/>
      <c r="AN1233" s="378"/>
      <c r="AO1233" s="379">
        <v>0</v>
      </c>
      <c r="AP1233" s="385">
        <v>0</v>
      </c>
      <c r="AQ1233" s="385">
        <v>0</v>
      </c>
      <c r="AR1233" s="384"/>
      <c r="AS1233" s="387">
        <f t="shared" si="863"/>
        <v>0</v>
      </c>
      <c r="AT1233">
        <f t="shared" si="864"/>
        <v>0</v>
      </c>
      <c r="AU1233" s="387" t="str">
        <f>IF(AT1233=0,"",IF(AND(AT1233=1,M1233="F",SUMIF(C2:C1334,C1233,AS2:AS1334)&lt;=1),SUMIF(C2:C1334,C1233,AS2:AS1334),IF(AND(AT1233=1,M1233="F",SUMIF(C2:C1334,C1233,AS2:AS1334)&gt;1),1,"")))</f>
        <v/>
      </c>
      <c r="AV1233" s="387" t="str">
        <f>IF(AT1233=0,"",IF(AND(AT1233=3,M1233="F",SUMIF(C2:C1334,C1233,AS2:AS1334)&lt;=1),SUMIF(C2:C1334,C1233,AS2:AS1334),IF(AND(AT1233=3,M1233="F",SUMIF(C2:C1334,C1233,AS2:AS1334)&gt;1),1,"")))</f>
        <v/>
      </c>
      <c r="AW1233" s="387">
        <f>SUMIF(C2:C1334,C1233,O2:O1334)</f>
        <v>0</v>
      </c>
      <c r="AX1233" s="387">
        <f>IF(AND(M1233="F",AS1233&lt;&gt;0),SUMIF(C2:C1334,C1233,W2:W1334),0)</f>
        <v>0</v>
      </c>
      <c r="AY1233" s="387" t="str">
        <f t="shared" si="865"/>
        <v/>
      </c>
      <c r="AZ1233" s="387" t="str">
        <f t="shared" si="866"/>
        <v/>
      </c>
      <c r="BA1233" s="387">
        <f t="shared" si="867"/>
        <v>0</v>
      </c>
      <c r="BB1233" s="387">
        <f t="shared" si="836"/>
        <v>0</v>
      </c>
      <c r="BC1233" s="387">
        <f t="shared" si="837"/>
        <v>0</v>
      </c>
      <c r="BD1233" s="387">
        <f t="shared" si="838"/>
        <v>0</v>
      </c>
      <c r="BE1233" s="387">
        <f t="shared" si="839"/>
        <v>0</v>
      </c>
      <c r="BF1233" s="387">
        <f t="shared" si="840"/>
        <v>0</v>
      </c>
      <c r="BG1233" s="387">
        <f t="shared" si="841"/>
        <v>0</v>
      </c>
      <c r="BH1233" s="387">
        <f t="shared" si="842"/>
        <v>0</v>
      </c>
      <c r="BI1233" s="387">
        <f t="shared" si="843"/>
        <v>0</v>
      </c>
      <c r="BJ1233" s="387">
        <f t="shared" si="844"/>
        <v>0</v>
      </c>
      <c r="BK1233" s="387">
        <f t="shared" si="845"/>
        <v>0</v>
      </c>
      <c r="BL1233" s="387">
        <f t="shared" si="868"/>
        <v>0</v>
      </c>
      <c r="BM1233" s="387">
        <f t="shared" si="869"/>
        <v>0</v>
      </c>
      <c r="BN1233" s="387">
        <f t="shared" si="846"/>
        <v>0</v>
      </c>
      <c r="BO1233" s="387">
        <f t="shared" si="847"/>
        <v>0</v>
      </c>
      <c r="BP1233" s="387">
        <f t="shared" si="848"/>
        <v>0</v>
      </c>
      <c r="BQ1233" s="387">
        <f t="shared" si="849"/>
        <v>0</v>
      </c>
      <c r="BR1233" s="387">
        <f t="shared" si="850"/>
        <v>0</v>
      </c>
      <c r="BS1233" s="387">
        <f t="shared" si="851"/>
        <v>0</v>
      </c>
      <c r="BT1233" s="387">
        <f t="shared" si="852"/>
        <v>0</v>
      </c>
      <c r="BU1233" s="387">
        <f t="shared" si="853"/>
        <v>0</v>
      </c>
      <c r="BV1233" s="387">
        <f t="shared" si="854"/>
        <v>0</v>
      </c>
      <c r="BW1233" s="387">
        <f t="shared" si="855"/>
        <v>0</v>
      </c>
      <c r="BX1233" s="387">
        <f t="shared" si="870"/>
        <v>0</v>
      </c>
      <c r="BY1233" s="387">
        <f t="shared" si="871"/>
        <v>0</v>
      </c>
      <c r="BZ1233" s="387">
        <f t="shared" si="872"/>
        <v>0</v>
      </c>
      <c r="CA1233" s="387">
        <f t="shared" si="873"/>
        <v>0</v>
      </c>
      <c r="CB1233" s="387">
        <f t="shared" si="874"/>
        <v>0</v>
      </c>
      <c r="CC1233" s="387">
        <f t="shared" si="856"/>
        <v>0</v>
      </c>
      <c r="CD1233" s="387">
        <f t="shared" si="857"/>
        <v>0</v>
      </c>
      <c r="CE1233" s="387">
        <f t="shared" si="858"/>
        <v>0</v>
      </c>
      <c r="CF1233" s="387">
        <f t="shared" si="859"/>
        <v>0</v>
      </c>
      <c r="CG1233" s="387">
        <f t="shared" si="860"/>
        <v>0</v>
      </c>
      <c r="CH1233" s="387">
        <f t="shared" si="861"/>
        <v>0</v>
      </c>
      <c r="CI1233" s="387">
        <f t="shared" si="862"/>
        <v>0</v>
      </c>
      <c r="CJ1233" s="387">
        <f t="shared" si="875"/>
        <v>0</v>
      </c>
      <c r="CK1233" s="387" t="str">
        <f t="shared" si="876"/>
        <v/>
      </c>
      <c r="CL1233" s="387" t="str">
        <f t="shared" si="877"/>
        <v/>
      </c>
      <c r="CM1233" s="387" t="str">
        <f t="shared" si="878"/>
        <v/>
      </c>
      <c r="CN1233" s="387" t="str">
        <f t="shared" si="879"/>
        <v>0348-31</v>
      </c>
    </row>
    <row r="1234" spans="1:92" ht="15.75" thickBot="1" x14ac:dyDescent="0.3">
      <c r="A1234" s="376" t="s">
        <v>161</v>
      </c>
      <c r="B1234" s="376" t="s">
        <v>162</v>
      </c>
      <c r="C1234" s="376" t="s">
        <v>2482</v>
      </c>
      <c r="D1234" s="376" t="s">
        <v>974</v>
      </c>
      <c r="E1234" s="376" t="s">
        <v>224</v>
      </c>
      <c r="F1234" s="382" t="s">
        <v>225</v>
      </c>
      <c r="G1234" s="376" t="s">
        <v>1945</v>
      </c>
      <c r="H1234" s="378"/>
      <c r="I1234" s="378"/>
      <c r="J1234" s="376" t="s">
        <v>215</v>
      </c>
      <c r="K1234" s="376" t="s">
        <v>975</v>
      </c>
      <c r="L1234" s="376" t="s">
        <v>296</v>
      </c>
      <c r="M1234" s="376" t="s">
        <v>171</v>
      </c>
      <c r="N1234" s="376" t="s">
        <v>172</v>
      </c>
      <c r="O1234" s="379">
        <v>1</v>
      </c>
      <c r="P1234" s="385">
        <v>1</v>
      </c>
      <c r="Q1234" s="385">
        <v>1</v>
      </c>
      <c r="R1234" s="380">
        <v>80</v>
      </c>
      <c r="S1234" s="385">
        <v>1</v>
      </c>
      <c r="T1234" s="380">
        <v>41478.79</v>
      </c>
      <c r="U1234" s="380">
        <v>4702.18</v>
      </c>
      <c r="V1234" s="380">
        <v>21242.73</v>
      </c>
      <c r="W1234" s="380">
        <v>43846.400000000001</v>
      </c>
      <c r="X1234" s="380">
        <v>21131.75</v>
      </c>
      <c r="Y1234" s="380">
        <v>43846.400000000001</v>
      </c>
      <c r="Z1234" s="380">
        <v>20947.599999999999</v>
      </c>
      <c r="AA1234" s="376" t="s">
        <v>2483</v>
      </c>
      <c r="AB1234" s="376" t="s">
        <v>2484</v>
      </c>
      <c r="AC1234" s="376" t="s">
        <v>1067</v>
      </c>
      <c r="AD1234" s="376" t="s">
        <v>296</v>
      </c>
      <c r="AE1234" s="376" t="s">
        <v>975</v>
      </c>
      <c r="AF1234" s="376" t="s">
        <v>301</v>
      </c>
      <c r="AG1234" s="376" t="s">
        <v>178</v>
      </c>
      <c r="AH1234" s="381">
        <v>21.08</v>
      </c>
      <c r="AI1234" s="381">
        <v>14103.2</v>
      </c>
      <c r="AJ1234" s="376" t="s">
        <v>179</v>
      </c>
      <c r="AK1234" s="376" t="s">
        <v>180</v>
      </c>
      <c r="AL1234" s="376" t="s">
        <v>181</v>
      </c>
      <c r="AM1234" s="376" t="s">
        <v>182</v>
      </c>
      <c r="AN1234" s="376" t="s">
        <v>68</v>
      </c>
      <c r="AO1234" s="379">
        <v>80</v>
      </c>
      <c r="AP1234" s="385">
        <v>1</v>
      </c>
      <c r="AQ1234" s="385">
        <v>1</v>
      </c>
      <c r="AR1234" s="383" t="s">
        <v>183</v>
      </c>
      <c r="AS1234" s="387">
        <f t="shared" si="863"/>
        <v>1</v>
      </c>
      <c r="AT1234">
        <f t="shared" si="864"/>
        <v>1</v>
      </c>
      <c r="AU1234" s="387">
        <f>IF(AT1234=0,"",IF(AND(AT1234=1,M1234="F",SUMIF(C2:C1334,C1234,AS2:AS1334)&lt;=1),SUMIF(C2:C1334,C1234,AS2:AS1334),IF(AND(AT1234=1,M1234="F",SUMIF(C2:C1334,C1234,AS2:AS1334)&gt;1),1,"")))</f>
        <v>1</v>
      </c>
      <c r="AV1234" s="387" t="str">
        <f>IF(AT1234=0,"",IF(AND(AT1234=3,M1234="F",SUMIF(C2:C1334,C1234,AS2:AS1334)&lt;=1),SUMIF(C2:C1334,C1234,AS2:AS1334),IF(AND(AT1234=3,M1234="F",SUMIF(C2:C1334,C1234,AS2:AS1334)&gt;1),1,"")))</f>
        <v/>
      </c>
      <c r="AW1234" s="387">
        <f>SUMIF(C2:C1334,C1234,O2:O1334)</f>
        <v>1</v>
      </c>
      <c r="AX1234" s="387">
        <f>IF(AND(M1234="F",AS1234&lt;&gt;0),SUMIF(C2:C1334,C1234,W2:W1334),0)</f>
        <v>43846.400000000001</v>
      </c>
      <c r="AY1234" s="387">
        <f t="shared" si="865"/>
        <v>43846.400000000001</v>
      </c>
      <c r="AZ1234" s="387" t="str">
        <f t="shared" si="866"/>
        <v/>
      </c>
      <c r="BA1234" s="387">
        <f t="shared" si="867"/>
        <v>0</v>
      </c>
      <c r="BB1234" s="387">
        <f t="shared" si="836"/>
        <v>11650</v>
      </c>
      <c r="BC1234" s="387">
        <f t="shared" si="837"/>
        <v>0</v>
      </c>
      <c r="BD1234" s="387">
        <f t="shared" si="838"/>
        <v>2718.4767999999999</v>
      </c>
      <c r="BE1234" s="387">
        <f t="shared" si="839"/>
        <v>635.77280000000007</v>
      </c>
      <c r="BF1234" s="387">
        <f t="shared" si="840"/>
        <v>5235.2601600000007</v>
      </c>
      <c r="BG1234" s="387">
        <f t="shared" si="841"/>
        <v>316.132544</v>
      </c>
      <c r="BH1234" s="387">
        <f t="shared" si="842"/>
        <v>214.84736000000001</v>
      </c>
      <c r="BI1234" s="387">
        <f t="shared" si="843"/>
        <v>242.68982400000002</v>
      </c>
      <c r="BJ1234" s="387">
        <f t="shared" si="844"/>
        <v>118.38528000000001</v>
      </c>
      <c r="BK1234" s="387">
        <f t="shared" si="845"/>
        <v>0</v>
      </c>
      <c r="BL1234" s="387">
        <f t="shared" si="868"/>
        <v>9481.5647680000002</v>
      </c>
      <c r="BM1234" s="387">
        <f t="shared" si="869"/>
        <v>0</v>
      </c>
      <c r="BN1234" s="387">
        <f t="shared" si="846"/>
        <v>11650</v>
      </c>
      <c r="BO1234" s="387">
        <f t="shared" si="847"/>
        <v>0</v>
      </c>
      <c r="BP1234" s="387">
        <f t="shared" si="848"/>
        <v>2718.4767999999999</v>
      </c>
      <c r="BQ1234" s="387">
        <f t="shared" si="849"/>
        <v>635.77280000000007</v>
      </c>
      <c r="BR1234" s="387">
        <f t="shared" si="850"/>
        <v>5235.2601600000007</v>
      </c>
      <c r="BS1234" s="387">
        <f t="shared" si="851"/>
        <v>316.132544</v>
      </c>
      <c r="BT1234" s="387">
        <f t="shared" si="852"/>
        <v>0</v>
      </c>
      <c r="BU1234" s="387">
        <f t="shared" si="853"/>
        <v>242.68982400000002</v>
      </c>
      <c r="BV1234" s="387">
        <f t="shared" si="854"/>
        <v>149.07775999999998</v>
      </c>
      <c r="BW1234" s="387">
        <f t="shared" si="855"/>
        <v>0</v>
      </c>
      <c r="BX1234" s="387">
        <f t="shared" si="870"/>
        <v>9297.4098880000001</v>
      </c>
      <c r="BY1234" s="387">
        <f t="shared" si="871"/>
        <v>0</v>
      </c>
      <c r="BZ1234" s="387">
        <f t="shared" si="872"/>
        <v>0</v>
      </c>
      <c r="CA1234" s="387">
        <f t="shared" si="873"/>
        <v>0</v>
      </c>
      <c r="CB1234" s="387">
        <f t="shared" si="874"/>
        <v>0</v>
      </c>
      <c r="CC1234" s="387">
        <f t="shared" si="856"/>
        <v>0</v>
      </c>
      <c r="CD1234" s="387">
        <f t="shared" si="857"/>
        <v>0</v>
      </c>
      <c r="CE1234" s="387">
        <f t="shared" si="858"/>
        <v>0</v>
      </c>
      <c r="CF1234" s="387">
        <f t="shared" si="859"/>
        <v>-214.84736000000001</v>
      </c>
      <c r="CG1234" s="387">
        <f t="shared" si="860"/>
        <v>0</v>
      </c>
      <c r="CH1234" s="387">
        <f t="shared" si="861"/>
        <v>30.692479999999986</v>
      </c>
      <c r="CI1234" s="387">
        <f t="shared" si="862"/>
        <v>0</v>
      </c>
      <c r="CJ1234" s="387">
        <f t="shared" si="875"/>
        <v>-184.15488000000002</v>
      </c>
      <c r="CK1234" s="387" t="str">
        <f t="shared" si="876"/>
        <v/>
      </c>
      <c r="CL1234" s="387" t="str">
        <f t="shared" si="877"/>
        <v/>
      </c>
      <c r="CM1234" s="387" t="str">
        <f t="shared" si="878"/>
        <v/>
      </c>
      <c r="CN1234" s="387" t="str">
        <f t="shared" si="879"/>
        <v>0348-31</v>
      </c>
    </row>
    <row r="1235" spans="1:92" ht="15.75" thickBot="1" x14ac:dyDescent="0.3">
      <c r="A1235" s="376" t="s">
        <v>161</v>
      </c>
      <c r="B1235" s="376" t="s">
        <v>162</v>
      </c>
      <c r="C1235" s="376" t="s">
        <v>2485</v>
      </c>
      <c r="D1235" s="376" t="s">
        <v>862</v>
      </c>
      <c r="E1235" s="376" t="s">
        <v>224</v>
      </c>
      <c r="F1235" s="382" t="s">
        <v>225</v>
      </c>
      <c r="G1235" s="376" t="s">
        <v>1945</v>
      </c>
      <c r="H1235" s="378"/>
      <c r="I1235" s="378"/>
      <c r="J1235" s="376" t="s">
        <v>215</v>
      </c>
      <c r="K1235" s="376" t="s">
        <v>863</v>
      </c>
      <c r="L1235" s="376" t="s">
        <v>252</v>
      </c>
      <c r="M1235" s="376" t="s">
        <v>171</v>
      </c>
      <c r="N1235" s="376" t="s">
        <v>172</v>
      </c>
      <c r="O1235" s="379">
        <v>1</v>
      </c>
      <c r="P1235" s="385">
        <v>1</v>
      </c>
      <c r="Q1235" s="385">
        <v>1</v>
      </c>
      <c r="R1235" s="380">
        <v>80</v>
      </c>
      <c r="S1235" s="385">
        <v>1</v>
      </c>
      <c r="T1235" s="380">
        <v>49381.599999999999</v>
      </c>
      <c r="U1235" s="380">
        <v>514</v>
      </c>
      <c r="V1235" s="380">
        <v>22108.29</v>
      </c>
      <c r="W1235" s="380">
        <v>51313.599999999999</v>
      </c>
      <c r="X1235" s="380">
        <v>22746.53</v>
      </c>
      <c r="Y1235" s="380">
        <v>51313.599999999999</v>
      </c>
      <c r="Z1235" s="380">
        <v>22531.02</v>
      </c>
      <c r="AA1235" s="376" t="s">
        <v>2486</v>
      </c>
      <c r="AB1235" s="376" t="s">
        <v>1456</v>
      </c>
      <c r="AC1235" s="376" t="s">
        <v>560</v>
      </c>
      <c r="AD1235" s="376" t="s">
        <v>1559</v>
      </c>
      <c r="AE1235" s="376" t="s">
        <v>863</v>
      </c>
      <c r="AF1235" s="376" t="s">
        <v>393</v>
      </c>
      <c r="AG1235" s="376" t="s">
        <v>178</v>
      </c>
      <c r="AH1235" s="381">
        <v>24.67</v>
      </c>
      <c r="AI1235" s="381">
        <v>48263.3</v>
      </c>
      <c r="AJ1235" s="376" t="s">
        <v>179</v>
      </c>
      <c r="AK1235" s="376" t="s">
        <v>180</v>
      </c>
      <c r="AL1235" s="376" t="s">
        <v>181</v>
      </c>
      <c r="AM1235" s="376" t="s">
        <v>182</v>
      </c>
      <c r="AN1235" s="376" t="s">
        <v>68</v>
      </c>
      <c r="AO1235" s="379">
        <v>80</v>
      </c>
      <c r="AP1235" s="385">
        <v>1</v>
      </c>
      <c r="AQ1235" s="385">
        <v>1</v>
      </c>
      <c r="AR1235" s="383" t="s">
        <v>183</v>
      </c>
      <c r="AS1235" s="387">
        <f t="shared" si="863"/>
        <v>1</v>
      </c>
      <c r="AT1235">
        <f t="shared" si="864"/>
        <v>1</v>
      </c>
      <c r="AU1235" s="387">
        <f>IF(AT1235=0,"",IF(AND(AT1235=1,M1235="F",SUMIF(C2:C1334,C1235,AS2:AS1334)&lt;=1),SUMIF(C2:C1334,C1235,AS2:AS1334),IF(AND(AT1235=1,M1235="F",SUMIF(C2:C1334,C1235,AS2:AS1334)&gt;1),1,"")))</f>
        <v>1</v>
      </c>
      <c r="AV1235" s="387" t="str">
        <f>IF(AT1235=0,"",IF(AND(AT1235=3,M1235="F",SUMIF(C2:C1334,C1235,AS2:AS1334)&lt;=1),SUMIF(C2:C1334,C1235,AS2:AS1334),IF(AND(AT1235=3,M1235="F",SUMIF(C2:C1334,C1235,AS2:AS1334)&gt;1),1,"")))</f>
        <v/>
      </c>
      <c r="AW1235" s="387">
        <f>SUMIF(C2:C1334,C1235,O2:O1334)</f>
        <v>1</v>
      </c>
      <c r="AX1235" s="387">
        <f>IF(AND(M1235="F",AS1235&lt;&gt;0),SUMIF(C2:C1334,C1235,W2:W1334),0)</f>
        <v>51313.599999999999</v>
      </c>
      <c r="AY1235" s="387">
        <f t="shared" si="865"/>
        <v>51313.599999999999</v>
      </c>
      <c r="AZ1235" s="387" t="str">
        <f t="shared" si="866"/>
        <v/>
      </c>
      <c r="BA1235" s="387">
        <f t="shared" si="867"/>
        <v>0</v>
      </c>
      <c r="BB1235" s="387">
        <f t="shared" si="836"/>
        <v>11650</v>
      </c>
      <c r="BC1235" s="387">
        <f t="shared" si="837"/>
        <v>0</v>
      </c>
      <c r="BD1235" s="387">
        <f t="shared" si="838"/>
        <v>3181.4431999999997</v>
      </c>
      <c r="BE1235" s="387">
        <f t="shared" si="839"/>
        <v>744.04719999999998</v>
      </c>
      <c r="BF1235" s="387">
        <f t="shared" si="840"/>
        <v>6126.8438400000005</v>
      </c>
      <c r="BG1235" s="387">
        <f t="shared" si="841"/>
        <v>369.97105599999998</v>
      </c>
      <c r="BH1235" s="387">
        <f t="shared" si="842"/>
        <v>251.43663999999998</v>
      </c>
      <c r="BI1235" s="387">
        <f t="shared" si="843"/>
        <v>284.02077600000001</v>
      </c>
      <c r="BJ1235" s="387">
        <f t="shared" si="844"/>
        <v>138.54671999999999</v>
      </c>
      <c r="BK1235" s="387">
        <f t="shared" si="845"/>
        <v>0</v>
      </c>
      <c r="BL1235" s="387">
        <f t="shared" si="868"/>
        <v>11096.309432</v>
      </c>
      <c r="BM1235" s="387">
        <f t="shared" si="869"/>
        <v>0</v>
      </c>
      <c r="BN1235" s="387">
        <f t="shared" si="846"/>
        <v>11650</v>
      </c>
      <c r="BO1235" s="387">
        <f t="shared" si="847"/>
        <v>0</v>
      </c>
      <c r="BP1235" s="387">
        <f t="shared" si="848"/>
        <v>3181.4431999999997</v>
      </c>
      <c r="BQ1235" s="387">
        <f t="shared" si="849"/>
        <v>744.04719999999998</v>
      </c>
      <c r="BR1235" s="387">
        <f t="shared" si="850"/>
        <v>6126.8438400000005</v>
      </c>
      <c r="BS1235" s="387">
        <f t="shared" si="851"/>
        <v>369.97105599999998</v>
      </c>
      <c r="BT1235" s="387">
        <f t="shared" si="852"/>
        <v>0</v>
      </c>
      <c r="BU1235" s="387">
        <f t="shared" si="853"/>
        <v>284.02077600000001</v>
      </c>
      <c r="BV1235" s="387">
        <f t="shared" si="854"/>
        <v>174.46624</v>
      </c>
      <c r="BW1235" s="387">
        <f t="shared" si="855"/>
        <v>0</v>
      </c>
      <c r="BX1235" s="387">
        <f t="shared" si="870"/>
        <v>10880.792312</v>
      </c>
      <c r="BY1235" s="387">
        <f t="shared" si="871"/>
        <v>0</v>
      </c>
      <c r="BZ1235" s="387">
        <f t="shared" si="872"/>
        <v>0</v>
      </c>
      <c r="CA1235" s="387">
        <f t="shared" si="873"/>
        <v>0</v>
      </c>
      <c r="CB1235" s="387">
        <f t="shared" si="874"/>
        <v>0</v>
      </c>
      <c r="CC1235" s="387">
        <f t="shared" si="856"/>
        <v>0</v>
      </c>
      <c r="CD1235" s="387">
        <f t="shared" si="857"/>
        <v>0</v>
      </c>
      <c r="CE1235" s="387">
        <f t="shared" si="858"/>
        <v>0</v>
      </c>
      <c r="CF1235" s="387">
        <f t="shared" si="859"/>
        <v>-251.43663999999998</v>
      </c>
      <c r="CG1235" s="387">
        <f t="shared" si="860"/>
        <v>0</v>
      </c>
      <c r="CH1235" s="387">
        <f t="shared" si="861"/>
        <v>35.919519999999984</v>
      </c>
      <c r="CI1235" s="387">
        <f t="shared" si="862"/>
        <v>0</v>
      </c>
      <c r="CJ1235" s="387">
        <f t="shared" si="875"/>
        <v>-215.51712000000001</v>
      </c>
      <c r="CK1235" s="387" t="str">
        <f t="shared" si="876"/>
        <v/>
      </c>
      <c r="CL1235" s="387" t="str">
        <f t="shared" si="877"/>
        <v/>
      </c>
      <c r="CM1235" s="387" t="str">
        <f t="shared" si="878"/>
        <v/>
      </c>
      <c r="CN1235" s="387" t="str">
        <f t="shared" si="879"/>
        <v>0348-31</v>
      </c>
    </row>
    <row r="1236" spans="1:92" ht="15.75" thickBot="1" x14ac:dyDescent="0.3">
      <c r="A1236" s="376" t="s">
        <v>161</v>
      </c>
      <c r="B1236" s="376" t="s">
        <v>162</v>
      </c>
      <c r="C1236" s="376" t="s">
        <v>1966</v>
      </c>
      <c r="D1236" s="376" t="s">
        <v>238</v>
      </c>
      <c r="E1236" s="376" t="s">
        <v>224</v>
      </c>
      <c r="F1236" s="382" t="s">
        <v>225</v>
      </c>
      <c r="G1236" s="376" t="s">
        <v>1945</v>
      </c>
      <c r="H1236" s="378"/>
      <c r="I1236" s="378"/>
      <c r="J1236" s="376" t="s">
        <v>215</v>
      </c>
      <c r="K1236" s="376" t="s">
        <v>285</v>
      </c>
      <c r="L1236" s="376" t="s">
        <v>170</v>
      </c>
      <c r="M1236" s="376" t="s">
        <v>171</v>
      </c>
      <c r="N1236" s="376" t="s">
        <v>172</v>
      </c>
      <c r="O1236" s="379">
        <v>1</v>
      </c>
      <c r="P1236" s="385">
        <v>1</v>
      </c>
      <c r="Q1236" s="385">
        <v>1</v>
      </c>
      <c r="R1236" s="380">
        <v>80</v>
      </c>
      <c r="S1236" s="385">
        <v>1</v>
      </c>
      <c r="T1236" s="380">
        <v>45871.32</v>
      </c>
      <c r="U1236" s="380">
        <v>0</v>
      </c>
      <c r="V1236" s="380">
        <v>20848.96</v>
      </c>
      <c r="W1236" s="380">
        <v>46508.800000000003</v>
      </c>
      <c r="X1236" s="380">
        <v>21707.49</v>
      </c>
      <c r="Y1236" s="380">
        <v>46508.800000000003</v>
      </c>
      <c r="Z1236" s="380">
        <v>21512.15</v>
      </c>
      <c r="AA1236" s="376" t="s">
        <v>1967</v>
      </c>
      <c r="AB1236" s="376" t="s">
        <v>1968</v>
      </c>
      <c r="AC1236" s="376" t="s">
        <v>1969</v>
      </c>
      <c r="AD1236" s="376" t="s">
        <v>170</v>
      </c>
      <c r="AE1236" s="376" t="s">
        <v>285</v>
      </c>
      <c r="AF1236" s="376" t="s">
        <v>177</v>
      </c>
      <c r="AG1236" s="376" t="s">
        <v>178</v>
      </c>
      <c r="AH1236" s="381">
        <v>22.36</v>
      </c>
      <c r="AI1236" s="381">
        <v>531.5</v>
      </c>
      <c r="AJ1236" s="376" t="s">
        <v>179</v>
      </c>
      <c r="AK1236" s="376" t="s">
        <v>180</v>
      </c>
      <c r="AL1236" s="376" t="s">
        <v>181</v>
      </c>
      <c r="AM1236" s="376" t="s">
        <v>182</v>
      </c>
      <c r="AN1236" s="376" t="s">
        <v>68</v>
      </c>
      <c r="AO1236" s="379">
        <v>80</v>
      </c>
      <c r="AP1236" s="385">
        <v>1</v>
      </c>
      <c r="AQ1236" s="385">
        <v>1</v>
      </c>
      <c r="AR1236" s="383" t="s">
        <v>183</v>
      </c>
      <c r="AS1236" s="387">
        <f t="shared" si="863"/>
        <v>1</v>
      </c>
      <c r="AT1236">
        <f t="shared" si="864"/>
        <v>1</v>
      </c>
      <c r="AU1236" s="387">
        <f>IF(AT1236=0,"",IF(AND(AT1236=1,M1236="F",SUMIF(C2:C1334,C1236,AS2:AS1334)&lt;=1),SUMIF(C2:C1334,C1236,AS2:AS1334),IF(AND(AT1236=1,M1236="F",SUMIF(C2:C1334,C1236,AS2:AS1334)&gt;1),1,"")))</f>
        <v>1</v>
      </c>
      <c r="AV1236" s="387" t="str">
        <f>IF(AT1236=0,"",IF(AND(AT1236=3,M1236="F",SUMIF(C2:C1334,C1236,AS2:AS1334)&lt;=1),SUMIF(C2:C1334,C1236,AS2:AS1334),IF(AND(AT1236=3,M1236="F",SUMIF(C2:C1334,C1236,AS2:AS1334)&gt;1),1,"")))</f>
        <v/>
      </c>
      <c r="AW1236" s="387">
        <f>SUMIF(C2:C1334,C1236,O2:O1334)</f>
        <v>2</v>
      </c>
      <c r="AX1236" s="387">
        <f>IF(AND(M1236="F",AS1236&lt;&gt;0),SUMIF(C2:C1334,C1236,W2:W1334),0)</f>
        <v>46508.800000000003</v>
      </c>
      <c r="AY1236" s="387">
        <f t="shared" si="865"/>
        <v>46508.800000000003</v>
      </c>
      <c r="AZ1236" s="387" t="str">
        <f t="shared" si="866"/>
        <v/>
      </c>
      <c r="BA1236" s="387">
        <f t="shared" si="867"/>
        <v>0</v>
      </c>
      <c r="BB1236" s="387">
        <f t="shared" si="836"/>
        <v>11650</v>
      </c>
      <c r="BC1236" s="387">
        <f t="shared" si="837"/>
        <v>0</v>
      </c>
      <c r="BD1236" s="387">
        <f t="shared" si="838"/>
        <v>2883.5456000000004</v>
      </c>
      <c r="BE1236" s="387">
        <f t="shared" si="839"/>
        <v>674.37760000000003</v>
      </c>
      <c r="BF1236" s="387">
        <f t="shared" si="840"/>
        <v>5553.1507200000005</v>
      </c>
      <c r="BG1236" s="387">
        <f t="shared" si="841"/>
        <v>335.32844800000004</v>
      </c>
      <c r="BH1236" s="387">
        <f t="shared" si="842"/>
        <v>227.89312000000001</v>
      </c>
      <c r="BI1236" s="387">
        <f t="shared" si="843"/>
        <v>257.42620800000003</v>
      </c>
      <c r="BJ1236" s="387">
        <f t="shared" si="844"/>
        <v>125.57376000000002</v>
      </c>
      <c r="BK1236" s="387">
        <f t="shared" si="845"/>
        <v>0</v>
      </c>
      <c r="BL1236" s="387">
        <f t="shared" si="868"/>
        <v>10057.295456000002</v>
      </c>
      <c r="BM1236" s="387">
        <f t="shared" si="869"/>
        <v>0</v>
      </c>
      <c r="BN1236" s="387">
        <f t="shared" si="846"/>
        <v>11650</v>
      </c>
      <c r="BO1236" s="387">
        <f t="shared" si="847"/>
        <v>0</v>
      </c>
      <c r="BP1236" s="387">
        <f t="shared" si="848"/>
        <v>2883.5456000000004</v>
      </c>
      <c r="BQ1236" s="387">
        <f t="shared" si="849"/>
        <v>674.37760000000003</v>
      </c>
      <c r="BR1236" s="387">
        <f t="shared" si="850"/>
        <v>5553.1507200000005</v>
      </c>
      <c r="BS1236" s="387">
        <f t="shared" si="851"/>
        <v>335.32844800000004</v>
      </c>
      <c r="BT1236" s="387">
        <f t="shared" si="852"/>
        <v>0</v>
      </c>
      <c r="BU1236" s="387">
        <f t="shared" si="853"/>
        <v>257.42620800000003</v>
      </c>
      <c r="BV1236" s="387">
        <f t="shared" si="854"/>
        <v>158.12992</v>
      </c>
      <c r="BW1236" s="387">
        <f t="shared" si="855"/>
        <v>0</v>
      </c>
      <c r="BX1236" s="387">
        <f t="shared" si="870"/>
        <v>9861.9584960000011</v>
      </c>
      <c r="BY1236" s="387">
        <f t="shared" si="871"/>
        <v>0</v>
      </c>
      <c r="BZ1236" s="387">
        <f t="shared" si="872"/>
        <v>0</v>
      </c>
      <c r="CA1236" s="387">
        <f t="shared" si="873"/>
        <v>0</v>
      </c>
      <c r="CB1236" s="387">
        <f t="shared" si="874"/>
        <v>0</v>
      </c>
      <c r="CC1236" s="387">
        <f t="shared" si="856"/>
        <v>0</v>
      </c>
      <c r="CD1236" s="387">
        <f t="shared" si="857"/>
        <v>0</v>
      </c>
      <c r="CE1236" s="387">
        <f t="shared" si="858"/>
        <v>0</v>
      </c>
      <c r="CF1236" s="387">
        <f t="shared" si="859"/>
        <v>-227.89312000000001</v>
      </c>
      <c r="CG1236" s="387">
        <f t="shared" si="860"/>
        <v>0</v>
      </c>
      <c r="CH1236" s="387">
        <f t="shared" si="861"/>
        <v>32.556159999999984</v>
      </c>
      <c r="CI1236" s="387">
        <f t="shared" si="862"/>
        <v>0</v>
      </c>
      <c r="CJ1236" s="387">
        <f t="shared" si="875"/>
        <v>-195.33696000000003</v>
      </c>
      <c r="CK1236" s="387" t="str">
        <f t="shared" si="876"/>
        <v/>
      </c>
      <c r="CL1236" s="387" t="str">
        <f t="shared" si="877"/>
        <v/>
      </c>
      <c r="CM1236" s="387" t="str">
        <f t="shared" si="878"/>
        <v/>
      </c>
      <c r="CN1236" s="387" t="str">
        <f t="shared" si="879"/>
        <v>0348-31</v>
      </c>
    </row>
    <row r="1237" spans="1:92" ht="15.75" thickBot="1" x14ac:dyDescent="0.3">
      <c r="A1237" s="376" t="s">
        <v>161</v>
      </c>
      <c r="B1237" s="376" t="s">
        <v>162</v>
      </c>
      <c r="C1237" s="376" t="s">
        <v>1795</v>
      </c>
      <c r="D1237" s="376" t="s">
        <v>862</v>
      </c>
      <c r="E1237" s="376" t="s">
        <v>224</v>
      </c>
      <c r="F1237" s="382" t="s">
        <v>225</v>
      </c>
      <c r="G1237" s="376" t="s">
        <v>1945</v>
      </c>
      <c r="H1237" s="378"/>
      <c r="I1237" s="378"/>
      <c r="J1237" s="376" t="s">
        <v>215</v>
      </c>
      <c r="K1237" s="376" t="s">
        <v>863</v>
      </c>
      <c r="L1237" s="376" t="s">
        <v>252</v>
      </c>
      <c r="M1237" s="376" t="s">
        <v>272</v>
      </c>
      <c r="N1237" s="376" t="s">
        <v>877</v>
      </c>
      <c r="O1237" s="379">
        <v>0</v>
      </c>
      <c r="P1237" s="385">
        <v>1</v>
      </c>
      <c r="Q1237" s="385">
        <v>1</v>
      </c>
      <c r="R1237" s="380">
        <v>80</v>
      </c>
      <c r="S1237" s="385">
        <v>1</v>
      </c>
      <c r="T1237" s="380">
        <v>0</v>
      </c>
      <c r="U1237" s="380">
        <v>0</v>
      </c>
      <c r="V1237" s="380">
        <v>0</v>
      </c>
      <c r="W1237" s="380">
        <v>42328</v>
      </c>
      <c r="X1237" s="380">
        <v>18539.66</v>
      </c>
      <c r="Y1237" s="380">
        <v>42328</v>
      </c>
      <c r="Z1237" s="380">
        <v>18328.02</v>
      </c>
      <c r="AA1237" s="378"/>
      <c r="AB1237" s="376" t="s">
        <v>45</v>
      </c>
      <c r="AC1237" s="376" t="s">
        <v>45</v>
      </c>
      <c r="AD1237" s="378"/>
      <c r="AE1237" s="378"/>
      <c r="AF1237" s="378"/>
      <c r="AG1237" s="378"/>
      <c r="AH1237" s="379">
        <v>0</v>
      </c>
      <c r="AI1237" s="379">
        <v>0</v>
      </c>
      <c r="AJ1237" s="378"/>
      <c r="AK1237" s="378"/>
      <c r="AL1237" s="376" t="s">
        <v>181</v>
      </c>
      <c r="AM1237" s="378"/>
      <c r="AN1237" s="378"/>
      <c r="AO1237" s="379">
        <v>0</v>
      </c>
      <c r="AP1237" s="385">
        <v>0</v>
      </c>
      <c r="AQ1237" s="385">
        <v>0</v>
      </c>
      <c r="AR1237" s="384"/>
      <c r="AS1237" s="387">
        <f t="shared" si="863"/>
        <v>0</v>
      </c>
      <c r="AT1237">
        <f t="shared" si="864"/>
        <v>0</v>
      </c>
      <c r="AU1237" s="387" t="str">
        <f>IF(AT1237=0,"",IF(AND(AT1237=1,M1237="F",SUMIF(C2:C1334,C1237,AS2:AS1334)&lt;=1),SUMIF(C2:C1334,C1237,AS2:AS1334),IF(AND(AT1237=1,M1237="F",SUMIF(C2:C1334,C1237,AS2:AS1334)&gt;1),1,"")))</f>
        <v/>
      </c>
      <c r="AV1237" s="387" t="str">
        <f>IF(AT1237=0,"",IF(AND(AT1237=3,M1237="F",SUMIF(C2:C1334,C1237,AS2:AS1334)&lt;=1),SUMIF(C2:C1334,C1237,AS2:AS1334),IF(AND(AT1237=3,M1237="F",SUMIF(C2:C1334,C1237,AS2:AS1334)&gt;1),1,"")))</f>
        <v/>
      </c>
      <c r="AW1237" s="387">
        <f>SUMIF(C2:C1334,C1237,O2:O1334)</f>
        <v>0</v>
      </c>
      <c r="AX1237" s="387">
        <f>IF(AND(M1237="F",AS1237&lt;&gt;0),SUMIF(C2:C1334,C1237,W2:W1334),0)</f>
        <v>0</v>
      </c>
      <c r="AY1237" s="387" t="str">
        <f t="shared" si="865"/>
        <v/>
      </c>
      <c r="AZ1237" s="387" t="str">
        <f t="shared" si="866"/>
        <v/>
      </c>
      <c r="BA1237" s="387">
        <f t="shared" si="867"/>
        <v>0</v>
      </c>
      <c r="BB1237" s="387">
        <f t="shared" si="836"/>
        <v>0</v>
      </c>
      <c r="BC1237" s="387">
        <f t="shared" si="837"/>
        <v>0</v>
      </c>
      <c r="BD1237" s="387">
        <f t="shared" si="838"/>
        <v>0</v>
      </c>
      <c r="BE1237" s="387">
        <f t="shared" si="839"/>
        <v>0</v>
      </c>
      <c r="BF1237" s="387">
        <f t="shared" si="840"/>
        <v>0</v>
      </c>
      <c r="BG1237" s="387">
        <f t="shared" si="841"/>
        <v>0</v>
      </c>
      <c r="BH1237" s="387">
        <f t="shared" si="842"/>
        <v>0</v>
      </c>
      <c r="BI1237" s="387">
        <f t="shared" si="843"/>
        <v>0</v>
      </c>
      <c r="BJ1237" s="387">
        <f t="shared" si="844"/>
        <v>0</v>
      </c>
      <c r="BK1237" s="387">
        <f t="shared" si="845"/>
        <v>0</v>
      </c>
      <c r="BL1237" s="387">
        <f t="shared" si="868"/>
        <v>0</v>
      </c>
      <c r="BM1237" s="387">
        <f t="shared" si="869"/>
        <v>0</v>
      </c>
      <c r="BN1237" s="387">
        <f t="shared" si="846"/>
        <v>0</v>
      </c>
      <c r="BO1237" s="387">
        <f t="shared" si="847"/>
        <v>0</v>
      </c>
      <c r="BP1237" s="387">
        <f t="shared" si="848"/>
        <v>0</v>
      </c>
      <c r="BQ1237" s="387">
        <f t="shared" si="849"/>
        <v>0</v>
      </c>
      <c r="BR1237" s="387">
        <f t="shared" si="850"/>
        <v>0</v>
      </c>
      <c r="BS1237" s="387">
        <f t="shared" si="851"/>
        <v>0</v>
      </c>
      <c r="BT1237" s="387">
        <f t="shared" si="852"/>
        <v>0</v>
      </c>
      <c r="BU1237" s="387">
        <f t="shared" si="853"/>
        <v>0</v>
      </c>
      <c r="BV1237" s="387">
        <f t="shared" si="854"/>
        <v>0</v>
      </c>
      <c r="BW1237" s="387">
        <f t="shared" si="855"/>
        <v>0</v>
      </c>
      <c r="BX1237" s="387">
        <f t="shared" si="870"/>
        <v>0</v>
      </c>
      <c r="BY1237" s="387">
        <f t="shared" si="871"/>
        <v>0</v>
      </c>
      <c r="BZ1237" s="387">
        <f t="shared" si="872"/>
        <v>0</v>
      </c>
      <c r="CA1237" s="387">
        <f t="shared" si="873"/>
        <v>0</v>
      </c>
      <c r="CB1237" s="387">
        <f t="shared" si="874"/>
        <v>0</v>
      </c>
      <c r="CC1237" s="387">
        <f t="shared" si="856"/>
        <v>0</v>
      </c>
      <c r="CD1237" s="387">
        <f t="shared" si="857"/>
        <v>0</v>
      </c>
      <c r="CE1237" s="387">
        <f t="shared" si="858"/>
        <v>0</v>
      </c>
      <c r="CF1237" s="387">
        <f t="shared" si="859"/>
        <v>0</v>
      </c>
      <c r="CG1237" s="387">
        <f t="shared" si="860"/>
        <v>0</v>
      </c>
      <c r="CH1237" s="387">
        <f t="shared" si="861"/>
        <v>0</v>
      </c>
      <c r="CI1237" s="387">
        <f t="shared" si="862"/>
        <v>0</v>
      </c>
      <c r="CJ1237" s="387">
        <f t="shared" si="875"/>
        <v>0</v>
      </c>
      <c r="CK1237" s="387" t="str">
        <f t="shared" si="876"/>
        <v/>
      </c>
      <c r="CL1237" s="387" t="str">
        <f t="shared" si="877"/>
        <v/>
      </c>
      <c r="CM1237" s="387" t="str">
        <f t="shared" si="878"/>
        <v/>
      </c>
      <c r="CN1237" s="387" t="str">
        <f t="shared" si="879"/>
        <v>0348-31</v>
      </c>
    </row>
    <row r="1238" spans="1:92" ht="15.75" thickBot="1" x14ac:dyDescent="0.3">
      <c r="A1238" s="376" t="s">
        <v>161</v>
      </c>
      <c r="B1238" s="376" t="s">
        <v>162</v>
      </c>
      <c r="C1238" s="376" t="s">
        <v>2487</v>
      </c>
      <c r="D1238" s="376" t="s">
        <v>862</v>
      </c>
      <c r="E1238" s="376" t="s">
        <v>224</v>
      </c>
      <c r="F1238" s="382" t="s">
        <v>225</v>
      </c>
      <c r="G1238" s="376" t="s">
        <v>1945</v>
      </c>
      <c r="H1238" s="378"/>
      <c r="I1238" s="378"/>
      <c r="J1238" s="376" t="s">
        <v>215</v>
      </c>
      <c r="K1238" s="376" t="s">
        <v>863</v>
      </c>
      <c r="L1238" s="376" t="s">
        <v>252</v>
      </c>
      <c r="M1238" s="376" t="s">
        <v>171</v>
      </c>
      <c r="N1238" s="376" t="s">
        <v>172</v>
      </c>
      <c r="O1238" s="379">
        <v>1</v>
      </c>
      <c r="P1238" s="385">
        <v>1</v>
      </c>
      <c r="Q1238" s="385">
        <v>1</v>
      </c>
      <c r="R1238" s="380">
        <v>80</v>
      </c>
      <c r="S1238" s="385">
        <v>1</v>
      </c>
      <c r="T1238" s="380">
        <v>44551.95</v>
      </c>
      <c r="U1238" s="380">
        <v>5835.28</v>
      </c>
      <c r="V1238" s="380">
        <v>22101.07</v>
      </c>
      <c r="W1238" s="380">
        <v>45822.400000000001</v>
      </c>
      <c r="X1238" s="380">
        <v>21559.05</v>
      </c>
      <c r="Y1238" s="380">
        <v>45822.400000000001</v>
      </c>
      <c r="Z1238" s="380">
        <v>21366.6</v>
      </c>
      <c r="AA1238" s="376" t="s">
        <v>2488</v>
      </c>
      <c r="AB1238" s="376" t="s">
        <v>2117</v>
      </c>
      <c r="AC1238" s="376" t="s">
        <v>2489</v>
      </c>
      <c r="AD1238" s="376" t="s">
        <v>198</v>
      </c>
      <c r="AE1238" s="376" t="s">
        <v>863</v>
      </c>
      <c r="AF1238" s="376" t="s">
        <v>393</v>
      </c>
      <c r="AG1238" s="376" t="s">
        <v>178</v>
      </c>
      <c r="AH1238" s="381">
        <v>22.03</v>
      </c>
      <c r="AI1238" s="379">
        <v>58770</v>
      </c>
      <c r="AJ1238" s="376" t="s">
        <v>179</v>
      </c>
      <c r="AK1238" s="376" t="s">
        <v>180</v>
      </c>
      <c r="AL1238" s="376" t="s">
        <v>181</v>
      </c>
      <c r="AM1238" s="376" t="s">
        <v>182</v>
      </c>
      <c r="AN1238" s="376" t="s">
        <v>68</v>
      </c>
      <c r="AO1238" s="379">
        <v>80</v>
      </c>
      <c r="AP1238" s="385">
        <v>1</v>
      </c>
      <c r="AQ1238" s="385">
        <v>1</v>
      </c>
      <c r="AR1238" s="383" t="s">
        <v>183</v>
      </c>
      <c r="AS1238" s="387">
        <f t="shared" si="863"/>
        <v>1</v>
      </c>
      <c r="AT1238">
        <f t="shared" si="864"/>
        <v>1</v>
      </c>
      <c r="AU1238" s="387">
        <f>IF(AT1238=0,"",IF(AND(AT1238=1,M1238="F",SUMIF(C2:C1334,C1238,AS2:AS1334)&lt;=1),SUMIF(C2:C1334,C1238,AS2:AS1334),IF(AND(AT1238=1,M1238="F",SUMIF(C2:C1334,C1238,AS2:AS1334)&gt;1),1,"")))</f>
        <v>1</v>
      </c>
      <c r="AV1238" s="387" t="str">
        <f>IF(AT1238=0,"",IF(AND(AT1238=3,M1238="F",SUMIF(C2:C1334,C1238,AS2:AS1334)&lt;=1),SUMIF(C2:C1334,C1238,AS2:AS1334),IF(AND(AT1238=3,M1238="F",SUMIF(C2:C1334,C1238,AS2:AS1334)&gt;1),1,"")))</f>
        <v/>
      </c>
      <c r="AW1238" s="387">
        <f>SUMIF(C2:C1334,C1238,O2:O1334)</f>
        <v>1</v>
      </c>
      <c r="AX1238" s="387">
        <f>IF(AND(M1238="F",AS1238&lt;&gt;0),SUMIF(C2:C1334,C1238,W2:W1334),0)</f>
        <v>45822.400000000001</v>
      </c>
      <c r="AY1238" s="387">
        <f t="shared" si="865"/>
        <v>45822.400000000001</v>
      </c>
      <c r="AZ1238" s="387" t="str">
        <f t="shared" si="866"/>
        <v/>
      </c>
      <c r="BA1238" s="387">
        <f t="shared" si="867"/>
        <v>0</v>
      </c>
      <c r="BB1238" s="387">
        <f t="shared" si="836"/>
        <v>11650</v>
      </c>
      <c r="BC1238" s="387">
        <f t="shared" si="837"/>
        <v>0</v>
      </c>
      <c r="BD1238" s="387">
        <f t="shared" si="838"/>
        <v>2840.9888000000001</v>
      </c>
      <c r="BE1238" s="387">
        <f t="shared" si="839"/>
        <v>664.4248</v>
      </c>
      <c r="BF1238" s="387">
        <f t="shared" si="840"/>
        <v>5471.1945600000008</v>
      </c>
      <c r="BG1238" s="387">
        <f t="shared" si="841"/>
        <v>330.379504</v>
      </c>
      <c r="BH1238" s="387">
        <f t="shared" si="842"/>
        <v>224.52976000000001</v>
      </c>
      <c r="BI1238" s="387">
        <f t="shared" si="843"/>
        <v>253.62698400000002</v>
      </c>
      <c r="BJ1238" s="387">
        <f t="shared" si="844"/>
        <v>123.72048000000001</v>
      </c>
      <c r="BK1238" s="387">
        <f t="shared" si="845"/>
        <v>0</v>
      </c>
      <c r="BL1238" s="387">
        <f t="shared" si="868"/>
        <v>9908.8648880000001</v>
      </c>
      <c r="BM1238" s="387">
        <f t="shared" si="869"/>
        <v>0</v>
      </c>
      <c r="BN1238" s="387">
        <f t="shared" si="846"/>
        <v>11650</v>
      </c>
      <c r="BO1238" s="387">
        <f t="shared" si="847"/>
        <v>0</v>
      </c>
      <c r="BP1238" s="387">
        <f t="shared" si="848"/>
        <v>2840.9888000000001</v>
      </c>
      <c r="BQ1238" s="387">
        <f t="shared" si="849"/>
        <v>664.4248</v>
      </c>
      <c r="BR1238" s="387">
        <f t="shared" si="850"/>
        <v>5471.1945600000008</v>
      </c>
      <c r="BS1238" s="387">
        <f t="shared" si="851"/>
        <v>330.379504</v>
      </c>
      <c r="BT1238" s="387">
        <f t="shared" si="852"/>
        <v>0</v>
      </c>
      <c r="BU1238" s="387">
        <f t="shared" si="853"/>
        <v>253.62698400000002</v>
      </c>
      <c r="BV1238" s="387">
        <f t="shared" si="854"/>
        <v>155.79615999999999</v>
      </c>
      <c r="BW1238" s="387">
        <f t="shared" si="855"/>
        <v>0</v>
      </c>
      <c r="BX1238" s="387">
        <f t="shared" si="870"/>
        <v>9716.4108080000005</v>
      </c>
      <c r="BY1238" s="387">
        <f t="shared" si="871"/>
        <v>0</v>
      </c>
      <c r="BZ1238" s="387">
        <f t="shared" si="872"/>
        <v>0</v>
      </c>
      <c r="CA1238" s="387">
        <f t="shared" si="873"/>
        <v>0</v>
      </c>
      <c r="CB1238" s="387">
        <f t="shared" si="874"/>
        <v>0</v>
      </c>
      <c r="CC1238" s="387">
        <f t="shared" si="856"/>
        <v>0</v>
      </c>
      <c r="CD1238" s="387">
        <f t="shared" si="857"/>
        <v>0</v>
      </c>
      <c r="CE1238" s="387">
        <f t="shared" si="858"/>
        <v>0</v>
      </c>
      <c r="CF1238" s="387">
        <f t="shared" si="859"/>
        <v>-224.52976000000001</v>
      </c>
      <c r="CG1238" s="387">
        <f t="shared" si="860"/>
        <v>0</v>
      </c>
      <c r="CH1238" s="387">
        <f t="shared" si="861"/>
        <v>32.075679999999984</v>
      </c>
      <c r="CI1238" s="387">
        <f t="shared" si="862"/>
        <v>0</v>
      </c>
      <c r="CJ1238" s="387">
        <f t="shared" si="875"/>
        <v>-192.45408000000003</v>
      </c>
      <c r="CK1238" s="387" t="str">
        <f t="shared" si="876"/>
        <v/>
      </c>
      <c r="CL1238" s="387" t="str">
        <f t="shared" si="877"/>
        <v/>
      </c>
      <c r="CM1238" s="387" t="str">
        <f t="shared" si="878"/>
        <v/>
      </c>
      <c r="CN1238" s="387" t="str">
        <f t="shared" si="879"/>
        <v>0348-31</v>
      </c>
    </row>
    <row r="1239" spans="1:92" ht="15.75" thickBot="1" x14ac:dyDescent="0.3">
      <c r="A1239" s="376" t="s">
        <v>161</v>
      </c>
      <c r="B1239" s="376" t="s">
        <v>162</v>
      </c>
      <c r="C1239" s="376" t="s">
        <v>1552</v>
      </c>
      <c r="D1239" s="376" t="s">
        <v>862</v>
      </c>
      <c r="E1239" s="376" t="s">
        <v>224</v>
      </c>
      <c r="F1239" s="382" t="s">
        <v>225</v>
      </c>
      <c r="G1239" s="376" t="s">
        <v>1945</v>
      </c>
      <c r="H1239" s="378"/>
      <c r="I1239" s="378"/>
      <c r="J1239" s="376" t="s">
        <v>239</v>
      </c>
      <c r="K1239" s="376" t="s">
        <v>863</v>
      </c>
      <c r="L1239" s="376" t="s">
        <v>252</v>
      </c>
      <c r="M1239" s="376" t="s">
        <v>171</v>
      </c>
      <c r="N1239" s="376" t="s">
        <v>172</v>
      </c>
      <c r="O1239" s="379">
        <v>1</v>
      </c>
      <c r="P1239" s="385">
        <v>0.25</v>
      </c>
      <c r="Q1239" s="385">
        <v>0.25</v>
      </c>
      <c r="R1239" s="380">
        <v>80</v>
      </c>
      <c r="S1239" s="385">
        <v>0.25</v>
      </c>
      <c r="T1239" s="380">
        <v>13382.21</v>
      </c>
      <c r="U1239" s="380">
        <v>3662</v>
      </c>
      <c r="V1239" s="380">
        <v>7948.68</v>
      </c>
      <c r="W1239" s="380">
        <v>9204</v>
      </c>
      <c r="X1239" s="380">
        <v>4902.8599999999997</v>
      </c>
      <c r="Y1239" s="380">
        <v>9204</v>
      </c>
      <c r="Z1239" s="380">
        <v>4864.2</v>
      </c>
      <c r="AA1239" s="376" t="s">
        <v>1553</v>
      </c>
      <c r="AB1239" s="376" t="s">
        <v>1554</v>
      </c>
      <c r="AC1239" s="376" t="s">
        <v>1555</v>
      </c>
      <c r="AD1239" s="376" t="s">
        <v>170</v>
      </c>
      <c r="AE1239" s="376" t="s">
        <v>863</v>
      </c>
      <c r="AF1239" s="376" t="s">
        <v>393</v>
      </c>
      <c r="AG1239" s="376" t="s">
        <v>178</v>
      </c>
      <c r="AH1239" s="381">
        <v>17.7</v>
      </c>
      <c r="AI1239" s="381">
        <v>9028.2000000000007</v>
      </c>
      <c r="AJ1239" s="376" t="s">
        <v>179</v>
      </c>
      <c r="AK1239" s="376" t="s">
        <v>180</v>
      </c>
      <c r="AL1239" s="376" t="s">
        <v>181</v>
      </c>
      <c r="AM1239" s="376" t="s">
        <v>182</v>
      </c>
      <c r="AN1239" s="376" t="s">
        <v>68</v>
      </c>
      <c r="AO1239" s="379">
        <v>80</v>
      </c>
      <c r="AP1239" s="385">
        <v>1</v>
      </c>
      <c r="AQ1239" s="385">
        <v>0.25</v>
      </c>
      <c r="AR1239" s="383" t="s">
        <v>183</v>
      </c>
      <c r="AS1239" s="387">
        <f t="shared" si="863"/>
        <v>0.25</v>
      </c>
      <c r="AT1239">
        <f t="shared" si="864"/>
        <v>1</v>
      </c>
      <c r="AU1239" s="387">
        <f>IF(AT1239=0,"",IF(AND(AT1239=1,M1239="F",SUMIF(C2:C1334,C1239,AS2:AS1334)&lt;=1),SUMIF(C2:C1334,C1239,AS2:AS1334),IF(AND(AT1239=1,M1239="F",SUMIF(C2:C1334,C1239,AS2:AS1334)&gt;1),1,"")))</f>
        <v>1</v>
      </c>
      <c r="AV1239" s="387" t="str">
        <f>IF(AT1239=0,"",IF(AND(AT1239=3,M1239="F",SUMIF(C2:C1334,C1239,AS2:AS1334)&lt;=1),SUMIF(C2:C1334,C1239,AS2:AS1334),IF(AND(AT1239=3,M1239="F",SUMIF(C2:C1334,C1239,AS2:AS1334)&gt;1),1,"")))</f>
        <v/>
      </c>
      <c r="AW1239" s="387">
        <f>SUMIF(C2:C1334,C1239,O2:O1334)</f>
        <v>3</v>
      </c>
      <c r="AX1239" s="387">
        <f>IF(AND(M1239="F",AS1239&lt;&gt;0),SUMIF(C2:C1334,C1239,W2:W1334),0)</f>
        <v>36816</v>
      </c>
      <c r="AY1239" s="387">
        <f t="shared" si="865"/>
        <v>9204</v>
      </c>
      <c r="AZ1239" s="387" t="str">
        <f t="shared" si="866"/>
        <v/>
      </c>
      <c r="BA1239" s="387">
        <f t="shared" si="867"/>
        <v>0</v>
      </c>
      <c r="BB1239" s="387">
        <f t="shared" si="836"/>
        <v>2912.5</v>
      </c>
      <c r="BC1239" s="387">
        <f t="shared" si="837"/>
        <v>0</v>
      </c>
      <c r="BD1239" s="387">
        <f t="shared" si="838"/>
        <v>570.64800000000002</v>
      </c>
      <c r="BE1239" s="387">
        <f t="shared" si="839"/>
        <v>133.458</v>
      </c>
      <c r="BF1239" s="387">
        <f t="shared" si="840"/>
        <v>1098.9576</v>
      </c>
      <c r="BG1239" s="387">
        <f t="shared" si="841"/>
        <v>66.360839999999996</v>
      </c>
      <c r="BH1239" s="387">
        <f t="shared" si="842"/>
        <v>45.099599999999995</v>
      </c>
      <c r="BI1239" s="387">
        <f t="shared" si="843"/>
        <v>50.944139999999997</v>
      </c>
      <c r="BJ1239" s="387">
        <f t="shared" si="844"/>
        <v>24.8508</v>
      </c>
      <c r="BK1239" s="387">
        <f t="shared" si="845"/>
        <v>0</v>
      </c>
      <c r="BL1239" s="387">
        <f t="shared" si="868"/>
        <v>1990.31898</v>
      </c>
      <c r="BM1239" s="387">
        <f t="shared" si="869"/>
        <v>0</v>
      </c>
      <c r="BN1239" s="387">
        <f t="shared" si="846"/>
        <v>2912.5</v>
      </c>
      <c r="BO1239" s="387">
        <f t="shared" si="847"/>
        <v>0</v>
      </c>
      <c r="BP1239" s="387">
        <f t="shared" si="848"/>
        <v>570.64800000000002</v>
      </c>
      <c r="BQ1239" s="387">
        <f t="shared" si="849"/>
        <v>133.458</v>
      </c>
      <c r="BR1239" s="387">
        <f t="shared" si="850"/>
        <v>1098.9576</v>
      </c>
      <c r="BS1239" s="387">
        <f t="shared" si="851"/>
        <v>66.360839999999996</v>
      </c>
      <c r="BT1239" s="387">
        <f t="shared" si="852"/>
        <v>0</v>
      </c>
      <c r="BU1239" s="387">
        <f t="shared" si="853"/>
        <v>50.944139999999997</v>
      </c>
      <c r="BV1239" s="387">
        <f t="shared" si="854"/>
        <v>31.293599999999998</v>
      </c>
      <c r="BW1239" s="387">
        <f t="shared" si="855"/>
        <v>0</v>
      </c>
      <c r="BX1239" s="387">
        <f t="shared" si="870"/>
        <v>1951.66218</v>
      </c>
      <c r="BY1239" s="387">
        <f t="shared" si="871"/>
        <v>0</v>
      </c>
      <c r="BZ1239" s="387">
        <f t="shared" si="872"/>
        <v>0</v>
      </c>
      <c r="CA1239" s="387">
        <f t="shared" si="873"/>
        <v>0</v>
      </c>
      <c r="CB1239" s="387">
        <f t="shared" si="874"/>
        <v>0</v>
      </c>
      <c r="CC1239" s="387">
        <f t="shared" si="856"/>
        <v>0</v>
      </c>
      <c r="CD1239" s="387">
        <f t="shared" si="857"/>
        <v>0</v>
      </c>
      <c r="CE1239" s="387">
        <f t="shared" si="858"/>
        <v>0</v>
      </c>
      <c r="CF1239" s="387">
        <f t="shared" si="859"/>
        <v>-45.099599999999995</v>
      </c>
      <c r="CG1239" s="387">
        <f t="shared" si="860"/>
        <v>0</v>
      </c>
      <c r="CH1239" s="387">
        <f t="shared" si="861"/>
        <v>6.4427999999999965</v>
      </c>
      <c r="CI1239" s="387">
        <f t="shared" si="862"/>
        <v>0</v>
      </c>
      <c r="CJ1239" s="387">
        <f t="shared" si="875"/>
        <v>-38.656799999999997</v>
      </c>
      <c r="CK1239" s="387" t="str">
        <f t="shared" si="876"/>
        <v/>
      </c>
      <c r="CL1239" s="387" t="str">
        <f t="shared" si="877"/>
        <v/>
      </c>
      <c r="CM1239" s="387" t="str">
        <f t="shared" si="878"/>
        <v/>
      </c>
      <c r="CN1239" s="387" t="str">
        <f t="shared" si="879"/>
        <v>0348-31</v>
      </c>
    </row>
    <row r="1240" spans="1:92" ht="15.75" thickBot="1" x14ac:dyDescent="0.3">
      <c r="A1240" s="376" t="s">
        <v>161</v>
      </c>
      <c r="B1240" s="376" t="s">
        <v>162</v>
      </c>
      <c r="C1240" s="376" t="s">
        <v>2490</v>
      </c>
      <c r="D1240" s="376" t="s">
        <v>270</v>
      </c>
      <c r="E1240" s="376" t="s">
        <v>224</v>
      </c>
      <c r="F1240" s="382" t="s">
        <v>225</v>
      </c>
      <c r="G1240" s="376" t="s">
        <v>1945</v>
      </c>
      <c r="H1240" s="378"/>
      <c r="I1240" s="378"/>
      <c r="J1240" s="376" t="s">
        <v>215</v>
      </c>
      <c r="K1240" s="376" t="s">
        <v>271</v>
      </c>
      <c r="L1240" s="376" t="s">
        <v>217</v>
      </c>
      <c r="M1240" s="376" t="s">
        <v>171</v>
      </c>
      <c r="N1240" s="376" t="s">
        <v>172</v>
      </c>
      <c r="O1240" s="379">
        <v>1</v>
      </c>
      <c r="P1240" s="385">
        <v>1</v>
      </c>
      <c r="Q1240" s="385">
        <v>1</v>
      </c>
      <c r="R1240" s="380">
        <v>80</v>
      </c>
      <c r="S1240" s="385">
        <v>1</v>
      </c>
      <c r="T1240" s="380">
        <v>34254.46</v>
      </c>
      <c r="U1240" s="380">
        <v>4566.54</v>
      </c>
      <c r="V1240" s="380">
        <v>19707.43</v>
      </c>
      <c r="W1240" s="380">
        <v>35214.400000000001</v>
      </c>
      <c r="X1240" s="380">
        <v>19265.07</v>
      </c>
      <c r="Y1240" s="380">
        <v>35214.400000000001</v>
      </c>
      <c r="Z1240" s="380">
        <v>19117.169999999998</v>
      </c>
      <c r="AA1240" s="376" t="s">
        <v>2491</v>
      </c>
      <c r="AB1240" s="376" t="s">
        <v>2492</v>
      </c>
      <c r="AC1240" s="376" t="s">
        <v>2493</v>
      </c>
      <c r="AD1240" s="376" t="s">
        <v>210</v>
      </c>
      <c r="AE1240" s="376" t="s">
        <v>271</v>
      </c>
      <c r="AF1240" s="376" t="s">
        <v>221</v>
      </c>
      <c r="AG1240" s="376" t="s">
        <v>178</v>
      </c>
      <c r="AH1240" s="381">
        <v>16.93</v>
      </c>
      <c r="AI1240" s="379">
        <v>48185</v>
      </c>
      <c r="AJ1240" s="376" t="s">
        <v>179</v>
      </c>
      <c r="AK1240" s="376" t="s">
        <v>180</v>
      </c>
      <c r="AL1240" s="376" t="s">
        <v>181</v>
      </c>
      <c r="AM1240" s="376" t="s">
        <v>182</v>
      </c>
      <c r="AN1240" s="376" t="s">
        <v>68</v>
      </c>
      <c r="AO1240" s="379">
        <v>80</v>
      </c>
      <c r="AP1240" s="385">
        <v>1</v>
      </c>
      <c r="AQ1240" s="385">
        <v>1</v>
      </c>
      <c r="AR1240" s="383" t="s">
        <v>183</v>
      </c>
      <c r="AS1240" s="387">
        <f t="shared" si="863"/>
        <v>1</v>
      </c>
      <c r="AT1240">
        <f t="shared" si="864"/>
        <v>1</v>
      </c>
      <c r="AU1240" s="387">
        <f>IF(AT1240=0,"",IF(AND(AT1240=1,M1240="F",SUMIF(C2:C1334,C1240,AS2:AS1334)&lt;=1),SUMIF(C2:C1334,C1240,AS2:AS1334),IF(AND(AT1240=1,M1240="F",SUMIF(C2:C1334,C1240,AS2:AS1334)&gt;1),1,"")))</f>
        <v>1</v>
      </c>
      <c r="AV1240" s="387" t="str">
        <f>IF(AT1240=0,"",IF(AND(AT1240=3,M1240="F",SUMIF(C2:C1334,C1240,AS2:AS1334)&lt;=1),SUMIF(C2:C1334,C1240,AS2:AS1334),IF(AND(AT1240=3,M1240="F",SUMIF(C2:C1334,C1240,AS2:AS1334)&gt;1),1,"")))</f>
        <v/>
      </c>
      <c r="AW1240" s="387">
        <f>SUMIF(C2:C1334,C1240,O2:O1334)</f>
        <v>1</v>
      </c>
      <c r="AX1240" s="387">
        <f>IF(AND(M1240="F",AS1240&lt;&gt;0),SUMIF(C2:C1334,C1240,W2:W1334),0)</f>
        <v>35214.400000000001</v>
      </c>
      <c r="AY1240" s="387">
        <f t="shared" si="865"/>
        <v>35214.400000000001</v>
      </c>
      <c r="AZ1240" s="387" t="str">
        <f t="shared" si="866"/>
        <v/>
      </c>
      <c r="BA1240" s="387">
        <f t="shared" si="867"/>
        <v>0</v>
      </c>
      <c r="BB1240" s="387">
        <f t="shared" si="836"/>
        <v>11650</v>
      </c>
      <c r="BC1240" s="387">
        <f t="shared" si="837"/>
        <v>0</v>
      </c>
      <c r="BD1240" s="387">
        <f t="shared" si="838"/>
        <v>2183.2928000000002</v>
      </c>
      <c r="BE1240" s="387">
        <f t="shared" si="839"/>
        <v>510.60880000000003</v>
      </c>
      <c r="BF1240" s="387">
        <f t="shared" si="840"/>
        <v>4204.5993600000002</v>
      </c>
      <c r="BG1240" s="387">
        <f t="shared" si="841"/>
        <v>253.89582400000003</v>
      </c>
      <c r="BH1240" s="387">
        <f t="shared" si="842"/>
        <v>172.55055999999999</v>
      </c>
      <c r="BI1240" s="387">
        <f t="shared" si="843"/>
        <v>194.91170400000001</v>
      </c>
      <c r="BJ1240" s="387">
        <f t="shared" si="844"/>
        <v>95.078880000000012</v>
      </c>
      <c r="BK1240" s="387">
        <f t="shared" si="845"/>
        <v>0</v>
      </c>
      <c r="BL1240" s="387">
        <f t="shared" si="868"/>
        <v>7614.9379280000003</v>
      </c>
      <c r="BM1240" s="387">
        <f t="shared" si="869"/>
        <v>0</v>
      </c>
      <c r="BN1240" s="387">
        <f t="shared" si="846"/>
        <v>11650</v>
      </c>
      <c r="BO1240" s="387">
        <f t="shared" si="847"/>
        <v>0</v>
      </c>
      <c r="BP1240" s="387">
        <f t="shared" si="848"/>
        <v>2183.2928000000002</v>
      </c>
      <c r="BQ1240" s="387">
        <f t="shared" si="849"/>
        <v>510.60880000000003</v>
      </c>
      <c r="BR1240" s="387">
        <f t="shared" si="850"/>
        <v>4204.5993600000002</v>
      </c>
      <c r="BS1240" s="387">
        <f t="shared" si="851"/>
        <v>253.89582400000003</v>
      </c>
      <c r="BT1240" s="387">
        <f t="shared" si="852"/>
        <v>0</v>
      </c>
      <c r="BU1240" s="387">
        <f t="shared" si="853"/>
        <v>194.91170400000001</v>
      </c>
      <c r="BV1240" s="387">
        <f t="shared" si="854"/>
        <v>119.72896</v>
      </c>
      <c r="BW1240" s="387">
        <f t="shared" si="855"/>
        <v>0</v>
      </c>
      <c r="BX1240" s="387">
        <f t="shared" si="870"/>
        <v>7467.0374480000009</v>
      </c>
      <c r="BY1240" s="387">
        <f t="shared" si="871"/>
        <v>0</v>
      </c>
      <c r="BZ1240" s="387">
        <f t="shared" si="872"/>
        <v>0</v>
      </c>
      <c r="CA1240" s="387">
        <f t="shared" si="873"/>
        <v>0</v>
      </c>
      <c r="CB1240" s="387">
        <f t="shared" si="874"/>
        <v>0</v>
      </c>
      <c r="CC1240" s="387">
        <f t="shared" si="856"/>
        <v>0</v>
      </c>
      <c r="CD1240" s="387">
        <f t="shared" si="857"/>
        <v>0</v>
      </c>
      <c r="CE1240" s="387">
        <f t="shared" si="858"/>
        <v>0</v>
      </c>
      <c r="CF1240" s="387">
        <f t="shared" si="859"/>
        <v>-172.55055999999999</v>
      </c>
      <c r="CG1240" s="387">
        <f t="shared" si="860"/>
        <v>0</v>
      </c>
      <c r="CH1240" s="387">
        <f t="shared" si="861"/>
        <v>24.650079999999988</v>
      </c>
      <c r="CI1240" s="387">
        <f t="shared" si="862"/>
        <v>0</v>
      </c>
      <c r="CJ1240" s="387">
        <f t="shared" si="875"/>
        <v>-147.90048000000002</v>
      </c>
      <c r="CK1240" s="387" t="str">
        <f t="shared" si="876"/>
        <v/>
      </c>
      <c r="CL1240" s="387" t="str">
        <f t="shared" si="877"/>
        <v/>
      </c>
      <c r="CM1240" s="387" t="str">
        <f t="shared" si="878"/>
        <v/>
      </c>
      <c r="CN1240" s="387" t="str">
        <f t="shared" si="879"/>
        <v>0348-31</v>
      </c>
    </row>
    <row r="1241" spans="1:92" ht="15.75" thickBot="1" x14ac:dyDescent="0.3">
      <c r="A1241" s="376" t="s">
        <v>161</v>
      </c>
      <c r="B1241" s="376" t="s">
        <v>162</v>
      </c>
      <c r="C1241" s="376" t="s">
        <v>1669</v>
      </c>
      <c r="D1241" s="376" t="s">
        <v>868</v>
      </c>
      <c r="E1241" s="376" t="s">
        <v>224</v>
      </c>
      <c r="F1241" s="382" t="s">
        <v>225</v>
      </c>
      <c r="G1241" s="376" t="s">
        <v>1945</v>
      </c>
      <c r="H1241" s="378"/>
      <c r="I1241" s="378"/>
      <c r="J1241" s="376" t="s">
        <v>215</v>
      </c>
      <c r="K1241" s="376" t="s">
        <v>869</v>
      </c>
      <c r="L1241" s="376" t="s">
        <v>296</v>
      </c>
      <c r="M1241" s="376" t="s">
        <v>171</v>
      </c>
      <c r="N1241" s="376" t="s">
        <v>172</v>
      </c>
      <c r="O1241" s="379">
        <v>1</v>
      </c>
      <c r="P1241" s="385">
        <v>1</v>
      </c>
      <c r="Q1241" s="385">
        <v>1</v>
      </c>
      <c r="R1241" s="380">
        <v>80</v>
      </c>
      <c r="S1241" s="385">
        <v>1</v>
      </c>
      <c r="T1241" s="380">
        <v>0</v>
      </c>
      <c r="U1241" s="380">
        <v>0</v>
      </c>
      <c r="V1241" s="380">
        <v>0</v>
      </c>
      <c r="W1241" s="380">
        <v>51376</v>
      </c>
      <c r="X1241" s="380">
        <v>22760.04</v>
      </c>
      <c r="Y1241" s="380">
        <v>51376</v>
      </c>
      <c r="Z1241" s="380">
        <v>22544.26</v>
      </c>
      <c r="AA1241" s="376" t="s">
        <v>1670</v>
      </c>
      <c r="AB1241" s="376" t="s">
        <v>1671</v>
      </c>
      <c r="AC1241" s="376" t="s">
        <v>716</v>
      </c>
      <c r="AD1241" s="376" t="s">
        <v>292</v>
      </c>
      <c r="AE1241" s="376" t="s">
        <v>869</v>
      </c>
      <c r="AF1241" s="376" t="s">
        <v>301</v>
      </c>
      <c r="AG1241" s="376" t="s">
        <v>178</v>
      </c>
      <c r="AH1241" s="381">
        <v>24.7</v>
      </c>
      <c r="AI1241" s="381">
        <v>20156.3</v>
      </c>
      <c r="AJ1241" s="376" t="s">
        <v>179</v>
      </c>
      <c r="AK1241" s="376" t="s">
        <v>180</v>
      </c>
      <c r="AL1241" s="376" t="s">
        <v>181</v>
      </c>
      <c r="AM1241" s="376" t="s">
        <v>182</v>
      </c>
      <c r="AN1241" s="376" t="s">
        <v>68</v>
      </c>
      <c r="AO1241" s="379">
        <v>80</v>
      </c>
      <c r="AP1241" s="385">
        <v>1</v>
      </c>
      <c r="AQ1241" s="385">
        <v>1</v>
      </c>
      <c r="AR1241" s="383" t="s">
        <v>183</v>
      </c>
      <c r="AS1241" s="387">
        <f t="shared" si="863"/>
        <v>1</v>
      </c>
      <c r="AT1241">
        <f t="shared" si="864"/>
        <v>1</v>
      </c>
      <c r="AU1241" s="387">
        <f>IF(AT1241=0,"",IF(AND(AT1241=1,M1241="F",SUMIF(C2:C1334,C1241,AS2:AS1334)&lt;=1),SUMIF(C2:C1334,C1241,AS2:AS1334),IF(AND(AT1241=1,M1241="F",SUMIF(C2:C1334,C1241,AS2:AS1334)&gt;1),1,"")))</f>
        <v>1</v>
      </c>
      <c r="AV1241" s="387" t="str">
        <f>IF(AT1241=0,"",IF(AND(AT1241=3,M1241="F",SUMIF(C2:C1334,C1241,AS2:AS1334)&lt;=1),SUMIF(C2:C1334,C1241,AS2:AS1334),IF(AND(AT1241=3,M1241="F",SUMIF(C2:C1334,C1241,AS2:AS1334)&gt;1),1,"")))</f>
        <v/>
      </c>
      <c r="AW1241" s="387">
        <f>SUMIF(C2:C1334,C1241,O2:O1334)</f>
        <v>2</v>
      </c>
      <c r="AX1241" s="387">
        <f>IF(AND(M1241="F",AS1241&lt;&gt;0),SUMIF(C2:C1334,C1241,W2:W1334),0)</f>
        <v>51376</v>
      </c>
      <c r="AY1241" s="387">
        <f t="shared" si="865"/>
        <v>51376</v>
      </c>
      <c r="AZ1241" s="387" t="str">
        <f t="shared" si="866"/>
        <v/>
      </c>
      <c r="BA1241" s="387">
        <f t="shared" si="867"/>
        <v>0</v>
      </c>
      <c r="BB1241" s="387">
        <f t="shared" si="836"/>
        <v>11650</v>
      </c>
      <c r="BC1241" s="387">
        <f t="shared" si="837"/>
        <v>0</v>
      </c>
      <c r="BD1241" s="387">
        <f t="shared" si="838"/>
        <v>3185.3119999999999</v>
      </c>
      <c r="BE1241" s="387">
        <f t="shared" si="839"/>
        <v>744.952</v>
      </c>
      <c r="BF1241" s="387">
        <f t="shared" si="840"/>
        <v>6134.2944000000007</v>
      </c>
      <c r="BG1241" s="387">
        <f t="shared" si="841"/>
        <v>370.42096000000004</v>
      </c>
      <c r="BH1241" s="387">
        <f t="shared" si="842"/>
        <v>251.7424</v>
      </c>
      <c r="BI1241" s="387">
        <f t="shared" si="843"/>
        <v>284.36615999999998</v>
      </c>
      <c r="BJ1241" s="387">
        <f t="shared" si="844"/>
        <v>138.71520000000001</v>
      </c>
      <c r="BK1241" s="387">
        <f t="shared" si="845"/>
        <v>0</v>
      </c>
      <c r="BL1241" s="387">
        <f t="shared" si="868"/>
        <v>11109.80312</v>
      </c>
      <c r="BM1241" s="387">
        <f t="shared" si="869"/>
        <v>0</v>
      </c>
      <c r="BN1241" s="387">
        <f t="shared" si="846"/>
        <v>11650</v>
      </c>
      <c r="BO1241" s="387">
        <f t="shared" si="847"/>
        <v>0</v>
      </c>
      <c r="BP1241" s="387">
        <f t="shared" si="848"/>
        <v>3185.3119999999999</v>
      </c>
      <c r="BQ1241" s="387">
        <f t="shared" si="849"/>
        <v>744.952</v>
      </c>
      <c r="BR1241" s="387">
        <f t="shared" si="850"/>
        <v>6134.2944000000007</v>
      </c>
      <c r="BS1241" s="387">
        <f t="shared" si="851"/>
        <v>370.42096000000004</v>
      </c>
      <c r="BT1241" s="387">
        <f t="shared" si="852"/>
        <v>0</v>
      </c>
      <c r="BU1241" s="387">
        <f t="shared" si="853"/>
        <v>284.36615999999998</v>
      </c>
      <c r="BV1241" s="387">
        <f t="shared" si="854"/>
        <v>174.67839999999998</v>
      </c>
      <c r="BW1241" s="387">
        <f t="shared" si="855"/>
        <v>0</v>
      </c>
      <c r="BX1241" s="387">
        <f t="shared" si="870"/>
        <v>10894.023920000001</v>
      </c>
      <c r="BY1241" s="387">
        <f t="shared" si="871"/>
        <v>0</v>
      </c>
      <c r="BZ1241" s="387">
        <f t="shared" si="872"/>
        <v>0</v>
      </c>
      <c r="CA1241" s="387">
        <f t="shared" si="873"/>
        <v>0</v>
      </c>
      <c r="CB1241" s="387">
        <f t="shared" si="874"/>
        <v>0</v>
      </c>
      <c r="CC1241" s="387">
        <f t="shared" si="856"/>
        <v>0</v>
      </c>
      <c r="CD1241" s="387">
        <f t="shared" si="857"/>
        <v>0</v>
      </c>
      <c r="CE1241" s="387">
        <f t="shared" si="858"/>
        <v>0</v>
      </c>
      <c r="CF1241" s="387">
        <f t="shared" si="859"/>
        <v>-251.7424</v>
      </c>
      <c r="CG1241" s="387">
        <f t="shared" si="860"/>
        <v>0</v>
      </c>
      <c r="CH1241" s="387">
        <f t="shared" si="861"/>
        <v>35.963199999999986</v>
      </c>
      <c r="CI1241" s="387">
        <f t="shared" si="862"/>
        <v>0</v>
      </c>
      <c r="CJ1241" s="387">
        <f t="shared" si="875"/>
        <v>-215.7792</v>
      </c>
      <c r="CK1241" s="387" t="str">
        <f t="shared" si="876"/>
        <v/>
      </c>
      <c r="CL1241" s="387" t="str">
        <f t="shared" si="877"/>
        <v/>
      </c>
      <c r="CM1241" s="387" t="str">
        <f t="shared" si="878"/>
        <v/>
      </c>
      <c r="CN1241" s="387" t="str">
        <f t="shared" si="879"/>
        <v>0348-31</v>
      </c>
    </row>
    <row r="1242" spans="1:92" ht="15.75" thickBot="1" x14ac:dyDescent="0.3">
      <c r="A1242" s="376" t="s">
        <v>161</v>
      </c>
      <c r="B1242" s="376" t="s">
        <v>162</v>
      </c>
      <c r="C1242" s="376" t="s">
        <v>1807</v>
      </c>
      <c r="D1242" s="376" t="s">
        <v>247</v>
      </c>
      <c r="E1242" s="376" t="s">
        <v>224</v>
      </c>
      <c r="F1242" s="382" t="s">
        <v>225</v>
      </c>
      <c r="G1242" s="376" t="s">
        <v>1945</v>
      </c>
      <c r="H1242" s="378"/>
      <c r="I1242" s="378"/>
      <c r="J1242" s="376" t="s">
        <v>215</v>
      </c>
      <c r="K1242" s="376" t="s">
        <v>248</v>
      </c>
      <c r="L1242" s="376" t="s">
        <v>178</v>
      </c>
      <c r="M1242" s="376" t="s">
        <v>272</v>
      </c>
      <c r="N1242" s="376" t="s">
        <v>172</v>
      </c>
      <c r="O1242" s="379">
        <v>0</v>
      </c>
      <c r="P1242" s="385">
        <v>1</v>
      </c>
      <c r="Q1242" s="385">
        <v>1</v>
      </c>
      <c r="R1242" s="380">
        <v>80</v>
      </c>
      <c r="S1242" s="385">
        <v>1</v>
      </c>
      <c r="T1242" s="380">
        <v>5158.72</v>
      </c>
      <c r="U1242" s="380">
        <v>223.73</v>
      </c>
      <c r="V1242" s="380">
        <v>4514.67</v>
      </c>
      <c r="W1242" s="380">
        <v>32094.400000000001</v>
      </c>
      <c r="X1242" s="380">
        <v>14057.34</v>
      </c>
      <c r="Y1242" s="380">
        <v>32094.400000000001</v>
      </c>
      <c r="Z1242" s="380">
        <v>13896.87</v>
      </c>
      <c r="AA1242" s="378"/>
      <c r="AB1242" s="376" t="s">
        <v>45</v>
      </c>
      <c r="AC1242" s="376" t="s">
        <v>45</v>
      </c>
      <c r="AD1242" s="378"/>
      <c r="AE1242" s="378"/>
      <c r="AF1242" s="378"/>
      <c r="AG1242" s="378"/>
      <c r="AH1242" s="379">
        <v>0</v>
      </c>
      <c r="AI1242" s="379">
        <v>0</v>
      </c>
      <c r="AJ1242" s="378"/>
      <c r="AK1242" s="378"/>
      <c r="AL1242" s="376" t="s">
        <v>181</v>
      </c>
      <c r="AM1242" s="378"/>
      <c r="AN1242" s="378"/>
      <c r="AO1242" s="379">
        <v>0</v>
      </c>
      <c r="AP1242" s="385">
        <v>0</v>
      </c>
      <c r="AQ1242" s="385">
        <v>0</v>
      </c>
      <c r="AR1242" s="384"/>
      <c r="AS1242" s="387">
        <f t="shared" si="863"/>
        <v>0</v>
      </c>
      <c r="AT1242">
        <f t="shared" si="864"/>
        <v>0</v>
      </c>
      <c r="AU1242" s="387" t="str">
        <f>IF(AT1242=0,"",IF(AND(AT1242=1,M1242="F",SUMIF(C2:C1334,C1242,AS2:AS1334)&lt;=1),SUMIF(C2:C1334,C1242,AS2:AS1334),IF(AND(AT1242=1,M1242="F",SUMIF(C2:C1334,C1242,AS2:AS1334)&gt;1),1,"")))</f>
        <v/>
      </c>
      <c r="AV1242" s="387" t="str">
        <f>IF(AT1242=0,"",IF(AND(AT1242=3,M1242="F",SUMIF(C2:C1334,C1242,AS2:AS1334)&lt;=1),SUMIF(C2:C1334,C1242,AS2:AS1334),IF(AND(AT1242=3,M1242="F",SUMIF(C2:C1334,C1242,AS2:AS1334)&gt;1),1,"")))</f>
        <v/>
      </c>
      <c r="AW1242" s="387">
        <f>SUMIF(C2:C1334,C1242,O2:O1334)</f>
        <v>0</v>
      </c>
      <c r="AX1242" s="387">
        <f>IF(AND(M1242="F",AS1242&lt;&gt;0),SUMIF(C2:C1334,C1242,W2:W1334),0)</f>
        <v>0</v>
      </c>
      <c r="AY1242" s="387" t="str">
        <f t="shared" si="865"/>
        <v/>
      </c>
      <c r="AZ1242" s="387" t="str">
        <f t="shared" si="866"/>
        <v/>
      </c>
      <c r="BA1242" s="387">
        <f t="shared" si="867"/>
        <v>0</v>
      </c>
      <c r="BB1242" s="387">
        <f t="shared" si="836"/>
        <v>0</v>
      </c>
      <c r="BC1242" s="387">
        <f t="shared" si="837"/>
        <v>0</v>
      </c>
      <c r="BD1242" s="387">
        <f t="shared" si="838"/>
        <v>0</v>
      </c>
      <c r="BE1242" s="387">
        <f t="shared" si="839"/>
        <v>0</v>
      </c>
      <c r="BF1242" s="387">
        <f t="shared" si="840"/>
        <v>0</v>
      </c>
      <c r="BG1242" s="387">
        <f t="shared" si="841"/>
        <v>0</v>
      </c>
      <c r="BH1242" s="387">
        <f t="shared" si="842"/>
        <v>0</v>
      </c>
      <c r="BI1242" s="387">
        <f t="shared" si="843"/>
        <v>0</v>
      </c>
      <c r="BJ1242" s="387">
        <f t="shared" si="844"/>
        <v>0</v>
      </c>
      <c r="BK1242" s="387">
        <f t="shared" si="845"/>
        <v>0</v>
      </c>
      <c r="BL1242" s="387">
        <f t="shared" si="868"/>
        <v>0</v>
      </c>
      <c r="BM1242" s="387">
        <f t="shared" si="869"/>
        <v>0</v>
      </c>
      <c r="BN1242" s="387">
        <f t="shared" si="846"/>
        <v>0</v>
      </c>
      <c r="BO1242" s="387">
        <f t="shared" si="847"/>
        <v>0</v>
      </c>
      <c r="BP1242" s="387">
        <f t="shared" si="848"/>
        <v>0</v>
      </c>
      <c r="BQ1242" s="387">
        <f t="shared" si="849"/>
        <v>0</v>
      </c>
      <c r="BR1242" s="387">
        <f t="shared" si="850"/>
        <v>0</v>
      </c>
      <c r="BS1242" s="387">
        <f t="shared" si="851"/>
        <v>0</v>
      </c>
      <c r="BT1242" s="387">
        <f t="shared" si="852"/>
        <v>0</v>
      </c>
      <c r="BU1242" s="387">
        <f t="shared" si="853"/>
        <v>0</v>
      </c>
      <c r="BV1242" s="387">
        <f t="shared" si="854"/>
        <v>0</v>
      </c>
      <c r="BW1242" s="387">
        <f t="shared" si="855"/>
        <v>0</v>
      </c>
      <c r="BX1242" s="387">
        <f t="shared" si="870"/>
        <v>0</v>
      </c>
      <c r="BY1242" s="387">
        <f t="shared" si="871"/>
        <v>0</v>
      </c>
      <c r="BZ1242" s="387">
        <f t="shared" si="872"/>
        <v>0</v>
      </c>
      <c r="CA1242" s="387">
        <f t="shared" si="873"/>
        <v>0</v>
      </c>
      <c r="CB1242" s="387">
        <f t="shared" si="874"/>
        <v>0</v>
      </c>
      <c r="CC1242" s="387">
        <f t="shared" si="856"/>
        <v>0</v>
      </c>
      <c r="CD1242" s="387">
        <f t="shared" si="857"/>
        <v>0</v>
      </c>
      <c r="CE1242" s="387">
        <f t="shared" si="858"/>
        <v>0</v>
      </c>
      <c r="CF1242" s="387">
        <f t="shared" si="859"/>
        <v>0</v>
      </c>
      <c r="CG1242" s="387">
        <f t="shared" si="860"/>
        <v>0</v>
      </c>
      <c r="CH1242" s="387">
        <f t="shared" si="861"/>
        <v>0</v>
      </c>
      <c r="CI1242" s="387">
        <f t="shared" si="862"/>
        <v>0</v>
      </c>
      <c r="CJ1242" s="387">
        <f t="shared" si="875"/>
        <v>0</v>
      </c>
      <c r="CK1242" s="387" t="str">
        <f t="shared" si="876"/>
        <v/>
      </c>
      <c r="CL1242" s="387" t="str">
        <f t="shared" si="877"/>
        <v/>
      </c>
      <c r="CM1242" s="387" t="str">
        <f t="shared" si="878"/>
        <v/>
      </c>
      <c r="CN1242" s="387" t="str">
        <f t="shared" si="879"/>
        <v>0348-31</v>
      </c>
    </row>
    <row r="1243" spans="1:92" ht="15.75" thickBot="1" x14ac:dyDescent="0.3">
      <c r="A1243" s="376" t="s">
        <v>161</v>
      </c>
      <c r="B1243" s="376" t="s">
        <v>162</v>
      </c>
      <c r="C1243" s="376" t="s">
        <v>2494</v>
      </c>
      <c r="D1243" s="376" t="s">
        <v>974</v>
      </c>
      <c r="E1243" s="376" t="s">
        <v>224</v>
      </c>
      <c r="F1243" s="382" t="s">
        <v>225</v>
      </c>
      <c r="G1243" s="376" t="s">
        <v>1945</v>
      </c>
      <c r="H1243" s="378"/>
      <c r="I1243" s="378"/>
      <c r="J1243" s="376" t="s">
        <v>215</v>
      </c>
      <c r="K1243" s="376" t="s">
        <v>975</v>
      </c>
      <c r="L1243" s="376" t="s">
        <v>296</v>
      </c>
      <c r="M1243" s="376" t="s">
        <v>171</v>
      </c>
      <c r="N1243" s="376" t="s">
        <v>172</v>
      </c>
      <c r="O1243" s="379">
        <v>1</v>
      </c>
      <c r="P1243" s="385">
        <v>1</v>
      </c>
      <c r="Q1243" s="385">
        <v>1</v>
      </c>
      <c r="R1243" s="380">
        <v>80</v>
      </c>
      <c r="S1243" s="385">
        <v>1</v>
      </c>
      <c r="T1243" s="380">
        <v>44820.67</v>
      </c>
      <c r="U1243" s="380">
        <v>3286.04</v>
      </c>
      <c r="V1243" s="380">
        <v>21544.19</v>
      </c>
      <c r="W1243" s="380">
        <v>51833.599999999999</v>
      </c>
      <c r="X1243" s="380">
        <v>22858.99</v>
      </c>
      <c r="Y1243" s="380">
        <v>51833.599999999999</v>
      </c>
      <c r="Z1243" s="380">
        <v>22641.29</v>
      </c>
      <c r="AA1243" s="376" t="s">
        <v>2495</v>
      </c>
      <c r="AB1243" s="376" t="s">
        <v>2496</v>
      </c>
      <c r="AC1243" s="376" t="s">
        <v>2497</v>
      </c>
      <c r="AD1243" s="376" t="s">
        <v>419</v>
      </c>
      <c r="AE1243" s="376" t="s">
        <v>975</v>
      </c>
      <c r="AF1243" s="376" t="s">
        <v>301</v>
      </c>
      <c r="AG1243" s="376" t="s">
        <v>178</v>
      </c>
      <c r="AH1243" s="381">
        <v>24.92</v>
      </c>
      <c r="AI1243" s="381">
        <v>28888.9</v>
      </c>
      <c r="AJ1243" s="376" t="s">
        <v>179</v>
      </c>
      <c r="AK1243" s="376" t="s">
        <v>180</v>
      </c>
      <c r="AL1243" s="376" t="s">
        <v>181</v>
      </c>
      <c r="AM1243" s="376" t="s">
        <v>182</v>
      </c>
      <c r="AN1243" s="376" t="s">
        <v>68</v>
      </c>
      <c r="AO1243" s="379">
        <v>80</v>
      </c>
      <c r="AP1243" s="385">
        <v>1</v>
      </c>
      <c r="AQ1243" s="385">
        <v>1</v>
      </c>
      <c r="AR1243" s="383" t="s">
        <v>183</v>
      </c>
      <c r="AS1243" s="387">
        <f t="shared" si="863"/>
        <v>1</v>
      </c>
      <c r="AT1243">
        <f t="shared" si="864"/>
        <v>1</v>
      </c>
      <c r="AU1243" s="387">
        <f>IF(AT1243=0,"",IF(AND(AT1243=1,M1243="F",SUMIF(C2:C1334,C1243,AS2:AS1334)&lt;=1),SUMIF(C2:C1334,C1243,AS2:AS1334),IF(AND(AT1243=1,M1243="F",SUMIF(C2:C1334,C1243,AS2:AS1334)&gt;1),1,"")))</f>
        <v>1</v>
      </c>
      <c r="AV1243" s="387" t="str">
        <f>IF(AT1243=0,"",IF(AND(AT1243=3,M1243="F",SUMIF(C2:C1334,C1243,AS2:AS1334)&lt;=1),SUMIF(C2:C1334,C1243,AS2:AS1334),IF(AND(AT1243=3,M1243="F",SUMIF(C2:C1334,C1243,AS2:AS1334)&gt;1),1,"")))</f>
        <v/>
      </c>
      <c r="AW1243" s="387">
        <f>SUMIF(C2:C1334,C1243,O2:O1334)</f>
        <v>1</v>
      </c>
      <c r="AX1243" s="387">
        <f>IF(AND(M1243="F",AS1243&lt;&gt;0),SUMIF(C2:C1334,C1243,W2:W1334),0)</f>
        <v>51833.599999999999</v>
      </c>
      <c r="AY1243" s="387">
        <f t="shared" si="865"/>
        <v>51833.599999999999</v>
      </c>
      <c r="AZ1243" s="387" t="str">
        <f t="shared" si="866"/>
        <v/>
      </c>
      <c r="BA1243" s="387">
        <f t="shared" si="867"/>
        <v>0</v>
      </c>
      <c r="BB1243" s="387">
        <f t="shared" si="836"/>
        <v>11650</v>
      </c>
      <c r="BC1243" s="387">
        <f t="shared" si="837"/>
        <v>0</v>
      </c>
      <c r="BD1243" s="387">
        <f t="shared" si="838"/>
        <v>3213.6831999999999</v>
      </c>
      <c r="BE1243" s="387">
        <f t="shared" si="839"/>
        <v>751.58720000000005</v>
      </c>
      <c r="BF1243" s="387">
        <f t="shared" si="840"/>
        <v>6188.9318400000002</v>
      </c>
      <c r="BG1243" s="387">
        <f t="shared" si="841"/>
        <v>373.72025600000001</v>
      </c>
      <c r="BH1243" s="387">
        <f t="shared" si="842"/>
        <v>253.98463999999998</v>
      </c>
      <c r="BI1243" s="387">
        <f t="shared" si="843"/>
        <v>286.898976</v>
      </c>
      <c r="BJ1243" s="387">
        <f t="shared" si="844"/>
        <v>139.95071999999999</v>
      </c>
      <c r="BK1243" s="387">
        <f t="shared" si="845"/>
        <v>0</v>
      </c>
      <c r="BL1243" s="387">
        <f t="shared" si="868"/>
        <v>11208.756832000003</v>
      </c>
      <c r="BM1243" s="387">
        <f t="shared" si="869"/>
        <v>0</v>
      </c>
      <c r="BN1243" s="387">
        <f t="shared" si="846"/>
        <v>11650</v>
      </c>
      <c r="BO1243" s="387">
        <f t="shared" si="847"/>
        <v>0</v>
      </c>
      <c r="BP1243" s="387">
        <f t="shared" si="848"/>
        <v>3213.6831999999999</v>
      </c>
      <c r="BQ1243" s="387">
        <f t="shared" si="849"/>
        <v>751.58720000000005</v>
      </c>
      <c r="BR1243" s="387">
        <f t="shared" si="850"/>
        <v>6188.9318400000002</v>
      </c>
      <c r="BS1243" s="387">
        <f t="shared" si="851"/>
        <v>373.72025600000001</v>
      </c>
      <c r="BT1243" s="387">
        <f t="shared" si="852"/>
        <v>0</v>
      </c>
      <c r="BU1243" s="387">
        <f t="shared" si="853"/>
        <v>286.898976</v>
      </c>
      <c r="BV1243" s="387">
        <f t="shared" si="854"/>
        <v>176.23423999999997</v>
      </c>
      <c r="BW1243" s="387">
        <f t="shared" si="855"/>
        <v>0</v>
      </c>
      <c r="BX1243" s="387">
        <f t="shared" si="870"/>
        <v>10991.055712000001</v>
      </c>
      <c r="BY1243" s="387">
        <f t="shared" si="871"/>
        <v>0</v>
      </c>
      <c r="BZ1243" s="387">
        <f t="shared" si="872"/>
        <v>0</v>
      </c>
      <c r="CA1243" s="387">
        <f t="shared" si="873"/>
        <v>0</v>
      </c>
      <c r="CB1243" s="387">
        <f t="shared" si="874"/>
        <v>0</v>
      </c>
      <c r="CC1243" s="387">
        <f t="shared" si="856"/>
        <v>0</v>
      </c>
      <c r="CD1243" s="387">
        <f t="shared" si="857"/>
        <v>0</v>
      </c>
      <c r="CE1243" s="387">
        <f t="shared" si="858"/>
        <v>0</v>
      </c>
      <c r="CF1243" s="387">
        <f t="shared" si="859"/>
        <v>-253.98463999999998</v>
      </c>
      <c r="CG1243" s="387">
        <f t="shared" si="860"/>
        <v>0</v>
      </c>
      <c r="CH1243" s="387">
        <f t="shared" si="861"/>
        <v>36.283519999999982</v>
      </c>
      <c r="CI1243" s="387">
        <f t="shared" si="862"/>
        <v>0</v>
      </c>
      <c r="CJ1243" s="387">
        <f t="shared" si="875"/>
        <v>-217.70112</v>
      </c>
      <c r="CK1243" s="387" t="str">
        <f t="shared" si="876"/>
        <v/>
      </c>
      <c r="CL1243" s="387" t="str">
        <f t="shared" si="877"/>
        <v/>
      </c>
      <c r="CM1243" s="387" t="str">
        <f t="shared" si="878"/>
        <v/>
      </c>
      <c r="CN1243" s="387" t="str">
        <f t="shared" si="879"/>
        <v>0348-31</v>
      </c>
    </row>
    <row r="1244" spans="1:92" ht="15.75" thickBot="1" x14ac:dyDescent="0.3">
      <c r="A1244" s="376" t="s">
        <v>161</v>
      </c>
      <c r="B1244" s="376" t="s">
        <v>162</v>
      </c>
      <c r="C1244" s="376" t="s">
        <v>2498</v>
      </c>
      <c r="D1244" s="376" t="s">
        <v>270</v>
      </c>
      <c r="E1244" s="376" t="s">
        <v>224</v>
      </c>
      <c r="F1244" s="382" t="s">
        <v>225</v>
      </c>
      <c r="G1244" s="376" t="s">
        <v>1945</v>
      </c>
      <c r="H1244" s="378"/>
      <c r="I1244" s="378"/>
      <c r="J1244" s="376" t="s">
        <v>215</v>
      </c>
      <c r="K1244" s="376" t="s">
        <v>271</v>
      </c>
      <c r="L1244" s="376" t="s">
        <v>217</v>
      </c>
      <c r="M1244" s="376" t="s">
        <v>171</v>
      </c>
      <c r="N1244" s="376" t="s">
        <v>172</v>
      </c>
      <c r="O1244" s="379">
        <v>1</v>
      </c>
      <c r="P1244" s="385">
        <v>1</v>
      </c>
      <c r="Q1244" s="385">
        <v>1</v>
      </c>
      <c r="R1244" s="380">
        <v>80</v>
      </c>
      <c r="S1244" s="385">
        <v>1</v>
      </c>
      <c r="T1244" s="380">
        <v>22779.33</v>
      </c>
      <c r="U1244" s="380">
        <v>2645.07</v>
      </c>
      <c r="V1244" s="380">
        <v>13395.71</v>
      </c>
      <c r="W1244" s="380">
        <v>34382.400000000001</v>
      </c>
      <c r="X1244" s="380">
        <v>19085.150000000001</v>
      </c>
      <c r="Y1244" s="380">
        <v>34382.400000000001</v>
      </c>
      <c r="Z1244" s="380">
        <v>18940.75</v>
      </c>
      <c r="AA1244" s="376" t="s">
        <v>2499</v>
      </c>
      <c r="AB1244" s="376" t="s">
        <v>2500</v>
      </c>
      <c r="AC1244" s="376" t="s">
        <v>775</v>
      </c>
      <c r="AD1244" s="376" t="s">
        <v>324</v>
      </c>
      <c r="AE1244" s="376" t="s">
        <v>271</v>
      </c>
      <c r="AF1244" s="376" t="s">
        <v>221</v>
      </c>
      <c r="AG1244" s="376" t="s">
        <v>178</v>
      </c>
      <c r="AH1244" s="381">
        <v>16.53</v>
      </c>
      <c r="AI1244" s="379">
        <v>2089</v>
      </c>
      <c r="AJ1244" s="376" t="s">
        <v>179</v>
      </c>
      <c r="AK1244" s="376" t="s">
        <v>180</v>
      </c>
      <c r="AL1244" s="376" t="s">
        <v>181</v>
      </c>
      <c r="AM1244" s="376" t="s">
        <v>182</v>
      </c>
      <c r="AN1244" s="376" t="s">
        <v>68</v>
      </c>
      <c r="AO1244" s="379">
        <v>80</v>
      </c>
      <c r="AP1244" s="385">
        <v>1</v>
      </c>
      <c r="AQ1244" s="385">
        <v>1</v>
      </c>
      <c r="AR1244" s="383" t="s">
        <v>183</v>
      </c>
      <c r="AS1244" s="387">
        <f t="shared" si="863"/>
        <v>1</v>
      </c>
      <c r="AT1244">
        <f t="shared" si="864"/>
        <v>1</v>
      </c>
      <c r="AU1244" s="387">
        <f>IF(AT1244=0,"",IF(AND(AT1244=1,M1244="F",SUMIF(C2:C1334,C1244,AS2:AS1334)&lt;=1),SUMIF(C2:C1334,C1244,AS2:AS1334),IF(AND(AT1244=1,M1244="F",SUMIF(C2:C1334,C1244,AS2:AS1334)&gt;1),1,"")))</f>
        <v>1</v>
      </c>
      <c r="AV1244" s="387" t="str">
        <f>IF(AT1244=0,"",IF(AND(AT1244=3,M1244="F",SUMIF(C2:C1334,C1244,AS2:AS1334)&lt;=1),SUMIF(C2:C1334,C1244,AS2:AS1334),IF(AND(AT1244=3,M1244="F",SUMIF(C2:C1334,C1244,AS2:AS1334)&gt;1),1,"")))</f>
        <v/>
      </c>
      <c r="AW1244" s="387">
        <f>SUMIF(C2:C1334,C1244,O2:O1334)</f>
        <v>1</v>
      </c>
      <c r="AX1244" s="387">
        <f>IF(AND(M1244="F",AS1244&lt;&gt;0),SUMIF(C2:C1334,C1244,W2:W1334),0)</f>
        <v>34382.400000000001</v>
      </c>
      <c r="AY1244" s="387">
        <f t="shared" si="865"/>
        <v>34382.400000000001</v>
      </c>
      <c r="AZ1244" s="387" t="str">
        <f t="shared" si="866"/>
        <v/>
      </c>
      <c r="BA1244" s="387">
        <f t="shared" si="867"/>
        <v>0</v>
      </c>
      <c r="BB1244" s="387">
        <f t="shared" si="836"/>
        <v>11650</v>
      </c>
      <c r="BC1244" s="387">
        <f t="shared" si="837"/>
        <v>0</v>
      </c>
      <c r="BD1244" s="387">
        <f t="shared" si="838"/>
        <v>2131.7087999999999</v>
      </c>
      <c r="BE1244" s="387">
        <f t="shared" si="839"/>
        <v>498.54480000000007</v>
      </c>
      <c r="BF1244" s="387">
        <f t="shared" si="840"/>
        <v>4105.2585600000002</v>
      </c>
      <c r="BG1244" s="387">
        <f t="shared" si="841"/>
        <v>247.89710400000001</v>
      </c>
      <c r="BH1244" s="387">
        <f t="shared" si="842"/>
        <v>168.47376</v>
      </c>
      <c r="BI1244" s="387">
        <f t="shared" si="843"/>
        <v>190.30658400000002</v>
      </c>
      <c r="BJ1244" s="387">
        <f t="shared" si="844"/>
        <v>92.832480000000004</v>
      </c>
      <c r="BK1244" s="387">
        <f t="shared" si="845"/>
        <v>0</v>
      </c>
      <c r="BL1244" s="387">
        <f t="shared" si="868"/>
        <v>7435.0220879999997</v>
      </c>
      <c r="BM1244" s="387">
        <f t="shared" si="869"/>
        <v>0</v>
      </c>
      <c r="BN1244" s="387">
        <f t="shared" si="846"/>
        <v>11650</v>
      </c>
      <c r="BO1244" s="387">
        <f t="shared" si="847"/>
        <v>0</v>
      </c>
      <c r="BP1244" s="387">
        <f t="shared" si="848"/>
        <v>2131.7087999999999</v>
      </c>
      <c r="BQ1244" s="387">
        <f t="shared" si="849"/>
        <v>498.54480000000007</v>
      </c>
      <c r="BR1244" s="387">
        <f t="shared" si="850"/>
        <v>4105.2585600000002</v>
      </c>
      <c r="BS1244" s="387">
        <f t="shared" si="851"/>
        <v>247.89710400000001</v>
      </c>
      <c r="BT1244" s="387">
        <f t="shared" si="852"/>
        <v>0</v>
      </c>
      <c r="BU1244" s="387">
        <f t="shared" si="853"/>
        <v>190.30658400000002</v>
      </c>
      <c r="BV1244" s="387">
        <f t="shared" si="854"/>
        <v>116.90016</v>
      </c>
      <c r="BW1244" s="387">
        <f t="shared" si="855"/>
        <v>0</v>
      </c>
      <c r="BX1244" s="387">
        <f t="shared" si="870"/>
        <v>7290.616008</v>
      </c>
      <c r="BY1244" s="387">
        <f t="shared" si="871"/>
        <v>0</v>
      </c>
      <c r="BZ1244" s="387">
        <f t="shared" si="872"/>
        <v>0</v>
      </c>
      <c r="CA1244" s="387">
        <f t="shared" si="873"/>
        <v>0</v>
      </c>
      <c r="CB1244" s="387">
        <f t="shared" si="874"/>
        <v>0</v>
      </c>
      <c r="CC1244" s="387">
        <f t="shared" si="856"/>
        <v>0</v>
      </c>
      <c r="CD1244" s="387">
        <f t="shared" si="857"/>
        <v>0</v>
      </c>
      <c r="CE1244" s="387">
        <f t="shared" si="858"/>
        <v>0</v>
      </c>
      <c r="CF1244" s="387">
        <f t="shared" si="859"/>
        <v>-168.47376</v>
      </c>
      <c r="CG1244" s="387">
        <f t="shared" si="860"/>
        <v>0</v>
      </c>
      <c r="CH1244" s="387">
        <f t="shared" si="861"/>
        <v>24.067679999999989</v>
      </c>
      <c r="CI1244" s="387">
        <f t="shared" si="862"/>
        <v>0</v>
      </c>
      <c r="CJ1244" s="387">
        <f t="shared" si="875"/>
        <v>-144.40608</v>
      </c>
      <c r="CK1244" s="387" t="str">
        <f t="shared" si="876"/>
        <v/>
      </c>
      <c r="CL1244" s="387" t="str">
        <f t="shared" si="877"/>
        <v/>
      </c>
      <c r="CM1244" s="387" t="str">
        <f t="shared" si="878"/>
        <v/>
      </c>
      <c r="CN1244" s="387" t="str">
        <f t="shared" si="879"/>
        <v>0348-31</v>
      </c>
    </row>
    <row r="1245" spans="1:92" ht="15.75" thickBot="1" x14ac:dyDescent="0.3">
      <c r="A1245" s="376" t="s">
        <v>161</v>
      </c>
      <c r="B1245" s="376" t="s">
        <v>162</v>
      </c>
      <c r="C1245" s="376" t="s">
        <v>1676</v>
      </c>
      <c r="D1245" s="376" t="s">
        <v>868</v>
      </c>
      <c r="E1245" s="376" t="s">
        <v>224</v>
      </c>
      <c r="F1245" s="382" t="s">
        <v>225</v>
      </c>
      <c r="G1245" s="376" t="s">
        <v>1945</v>
      </c>
      <c r="H1245" s="378"/>
      <c r="I1245" s="378"/>
      <c r="J1245" s="376" t="s">
        <v>215</v>
      </c>
      <c r="K1245" s="376" t="s">
        <v>869</v>
      </c>
      <c r="L1245" s="376" t="s">
        <v>296</v>
      </c>
      <c r="M1245" s="376" t="s">
        <v>171</v>
      </c>
      <c r="N1245" s="376" t="s">
        <v>172</v>
      </c>
      <c r="O1245" s="379">
        <v>1</v>
      </c>
      <c r="P1245" s="385">
        <v>1</v>
      </c>
      <c r="Q1245" s="385">
        <v>1</v>
      </c>
      <c r="R1245" s="380">
        <v>80</v>
      </c>
      <c r="S1245" s="385">
        <v>1</v>
      </c>
      <c r="T1245" s="380">
        <v>0</v>
      </c>
      <c r="U1245" s="380">
        <v>0</v>
      </c>
      <c r="V1245" s="380">
        <v>0</v>
      </c>
      <c r="W1245" s="380">
        <v>42848</v>
      </c>
      <c r="X1245" s="380">
        <v>20915.84</v>
      </c>
      <c r="Y1245" s="380">
        <v>42848</v>
      </c>
      <c r="Z1245" s="380">
        <v>20735.89</v>
      </c>
      <c r="AA1245" s="376" t="s">
        <v>1677</v>
      </c>
      <c r="AB1245" s="376" t="s">
        <v>831</v>
      </c>
      <c r="AC1245" s="376" t="s">
        <v>418</v>
      </c>
      <c r="AD1245" s="376" t="s">
        <v>577</v>
      </c>
      <c r="AE1245" s="376" t="s">
        <v>873</v>
      </c>
      <c r="AF1245" s="376" t="s">
        <v>393</v>
      </c>
      <c r="AG1245" s="376" t="s">
        <v>178</v>
      </c>
      <c r="AH1245" s="381">
        <v>20.6</v>
      </c>
      <c r="AI1245" s="379">
        <v>320</v>
      </c>
      <c r="AJ1245" s="376" t="s">
        <v>179</v>
      </c>
      <c r="AK1245" s="376" t="s">
        <v>180</v>
      </c>
      <c r="AL1245" s="376" t="s">
        <v>181</v>
      </c>
      <c r="AM1245" s="376" t="s">
        <v>182</v>
      </c>
      <c r="AN1245" s="376" t="s">
        <v>68</v>
      </c>
      <c r="AO1245" s="379">
        <v>80</v>
      </c>
      <c r="AP1245" s="385">
        <v>1</v>
      </c>
      <c r="AQ1245" s="385">
        <v>1</v>
      </c>
      <c r="AR1245" s="383">
        <v>3</v>
      </c>
      <c r="AS1245" s="387">
        <f t="shared" si="863"/>
        <v>1</v>
      </c>
      <c r="AT1245">
        <f t="shared" si="864"/>
        <v>1</v>
      </c>
      <c r="AU1245" s="387">
        <f>IF(AT1245=0,"",IF(AND(AT1245=1,M1245="F",SUMIF(C2:C1334,C1245,AS2:AS1334)&lt;=1),SUMIF(C2:C1334,C1245,AS2:AS1334),IF(AND(AT1245=1,M1245="F",SUMIF(C2:C1334,C1245,AS2:AS1334)&gt;1),1,"")))</f>
        <v>1</v>
      </c>
      <c r="AV1245" s="387" t="str">
        <f>IF(AT1245=0,"",IF(AND(AT1245=3,M1245="F",SUMIF(C2:C1334,C1245,AS2:AS1334)&lt;=1),SUMIF(C2:C1334,C1245,AS2:AS1334),IF(AND(AT1245=3,M1245="F",SUMIF(C2:C1334,C1245,AS2:AS1334)&gt;1),1,"")))</f>
        <v/>
      </c>
      <c r="AW1245" s="387">
        <f>SUMIF(C2:C1334,C1245,O2:O1334)</f>
        <v>2</v>
      </c>
      <c r="AX1245" s="387">
        <f>IF(AND(M1245="F",AS1245&lt;&gt;0),SUMIF(C2:C1334,C1245,W2:W1334),0)</f>
        <v>42848</v>
      </c>
      <c r="AY1245" s="387">
        <f t="shared" si="865"/>
        <v>42848</v>
      </c>
      <c r="AZ1245" s="387" t="str">
        <f t="shared" si="866"/>
        <v/>
      </c>
      <c r="BA1245" s="387">
        <f t="shared" si="867"/>
        <v>0</v>
      </c>
      <c r="BB1245" s="387">
        <f t="shared" si="836"/>
        <v>11650</v>
      </c>
      <c r="BC1245" s="387">
        <f t="shared" si="837"/>
        <v>0</v>
      </c>
      <c r="BD1245" s="387">
        <f t="shared" si="838"/>
        <v>2656.576</v>
      </c>
      <c r="BE1245" s="387">
        <f t="shared" si="839"/>
        <v>621.29600000000005</v>
      </c>
      <c r="BF1245" s="387">
        <f t="shared" si="840"/>
        <v>5116.0511999999999</v>
      </c>
      <c r="BG1245" s="387">
        <f t="shared" si="841"/>
        <v>308.93407999999999</v>
      </c>
      <c r="BH1245" s="387">
        <f t="shared" si="842"/>
        <v>209.95519999999999</v>
      </c>
      <c r="BI1245" s="387">
        <f t="shared" si="843"/>
        <v>237.16368</v>
      </c>
      <c r="BJ1245" s="387">
        <f t="shared" si="844"/>
        <v>115.68960000000001</v>
      </c>
      <c r="BK1245" s="387">
        <f t="shared" si="845"/>
        <v>0</v>
      </c>
      <c r="BL1245" s="387">
        <f t="shared" si="868"/>
        <v>9265.6657599999999</v>
      </c>
      <c r="BM1245" s="387">
        <f t="shared" si="869"/>
        <v>0</v>
      </c>
      <c r="BN1245" s="387">
        <f t="shared" si="846"/>
        <v>11650</v>
      </c>
      <c r="BO1245" s="387">
        <f t="shared" si="847"/>
        <v>0</v>
      </c>
      <c r="BP1245" s="387">
        <f t="shared" si="848"/>
        <v>2656.576</v>
      </c>
      <c r="BQ1245" s="387">
        <f t="shared" si="849"/>
        <v>621.29600000000005</v>
      </c>
      <c r="BR1245" s="387">
        <f t="shared" si="850"/>
        <v>5116.0511999999999</v>
      </c>
      <c r="BS1245" s="387">
        <f t="shared" si="851"/>
        <v>308.93407999999999</v>
      </c>
      <c r="BT1245" s="387">
        <f t="shared" si="852"/>
        <v>0</v>
      </c>
      <c r="BU1245" s="387">
        <f t="shared" si="853"/>
        <v>237.16368</v>
      </c>
      <c r="BV1245" s="387">
        <f t="shared" si="854"/>
        <v>145.6832</v>
      </c>
      <c r="BW1245" s="387">
        <f t="shared" si="855"/>
        <v>0</v>
      </c>
      <c r="BX1245" s="387">
        <f t="shared" si="870"/>
        <v>9085.7041599999993</v>
      </c>
      <c r="BY1245" s="387">
        <f t="shared" si="871"/>
        <v>0</v>
      </c>
      <c r="BZ1245" s="387">
        <f t="shared" si="872"/>
        <v>0</v>
      </c>
      <c r="CA1245" s="387">
        <f t="shared" si="873"/>
        <v>0</v>
      </c>
      <c r="CB1245" s="387">
        <f t="shared" si="874"/>
        <v>0</v>
      </c>
      <c r="CC1245" s="387">
        <f t="shared" si="856"/>
        <v>0</v>
      </c>
      <c r="CD1245" s="387">
        <f t="shared" si="857"/>
        <v>0</v>
      </c>
      <c r="CE1245" s="387">
        <f t="shared" si="858"/>
        <v>0</v>
      </c>
      <c r="CF1245" s="387">
        <f t="shared" si="859"/>
        <v>-209.95519999999999</v>
      </c>
      <c r="CG1245" s="387">
        <f t="shared" si="860"/>
        <v>0</v>
      </c>
      <c r="CH1245" s="387">
        <f t="shared" si="861"/>
        <v>29.993599999999986</v>
      </c>
      <c r="CI1245" s="387">
        <f t="shared" si="862"/>
        <v>0</v>
      </c>
      <c r="CJ1245" s="387">
        <f t="shared" si="875"/>
        <v>-179.9616</v>
      </c>
      <c r="CK1245" s="387" t="str">
        <f t="shared" si="876"/>
        <v/>
      </c>
      <c r="CL1245" s="387" t="str">
        <f t="shared" si="877"/>
        <v/>
      </c>
      <c r="CM1245" s="387" t="str">
        <f t="shared" si="878"/>
        <v/>
      </c>
      <c r="CN1245" s="387" t="str">
        <f t="shared" si="879"/>
        <v>0348-31</v>
      </c>
    </row>
    <row r="1246" spans="1:92" ht="15.75" thickBot="1" x14ac:dyDescent="0.3">
      <c r="A1246" s="376" t="s">
        <v>161</v>
      </c>
      <c r="B1246" s="376" t="s">
        <v>162</v>
      </c>
      <c r="C1246" s="376" t="s">
        <v>1821</v>
      </c>
      <c r="D1246" s="376" t="s">
        <v>375</v>
      </c>
      <c r="E1246" s="376" t="s">
        <v>224</v>
      </c>
      <c r="F1246" s="382" t="s">
        <v>225</v>
      </c>
      <c r="G1246" s="376" t="s">
        <v>1945</v>
      </c>
      <c r="H1246" s="378"/>
      <c r="I1246" s="378"/>
      <c r="J1246" s="376" t="s">
        <v>215</v>
      </c>
      <c r="K1246" s="376" t="s">
        <v>376</v>
      </c>
      <c r="L1246" s="376" t="s">
        <v>178</v>
      </c>
      <c r="M1246" s="376" t="s">
        <v>272</v>
      </c>
      <c r="N1246" s="376" t="s">
        <v>172</v>
      </c>
      <c r="O1246" s="379">
        <v>0</v>
      </c>
      <c r="P1246" s="385">
        <v>1</v>
      </c>
      <c r="Q1246" s="385">
        <v>1</v>
      </c>
      <c r="R1246" s="380">
        <v>80</v>
      </c>
      <c r="S1246" s="385">
        <v>1</v>
      </c>
      <c r="T1246" s="380">
        <v>23589.439999999999</v>
      </c>
      <c r="U1246" s="380">
        <v>0</v>
      </c>
      <c r="V1246" s="380">
        <v>13249.03</v>
      </c>
      <c r="W1246" s="380">
        <v>32094.400000000001</v>
      </c>
      <c r="X1246" s="380">
        <v>14057.34</v>
      </c>
      <c r="Y1246" s="380">
        <v>32094.400000000001</v>
      </c>
      <c r="Z1246" s="380">
        <v>13896.87</v>
      </c>
      <c r="AA1246" s="378"/>
      <c r="AB1246" s="376" t="s">
        <v>45</v>
      </c>
      <c r="AC1246" s="376" t="s">
        <v>45</v>
      </c>
      <c r="AD1246" s="378"/>
      <c r="AE1246" s="378"/>
      <c r="AF1246" s="378"/>
      <c r="AG1246" s="378"/>
      <c r="AH1246" s="379">
        <v>0</v>
      </c>
      <c r="AI1246" s="379">
        <v>0</v>
      </c>
      <c r="AJ1246" s="378"/>
      <c r="AK1246" s="378"/>
      <c r="AL1246" s="376" t="s">
        <v>181</v>
      </c>
      <c r="AM1246" s="378"/>
      <c r="AN1246" s="378"/>
      <c r="AO1246" s="379">
        <v>0</v>
      </c>
      <c r="AP1246" s="385">
        <v>0</v>
      </c>
      <c r="AQ1246" s="385">
        <v>0</v>
      </c>
      <c r="AR1246" s="384"/>
      <c r="AS1246" s="387">
        <f t="shared" si="863"/>
        <v>0</v>
      </c>
      <c r="AT1246">
        <f t="shared" si="864"/>
        <v>0</v>
      </c>
      <c r="AU1246" s="387" t="str">
        <f>IF(AT1246=0,"",IF(AND(AT1246=1,M1246="F",SUMIF(C2:C1334,C1246,AS2:AS1334)&lt;=1),SUMIF(C2:C1334,C1246,AS2:AS1334),IF(AND(AT1246=1,M1246="F",SUMIF(C2:C1334,C1246,AS2:AS1334)&gt;1),1,"")))</f>
        <v/>
      </c>
      <c r="AV1246" s="387" t="str">
        <f>IF(AT1246=0,"",IF(AND(AT1246=3,M1246="F",SUMIF(C2:C1334,C1246,AS2:AS1334)&lt;=1),SUMIF(C2:C1334,C1246,AS2:AS1334),IF(AND(AT1246=3,M1246="F",SUMIF(C2:C1334,C1246,AS2:AS1334)&gt;1),1,"")))</f>
        <v/>
      </c>
      <c r="AW1246" s="387">
        <f>SUMIF(C2:C1334,C1246,O2:O1334)</f>
        <v>0</v>
      </c>
      <c r="AX1246" s="387">
        <f>IF(AND(M1246="F",AS1246&lt;&gt;0),SUMIF(C2:C1334,C1246,W2:W1334),0)</f>
        <v>0</v>
      </c>
      <c r="AY1246" s="387" t="str">
        <f t="shared" si="865"/>
        <v/>
      </c>
      <c r="AZ1246" s="387" t="str">
        <f t="shared" si="866"/>
        <v/>
      </c>
      <c r="BA1246" s="387">
        <f t="shared" si="867"/>
        <v>0</v>
      </c>
      <c r="BB1246" s="387">
        <f t="shared" si="836"/>
        <v>0</v>
      </c>
      <c r="BC1246" s="387">
        <f t="shared" si="837"/>
        <v>0</v>
      </c>
      <c r="BD1246" s="387">
        <f t="shared" si="838"/>
        <v>0</v>
      </c>
      <c r="BE1246" s="387">
        <f t="shared" si="839"/>
        <v>0</v>
      </c>
      <c r="BF1246" s="387">
        <f t="shared" si="840"/>
        <v>0</v>
      </c>
      <c r="BG1246" s="387">
        <f t="shared" si="841"/>
        <v>0</v>
      </c>
      <c r="BH1246" s="387">
        <f t="shared" si="842"/>
        <v>0</v>
      </c>
      <c r="BI1246" s="387">
        <f t="shared" si="843"/>
        <v>0</v>
      </c>
      <c r="BJ1246" s="387">
        <f t="shared" si="844"/>
        <v>0</v>
      </c>
      <c r="BK1246" s="387">
        <f t="shared" si="845"/>
        <v>0</v>
      </c>
      <c r="BL1246" s="387">
        <f t="shared" si="868"/>
        <v>0</v>
      </c>
      <c r="BM1246" s="387">
        <f t="shared" si="869"/>
        <v>0</v>
      </c>
      <c r="BN1246" s="387">
        <f t="shared" si="846"/>
        <v>0</v>
      </c>
      <c r="BO1246" s="387">
        <f t="shared" si="847"/>
        <v>0</v>
      </c>
      <c r="BP1246" s="387">
        <f t="shared" si="848"/>
        <v>0</v>
      </c>
      <c r="BQ1246" s="387">
        <f t="shared" si="849"/>
        <v>0</v>
      </c>
      <c r="BR1246" s="387">
        <f t="shared" si="850"/>
        <v>0</v>
      </c>
      <c r="BS1246" s="387">
        <f t="shared" si="851"/>
        <v>0</v>
      </c>
      <c r="BT1246" s="387">
        <f t="shared" si="852"/>
        <v>0</v>
      </c>
      <c r="BU1246" s="387">
        <f t="shared" si="853"/>
        <v>0</v>
      </c>
      <c r="BV1246" s="387">
        <f t="shared" si="854"/>
        <v>0</v>
      </c>
      <c r="BW1246" s="387">
        <f t="shared" si="855"/>
        <v>0</v>
      </c>
      <c r="BX1246" s="387">
        <f t="shared" si="870"/>
        <v>0</v>
      </c>
      <c r="BY1246" s="387">
        <f t="shared" si="871"/>
        <v>0</v>
      </c>
      <c r="BZ1246" s="387">
        <f t="shared" si="872"/>
        <v>0</v>
      </c>
      <c r="CA1246" s="387">
        <f t="shared" si="873"/>
        <v>0</v>
      </c>
      <c r="CB1246" s="387">
        <f t="shared" si="874"/>
        <v>0</v>
      </c>
      <c r="CC1246" s="387">
        <f t="shared" si="856"/>
        <v>0</v>
      </c>
      <c r="CD1246" s="387">
        <f t="shared" si="857"/>
        <v>0</v>
      </c>
      <c r="CE1246" s="387">
        <f t="shared" si="858"/>
        <v>0</v>
      </c>
      <c r="CF1246" s="387">
        <f t="shared" si="859"/>
        <v>0</v>
      </c>
      <c r="CG1246" s="387">
        <f t="shared" si="860"/>
        <v>0</v>
      </c>
      <c r="CH1246" s="387">
        <f t="shared" si="861"/>
        <v>0</v>
      </c>
      <c r="CI1246" s="387">
        <f t="shared" si="862"/>
        <v>0</v>
      </c>
      <c r="CJ1246" s="387">
        <f t="shared" si="875"/>
        <v>0</v>
      </c>
      <c r="CK1246" s="387" t="str">
        <f t="shared" si="876"/>
        <v/>
      </c>
      <c r="CL1246" s="387" t="str">
        <f t="shared" si="877"/>
        <v/>
      </c>
      <c r="CM1246" s="387" t="str">
        <f t="shared" si="878"/>
        <v/>
      </c>
      <c r="CN1246" s="387" t="str">
        <f t="shared" si="879"/>
        <v>0348-31</v>
      </c>
    </row>
    <row r="1247" spans="1:92" ht="15.75" thickBot="1" x14ac:dyDescent="0.3">
      <c r="A1247" s="376" t="s">
        <v>161</v>
      </c>
      <c r="B1247" s="376" t="s">
        <v>162</v>
      </c>
      <c r="C1247" s="376" t="s">
        <v>1663</v>
      </c>
      <c r="D1247" s="376" t="s">
        <v>792</v>
      </c>
      <c r="E1247" s="376" t="s">
        <v>224</v>
      </c>
      <c r="F1247" s="382" t="s">
        <v>225</v>
      </c>
      <c r="G1247" s="376" t="s">
        <v>1945</v>
      </c>
      <c r="H1247" s="378"/>
      <c r="I1247" s="378"/>
      <c r="J1247" s="376" t="s">
        <v>239</v>
      </c>
      <c r="K1247" s="376" t="s">
        <v>793</v>
      </c>
      <c r="L1247" s="376" t="s">
        <v>170</v>
      </c>
      <c r="M1247" s="376" t="s">
        <v>171</v>
      </c>
      <c r="N1247" s="376" t="s">
        <v>172</v>
      </c>
      <c r="O1247" s="379">
        <v>1</v>
      </c>
      <c r="P1247" s="385">
        <v>0.35</v>
      </c>
      <c r="Q1247" s="385">
        <v>0.35</v>
      </c>
      <c r="R1247" s="380">
        <v>80</v>
      </c>
      <c r="S1247" s="385">
        <v>0.35</v>
      </c>
      <c r="T1247" s="380">
        <v>4151.42</v>
      </c>
      <c r="U1247" s="380">
        <v>0</v>
      </c>
      <c r="V1247" s="380">
        <v>1812.49</v>
      </c>
      <c r="W1247" s="380">
        <v>17042.48</v>
      </c>
      <c r="X1247" s="380">
        <v>7762.92</v>
      </c>
      <c r="Y1247" s="380">
        <v>17042.48</v>
      </c>
      <c r="Z1247" s="380">
        <v>7691.34</v>
      </c>
      <c r="AA1247" s="376" t="s">
        <v>1664</v>
      </c>
      <c r="AB1247" s="376" t="s">
        <v>1665</v>
      </c>
      <c r="AC1247" s="376" t="s">
        <v>587</v>
      </c>
      <c r="AD1247" s="376" t="s">
        <v>324</v>
      </c>
      <c r="AE1247" s="376" t="s">
        <v>793</v>
      </c>
      <c r="AF1247" s="376" t="s">
        <v>177</v>
      </c>
      <c r="AG1247" s="376" t="s">
        <v>178</v>
      </c>
      <c r="AH1247" s="381">
        <v>23.41</v>
      </c>
      <c r="AI1247" s="379">
        <v>25167</v>
      </c>
      <c r="AJ1247" s="376" t="s">
        <v>179</v>
      </c>
      <c r="AK1247" s="376" t="s">
        <v>180</v>
      </c>
      <c r="AL1247" s="376" t="s">
        <v>181</v>
      </c>
      <c r="AM1247" s="376" t="s">
        <v>182</v>
      </c>
      <c r="AN1247" s="376" t="s">
        <v>68</v>
      </c>
      <c r="AO1247" s="379">
        <v>80</v>
      </c>
      <c r="AP1247" s="385">
        <v>1</v>
      </c>
      <c r="AQ1247" s="385">
        <v>0.35</v>
      </c>
      <c r="AR1247" s="383" t="s">
        <v>183</v>
      </c>
      <c r="AS1247" s="387">
        <f t="shared" si="863"/>
        <v>0.35</v>
      </c>
      <c r="AT1247">
        <f t="shared" si="864"/>
        <v>1</v>
      </c>
      <c r="AU1247" s="387">
        <f>IF(AT1247=0,"",IF(AND(AT1247=1,M1247="F",SUMIF(C2:C1334,C1247,AS2:AS1334)&lt;=1),SUMIF(C2:C1334,C1247,AS2:AS1334),IF(AND(AT1247=1,M1247="F",SUMIF(C2:C1334,C1247,AS2:AS1334)&gt;1),1,"")))</f>
        <v>1</v>
      </c>
      <c r="AV1247" s="387" t="str">
        <f>IF(AT1247=0,"",IF(AND(AT1247=3,M1247="F",SUMIF(C2:C1334,C1247,AS2:AS1334)&lt;=1),SUMIF(C2:C1334,C1247,AS2:AS1334),IF(AND(AT1247=3,M1247="F",SUMIF(C2:C1334,C1247,AS2:AS1334)&gt;1),1,"")))</f>
        <v/>
      </c>
      <c r="AW1247" s="387">
        <f>SUMIF(C2:C1334,C1247,O2:O1334)</f>
        <v>3</v>
      </c>
      <c r="AX1247" s="387">
        <f>IF(AND(M1247="F",AS1247&lt;&gt;0),SUMIF(C2:C1334,C1247,W2:W1334),0)</f>
        <v>48692.800000000003</v>
      </c>
      <c r="AY1247" s="387">
        <f t="shared" si="865"/>
        <v>17042.48</v>
      </c>
      <c r="AZ1247" s="387" t="str">
        <f t="shared" si="866"/>
        <v/>
      </c>
      <c r="BA1247" s="387">
        <f t="shared" si="867"/>
        <v>0</v>
      </c>
      <c r="BB1247" s="387">
        <f t="shared" si="836"/>
        <v>4077.4999999999995</v>
      </c>
      <c r="BC1247" s="387">
        <f t="shared" si="837"/>
        <v>0</v>
      </c>
      <c r="BD1247" s="387">
        <f t="shared" si="838"/>
        <v>1056.6337599999999</v>
      </c>
      <c r="BE1247" s="387">
        <f t="shared" si="839"/>
        <v>247.11596</v>
      </c>
      <c r="BF1247" s="387">
        <f t="shared" si="840"/>
        <v>2034.872112</v>
      </c>
      <c r="BG1247" s="387">
        <f t="shared" si="841"/>
        <v>122.8762808</v>
      </c>
      <c r="BH1247" s="387">
        <f t="shared" si="842"/>
        <v>83.508151999999995</v>
      </c>
      <c r="BI1247" s="387">
        <f t="shared" si="843"/>
        <v>94.330126800000002</v>
      </c>
      <c r="BJ1247" s="387">
        <f t="shared" si="844"/>
        <v>46.014696000000001</v>
      </c>
      <c r="BK1247" s="387">
        <f t="shared" si="845"/>
        <v>0</v>
      </c>
      <c r="BL1247" s="387">
        <f t="shared" si="868"/>
        <v>3685.3510876</v>
      </c>
      <c r="BM1247" s="387">
        <f t="shared" si="869"/>
        <v>0</v>
      </c>
      <c r="BN1247" s="387">
        <f t="shared" si="846"/>
        <v>4077.4999999999995</v>
      </c>
      <c r="BO1247" s="387">
        <f t="shared" si="847"/>
        <v>0</v>
      </c>
      <c r="BP1247" s="387">
        <f t="shared" si="848"/>
        <v>1056.6337599999999</v>
      </c>
      <c r="BQ1247" s="387">
        <f t="shared" si="849"/>
        <v>247.11596</v>
      </c>
      <c r="BR1247" s="387">
        <f t="shared" si="850"/>
        <v>2034.872112</v>
      </c>
      <c r="BS1247" s="387">
        <f t="shared" si="851"/>
        <v>122.8762808</v>
      </c>
      <c r="BT1247" s="387">
        <f t="shared" si="852"/>
        <v>0</v>
      </c>
      <c r="BU1247" s="387">
        <f t="shared" si="853"/>
        <v>94.330126800000002</v>
      </c>
      <c r="BV1247" s="387">
        <f t="shared" si="854"/>
        <v>57.944431999999992</v>
      </c>
      <c r="BW1247" s="387">
        <f t="shared" si="855"/>
        <v>0</v>
      </c>
      <c r="BX1247" s="387">
        <f t="shared" si="870"/>
        <v>3613.7726715999997</v>
      </c>
      <c r="BY1247" s="387">
        <f t="shared" si="871"/>
        <v>0</v>
      </c>
      <c r="BZ1247" s="387">
        <f t="shared" si="872"/>
        <v>0</v>
      </c>
      <c r="CA1247" s="387">
        <f t="shared" si="873"/>
        <v>0</v>
      </c>
      <c r="CB1247" s="387">
        <f t="shared" si="874"/>
        <v>0</v>
      </c>
      <c r="CC1247" s="387">
        <f t="shared" si="856"/>
        <v>0</v>
      </c>
      <c r="CD1247" s="387">
        <f t="shared" si="857"/>
        <v>0</v>
      </c>
      <c r="CE1247" s="387">
        <f t="shared" si="858"/>
        <v>0</v>
      </c>
      <c r="CF1247" s="387">
        <f t="shared" si="859"/>
        <v>-83.508151999999995</v>
      </c>
      <c r="CG1247" s="387">
        <f t="shared" si="860"/>
        <v>0</v>
      </c>
      <c r="CH1247" s="387">
        <f t="shared" si="861"/>
        <v>11.929735999999995</v>
      </c>
      <c r="CI1247" s="387">
        <f t="shared" si="862"/>
        <v>0</v>
      </c>
      <c r="CJ1247" s="387">
        <f t="shared" si="875"/>
        <v>-71.578416000000004</v>
      </c>
      <c r="CK1247" s="387" t="str">
        <f t="shared" si="876"/>
        <v/>
      </c>
      <c r="CL1247" s="387" t="str">
        <f t="shared" si="877"/>
        <v/>
      </c>
      <c r="CM1247" s="387" t="str">
        <f t="shared" si="878"/>
        <v/>
      </c>
      <c r="CN1247" s="387" t="str">
        <f t="shared" si="879"/>
        <v>0348-31</v>
      </c>
    </row>
    <row r="1248" spans="1:92" ht="15.75" thickBot="1" x14ac:dyDescent="0.3">
      <c r="A1248" s="376" t="s">
        <v>161</v>
      </c>
      <c r="B1248" s="376" t="s">
        <v>162</v>
      </c>
      <c r="C1248" s="376" t="s">
        <v>1138</v>
      </c>
      <c r="D1248" s="376" t="s">
        <v>974</v>
      </c>
      <c r="E1248" s="376" t="s">
        <v>224</v>
      </c>
      <c r="F1248" s="382" t="s">
        <v>225</v>
      </c>
      <c r="G1248" s="376" t="s">
        <v>1945</v>
      </c>
      <c r="H1248" s="378"/>
      <c r="I1248" s="378"/>
      <c r="J1248" s="376" t="s">
        <v>215</v>
      </c>
      <c r="K1248" s="376" t="s">
        <v>975</v>
      </c>
      <c r="L1248" s="376" t="s">
        <v>296</v>
      </c>
      <c r="M1248" s="376" t="s">
        <v>171</v>
      </c>
      <c r="N1248" s="376" t="s">
        <v>172</v>
      </c>
      <c r="O1248" s="379">
        <v>1</v>
      </c>
      <c r="P1248" s="385">
        <v>1</v>
      </c>
      <c r="Q1248" s="385">
        <v>1</v>
      </c>
      <c r="R1248" s="380">
        <v>80</v>
      </c>
      <c r="S1248" s="385">
        <v>1</v>
      </c>
      <c r="T1248" s="380">
        <v>30637.23</v>
      </c>
      <c r="U1248" s="380">
        <v>0</v>
      </c>
      <c r="V1248" s="380">
        <v>14895.71</v>
      </c>
      <c r="W1248" s="380">
        <v>43243.199999999997</v>
      </c>
      <c r="X1248" s="380">
        <v>21001.3</v>
      </c>
      <c r="Y1248" s="380">
        <v>43243.199999999997</v>
      </c>
      <c r="Z1248" s="380">
        <v>20819.68</v>
      </c>
      <c r="AA1248" s="376" t="s">
        <v>1139</v>
      </c>
      <c r="AB1248" s="376" t="s">
        <v>1140</v>
      </c>
      <c r="AC1248" s="376" t="s">
        <v>855</v>
      </c>
      <c r="AD1248" s="376" t="s">
        <v>210</v>
      </c>
      <c r="AE1248" s="376" t="s">
        <v>975</v>
      </c>
      <c r="AF1248" s="376" t="s">
        <v>301</v>
      </c>
      <c r="AG1248" s="376" t="s">
        <v>178</v>
      </c>
      <c r="AH1248" s="381">
        <v>20.79</v>
      </c>
      <c r="AI1248" s="381">
        <v>7757.3</v>
      </c>
      <c r="AJ1248" s="376" t="s">
        <v>179</v>
      </c>
      <c r="AK1248" s="376" t="s">
        <v>180</v>
      </c>
      <c r="AL1248" s="376" t="s">
        <v>181</v>
      </c>
      <c r="AM1248" s="376" t="s">
        <v>182</v>
      </c>
      <c r="AN1248" s="376" t="s">
        <v>68</v>
      </c>
      <c r="AO1248" s="379">
        <v>80</v>
      </c>
      <c r="AP1248" s="385">
        <v>1</v>
      </c>
      <c r="AQ1248" s="385">
        <v>1</v>
      </c>
      <c r="AR1248" s="383" t="s">
        <v>183</v>
      </c>
      <c r="AS1248" s="387">
        <f t="shared" si="863"/>
        <v>1</v>
      </c>
      <c r="AT1248">
        <f t="shared" si="864"/>
        <v>1</v>
      </c>
      <c r="AU1248" s="387">
        <f>IF(AT1248=0,"",IF(AND(AT1248=1,M1248="F",SUMIF(C2:C1334,C1248,AS2:AS1334)&lt;=1),SUMIF(C2:C1334,C1248,AS2:AS1334),IF(AND(AT1248=1,M1248="F",SUMIF(C2:C1334,C1248,AS2:AS1334)&gt;1),1,"")))</f>
        <v>1</v>
      </c>
      <c r="AV1248" s="387" t="str">
        <f>IF(AT1248=0,"",IF(AND(AT1248=3,M1248="F",SUMIF(C2:C1334,C1248,AS2:AS1334)&lt;=1),SUMIF(C2:C1334,C1248,AS2:AS1334),IF(AND(AT1248=3,M1248="F",SUMIF(C2:C1334,C1248,AS2:AS1334)&gt;1),1,"")))</f>
        <v/>
      </c>
      <c r="AW1248" s="387">
        <f>SUMIF(C2:C1334,C1248,O2:O1334)</f>
        <v>2</v>
      </c>
      <c r="AX1248" s="387">
        <f>IF(AND(M1248="F",AS1248&lt;&gt;0),SUMIF(C2:C1334,C1248,W2:W1334),0)</f>
        <v>43243.199999999997</v>
      </c>
      <c r="AY1248" s="387">
        <f t="shared" si="865"/>
        <v>43243.199999999997</v>
      </c>
      <c r="AZ1248" s="387" t="str">
        <f t="shared" si="866"/>
        <v/>
      </c>
      <c r="BA1248" s="387">
        <f t="shared" si="867"/>
        <v>0</v>
      </c>
      <c r="BB1248" s="387">
        <f t="shared" si="836"/>
        <v>11650</v>
      </c>
      <c r="BC1248" s="387">
        <f t="shared" si="837"/>
        <v>0</v>
      </c>
      <c r="BD1248" s="387">
        <f t="shared" si="838"/>
        <v>2681.0783999999999</v>
      </c>
      <c r="BE1248" s="387">
        <f t="shared" si="839"/>
        <v>627.02639999999997</v>
      </c>
      <c r="BF1248" s="387">
        <f t="shared" si="840"/>
        <v>5163.2380800000001</v>
      </c>
      <c r="BG1248" s="387">
        <f t="shared" si="841"/>
        <v>311.78347200000002</v>
      </c>
      <c r="BH1248" s="387">
        <f t="shared" si="842"/>
        <v>211.89167999999998</v>
      </c>
      <c r="BI1248" s="387">
        <f t="shared" si="843"/>
        <v>239.35111199999997</v>
      </c>
      <c r="BJ1248" s="387">
        <f t="shared" si="844"/>
        <v>116.75664</v>
      </c>
      <c r="BK1248" s="387">
        <f t="shared" si="845"/>
        <v>0</v>
      </c>
      <c r="BL1248" s="387">
        <f t="shared" si="868"/>
        <v>9351.1257839999998</v>
      </c>
      <c r="BM1248" s="387">
        <f t="shared" si="869"/>
        <v>0</v>
      </c>
      <c r="BN1248" s="387">
        <f t="shared" si="846"/>
        <v>11650</v>
      </c>
      <c r="BO1248" s="387">
        <f t="shared" si="847"/>
        <v>0</v>
      </c>
      <c r="BP1248" s="387">
        <f t="shared" si="848"/>
        <v>2681.0783999999999</v>
      </c>
      <c r="BQ1248" s="387">
        <f t="shared" si="849"/>
        <v>627.02639999999997</v>
      </c>
      <c r="BR1248" s="387">
        <f t="shared" si="850"/>
        <v>5163.2380800000001</v>
      </c>
      <c r="BS1248" s="387">
        <f t="shared" si="851"/>
        <v>311.78347200000002</v>
      </c>
      <c r="BT1248" s="387">
        <f t="shared" si="852"/>
        <v>0</v>
      </c>
      <c r="BU1248" s="387">
        <f t="shared" si="853"/>
        <v>239.35111199999997</v>
      </c>
      <c r="BV1248" s="387">
        <f t="shared" si="854"/>
        <v>147.02687999999998</v>
      </c>
      <c r="BW1248" s="387">
        <f t="shared" si="855"/>
        <v>0</v>
      </c>
      <c r="BX1248" s="387">
        <f t="shared" si="870"/>
        <v>9169.504343999999</v>
      </c>
      <c r="BY1248" s="387">
        <f t="shared" si="871"/>
        <v>0</v>
      </c>
      <c r="BZ1248" s="387">
        <f t="shared" si="872"/>
        <v>0</v>
      </c>
      <c r="CA1248" s="387">
        <f t="shared" si="873"/>
        <v>0</v>
      </c>
      <c r="CB1248" s="387">
        <f t="shared" si="874"/>
        <v>0</v>
      </c>
      <c r="CC1248" s="387">
        <f t="shared" si="856"/>
        <v>0</v>
      </c>
      <c r="CD1248" s="387">
        <f t="shared" si="857"/>
        <v>0</v>
      </c>
      <c r="CE1248" s="387">
        <f t="shared" si="858"/>
        <v>0</v>
      </c>
      <c r="CF1248" s="387">
        <f t="shared" si="859"/>
        <v>-211.89167999999998</v>
      </c>
      <c r="CG1248" s="387">
        <f t="shared" si="860"/>
        <v>0</v>
      </c>
      <c r="CH1248" s="387">
        <f t="shared" si="861"/>
        <v>30.270239999999983</v>
      </c>
      <c r="CI1248" s="387">
        <f t="shared" si="862"/>
        <v>0</v>
      </c>
      <c r="CJ1248" s="387">
        <f t="shared" si="875"/>
        <v>-181.62144000000001</v>
      </c>
      <c r="CK1248" s="387" t="str">
        <f t="shared" si="876"/>
        <v/>
      </c>
      <c r="CL1248" s="387" t="str">
        <f t="shared" si="877"/>
        <v/>
      </c>
      <c r="CM1248" s="387" t="str">
        <f t="shared" si="878"/>
        <v/>
      </c>
      <c r="CN1248" s="387" t="str">
        <f t="shared" si="879"/>
        <v>0348-31</v>
      </c>
    </row>
    <row r="1249" spans="1:92" ht="15.75" thickBot="1" x14ac:dyDescent="0.3">
      <c r="A1249" s="376" t="s">
        <v>161</v>
      </c>
      <c r="B1249" s="376" t="s">
        <v>162</v>
      </c>
      <c r="C1249" s="376" t="s">
        <v>464</v>
      </c>
      <c r="D1249" s="376" t="s">
        <v>238</v>
      </c>
      <c r="E1249" s="376" t="s">
        <v>224</v>
      </c>
      <c r="F1249" s="382" t="s">
        <v>225</v>
      </c>
      <c r="G1249" s="376" t="s">
        <v>1945</v>
      </c>
      <c r="H1249" s="378"/>
      <c r="I1249" s="378"/>
      <c r="J1249" s="376" t="s">
        <v>239</v>
      </c>
      <c r="K1249" s="376" t="s">
        <v>343</v>
      </c>
      <c r="L1249" s="376" t="s">
        <v>296</v>
      </c>
      <c r="M1249" s="376" t="s">
        <v>171</v>
      </c>
      <c r="N1249" s="376" t="s">
        <v>172</v>
      </c>
      <c r="O1249" s="379">
        <v>1</v>
      </c>
      <c r="P1249" s="385">
        <v>0.05</v>
      </c>
      <c r="Q1249" s="385">
        <v>0.05</v>
      </c>
      <c r="R1249" s="380">
        <v>80</v>
      </c>
      <c r="S1249" s="385">
        <v>0.05</v>
      </c>
      <c r="T1249" s="380">
        <v>106.87</v>
      </c>
      <c r="U1249" s="380">
        <v>0</v>
      </c>
      <c r="V1249" s="380">
        <v>56.64</v>
      </c>
      <c r="W1249" s="380">
        <v>2061.2800000000002</v>
      </c>
      <c r="X1249" s="380">
        <v>1028.24</v>
      </c>
      <c r="Y1249" s="380">
        <v>2061.2800000000002</v>
      </c>
      <c r="Z1249" s="380">
        <v>1019.59</v>
      </c>
      <c r="AA1249" s="376" t="s">
        <v>465</v>
      </c>
      <c r="AB1249" s="376" t="s">
        <v>466</v>
      </c>
      <c r="AC1249" s="376" t="s">
        <v>467</v>
      </c>
      <c r="AD1249" s="376" t="s">
        <v>468</v>
      </c>
      <c r="AE1249" s="376" t="s">
        <v>343</v>
      </c>
      <c r="AF1249" s="376" t="s">
        <v>301</v>
      </c>
      <c r="AG1249" s="376" t="s">
        <v>178</v>
      </c>
      <c r="AH1249" s="381">
        <v>19.82</v>
      </c>
      <c r="AI1249" s="381">
        <v>16065.6</v>
      </c>
      <c r="AJ1249" s="376" t="s">
        <v>179</v>
      </c>
      <c r="AK1249" s="376" t="s">
        <v>180</v>
      </c>
      <c r="AL1249" s="376" t="s">
        <v>181</v>
      </c>
      <c r="AM1249" s="376" t="s">
        <v>182</v>
      </c>
      <c r="AN1249" s="376" t="s">
        <v>68</v>
      </c>
      <c r="AO1249" s="379">
        <v>80</v>
      </c>
      <c r="AP1249" s="385">
        <v>1</v>
      </c>
      <c r="AQ1249" s="385">
        <v>0.05</v>
      </c>
      <c r="AR1249" s="383" t="s">
        <v>183</v>
      </c>
      <c r="AS1249" s="387">
        <f t="shared" si="863"/>
        <v>0.05</v>
      </c>
      <c r="AT1249">
        <f t="shared" si="864"/>
        <v>1</v>
      </c>
      <c r="AU1249" s="387">
        <f>IF(AT1249=0,"",IF(AND(AT1249=1,M1249="F",SUMIF(C2:C1334,C1249,AS2:AS1334)&lt;=1),SUMIF(C2:C1334,C1249,AS2:AS1334),IF(AND(AT1249=1,M1249="F",SUMIF(C2:C1334,C1249,AS2:AS1334)&gt;1),1,"")))</f>
        <v>1</v>
      </c>
      <c r="AV1249" s="387" t="str">
        <f>IF(AT1249=0,"",IF(AND(AT1249=3,M1249="F",SUMIF(C2:C1334,C1249,AS2:AS1334)&lt;=1),SUMIF(C2:C1334,C1249,AS2:AS1334),IF(AND(AT1249=3,M1249="F",SUMIF(C2:C1334,C1249,AS2:AS1334)&gt;1),1,"")))</f>
        <v/>
      </c>
      <c r="AW1249" s="387">
        <f>SUMIF(C2:C1334,C1249,O2:O1334)</f>
        <v>3</v>
      </c>
      <c r="AX1249" s="387">
        <f>IF(AND(M1249="F",AS1249&lt;&gt;0),SUMIF(C2:C1334,C1249,W2:W1334),0)</f>
        <v>41225.599999999999</v>
      </c>
      <c r="AY1249" s="387">
        <f t="shared" si="865"/>
        <v>2061.2800000000002</v>
      </c>
      <c r="AZ1249" s="387" t="str">
        <f t="shared" si="866"/>
        <v/>
      </c>
      <c r="BA1249" s="387">
        <f t="shared" si="867"/>
        <v>0</v>
      </c>
      <c r="BB1249" s="387">
        <f t="shared" si="836"/>
        <v>582.5</v>
      </c>
      <c r="BC1249" s="387">
        <f t="shared" si="837"/>
        <v>0</v>
      </c>
      <c r="BD1249" s="387">
        <f t="shared" si="838"/>
        <v>127.79936000000001</v>
      </c>
      <c r="BE1249" s="387">
        <f t="shared" si="839"/>
        <v>29.888560000000005</v>
      </c>
      <c r="BF1249" s="387">
        <f t="shared" si="840"/>
        <v>246.11683200000004</v>
      </c>
      <c r="BG1249" s="387">
        <f t="shared" si="841"/>
        <v>14.861828800000001</v>
      </c>
      <c r="BH1249" s="387">
        <f t="shared" si="842"/>
        <v>10.100272</v>
      </c>
      <c r="BI1249" s="387">
        <f t="shared" si="843"/>
        <v>11.4091848</v>
      </c>
      <c r="BJ1249" s="387">
        <f t="shared" si="844"/>
        <v>5.5654560000000011</v>
      </c>
      <c r="BK1249" s="387">
        <f t="shared" si="845"/>
        <v>0</v>
      </c>
      <c r="BL1249" s="387">
        <f t="shared" si="868"/>
        <v>445.74149360000007</v>
      </c>
      <c r="BM1249" s="387">
        <f t="shared" si="869"/>
        <v>0</v>
      </c>
      <c r="BN1249" s="387">
        <f t="shared" si="846"/>
        <v>582.5</v>
      </c>
      <c r="BO1249" s="387">
        <f t="shared" si="847"/>
        <v>0</v>
      </c>
      <c r="BP1249" s="387">
        <f t="shared" si="848"/>
        <v>127.79936000000001</v>
      </c>
      <c r="BQ1249" s="387">
        <f t="shared" si="849"/>
        <v>29.888560000000005</v>
      </c>
      <c r="BR1249" s="387">
        <f t="shared" si="850"/>
        <v>246.11683200000004</v>
      </c>
      <c r="BS1249" s="387">
        <f t="shared" si="851"/>
        <v>14.861828800000001</v>
      </c>
      <c r="BT1249" s="387">
        <f t="shared" si="852"/>
        <v>0</v>
      </c>
      <c r="BU1249" s="387">
        <f t="shared" si="853"/>
        <v>11.4091848</v>
      </c>
      <c r="BV1249" s="387">
        <f t="shared" si="854"/>
        <v>7.0083520000000004</v>
      </c>
      <c r="BW1249" s="387">
        <f t="shared" si="855"/>
        <v>0</v>
      </c>
      <c r="BX1249" s="387">
        <f t="shared" si="870"/>
        <v>437.08411760000007</v>
      </c>
      <c r="BY1249" s="387">
        <f t="shared" si="871"/>
        <v>0</v>
      </c>
      <c r="BZ1249" s="387">
        <f t="shared" si="872"/>
        <v>0</v>
      </c>
      <c r="CA1249" s="387">
        <f t="shared" si="873"/>
        <v>0</v>
      </c>
      <c r="CB1249" s="387">
        <f t="shared" si="874"/>
        <v>0</v>
      </c>
      <c r="CC1249" s="387">
        <f t="shared" si="856"/>
        <v>0</v>
      </c>
      <c r="CD1249" s="387">
        <f t="shared" si="857"/>
        <v>0</v>
      </c>
      <c r="CE1249" s="387">
        <f t="shared" si="858"/>
        <v>0</v>
      </c>
      <c r="CF1249" s="387">
        <f t="shared" si="859"/>
        <v>-10.100272</v>
      </c>
      <c r="CG1249" s="387">
        <f t="shared" si="860"/>
        <v>0</v>
      </c>
      <c r="CH1249" s="387">
        <f t="shared" si="861"/>
        <v>1.4428959999999995</v>
      </c>
      <c r="CI1249" s="387">
        <f t="shared" si="862"/>
        <v>0</v>
      </c>
      <c r="CJ1249" s="387">
        <f t="shared" si="875"/>
        <v>-8.6573760000000011</v>
      </c>
      <c r="CK1249" s="387" t="str">
        <f t="shared" si="876"/>
        <v/>
      </c>
      <c r="CL1249" s="387" t="str">
        <f t="shared" si="877"/>
        <v/>
      </c>
      <c r="CM1249" s="387" t="str">
        <f t="shared" si="878"/>
        <v/>
      </c>
      <c r="CN1249" s="387" t="str">
        <f t="shared" si="879"/>
        <v>0348-31</v>
      </c>
    </row>
    <row r="1250" spans="1:92" ht="15.75" thickBot="1" x14ac:dyDescent="0.3">
      <c r="A1250" s="376" t="s">
        <v>161</v>
      </c>
      <c r="B1250" s="376" t="s">
        <v>162</v>
      </c>
      <c r="C1250" s="376" t="s">
        <v>1051</v>
      </c>
      <c r="D1250" s="376" t="s">
        <v>862</v>
      </c>
      <c r="E1250" s="376" t="s">
        <v>224</v>
      </c>
      <c r="F1250" s="382" t="s">
        <v>225</v>
      </c>
      <c r="G1250" s="376" t="s">
        <v>1945</v>
      </c>
      <c r="H1250" s="378"/>
      <c r="I1250" s="378"/>
      <c r="J1250" s="376" t="s">
        <v>215</v>
      </c>
      <c r="K1250" s="376" t="s">
        <v>863</v>
      </c>
      <c r="L1250" s="376" t="s">
        <v>252</v>
      </c>
      <c r="M1250" s="376" t="s">
        <v>171</v>
      </c>
      <c r="N1250" s="376" t="s">
        <v>172</v>
      </c>
      <c r="O1250" s="379">
        <v>1</v>
      </c>
      <c r="P1250" s="385">
        <v>0</v>
      </c>
      <c r="Q1250" s="385">
        <v>0</v>
      </c>
      <c r="R1250" s="380">
        <v>80</v>
      </c>
      <c r="S1250" s="385">
        <v>0</v>
      </c>
      <c r="T1250" s="380">
        <v>3624.63</v>
      </c>
      <c r="U1250" s="380">
        <v>0</v>
      </c>
      <c r="V1250" s="380">
        <v>1849.91</v>
      </c>
      <c r="W1250" s="380">
        <v>0</v>
      </c>
      <c r="X1250" s="380">
        <v>0</v>
      </c>
      <c r="Y1250" s="380">
        <v>0</v>
      </c>
      <c r="Z1250" s="380">
        <v>0</v>
      </c>
      <c r="AA1250" s="376" t="s">
        <v>1052</v>
      </c>
      <c r="AB1250" s="376" t="s">
        <v>1053</v>
      </c>
      <c r="AC1250" s="376" t="s">
        <v>1054</v>
      </c>
      <c r="AD1250" s="376" t="s">
        <v>1055</v>
      </c>
      <c r="AE1250" s="376" t="s">
        <v>863</v>
      </c>
      <c r="AF1250" s="376" t="s">
        <v>393</v>
      </c>
      <c r="AG1250" s="376" t="s">
        <v>178</v>
      </c>
      <c r="AH1250" s="381">
        <v>20.21</v>
      </c>
      <c r="AI1250" s="381">
        <v>9047.5</v>
      </c>
      <c r="AJ1250" s="376" t="s">
        <v>179</v>
      </c>
      <c r="AK1250" s="376" t="s">
        <v>180</v>
      </c>
      <c r="AL1250" s="376" t="s">
        <v>181</v>
      </c>
      <c r="AM1250" s="376" t="s">
        <v>182</v>
      </c>
      <c r="AN1250" s="376" t="s">
        <v>68</v>
      </c>
      <c r="AO1250" s="379">
        <v>80</v>
      </c>
      <c r="AP1250" s="385">
        <v>1</v>
      </c>
      <c r="AQ1250" s="385">
        <v>0</v>
      </c>
      <c r="AR1250" s="383" t="s">
        <v>183</v>
      </c>
      <c r="AS1250" s="387">
        <f t="shared" si="863"/>
        <v>0</v>
      </c>
      <c r="AT1250">
        <f t="shared" si="864"/>
        <v>0</v>
      </c>
      <c r="AU1250" s="387" t="str">
        <f>IF(AT1250=0,"",IF(AND(AT1250=1,M1250="F",SUMIF(C2:C1334,C1250,AS2:AS1334)&lt;=1),SUMIF(C2:C1334,C1250,AS2:AS1334),IF(AND(AT1250=1,M1250="F",SUMIF(C2:C1334,C1250,AS2:AS1334)&gt;1),1,"")))</f>
        <v/>
      </c>
      <c r="AV1250" s="387" t="str">
        <f>IF(AT1250=0,"",IF(AND(AT1250=3,M1250="F",SUMIF(C2:C1334,C1250,AS2:AS1334)&lt;=1),SUMIF(C2:C1334,C1250,AS2:AS1334),IF(AND(AT1250=3,M1250="F",SUMIF(C2:C1334,C1250,AS2:AS1334)&gt;1),1,"")))</f>
        <v/>
      </c>
      <c r="AW1250" s="387">
        <f>SUMIF(C2:C1334,C1250,O2:O1334)</f>
        <v>3</v>
      </c>
      <c r="AX1250" s="387">
        <f>IF(AND(M1250="F",AS1250&lt;&gt;0),SUMIF(C2:C1334,C1250,W2:W1334),0)</f>
        <v>0</v>
      </c>
      <c r="AY1250" s="387" t="str">
        <f t="shared" si="865"/>
        <v/>
      </c>
      <c r="AZ1250" s="387" t="str">
        <f t="shared" si="866"/>
        <v/>
      </c>
      <c r="BA1250" s="387">
        <f t="shared" si="867"/>
        <v>0</v>
      </c>
      <c r="BB1250" s="387">
        <f t="shared" si="836"/>
        <v>0</v>
      </c>
      <c r="BC1250" s="387">
        <f t="shared" si="837"/>
        <v>0</v>
      </c>
      <c r="BD1250" s="387">
        <f t="shared" si="838"/>
        <v>0</v>
      </c>
      <c r="BE1250" s="387">
        <f t="shared" si="839"/>
        <v>0</v>
      </c>
      <c r="BF1250" s="387">
        <f t="shared" si="840"/>
        <v>0</v>
      </c>
      <c r="BG1250" s="387">
        <f t="shared" si="841"/>
        <v>0</v>
      </c>
      <c r="BH1250" s="387">
        <f t="shared" si="842"/>
        <v>0</v>
      </c>
      <c r="BI1250" s="387">
        <f t="shared" si="843"/>
        <v>0</v>
      </c>
      <c r="BJ1250" s="387">
        <f t="shared" si="844"/>
        <v>0</v>
      </c>
      <c r="BK1250" s="387">
        <f t="shared" si="845"/>
        <v>0</v>
      </c>
      <c r="BL1250" s="387">
        <f t="shared" si="868"/>
        <v>0</v>
      </c>
      <c r="BM1250" s="387">
        <f t="shared" si="869"/>
        <v>0</v>
      </c>
      <c r="BN1250" s="387">
        <f t="shared" si="846"/>
        <v>0</v>
      </c>
      <c r="BO1250" s="387">
        <f t="shared" si="847"/>
        <v>0</v>
      </c>
      <c r="BP1250" s="387">
        <f t="shared" si="848"/>
        <v>0</v>
      </c>
      <c r="BQ1250" s="387">
        <f t="shared" si="849"/>
        <v>0</v>
      </c>
      <c r="BR1250" s="387">
        <f t="shared" si="850"/>
        <v>0</v>
      </c>
      <c r="BS1250" s="387">
        <f t="shared" si="851"/>
        <v>0</v>
      </c>
      <c r="BT1250" s="387">
        <f t="shared" si="852"/>
        <v>0</v>
      </c>
      <c r="BU1250" s="387">
        <f t="shared" si="853"/>
        <v>0</v>
      </c>
      <c r="BV1250" s="387">
        <f t="shared" si="854"/>
        <v>0</v>
      </c>
      <c r="BW1250" s="387">
        <f t="shared" si="855"/>
        <v>0</v>
      </c>
      <c r="BX1250" s="387">
        <f t="shared" si="870"/>
        <v>0</v>
      </c>
      <c r="BY1250" s="387">
        <f t="shared" si="871"/>
        <v>0</v>
      </c>
      <c r="BZ1250" s="387">
        <f t="shared" si="872"/>
        <v>0</v>
      </c>
      <c r="CA1250" s="387">
        <f t="shared" si="873"/>
        <v>0</v>
      </c>
      <c r="CB1250" s="387">
        <f t="shared" si="874"/>
        <v>0</v>
      </c>
      <c r="CC1250" s="387">
        <f t="shared" si="856"/>
        <v>0</v>
      </c>
      <c r="CD1250" s="387">
        <f t="shared" si="857"/>
        <v>0</v>
      </c>
      <c r="CE1250" s="387">
        <f t="shared" si="858"/>
        <v>0</v>
      </c>
      <c r="CF1250" s="387">
        <f t="shared" si="859"/>
        <v>0</v>
      </c>
      <c r="CG1250" s="387">
        <f t="shared" si="860"/>
        <v>0</v>
      </c>
      <c r="CH1250" s="387">
        <f t="shared" si="861"/>
        <v>0</v>
      </c>
      <c r="CI1250" s="387">
        <f t="shared" si="862"/>
        <v>0</v>
      </c>
      <c r="CJ1250" s="387">
        <f t="shared" si="875"/>
        <v>0</v>
      </c>
      <c r="CK1250" s="387" t="str">
        <f t="shared" si="876"/>
        <v/>
      </c>
      <c r="CL1250" s="387" t="str">
        <f t="shared" si="877"/>
        <v/>
      </c>
      <c r="CM1250" s="387" t="str">
        <f t="shared" si="878"/>
        <v/>
      </c>
      <c r="CN1250" s="387" t="str">
        <f t="shared" si="879"/>
        <v>0348-31</v>
      </c>
    </row>
    <row r="1251" spans="1:92" ht="15.75" thickBot="1" x14ac:dyDescent="0.3">
      <c r="A1251" s="376" t="s">
        <v>161</v>
      </c>
      <c r="B1251" s="376" t="s">
        <v>162</v>
      </c>
      <c r="C1251" s="376" t="s">
        <v>1962</v>
      </c>
      <c r="D1251" s="376" t="s">
        <v>881</v>
      </c>
      <c r="E1251" s="376" t="s">
        <v>224</v>
      </c>
      <c r="F1251" s="382" t="s">
        <v>225</v>
      </c>
      <c r="G1251" s="376" t="s">
        <v>1945</v>
      </c>
      <c r="H1251" s="378"/>
      <c r="I1251" s="378"/>
      <c r="J1251" s="376" t="s">
        <v>215</v>
      </c>
      <c r="K1251" s="376" t="s">
        <v>882</v>
      </c>
      <c r="L1251" s="376" t="s">
        <v>210</v>
      </c>
      <c r="M1251" s="376" t="s">
        <v>171</v>
      </c>
      <c r="N1251" s="376" t="s">
        <v>172</v>
      </c>
      <c r="O1251" s="379">
        <v>1</v>
      </c>
      <c r="P1251" s="385">
        <v>1</v>
      </c>
      <c r="Q1251" s="385">
        <v>1</v>
      </c>
      <c r="R1251" s="380">
        <v>80</v>
      </c>
      <c r="S1251" s="385">
        <v>1</v>
      </c>
      <c r="T1251" s="380">
        <v>53858.54</v>
      </c>
      <c r="U1251" s="380">
        <v>4540.59</v>
      </c>
      <c r="V1251" s="380">
        <v>21715.61</v>
      </c>
      <c r="W1251" s="380">
        <v>64521.599999999999</v>
      </c>
      <c r="X1251" s="380">
        <v>25602.75</v>
      </c>
      <c r="Y1251" s="380">
        <v>64521.599999999999</v>
      </c>
      <c r="Z1251" s="380">
        <v>25331.77</v>
      </c>
      <c r="AA1251" s="376" t="s">
        <v>1963</v>
      </c>
      <c r="AB1251" s="376" t="s">
        <v>1964</v>
      </c>
      <c r="AC1251" s="376" t="s">
        <v>1965</v>
      </c>
      <c r="AD1251" s="376" t="s">
        <v>324</v>
      </c>
      <c r="AE1251" s="376" t="s">
        <v>882</v>
      </c>
      <c r="AF1251" s="376" t="s">
        <v>245</v>
      </c>
      <c r="AG1251" s="376" t="s">
        <v>178</v>
      </c>
      <c r="AH1251" s="381">
        <v>31.02</v>
      </c>
      <c r="AI1251" s="381">
        <v>36010.699999999997</v>
      </c>
      <c r="AJ1251" s="376" t="s">
        <v>179</v>
      </c>
      <c r="AK1251" s="376" t="s">
        <v>180</v>
      </c>
      <c r="AL1251" s="376" t="s">
        <v>181</v>
      </c>
      <c r="AM1251" s="376" t="s">
        <v>182</v>
      </c>
      <c r="AN1251" s="376" t="s">
        <v>68</v>
      </c>
      <c r="AO1251" s="379">
        <v>80</v>
      </c>
      <c r="AP1251" s="385">
        <v>1</v>
      </c>
      <c r="AQ1251" s="385">
        <v>1</v>
      </c>
      <c r="AR1251" s="383" t="s">
        <v>183</v>
      </c>
      <c r="AS1251" s="387">
        <f t="shared" si="863"/>
        <v>1</v>
      </c>
      <c r="AT1251">
        <f t="shared" si="864"/>
        <v>1</v>
      </c>
      <c r="AU1251" s="387">
        <f>IF(AT1251=0,"",IF(AND(AT1251=1,M1251="F",SUMIF(C2:C1334,C1251,AS2:AS1334)&lt;=1),SUMIF(C2:C1334,C1251,AS2:AS1334),IF(AND(AT1251=1,M1251="F",SUMIF(C2:C1334,C1251,AS2:AS1334)&gt;1),1,"")))</f>
        <v>1</v>
      </c>
      <c r="AV1251" s="387" t="str">
        <f>IF(AT1251=0,"",IF(AND(AT1251=3,M1251="F",SUMIF(C2:C1334,C1251,AS2:AS1334)&lt;=1),SUMIF(C2:C1334,C1251,AS2:AS1334),IF(AND(AT1251=3,M1251="F",SUMIF(C2:C1334,C1251,AS2:AS1334)&gt;1),1,"")))</f>
        <v/>
      </c>
      <c r="AW1251" s="387">
        <f>SUMIF(C2:C1334,C1251,O2:O1334)</f>
        <v>2</v>
      </c>
      <c r="AX1251" s="387">
        <f>IF(AND(M1251="F",AS1251&lt;&gt;0),SUMIF(C2:C1334,C1251,W2:W1334),0)</f>
        <v>64521.599999999999</v>
      </c>
      <c r="AY1251" s="387">
        <f t="shared" si="865"/>
        <v>64521.599999999999</v>
      </c>
      <c r="AZ1251" s="387" t="str">
        <f t="shared" si="866"/>
        <v/>
      </c>
      <c r="BA1251" s="387">
        <f t="shared" si="867"/>
        <v>0</v>
      </c>
      <c r="BB1251" s="387">
        <f t="shared" si="836"/>
        <v>11650</v>
      </c>
      <c r="BC1251" s="387">
        <f t="shared" si="837"/>
        <v>0</v>
      </c>
      <c r="BD1251" s="387">
        <f t="shared" si="838"/>
        <v>4000.3391999999999</v>
      </c>
      <c r="BE1251" s="387">
        <f t="shared" si="839"/>
        <v>935.56320000000005</v>
      </c>
      <c r="BF1251" s="387">
        <f t="shared" si="840"/>
        <v>7703.8790399999998</v>
      </c>
      <c r="BG1251" s="387">
        <f t="shared" si="841"/>
        <v>465.20073600000001</v>
      </c>
      <c r="BH1251" s="387">
        <f t="shared" si="842"/>
        <v>316.15583999999996</v>
      </c>
      <c r="BI1251" s="387">
        <f t="shared" si="843"/>
        <v>357.12705599999998</v>
      </c>
      <c r="BJ1251" s="387">
        <f t="shared" si="844"/>
        <v>174.20832000000001</v>
      </c>
      <c r="BK1251" s="387">
        <f t="shared" si="845"/>
        <v>0</v>
      </c>
      <c r="BL1251" s="387">
        <f t="shared" si="868"/>
        <v>13952.473391999998</v>
      </c>
      <c r="BM1251" s="387">
        <f t="shared" si="869"/>
        <v>0</v>
      </c>
      <c r="BN1251" s="387">
        <f t="shared" si="846"/>
        <v>11650</v>
      </c>
      <c r="BO1251" s="387">
        <f t="shared" si="847"/>
        <v>0</v>
      </c>
      <c r="BP1251" s="387">
        <f t="shared" si="848"/>
        <v>4000.3391999999999</v>
      </c>
      <c r="BQ1251" s="387">
        <f t="shared" si="849"/>
        <v>935.56320000000005</v>
      </c>
      <c r="BR1251" s="387">
        <f t="shared" si="850"/>
        <v>7703.8790399999998</v>
      </c>
      <c r="BS1251" s="387">
        <f t="shared" si="851"/>
        <v>465.20073600000001</v>
      </c>
      <c r="BT1251" s="387">
        <f t="shared" si="852"/>
        <v>0</v>
      </c>
      <c r="BU1251" s="387">
        <f t="shared" si="853"/>
        <v>357.12705599999998</v>
      </c>
      <c r="BV1251" s="387">
        <f t="shared" si="854"/>
        <v>219.37343999999999</v>
      </c>
      <c r="BW1251" s="387">
        <f t="shared" si="855"/>
        <v>0</v>
      </c>
      <c r="BX1251" s="387">
        <f t="shared" si="870"/>
        <v>13681.482671999998</v>
      </c>
      <c r="BY1251" s="387">
        <f t="shared" si="871"/>
        <v>0</v>
      </c>
      <c r="BZ1251" s="387">
        <f t="shared" si="872"/>
        <v>0</v>
      </c>
      <c r="CA1251" s="387">
        <f t="shared" si="873"/>
        <v>0</v>
      </c>
      <c r="CB1251" s="387">
        <f t="shared" si="874"/>
        <v>0</v>
      </c>
      <c r="CC1251" s="387">
        <f t="shared" si="856"/>
        <v>0</v>
      </c>
      <c r="CD1251" s="387">
        <f t="shared" si="857"/>
        <v>0</v>
      </c>
      <c r="CE1251" s="387">
        <f t="shared" si="858"/>
        <v>0</v>
      </c>
      <c r="CF1251" s="387">
        <f t="shared" si="859"/>
        <v>-316.15583999999996</v>
      </c>
      <c r="CG1251" s="387">
        <f t="shared" si="860"/>
        <v>0</v>
      </c>
      <c r="CH1251" s="387">
        <f t="shared" si="861"/>
        <v>45.16511999999998</v>
      </c>
      <c r="CI1251" s="387">
        <f t="shared" si="862"/>
        <v>0</v>
      </c>
      <c r="CJ1251" s="387">
        <f t="shared" si="875"/>
        <v>-270.99071999999995</v>
      </c>
      <c r="CK1251" s="387" t="str">
        <f t="shared" si="876"/>
        <v/>
      </c>
      <c r="CL1251" s="387" t="str">
        <f t="shared" si="877"/>
        <v/>
      </c>
      <c r="CM1251" s="387" t="str">
        <f t="shared" si="878"/>
        <v/>
      </c>
      <c r="CN1251" s="387" t="str">
        <f t="shared" si="879"/>
        <v>0348-31</v>
      </c>
    </row>
    <row r="1252" spans="1:92" ht="15.75" thickBot="1" x14ac:dyDescent="0.3">
      <c r="A1252" s="376" t="s">
        <v>161</v>
      </c>
      <c r="B1252" s="376" t="s">
        <v>162</v>
      </c>
      <c r="C1252" s="376" t="s">
        <v>2501</v>
      </c>
      <c r="D1252" s="376" t="s">
        <v>238</v>
      </c>
      <c r="E1252" s="376" t="s">
        <v>224</v>
      </c>
      <c r="F1252" s="382" t="s">
        <v>225</v>
      </c>
      <c r="G1252" s="376" t="s">
        <v>1945</v>
      </c>
      <c r="H1252" s="378"/>
      <c r="I1252" s="378"/>
      <c r="J1252" s="376" t="s">
        <v>215</v>
      </c>
      <c r="K1252" s="376" t="s">
        <v>285</v>
      </c>
      <c r="L1252" s="376" t="s">
        <v>170</v>
      </c>
      <c r="M1252" s="376" t="s">
        <v>171</v>
      </c>
      <c r="N1252" s="376" t="s">
        <v>172</v>
      </c>
      <c r="O1252" s="379">
        <v>1</v>
      </c>
      <c r="P1252" s="385">
        <v>1</v>
      </c>
      <c r="Q1252" s="385">
        <v>1</v>
      </c>
      <c r="R1252" s="380">
        <v>80</v>
      </c>
      <c r="S1252" s="385">
        <v>1</v>
      </c>
      <c r="T1252" s="380">
        <v>64253.599999999999</v>
      </c>
      <c r="U1252" s="380">
        <v>0</v>
      </c>
      <c r="V1252" s="380">
        <v>24848.240000000002</v>
      </c>
      <c r="W1252" s="380">
        <v>66664</v>
      </c>
      <c r="X1252" s="380">
        <v>26066.05</v>
      </c>
      <c r="Y1252" s="380">
        <v>66664</v>
      </c>
      <c r="Z1252" s="380">
        <v>25786.06</v>
      </c>
      <c r="AA1252" s="376" t="s">
        <v>2502</v>
      </c>
      <c r="AB1252" s="376" t="s">
        <v>2503</v>
      </c>
      <c r="AC1252" s="376" t="s">
        <v>622</v>
      </c>
      <c r="AD1252" s="376" t="s">
        <v>198</v>
      </c>
      <c r="AE1252" s="376" t="s">
        <v>285</v>
      </c>
      <c r="AF1252" s="376" t="s">
        <v>177</v>
      </c>
      <c r="AG1252" s="376" t="s">
        <v>178</v>
      </c>
      <c r="AH1252" s="381">
        <v>32.049999999999997</v>
      </c>
      <c r="AI1252" s="381">
        <v>27455.5</v>
      </c>
      <c r="AJ1252" s="376" t="s">
        <v>179</v>
      </c>
      <c r="AK1252" s="376" t="s">
        <v>180</v>
      </c>
      <c r="AL1252" s="376" t="s">
        <v>181</v>
      </c>
      <c r="AM1252" s="376" t="s">
        <v>182</v>
      </c>
      <c r="AN1252" s="376" t="s">
        <v>68</v>
      </c>
      <c r="AO1252" s="379">
        <v>80</v>
      </c>
      <c r="AP1252" s="385">
        <v>1</v>
      </c>
      <c r="AQ1252" s="385">
        <v>1</v>
      </c>
      <c r="AR1252" s="383" t="s">
        <v>183</v>
      </c>
      <c r="AS1252" s="387">
        <f t="shared" si="863"/>
        <v>1</v>
      </c>
      <c r="AT1252">
        <f t="shared" si="864"/>
        <v>1</v>
      </c>
      <c r="AU1252" s="387">
        <f>IF(AT1252=0,"",IF(AND(AT1252=1,M1252="F",SUMIF(C2:C1334,C1252,AS2:AS1334)&lt;=1),SUMIF(C2:C1334,C1252,AS2:AS1334),IF(AND(AT1252=1,M1252="F",SUMIF(C2:C1334,C1252,AS2:AS1334)&gt;1),1,"")))</f>
        <v>1</v>
      </c>
      <c r="AV1252" s="387" t="str">
        <f>IF(AT1252=0,"",IF(AND(AT1252=3,M1252="F",SUMIF(C2:C1334,C1252,AS2:AS1334)&lt;=1),SUMIF(C2:C1334,C1252,AS2:AS1334),IF(AND(AT1252=3,M1252="F",SUMIF(C2:C1334,C1252,AS2:AS1334)&gt;1),1,"")))</f>
        <v/>
      </c>
      <c r="AW1252" s="387">
        <f>SUMIF(C2:C1334,C1252,O2:O1334)</f>
        <v>1</v>
      </c>
      <c r="AX1252" s="387">
        <f>IF(AND(M1252="F",AS1252&lt;&gt;0),SUMIF(C2:C1334,C1252,W2:W1334),0)</f>
        <v>66664</v>
      </c>
      <c r="AY1252" s="387">
        <f t="shared" si="865"/>
        <v>66664</v>
      </c>
      <c r="AZ1252" s="387" t="str">
        <f t="shared" si="866"/>
        <v/>
      </c>
      <c r="BA1252" s="387">
        <f t="shared" si="867"/>
        <v>0</v>
      </c>
      <c r="BB1252" s="387">
        <f t="shared" si="836"/>
        <v>11650</v>
      </c>
      <c r="BC1252" s="387">
        <f t="shared" si="837"/>
        <v>0</v>
      </c>
      <c r="BD1252" s="387">
        <f t="shared" si="838"/>
        <v>4133.1679999999997</v>
      </c>
      <c r="BE1252" s="387">
        <f t="shared" si="839"/>
        <v>966.62800000000004</v>
      </c>
      <c r="BF1252" s="387">
        <f t="shared" si="840"/>
        <v>7959.6816000000008</v>
      </c>
      <c r="BG1252" s="387">
        <f t="shared" si="841"/>
        <v>480.64744000000002</v>
      </c>
      <c r="BH1252" s="387">
        <f t="shared" si="842"/>
        <v>326.65359999999998</v>
      </c>
      <c r="BI1252" s="387">
        <f t="shared" si="843"/>
        <v>368.98523999999998</v>
      </c>
      <c r="BJ1252" s="387">
        <f t="shared" si="844"/>
        <v>179.99280000000002</v>
      </c>
      <c r="BK1252" s="387">
        <f t="shared" si="845"/>
        <v>0</v>
      </c>
      <c r="BL1252" s="387">
        <f t="shared" si="868"/>
        <v>14415.75668</v>
      </c>
      <c r="BM1252" s="387">
        <f t="shared" si="869"/>
        <v>0</v>
      </c>
      <c r="BN1252" s="387">
        <f t="shared" si="846"/>
        <v>11650</v>
      </c>
      <c r="BO1252" s="387">
        <f t="shared" si="847"/>
        <v>0</v>
      </c>
      <c r="BP1252" s="387">
        <f t="shared" si="848"/>
        <v>4133.1679999999997</v>
      </c>
      <c r="BQ1252" s="387">
        <f t="shared" si="849"/>
        <v>966.62800000000004</v>
      </c>
      <c r="BR1252" s="387">
        <f t="shared" si="850"/>
        <v>7959.6816000000008</v>
      </c>
      <c r="BS1252" s="387">
        <f t="shared" si="851"/>
        <v>480.64744000000002</v>
      </c>
      <c r="BT1252" s="387">
        <f t="shared" si="852"/>
        <v>0</v>
      </c>
      <c r="BU1252" s="387">
        <f t="shared" si="853"/>
        <v>368.98523999999998</v>
      </c>
      <c r="BV1252" s="387">
        <f t="shared" si="854"/>
        <v>226.65759999999997</v>
      </c>
      <c r="BW1252" s="387">
        <f t="shared" si="855"/>
        <v>0</v>
      </c>
      <c r="BX1252" s="387">
        <f t="shared" si="870"/>
        <v>14135.767880000001</v>
      </c>
      <c r="BY1252" s="387">
        <f t="shared" si="871"/>
        <v>0</v>
      </c>
      <c r="BZ1252" s="387">
        <f t="shared" si="872"/>
        <v>0</v>
      </c>
      <c r="CA1252" s="387">
        <f t="shared" si="873"/>
        <v>0</v>
      </c>
      <c r="CB1252" s="387">
        <f t="shared" si="874"/>
        <v>0</v>
      </c>
      <c r="CC1252" s="387">
        <f t="shared" si="856"/>
        <v>0</v>
      </c>
      <c r="CD1252" s="387">
        <f t="shared" si="857"/>
        <v>0</v>
      </c>
      <c r="CE1252" s="387">
        <f t="shared" si="858"/>
        <v>0</v>
      </c>
      <c r="CF1252" s="387">
        <f t="shared" si="859"/>
        <v>-326.65359999999998</v>
      </c>
      <c r="CG1252" s="387">
        <f t="shared" si="860"/>
        <v>0</v>
      </c>
      <c r="CH1252" s="387">
        <f t="shared" si="861"/>
        <v>46.664799999999978</v>
      </c>
      <c r="CI1252" s="387">
        <f t="shared" si="862"/>
        <v>0</v>
      </c>
      <c r="CJ1252" s="387">
        <f t="shared" si="875"/>
        <v>-279.98880000000003</v>
      </c>
      <c r="CK1252" s="387" t="str">
        <f t="shared" si="876"/>
        <v/>
      </c>
      <c r="CL1252" s="387" t="str">
        <f t="shared" si="877"/>
        <v/>
      </c>
      <c r="CM1252" s="387" t="str">
        <f t="shared" si="878"/>
        <v/>
      </c>
      <c r="CN1252" s="387" t="str">
        <f t="shared" si="879"/>
        <v>0348-31</v>
      </c>
    </row>
    <row r="1253" spans="1:92" ht="15.75" thickBot="1" x14ac:dyDescent="0.3">
      <c r="A1253" s="376" t="s">
        <v>161</v>
      </c>
      <c r="B1253" s="376" t="s">
        <v>162</v>
      </c>
      <c r="C1253" s="376" t="s">
        <v>2504</v>
      </c>
      <c r="D1253" s="376" t="s">
        <v>270</v>
      </c>
      <c r="E1253" s="376" t="s">
        <v>224</v>
      </c>
      <c r="F1253" s="382" t="s">
        <v>225</v>
      </c>
      <c r="G1253" s="376" t="s">
        <v>1945</v>
      </c>
      <c r="H1253" s="378"/>
      <c r="I1253" s="378"/>
      <c r="J1253" s="376" t="s">
        <v>215</v>
      </c>
      <c r="K1253" s="376" t="s">
        <v>271</v>
      </c>
      <c r="L1253" s="376" t="s">
        <v>217</v>
      </c>
      <c r="M1253" s="376" t="s">
        <v>566</v>
      </c>
      <c r="N1253" s="376" t="s">
        <v>172</v>
      </c>
      <c r="O1253" s="379">
        <v>0</v>
      </c>
      <c r="P1253" s="385">
        <v>0</v>
      </c>
      <c r="Q1253" s="385">
        <v>0</v>
      </c>
      <c r="R1253" s="380">
        <v>80</v>
      </c>
      <c r="S1253" s="385">
        <v>0</v>
      </c>
      <c r="T1253" s="380">
        <v>12903.85</v>
      </c>
      <c r="U1253" s="380">
        <v>444.71</v>
      </c>
      <c r="V1253" s="380">
        <v>6669.09</v>
      </c>
      <c r="W1253" s="380">
        <v>0</v>
      </c>
      <c r="X1253" s="380">
        <v>0</v>
      </c>
      <c r="Y1253" s="380">
        <v>0</v>
      </c>
      <c r="Z1253" s="380">
        <v>0</v>
      </c>
      <c r="AA1253" s="378"/>
      <c r="AB1253" s="376" t="s">
        <v>45</v>
      </c>
      <c r="AC1253" s="376" t="s">
        <v>45</v>
      </c>
      <c r="AD1253" s="378"/>
      <c r="AE1253" s="378"/>
      <c r="AF1253" s="378"/>
      <c r="AG1253" s="378"/>
      <c r="AH1253" s="379">
        <v>0</v>
      </c>
      <c r="AI1253" s="379">
        <v>0</v>
      </c>
      <c r="AJ1253" s="378"/>
      <c r="AK1253" s="378"/>
      <c r="AL1253" s="376" t="s">
        <v>181</v>
      </c>
      <c r="AM1253" s="378"/>
      <c r="AN1253" s="378"/>
      <c r="AO1253" s="379">
        <v>0</v>
      </c>
      <c r="AP1253" s="385">
        <v>0</v>
      </c>
      <c r="AQ1253" s="385">
        <v>0</v>
      </c>
      <c r="AR1253" s="384"/>
      <c r="AS1253" s="387">
        <f t="shared" si="863"/>
        <v>0</v>
      </c>
      <c r="AT1253">
        <f t="shared" si="864"/>
        <v>0</v>
      </c>
      <c r="AU1253" s="387" t="str">
        <f>IF(AT1253=0,"",IF(AND(AT1253=1,M1253="F",SUMIF(C2:C1334,C1253,AS2:AS1334)&lt;=1),SUMIF(C2:C1334,C1253,AS2:AS1334),IF(AND(AT1253=1,M1253="F",SUMIF(C2:C1334,C1253,AS2:AS1334)&gt;1),1,"")))</f>
        <v/>
      </c>
      <c r="AV1253" s="387" t="str">
        <f>IF(AT1253=0,"",IF(AND(AT1253=3,M1253="F",SUMIF(C2:C1334,C1253,AS2:AS1334)&lt;=1),SUMIF(C2:C1334,C1253,AS2:AS1334),IF(AND(AT1253=3,M1253="F",SUMIF(C2:C1334,C1253,AS2:AS1334)&gt;1),1,"")))</f>
        <v/>
      </c>
      <c r="AW1253" s="387">
        <f>SUMIF(C2:C1334,C1253,O2:O1334)</f>
        <v>0</v>
      </c>
      <c r="AX1253" s="387">
        <f>IF(AND(M1253="F",AS1253&lt;&gt;0),SUMIF(C2:C1334,C1253,W2:W1334),0)</f>
        <v>0</v>
      </c>
      <c r="AY1253" s="387" t="str">
        <f t="shared" si="865"/>
        <v/>
      </c>
      <c r="AZ1253" s="387" t="str">
        <f t="shared" si="866"/>
        <v/>
      </c>
      <c r="BA1253" s="387">
        <f t="shared" si="867"/>
        <v>0</v>
      </c>
      <c r="BB1253" s="387">
        <f t="shared" si="836"/>
        <v>0</v>
      </c>
      <c r="BC1253" s="387">
        <f t="shared" si="837"/>
        <v>0</v>
      </c>
      <c r="BD1253" s="387">
        <f t="shared" si="838"/>
        <v>0</v>
      </c>
      <c r="BE1253" s="387">
        <f t="shared" si="839"/>
        <v>0</v>
      </c>
      <c r="BF1253" s="387">
        <f t="shared" si="840"/>
        <v>0</v>
      </c>
      <c r="BG1253" s="387">
        <f t="shared" si="841"/>
        <v>0</v>
      </c>
      <c r="BH1253" s="387">
        <f t="shared" si="842"/>
        <v>0</v>
      </c>
      <c r="BI1253" s="387">
        <f t="shared" si="843"/>
        <v>0</v>
      </c>
      <c r="BJ1253" s="387">
        <f t="shared" si="844"/>
        <v>0</v>
      </c>
      <c r="BK1253" s="387">
        <f t="shared" si="845"/>
        <v>0</v>
      </c>
      <c r="BL1253" s="387">
        <f t="shared" si="868"/>
        <v>0</v>
      </c>
      <c r="BM1253" s="387">
        <f t="shared" si="869"/>
        <v>0</v>
      </c>
      <c r="BN1253" s="387">
        <f t="shared" si="846"/>
        <v>0</v>
      </c>
      <c r="BO1253" s="387">
        <f t="shared" si="847"/>
        <v>0</v>
      </c>
      <c r="BP1253" s="387">
        <f t="shared" si="848"/>
        <v>0</v>
      </c>
      <c r="BQ1253" s="387">
        <f t="shared" si="849"/>
        <v>0</v>
      </c>
      <c r="BR1253" s="387">
        <f t="shared" si="850"/>
        <v>0</v>
      </c>
      <c r="BS1253" s="387">
        <f t="shared" si="851"/>
        <v>0</v>
      </c>
      <c r="BT1253" s="387">
        <f t="shared" si="852"/>
        <v>0</v>
      </c>
      <c r="BU1253" s="387">
        <f t="shared" si="853"/>
        <v>0</v>
      </c>
      <c r="BV1253" s="387">
        <f t="shared" si="854"/>
        <v>0</v>
      </c>
      <c r="BW1253" s="387">
        <f t="shared" si="855"/>
        <v>0</v>
      </c>
      <c r="BX1253" s="387">
        <f t="shared" si="870"/>
        <v>0</v>
      </c>
      <c r="BY1253" s="387">
        <f t="shared" si="871"/>
        <v>0</v>
      </c>
      <c r="BZ1253" s="387">
        <f t="shared" si="872"/>
        <v>0</v>
      </c>
      <c r="CA1253" s="387">
        <f t="shared" si="873"/>
        <v>0</v>
      </c>
      <c r="CB1253" s="387">
        <f t="shared" si="874"/>
        <v>0</v>
      </c>
      <c r="CC1253" s="387">
        <f t="shared" si="856"/>
        <v>0</v>
      </c>
      <c r="CD1253" s="387">
        <f t="shared" si="857"/>
        <v>0</v>
      </c>
      <c r="CE1253" s="387">
        <f t="shared" si="858"/>
        <v>0</v>
      </c>
      <c r="CF1253" s="387">
        <f t="shared" si="859"/>
        <v>0</v>
      </c>
      <c r="CG1253" s="387">
        <f t="shared" si="860"/>
        <v>0</v>
      </c>
      <c r="CH1253" s="387">
        <f t="shared" si="861"/>
        <v>0</v>
      </c>
      <c r="CI1253" s="387">
        <f t="shared" si="862"/>
        <v>0</v>
      </c>
      <c r="CJ1253" s="387">
        <f t="shared" si="875"/>
        <v>0</v>
      </c>
      <c r="CK1253" s="387" t="str">
        <f t="shared" si="876"/>
        <v/>
      </c>
      <c r="CL1253" s="387" t="str">
        <f t="shared" si="877"/>
        <v/>
      </c>
      <c r="CM1253" s="387" t="str">
        <f t="shared" si="878"/>
        <v/>
      </c>
      <c r="CN1253" s="387" t="str">
        <f t="shared" si="879"/>
        <v>0348-31</v>
      </c>
    </row>
    <row r="1254" spans="1:92" ht="15.75" thickBot="1" x14ac:dyDescent="0.3">
      <c r="A1254" s="376" t="s">
        <v>161</v>
      </c>
      <c r="B1254" s="376" t="s">
        <v>162</v>
      </c>
      <c r="C1254" s="376" t="s">
        <v>2505</v>
      </c>
      <c r="D1254" s="376" t="s">
        <v>2435</v>
      </c>
      <c r="E1254" s="376" t="s">
        <v>224</v>
      </c>
      <c r="F1254" s="382" t="s">
        <v>225</v>
      </c>
      <c r="G1254" s="376" t="s">
        <v>1945</v>
      </c>
      <c r="H1254" s="378"/>
      <c r="I1254" s="378"/>
      <c r="J1254" s="376" t="s">
        <v>215</v>
      </c>
      <c r="K1254" s="376" t="s">
        <v>2436</v>
      </c>
      <c r="L1254" s="376" t="s">
        <v>210</v>
      </c>
      <c r="M1254" s="376" t="s">
        <v>171</v>
      </c>
      <c r="N1254" s="376" t="s">
        <v>172</v>
      </c>
      <c r="O1254" s="379">
        <v>1</v>
      </c>
      <c r="P1254" s="385">
        <v>1</v>
      </c>
      <c r="Q1254" s="385">
        <v>1</v>
      </c>
      <c r="R1254" s="380">
        <v>80</v>
      </c>
      <c r="S1254" s="385">
        <v>1</v>
      </c>
      <c r="T1254" s="380">
        <v>62945.599999999999</v>
      </c>
      <c r="U1254" s="380">
        <v>0</v>
      </c>
      <c r="V1254" s="380">
        <v>24609.49</v>
      </c>
      <c r="W1254" s="380">
        <v>65852.800000000003</v>
      </c>
      <c r="X1254" s="380">
        <v>25890.63</v>
      </c>
      <c r="Y1254" s="380">
        <v>65852.800000000003</v>
      </c>
      <c r="Z1254" s="380">
        <v>25614.05</v>
      </c>
      <c r="AA1254" s="376" t="s">
        <v>2506</v>
      </c>
      <c r="AB1254" s="376" t="s">
        <v>2507</v>
      </c>
      <c r="AC1254" s="376" t="s">
        <v>2508</v>
      </c>
      <c r="AD1254" s="376" t="s">
        <v>170</v>
      </c>
      <c r="AE1254" s="376" t="s">
        <v>2436</v>
      </c>
      <c r="AF1254" s="376" t="s">
        <v>245</v>
      </c>
      <c r="AG1254" s="376" t="s">
        <v>178</v>
      </c>
      <c r="AH1254" s="381">
        <v>31.66</v>
      </c>
      <c r="AI1254" s="381">
        <v>56800.2</v>
      </c>
      <c r="AJ1254" s="376" t="s">
        <v>179</v>
      </c>
      <c r="AK1254" s="376" t="s">
        <v>180</v>
      </c>
      <c r="AL1254" s="376" t="s">
        <v>181</v>
      </c>
      <c r="AM1254" s="376" t="s">
        <v>182</v>
      </c>
      <c r="AN1254" s="376" t="s">
        <v>68</v>
      </c>
      <c r="AO1254" s="379">
        <v>80</v>
      </c>
      <c r="AP1254" s="385">
        <v>1</v>
      </c>
      <c r="AQ1254" s="385">
        <v>1</v>
      </c>
      <c r="AR1254" s="383" t="s">
        <v>183</v>
      </c>
      <c r="AS1254" s="387">
        <f t="shared" si="863"/>
        <v>1</v>
      </c>
      <c r="AT1254">
        <f t="shared" si="864"/>
        <v>1</v>
      </c>
      <c r="AU1254" s="387">
        <f>IF(AT1254=0,"",IF(AND(AT1254=1,M1254="F",SUMIF(C2:C1334,C1254,AS2:AS1334)&lt;=1),SUMIF(C2:C1334,C1254,AS2:AS1334),IF(AND(AT1254=1,M1254="F",SUMIF(C2:C1334,C1254,AS2:AS1334)&gt;1),1,"")))</f>
        <v>1</v>
      </c>
      <c r="AV1254" s="387" t="str">
        <f>IF(AT1254=0,"",IF(AND(AT1254=3,M1254="F",SUMIF(C2:C1334,C1254,AS2:AS1334)&lt;=1),SUMIF(C2:C1334,C1254,AS2:AS1334),IF(AND(AT1254=3,M1254="F",SUMIF(C2:C1334,C1254,AS2:AS1334)&gt;1),1,"")))</f>
        <v/>
      </c>
      <c r="AW1254" s="387">
        <f>SUMIF(C2:C1334,C1254,O2:O1334)</f>
        <v>1</v>
      </c>
      <c r="AX1254" s="387">
        <f>IF(AND(M1254="F",AS1254&lt;&gt;0),SUMIF(C2:C1334,C1254,W2:W1334),0)</f>
        <v>65852.800000000003</v>
      </c>
      <c r="AY1254" s="387">
        <f t="shared" si="865"/>
        <v>65852.800000000003</v>
      </c>
      <c r="AZ1254" s="387" t="str">
        <f t="shared" si="866"/>
        <v/>
      </c>
      <c r="BA1254" s="387">
        <f t="shared" si="867"/>
        <v>0</v>
      </c>
      <c r="BB1254" s="387">
        <f t="shared" si="836"/>
        <v>11650</v>
      </c>
      <c r="BC1254" s="387">
        <f t="shared" si="837"/>
        <v>0</v>
      </c>
      <c r="BD1254" s="387">
        <f t="shared" si="838"/>
        <v>4082.8736000000004</v>
      </c>
      <c r="BE1254" s="387">
        <f t="shared" si="839"/>
        <v>954.86560000000009</v>
      </c>
      <c r="BF1254" s="387">
        <f t="shared" si="840"/>
        <v>7862.8243200000006</v>
      </c>
      <c r="BG1254" s="387">
        <f t="shared" si="841"/>
        <v>474.79868800000003</v>
      </c>
      <c r="BH1254" s="387">
        <f t="shared" si="842"/>
        <v>322.67872</v>
      </c>
      <c r="BI1254" s="387">
        <f t="shared" si="843"/>
        <v>364.495248</v>
      </c>
      <c r="BJ1254" s="387">
        <f t="shared" si="844"/>
        <v>177.80256000000003</v>
      </c>
      <c r="BK1254" s="387">
        <f t="shared" si="845"/>
        <v>0</v>
      </c>
      <c r="BL1254" s="387">
        <f t="shared" si="868"/>
        <v>14240.338736</v>
      </c>
      <c r="BM1254" s="387">
        <f t="shared" si="869"/>
        <v>0</v>
      </c>
      <c r="BN1254" s="387">
        <f t="shared" si="846"/>
        <v>11650</v>
      </c>
      <c r="BO1254" s="387">
        <f t="shared" si="847"/>
        <v>0</v>
      </c>
      <c r="BP1254" s="387">
        <f t="shared" si="848"/>
        <v>4082.8736000000004</v>
      </c>
      <c r="BQ1254" s="387">
        <f t="shared" si="849"/>
        <v>954.86560000000009</v>
      </c>
      <c r="BR1254" s="387">
        <f t="shared" si="850"/>
        <v>7862.8243200000006</v>
      </c>
      <c r="BS1254" s="387">
        <f t="shared" si="851"/>
        <v>474.79868800000003</v>
      </c>
      <c r="BT1254" s="387">
        <f t="shared" si="852"/>
        <v>0</v>
      </c>
      <c r="BU1254" s="387">
        <f t="shared" si="853"/>
        <v>364.495248</v>
      </c>
      <c r="BV1254" s="387">
        <f t="shared" si="854"/>
        <v>223.89952</v>
      </c>
      <c r="BW1254" s="387">
        <f t="shared" si="855"/>
        <v>0</v>
      </c>
      <c r="BX1254" s="387">
        <f t="shared" si="870"/>
        <v>13963.756976000001</v>
      </c>
      <c r="BY1254" s="387">
        <f t="shared" si="871"/>
        <v>0</v>
      </c>
      <c r="BZ1254" s="387">
        <f t="shared" si="872"/>
        <v>0</v>
      </c>
      <c r="CA1254" s="387">
        <f t="shared" si="873"/>
        <v>0</v>
      </c>
      <c r="CB1254" s="387">
        <f t="shared" si="874"/>
        <v>0</v>
      </c>
      <c r="CC1254" s="387">
        <f t="shared" si="856"/>
        <v>0</v>
      </c>
      <c r="CD1254" s="387">
        <f t="shared" si="857"/>
        <v>0</v>
      </c>
      <c r="CE1254" s="387">
        <f t="shared" si="858"/>
        <v>0</v>
      </c>
      <c r="CF1254" s="387">
        <f t="shared" si="859"/>
        <v>-322.67872</v>
      </c>
      <c r="CG1254" s="387">
        <f t="shared" si="860"/>
        <v>0</v>
      </c>
      <c r="CH1254" s="387">
        <f t="shared" si="861"/>
        <v>46.096959999999982</v>
      </c>
      <c r="CI1254" s="387">
        <f t="shared" si="862"/>
        <v>0</v>
      </c>
      <c r="CJ1254" s="387">
        <f t="shared" si="875"/>
        <v>-276.58176000000003</v>
      </c>
      <c r="CK1254" s="387" t="str">
        <f t="shared" si="876"/>
        <v/>
      </c>
      <c r="CL1254" s="387" t="str">
        <f t="shared" si="877"/>
        <v/>
      </c>
      <c r="CM1254" s="387" t="str">
        <f t="shared" si="878"/>
        <v/>
      </c>
      <c r="CN1254" s="387" t="str">
        <f t="shared" si="879"/>
        <v>0348-31</v>
      </c>
    </row>
    <row r="1255" spans="1:92" ht="15.75" thickBot="1" x14ac:dyDescent="0.3">
      <c r="A1255" s="376" t="s">
        <v>161</v>
      </c>
      <c r="B1255" s="376" t="s">
        <v>162</v>
      </c>
      <c r="C1255" s="376" t="s">
        <v>2509</v>
      </c>
      <c r="D1255" s="376" t="s">
        <v>974</v>
      </c>
      <c r="E1255" s="376" t="s">
        <v>224</v>
      </c>
      <c r="F1255" s="382" t="s">
        <v>225</v>
      </c>
      <c r="G1255" s="376" t="s">
        <v>1945</v>
      </c>
      <c r="H1255" s="378"/>
      <c r="I1255" s="378"/>
      <c r="J1255" s="376" t="s">
        <v>215</v>
      </c>
      <c r="K1255" s="376" t="s">
        <v>975</v>
      </c>
      <c r="L1255" s="376" t="s">
        <v>296</v>
      </c>
      <c r="M1255" s="376" t="s">
        <v>171</v>
      </c>
      <c r="N1255" s="376" t="s">
        <v>172</v>
      </c>
      <c r="O1255" s="379">
        <v>1</v>
      </c>
      <c r="P1255" s="385">
        <v>1</v>
      </c>
      <c r="Q1255" s="385">
        <v>1</v>
      </c>
      <c r="R1255" s="380">
        <v>80</v>
      </c>
      <c r="S1255" s="385">
        <v>1</v>
      </c>
      <c r="T1255" s="380">
        <v>42093.120000000003</v>
      </c>
      <c r="U1255" s="380">
        <v>713.35</v>
      </c>
      <c r="V1255" s="380">
        <v>20407.41</v>
      </c>
      <c r="W1255" s="380">
        <v>49358.400000000001</v>
      </c>
      <c r="X1255" s="380">
        <v>22323.72</v>
      </c>
      <c r="Y1255" s="380">
        <v>49358.400000000001</v>
      </c>
      <c r="Z1255" s="380">
        <v>22116.42</v>
      </c>
      <c r="AA1255" s="376" t="s">
        <v>2510</v>
      </c>
      <c r="AB1255" s="376" t="s">
        <v>2366</v>
      </c>
      <c r="AC1255" s="376" t="s">
        <v>606</v>
      </c>
      <c r="AD1255" s="376" t="s">
        <v>1238</v>
      </c>
      <c r="AE1255" s="376" t="s">
        <v>975</v>
      </c>
      <c r="AF1255" s="376" t="s">
        <v>301</v>
      </c>
      <c r="AG1255" s="376" t="s">
        <v>178</v>
      </c>
      <c r="AH1255" s="381">
        <v>23.73</v>
      </c>
      <c r="AI1255" s="381">
        <v>20305.599999999999</v>
      </c>
      <c r="AJ1255" s="376" t="s">
        <v>179</v>
      </c>
      <c r="AK1255" s="376" t="s">
        <v>180</v>
      </c>
      <c r="AL1255" s="376" t="s">
        <v>181</v>
      </c>
      <c r="AM1255" s="376" t="s">
        <v>182</v>
      </c>
      <c r="AN1255" s="376" t="s">
        <v>68</v>
      </c>
      <c r="AO1255" s="379">
        <v>80</v>
      </c>
      <c r="AP1255" s="385">
        <v>1</v>
      </c>
      <c r="AQ1255" s="385">
        <v>1</v>
      </c>
      <c r="AR1255" s="383" t="s">
        <v>183</v>
      </c>
      <c r="AS1255" s="387">
        <f t="shared" si="863"/>
        <v>1</v>
      </c>
      <c r="AT1255">
        <f t="shared" si="864"/>
        <v>1</v>
      </c>
      <c r="AU1255" s="387">
        <f>IF(AT1255=0,"",IF(AND(AT1255=1,M1255="F",SUMIF(C2:C1334,C1255,AS2:AS1334)&lt;=1),SUMIF(C2:C1334,C1255,AS2:AS1334),IF(AND(AT1255=1,M1255="F",SUMIF(C2:C1334,C1255,AS2:AS1334)&gt;1),1,"")))</f>
        <v>1</v>
      </c>
      <c r="AV1255" s="387" t="str">
        <f>IF(AT1255=0,"",IF(AND(AT1255=3,M1255="F",SUMIF(C2:C1334,C1255,AS2:AS1334)&lt;=1),SUMIF(C2:C1334,C1255,AS2:AS1334),IF(AND(AT1255=3,M1255="F",SUMIF(C2:C1334,C1255,AS2:AS1334)&gt;1),1,"")))</f>
        <v/>
      </c>
      <c r="AW1255" s="387">
        <f>SUMIF(C2:C1334,C1255,O2:O1334)</f>
        <v>1</v>
      </c>
      <c r="AX1255" s="387">
        <f>IF(AND(M1255="F",AS1255&lt;&gt;0),SUMIF(C2:C1334,C1255,W2:W1334),0)</f>
        <v>49358.400000000001</v>
      </c>
      <c r="AY1255" s="387">
        <f t="shared" si="865"/>
        <v>49358.400000000001</v>
      </c>
      <c r="AZ1255" s="387" t="str">
        <f t="shared" si="866"/>
        <v/>
      </c>
      <c r="BA1255" s="387">
        <f t="shared" si="867"/>
        <v>0</v>
      </c>
      <c r="BB1255" s="387">
        <f t="shared" si="836"/>
        <v>11650</v>
      </c>
      <c r="BC1255" s="387">
        <f t="shared" si="837"/>
        <v>0</v>
      </c>
      <c r="BD1255" s="387">
        <f t="shared" si="838"/>
        <v>3060.2208000000001</v>
      </c>
      <c r="BE1255" s="387">
        <f t="shared" si="839"/>
        <v>715.69680000000005</v>
      </c>
      <c r="BF1255" s="387">
        <f t="shared" si="840"/>
        <v>5893.3929600000001</v>
      </c>
      <c r="BG1255" s="387">
        <f t="shared" si="841"/>
        <v>355.87406400000003</v>
      </c>
      <c r="BH1255" s="387">
        <f t="shared" si="842"/>
        <v>241.85615999999999</v>
      </c>
      <c r="BI1255" s="387">
        <f t="shared" si="843"/>
        <v>273.19874400000003</v>
      </c>
      <c r="BJ1255" s="387">
        <f t="shared" si="844"/>
        <v>133.26768000000001</v>
      </c>
      <c r="BK1255" s="387">
        <f t="shared" si="845"/>
        <v>0</v>
      </c>
      <c r="BL1255" s="387">
        <f t="shared" si="868"/>
        <v>10673.507207999999</v>
      </c>
      <c r="BM1255" s="387">
        <f t="shared" si="869"/>
        <v>0</v>
      </c>
      <c r="BN1255" s="387">
        <f t="shared" si="846"/>
        <v>11650</v>
      </c>
      <c r="BO1255" s="387">
        <f t="shared" si="847"/>
        <v>0</v>
      </c>
      <c r="BP1255" s="387">
        <f t="shared" si="848"/>
        <v>3060.2208000000001</v>
      </c>
      <c r="BQ1255" s="387">
        <f t="shared" si="849"/>
        <v>715.69680000000005</v>
      </c>
      <c r="BR1255" s="387">
        <f t="shared" si="850"/>
        <v>5893.3929600000001</v>
      </c>
      <c r="BS1255" s="387">
        <f t="shared" si="851"/>
        <v>355.87406400000003</v>
      </c>
      <c r="BT1255" s="387">
        <f t="shared" si="852"/>
        <v>0</v>
      </c>
      <c r="BU1255" s="387">
        <f t="shared" si="853"/>
        <v>273.19874400000003</v>
      </c>
      <c r="BV1255" s="387">
        <f t="shared" si="854"/>
        <v>167.81855999999999</v>
      </c>
      <c r="BW1255" s="387">
        <f t="shared" si="855"/>
        <v>0</v>
      </c>
      <c r="BX1255" s="387">
        <f t="shared" si="870"/>
        <v>10466.201927999999</v>
      </c>
      <c r="BY1255" s="387">
        <f t="shared" si="871"/>
        <v>0</v>
      </c>
      <c r="BZ1255" s="387">
        <f t="shared" si="872"/>
        <v>0</v>
      </c>
      <c r="CA1255" s="387">
        <f t="shared" si="873"/>
        <v>0</v>
      </c>
      <c r="CB1255" s="387">
        <f t="shared" si="874"/>
        <v>0</v>
      </c>
      <c r="CC1255" s="387">
        <f t="shared" si="856"/>
        <v>0</v>
      </c>
      <c r="CD1255" s="387">
        <f t="shared" si="857"/>
        <v>0</v>
      </c>
      <c r="CE1255" s="387">
        <f t="shared" si="858"/>
        <v>0</v>
      </c>
      <c r="CF1255" s="387">
        <f t="shared" si="859"/>
        <v>-241.85615999999999</v>
      </c>
      <c r="CG1255" s="387">
        <f t="shared" si="860"/>
        <v>0</v>
      </c>
      <c r="CH1255" s="387">
        <f t="shared" si="861"/>
        <v>34.550879999999985</v>
      </c>
      <c r="CI1255" s="387">
        <f t="shared" si="862"/>
        <v>0</v>
      </c>
      <c r="CJ1255" s="387">
        <f t="shared" si="875"/>
        <v>-207.30528000000001</v>
      </c>
      <c r="CK1255" s="387" t="str">
        <f t="shared" si="876"/>
        <v/>
      </c>
      <c r="CL1255" s="387" t="str">
        <f t="shared" si="877"/>
        <v/>
      </c>
      <c r="CM1255" s="387" t="str">
        <f t="shared" si="878"/>
        <v/>
      </c>
      <c r="CN1255" s="387" t="str">
        <f t="shared" si="879"/>
        <v>0348-31</v>
      </c>
    </row>
    <row r="1256" spans="1:92" ht="15.75" thickBot="1" x14ac:dyDescent="0.3">
      <c r="A1256" s="376" t="s">
        <v>161</v>
      </c>
      <c r="B1256" s="376" t="s">
        <v>162</v>
      </c>
      <c r="C1256" s="376" t="s">
        <v>2511</v>
      </c>
      <c r="D1256" s="376" t="s">
        <v>270</v>
      </c>
      <c r="E1256" s="376" t="s">
        <v>224</v>
      </c>
      <c r="F1256" s="382" t="s">
        <v>225</v>
      </c>
      <c r="G1256" s="376" t="s">
        <v>1945</v>
      </c>
      <c r="H1256" s="378"/>
      <c r="I1256" s="378"/>
      <c r="J1256" s="376" t="s">
        <v>215</v>
      </c>
      <c r="K1256" s="376" t="s">
        <v>271</v>
      </c>
      <c r="L1256" s="376" t="s">
        <v>217</v>
      </c>
      <c r="M1256" s="376" t="s">
        <v>171</v>
      </c>
      <c r="N1256" s="376" t="s">
        <v>172</v>
      </c>
      <c r="O1256" s="379">
        <v>1</v>
      </c>
      <c r="P1256" s="385">
        <v>1</v>
      </c>
      <c r="Q1256" s="385">
        <v>1</v>
      </c>
      <c r="R1256" s="380">
        <v>80</v>
      </c>
      <c r="S1256" s="385">
        <v>1</v>
      </c>
      <c r="T1256" s="380">
        <v>35177.599999999999</v>
      </c>
      <c r="U1256" s="380">
        <v>0</v>
      </c>
      <c r="V1256" s="380">
        <v>18789.62</v>
      </c>
      <c r="W1256" s="380">
        <v>36649.599999999999</v>
      </c>
      <c r="X1256" s="380">
        <v>19575.439999999999</v>
      </c>
      <c r="Y1256" s="380">
        <v>36649.599999999999</v>
      </c>
      <c r="Z1256" s="380">
        <v>19421.509999999998</v>
      </c>
      <c r="AA1256" s="376" t="s">
        <v>2512</v>
      </c>
      <c r="AB1256" s="376" t="s">
        <v>2513</v>
      </c>
      <c r="AC1256" s="376" t="s">
        <v>2514</v>
      </c>
      <c r="AD1256" s="376" t="s">
        <v>1066</v>
      </c>
      <c r="AE1256" s="376" t="s">
        <v>271</v>
      </c>
      <c r="AF1256" s="376" t="s">
        <v>221</v>
      </c>
      <c r="AG1256" s="376" t="s">
        <v>178</v>
      </c>
      <c r="AH1256" s="381">
        <v>17.62</v>
      </c>
      <c r="AI1256" s="379">
        <v>20265</v>
      </c>
      <c r="AJ1256" s="376" t="s">
        <v>179</v>
      </c>
      <c r="AK1256" s="376" t="s">
        <v>180</v>
      </c>
      <c r="AL1256" s="376" t="s">
        <v>181</v>
      </c>
      <c r="AM1256" s="376" t="s">
        <v>182</v>
      </c>
      <c r="AN1256" s="376" t="s">
        <v>68</v>
      </c>
      <c r="AO1256" s="379">
        <v>80</v>
      </c>
      <c r="AP1256" s="385">
        <v>1</v>
      </c>
      <c r="AQ1256" s="385">
        <v>1</v>
      </c>
      <c r="AR1256" s="383" t="s">
        <v>183</v>
      </c>
      <c r="AS1256" s="387">
        <f t="shared" si="863"/>
        <v>1</v>
      </c>
      <c r="AT1256">
        <f t="shared" si="864"/>
        <v>1</v>
      </c>
      <c r="AU1256" s="387">
        <f>IF(AT1256=0,"",IF(AND(AT1256=1,M1256="F",SUMIF(C2:C1334,C1256,AS2:AS1334)&lt;=1),SUMIF(C2:C1334,C1256,AS2:AS1334),IF(AND(AT1256=1,M1256="F",SUMIF(C2:C1334,C1256,AS2:AS1334)&gt;1),1,"")))</f>
        <v>1</v>
      </c>
      <c r="AV1256" s="387" t="str">
        <f>IF(AT1256=0,"",IF(AND(AT1256=3,M1256="F",SUMIF(C2:C1334,C1256,AS2:AS1334)&lt;=1),SUMIF(C2:C1334,C1256,AS2:AS1334),IF(AND(AT1256=3,M1256="F",SUMIF(C2:C1334,C1256,AS2:AS1334)&gt;1),1,"")))</f>
        <v/>
      </c>
      <c r="AW1256" s="387">
        <f>SUMIF(C2:C1334,C1256,O2:O1334)</f>
        <v>1</v>
      </c>
      <c r="AX1256" s="387">
        <f>IF(AND(M1256="F",AS1256&lt;&gt;0),SUMIF(C2:C1334,C1256,W2:W1334),0)</f>
        <v>36649.599999999999</v>
      </c>
      <c r="AY1256" s="387">
        <f t="shared" si="865"/>
        <v>36649.599999999999</v>
      </c>
      <c r="AZ1256" s="387" t="str">
        <f t="shared" si="866"/>
        <v/>
      </c>
      <c r="BA1256" s="387">
        <f t="shared" si="867"/>
        <v>0</v>
      </c>
      <c r="BB1256" s="387">
        <f t="shared" si="836"/>
        <v>11650</v>
      </c>
      <c r="BC1256" s="387">
        <f t="shared" si="837"/>
        <v>0</v>
      </c>
      <c r="BD1256" s="387">
        <f t="shared" si="838"/>
        <v>2272.2752</v>
      </c>
      <c r="BE1256" s="387">
        <f t="shared" si="839"/>
        <v>531.41920000000005</v>
      </c>
      <c r="BF1256" s="387">
        <f t="shared" si="840"/>
        <v>4375.9622399999998</v>
      </c>
      <c r="BG1256" s="387">
        <f t="shared" si="841"/>
        <v>264.24361599999997</v>
      </c>
      <c r="BH1256" s="387">
        <f t="shared" si="842"/>
        <v>179.58303999999998</v>
      </c>
      <c r="BI1256" s="387">
        <f t="shared" si="843"/>
        <v>202.855536</v>
      </c>
      <c r="BJ1256" s="387">
        <f t="shared" si="844"/>
        <v>98.953919999999997</v>
      </c>
      <c r="BK1256" s="387">
        <f t="shared" si="845"/>
        <v>0</v>
      </c>
      <c r="BL1256" s="387">
        <f t="shared" si="868"/>
        <v>7925.2927520000003</v>
      </c>
      <c r="BM1256" s="387">
        <f t="shared" si="869"/>
        <v>0</v>
      </c>
      <c r="BN1256" s="387">
        <f t="shared" si="846"/>
        <v>11650</v>
      </c>
      <c r="BO1256" s="387">
        <f t="shared" si="847"/>
        <v>0</v>
      </c>
      <c r="BP1256" s="387">
        <f t="shared" si="848"/>
        <v>2272.2752</v>
      </c>
      <c r="BQ1256" s="387">
        <f t="shared" si="849"/>
        <v>531.41920000000005</v>
      </c>
      <c r="BR1256" s="387">
        <f t="shared" si="850"/>
        <v>4375.9622399999998</v>
      </c>
      <c r="BS1256" s="387">
        <f t="shared" si="851"/>
        <v>264.24361599999997</v>
      </c>
      <c r="BT1256" s="387">
        <f t="shared" si="852"/>
        <v>0</v>
      </c>
      <c r="BU1256" s="387">
        <f t="shared" si="853"/>
        <v>202.855536</v>
      </c>
      <c r="BV1256" s="387">
        <f t="shared" si="854"/>
        <v>124.60863999999999</v>
      </c>
      <c r="BW1256" s="387">
        <f t="shared" si="855"/>
        <v>0</v>
      </c>
      <c r="BX1256" s="387">
        <f t="shared" si="870"/>
        <v>7771.3644320000003</v>
      </c>
      <c r="BY1256" s="387">
        <f t="shared" si="871"/>
        <v>0</v>
      </c>
      <c r="BZ1256" s="387">
        <f t="shared" si="872"/>
        <v>0</v>
      </c>
      <c r="CA1256" s="387">
        <f t="shared" si="873"/>
        <v>0</v>
      </c>
      <c r="CB1256" s="387">
        <f t="shared" si="874"/>
        <v>0</v>
      </c>
      <c r="CC1256" s="387">
        <f t="shared" si="856"/>
        <v>0</v>
      </c>
      <c r="CD1256" s="387">
        <f t="shared" si="857"/>
        <v>0</v>
      </c>
      <c r="CE1256" s="387">
        <f t="shared" si="858"/>
        <v>0</v>
      </c>
      <c r="CF1256" s="387">
        <f t="shared" si="859"/>
        <v>-179.58303999999998</v>
      </c>
      <c r="CG1256" s="387">
        <f t="shared" si="860"/>
        <v>0</v>
      </c>
      <c r="CH1256" s="387">
        <f t="shared" si="861"/>
        <v>25.654719999999987</v>
      </c>
      <c r="CI1256" s="387">
        <f t="shared" si="862"/>
        <v>0</v>
      </c>
      <c r="CJ1256" s="387">
        <f t="shared" si="875"/>
        <v>-153.92831999999999</v>
      </c>
      <c r="CK1256" s="387" t="str">
        <f t="shared" si="876"/>
        <v/>
      </c>
      <c r="CL1256" s="387" t="str">
        <f t="shared" si="877"/>
        <v/>
      </c>
      <c r="CM1256" s="387" t="str">
        <f t="shared" si="878"/>
        <v/>
      </c>
      <c r="CN1256" s="387" t="str">
        <f t="shared" si="879"/>
        <v>0348-31</v>
      </c>
    </row>
    <row r="1257" spans="1:92" ht="15.75" thickBot="1" x14ac:dyDescent="0.3">
      <c r="A1257" s="376" t="s">
        <v>161</v>
      </c>
      <c r="B1257" s="376" t="s">
        <v>162</v>
      </c>
      <c r="C1257" s="376" t="s">
        <v>1704</v>
      </c>
      <c r="D1257" s="376" t="s">
        <v>608</v>
      </c>
      <c r="E1257" s="376" t="s">
        <v>224</v>
      </c>
      <c r="F1257" s="382" t="s">
        <v>225</v>
      </c>
      <c r="G1257" s="376" t="s">
        <v>1945</v>
      </c>
      <c r="H1257" s="378"/>
      <c r="I1257" s="378"/>
      <c r="J1257" s="376" t="s">
        <v>215</v>
      </c>
      <c r="K1257" s="376" t="s">
        <v>609</v>
      </c>
      <c r="L1257" s="376" t="s">
        <v>181</v>
      </c>
      <c r="M1257" s="376" t="s">
        <v>171</v>
      </c>
      <c r="N1257" s="376" t="s">
        <v>172</v>
      </c>
      <c r="O1257" s="379">
        <v>1</v>
      </c>
      <c r="P1257" s="385">
        <v>1</v>
      </c>
      <c r="Q1257" s="385">
        <v>1</v>
      </c>
      <c r="R1257" s="380">
        <v>80</v>
      </c>
      <c r="S1257" s="385">
        <v>1</v>
      </c>
      <c r="T1257" s="380">
        <v>0</v>
      </c>
      <c r="U1257" s="380">
        <v>0</v>
      </c>
      <c r="V1257" s="380">
        <v>0</v>
      </c>
      <c r="W1257" s="380">
        <v>95576</v>
      </c>
      <c r="X1257" s="380">
        <v>32318.29</v>
      </c>
      <c r="Y1257" s="380">
        <v>95576</v>
      </c>
      <c r="Z1257" s="380">
        <v>31916.87</v>
      </c>
      <c r="AA1257" s="376" t="s">
        <v>1705</v>
      </c>
      <c r="AB1257" s="376" t="s">
        <v>1706</v>
      </c>
      <c r="AC1257" s="376" t="s">
        <v>1707</v>
      </c>
      <c r="AD1257" s="376" t="s">
        <v>1708</v>
      </c>
      <c r="AE1257" s="376" t="s">
        <v>609</v>
      </c>
      <c r="AF1257" s="376" t="s">
        <v>211</v>
      </c>
      <c r="AG1257" s="376" t="s">
        <v>178</v>
      </c>
      <c r="AH1257" s="381">
        <v>45.95</v>
      </c>
      <c r="AI1257" s="381">
        <v>59441.1</v>
      </c>
      <c r="AJ1257" s="376" t="s">
        <v>179</v>
      </c>
      <c r="AK1257" s="376" t="s">
        <v>180</v>
      </c>
      <c r="AL1257" s="376" t="s">
        <v>181</v>
      </c>
      <c r="AM1257" s="376" t="s">
        <v>182</v>
      </c>
      <c r="AN1257" s="376" t="s">
        <v>68</v>
      </c>
      <c r="AO1257" s="379">
        <v>80</v>
      </c>
      <c r="AP1257" s="385">
        <v>1</v>
      </c>
      <c r="AQ1257" s="385">
        <v>1</v>
      </c>
      <c r="AR1257" s="383" t="s">
        <v>183</v>
      </c>
      <c r="AS1257" s="387">
        <f t="shared" si="863"/>
        <v>1</v>
      </c>
      <c r="AT1257">
        <f t="shared" si="864"/>
        <v>1</v>
      </c>
      <c r="AU1257" s="387">
        <f>IF(AT1257=0,"",IF(AND(AT1257=1,M1257="F",SUMIF(C2:C1334,C1257,AS2:AS1334)&lt;=1),SUMIF(C2:C1334,C1257,AS2:AS1334),IF(AND(AT1257=1,M1257="F",SUMIF(C2:C1334,C1257,AS2:AS1334)&gt;1),1,"")))</f>
        <v>1</v>
      </c>
      <c r="AV1257" s="387" t="str">
        <f>IF(AT1257=0,"",IF(AND(AT1257=3,M1257="F",SUMIF(C2:C1334,C1257,AS2:AS1334)&lt;=1),SUMIF(C2:C1334,C1257,AS2:AS1334),IF(AND(AT1257=3,M1257="F",SUMIF(C2:C1334,C1257,AS2:AS1334)&gt;1),1,"")))</f>
        <v/>
      </c>
      <c r="AW1257" s="387">
        <f>SUMIF(C2:C1334,C1257,O2:O1334)</f>
        <v>2</v>
      </c>
      <c r="AX1257" s="387">
        <f>IF(AND(M1257="F",AS1257&lt;&gt;0),SUMIF(C2:C1334,C1257,W2:W1334),0)</f>
        <v>95576</v>
      </c>
      <c r="AY1257" s="387">
        <f t="shared" si="865"/>
        <v>95576</v>
      </c>
      <c r="AZ1257" s="387" t="str">
        <f t="shared" si="866"/>
        <v/>
      </c>
      <c r="BA1257" s="387">
        <f t="shared" si="867"/>
        <v>0</v>
      </c>
      <c r="BB1257" s="387">
        <f t="shared" si="836"/>
        <v>11650</v>
      </c>
      <c r="BC1257" s="387">
        <f t="shared" si="837"/>
        <v>0</v>
      </c>
      <c r="BD1257" s="387">
        <f t="shared" si="838"/>
        <v>5925.7119999999995</v>
      </c>
      <c r="BE1257" s="387">
        <f t="shared" si="839"/>
        <v>1385.8520000000001</v>
      </c>
      <c r="BF1257" s="387">
        <f t="shared" si="840"/>
        <v>11411.7744</v>
      </c>
      <c r="BG1257" s="387">
        <f t="shared" si="841"/>
        <v>689.10296000000005</v>
      </c>
      <c r="BH1257" s="387">
        <f t="shared" si="842"/>
        <v>468.32239999999996</v>
      </c>
      <c r="BI1257" s="387">
        <f t="shared" si="843"/>
        <v>529.01315999999997</v>
      </c>
      <c r="BJ1257" s="387">
        <f t="shared" si="844"/>
        <v>258.05520000000001</v>
      </c>
      <c r="BK1257" s="387">
        <f t="shared" si="845"/>
        <v>0</v>
      </c>
      <c r="BL1257" s="387">
        <f t="shared" si="868"/>
        <v>20667.832119999999</v>
      </c>
      <c r="BM1257" s="387">
        <f t="shared" si="869"/>
        <v>0</v>
      </c>
      <c r="BN1257" s="387">
        <f t="shared" si="846"/>
        <v>11650</v>
      </c>
      <c r="BO1257" s="387">
        <f t="shared" si="847"/>
        <v>0</v>
      </c>
      <c r="BP1257" s="387">
        <f t="shared" si="848"/>
        <v>5925.7119999999995</v>
      </c>
      <c r="BQ1257" s="387">
        <f t="shared" si="849"/>
        <v>1385.8520000000001</v>
      </c>
      <c r="BR1257" s="387">
        <f t="shared" si="850"/>
        <v>11411.7744</v>
      </c>
      <c r="BS1257" s="387">
        <f t="shared" si="851"/>
        <v>689.10296000000005</v>
      </c>
      <c r="BT1257" s="387">
        <f t="shared" si="852"/>
        <v>0</v>
      </c>
      <c r="BU1257" s="387">
        <f t="shared" si="853"/>
        <v>529.01315999999997</v>
      </c>
      <c r="BV1257" s="387">
        <f t="shared" si="854"/>
        <v>324.95839999999998</v>
      </c>
      <c r="BW1257" s="387">
        <f t="shared" si="855"/>
        <v>0</v>
      </c>
      <c r="BX1257" s="387">
        <f t="shared" si="870"/>
        <v>20266.412919999999</v>
      </c>
      <c r="BY1257" s="387">
        <f t="shared" si="871"/>
        <v>0</v>
      </c>
      <c r="BZ1257" s="387">
        <f t="shared" si="872"/>
        <v>0</v>
      </c>
      <c r="CA1257" s="387">
        <f t="shared" si="873"/>
        <v>0</v>
      </c>
      <c r="CB1257" s="387">
        <f t="shared" si="874"/>
        <v>0</v>
      </c>
      <c r="CC1257" s="387">
        <f t="shared" si="856"/>
        <v>0</v>
      </c>
      <c r="CD1257" s="387">
        <f t="shared" si="857"/>
        <v>0</v>
      </c>
      <c r="CE1257" s="387">
        <f t="shared" si="858"/>
        <v>0</v>
      </c>
      <c r="CF1257" s="387">
        <f t="shared" si="859"/>
        <v>-468.32239999999996</v>
      </c>
      <c r="CG1257" s="387">
        <f t="shared" si="860"/>
        <v>0</v>
      </c>
      <c r="CH1257" s="387">
        <f t="shared" si="861"/>
        <v>66.90319999999997</v>
      </c>
      <c r="CI1257" s="387">
        <f t="shared" si="862"/>
        <v>0</v>
      </c>
      <c r="CJ1257" s="387">
        <f t="shared" si="875"/>
        <v>-401.41919999999999</v>
      </c>
      <c r="CK1257" s="387" t="str">
        <f t="shared" si="876"/>
        <v/>
      </c>
      <c r="CL1257" s="387" t="str">
        <f t="shared" si="877"/>
        <v/>
      </c>
      <c r="CM1257" s="387" t="str">
        <f t="shared" si="878"/>
        <v/>
      </c>
      <c r="CN1257" s="387" t="str">
        <f t="shared" si="879"/>
        <v>0348-31</v>
      </c>
    </row>
    <row r="1258" spans="1:92" ht="15.75" thickBot="1" x14ac:dyDescent="0.3">
      <c r="A1258" s="376" t="s">
        <v>161</v>
      </c>
      <c r="B1258" s="376" t="s">
        <v>162</v>
      </c>
      <c r="C1258" s="376" t="s">
        <v>1839</v>
      </c>
      <c r="D1258" s="376" t="s">
        <v>1840</v>
      </c>
      <c r="E1258" s="376" t="s">
        <v>224</v>
      </c>
      <c r="F1258" s="382" t="s">
        <v>225</v>
      </c>
      <c r="G1258" s="376" t="s">
        <v>1945</v>
      </c>
      <c r="H1258" s="378"/>
      <c r="I1258" s="378"/>
      <c r="J1258" s="376" t="s">
        <v>215</v>
      </c>
      <c r="K1258" s="376" t="s">
        <v>1841</v>
      </c>
      <c r="L1258" s="376" t="s">
        <v>166</v>
      </c>
      <c r="M1258" s="376" t="s">
        <v>171</v>
      </c>
      <c r="N1258" s="376" t="s">
        <v>780</v>
      </c>
      <c r="O1258" s="379">
        <v>0</v>
      </c>
      <c r="P1258" s="385">
        <v>1</v>
      </c>
      <c r="Q1258" s="385">
        <v>0</v>
      </c>
      <c r="R1258" s="380">
        <v>0</v>
      </c>
      <c r="S1258" s="385">
        <v>0</v>
      </c>
      <c r="T1258" s="380">
        <v>0</v>
      </c>
      <c r="U1258" s="380">
        <v>0</v>
      </c>
      <c r="V1258" s="380">
        <v>0</v>
      </c>
      <c r="W1258" s="380">
        <v>19393.48</v>
      </c>
      <c r="X1258" s="380">
        <v>1563.83</v>
      </c>
      <c r="Y1258" s="380">
        <v>19393.48</v>
      </c>
      <c r="Z1258" s="380">
        <v>1563.83</v>
      </c>
      <c r="AA1258" s="378"/>
      <c r="AB1258" s="376" t="s">
        <v>45</v>
      </c>
      <c r="AC1258" s="376" t="s">
        <v>45</v>
      </c>
      <c r="AD1258" s="378"/>
      <c r="AE1258" s="378"/>
      <c r="AF1258" s="378"/>
      <c r="AG1258" s="378"/>
      <c r="AH1258" s="379">
        <v>0</v>
      </c>
      <c r="AI1258" s="379">
        <v>0</v>
      </c>
      <c r="AJ1258" s="378"/>
      <c r="AK1258" s="378"/>
      <c r="AL1258" s="376" t="s">
        <v>181</v>
      </c>
      <c r="AM1258" s="378"/>
      <c r="AN1258" s="378"/>
      <c r="AO1258" s="379">
        <v>0</v>
      </c>
      <c r="AP1258" s="385">
        <v>0</v>
      </c>
      <c r="AQ1258" s="385">
        <v>0</v>
      </c>
      <c r="AR1258" s="384"/>
      <c r="AS1258" s="387">
        <f t="shared" si="863"/>
        <v>0</v>
      </c>
      <c r="AT1258">
        <f t="shared" si="864"/>
        <v>0</v>
      </c>
      <c r="AU1258" s="387" t="str">
        <f>IF(AT1258=0,"",IF(AND(AT1258=1,M1258="F",SUMIF(C2:C1334,C1258,AS2:AS1334)&lt;=1),SUMIF(C2:C1334,C1258,AS2:AS1334),IF(AND(AT1258=1,M1258="F",SUMIF(C2:C1334,C1258,AS2:AS1334)&gt;1),1,"")))</f>
        <v/>
      </c>
      <c r="AV1258" s="387" t="str">
        <f>IF(AT1258=0,"",IF(AND(AT1258=3,M1258="F",SUMIF(C2:C1334,C1258,AS2:AS1334)&lt;=1),SUMIF(C2:C1334,C1258,AS2:AS1334),IF(AND(AT1258=3,M1258="F",SUMIF(C2:C1334,C1258,AS2:AS1334)&gt;1),1,"")))</f>
        <v/>
      </c>
      <c r="AW1258" s="387">
        <f>SUMIF(C2:C1334,C1258,O2:O1334)</f>
        <v>0</v>
      </c>
      <c r="AX1258" s="387">
        <f>IF(AND(M1258="F",AS1258&lt;&gt;0),SUMIF(C2:C1334,C1258,W2:W1334),0)</f>
        <v>0</v>
      </c>
      <c r="AY1258" s="387" t="str">
        <f t="shared" si="865"/>
        <v/>
      </c>
      <c r="AZ1258" s="387" t="str">
        <f t="shared" si="866"/>
        <v/>
      </c>
      <c r="BA1258" s="387">
        <f t="shared" si="867"/>
        <v>0</v>
      </c>
      <c r="BB1258" s="387">
        <f t="shared" si="836"/>
        <v>0</v>
      </c>
      <c r="BC1258" s="387">
        <f t="shared" si="837"/>
        <v>0</v>
      </c>
      <c r="BD1258" s="387">
        <f t="shared" si="838"/>
        <v>0</v>
      </c>
      <c r="BE1258" s="387">
        <f t="shared" si="839"/>
        <v>0</v>
      </c>
      <c r="BF1258" s="387">
        <f t="shared" si="840"/>
        <v>0</v>
      </c>
      <c r="BG1258" s="387">
        <f t="shared" si="841"/>
        <v>0</v>
      </c>
      <c r="BH1258" s="387">
        <f t="shared" si="842"/>
        <v>0</v>
      </c>
      <c r="BI1258" s="387">
        <f t="shared" si="843"/>
        <v>0</v>
      </c>
      <c r="BJ1258" s="387">
        <f t="shared" si="844"/>
        <v>0</v>
      </c>
      <c r="BK1258" s="387">
        <f t="shared" si="845"/>
        <v>0</v>
      </c>
      <c r="BL1258" s="387">
        <f t="shared" si="868"/>
        <v>0</v>
      </c>
      <c r="BM1258" s="387">
        <f t="shared" si="869"/>
        <v>0</v>
      </c>
      <c r="BN1258" s="387">
        <f t="shared" si="846"/>
        <v>0</v>
      </c>
      <c r="BO1258" s="387">
        <f t="shared" si="847"/>
        <v>0</v>
      </c>
      <c r="BP1258" s="387">
        <f t="shared" si="848"/>
        <v>0</v>
      </c>
      <c r="BQ1258" s="387">
        <f t="shared" si="849"/>
        <v>0</v>
      </c>
      <c r="BR1258" s="387">
        <f t="shared" si="850"/>
        <v>0</v>
      </c>
      <c r="BS1258" s="387">
        <f t="shared" si="851"/>
        <v>0</v>
      </c>
      <c r="BT1258" s="387">
        <f t="shared" si="852"/>
        <v>0</v>
      </c>
      <c r="BU1258" s="387">
        <f t="shared" si="853"/>
        <v>0</v>
      </c>
      <c r="BV1258" s="387">
        <f t="shared" si="854"/>
        <v>0</v>
      </c>
      <c r="BW1258" s="387">
        <f t="shared" si="855"/>
        <v>0</v>
      </c>
      <c r="BX1258" s="387">
        <f t="shared" si="870"/>
        <v>0</v>
      </c>
      <c r="BY1258" s="387">
        <f t="shared" si="871"/>
        <v>0</v>
      </c>
      <c r="BZ1258" s="387">
        <f t="shared" si="872"/>
        <v>0</v>
      </c>
      <c r="CA1258" s="387">
        <f t="shared" si="873"/>
        <v>0</v>
      </c>
      <c r="CB1258" s="387">
        <f t="shared" si="874"/>
        <v>0</v>
      </c>
      <c r="CC1258" s="387">
        <f t="shared" si="856"/>
        <v>0</v>
      </c>
      <c r="CD1258" s="387">
        <f t="shared" si="857"/>
        <v>0</v>
      </c>
      <c r="CE1258" s="387">
        <f t="shared" si="858"/>
        <v>0</v>
      </c>
      <c r="CF1258" s="387">
        <f t="shared" si="859"/>
        <v>0</v>
      </c>
      <c r="CG1258" s="387">
        <f t="shared" si="860"/>
        <v>0</v>
      </c>
      <c r="CH1258" s="387">
        <f t="shared" si="861"/>
        <v>0</v>
      </c>
      <c r="CI1258" s="387">
        <f t="shared" si="862"/>
        <v>0</v>
      </c>
      <c r="CJ1258" s="387">
        <f t="shared" si="875"/>
        <v>0</v>
      </c>
      <c r="CK1258" s="387" t="str">
        <f t="shared" si="876"/>
        <v/>
      </c>
      <c r="CL1258" s="387">
        <f t="shared" si="877"/>
        <v>0</v>
      </c>
      <c r="CM1258" s="387">
        <f t="shared" si="878"/>
        <v>0</v>
      </c>
      <c r="CN1258" s="387" t="str">
        <f t="shared" si="879"/>
        <v>0348-31</v>
      </c>
    </row>
    <row r="1259" spans="1:92" ht="15.75" thickBot="1" x14ac:dyDescent="0.3">
      <c r="A1259" s="376" t="s">
        <v>161</v>
      </c>
      <c r="B1259" s="376" t="s">
        <v>162</v>
      </c>
      <c r="C1259" s="376" t="s">
        <v>2515</v>
      </c>
      <c r="D1259" s="376" t="s">
        <v>792</v>
      </c>
      <c r="E1259" s="376" t="s">
        <v>224</v>
      </c>
      <c r="F1259" s="382" t="s">
        <v>225</v>
      </c>
      <c r="G1259" s="376" t="s">
        <v>1945</v>
      </c>
      <c r="H1259" s="378"/>
      <c r="I1259" s="378"/>
      <c r="J1259" s="376" t="s">
        <v>215</v>
      </c>
      <c r="K1259" s="376" t="s">
        <v>793</v>
      </c>
      <c r="L1259" s="376" t="s">
        <v>170</v>
      </c>
      <c r="M1259" s="376" t="s">
        <v>171</v>
      </c>
      <c r="N1259" s="376" t="s">
        <v>172</v>
      </c>
      <c r="O1259" s="379">
        <v>1</v>
      </c>
      <c r="P1259" s="385">
        <v>1</v>
      </c>
      <c r="Q1259" s="385">
        <v>1</v>
      </c>
      <c r="R1259" s="380">
        <v>80</v>
      </c>
      <c r="S1259" s="385">
        <v>1</v>
      </c>
      <c r="T1259" s="380">
        <v>65822.3</v>
      </c>
      <c r="U1259" s="380">
        <v>0</v>
      </c>
      <c r="V1259" s="380">
        <v>25334.79</v>
      </c>
      <c r="W1259" s="380">
        <v>68390.399999999994</v>
      </c>
      <c r="X1259" s="380">
        <v>26439.4</v>
      </c>
      <c r="Y1259" s="380">
        <v>68390.399999999994</v>
      </c>
      <c r="Z1259" s="380">
        <v>26152.16</v>
      </c>
      <c r="AA1259" s="376" t="s">
        <v>2516</v>
      </c>
      <c r="AB1259" s="376" t="s">
        <v>2517</v>
      </c>
      <c r="AC1259" s="376" t="s">
        <v>730</v>
      </c>
      <c r="AD1259" s="376" t="s">
        <v>210</v>
      </c>
      <c r="AE1259" s="376" t="s">
        <v>793</v>
      </c>
      <c r="AF1259" s="376" t="s">
        <v>177</v>
      </c>
      <c r="AG1259" s="376" t="s">
        <v>178</v>
      </c>
      <c r="AH1259" s="381">
        <v>32.880000000000003</v>
      </c>
      <c r="AI1259" s="381">
        <v>46859.4</v>
      </c>
      <c r="AJ1259" s="376" t="s">
        <v>179</v>
      </c>
      <c r="AK1259" s="376" t="s">
        <v>180</v>
      </c>
      <c r="AL1259" s="376" t="s">
        <v>181</v>
      </c>
      <c r="AM1259" s="376" t="s">
        <v>182</v>
      </c>
      <c r="AN1259" s="376" t="s">
        <v>68</v>
      </c>
      <c r="AO1259" s="379">
        <v>80</v>
      </c>
      <c r="AP1259" s="385">
        <v>1</v>
      </c>
      <c r="AQ1259" s="385">
        <v>1</v>
      </c>
      <c r="AR1259" s="383" t="s">
        <v>183</v>
      </c>
      <c r="AS1259" s="387">
        <f t="shared" si="863"/>
        <v>1</v>
      </c>
      <c r="AT1259">
        <f t="shared" si="864"/>
        <v>1</v>
      </c>
      <c r="AU1259" s="387">
        <f>IF(AT1259=0,"",IF(AND(AT1259=1,M1259="F",SUMIF(C2:C1334,C1259,AS2:AS1334)&lt;=1),SUMIF(C2:C1334,C1259,AS2:AS1334),IF(AND(AT1259=1,M1259="F",SUMIF(C2:C1334,C1259,AS2:AS1334)&gt;1),1,"")))</f>
        <v>1</v>
      </c>
      <c r="AV1259" s="387" t="str">
        <f>IF(AT1259=0,"",IF(AND(AT1259=3,M1259="F",SUMIF(C2:C1334,C1259,AS2:AS1334)&lt;=1),SUMIF(C2:C1334,C1259,AS2:AS1334),IF(AND(AT1259=3,M1259="F",SUMIF(C2:C1334,C1259,AS2:AS1334)&gt;1),1,"")))</f>
        <v/>
      </c>
      <c r="AW1259" s="387">
        <f>SUMIF(C2:C1334,C1259,O2:O1334)</f>
        <v>1</v>
      </c>
      <c r="AX1259" s="387">
        <f>IF(AND(M1259="F",AS1259&lt;&gt;0),SUMIF(C2:C1334,C1259,W2:W1334),0)</f>
        <v>68390.399999999994</v>
      </c>
      <c r="AY1259" s="387">
        <f t="shared" si="865"/>
        <v>68390.399999999994</v>
      </c>
      <c r="AZ1259" s="387" t="str">
        <f t="shared" si="866"/>
        <v/>
      </c>
      <c r="BA1259" s="387">
        <f t="shared" si="867"/>
        <v>0</v>
      </c>
      <c r="BB1259" s="387">
        <f t="shared" si="836"/>
        <v>11650</v>
      </c>
      <c r="BC1259" s="387">
        <f t="shared" si="837"/>
        <v>0</v>
      </c>
      <c r="BD1259" s="387">
        <f t="shared" si="838"/>
        <v>4240.2047999999995</v>
      </c>
      <c r="BE1259" s="387">
        <f t="shared" si="839"/>
        <v>991.66079999999999</v>
      </c>
      <c r="BF1259" s="387">
        <f t="shared" si="840"/>
        <v>8165.81376</v>
      </c>
      <c r="BG1259" s="387">
        <f t="shared" si="841"/>
        <v>493.094784</v>
      </c>
      <c r="BH1259" s="387">
        <f t="shared" si="842"/>
        <v>335.11295999999999</v>
      </c>
      <c r="BI1259" s="387">
        <f t="shared" si="843"/>
        <v>378.54086399999994</v>
      </c>
      <c r="BJ1259" s="387">
        <f t="shared" si="844"/>
        <v>184.65407999999999</v>
      </c>
      <c r="BK1259" s="387">
        <f t="shared" si="845"/>
        <v>0</v>
      </c>
      <c r="BL1259" s="387">
        <f t="shared" si="868"/>
        <v>14789.082048</v>
      </c>
      <c r="BM1259" s="387">
        <f t="shared" si="869"/>
        <v>0</v>
      </c>
      <c r="BN1259" s="387">
        <f t="shared" si="846"/>
        <v>11650</v>
      </c>
      <c r="BO1259" s="387">
        <f t="shared" si="847"/>
        <v>0</v>
      </c>
      <c r="BP1259" s="387">
        <f t="shared" si="848"/>
        <v>4240.2047999999995</v>
      </c>
      <c r="BQ1259" s="387">
        <f t="shared" si="849"/>
        <v>991.66079999999999</v>
      </c>
      <c r="BR1259" s="387">
        <f t="shared" si="850"/>
        <v>8165.81376</v>
      </c>
      <c r="BS1259" s="387">
        <f t="shared" si="851"/>
        <v>493.094784</v>
      </c>
      <c r="BT1259" s="387">
        <f t="shared" si="852"/>
        <v>0</v>
      </c>
      <c r="BU1259" s="387">
        <f t="shared" si="853"/>
        <v>378.54086399999994</v>
      </c>
      <c r="BV1259" s="387">
        <f t="shared" si="854"/>
        <v>232.52735999999996</v>
      </c>
      <c r="BW1259" s="387">
        <f t="shared" si="855"/>
        <v>0</v>
      </c>
      <c r="BX1259" s="387">
        <f t="shared" si="870"/>
        <v>14501.842368</v>
      </c>
      <c r="BY1259" s="387">
        <f t="shared" si="871"/>
        <v>0</v>
      </c>
      <c r="BZ1259" s="387">
        <f t="shared" si="872"/>
        <v>0</v>
      </c>
      <c r="CA1259" s="387">
        <f t="shared" si="873"/>
        <v>0</v>
      </c>
      <c r="CB1259" s="387">
        <f t="shared" si="874"/>
        <v>0</v>
      </c>
      <c r="CC1259" s="387">
        <f t="shared" si="856"/>
        <v>0</v>
      </c>
      <c r="CD1259" s="387">
        <f t="shared" si="857"/>
        <v>0</v>
      </c>
      <c r="CE1259" s="387">
        <f t="shared" si="858"/>
        <v>0</v>
      </c>
      <c r="CF1259" s="387">
        <f t="shared" si="859"/>
        <v>-335.11295999999999</v>
      </c>
      <c r="CG1259" s="387">
        <f t="shared" si="860"/>
        <v>0</v>
      </c>
      <c r="CH1259" s="387">
        <f t="shared" si="861"/>
        <v>47.873279999999973</v>
      </c>
      <c r="CI1259" s="387">
        <f t="shared" si="862"/>
        <v>0</v>
      </c>
      <c r="CJ1259" s="387">
        <f t="shared" si="875"/>
        <v>-287.23968000000002</v>
      </c>
      <c r="CK1259" s="387" t="str">
        <f t="shared" si="876"/>
        <v/>
      </c>
      <c r="CL1259" s="387" t="str">
        <f t="shared" si="877"/>
        <v/>
      </c>
      <c r="CM1259" s="387" t="str">
        <f t="shared" si="878"/>
        <v/>
      </c>
      <c r="CN1259" s="387" t="str">
        <f t="shared" si="879"/>
        <v>0348-31</v>
      </c>
    </row>
    <row r="1260" spans="1:92" ht="15.75" thickBot="1" x14ac:dyDescent="0.3">
      <c r="A1260" s="376" t="s">
        <v>161</v>
      </c>
      <c r="B1260" s="376" t="s">
        <v>162</v>
      </c>
      <c r="C1260" s="376" t="s">
        <v>1766</v>
      </c>
      <c r="D1260" s="376" t="s">
        <v>1767</v>
      </c>
      <c r="E1260" s="376" t="s">
        <v>224</v>
      </c>
      <c r="F1260" s="382" t="s">
        <v>225</v>
      </c>
      <c r="G1260" s="376" t="s">
        <v>1945</v>
      </c>
      <c r="H1260" s="378"/>
      <c r="I1260" s="378"/>
      <c r="J1260" s="376" t="s">
        <v>215</v>
      </c>
      <c r="K1260" s="376" t="s">
        <v>1768</v>
      </c>
      <c r="L1260" s="376" t="s">
        <v>296</v>
      </c>
      <c r="M1260" s="376" t="s">
        <v>171</v>
      </c>
      <c r="N1260" s="376" t="s">
        <v>172</v>
      </c>
      <c r="O1260" s="379">
        <v>1</v>
      </c>
      <c r="P1260" s="385">
        <v>1</v>
      </c>
      <c r="Q1260" s="385">
        <v>1</v>
      </c>
      <c r="R1260" s="380">
        <v>80</v>
      </c>
      <c r="S1260" s="385">
        <v>1</v>
      </c>
      <c r="T1260" s="380">
        <v>38756.720000000001</v>
      </c>
      <c r="U1260" s="380">
        <v>2016.85</v>
      </c>
      <c r="V1260" s="380">
        <v>18986.61</v>
      </c>
      <c r="W1260" s="380">
        <v>43139.199999999997</v>
      </c>
      <c r="X1260" s="380">
        <v>20978.83</v>
      </c>
      <c r="Y1260" s="380">
        <v>43139.199999999997</v>
      </c>
      <c r="Z1260" s="380">
        <v>20797.650000000001</v>
      </c>
      <c r="AA1260" s="376" t="s">
        <v>1769</v>
      </c>
      <c r="AB1260" s="376" t="s">
        <v>1770</v>
      </c>
      <c r="AC1260" s="376" t="s">
        <v>1771</v>
      </c>
      <c r="AD1260" s="376" t="s">
        <v>198</v>
      </c>
      <c r="AE1260" s="376" t="s">
        <v>1768</v>
      </c>
      <c r="AF1260" s="376" t="s">
        <v>301</v>
      </c>
      <c r="AG1260" s="376" t="s">
        <v>178</v>
      </c>
      <c r="AH1260" s="381">
        <v>20.74</v>
      </c>
      <c r="AI1260" s="381">
        <v>4992.7</v>
      </c>
      <c r="AJ1260" s="376" t="s">
        <v>179</v>
      </c>
      <c r="AK1260" s="376" t="s">
        <v>180</v>
      </c>
      <c r="AL1260" s="376" t="s">
        <v>181</v>
      </c>
      <c r="AM1260" s="376" t="s">
        <v>182</v>
      </c>
      <c r="AN1260" s="376" t="s">
        <v>68</v>
      </c>
      <c r="AO1260" s="379">
        <v>80</v>
      </c>
      <c r="AP1260" s="385">
        <v>1</v>
      </c>
      <c r="AQ1260" s="385">
        <v>1</v>
      </c>
      <c r="AR1260" s="383" t="s">
        <v>183</v>
      </c>
      <c r="AS1260" s="387">
        <f t="shared" si="863"/>
        <v>1</v>
      </c>
      <c r="AT1260">
        <f t="shared" si="864"/>
        <v>1</v>
      </c>
      <c r="AU1260" s="387">
        <f>IF(AT1260=0,"",IF(AND(AT1260=1,M1260="F",SUMIF(C2:C1334,C1260,AS2:AS1334)&lt;=1),SUMIF(C2:C1334,C1260,AS2:AS1334),IF(AND(AT1260=1,M1260="F",SUMIF(C2:C1334,C1260,AS2:AS1334)&gt;1),1,"")))</f>
        <v>1</v>
      </c>
      <c r="AV1260" s="387" t="str">
        <f>IF(AT1260=0,"",IF(AND(AT1260=3,M1260="F",SUMIF(C2:C1334,C1260,AS2:AS1334)&lt;=1),SUMIF(C2:C1334,C1260,AS2:AS1334),IF(AND(AT1260=3,M1260="F",SUMIF(C2:C1334,C1260,AS2:AS1334)&gt;1),1,"")))</f>
        <v/>
      </c>
      <c r="AW1260" s="387">
        <f>SUMIF(C2:C1334,C1260,O2:O1334)</f>
        <v>2</v>
      </c>
      <c r="AX1260" s="387">
        <f>IF(AND(M1260="F",AS1260&lt;&gt;0),SUMIF(C2:C1334,C1260,W2:W1334),0)</f>
        <v>43139.199999999997</v>
      </c>
      <c r="AY1260" s="387">
        <f t="shared" si="865"/>
        <v>43139.199999999997</v>
      </c>
      <c r="AZ1260" s="387" t="str">
        <f t="shared" si="866"/>
        <v/>
      </c>
      <c r="BA1260" s="387">
        <f t="shared" si="867"/>
        <v>0</v>
      </c>
      <c r="BB1260" s="387">
        <f t="shared" si="836"/>
        <v>11650</v>
      </c>
      <c r="BC1260" s="387">
        <f t="shared" si="837"/>
        <v>0</v>
      </c>
      <c r="BD1260" s="387">
        <f t="shared" si="838"/>
        <v>2674.6304</v>
      </c>
      <c r="BE1260" s="387">
        <f t="shared" si="839"/>
        <v>625.51840000000004</v>
      </c>
      <c r="BF1260" s="387">
        <f t="shared" si="840"/>
        <v>5150.8204800000003</v>
      </c>
      <c r="BG1260" s="387">
        <f t="shared" si="841"/>
        <v>311.03363200000001</v>
      </c>
      <c r="BH1260" s="387">
        <f t="shared" si="842"/>
        <v>211.38207999999997</v>
      </c>
      <c r="BI1260" s="387">
        <f t="shared" si="843"/>
        <v>238.77547199999998</v>
      </c>
      <c r="BJ1260" s="387">
        <f t="shared" si="844"/>
        <v>116.47584000000001</v>
      </c>
      <c r="BK1260" s="387">
        <f t="shared" si="845"/>
        <v>0</v>
      </c>
      <c r="BL1260" s="387">
        <f t="shared" si="868"/>
        <v>9328.6363039999997</v>
      </c>
      <c r="BM1260" s="387">
        <f t="shared" si="869"/>
        <v>0</v>
      </c>
      <c r="BN1260" s="387">
        <f t="shared" si="846"/>
        <v>11650</v>
      </c>
      <c r="BO1260" s="387">
        <f t="shared" si="847"/>
        <v>0</v>
      </c>
      <c r="BP1260" s="387">
        <f t="shared" si="848"/>
        <v>2674.6304</v>
      </c>
      <c r="BQ1260" s="387">
        <f t="shared" si="849"/>
        <v>625.51840000000004</v>
      </c>
      <c r="BR1260" s="387">
        <f t="shared" si="850"/>
        <v>5150.8204800000003</v>
      </c>
      <c r="BS1260" s="387">
        <f t="shared" si="851"/>
        <v>311.03363200000001</v>
      </c>
      <c r="BT1260" s="387">
        <f t="shared" si="852"/>
        <v>0</v>
      </c>
      <c r="BU1260" s="387">
        <f t="shared" si="853"/>
        <v>238.77547199999998</v>
      </c>
      <c r="BV1260" s="387">
        <f t="shared" si="854"/>
        <v>146.67327999999998</v>
      </c>
      <c r="BW1260" s="387">
        <f t="shared" si="855"/>
        <v>0</v>
      </c>
      <c r="BX1260" s="387">
        <f t="shared" si="870"/>
        <v>9147.4516640000002</v>
      </c>
      <c r="BY1260" s="387">
        <f t="shared" si="871"/>
        <v>0</v>
      </c>
      <c r="BZ1260" s="387">
        <f t="shared" si="872"/>
        <v>0</v>
      </c>
      <c r="CA1260" s="387">
        <f t="shared" si="873"/>
        <v>0</v>
      </c>
      <c r="CB1260" s="387">
        <f t="shared" si="874"/>
        <v>0</v>
      </c>
      <c r="CC1260" s="387">
        <f t="shared" si="856"/>
        <v>0</v>
      </c>
      <c r="CD1260" s="387">
        <f t="shared" si="857"/>
        <v>0</v>
      </c>
      <c r="CE1260" s="387">
        <f t="shared" si="858"/>
        <v>0</v>
      </c>
      <c r="CF1260" s="387">
        <f t="shared" si="859"/>
        <v>-211.38207999999997</v>
      </c>
      <c r="CG1260" s="387">
        <f t="shared" si="860"/>
        <v>0</v>
      </c>
      <c r="CH1260" s="387">
        <f t="shared" si="861"/>
        <v>30.197439999999983</v>
      </c>
      <c r="CI1260" s="387">
        <f t="shared" si="862"/>
        <v>0</v>
      </c>
      <c r="CJ1260" s="387">
        <f t="shared" si="875"/>
        <v>-181.18464</v>
      </c>
      <c r="CK1260" s="387" t="str">
        <f t="shared" si="876"/>
        <v/>
      </c>
      <c r="CL1260" s="387" t="str">
        <f t="shared" si="877"/>
        <v/>
      </c>
      <c r="CM1260" s="387" t="str">
        <f t="shared" si="878"/>
        <v/>
      </c>
      <c r="CN1260" s="387" t="str">
        <f t="shared" si="879"/>
        <v>0348-31</v>
      </c>
    </row>
    <row r="1261" spans="1:92" ht="15.75" thickBot="1" x14ac:dyDescent="0.3">
      <c r="A1261" s="376" t="s">
        <v>161</v>
      </c>
      <c r="B1261" s="376" t="s">
        <v>162</v>
      </c>
      <c r="C1261" s="376" t="s">
        <v>1714</v>
      </c>
      <c r="D1261" s="376" t="s">
        <v>868</v>
      </c>
      <c r="E1261" s="376" t="s">
        <v>224</v>
      </c>
      <c r="F1261" s="382" t="s">
        <v>225</v>
      </c>
      <c r="G1261" s="376" t="s">
        <v>1945</v>
      </c>
      <c r="H1261" s="378"/>
      <c r="I1261" s="378"/>
      <c r="J1261" s="376" t="s">
        <v>215</v>
      </c>
      <c r="K1261" s="376" t="s">
        <v>869</v>
      </c>
      <c r="L1261" s="376" t="s">
        <v>296</v>
      </c>
      <c r="M1261" s="376" t="s">
        <v>171</v>
      </c>
      <c r="N1261" s="376" t="s">
        <v>172</v>
      </c>
      <c r="O1261" s="379">
        <v>1</v>
      </c>
      <c r="P1261" s="385">
        <v>1</v>
      </c>
      <c r="Q1261" s="385">
        <v>1</v>
      </c>
      <c r="R1261" s="380">
        <v>80</v>
      </c>
      <c r="S1261" s="385">
        <v>1</v>
      </c>
      <c r="T1261" s="380">
        <v>0</v>
      </c>
      <c r="U1261" s="380">
        <v>0</v>
      </c>
      <c r="V1261" s="380">
        <v>0</v>
      </c>
      <c r="W1261" s="380">
        <v>42016</v>
      </c>
      <c r="X1261" s="380">
        <v>20735.93</v>
      </c>
      <c r="Y1261" s="380">
        <v>42016</v>
      </c>
      <c r="Z1261" s="380">
        <v>20559.47</v>
      </c>
      <c r="AA1261" s="376" t="s">
        <v>1715</v>
      </c>
      <c r="AB1261" s="376" t="s">
        <v>1716</v>
      </c>
      <c r="AC1261" s="376" t="s">
        <v>176</v>
      </c>
      <c r="AD1261" s="376" t="s">
        <v>1028</v>
      </c>
      <c r="AE1261" s="376" t="s">
        <v>873</v>
      </c>
      <c r="AF1261" s="376" t="s">
        <v>393</v>
      </c>
      <c r="AG1261" s="376" t="s">
        <v>178</v>
      </c>
      <c r="AH1261" s="381">
        <v>20.2</v>
      </c>
      <c r="AI1261" s="381">
        <v>27088.400000000001</v>
      </c>
      <c r="AJ1261" s="376" t="s">
        <v>179</v>
      </c>
      <c r="AK1261" s="376" t="s">
        <v>180</v>
      </c>
      <c r="AL1261" s="376" t="s">
        <v>181</v>
      </c>
      <c r="AM1261" s="376" t="s">
        <v>182</v>
      </c>
      <c r="AN1261" s="376" t="s">
        <v>68</v>
      </c>
      <c r="AO1261" s="379">
        <v>80</v>
      </c>
      <c r="AP1261" s="385">
        <v>1</v>
      </c>
      <c r="AQ1261" s="385">
        <v>1</v>
      </c>
      <c r="AR1261" s="383">
        <v>3</v>
      </c>
      <c r="AS1261" s="387">
        <f t="shared" si="863"/>
        <v>1</v>
      </c>
      <c r="AT1261">
        <f t="shared" si="864"/>
        <v>1</v>
      </c>
      <c r="AU1261" s="387">
        <f>IF(AT1261=0,"",IF(AND(AT1261=1,M1261="F",SUMIF(C2:C1334,C1261,AS2:AS1334)&lt;=1),SUMIF(C2:C1334,C1261,AS2:AS1334),IF(AND(AT1261=1,M1261="F",SUMIF(C2:C1334,C1261,AS2:AS1334)&gt;1),1,"")))</f>
        <v>1</v>
      </c>
      <c r="AV1261" s="387" t="str">
        <f>IF(AT1261=0,"",IF(AND(AT1261=3,M1261="F",SUMIF(C2:C1334,C1261,AS2:AS1334)&lt;=1),SUMIF(C2:C1334,C1261,AS2:AS1334),IF(AND(AT1261=3,M1261="F",SUMIF(C2:C1334,C1261,AS2:AS1334)&gt;1),1,"")))</f>
        <v/>
      </c>
      <c r="AW1261" s="387">
        <f>SUMIF(C2:C1334,C1261,O2:O1334)</f>
        <v>2</v>
      </c>
      <c r="AX1261" s="387">
        <f>IF(AND(M1261="F",AS1261&lt;&gt;0),SUMIF(C2:C1334,C1261,W2:W1334),0)</f>
        <v>42016</v>
      </c>
      <c r="AY1261" s="387">
        <f t="shared" si="865"/>
        <v>42016</v>
      </c>
      <c r="AZ1261" s="387" t="str">
        <f t="shared" si="866"/>
        <v/>
      </c>
      <c r="BA1261" s="387">
        <f t="shared" si="867"/>
        <v>0</v>
      </c>
      <c r="BB1261" s="387">
        <f t="shared" si="836"/>
        <v>11650</v>
      </c>
      <c r="BC1261" s="387">
        <f t="shared" si="837"/>
        <v>0</v>
      </c>
      <c r="BD1261" s="387">
        <f t="shared" si="838"/>
        <v>2604.9920000000002</v>
      </c>
      <c r="BE1261" s="387">
        <f t="shared" si="839"/>
        <v>609.23200000000008</v>
      </c>
      <c r="BF1261" s="387">
        <f t="shared" si="840"/>
        <v>5016.7103999999999</v>
      </c>
      <c r="BG1261" s="387">
        <f t="shared" si="841"/>
        <v>302.93536</v>
      </c>
      <c r="BH1261" s="387">
        <f t="shared" si="842"/>
        <v>205.8784</v>
      </c>
      <c r="BI1261" s="387">
        <f t="shared" si="843"/>
        <v>232.55856</v>
      </c>
      <c r="BJ1261" s="387">
        <f t="shared" si="844"/>
        <v>113.4432</v>
      </c>
      <c r="BK1261" s="387">
        <f t="shared" si="845"/>
        <v>0</v>
      </c>
      <c r="BL1261" s="387">
        <f t="shared" si="868"/>
        <v>9085.7499199999984</v>
      </c>
      <c r="BM1261" s="387">
        <f t="shared" si="869"/>
        <v>0</v>
      </c>
      <c r="BN1261" s="387">
        <f t="shared" si="846"/>
        <v>11650</v>
      </c>
      <c r="BO1261" s="387">
        <f t="shared" si="847"/>
        <v>0</v>
      </c>
      <c r="BP1261" s="387">
        <f t="shared" si="848"/>
        <v>2604.9920000000002</v>
      </c>
      <c r="BQ1261" s="387">
        <f t="shared" si="849"/>
        <v>609.23200000000008</v>
      </c>
      <c r="BR1261" s="387">
        <f t="shared" si="850"/>
        <v>5016.7103999999999</v>
      </c>
      <c r="BS1261" s="387">
        <f t="shared" si="851"/>
        <v>302.93536</v>
      </c>
      <c r="BT1261" s="387">
        <f t="shared" si="852"/>
        <v>0</v>
      </c>
      <c r="BU1261" s="387">
        <f t="shared" si="853"/>
        <v>232.55856</v>
      </c>
      <c r="BV1261" s="387">
        <f t="shared" si="854"/>
        <v>142.8544</v>
      </c>
      <c r="BW1261" s="387">
        <f t="shared" si="855"/>
        <v>0</v>
      </c>
      <c r="BX1261" s="387">
        <f t="shared" si="870"/>
        <v>8909.2827199999992</v>
      </c>
      <c r="BY1261" s="387">
        <f t="shared" si="871"/>
        <v>0</v>
      </c>
      <c r="BZ1261" s="387">
        <f t="shared" si="872"/>
        <v>0</v>
      </c>
      <c r="CA1261" s="387">
        <f t="shared" si="873"/>
        <v>0</v>
      </c>
      <c r="CB1261" s="387">
        <f t="shared" si="874"/>
        <v>0</v>
      </c>
      <c r="CC1261" s="387">
        <f t="shared" si="856"/>
        <v>0</v>
      </c>
      <c r="CD1261" s="387">
        <f t="shared" si="857"/>
        <v>0</v>
      </c>
      <c r="CE1261" s="387">
        <f t="shared" si="858"/>
        <v>0</v>
      </c>
      <c r="CF1261" s="387">
        <f t="shared" si="859"/>
        <v>-205.8784</v>
      </c>
      <c r="CG1261" s="387">
        <f t="shared" si="860"/>
        <v>0</v>
      </c>
      <c r="CH1261" s="387">
        <f t="shared" si="861"/>
        <v>29.411199999999987</v>
      </c>
      <c r="CI1261" s="387">
        <f t="shared" si="862"/>
        <v>0</v>
      </c>
      <c r="CJ1261" s="387">
        <f t="shared" si="875"/>
        <v>-176.46720000000002</v>
      </c>
      <c r="CK1261" s="387" t="str">
        <f t="shared" si="876"/>
        <v/>
      </c>
      <c r="CL1261" s="387" t="str">
        <f t="shared" si="877"/>
        <v/>
      </c>
      <c r="CM1261" s="387" t="str">
        <f t="shared" si="878"/>
        <v/>
      </c>
      <c r="CN1261" s="387" t="str">
        <f t="shared" si="879"/>
        <v>0348-31</v>
      </c>
    </row>
    <row r="1262" spans="1:92" ht="15.75" thickBot="1" x14ac:dyDescent="0.3">
      <c r="A1262" s="376" t="s">
        <v>161</v>
      </c>
      <c r="B1262" s="376" t="s">
        <v>162</v>
      </c>
      <c r="C1262" s="376" t="s">
        <v>1697</v>
      </c>
      <c r="D1262" s="376" t="s">
        <v>862</v>
      </c>
      <c r="E1262" s="376" t="s">
        <v>224</v>
      </c>
      <c r="F1262" s="382" t="s">
        <v>225</v>
      </c>
      <c r="G1262" s="376" t="s">
        <v>1945</v>
      </c>
      <c r="H1262" s="378"/>
      <c r="I1262" s="378"/>
      <c r="J1262" s="376" t="s">
        <v>239</v>
      </c>
      <c r="K1262" s="376" t="s">
        <v>863</v>
      </c>
      <c r="L1262" s="376" t="s">
        <v>252</v>
      </c>
      <c r="M1262" s="376" t="s">
        <v>171</v>
      </c>
      <c r="N1262" s="376" t="s">
        <v>172</v>
      </c>
      <c r="O1262" s="379">
        <v>1</v>
      </c>
      <c r="P1262" s="385">
        <v>0</v>
      </c>
      <c r="Q1262" s="385">
        <v>0</v>
      </c>
      <c r="R1262" s="380">
        <v>80</v>
      </c>
      <c r="S1262" s="385">
        <v>0</v>
      </c>
      <c r="T1262" s="380">
        <v>2492.02</v>
      </c>
      <c r="U1262" s="380">
        <v>0</v>
      </c>
      <c r="V1262" s="380">
        <v>1170.83</v>
      </c>
      <c r="W1262" s="380">
        <v>0</v>
      </c>
      <c r="X1262" s="380">
        <v>0</v>
      </c>
      <c r="Y1262" s="380">
        <v>0</v>
      </c>
      <c r="Z1262" s="380">
        <v>0</v>
      </c>
      <c r="AA1262" s="376" t="s">
        <v>1698</v>
      </c>
      <c r="AB1262" s="376" t="s">
        <v>1699</v>
      </c>
      <c r="AC1262" s="376" t="s">
        <v>1605</v>
      </c>
      <c r="AD1262" s="376" t="s">
        <v>566</v>
      </c>
      <c r="AE1262" s="376" t="s">
        <v>863</v>
      </c>
      <c r="AF1262" s="376" t="s">
        <v>393</v>
      </c>
      <c r="AG1262" s="376" t="s">
        <v>178</v>
      </c>
      <c r="AH1262" s="381">
        <v>24.14</v>
      </c>
      <c r="AI1262" s="379">
        <v>19382</v>
      </c>
      <c r="AJ1262" s="376" t="s">
        <v>179</v>
      </c>
      <c r="AK1262" s="376" t="s">
        <v>180</v>
      </c>
      <c r="AL1262" s="376" t="s">
        <v>181</v>
      </c>
      <c r="AM1262" s="376" t="s">
        <v>182</v>
      </c>
      <c r="AN1262" s="376" t="s">
        <v>68</v>
      </c>
      <c r="AO1262" s="379">
        <v>80</v>
      </c>
      <c r="AP1262" s="385">
        <v>1</v>
      </c>
      <c r="AQ1262" s="385">
        <v>0</v>
      </c>
      <c r="AR1262" s="383" t="s">
        <v>183</v>
      </c>
      <c r="AS1262" s="387">
        <f t="shared" si="863"/>
        <v>0</v>
      </c>
      <c r="AT1262">
        <f t="shared" si="864"/>
        <v>0</v>
      </c>
      <c r="AU1262" s="387" t="str">
        <f>IF(AT1262=0,"",IF(AND(AT1262=1,M1262="F",SUMIF(C2:C1334,C1262,AS2:AS1334)&lt;=1),SUMIF(C2:C1334,C1262,AS2:AS1334),IF(AND(AT1262=1,M1262="F",SUMIF(C2:C1334,C1262,AS2:AS1334)&gt;1),1,"")))</f>
        <v/>
      </c>
      <c r="AV1262" s="387" t="str">
        <f>IF(AT1262=0,"",IF(AND(AT1262=3,M1262="F",SUMIF(C2:C1334,C1262,AS2:AS1334)&lt;=1),SUMIF(C2:C1334,C1262,AS2:AS1334),IF(AND(AT1262=3,M1262="F",SUMIF(C2:C1334,C1262,AS2:AS1334)&gt;1),1,"")))</f>
        <v/>
      </c>
      <c r="AW1262" s="387">
        <f>SUMIF(C2:C1334,C1262,O2:O1334)</f>
        <v>3</v>
      </c>
      <c r="AX1262" s="387">
        <f>IF(AND(M1262="F",AS1262&lt;&gt;0),SUMIF(C2:C1334,C1262,W2:W1334),0)</f>
        <v>0</v>
      </c>
      <c r="AY1262" s="387" t="str">
        <f t="shared" si="865"/>
        <v/>
      </c>
      <c r="AZ1262" s="387" t="str">
        <f t="shared" si="866"/>
        <v/>
      </c>
      <c r="BA1262" s="387">
        <f t="shared" si="867"/>
        <v>0</v>
      </c>
      <c r="BB1262" s="387">
        <f t="shared" si="836"/>
        <v>0</v>
      </c>
      <c r="BC1262" s="387">
        <f t="shared" si="837"/>
        <v>0</v>
      </c>
      <c r="BD1262" s="387">
        <f t="shared" si="838"/>
        <v>0</v>
      </c>
      <c r="BE1262" s="387">
        <f t="shared" si="839"/>
        <v>0</v>
      </c>
      <c r="BF1262" s="387">
        <f t="shared" si="840"/>
        <v>0</v>
      </c>
      <c r="BG1262" s="387">
        <f t="shared" si="841"/>
        <v>0</v>
      </c>
      <c r="BH1262" s="387">
        <f t="shared" si="842"/>
        <v>0</v>
      </c>
      <c r="BI1262" s="387">
        <f t="shared" si="843"/>
        <v>0</v>
      </c>
      <c r="BJ1262" s="387">
        <f t="shared" si="844"/>
        <v>0</v>
      </c>
      <c r="BK1262" s="387">
        <f t="shared" si="845"/>
        <v>0</v>
      </c>
      <c r="BL1262" s="387">
        <f t="shared" si="868"/>
        <v>0</v>
      </c>
      <c r="BM1262" s="387">
        <f t="shared" si="869"/>
        <v>0</v>
      </c>
      <c r="BN1262" s="387">
        <f t="shared" si="846"/>
        <v>0</v>
      </c>
      <c r="BO1262" s="387">
        <f t="shared" si="847"/>
        <v>0</v>
      </c>
      <c r="BP1262" s="387">
        <f t="shared" si="848"/>
        <v>0</v>
      </c>
      <c r="BQ1262" s="387">
        <f t="shared" si="849"/>
        <v>0</v>
      </c>
      <c r="BR1262" s="387">
        <f t="shared" si="850"/>
        <v>0</v>
      </c>
      <c r="BS1262" s="387">
        <f t="shared" si="851"/>
        <v>0</v>
      </c>
      <c r="BT1262" s="387">
        <f t="shared" si="852"/>
        <v>0</v>
      </c>
      <c r="BU1262" s="387">
        <f t="shared" si="853"/>
        <v>0</v>
      </c>
      <c r="BV1262" s="387">
        <f t="shared" si="854"/>
        <v>0</v>
      </c>
      <c r="BW1262" s="387">
        <f t="shared" si="855"/>
        <v>0</v>
      </c>
      <c r="BX1262" s="387">
        <f t="shared" si="870"/>
        <v>0</v>
      </c>
      <c r="BY1262" s="387">
        <f t="shared" si="871"/>
        <v>0</v>
      </c>
      <c r="BZ1262" s="387">
        <f t="shared" si="872"/>
        <v>0</v>
      </c>
      <c r="CA1262" s="387">
        <f t="shared" si="873"/>
        <v>0</v>
      </c>
      <c r="CB1262" s="387">
        <f t="shared" si="874"/>
        <v>0</v>
      </c>
      <c r="CC1262" s="387">
        <f t="shared" si="856"/>
        <v>0</v>
      </c>
      <c r="CD1262" s="387">
        <f t="shared" si="857"/>
        <v>0</v>
      </c>
      <c r="CE1262" s="387">
        <f t="shared" si="858"/>
        <v>0</v>
      </c>
      <c r="CF1262" s="387">
        <f t="shared" si="859"/>
        <v>0</v>
      </c>
      <c r="CG1262" s="387">
        <f t="shared" si="860"/>
        <v>0</v>
      </c>
      <c r="CH1262" s="387">
        <f t="shared" si="861"/>
        <v>0</v>
      </c>
      <c r="CI1262" s="387">
        <f t="shared" si="862"/>
        <v>0</v>
      </c>
      <c r="CJ1262" s="387">
        <f t="shared" si="875"/>
        <v>0</v>
      </c>
      <c r="CK1262" s="387" t="str">
        <f t="shared" si="876"/>
        <v/>
      </c>
      <c r="CL1262" s="387" t="str">
        <f t="shared" si="877"/>
        <v/>
      </c>
      <c r="CM1262" s="387" t="str">
        <f t="shared" si="878"/>
        <v/>
      </c>
      <c r="CN1262" s="387" t="str">
        <f t="shared" si="879"/>
        <v>0348-31</v>
      </c>
    </row>
    <row r="1263" spans="1:92" ht="15.75" thickBot="1" x14ac:dyDescent="0.3">
      <c r="A1263" s="376" t="s">
        <v>161</v>
      </c>
      <c r="B1263" s="376" t="s">
        <v>162</v>
      </c>
      <c r="C1263" s="376" t="s">
        <v>2518</v>
      </c>
      <c r="D1263" s="376" t="s">
        <v>974</v>
      </c>
      <c r="E1263" s="376" t="s">
        <v>224</v>
      </c>
      <c r="F1263" s="382" t="s">
        <v>225</v>
      </c>
      <c r="G1263" s="376" t="s">
        <v>1945</v>
      </c>
      <c r="H1263" s="378"/>
      <c r="I1263" s="378"/>
      <c r="J1263" s="376" t="s">
        <v>215</v>
      </c>
      <c r="K1263" s="376" t="s">
        <v>975</v>
      </c>
      <c r="L1263" s="376" t="s">
        <v>296</v>
      </c>
      <c r="M1263" s="376" t="s">
        <v>171</v>
      </c>
      <c r="N1263" s="376" t="s">
        <v>172</v>
      </c>
      <c r="O1263" s="379">
        <v>1</v>
      </c>
      <c r="P1263" s="385">
        <v>1</v>
      </c>
      <c r="Q1263" s="385">
        <v>1</v>
      </c>
      <c r="R1263" s="380">
        <v>80</v>
      </c>
      <c r="S1263" s="385">
        <v>1</v>
      </c>
      <c r="T1263" s="380">
        <v>31414.45</v>
      </c>
      <c r="U1263" s="380">
        <v>0</v>
      </c>
      <c r="V1263" s="380">
        <v>15320.23</v>
      </c>
      <c r="W1263" s="380">
        <v>43243.199999999997</v>
      </c>
      <c r="X1263" s="380">
        <v>21001.3</v>
      </c>
      <c r="Y1263" s="380">
        <v>43243.199999999997</v>
      </c>
      <c r="Z1263" s="380">
        <v>20819.68</v>
      </c>
      <c r="AA1263" s="376" t="s">
        <v>2519</v>
      </c>
      <c r="AB1263" s="376" t="s">
        <v>2520</v>
      </c>
      <c r="AC1263" s="376" t="s">
        <v>412</v>
      </c>
      <c r="AD1263" s="376" t="s">
        <v>2521</v>
      </c>
      <c r="AE1263" s="376" t="s">
        <v>975</v>
      </c>
      <c r="AF1263" s="376" t="s">
        <v>301</v>
      </c>
      <c r="AG1263" s="376" t="s">
        <v>178</v>
      </c>
      <c r="AH1263" s="381">
        <v>20.79</v>
      </c>
      <c r="AI1263" s="379">
        <v>2400</v>
      </c>
      <c r="AJ1263" s="376" t="s">
        <v>179</v>
      </c>
      <c r="AK1263" s="376" t="s">
        <v>180</v>
      </c>
      <c r="AL1263" s="376" t="s">
        <v>181</v>
      </c>
      <c r="AM1263" s="376" t="s">
        <v>182</v>
      </c>
      <c r="AN1263" s="376" t="s">
        <v>68</v>
      </c>
      <c r="AO1263" s="379">
        <v>80</v>
      </c>
      <c r="AP1263" s="385">
        <v>1</v>
      </c>
      <c r="AQ1263" s="385">
        <v>1</v>
      </c>
      <c r="AR1263" s="383" t="s">
        <v>183</v>
      </c>
      <c r="AS1263" s="387">
        <f t="shared" si="863"/>
        <v>1</v>
      </c>
      <c r="AT1263">
        <f t="shared" si="864"/>
        <v>1</v>
      </c>
      <c r="AU1263" s="387">
        <f>IF(AT1263=0,"",IF(AND(AT1263=1,M1263="F",SUMIF(C2:C1334,C1263,AS2:AS1334)&lt;=1),SUMIF(C2:C1334,C1263,AS2:AS1334),IF(AND(AT1263=1,M1263="F",SUMIF(C2:C1334,C1263,AS2:AS1334)&gt;1),1,"")))</f>
        <v>1</v>
      </c>
      <c r="AV1263" s="387" t="str">
        <f>IF(AT1263=0,"",IF(AND(AT1263=3,M1263="F",SUMIF(C2:C1334,C1263,AS2:AS1334)&lt;=1),SUMIF(C2:C1334,C1263,AS2:AS1334),IF(AND(AT1263=3,M1263="F",SUMIF(C2:C1334,C1263,AS2:AS1334)&gt;1),1,"")))</f>
        <v/>
      </c>
      <c r="AW1263" s="387">
        <f>SUMIF(C2:C1334,C1263,O2:O1334)</f>
        <v>1</v>
      </c>
      <c r="AX1263" s="387">
        <f>IF(AND(M1263="F",AS1263&lt;&gt;0),SUMIF(C2:C1334,C1263,W2:W1334),0)</f>
        <v>43243.199999999997</v>
      </c>
      <c r="AY1263" s="387">
        <f t="shared" si="865"/>
        <v>43243.199999999997</v>
      </c>
      <c r="AZ1263" s="387" t="str">
        <f t="shared" si="866"/>
        <v/>
      </c>
      <c r="BA1263" s="387">
        <f t="shared" si="867"/>
        <v>0</v>
      </c>
      <c r="BB1263" s="387">
        <f t="shared" si="836"/>
        <v>11650</v>
      </c>
      <c r="BC1263" s="387">
        <f t="shared" si="837"/>
        <v>0</v>
      </c>
      <c r="BD1263" s="387">
        <f t="shared" si="838"/>
        <v>2681.0783999999999</v>
      </c>
      <c r="BE1263" s="387">
        <f t="shared" si="839"/>
        <v>627.02639999999997</v>
      </c>
      <c r="BF1263" s="387">
        <f t="shared" si="840"/>
        <v>5163.2380800000001</v>
      </c>
      <c r="BG1263" s="387">
        <f t="shared" si="841"/>
        <v>311.78347200000002</v>
      </c>
      <c r="BH1263" s="387">
        <f t="shared" si="842"/>
        <v>211.89167999999998</v>
      </c>
      <c r="BI1263" s="387">
        <f t="shared" si="843"/>
        <v>239.35111199999997</v>
      </c>
      <c r="BJ1263" s="387">
        <f t="shared" si="844"/>
        <v>116.75664</v>
      </c>
      <c r="BK1263" s="387">
        <f t="shared" si="845"/>
        <v>0</v>
      </c>
      <c r="BL1263" s="387">
        <f t="shared" si="868"/>
        <v>9351.1257839999998</v>
      </c>
      <c r="BM1263" s="387">
        <f t="shared" si="869"/>
        <v>0</v>
      </c>
      <c r="BN1263" s="387">
        <f t="shared" si="846"/>
        <v>11650</v>
      </c>
      <c r="BO1263" s="387">
        <f t="shared" si="847"/>
        <v>0</v>
      </c>
      <c r="BP1263" s="387">
        <f t="shared" si="848"/>
        <v>2681.0783999999999</v>
      </c>
      <c r="BQ1263" s="387">
        <f t="shared" si="849"/>
        <v>627.02639999999997</v>
      </c>
      <c r="BR1263" s="387">
        <f t="shared" si="850"/>
        <v>5163.2380800000001</v>
      </c>
      <c r="BS1263" s="387">
        <f t="shared" si="851"/>
        <v>311.78347200000002</v>
      </c>
      <c r="BT1263" s="387">
        <f t="shared" si="852"/>
        <v>0</v>
      </c>
      <c r="BU1263" s="387">
        <f t="shared" si="853"/>
        <v>239.35111199999997</v>
      </c>
      <c r="BV1263" s="387">
        <f t="shared" si="854"/>
        <v>147.02687999999998</v>
      </c>
      <c r="BW1263" s="387">
        <f t="shared" si="855"/>
        <v>0</v>
      </c>
      <c r="BX1263" s="387">
        <f t="shared" si="870"/>
        <v>9169.504343999999</v>
      </c>
      <c r="BY1263" s="387">
        <f t="shared" si="871"/>
        <v>0</v>
      </c>
      <c r="BZ1263" s="387">
        <f t="shared" si="872"/>
        <v>0</v>
      </c>
      <c r="CA1263" s="387">
        <f t="shared" si="873"/>
        <v>0</v>
      </c>
      <c r="CB1263" s="387">
        <f t="shared" si="874"/>
        <v>0</v>
      </c>
      <c r="CC1263" s="387">
        <f t="shared" si="856"/>
        <v>0</v>
      </c>
      <c r="CD1263" s="387">
        <f t="shared" si="857"/>
        <v>0</v>
      </c>
      <c r="CE1263" s="387">
        <f t="shared" si="858"/>
        <v>0</v>
      </c>
      <c r="CF1263" s="387">
        <f t="shared" si="859"/>
        <v>-211.89167999999998</v>
      </c>
      <c r="CG1263" s="387">
        <f t="shared" si="860"/>
        <v>0</v>
      </c>
      <c r="CH1263" s="387">
        <f t="shared" si="861"/>
        <v>30.270239999999983</v>
      </c>
      <c r="CI1263" s="387">
        <f t="shared" si="862"/>
        <v>0</v>
      </c>
      <c r="CJ1263" s="387">
        <f t="shared" si="875"/>
        <v>-181.62144000000001</v>
      </c>
      <c r="CK1263" s="387" t="str">
        <f t="shared" si="876"/>
        <v/>
      </c>
      <c r="CL1263" s="387" t="str">
        <f t="shared" si="877"/>
        <v/>
      </c>
      <c r="CM1263" s="387" t="str">
        <f t="shared" si="878"/>
        <v/>
      </c>
      <c r="CN1263" s="387" t="str">
        <f t="shared" si="879"/>
        <v>0348-31</v>
      </c>
    </row>
    <row r="1264" spans="1:92" ht="15.75" thickBot="1" x14ac:dyDescent="0.3">
      <c r="A1264" s="376" t="s">
        <v>161</v>
      </c>
      <c r="B1264" s="376" t="s">
        <v>162</v>
      </c>
      <c r="C1264" s="376" t="s">
        <v>2522</v>
      </c>
      <c r="D1264" s="376" t="s">
        <v>238</v>
      </c>
      <c r="E1264" s="376" t="s">
        <v>224</v>
      </c>
      <c r="F1264" s="382" t="s">
        <v>225</v>
      </c>
      <c r="G1264" s="376" t="s">
        <v>1945</v>
      </c>
      <c r="H1264" s="378"/>
      <c r="I1264" s="378"/>
      <c r="J1264" s="376" t="s">
        <v>215</v>
      </c>
      <c r="K1264" s="376" t="s">
        <v>285</v>
      </c>
      <c r="L1264" s="376" t="s">
        <v>170</v>
      </c>
      <c r="M1264" s="376" t="s">
        <v>171</v>
      </c>
      <c r="N1264" s="376" t="s">
        <v>172</v>
      </c>
      <c r="O1264" s="379">
        <v>1</v>
      </c>
      <c r="P1264" s="385">
        <v>1</v>
      </c>
      <c r="Q1264" s="385">
        <v>1</v>
      </c>
      <c r="R1264" s="380">
        <v>80</v>
      </c>
      <c r="S1264" s="385">
        <v>1</v>
      </c>
      <c r="T1264" s="380">
        <v>60866.34</v>
      </c>
      <c r="U1264" s="380">
        <v>0</v>
      </c>
      <c r="V1264" s="380">
        <v>24460.16</v>
      </c>
      <c r="W1264" s="380">
        <v>62982.400000000001</v>
      </c>
      <c r="X1264" s="380">
        <v>25269.91</v>
      </c>
      <c r="Y1264" s="380">
        <v>62982.400000000001</v>
      </c>
      <c r="Z1264" s="380">
        <v>25005.39</v>
      </c>
      <c r="AA1264" s="376" t="s">
        <v>2523</v>
      </c>
      <c r="AB1264" s="376" t="s">
        <v>2524</v>
      </c>
      <c r="AC1264" s="376" t="s">
        <v>2525</v>
      </c>
      <c r="AD1264" s="376" t="s">
        <v>324</v>
      </c>
      <c r="AE1264" s="376" t="s">
        <v>285</v>
      </c>
      <c r="AF1264" s="376" t="s">
        <v>177</v>
      </c>
      <c r="AG1264" s="376" t="s">
        <v>178</v>
      </c>
      <c r="AH1264" s="381">
        <v>30.28</v>
      </c>
      <c r="AI1264" s="381">
        <v>40943.5</v>
      </c>
      <c r="AJ1264" s="376" t="s">
        <v>179</v>
      </c>
      <c r="AK1264" s="376" t="s">
        <v>180</v>
      </c>
      <c r="AL1264" s="376" t="s">
        <v>181</v>
      </c>
      <c r="AM1264" s="376" t="s">
        <v>182</v>
      </c>
      <c r="AN1264" s="376" t="s">
        <v>68</v>
      </c>
      <c r="AO1264" s="379">
        <v>80</v>
      </c>
      <c r="AP1264" s="385">
        <v>1</v>
      </c>
      <c r="AQ1264" s="385">
        <v>1</v>
      </c>
      <c r="AR1264" s="383" t="s">
        <v>183</v>
      </c>
      <c r="AS1264" s="387">
        <f t="shared" si="863"/>
        <v>1</v>
      </c>
      <c r="AT1264">
        <f t="shared" si="864"/>
        <v>1</v>
      </c>
      <c r="AU1264" s="387">
        <f>IF(AT1264=0,"",IF(AND(AT1264=1,M1264="F",SUMIF(C2:C1334,C1264,AS2:AS1334)&lt;=1),SUMIF(C2:C1334,C1264,AS2:AS1334),IF(AND(AT1264=1,M1264="F",SUMIF(C2:C1334,C1264,AS2:AS1334)&gt;1),1,"")))</f>
        <v>1</v>
      </c>
      <c r="AV1264" s="387" t="str">
        <f>IF(AT1264=0,"",IF(AND(AT1264=3,M1264="F",SUMIF(C2:C1334,C1264,AS2:AS1334)&lt;=1),SUMIF(C2:C1334,C1264,AS2:AS1334),IF(AND(AT1264=3,M1264="F",SUMIF(C2:C1334,C1264,AS2:AS1334)&gt;1),1,"")))</f>
        <v/>
      </c>
      <c r="AW1264" s="387">
        <f>SUMIF(C2:C1334,C1264,O2:O1334)</f>
        <v>1</v>
      </c>
      <c r="AX1264" s="387">
        <f>IF(AND(M1264="F",AS1264&lt;&gt;0),SUMIF(C2:C1334,C1264,W2:W1334),0)</f>
        <v>62982.400000000001</v>
      </c>
      <c r="AY1264" s="387">
        <f t="shared" si="865"/>
        <v>62982.400000000001</v>
      </c>
      <c r="AZ1264" s="387" t="str">
        <f t="shared" si="866"/>
        <v/>
      </c>
      <c r="BA1264" s="387">
        <f t="shared" si="867"/>
        <v>0</v>
      </c>
      <c r="BB1264" s="387">
        <f t="shared" si="836"/>
        <v>11650</v>
      </c>
      <c r="BC1264" s="387">
        <f t="shared" si="837"/>
        <v>0</v>
      </c>
      <c r="BD1264" s="387">
        <f t="shared" si="838"/>
        <v>3904.9088000000002</v>
      </c>
      <c r="BE1264" s="387">
        <f t="shared" si="839"/>
        <v>913.24480000000005</v>
      </c>
      <c r="BF1264" s="387">
        <f t="shared" si="840"/>
        <v>7520.0985600000004</v>
      </c>
      <c r="BG1264" s="387">
        <f t="shared" si="841"/>
        <v>454.10310400000003</v>
      </c>
      <c r="BH1264" s="387">
        <f t="shared" si="842"/>
        <v>308.61376000000001</v>
      </c>
      <c r="BI1264" s="387">
        <f t="shared" si="843"/>
        <v>348.60758400000003</v>
      </c>
      <c r="BJ1264" s="387">
        <f t="shared" si="844"/>
        <v>170.05248</v>
      </c>
      <c r="BK1264" s="387">
        <f t="shared" si="845"/>
        <v>0</v>
      </c>
      <c r="BL1264" s="387">
        <f t="shared" si="868"/>
        <v>13619.629088</v>
      </c>
      <c r="BM1264" s="387">
        <f t="shared" si="869"/>
        <v>0</v>
      </c>
      <c r="BN1264" s="387">
        <f t="shared" si="846"/>
        <v>11650</v>
      </c>
      <c r="BO1264" s="387">
        <f t="shared" si="847"/>
        <v>0</v>
      </c>
      <c r="BP1264" s="387">
        <f t="shared" si="848"/>
        <v>3904.9088000000002</v>
      </c>
      <c r="BQ1264" s="387">
        <f t="shared" si="849"/>
        <v>913.24480000000005</v>
      </c>
      <c r="BR1264" s="387">
        <f t="shared" si="850"/>
        <v>7520.0985600000004</v>
      </c>
      <c r="BS1264" s="387">
        <f t="shared" si="851"/>
        <v>454.10310400000003</v>
      </c>
      <c r="BT1264" s="387">
        <f t="shared" si="852"/>
        <v>0</v>
      </c>
      <c r="BU1264" s="387">
        <f t="shared" si="853"/>
        <v>348.60758400000003</v>
      </c>
      <c r="BV1264" s="387">
        <f t="shared" si="854"/>
        <v>214.14015999999998</v>
      </c>
      <c r="BW1264" s="387">
        <f t="shared" si="855"/>
        <v>0</v>
      </c>
      <c r="BX1264" s="387">
        <f t="shared" si="870"/>
        <v>13355.103008</v>
      </c>
      <c r="BY1264" s="387">
        <f t="shared" si="871"/>
        <v>0</v>
      </c>
      <c r="BZ1264" s="387">
        <f t="shared" si="872"/>
        <v>0</v>
      </c>
      <c r="CA1264" s="387">
        <f t="shared" si="873"/>
        <v>0</v>
      </c>
      <c r="CB1264" s="387">
        <f t="shared" si="874"/>
        <v>0</v>
      </c>
      <c r="CC1264" s="387">
        <f t="shared" si="856"/>
        <v>0</v>
      </c>
      <c r="CD1264" s="387">
        <f t="shared" si="857"/>
        <v>0</v>
      </c>
      <c r="CE1264" s="387">
        <f t="shared" si="858"/>
        <v>0</v>
      </c>
      <c r="CF1264" s="387">
        <f t="shared" si="859"/>
        <v>-308.61376000000001</v>
      </c>
      <c r="CG1264" s="387">
        <f t="shared" si="860"/>
        <v>0</v>
      </c>
      <c r="CH1264" s="387">
        <f t="shared" si="861"/>
        <v>44.087679999999978</v>
      </c>
      <c r="CI1264" s="387">
        <f t="shared" si="862"/>
        <v>0</v>
      </c>
      <c r="CJ1264" s="387">
        <f t="shared" si="875"/>
        <v>-264.52608000000004</v>
      </c>
      <c r="CK1264" s="387" t="str">
        <f t="shared" si="876"/>
        <v/>
      </c>
      <c r="CL1264" s="387" t="str">
        <f t="shared" si="877"/>
        <v/>
      </c>
      <c r="CM1264" s="387" t="str">
        <f t="shared" si="878"/>
        <v/>
      </c>
      <c r="CN1264" s="387" t="str">
        <f t="shared" si="879"/>
        <v>0348-31</v>
      </c>
    </row>
    <row r="1265" spans="1:92" ht="15.75" thickBot="1" x14ac:dyDescent="0.3">
      <c r="A1265" s="376" t="s">
        <v>161</v>
      </c>
      <c r="B1265" s="376" t="s">
        <v>162</v>
      </c>
      <c r="C1265" s="376" t="s">
        <v>2526</v>
      </c>
      <c r="D1265" s="376" t="s">
        <v>868</v>
      </c>
      <c r="E1265" s="376" t="s">
        <v>224</v>
      </c>
      <c r="F1265" s="382" t="s">
        <v>225</v>
      </c>
      <c r="G1265" s="376" t="s">
        <v>1945</v>
      </c>
      <c r="H1265" s="378"/>
      <c r="I1265" s="378"/>
      <c r="J1265" s="376" t="s">
        <v>215</v>
      </c>
      <c r="K1265" s="376" t="s">
        <v>869</v>
      </c>
      <c r="L1265" s="376" t="s">
        <v>296</v>
      </c>
      <c r="M1265" s="376" t="s">
        <v>272</v>
      </c>
      <c r="N1265" s="376" t="s">
        <v>172</v>
      </c>
      <c r="O1265" s="379">
        <v>0</v>
      </c>
      <c r="P1265" s="385">
        <v>1</v>
      </c>
      <c r="Q1265" s="385">
        <v>1</v>
      </c>
      <c r="R1265" s="380">
        <v>80</v>
      </c>
      <c r="S1265" s="385">
        <v>1</v>
      </c>
      <c r="T1265" s="380">
        <v>0</v>
      </c>
      <c r="U1265" s="380">
        <v>0</v>
      </c>
      <c r="V1265" s="380">
        <v>0</v>
      </c>
      <c r="W1265" s="380">
        <v>47403.199999999997</v>
      </c>
      <c r="X1265" s="380">
        <v>20762.599999999999</v>
      </c>
      <c r="Y1265" s="380">
        <v>47403.199999999997</v>
      </c>
      <c r="Z1265" s="380">
        <v>20525.580000000002</v>
      </c>
      <c r="AA1265" s="378"/>
      <c r="AB1265" s="376" t="s">
        <v>45</v>
      </c>
      <c r="AC1265" s="376" t="s">
        <v>45</v>
      </c>
      <c r="AD1265" s="378"/>
      <c r="AE1265" s="378"/>
      <c r="AF1265" s="378"/>
      <c r="AG1265" s="378"/>
      <c r="AH1265" s="379">
        <v>0</v>
      </c>
      <c r="AI1265" s="379">
        <v>0</v>
      </c>
      <c r="AJ1265" s="378"/>
      <c r="AK1265" s="378"/>
      <c r="AL1265" s="376" t="s">
        <v>181</v>
      </c>
      <c r="AM1265" s="378"/>
      <c r="AN1265" s="378"/>
      <c r="AO1265" s="379">
        <v>0</v>
      </c>
      <c r="AP1265" s="385">
        <v>0</v>
      </c>
      <c r="AQ1265" s="385">
        <v>0</v>
      </c>
      <c r="AR1265" s="384"/>
      <c r="AS1265" s="387">
        <f t="shared" si="863"/>
        <v>0</v>
      </c>
      <c r="AT1265">
        <f t="shared" si="864"/>
        <v>0</v>
      </c>
      <c r="AU1265" s="387" t="str">
        <f>IF(AT1265=0,"",IF(AND(AT1265=1,M1265="F",SUMIF(C2:C1334,C1265,AS2:AS1334)&lt;=1),SUMIF(C2:C1334,C1265,AS2:AS1334),IF(AND(AT1265=1,M1265="F",SUMIF(C2:C1334,C1265,AS2:AS1334)&gt;1),1,"")))</f>
        <v/>
      </c>
      <c r="AV1265" s="387" t="str">
        <f>IF(AT1265=0,"",IF(AND(AT1265=3,M1265="F",SUMIF(C2:C1334,C1265,AS2:AS1334)&lt;=1),SUMIF(C2:C1334,C1265,AS2:AS1334),IF(AND(AT1265=3,M1265="F",SUMIF(C2:C1334,C1265,AS2:AS1334)&gt;1),1,"")))</f>
        <v/>
      </c>
      <c r="AW1265" s="387">
        <f>SUMIF(C2:C1334,C1265,O2:O1334)</f>
        <v>0</v>
      </c>
      <c r="AX1265" s="387">
        <f>IF(AND(M1265="F",AS1265&lt;&gt;0),SUMIF(C2:C1334,C1265,W2:W1334),0)</f>
        <v>0</v>
      </c>
      <c r="AY1265" s="387" t="str">
        <f t="shared" si="865"/>
        <v/>
      </c>
      <c r="AZ1265" s="387" t="str">
        <f t="shared" si="866"/>
        <v/>
      </c>
      <c r="BA1265" s="387">
        <f t="shared" si="867"/>
        <v>0</v>
      </c>
      <c r="BB1265" s="387">
        <f t="shared" si="836"/>
        <v>0</v>
      </c>
      <c r="BC1265" s="387">
        <f t="shared" si="837"/>
        <v>0</v>
      </c>
      <c r="BD1265" s="387">
        <f t="shared" si="838"/>
        <v>0</v>
      </c>
      <c r="BE1265" s="387">
        <f t="shared" si="839"/>
        <v>0</v>
      </c>
      <c r="BF1265" s="387">
        <f t="shared" si="840"/>
        <v>0</v>
      </c>
      <c r="BG1265" s="387">
        <f t="shared" si="841"/>
        <v>0</v>
      </c>
      <c r="BH1265" s="387">
        <f t="shared" si="842"/>
        <v>0</v>
      </c>
      <c r="BI1265" s="387">
        <f t="shared" si="843"/>
        <v>0</v>
      </c>
      <c r="BJ1265" s="387">
        <f t="shared" si="844"/>
        <v>0</v>
      </c>
      <c r="BK1265" s="387">
        <f t="shared" si="845"/>
        <v>0</v>
      </c>
      <c r="BL1265" s="387">
        <f t="shared" si="868"/>
        <v>0</v>
      </c>
      <c r="BM1265" s="387">
        <f t="shared" si="869"/>
        <v>0</v>
      </c>
      <c r="BN1265" s="387">
        <f t="shared" si="846"/>
        <v>0</v>
      </c>
      <c r="BO1265" s="387">
        <f t="shared" si="847"/>
        <v>0</v>
      </c>
      <c r="BP1265" s="387">
        <f t="shared" si="848"/>
        <v>0</v>
      </c>
      <c r="BQ1265" s="387">
        <f t="shared" si="849"/>
        <v>0</v>
      </c>
      <c r="BR1265" s="387">
        <f t="shared" si="850"/>
        <v>0</v>
      </c>
      <c r="BS1265" s="387">
        <f t="shared" si="851"/>
        <v>0</v>
      </c>
      <c r="BT1265" s="387">
        <f t="shared" si="852"/>
        <v>0</v>
      </c>
      <c r="BU1265" s="387">
        <f t="shared" si="853"/>
        <v>0</v>
      </c>
      <c r="BV1265" s="387">
        <f t="shared" si="854"/>
        <v>0</v>
      </c>
      <c r="BW1265" s="387">
        <f t="shared" si="855"/>
        <v>0</v>
      </c>
      <c r="BX1265" s="387">
        <f t="shared" si="870"/>
        <v>0</v>
      </c>
      <c r="BY1265" s="387">
        <f t="shared" si="871"/>
        <v>0</v>
      </c>
      <c r="BZ1265" s="387">
        <f t="shared" si="872"/>
        <v>0</v>
      </c>
      <c r="CA1265" s="387">
        <f t="shared" si="873"/>
        <v>0</v>
      </c>
      <c r="CB1265" s="387">
        <f t="shared" si="874"/>
        <v>0</v>
      </c>
      <c r="CC1265" s="387">
        <f t="shared" si="856"/>
        <v>0</v>
      </c>
      <c r="CD1265" s="387">
        <f t="shared" si="857"/>
        <v>0</v>
      </c>
      <c r="CE1265" s="387">
        <f t="shared" si="858"/>
        <v>0</v>
      </c>
      <c r="CF1265" s="387">
        <f t="shared" si="859"/>
        <v>0</v>
      </c>
      <c r="CG1265" s="387">
        <f t="shared" si="860"/>
        <v>0</v>
      </c>
      <c r="CH1265" s="387">
        <f t="shared" si="861"/>
        <v>0</v>
      </c>
      <c r="CI1265" s="387">
        <f t="shared" si="862"/>
        <v>0</v>
      </c>
      <c r="CJ1265" s="387">
        <f t="shared" si="875"/>
        <v>0</v>
      </c>
      <c r="CK1265" s="387" t="str">
        <f t="shared" si="876"/>
        <v/>
      </c>
      <c r="CL1265" s="387" t="str">
        <f t="shared" si="877"/>
        <v/>
      </c>
      <c r="CM1265" s="387" t="str">
        <f t="shared" si="878"/>
        <v/>
      </c>
      <c r="CN1265" s="387" t="str">
        <f t="shared" si="879"/>
        <v>0348-31</v>
      </c>
    </row>
    <row r="1266" spans="1:92" ht="15.75" thickBot="1" x14ac:dyDescent="0.3">
      <c r="A1266" s="376" t="s">
        <v>161</v>
      </c>
      <c r="B1266" s="376" t="s">
        <v>162</v>
      </c>
      <c r="C1266" s="376" t="s">
        <v>2527</v>
      </c>
      <c r="D1266" s="376" t="s">
        <v>862</v>
      </c>
      <c r="E1266" s="376" t="s">
        <v>224</v>
      </c>
      <c r="F1266" s="382" t="s">
        <v>225</v>
      </c>
      <c r="G1266" s="376" t="s">
        <v>1945</v>
      </c>
      <c r="H1266" s="378"/>
      <c r="I1266" s="378"/>
      <c r="J1266" s="376" t="s">
        <v>215</v>
      </c>
      <c r="K1266" s="376" t="s">
        <v>863</v>
      </c>
      <c r="L1266" s="376" t="s">
        <v>252</v>
      </c>
      <c r="M1266" s="376" t="s">
        <v>171</v>
      </c>
      <c r="N1266" s="376" t="s">
        <v>172</v>
      </c>
      <c r="O1266" s="379">
        <v>1</v>
      </c>
      <c r="P1266" s="385">
        <v>1</v>
      </c>
      <c r="Q1266" s="385">
        <v>1</v>
      </c>
      <c r="R1266" s="380">
        <v>80</v>
      </c>
      <c r="S1266" s="385">
        <v>1</v>
      </c>
      <c r="T1266" s="380">
        <v>27958.29</v>
      </c>
      <c r="U1266" s="380">
        <v>29.65</v>
      </c>
      <c r="V1266" s="380">
        <v>17571.740000000002</v>
      </c>
      <c r="W1266" s="380">
        <v>41038.400000000001</v>
      </c>
      <c r="X1266" s="380">
        <v>20524.52</v>
      </c>
      <c r="Y1266" s="380">
        <v>41038.400000000001</v>
      </c>
      <c r="Z1266" s="380">
        <v>20352.169999999998</v>
      </c>
      <c r="AA1266" s="376" t="s">
        <v>2528</v>
      </c>
      <c r="AB1266" s="376" t="s">
        <v>2529</v>
      </c>
      <c r="AC1266" s="376" t="s">
        <v>1293</v>
      </c>
      <c r="AD1266" s="376" t="s">
        <v>1270</v>
      </c>
      <c r="AE1266" s="376" t="s">
        <v>863</v>
      </c>
      <c r="AF1266" s="376" t="s">
        <v>393</v>
      </c>
      <c r="AG1266" s="376" t="s">
        <v>178</v>
      </c>
      <c r="AH1266" s="381">
        <v>19.73</v>
      </c>
      <c r="AI1266" s="379">
        <v>5065</v>
      </c>
      <c r="AJ1266" s="376" t="s">
        <v>179</v>
      </c>
      <c r="AK1266" s="376" t="s">
        <v>180</v>
      </c>
      <c r="AL1266" s="376" t="s">
        <v>181</v>
      </c>
      <c r="AM1266" s="376" t="s">
        <v>182</v>
      </c>
      <c r="AN1266" s="376" t="s">
        <v>68</v>
      </c>
      <c r="AO1266" s="379">
        <v>80</v>
      </c>
      <c r="AP1266" s="385">
        <v>1</v>
      </c>
      <c r="AQ1266" s="385">
        <v>1</v>
      </c>
      <c r="AR1266" s="383" t="s">
        <v>183</v>
      </c>
      <c r="AS1266" s="387">
        <f t="shared" si="863"/>
        <v>1</v>
      </c>
      <c r="AT1266">
        <f t="shared" si="864"/>
        <v>1</v>
      </c>
      <c r="AU1266" s="387">
        <f>IF(AT1266=0,"",IF(AND(AT1266=1,M1266="F",SUMIF(C2:C1334,C1266,AS2:AS1334)&lt;=1),SUMIF(C2:C1334,C1266,AS2:AS1334),IF(AND(AT1266=1,M1266="F",SUMIF(C2:C1334,C1266,AS2:AS1334)&gt;1),1,"")))</f>
        <v>1</v>
      </c>
      <c r="AV1266" s="387" t="str">
        <f>IF(AT1266=0,"",IF(AND(AT1266=3,M1266="F",SUMIF(C2:C1334,C1266,AS2:AS1334)&lt;=1),SUMIF(C2:C1334,C1266,AS2:AS1334),IF(AND(AT1266=3,M1266="F",SUMIF(C2:C1334,C1266,AS2:AS1334)&gt;1),1,"")))</f>
        <v/>
      </c>
      <c r="AW1266" s="387">
        <f>SUMIF(C2:C1334,C1266,O2:O1334)</f>
        <v>1</v>
      </c>
      <c r="AX1266" s="387">
        <f>IF(AND(M1266="F",AS1266&lt;&gt;0),SUMIF(C2:C1334,C1266,W2:W1334),0)</f>
        <v>41038.400000000001</v>
      </c>
      <c r="AY1266" s="387">
        <f t="shared" si="865"/>
        <v>41038.400000000001</v>
      </c>
      <c r="AZ1266" s="387" t="str">
        <f t="shared" si="866"/>
        <v/>
      </c>
      <c r="BA1266" s="387">
        <f t="shared" si="867"/>
        <v>0</v>
      </c>
      <c r="BB1266" s="387">
        <f t="shared" si="836"/>
        <v>11650</v>
      </c>
      <c r="BC1266" s="387">
        <f t="shared" si="837"/>
        <v>0</v>
      </c>
      <c r="BD1266" s="387">
        <f t="shared" si="838"/>
        <v>2544.3807999999999</v>
      </c>
      <c r="BE1266" s="387">
        <f t="shared" si="839"/>
        <v>595.05680000000007</v>
      </c>
      <c r="BF1266" s="387">
        <f t="shared" si="840"/>
        <v>4899.9849600000007</v>
      </c>
      <c r="BG1266" s="387">
        <f t="shared" si="841"/>
        <v>295.886864</v>
      </c>
      <c r="BH1266" s="387">
        <f t="shared" si="842"/>
        <v>201.08815999999999</v>
      </c>
      <c r="BI1266" s="387">
        <f t="shared" si="843"/>
        <v>227.14754400000001</v>
      </c>
      <c r="BJ1266" s="387">
        <f t="shared" si="844"/>
        <v>110.80368000000001</v>
      </c>
      <c r="BK1266" s="387">
        <f t="shared" si="845"/>
        <v>0</v>
      </c>
      <c r="BL1266" s="387">
        <f t="shared" si="868"/>
        <v>8874.3488080000006</v>
      </c>
      <c r="BM1266" s="387">
        <f t="shared" si="869"/>
        <v>0</v>
      </c>
      <c r="BN1266" s="387">
        <f t="shared" si="846"/>
        <v>11650</v>
      </c>
      <c r="BO1266" s="387">
        <f t="shared" si="847"/>
        <v>0</v>
      </c>
      <c r="BP1266" s="387">
        <f t="shared" si="848"/>
        <v>2544.3807999999999</v>
      </c>
      <c r="BQ1266" s="387">
        <f t="shared" si="849"/>
        <v>595.05680000000007</v>
      </c>
      <c r="BR1266" s="387">
        <f t="shared" si="850"/>
        <v>4899.9849600000007</v>
      </c>
      <c r="BS1266" s="387">
        <f t="shared" si="851"/>
        <v>295.886864</v>
      </c>
      <c r="BT1266" s="387">
        <f t="shared" si="852"/>
        <v>0</v>
      </c>
      <c r="BU1266" s="387">
        <f t="shared" si="853"/>
        <v>227.14754400000001</v>
      </c>
      <c r="BV1266" s="387">
        <f t="shared" si="854"/>
        <v>139.53056000000001</v>
      </c>
      <c r="BW1266" s="387">
        <f t="shared" si="855"/>
        <v>0</v>
      </c>
      <c r="BX1266" s="387">
        <f t="shared" si="870"/>
        <v>8701.9875279999997</v>
      </c>
      <c r="BY1266" s="387">
        <f t="shared" si="871"/>
        <v>0</v>
      </c>
      <c r="BZ1266" s="387">
        <f t="shared" si="872"/>
        <v>0</v>
      </c>
      <c r="CA1266" s="387">
        <f t="shared" si="873"/>
        <v>0</v>
      </c>
      <c r="CB1266" s="387">
        <f t="shared" si="874"/>
        <v>0</v>
      </c>
      <c r="CC1266" s="387">
        <f t="shared" si="856"/>
        <v>0</v>
      </c>
      <c r="CD1266" s="387">
        <f t="shared" si="857"/>
        <v>0</v>
      </c>
      <c r="CE1266" s="387">
        <f t="shared" si="858"/>
        <v>0</v>
      </c>
      <c r="CF1266" s="387">
        <f t="shared" si="859"/>
        <v>-201.08815999999999</v>
      </c>
      <c r="CG1266" s="387">
        <f t="shared" si="860"/>
        <v>0</v>
      </c>
      <c r="CH1266" s="387">
        <f t="shared" si="861"/>
        <v>28.726879999999987</v>
      </c>
      <c r="CI1266" s="387">
        <f t="shared" si="862"/>
        <v>0</v>
      </c>
      <c r="CJ1266" s="387">
        <f t="shared" si="875"/>
        <v>-172.36127999999999</v>
      </c>
      <c r="CK1266" s="387" t="str">
        <f t="shared" si="876"/>
        <v/>
      </c>
      <c r="CL1266" s="387" t="str">
        <f t="shared" si="877"/>
        <v/>
      </c>
      <c r="CM1266" s="387" t="str">
        <f t="shared" si="878"/>
        <v/>
      </c>
      <c r="CN1266" s="387" t="str">
        <f t="shared" si="879"/>
        <v>0348-31</v>
      </c>
    </row>
    <row r="1267" spans="1:92" ht="15.75" thickBot="1" x14ac:dyDescent="0.3">
      <c r="A1267" s="376" t="s">
        <v>161</v>
      </c>
      <c r="B1267" s="376" t="s">
        <v>162</v>
      </c>
      <c r="C1267" s="376" t="s">
        <v>2530</v>
      </c>
      <c r="D1267" s="376" t="s">
        <v>270</v>
      </c>
      <c r="E1267" s="376" t="s">
        <v>224</v>
      </c>
      <c r="F1267" s="382" t="s">
        <v>225</v>
      </c>
      <c r="G1267" s="376" t="s">
        <v>1945</v>
      </c>
      <c r="H1267" s="378"/>
      <c r="I1267" s="378"/>
      <c r="J1267" s="376" t="s">
        <v>215</v>
      </c>
      <c r="K1267" s="376" t="s">
        <v>271</v>
      </c>
      <c r="L1267" s="376" t="s">
        <v>217</v>
      </c>
      <c r="M1267" s="376" t="s">
        <v>171</v>
      </c>
      <c r="N1267" s="376" t="s">
        <v>172</v>
      </c>
      <c r="O1267" s="379">
        <v>1</v>
      </c>
      <c r="P1267" s="385">
        <v>1</v>
      </c>
      <c r="Q1267" s="385">
        <v>1</v>
      </c>
      <c r="R1267" s="380">
        <v>80</v>
      </c>
      <c r="S1267" s="385">
        <v>1</v>
      </c>
      <c r="T1267" s="380">
        <v>32221.62</v>
      </c>
      <c r="U1267" s="380">
        <v>335.07</v>
      </c>
      <c r="V1267" s="380">
        <v>18384.400000000001</v>
      </c>
      <c r="W1267" s="380">
        <v>34153.599999999999</v>
      </c>
      <c r="X1267" s="380">
        <v>19035.68</v>
      </c>
      <c r="Y1267" s="380">
        <v>34153.599999999999</v>
      </c>
      <c r="Z1267" s="380">
        <v>18892.240000000002</v>
      </c>
      <c r="AA1267" s="376" t="s">
        <v>2531</v>
      </c>
      <c r="AB1267" s="376" t="s">
        <v>2532</v>
      </c>
      <c r="AC1267" s="376" t="s">
        <v>2533</v>
      </c>
      <c r="AD1267" s="376" t="s">
        <v>412</v>
      </c>
      <c r="AE1267" s="376" t="s">
        <v>271</v>
      </c>
      <c r="AF1267" s="376" t="s">
        <v>221</v>
      </c>
      <c r="AG1267" s="376" t="s">
        <v>178</v>
      </c>
      <c r="AH1267" s="381">
        <v>16.420000000000002</v>
      </c>
      <c r="AI1267" s="381">
        <v>3133.3</v>
      </c>
      <c r="AJ1267" s="376" t="s">
        <v>179</v>
      </c>
      <c r="AK1267" s="376" t="s">
        <v>180</v>
      </c>
      <c r="AL1267" s="376" t="s">
        <v>181</v>
      </c>
      <c r="AM1267" s="376" t="s">
        <v>182</v>
      </c>
      <c r="AN1267" s="376" t="s">
        <v>68</v>
      </c>
      <c r="AO1267" s="379">
        <v>80</v>
      </c>
      <c r="AP1267" s="385">
        <v>1</v>
      </c>
      <c r="AQ1267" s="385">
        <v>1</v>
      </c>
      <c r="AR1267" s="383" t="s">
        <v>183</v>
      </c>
      <c r="AS1267" s="387">
        <f t="shared" si="863"/>
        <v>1</v>
      </c>
      <c r="AT1267">
        <f t="shared" si="864"/>
        <v>1</v>
      </c>
      <c r="AU1267" s="387">
        <f>IF(AT1267=0,"",IF(AND(AT1267=1,M1267="F",SUMIF(C2:C1334,C1267,AS2:AS1334)&lt;=1),SUMIF(C2:C1334,C1267,AS2:AS1334),IF(AND(AT1267=1,M1267="F",SUMIF(C2:C1334,C1267,AS2:AS1334)&gt;1),1,"")))</f>
        <v>1</v>
      </c>
      <c r="AV1267" s="387" t="str">
        <f>IF(AT1267=0,"",IF(AND(AT1267=3,M1267="F",SUMIF(C2:C1334,C1267,AS2:AS1334)&lt;=1),SUMIF(C2:C1334,C1267,AS2:AS1334),IF(AND(AT1267=3,M1267="F",SUMIF(C2:C1334,C1267,AS2:AS1334)&gt;1),1,"")))</f>
        <v/>
      </c>
      <c r="AW1267" s="387">
        <f>SUMIF(C2:C1334,C1267,O2:O1334)</f>
        <v>1</v>
      </c>
      <c r="AX1267" s="387">
        <f>IF(AND(M1267="F",AS1267&lt;&gt;0),SUMIF(C2:C1334,C1267,W2:W1334),0)</f>
        <v>34153.599999999999</v>
      </c>
      <c r="AY1267" s="387">
        <f t="shared" si="865"/>
        <v>34153.599999999999</v>
      </c>
      <c r="AZ1267" s="387" t="str">
        <f t="shared" si="866"/>
        <v/>
      </c>
      <c r="BA1267" s="387">
        <f t="shared" si="867"/>
        <v>0</v>
      </c>
      <c r="BB1267" s="387">
        <f t="shared" si="836"/>
        <v>11650</v>
      </c>
      <c r="BC1267" s="387">
        <f t="shared" si="837"/>
        <v>0</v>
      </c>
      <c r="BD1267" s="387">
        <f t="shared" si="838"/>
        <v>2117.5232000000001</v>
      </c>
      <c r="BE1267" s="387">
        <f t="shared" si="839"/>
        <v>495.22719999999998</v>
      </c>
      <c r="BF1267" s="387">
        <f t="shared" si="840"/>
        <v>4077.93984</v>
      </c>
      <c r="BG1267" s="387">
        <f t="shared" si="841"/>
        <v>246.247456</v>
      </c>
      <c r="BH1267" s="387">
        <f t="shared" si="842"/>
        <v>167.35263999999998</v>
      </c>
      <c r="BI1267" s="387">
        <f t="shared" si="843"/>
        <v>189.040176</v>
      </c>
      <c r="BJ1267" s="387">
        <f t="shared" si="844"/>
        <v>92.21472</v>
      </c>
      <c r="BK1267" s="387">
        <f t="shared" si="845"/>
        <v>0</v>
      </c>
      <c r="BL1267" s="387">
        <f t="shared" si="868"/>
        <v>7385.5452320000004</v>
      </c>
      <c r="BM1267" s="387">
        <f t="shared" si="869"/>
        <v>0</v>
      </c>
      <c r="BN1267" s="387">
        <f t="shared" si="846"/>
        <v>11650</v>
      </c>
      <c r="BO1267" s="387">
        <f t="shared" si="847"/>
        <v>0</v>
      </c>
      <c r="BP1267" s="387">
        <f t="shared" si="848"/>
        <v>2117.5232000000001</v>
      </c>
      <c r="BQ1267" s="387">
        <f t="shared" si="849"/>
        <v>495.22719999999998</v>
      </c>
      <c r="BR1267" s="387">
        <f t="shared" si="850"/>
        <v>4077.93984</v>
      </c>
      <c r="BS1267" s="387">
        <f t="shared" si="851"/>
        <v>246.247456</v>
      </c>
      <c r="BT1267" s="387">
        <f t="shared" si="852"/>
        <v>0</v>
      </c>
      <c r="BU1267" s="387">
        <f t="shared" si="853"/>
        <v>189.040176</v>
      </c>
      <c r="BV1267" s="387">
        <f t="shared" si="854"/>
        <v>116.12223999999999</v>
      </c>
      <c r="BW1267" s="387">
        <f t="shared" si="855"/>
        <v>0</v>
      </c>
      <c r="BX1267" s="387">
        <f t="shared" si="870"/>
        <v>7242.1001120000001</v>
      </c>
      <c r="BY1267" s="387">
        <f t="shared" si="871"/>
        <v>0</v>
      </c>
      <c r="BZ1267" s="387">
        <f t="shared" si="872"/>
        <v>0</v>
      </c>
      <c r="CA1267" s="387">
        <f t="shared" si="873"/>
        <v>0</v>
      </c>
      <c r="CB1267" s="387">
        <f t="shared" si="874"/>
        <v>0</v>
      </c>
      <c r="CC1267" s="387">
        <f t="shared" si="856"/>
        <v>0</v>
      </c>
      <c r="CD1267" s="387">
        <f t="shared" si="857"/>
        <v>0</v>
      </c>
      <c r="CE1267" s="387">
        <f t="shared" si="858"/>
        <v>0</v>
      </c>
      <c r="CF1267" s="387">
        <f t="shared" si="859"/>
        <v>-167.35263999999998</v>
      </c>
      <c r="CG1267" s="387">
        <f t="shared" si="860"/>
        <v>0</v>
      </c>
      <c r="CH1267" s="387">
        <f t="shared" si="861"/>
        <v>23.907519999999987</v>
      </c>
      <c r="CI1267" s="387">
        <f t="shared" si="862"/>
        <v>0</v>
      </c>
      <c r="CJ1267" s="387">
        <f t="shared" si="875"/>
        <v>-143.44512</v>
      </c>
      <c r="CK1267" s="387" t="str">
        <f t="shared" si="876"/>
        <v/>
      </c>
      <c r="CL1267" s="387" t="str">
        <f t="shared" si="877"/>
        <v/>
      </c>
      <c r="CM1267" s="387" t="str">
        <f t="shared" si="878"/>
        <v/>
      </c>
      <c r="CN1267" s="387" t="str">
        <f t="shared" si="879"/>
        <v>0348-31</v>
      </c>
    </row>
    <row r="1268" spans="1:92" ht="15.75" thickBot="1" x14ac:dyDescent="0.3">
      <c r="A1268" s="376" t="s">
        <v>161</v>
      </c>
      <c r="B1268" s="376" t="s">
        <v>162</v>
      </c>
      <c r="C1268" s="376" t="s">
        <v>2534</v>
      </c>
      <c r="D1268" s="376" t="s">
        <v>238</v>
      </c>
      <c r="E1268" s="376" t="s">
        <v>224</v>
      </c>
      <c r="F1268" s="382" t="s">
        <v>225</v>
      </c>
      <c r="G1268" s="376" t="s">
        <v>1945</v>
      </c>
      <c r="H1268" s="378"/>
      <c r="I1268" s="378"/>
      <c r="J1268" s="376" t="s">
        <v>215</v>
      </c>
      <c r="K1268" s="376" t="s">
        <v>285</v>
      </c>
      <c r="L1268" s="376" t="s">
        <v>170</v>
      </c>
      <c r="M1268" s="376" t="s">
        <v>171</v>
      </c>
      <c r="N1268" s="376" t="s">
        <v>172</v>
      </c>
      <c r="O1268" s="379">
        <v>1</v>
      </c>
      <c r="P1268" s="385">
        <v>1</v>
      </c>
      <c r="Q1268" s="385">
        <v>1</v>
      </c>
      <c r="R1268" s="380">
        <v>80</v>
      </c>
      <c r="S1268" s="385">
        <v>1</v>
      </c>
      <c r="T1268" s="380">
        <v>47454.28</v>
      </c>
      <c r="U1268" s="380">
        <v>237.2</v>
      </c>
      <c r="V1268" s="380">
        <v>21694.35</v>
      </c>
      <c r="W1268" s="380">
        <v>49566.400000000001</v>
      </c>
      <c r="X1268" s="380">
        <v>22368.69</v>
      </c>
      <c r="Y1268" s="380">
        <v>49566.400000000001</v>
      </c>
      <c r="Z1268" s="380">
        <v>22160.52</v>
      </c>
      <c r="AA1268" s="376" t="s">
        <v>2535</v>
      </c>
      <c r="AB1268" s="376" t="s">
        <v>2536</v>
      </c>
      <c r="AC1268" s="376" t="s">
        <v>840</v>
      </c>
      <c r="AD1268" s="376" t="s">
        <v>2294</v>
      </c>
      <c r="AE1268" s="376" t="s">
        <v>285</v>
      </c>
      <c r="AF1268" s="376" t="s">
        <v>177</v>
      </c>
      <c r="AG1268" s="376" t="s">
        <v>178</v>
      </c>
      <c r="AH1268" s="381">
        <v>23.83</v>
      </c>
      <c r="AI1268" s="381">
        <v>5592.9</v>
      </c>
      <c r="AJ1268" s="376" t="s">
        <v>179</v>
      </c>
      <c r="AK1268" s="376" t="s">
        <v>180</v>
      </c>
      <c r="AL1268" s="376" t="s">
        <v>181</v>
      </c>
      <c r="AM1268" s="376" t="s">
        <v>182</v>
      </c>
      <c r="AN1268" s="376" t="s">
        <v>68</v>
      </c>
      <c r="AO1268" s="379">
        <v>80</v>
      </c>
      <c r="AP1268" s="385">
        <v>1</v>
      </c>
      <c r="AQ1268" s="385">
        <v>1</v>
      </c>
      <c r="AR1268" s="383" t="s">
        <v>183</v>
      </c>
      <c r="AS1268" s="387">
        <f t="shared" si="863"/>
        <v>1</v>
      </c>
      <c r="AT1268">
        <f t="shared" si="864"/>
        <v>1</v>
      </c>
      <c r="AU1268" s="387">
        <f>IF(AT1268=0,"",IF(AND(AT1268=1,M1268="F",SUMIF(C2:C1334,C1268,AS2:AS1334)&lt;=1),SUMIF(C2:C1334,C1268,AS2:AS1334),IF(AND(AT1268=1,M1268="F",SUMIF(C2:C1334,C1268,AS2:AS1334)&gt;1),1,"")))</f>
        <v>1</v>
      </c>
      <c r="AV1268" s="387" t="str">
        <f>IF(AT1268=0,"",IF(AND(AT1268=3,M1268="F",SUMIF(C2:C1334,C1268,AS2:AS1334)&lt;=1),SUMIF(C2:C1334,C1268,AS2:AS1334),IF(AND(AT1268=3,M1268="F",SUMIF(C2:C1334,C1268,AS2:AS1334)&gt;1),1,"")))</f>
        <v/>
      </c>
      <c r="AW1268" s="387">
        <f>SUMIF(C2:C1334,C1268,O2:O1334)</f>
        <v>1</v>
      </c>
      <c r="AX1268" s="387">
        <f>IF(AND(M1268="F",AS1268&lt;&gt;0),SUMIF(C2:C1334,C1268,W2:W1334),0)</f>
        <v>49566.400000000001</v>
      </c>
      <c r="AY1268" s="387">
        <f t="shared" si="865"/>
        <v>49566.400000000001</v>
      </c>
      <c r="AZ1268" s="387" t="str">
        <f t="shared" si="866"/>
        <v/>
      </c>
      <c r="BA1268" s="387">
        <f t="shared" si="867"/>
        <v>0</v>
      </c>
      <c r="BB1268" s="387">
        <f t="shared" si="836"/>
        <v>11650</v>
      </c>
      <c r="BC1268" s="387">
        <f t="shared" si="837"/>
        <v>0</v>
      </c>
      <c r="BD1268" s="387">
        <f t="shared" si="838"/>
        <v>3073.1168000000002</v>
      </c>
      <c r="BE1268" s="387">
        <f t="shared" si="839"/>
        <v>718.71280000000002</v>
      </c>
      <c r="BF1268" s="387">
        <f t="shared" si="840"/>
        <v>5918.2281600000006</v>
      </c>
      <c r="BG1268" s="387">
        <f t="shared" si="841"/>
        <v>357.37374400000004</v>
      </c>
      <c r="BH1268" s="387">
        <f t="shared" si="842"/>
        <v>242.87536</v>
      </c>
      <c r="BI1268" s="387">
        <f t="shared" si="843"/>
        <v>274.35002400000002</v>
      </c>
      <c r="BJ1268" s="387">
        <f t="shared" si="844"/>
        <v>133.82928000000001</v>
      </c>
      <c r="BK1268" s="387">
        <f t="shared" si="845"/>
        <v>0</v>
      </c>
      <c r="BL1268" s="387">
        <f t="shared" si="868"/>
        <v>10718.486167999999</v>
      </c>
      <c r="BM1268" s="387">
        <f t="shared" si="869"/>
        <v>0</v>
      </c>
      <c r="BN1268" s="387">
        <f t="shared" si="846"/>
        <v>11650</v>
      </c>
      <c r="BO1268" s="387">
        <f t="shared" si="847"/>
        <v>0</v>
      </c>
      <c r="BP1268" s="387">
        <f t="shared" si="848"/>
        <v>3073.1168000000002</v>
      </c>
      <c r="BQ1268" s="387">
        <f t="shared" si="849"/>
        <v>718.71280000000002</v>
      </c>
      <c r="BR1268" s="387">
        <f t="shared" si="850"/>
        <v>5918.2281600000006</v>
      </c>
      <c r="BS1268" s="387">
        <f t="shared" si="851"/>
        <v>357.37374400000004</v>
      </c>
      <c r="BT1268" s="387">
        <f t="shared" si="852"/>
        <v>0</v>
      </c>
      <c r="BU1268" s="387">
        <f t="shared" si="853"/>
        <v>274.35002400000002</v>
      </c>
      <c r="BV1268" s="387">
        <f t="shared" si="854"/>
        <v>168.52575999999999</v>
      </c>
      <c r="BW1268" s="387">
        <f t="shared" si="855"/>
        <v>0</v>
      </c>
      <c r="BX1268" s="387">
        <f t="shared" si="870"/>
        <v>10510.307288</v>
      </c>
      <c r="BY1268" s="387">
        <f t="shared" si="871"/>
        <v>0</v>
      </c>
      <c r="BZ1268" s="387">
        <f t="shared" si="872"/>
        <v>0</v>
      </c>
      <c r="CA1268" s="387">
        <f t="shared" si="873"/>
        <v>0</v>
      </c>
      <c r="CB1268" s="387">
        <f t="shared" si="874"/>
        <v>0</v>
      </c>
      <c r="CC1268" s="387">
        <f t="shared" si="856"/>
        <v>0</v>
      </c>
      <c r="CD1268" s="387">
        <f t="shared" si="857"/>
        <v>0</v>
      </c>
      <c r="CE1268" s="387">
        <f t="shared" si="858"/>
        <v>0</v>
      </c>
      <c r="CF1268" s="387">
        <f t="shared" si="859"/>
        <v>-242.87536</v>
      </c>
      <c r="CG1268" s="387">
        <f t="shared" si="860"/>
        <v>0</v>
      </c>
      <c r="CH1268" s="387">
        <f t="shared" si="861"/>
        <v>34.696479999999987</v>
      </c>
      <c r="CI1268" s="387">
        <f t="shared" si="862"/>
        <v>0</v>
      </c>
      <c r="CJ1268" s="387">
        <f t="shared" si="875"/>
        <v>-208.17888000000002</v>
      </c>
      <c r="CK1268" s="387" t="str">
        <f t="shared" si="876"/>
        <v/>
      </c>
      <c r="CL1268" s="387" t="str">
        <f t="shared" si="877"/>
        <v/>
      </c>
      <c r="CM1268" s="387" t="str">
        <f t="shared" si="878"/>
        <v/>
      </c>
      <c r="CN1268" s="387" t="str">
        <f t="shared" si="879"/>
        <v>0348-31</v>
      </c>
    </row>
    <row r="1269" spans="1:92" ht="15.75" thickBot="1" x14ac:dyDescent="0.3">
      <c r="A1269" s="376" t="s">
        <v>161</v>
      </c>
      <c r="B1269" s="376" t="s">
        <v>162</v>
      </c>
      <c r="C1269" s="376" t="s">
        <v>2537</v>
      </c>
      <c r="D1269" s="376" t="s">
        <v>1326</v>
      </c>
      <c r="E1269" s="376" t="s">
        <v>224</v>
      </c>
      <c r="F1269" s="382" t="s">
        <v>225</v>
      </c>
      <c r="G1269" s="376" t="s">
        <v>1945</v>
      </c>
      <c r="H1269" s="378"/>
      <c r="I1269" s="378"/>
      <c r="J1269" s="376" t="s">
        <v>215</v>
      </c>
      <c r="K1269" s="376" t="s">
        <v>1327</v>
      </c>
      <c r="L1269" s="376" t="s">
        <v>296</v>
      </c>
      <c r="M1269" s="376" t="s">
        <v>272</v>
      </c>
      <c r="N1269" s="376" t="s">
        <v>172</v>
      </c>
      <c r="O1269" s="379">
        <v>0</v>
      </c>
      <c r="P1269" s="385">
        <v>1</v>
      </c>
      <c r="Q1269" s="385">
        <v>1</v>
      </c>
      <c r="R1269" s="380">
        <v>80</v>
      </c>
      <c r="S1269" s="385">
        <v>1</v>
      </c>
      <c r="T1269" s="380">
        <v>37410.43</v>
      </c>
      <c r="U1269" s="380">
        <v>0</v>
      </c>
      <c r="V1269" s="380">
        <v>18417.64</v>
      </c>
      <c r="W1269" s="380">
        <v>47403.199999999997</v>
      </c>
      <c r="X1269" s="380">
        <v>20762.599999999999</v>
      </c>
      <c r="Y1269" s="380">
        <v>47403.199999999997</v>
      </c>
      <c r="Z1269" s="380">
        <v>20525.580000000002</v>
      </c>
      <c r="AA1269" s="378"/>
      <c r="AB1269" s="376" t="s">
        <v>45</v>
      </c>
      <c r="AC1269" s="376" t="s">
        <v>45</v>
      </c>
      <c r="AD1269" s="378"/>
      <c r="AE1269" s="378"/>
      <c r="AF1269" s="378"/>
      <c r="AG1269" s="378"/>
      <c r="AH1269" s="379">
        <v>0</v>
      </c>
      <c r="AI1269" s="379">
        <v>0</v>
      </c>
      <c r="AJ1269" s="378"/>
      <c r="AK1269" s="378"/>
      <c r="AL1269" s="376" t="s">
        <v>181</v>
      </c>
      <c r="AM1269" s="378"/>
      <c r="AN1269" s="378"/>
      <c r="AO1269" s="379">
        <v>0</v>
      </c>
      <c r="AP1269" s="385">
        <v>0</v>
      </c>
      <c r="AQ1269" s="385">
        <v>0</v>
      </c>
      <c r="AR1269" s="384"/>
      <c r="AS1269" s="387">
        <f t="shared" si="863"/>
        <v>0</v>
      </c>
      <c r="AT1269">
        <f t="shared" si="864"/>
        <v>0</v>
      </c>
      <c r="AU1269" s="387" t="str">
        <f>IF(AT1269=0,"",IF(AND(AT1269=1,M1269="F",SUMIF(C2:C1334,C1269,AS2:AS1334)&lt;=1),SUMIF(C2:C1334,C1269,AS2:AS1334),IF(AND(AT1269=1,M1269="F",SUMIF(C2:C1334,C1269,AS2:AS1334)&gt;1),1,"")))</f>
        <v/>
      </c>
      <c r="AV1269" s="387" t="str">
        <f>IF(AT1269=0,"",IF(AND(AT1269=3,M1269="F",SUMIF(C2:C1334,C1269,AS2:AS1334)&lt;=1),SUMIF(C2:C1334,C1269,AS2:AS1334),IF(AND(AT1269=3,M1269="F",SUMIF(C2:C1334,C1269,AS2:AS1334)&gt;1),1,"")))</f>
        <v/>
      </c>
      <c r="AW1269" s="387">
        <f>SUMIF(C2:C1334,C1269,O2:O1334)</f>
        <v>0</v>
      </c>
      <c r="AX1269" s="387">
        <f>IF(AND(M1269="F",AS1269&lt;&gt;0),SUMIF(C2:C1334,C1269,W2:W1334),0)</f>
        <v>0</v>
      </c>
      <c r="AY1269" s="387" t="str">
        <f t="shared" si="865"/>
        <v/>
      </c>
      <c r="AZ1269" s="387" t="str">
        <f t="shared" si="866"/>
        <v/>
      </c>
      <c r="BA1269" s="387">
        <f t="shared" si="867"/>
        <v>0</v>
      </c>
      <c r="BB1269" s="387">
        <f t="shared" si="836"/>
        <v>0</v>
      </c>
      <c r="BC1269" s="387">
        <f t="shared" si="837"/>
        <v>0</v>
      </c>
      <c r="BD1269" s="387">
        <f t="shared" si="838"/>
        <v>0</v>
      </c>
      <c r="BE1269" s="387">
        <f t="shared" si="839"/>
        <v>0</v>
      </c>
      <c r="BF1269" s="387">
        <f t="shared" si="840"/>
        <v>0</v>
      </c>
      <c r="BG1269" s="387">
        <f t="shared" si="841"/>
        <v>0</v>
      </c>
      <c r="BH1269" s="387">
        <f t="shared" si="842"/>
        <v>0</v>
      </c>
      <c r="BI1269" s="387">
        <f t="shared" si="843"/>
        <v>0</v>
      </c>
      <c r="BJ1269" s="387">
        <f t="shared" si="844"/>
        <v>0</v>
      </c>
      <c r="BK1269" s="387">
        <f t="shared" si="845"/>
        <v>0</v>
      </c>
      <c r="BL1269" s="387">
        <f t="shared" si="868"/>
        <v>0</v>
      </c>
      <c r="BM1269" s="387">
        <f t="shared" si="869"/>
        <v>0</v>
      </c>
      <c r="BN1269" s="387">
        <f t="shared" si="846"/>
        <v>0</v>
      </c>
      <c r="BO1269" s="387">
        <f t="shared" si="847"/>
        <v>0</v>
      </c>
      <c r="BP1269" s="387">
        <f t="shared" si="848"/>
        <v>0</v>
      </c>
      <c r="BQ1269" s="387">
        <f t="shared" si="849"/>
        <v>0</v>
      </c>
      <c r="BR1269" s="387">
        <f t="shared" si="850"/>
        <v>0</v>
      </c>
      <c r="BS1269" s="387">
        <f t="shared" si="851"/>
        <v>0</v>
      </c>
      <c r="BT1269" s="387">
        <f t="shared" si="852"/>
        <v>0</v>
      </c>
      <c r="BU1269" s="387">
        <f t="shared" si="853"/>
        <v>0</v>
      </c>
      <c r="BV1269" s="387">
        <f t="shared" si="854"/>
        <v>0</v>
      </c>
      <c r="BW1269" s="387">
        <f t="shared" si="855"/>
        <v>0</v>
      </c>
      <c r="BX1269" s="387">
        <f t="shared" si="870"/>
        <v>0</v>
      </c>
      <c r="BY1269" s="387">
        <f t="shared" si="871"/>
        <v>0</v>
      </c>
      <c r="BZ1269" s="387">
        <f t="shared" si="872"/>
        <v>0</v>
      </c>
      <c r="CA1269" s="387">
        <f t="shared" si="873"/>
        <v>0</v>
      </c>
      <c r="CB1269" s="387">
        <f t="shared" si="874"/>
        <v>0</v>
      </c>
      <c r="CC1269" s="387">
        <f t="shared" si="856"/>
        <v>0</v>
      </c>
      <c r="CD1269" s="387">
        <f t="shared" si="857"/>
        <v>0</v>
      </c>
      <c r="CE1269" s="387">
        <f t="shared" si="858"/>
        <v>0</v>
      </c>
      <c r="CF1269" s="387">
        <f t="shared" si="859"/>
        <v>0</v>
      </c>
      <c r="CG1269" s="387">
        <f t="shared" si="860"/>
        <v>0</v>
      </c>
      <c r="CH1269" s="387">
        <f t="shared" si="861"/>
        <v>0</v>
      </c>
      <c r="CI1269" s="387">
        <f t="shared" si="862"/>
        <v>0</v>
      </c>
      <c r="CJ1269" s="387">
        <f t="shared" si="875"/>
        <v>0</v>
      </c>
      <c r="CK1269" s="387" t="str">
        <f t="shared" si="876"/>
        <v/>
      </c>
      <c r="CL1269" s="387" t="str">
        <f t="shared" si="877"/>
        <v/>
      </c>
      <c r="CM1269" s="387" t="str">
        <f t="shared" si="878"/>
        <v/>
      </c>
      <c r="CN1269" s="387" t="str">
        <f t="shared" si="879"/>
        <v>0348-31</v>
      </c>
    </row>
    <row r="1270" spans="1:92" ht="15.75" thickBot="1" x14ac:dyDescent="0.3">
      <c r="A1270" s="376" t="s">
        <v>161</v>
      </c>
      <c r="B1270" s="376" t="s">
        <v>162</v>
      </c>
      <c r="C1270" s="376" t="s">
        <v>1867</v>
      </c>
      <c r="D1270" s="376" t="s">
        <v>270</v>
      </c>
      <c r="E1270" s="376" t="s">
        <v>224</v>
      </c>
      <c r="F1270" s="382" t="s">
        <v>225</v>
      </c>
      <c r="G1270" s="376" t="s">
        <v>1945</v>
      </c>
      <c r="H1270" s="378"/>
      <c r="I1270" s="378"/>
      <c r="J1270" s="376" t="s">
        <v>215</v>
      </c>
      <c r="K1270" s="376" t="s">
        <v>271</v>
      </c>
      <c r="L1270" s="376" t="s">
        <v>217</v>
      </c>
      <c r="M1270" s="376" t="s">
        <v>272</v>
      </c>
      <c r="N1270" s="376" t="s">
        <v>172</v>
      </c>
      <c r="O1270" s="379">
        <v>0</v>
      </c>
      <c r="P1270" s="385">
        <v>1</v>
      </c>
      <c r="Q1270" s="385">
        <v>1</v>
      </c>
      <c r="R1270" s="380">
        <v>80</v>
      </c>
      <c r="S1270" s="385">
        <v>1</v>
      </c>
      <c r="T1270" s="380">
        <v>36646.93</v>
      </c>
      <c r="U1270" s="380">
        <v>582.53</v>
      </c>
      <c r="V1270" s="380">
        <v>21805.360000000001</v>
      </c>
      <c r="W1270" s="380">
        <v>37502.400000000001</v>
      </c>
      <c r="X1270" s="380">
        <v>16426.05</v>
      </c>
      <c r="Y1270" s="380">
        <v>37502.400000000001</v>
      </c>
      <c r="Z1270" s="380">
        <v>16238.53</v>
      </c>
      <c r="AA1270" s="378"/>
      <c r="AB1270" s="376" t="s">
        <v>45</v>
      </c>
      <c r="AC1270" s="376" t="s">
        <v>45</v>
      </c>
      <c r="AD1270" s="378"/>
      <c r="AE1270" s="378"/>
      <c r="AF1270" s="378"/>
      <c r="AG1270" s="378"/>
      <c r="AH1270" s="379">
        <v>0</v>
      </c>
      <c r="AI1270" s="379">
        <v>0</v>
      </c>
      <c r="AJ1270" s="378"/>
      <c r="AK1270" s="378"/>
      <c r="AL1270" s="376" t="s">
        <v>181</v>
      </c>
      <c r="AM1270" s="378"/>
      <c r="AN1270" s="378"/>
      <c r="AO1270" s="379">
        <v>0</v>
      </c>
      <c r="AP1270" s="385">
        <v>0</v>
      </c>
      <c r="AQ1270" s="385">
        <v>0</v>
      </c>
      <c r="AR1270" s="384"/>
      <c r="AS1270" s="387">
        <f t="shared" si="863"/>
        <v>0</v>
      </c>
      <c r="AT1270">
        <f t="shared" si="864"/>
        <v>0</v>
      </c>
      <c r="AU1270" s="387" t="str">
        <f>IF(AT1270=0,"",IF(AND(AT1270=1,M1270="F",SUMIF(C2:C1334,C1270,AS2:AS1334)&lt;=1),SUMIF(C2:C1334,C1270,AS2:AS1334),IF(AND(AT1270=1,M1270="F",SUMIF(C2:C1334,C1270,AS2:AS1334)&gt;1),1,"")))</f>
        <v/>
      </c>
      <c r="AV1270" s="387" t="str">
        <f>IF(AT1270=0,"",IF(AND(AT1270=3,M1270="F",SUMIF(C2:C1334,C1270,AS2:AS1334)&lt;=1),SUMIF(C2:C1334,C1270,AS2:AS1334),IF(AND(AT1270=3,M1270="F",SUMIF(C2:C1334,C1270,AS2:AS1334)&gt;1),1,"")))</f>
        <v/>
      </c>
      <c r="AW1270" s="387">
        <f>SUMIF(C2:C1334,C1270,O2:O1334)</f>
        <v>0</v>
      </c>
      <c r="AX1270" s="387">
        <f>IF(AND(M1270="F",AS1270&lt;&gt;0),SUMIF(C2:C1334,C1270,W2:W1334),0)</f>
        <v>0</v>
      </c>
      <c r="AY1270" s="387" t="str">
        <f t="shared" si="865"/>
        <v/>
      </c>
      <c r="AZ1270" s="387" t="str">
        <f t="shared" si="866"/>
        <v/>
      </c>
      <c r="BA1270" s="387">
        <f t="shared" si="867"/>
        <v>0</v>
      </c>
      <c r="BB1270" s="387">
        <f t="shared" si="836"/>
        <v>0</v>
      </c>
      <c r="BC1270" s="387">
        <f t="shared" si="837"/>
        <v>0</v>
      </c>
      <c r="BD1270" s="387">
        <f t="shared" si="838"/>
        <v>0</v>
      </c>
      <c r="BE1270" s="387">
        <f t="shared" si="839"/>
        <v>0</v>
      </c>
      <c r="BF1270" s="387">
        <f t="shared" si="840"/>
        <v>0</v>
      </c>
      <c r="BG1270" s="387">
        <f t="shared" si="841"/>
        <v>0</v>
      </c>
      <c r="BH1270" s="387">
        <f t="shared" si="842"/>
        <v>0</v>
      </c>
      <c r="BI1270" s="387">
        <f t="shared" si="843"/>
        <v>0</v>
      </c>
      <c r="BJ1270" s="387">
        <f t="shared" si="844"/>
        <v>0</v>
      </c>
      <c r="BK1270" s="387">
        <f t="shared" si="845"/>
        <v>0</v>
      </c>
      <c r="BL1270" s="387">
        <f t="shared" si="868"/>
        <v>0</v>
      </c>
      <c r="BM1270" s="387">
        <f t="shared" si="869"/>
        <v>0</v>
      </c>
      <c r="BN1270" s="387">
        <f t="shared" si="846"/>
        <v>0</v>
      </c>
      <c r="BO1270" s="387">
        <f t="shared" si="847"/>
        <v>0</v>
      </c>
      <c r="BP1270" s="387">
        <f t="shared" si="848"/>
        <v>0</v>
      </c>
      <c r="BQ1270" s="387">
        <f t="shared" si="849"/>
        <v>0</v>
      </c>
      <c r="BR1270" s="387">
        <f t="shared" si="850"/>
        <v>0</v>
      </c>
      <c r="BS1270" s="387">
        <f t="shared" si="851"/>
        <v>0</v>
      </c>
      <c r="BT1270" s="387">
        <f t="shared" si="852"/>
        <v>0</v>
      </c>
      <c r="BU1270" s="387">
        <f t="shared" si="853"/>
        <v>0</v>
      </c>
      <c r="BV1270" s="387">
        <f t="shared" si="854"/>
        <v>0</v>
      </c>
      <c r="BW1270" s="387">
        <f t="shared" si="855"/>
        <v>0</v>
      </c>
      <c r="BX1270" s="387">
        <f t="shared" si="870"/>
        <v>0</v>
      </c>
      <c r="BY1270" s="387">
        <f t="shared" si="871"/>
        <v>0</v>
      </c>
      <c r="BZ1270" s="387">
        <f t="shared" si="872"/>
        <v>0</v>
      </c>
      <c r="CA1270" s="387">
        <f t="shared" si="873"/>
        <v>0</v>
      </c>
      <c r="CB1270" s="387">
        <f t="shared" si="874"/>
        <v>0</v>
      </c>
      <c r="CC1270" s="387">
        <f t="shared" si="856"/>
        <v>0</v>
      </c>
      <c r="CD1270" s="387">
        <f t="shared" si="857"/>
        <v>0</v>
      </c>
      <c r="CE1270" s="387">
        <f t="shared" si="858"/>
        <v>0</v>
      </c>
      <c r="CF1270" s="387">
        <f t="shared" si="859"/>
        <v>0</v>
      </c>
      <c r="CG1270" s="387">
        <f t="shared" si="860"/>
        <v>0</v>
      </c>
      <c r="CH1270" s="387">
        <f t="shared" si="861"/>
        <v>0</v>
      </c>
      <c r="CI1270" s="387">
        <f t="shared" si="862"/>
        <v>0</v>
      </c>
      <c r="CJ1270" s="387">
        <f t="shared" si="875"/>
        <v>0</v>
      </c>
      <c r="CK1270" s="387" t="str">
        <f t="shared" si="876"/>
        <v/>
      </c>
      <c r="CL1270" s="387" t="str">
        <f t="shared" si="877"/>
        <v/>
      </c>
      <c r="CM1270" s="387" t="str">
        <f t="shared" si="878"/>
        <v/>
      </c>
      <c r="CN1270" s="387" t="str">
        <f t="shared" si="879"/>
        <v>0348-31</v>
      </c>
    </row>
    <row r="1271" spans="1:92" ht="15.75" thickBot="1" x14ac:dyDescent="0.3">
      <c r="A1271" s="376" t="s">
        <v>161</v>
      </c>
      <c r="B1271" s="376" t="s">
        <v>162</v>
      </c>
      <c r="C1271" s="376" t="s">
        <v>2538</v>
      </c>
      <c r="D1271" s="376" t="s">
        <v>1326</v>
      </c>
      <c r="E1271" s="376" t="s">
        <v>224</v>
      </c>
      <c r="F1271" s="382" t="s">
        <v>225</v>
      </c>
      <c r="G1271" s="376" t="s">
        <v>1945</v>
      </c>
      <c r="H1271" s="378"/>
      <c r="I1271" s="378"/>
      <c r="J1271" s="376" t="s">
        <v>215</v>
      </c>
      <c r="K1271" s="376" t="s">
        <v>1327</v>
      </c>
      <c r="L1271" s="376" t="s">
        <v>296</v>
      </c>
      <c r="M1271" s="376" t="s">
        <v>171</v>
      </c>
      <c r="N1271" s="376" t="s">
        <v>172</v>
      </c>
      <c r="O1271" s="379">
        <v>1</v>
      </c>
      <c r="P1271" s="385">
        <v>1</v>
      </c>
      <c r="Q1271" s="385">
        <v>1</v>
      </c>
      <c r="R1271" s="380">
        <v>80</v>
      </c>
      <c r="S1271" s="385">
        <v>1</v>
      </c>
      <c r="T1271" s="380">
        <v>63335.26</v>
      </c>
      <c r="U1271" s="380">
        <v>0</v>
      </c>
      <c r="V1271" s="380">
        <v>24984.76</v>
      </c>
      <c r="W1271" s="380">
        <v>65561.600000000006</v>
      </c>
      <c r="X1271" s="380">
        <v>25827.66</v>
      </c>
      <c r="Y1271" s="380">
        <v>65561.600000000006</v>
      </c>
      <c r="Z1271" s="380">
        <v>25552.3</v>
      </c>
      <c r="AA1271" s="376" t="s">
        <v>2539</v>
      </c>
      <c r="AB1271" s="376" t="s">
        <v>2540</v>
      </c>
      <c r="AC1271" s="376" t="s">
        <v>2541</v>
      </c>
      <c r="AD1271" s="376" t="s">
        <v>170</v>
      </c>
      <c r="AE1271" s="376" t="s">
        <v>1327</v>
      </c>
      <c r="AF1271" s="376" t="s">
        <v>301</v>
      </c>
      <c r="AG1271" s="376" t="s">
        <v>178</v>
      </c>
      <c r="AH1271" s="381">
        <v>31.52</v>
      </c>
      <c r="AI1271" s="379">
        <v>49844</v>
      </c>
      <c r="AJ1271" s="376" t="s">
        <v>179</v>
      </c>
      <c r="AK1271" s="376" t="s">
        <v>180</v>
      </c>
      <c r="AL1271" s="376" t="s">
        <v>181</v>
      </c>
      <c r="AM1271" s="376" t="s">
        <v>182</v>
      </c>
      <c r="AN1271" s="376" t="s">
        <v>68</v>
      </c>
      <c r="AO1271" s="379">
        <v>80</v>
      </c>
      <c r="AP1271" s="385">
        <v>1</v>
      </c>
      <c r="AQ1271" s="385">
        <v>1</v>
      </c>
      <c r="AR1271" s="383" t="s">
        <v>183</v>
      </c>
      <c r="AS1271" s="387">
        <f t="shared" si="863"/>
        <v>1</v>
      </c>
      <c r="AT1271">
        <f t="shared" si="864"/>
        <v>1</v>
      </c>
      <c r="AU1271" s="387">
        <f>IF(AT1271=0,"",IF(AND(AT1271=1,M1271="F",SUMIF(C2:C1334,C1271,AS2:AS1334)&lt;=1),SUMIF(C2:C1334,C1271,AS2:AS1334),IF(AND(AT1271=1,M1271="F",SUMIF(C2:C1334,C1271,AS2:AS1334)&gt;1),1,"")))</f>
        <v>1</v>
      </c>
      <c r="AV1271" s="387" t="str">
        <f>IF(AT1271=0,"",IF(AND(AT1271=3,M1271="F",SUMIF(C2:C1334,C1271,AS2:AS1334)&lt;=1),SUMIF(C2:C1334,C1271,AS2:AS1334),IF(AND(AT1271=3,M1271="F",SUMIF(C2:C1334,C1271,AS2:AS1334)&gt;1),1,"")))</f>
        <v/>
      </c>
      <c r="AW1271" s="387">
        <f>SUMIF(C2:C1334,C1271,O2:O1334)</f>
        <v>1</v>
      </c>
      <c r="AX1271" s="387">
        <f>IF(AND(M1271="F",AS1271&lt;&gt;0),SUMIF(C2:C1334,C1271,W2:W1334),0)</f>
        <v>65561.600000000006</v>
      </c>
      <c r="AY1271" s="387">
        <f t="shared" si="865"/>
        <v>65561.600000000006</v>
      </c>
      <c r="AZ1271" s="387" t="str">
        <f t="shared" si="866"/>
        <v/>
      </c>
      <c r="BA1271" s="387">
        <f t="shared" si="867"/>
        <v>0</v>
      </c>
      <c r="BB1271" s="387">
        <f t="shared" si="836"/>
        <v>11650</v>
      </c>
      <c r="BC1271" s="387">
        <f t="shared" si="837"/>
        <v>0</v>
      </c>
      <c r="BD1271" s="387">
        <f t="shared" si="838"/>
        <v>4064.8192000000004</v>
      </c>
      <c r="BE1271" s="387">
        <f t="shared" si="839"/>
        <v>950.64320000000009</v>
      </c>
      <c r="BF1271" s="387">
        <f t="shared" si="840"/>
        <v>7828.0550400000011</v>
      </c>
      <c r="BG1271" s="387">
        <f t="shared" si="841"/>
        <v>472.69913600000007</v>
      </c>
      <c r="BH1271" s="387">
        <f t="shared" si="842"/>
        <v>321.25184000000002</v>
      </c>
      <c r="BI1271" s="387">
        <f t="shared" si="843"/>
        <v>362.88345600000002</v>
      </c>
      <c r="BJ1271" s="387">
        <f t="shared" si="844"/>
        <v>177.01632000000004</v>
      </c>
      <c r="BK1271" s="387">
        <f t="shared" si="845"/>
        <v>0</v>
      </c>
      <c r="BL1271" s="387">
        <f t="shared" si="868"/>
        <v>14177.368192000002</v>
      </c>
      <c r="BM1271" s="387">
        <f t="shared" si="869"/>
        <v>0</v>
      </c>
      <c r="BN1271" s="387">
        <f t="shared" si="846"/>
        <v>11650</v>
      </c>
      <c r="BO1271" s="387">
        <f t="shared" si="847"/>
        <v>0</v>
      </c>
      <c r="BP1271" s="387">
        <f t="shared" si="848"/>
        <v>4064.8192000000004</v>
      </c>
      <c r="BQ1271" s="387">
        <f t="shared" si="849"/>
        <v>950.64320000000009</v>
      </c>
      <c r="BR1271" s="387">
        <f t="shared" si="850"/>
        <v>7828.0550400000011</v>
      </c>
      <c r="BS1271" s="387">
        <f t="shared" si="851"/>
        <v>472.69913600000007</v>
      </c>
      <c r="BT1271" s="387">
        <f t="shared" si="852"/>
        <v>0</v>
      </c>
      <c r="BU1271" s="387">
        <f t="shared" si="853"/>
        <v>362.88345600000002</v>
      </c>
      <c r="BV1271" s="387">
        <f t="shared" si="854"/>
        <v>222.90944000000002</v>
      </c>
      <c r="BW1271" s="387">
        <f t="shared" si="855"/>
        <v>0</v>
      </c>
      <c r="BX1271" s="387">
        <f t="shared" si="870"/>
        <v>13902.009472</v>
      </c>
      <c r="BY1271" s="387">
        <f t="shared" si="871"/>
        <v>0</v>
      </c>
      <c r="BZ1271" s="387">
        <f t="shared" si="872"/>
        <v>0</v>
      </c>
      <c r="CA1271" s="387">
        <f t="shared" si="873"/>
        <v>0</v>
      </c>
      <c r="CB1271" s="387">
        <f t="shared" si="874"/>
        <v>0</v>
      </c>
      <c r="CC1271" s="387">
        <f t="shared" si="856"/>
        <v>0</v>
      </c>
      <c r="CD1271" s="387">
        <f t="shared" si="857"/>
        <v>0</v>
      </c>
      <c r="CE1271" s="387">
        <f t="shared" si="858"/>
        <v>0</v>
      </c>
      <c r="CF1271" s="387">
        <f t="shared" si="859"/>
        <v>-321.25184000000002</v>
      </c>
      <c r="CG1271" s="387">
        <f t="shared" si="860"/>
        <v>0</v>
      </c>
      <c r="CH1271" s="387">
        <f t="shared" si="861"/>
        <v>45.893119999999982</v>
      </c>
      <c r="CI1271" s="387">
        <f t="shared" si="862"/>
        <v>0</v>
      </c>
      <c r="CJ1271" s="387">
        <f t="shared" si="875"/>
        <v>-275.35872000000006</v>
      </c>
      <c r="CK1271" s="387" t="str">
        <f t="shared" si="876"/>
        <v/>
      </c>
      <c r="CL1271" s="387" t="str">
        <f t="shared" si="877"/>
        <v/>
      </c>
      <c r="CM1271" s="387" t="str">
        <f t="shared" si="878"/>
        <v/>
      </c>
      <c r="CN1271" s="387" t="str">
        <f t="shared" si="879"/>
        <v>0348-31</v>
      </c>
    </row>
    <row r="1272" spans="1:92" ht="15.75" thickBot="1" x14ac:dyDescent="0.3">
      <c r="A1272" s="376" t="s">
        <v>161</v>
      </c>
      <c r="B1272" s="376" t="s">
        <v>162</v>
      </c>
      <c r="C1272" s="376" t="s">
        <v>2542</v>
      </c>
      <c r="D1272" s="376" t="s">
        <v>862</v>
      </c>
      <c r="E1272" s="376" t="s">
        <v>224</v>
      </c>
      <c r="F1272" s="382" t="s">
        <v>225</v>
      </c>
      <c r="G1272" s="376" t="s">
        <v>1945</v>
      </c>
      <c r="H1272" s="378"/>
      <c r="I1272" s="378"/>
      <c r="J1272" s="376" t="s">
        <v>215</v>
      </c>
      <c r="K1272" s="376" t="s">
        <v>863</v>
      </c>
      <c r="L1272" s="376" t="s">
        <v>252</v>
      </c>
      <c r="M1272" s="376" t="s">
        <v>171</v>
      </c>
      <c r="N1272" s="376" t="s">
        <v>172</v>
      </c>
      <c r="O1272" s="379">
        <v>1</v>
      </c>
      <c r="P1272" s="385">
        <v>1</v>
      </c>
      <c r="Q1272" s="385">
        <v>1</v>
      </c>
      <c r="R1272" s="380">
        <v>80</v>
      </c>
      <c r="S1272" s="385">
        <v>1</v>
      </c>
      <c r="T1272" s="380">
        <v>36773.9</v>
      </c>
      <c r="U1272" s="380">
        <v>1775.74</v>
      </c>
      <c r="V1272" s="380">
        <v>19101.400000000001</v>
      </c>
      <c r="W1272" s="380">
        <v>38604.800000000003</v>
      </c>
      <c r="X1272" s="380">
        <v>19998.259999999998</v>
      </c>
      <c r="Y1272" s="380">
        <v>38604.800000000003</v>
      </c>
      <c r="Z1272" s="380">
        <v>19836.12</v>
      </c>
      <c r="AA1272" s="376" t="s">
        <v>2543</v>
      </c>
      <c r="AB1272" s="376" t="s">
        <v>1695</v>
      </c>
      <c r="AC1272" s="376" t="s">
        <v>2544</v>
      </c>
      <c r="AD1272" s="376" t="s">
        <v>2134</v>
      </c>
      <c r="AE1272" s="376" t="s">
        <v>863</v>
      </c>
      <c r="AF1272" s="376" t="s">
        <v>393</v>
      </c>
      <c r="AG1272" s="376" t="s">
        <v>178</v>
      </c>
      <c r="AH1272" s="381">
        <v>18.559999999999999</v>
      </c>
      <c r="AI1272" s="379">
        <v>1802</v>
      </c>
      <c r="AJ1272" s="376" t="s">
        <v>179</v>
      </c>
      <c r="AK1272" s="376" t="s">
        <v>180</v>
      </c>
      <c r="AL1272" s="376" t="s">
        <v>181</v>
      </c>
      <c r="AM1272" s="376" t="s">
        <v>182</v>
      </c>
      <c r="AN1272" s="376" t="s">
        <v>68</v>
      </c>
      <c r="AO1272" s="379">
        <v>80</v>
      </c>
      <c r="AP1272" s="385">
        <v>1</v>
      </c>
      <c r="AQ1272" s="385">
        <v>1</v>
      </c>
      <c r="AR1272" s="383" t="s">
        <v>183</v>
      </c>
      <c r="AS1272" s="387">
        <f t="shared" si="863"/>
        <v>1</v>
      </c>
      <c r="AT1272">
        <f t="shared" si="864"/>
        <v>1</v>
      </c>
      <c r="AU1272" s="387">
        <f>IF(AT1272=0,"",IF(AND(AT1272=1,M1272="F",SUMIF(C2:C1334,C1272,AS2:AS1334)&lt;=1),SUMIF(C2:C1334,C1272,AS2:AS1334),IF(AND(AT1272=1,M1272="F",SUMIF(C2:C1334,C1272,AS2:AS1334)&gt;1),1,"")))</f>
        <v>1</v>
      </c>
      <c r="AV1272" s="387" t="str">
        <f>IF(AT1272=0,"",IF(AND(AT1272=3,M1272="F",SUMIF(C2:C1334,C1272,AS2:AS1334)&lt;=1),SUMIF(C2:C1334,C1272,AS2:AS1334),IF(AND(AT1272=3,M1272="F",SUMIF(C2:C1334,C1272,AS2:AS1334)&gt;1),1,"")))</f>
        <v/>
      </c>
      <c r="AW1272" s="387">
        <f>SUMIF(C2:C1334,C1272,O2:O1334)</f>
        <v>1</v>
      </c>
      <c r="AX1272" s="387">
        <f>IF(AND(M1272="F",AS1272&lt;&gt;0),SUMIF(C2:C1334,C1272,W2:W1334),0)</f>
        <v>38604.800000000003</v>
      </c>
      <c r="AY1272" s="387">
        <f t="shared" si="865"/>
        <v>38604.800000000003</v>
      </c>
      <c r="AZ1272" s="387" t="str">
        <f t="shared" si="866"/>
        <v/>
      </c>
      <c r="BA1272" s="387">
        <f t="shared" si="867"/>
        <v>0</v>
      </c>
      <c r="BB1272" s="387">
        <f t="shared" si="836"/>
        <v>11650</v>
      </c>
      <c r="BC1272" s="387">
        <f t="shared" si="837"/>
        <v>0</v>
      </c>
      <c r="BD1272" s="387">
        <f t="shared" si="838"/>
        <v>2393.4976000000001</v>
      </c>
      <c r="BE1272" s="387">
        <f t="shared" si="839"/>
        <v>559.76960000000008</v>
      </c>
      <c r="BF1272" s="387">
        <f t="shared" si="840"/>
        <v>4609.4131200000002</v>
      </c>
      <c r="BG1272" s="387">
        <f t="shared" si="841"/>
        <v>278.34060800000003</v>
      </c>
      <c r="BH1272" s="387">
        <f t="shared" si="842"/>
        <v>189.16352000000001</v>
      </c>
      <c r="BI1272" s="387">
        <f t="shared" si="843"/>
        <v>213.67756800000001</v>
      </c>
      <c r="BJ1272" s="387">
        <f t="shared" si="844"/>
        <v>104.23296000000002</v>
      </c>
      <c r="BK1272" s="387">
        <f t="shared" si="845"/>
        <v>0</v>
      </c>
      <c r="BL1272" s="387">
        <f t="shared" si="868"/>
        <v>8348.0949760000003</v>
      </c>
      <c r="BM1272" s="387">
        <f t="shared" si="869"/>
        <v>0</v>
      </c>
      <c r="BN1272" s="387">
        <f t="shared" si="846"/>
        <v>11650</v>
      </c>
      <c r="BO1272" s="387">
        <f t="shared" si="847"/>
        <v>0</v>
      </c>
      <c r="BP1272" s="387">
        <f t="shared" si="848"/>
        <v>2393.4976000000001</v>
      </c>
      <c r="BQ1272" s="387">
        <f t="shared" si="849"/>
        <v>559.76960000000008</v>
      </c>
      <c r="BR1272" s="387">
        <f t="shared" si="850"/>
        <v>4609.4131200000002</v>
      </c>
      <c r="BS1272" s="387">
        <f t="shared" si="851"/>
        <v>278.34060800000003</v>
      </c>
      <c r="BT1272" s="387">
        <f t="shared" si="852"/>
        <v>0</v>
      </c>
      <c r="BU1272" s="387">
        <f t="shared" si="853"/>
        <v>213.67756800000001</v>
      </c>
      <c r="BV1272" s="387">
        <f t="shared" si="854"/>
        <v>131.25632000000002</v>
      </c>
      <c r="BW1272" s="387">
        <f t="shared" si="855"/>
        <v>0</v>
      </c>
      <c r="BX1272" s="387">
        <f t="shared" si="870"/>
        <v>8185.9548160000013</v>
      </c>
      <c r="BY1272" s="387">
        <f t="shared" si="871"/>
        <v>0</v>
      </c>
      <c r="BZ1272" s="387">
        <f t="shared" si="872"/>
        <v>0</v>
      </c>
      <c r="CA1272" s="387">
        <f t="shared" si="873"/>
        <v>0</v>
      </c>
      <c r="CB1272" s="387">
        <f t="shared" si="874"/>
        <v>0</v>
      </c>
      <c r="CC1272" s="387">
        <f t="shared" si="856"/>
        <v>0</v>
      </c>
      <c r="CD1272" s="387">
        <f t="shared" si="857"/>
        <v>0</v>
      </c>
      <c r="CE1272" s="387">
        <f t="shared" si="858"/>
        <v>0</v>
      </c>
      <c r="CF1272" s="387">
        <f t="shared" si="859"/>
        <v>-189.16352000000001</v>
      </c>
      <c r="CG1272" s="387">
        <f t="shared" si="860"/>
        <v>0</v>
      </c>
      <c r="CH1272" s="387">
        <f t="shared" si="861"/>
        <v>27.02335999999999</v>
      </c>
      <c r="CI1272" s="387">
        <f t="shared" si="862"/>
        <v>0</v>
      </c>
      <c r="CJ1272" s="387">
        <f t="shared" si="875"/>
        <v>-162.14016000000001</v>
      </c>
      <c r="CK1272" s="387" t="str">
        <f t="shared" si="876"/>
        <v/>
      </c>
      <c r="CL1272" s="387" t="str">
        <f t="shared" si="877"/>
        <v/>
      </c>
      <c r="CM1272" s="387" t="str">
        <f t="shared" si="878"/>
        <v/>
      </c>
      <c r="CN1272" s="387" t="str">
        <f t="shared" si="879"/>
        <v>0348-31</v>
      </c>
    </row>
    <row r="1273" spans="1:92" ht="15.75" thickBot="1" x14ac:dyDescent="0.3">
      <c r="A1273" s="376" t="s">
        <v>161</v>
      </c>
      <c r="B1273" s="376" t="s">
        <v>162</v>
      </c>
      <c r="C1273" s="376" t="s">
        <v>1076</v>
      </c>
      <c r="D1273" s="376" t="s">
        <v>862</v>
      </c>
      <c r="E1273" s="376" t="s">
        <v>224</v>
      </c>
      <c r="F1273" s="382" t="s">
        <v>225</v>
      </c>
      <c r="G1273" s="376" t="s">
        <v>1945</v>
      </c>
      <c r="H1273" s="378"/>
      <c r="I1273" s="378"/>
      <c r="J1273" s="376" t="s">
        <v>239</v>
      </c>
      <c r="K1273" s="376" t="s">
        <v>863</v>
      </c>
      <c r="L1273" s="376" t="s">
        <v>252</v>
      </c>
      <c r="M1273" s="376" t="s">
        <v>171</v>
      </c>
      <c r="N1273" s="376" t="s">
        <v>172</v>
      </c>
      <c r="O1273" s="379">
        <v>1</v>
      </c>
      <c r="P1273" s="385">
        <v>0.85</v>
      </c>
      <c r="Q1273" s="385">
        <v>0.85</v>
      </c>
      <c r="R1273" s="380">
        <v>80</v>
      </c>
      <c r="S1273" s="385">
        <v>0.85</v>
      </c>
      <c r="T1273" s="380">
        <v>33152.35</v>
      </c>
      <c r="U1273" s="380">
        <v>0</v>
      </c>
      <c r="V1273" s="380">
        <v>16130.23</v>
      </c>
      <c r="W1273" s="380">
        <v>41017.599999999999</v>
      </c>
      <c r="X1273" s="380">
        <v>18772.53</v>
      </c>
      <c r="Y1273" s="380">
        <v>41017.599999999999</v>
      </c>
      <c r="Z1273" s="380">
        <v>18600.259999999998</v>
      </c>
      <c r="AA1273" s="376" t="s">
        <v>1077</v>
      </c>
      <c r="AB1273" s="376" t="s">
        <v>1078</v>
      </c>
      <c r="AC1273" s="376" t="s">
        <v>963</v>
      </c>
      <c r="AD1273" s="376" t="s">
        <v>296</v>
      </c>
      <c r="AE1273" s="376" t="s">
        <v>863</v>
      </c>
      <c r="AF1273" s="376" t="s">
        <v>393</v>
      </c>
      <c r="AG1273" s="376" t="s">
        <v>178</v>
      </c>
      <c r="AH1273" s="381">
        <v>23.2</v>
      </c>
      <c r="AI1273" s="381">
        <v>31339.8</v>
      </c>
      <c r="AJ1273" s="376" t="s">
        <v>179</v>
      </c>
      <c r="AK1273" s="376" t="s">
        <v>180</v>
      </c>
      <c r="AL1273" s="376" t="s">
        <v>181</v>
      </c>
      <c r="AM1273" s="376" t="s">
        <v>182</v>
      </c>
      <c r="AN1273" s="376" t="s">
        <v>68</v>
      </c>
      <c r="AO1273" s="379">
        <v>80</v>
      </c>
      <c r="AP1273" s="385">
        <v>1</v>
      </c>
      <c r="AQ1273" s="385">
        <v>0.85</v>
      </c>
      <c r="AR1273" s="383" t="s">
        <v>183</v>
      </c>
      <c r="AS1273" s="387">
        <f t="shared" si="863"/>
        <v>0.85</v>
      </c>
      <c r="AT1273">
        <f t="shared" si="864"/>
        <v>1</v>
      </c>
      <c r="AU1273" s="387">
        <f>IF(AT1273=0,"",IF(AND(AT1273=1,M1273="F",SUMIF(C2:C1334,C1273,AS2:AS1334)&lt;=1),SUMIF(C2:C1334,C1273,AS2:AS1334),IF(AND(AT1273=1,M1273="F",SUMIF(C2:C1334,C1273,AS2:AS1334)&gt;1),1,"")))</f>
        <v>1</v>
      </c>
      <c r="AV1273" s="387" t="str">
        <f>IF(AT1273=0,"",IF(AND(AT1273=3,M1273="F",SUMIF(C2:C1334,C1273,AS2:AS1334)&lt;=1),SUMIF(C2:C1334,C1273,AS2:AS1334),IF(AND(AT1273=3,M1273="F",SUMIF(C2:C1334,C1273,AS2:AS1334)&gt;1),1,"")))</f>
        <v/>
      </c>
      <c r="AW1273" s="387">
        <f>SUMIF(C2:C1334,C1273,O2:O1334)</f>
        <v>3</v>
      </c>
      <c r="AX1273" s="387">
        <f>IF(AND(M1273="F",AS1273&lt;&gt;0),SUMIF(C2:C1334,C1273,W2:W1334),0)</f>
        <v>48256</v>
      </c>
      <c r="AY1273" s="387">
        <f t="shared" si="865"/>
        <v>41017.599999999999</v>
      </c>
      <c r="AZ1273" s="387" t="str">
        <f t="shared" si="866"/>
        <v/>
      </c>
      <c r="BA1273" s="387">
        <f t="shared" si="867"/>
        <v>0</v>
      </c>
      <c r="BB1273" s="387">
        <f t="shared" si="836"/>
        <v>9902.5</v>
      </c>
      <c r="BC1273" s="387">
        <f t="shared" si="837"/>
        <v>0</v>
      </c>
      <c r="BD1273" s="387">
        <f t="shared" si="838"/>
        <v>2543.0911999999998</v>
      </c>
      <c r="BE1273" s="387">
        <f t="shared" si="839"/>
        <v>594.75520000000006</v>
      </c>
      <c r="BF1273" s="387">
        <f t="shared" si="840"/>
        <v>4897.50144</v>
      </c>
      <c r="BG1273" s="387">
        <f t="shared" si="841"/>
        <v>295.736896</v>
      </c>
      <c r="BH1273" s="387">
        <f t="shared" si="842"/>
        <v>200.98623999999998</v>
      </c>
      <c r="BI1273" s="387">
        <f t="shared" si="843"/>
        <v>227.03241599999998</v>
      </c>
      <c r="BJ1273" s="387">
        <f t="shared" si="844"/>
        <v>110.74752000000001</v>
      </c>
      <c r="BK1273" s="387">
        <f t="shared" si="845"/>
        <v>0</v>
      </c>
      <c r="BL1273" s="387">
        <f t="shared" si="868"/>
        <v>8869.8509120000017</v>
      </c>
      <c r="BM1273" s="387">
        <f t="shared" si="869"/>
        <v>0</v>
      </c>
      <c r="BN1273" s="387">
        <f t="shared" si="846"/>
        <v>9902.5</v>
      </c>
      <c r="BO1273" s="387">
        <f t="shared" si="847"/>
        <v>0</v>
      </c>
      <c r="BP1273" s="387">
        <f t="shared" si="848"/>
        <v>2543.0911999999998</v>
      </c>
      <c r="BQ1273" s="387">
        <f t="shared" si="849"/>
        <v>594.75520000000006</v>
      </c>
      <c r="BR1273" s="387">
        <f t="shared" si="850"/>
        <v>4897.50144</v>
      </c>
      <c r="BS1273" s="387">
        <f t="shared" si="851"/>
        <v>295.736896</v>
      </c>
      <c r="BT1273" s="387">
        <f t="shared" si="852"/>
        <v>0</v>
      </c>
      <c r="BU1273" s="387">
        <f t="shared" si="853"/>
        <v>227.03241599999998</v>
      </c>
      <c r="BV1273" s="387">
        <f t="shared" si="854"/>
        <v>139.45983999999999</v>
      </c>
      <c r="BW1273" s="387">
        <f t="shared" si="855"/>
        <v>0</v>
      </c>
      <c r="BX1273" s="387">
        <f t="shared" si="870"/>
        <v>8697.5769920000002</v>
      </c>
      <c r="BY1273" s="387">
        <f t="shared" si="871"/>
        <v>0</v>
      </c>
      <c r="BZ1273" s="387">
        <f t="shared" si="872"/>
        <v>0</v>
      </c>
      <c r="CA1273" s="387">
        <f t="shared" si="873"/>
        <v>0</v>
      </c>
      <c r="CB1273" s="387">
        <f t="shared" si="874"/>
        <v>0</v>
      </c>
      <c r="CC1273" s="387">
        <f t="shared" si="856"/>
        <v>0</v>
      </c>
      <c r="CD1273" s="387">
        <f t="shared" si="857"/>
        <v>0</v>
      </c>
      <c r="CE1273" s="387">
        <f t="shared" si="858"/>
        <v>0</v>
      </c>
      <c r="CF1273" s="387">
        <f t="shared" si="859"/>
        <v>-200.98623999999998</v>
      </c>
      <c r="CG1273" s="387">
        <f t="shared" si="860"/>
        <v>0</v>
      </c>
      <c r="CH1273" s="387">
        <f t="shared" si="861"/>
        <v>28.712319999999984</v>
      </c>
      <c r="CI1273" s="387">
        <f t="shared" si="862"/>
        <v>0</v>
      </c>
      <c r="CJ1273" s="387">
        <f t="shared" si="875"/>
        <v>-172.27392</v>
      </c>
      <c r="CK1273" s="387" t="str">
        <f t="shared" si="876"/>
        <v/>
      </c>
      <c r="CL1273" s="387" t="str">
        <f t="shared" si="877"/>
        <v/>
      </c>
      <c r="CM1273" s="387" t="str">
        <f t="shared" si="878"/>
        <v/>
      </c>
      <c r="CN1273" s="387" t="str">
        <f t="shared" si="879"/>
        <v>0348-31</v>
      </c>
    </row>
    <row r="1274" spans="1:92" ht="15.75" thickBot="1" x14ac:dyDescent="0.3">
      <c r="A1274" s="376" t="s">
        <v>161</v>
      </c>
      <c r="B1274" s="376" t="s">
        <v>162</v>
      </c>
      <c r="C1274" s="376" t="s">
        <v>1741</v>
      </c>
      <c r="D1274" s="376" t="s">
        <v>992</v>
      </c>
      <c r="E1274" s="376" t="s">
        <v>224</v>
      </c>
      <c r="F1274" s="382" t="s">
        <v>225</v>
      </c>
      <c r="G1274" s="376" t="s">
        <v>1945</v>
      </c>
      <c r="H1274" s="378"/>
      <c r="I1274" s="378"/>
      <c r="J1274" s="376" t="s">
        <v>215</v>
      </c>
      <c r="K1274" s="376" t="s">
        <v>993</v>
      </c>
      <c r="L1274" s="376" t="s">
        <v>210</v>
      </c>
      <c r="M1274" s="376" t="s">
        <v>171</v>
      </c>
      <c r="N1274" s="376" t="s">
        <v>172</v>
      </c>
      <c r="O1274" s="379">
        <v>1</v>
      </c>
      <c r="P1274" s="385">
        <v>1</v>
      </c>
      <c r="Q1274" s="385">
        <v>1</v>
      </c>
      <c r="R1274" s="380">
        <v>80</v>
      </c>
      <c r="S1274" s="385">
        <v>1</v>
      </c>
      <c r="T1274" s="380">
        <v>0</v>
      </c>
      <c r="U1274" s="380">
        <v>0</v>
      </c>
      <c r="V1274" s="380">
        <v>0</v>
      </c>
      <c r="W1274" s="380">
        <v>69596.800000000003</v>
      </c>
      <c r="X1274" s="380">
        <v>26700.28</v>
      </c>
      <c r="Y1274" s="380">
        <v>69596.800000000003</v>
      </c>
      <c r="Z1274" s="380">
        <v>26407.97</v>
      </c>
      <c r="AA1274" s="376" t="s">
        <v>1742</v>
      </c>
      <c r="AB1274" s="376" t="s">
        <v>1743</v>
      </c>
      <c r="AC1274" s="376" t="s">
        <v>1707</v>
      </c>
      <c r="AD1274" s="376" t="s">
        <v>252</v>
      </c>
      <c r="AE1274" s="376" t="s">
        <v>993</v>
      </c>
      <c r="AF1274" s="376" t="s">
        <v>245</v>
      </c>
      <c r="AG1274" s="376" t="s">
        <v>178</v>
      </c>
      <c r="AH1274" s="381">
        <v>33.46</v>
      </c>
      <c r="AI1274" s="381">
        <v>17716.099999999999</v>
      </c>
      <c r="AJ1274" s="376" t="s">
        <v>179</v>
      </c>
      <c r="AK1274" s="376" t="s">
        <v>180</v>
      </c>
      <c r="AL1274" s="376" t="s">
        <v>181</v>
      </c>
      <c r="AM1274" s="376" t="s">
        <v>182</v>
      </c>
      <c r="AN1274" s="376" t="s">
        <v>68</v>
      </c>
      <c r="AO1274" s="379">
        <v>80</v>
      </c>
      <c r="AP1274" s="385">
        <v>1</v>
      </c>
      <c r="AQ1274" s="385">
        <v>1</v>
      </c>
      <c r="AR1274" s="383" t="s">
        <v>183</v>
      </c>
      <c r="AS1274" s="387">
        <f t="shared" si="863"/>
        <v>1</v>
      </c>
      <c r="AT1274">
        <f t="shared" si="864"/>
        <v>1</v>
      </c>
      <c r="AU1274" s="387">
        <f>IF(AT1274=0,"",IF(AND(AT1274=1,M1274="F",SUMIF(C2:C1334,C1274,AS2:AS1334)&lt;=1),SUMIF(C2:C1334,C1274,AS2:AS1334),IF(AND(AT1274=1,M1274="F",SUMIF(C2:C1334,C1274,AS2:AS1334)&gt;1),1,"")))</f>
        <v>1</v>
      </c>
      <c r="AV1274" s="387" t="str">
        <f>IF(AT1274=0,"",IF(AND(AT1274=3,M1274="F",SUMIF(C2:C1334,C1274,AS2:AS1334)&lt;=1),SUMIF(C2:C1334,C1274,AS2:AS1334),IF(AND(AT1274=3,M1274="F",SUMIF(C2:C1334,C1274,AS2:AS1334)&gt;1),1,"")))</f>
        <v/>
      </c>
      <c r="AW1274" s="387">
        <f>SUMIF(C2:C1334,C1274,O2:O1334)</f>
        <v>2</v>
      </c>
      <c r="AX1274" s="387">
        <f>IF(AND(M1274="F",AS1274&lt;&gt;0),SUMIF(C2:C1334,C1274,W2:W1334),0)</f>
        <v>69596.800000000003</v>
      </c>
      <c r="AY1274" s="387">
        <f t="shared" si="865"/>
        <v>69596.800000000003</v>
      </c>
      <c r="AZ1274" s="387" t="str">
        <f t="shared" si="866"/>
        <v/>
      </c>
      <c r="BA1274" s="387">
        <f t="shared" si="867"/>
        <v>0</v>
      </c>
      <c r="BB1274" s="387">
        <f t="shared" si="836"/>
        <v>11650</v>
      </c>
      <c r="BC1274" s="387">
        <f t="shared" si="837"/>
        <v>0</v>
      </c>
      <c r="BD1274" s="387">
        <f t="shared" si="838"/>
        <v>4315.0016000000005</v>
      </c>
      <c r="BE1274" s="387">
        <f t="shared" si="839"/>
        <v>1009.1536000000001</v>
      </c>
      <c r="BF1274" s="387">
        <f t="shared" si="840"/>
        <v>8309.8579200000004</v>
      </c>
      <c r="BG1274" s="387">
        <f t="shared" si="841"/>
        <v>501.79292800000002</v>
      </c>
      <c r="BH1274" s="387">
        <f t="shared" si="842"/>
        <v>341.02431999999999</v>
      </c>
      <c r="BI1274" s="387">
        <f t="shared" si="843"/>
        <v>385.21828800000003</v>
      </c>
      <c r="BJ1274" s="387">
        <f t="shared" si="844"/>
        <v>187.91136000000003</v>
      </c>
      <c r="BK1274" s="387">
        <f t="shared" si="845"/>
        <v>0</v>
      </c>
      <c r="BL1274" s="387">
        <f t="shared" si="868"/>
        <v>15049.960016000003</v>
      </c>
      <c r="BM1274" s="387">
        <f t="shared" si="869"/>
        <v>0</v>
      </c>
      <c r="BN1274" s="387">
        <f t="shared" si="846"/>
        <v>11650</v>
      </c>
      <c r="BO1274" s="387">
        <f t="shared" si="847"/>
        <v>0</v>
      </c>
      <c r="BP1274" s="387">
        <f t="shared" si="848"/>
        <v>4315.0016000000005</v>
      </c>
      <c r="BQ1274" s="387">
        <f t="shared" si="849"/>
        <v>1009.1536000000001</v>
      </c>
      <c r="BR1274" s="387">
        <f t="shared" si="850"/>
        <v>8309.8579200000004</v>
      </c>
      <c r="BS1274" s="387">
        <f t="shared" si="851"/>
        <v>501.79292800000002</v>
      </c>
      <c r="BT1274" s="387">
        <f t="shared" si="852"/>
        <v>0</v>
      </c>
      <c r="BU1274" s="387">
        <f t="shared" si="853"/>
        <v>385.21828800000003</v>
      </c>
      <c r="BV1274" s="387">
        <f t="shared" si="854"/>
        <v>236.62912</v>
      </c>
      <c r="BW1274" s="387">
        <f t="shared" si="855"/>
        <v>0</v>
      </c>
      <c r="BX1274" s="387">
        <f t="shared" si="870"/>
        <v>14757.653456000002</v>
      </c>
      <c r="BY1274" s="387">
        <f t="shared" si="871"/>
        <v>0</v>
      </c>
      <c r="BZ1274" s="387">
        <f t="shared" si="872"/>
        <v>0</v>
      </c>
      <c r="CA1274" s="387">
        <f t="shared" si="873"/>
        <v>0</v>
      </c>
      <c r="CB1274" s="387">
        <f t="shared" si="874"/>
        <v>0</v>
      </c>
      <c r="CC1274" s="387">
        <f t="shared" si="856"/>
        <v>0</v>
      </c>
      <c r="CD1274" s="387">
        <f t="shared" si="857"/>
        <v>0</v>
      </c>
      <c r="CE1274" s="387">
        <f t="shared" si="858"/>
        <v>0</v>
      </c>
      <c r="CF1274" s="387">
        <f t="shared" si="859"/>
        <v>-341.02431999999999</v>
      </c>
      <c r="CG1274" s="387">
        <f t="shared" si="860"/>
        <v>0</v>
      </c>
      <c r="CH1274" s="387">
        <f t="shared" si="861"/>
        <v>48.717759999999977</v>
      </c>
      <c r="CI1274" s="387">
        <f t="shared" si="862"/>
        <v>0</v>
      </c>
      <c r="CJ1274" s="387">
        <f t="shared" si="875"/>
        <v>-292.30655999999999</v>
      </c>
      <c r="CK1274" s="387" t="str">
        <f t="shared" si="876"/>
        <v/>
      </c>
      <c r="CL1274" s="387" t="str">
        <f t="shared" si="877"/>
        <v/>
      </c>
      <c r="CM1274" s="387" t="str">
        <f t="shared" si="878"/>
        <v/>
      </c>
      <c r="CN1274" s="387" t="str">
        <f t="shared" si="879"/>
        <v>0348-31</v>
      </c>
    </row>
    <row r="1275" spans="1:92" ht="15.75" thickBot="1" x14ac:dyDescent="0.3">
      <c r="A1275" s="376" t="s">
        <v>161</v>
      </c>
      <c r="B1275" s="376" t="s">
        <v>162</v>
      </c>
      <c r="C1275" s="376" t="s">
        <v>1877</v>
      </c>
      <c r="D1275" s="376" t="s">
        <v>862</v>
      </c>
      <c r="E1275" s="376" t="s">
        <v>224</v>
      </c>
      <c r="F1275" s="382" t="s">
        <v>225</v>
      </c>
      <c r="G1275" s="376" t="s">
        <v>1945</v>
      </c>
      <c r="H1275" s="378"/>
      <c r="I1275" s="378"/>
      <c r="J1275" s="376" t="s">
        <v>215</v>
      </c>
      <c r="K1275" s="376" t="s">
        <v>863</v>
      </c>
      <c r="L1275" s="376" t="s">
        <v>252</v>
      </c>
      <c r="M1275" s="376" t="s">
        <v>272</v>
      </c>
      <c r="N1275" s="376" t="s">
        <v>172</v>
      </c>
      <c r="O1275" s="379">
        <v>0</v>
      </c>
      <c r="P1275" s="385">
        <v>1</v>
      </c>
      <c r="Q1275" s="385">
        <v>1</v>
      </c>
      <c r="R1275" s="380">
        <v>80</v>
      </c>
      <c r="S1275" s="385">
        <v>1</v>
      </c>
      <c r="T1275" s="380">
        <v>624.6</v>
      </c>
      <c r="U1275" s="380">
        <v>0</v>
      </c>
      <c r="V1275" s="380">
        <v>491.35</v>
      </c>
      <c r="W1275" s="380">
        <v>42328</v>
      </c>
      <c r="X1275" s="380">
        <v>18539.66</v>
      </c>
      <c r="Y1275" s="380">
        <v>42328</v>
      </c>
      <c r="Z1275" s="380">
        <v>18328.02</v>
      </c>
      <c r="AA1275" s="378"/>
      <c r="AB1275" s="376" t="s">
        <v>45</v>
      </c>
      <c r="AC1275" s="376" t="s">
        <v>45</v>
      </c>
      <c r="AD1275" s="378"/>
      <c r="AE1275" s="378"/>
      <c r="AF1275" s="378"/>
      <c r="AG1275" s="378"/>
      <c r="AH1275" s="379">
        <v>0</v>
      </c>
      <c r="AI1275" s="379">
        <v>0</v>
      </c>
      <c r="AJ1275" s="378"/>
      <c r="AK1275" s="378"/>
      <c r="AL1275" s="376" t="s">
        <v>181</v>
      </c>
      <c r="AM1275" s="378"/>
      <c r="AN1275" s="378"/>
      <c r="AO1275" s="379">
        <v>0</v>
      </c>
      <c r="AP1275" s="385">
        <v>0</v>
      </c>
      <c r="AQ1275" s="385">
        <v>0</v>
      </c>
      <c r="AR1275" s="384"/>
      <c r="AS1275" s="387">
        <f t="shared" si="863"/>
        <v>0</v>
      </c>
      <c r="AT1275">
        <f t="shared" si="864"/>
        <v>0</v>
      </c>
      <c r="AU1275" s="387" t="str">
        <f>IF(AT1275=0,"",IF(AND(AT1275=1,M1275="F",SUMIF(C2:C1334,C1275,AS2:AS1334)&lt;=1),SUMIF(C2:C1334,C1275,AS2:AS1334),IF(AND(AT1275=1,M1275="F",SUMIF(C2:C1334,C1275,AS2:AS1334)&gt;1),1,"")))</f>
        <v/>
      </c>
      <c r="AV1275" s="387" t="str">
        <f>IF(AT1275=0,"",IF(AND(AT1275=3,M1275="F",SUMIF(C2:C1334,C1275,AS2:AS1334)&lt;=1),SUMIF(C2:C1334,C1275,AS2:AS1334),IF(AND(AT1275=3,M1275="F",SUMIF(C2:C1334,C1275,AS2:AS1334)&gt;1),1,"")))</f>
        <v/>
      </c>
      <c r="AW1275" s="387">
        <f>SUMIF(C2:C1334,C1275,O2:O1334)</f>
        <v>0</v>
      </c>
      <c r="AX1275" s="387">
        <f>IF(AND(M1275="F",AS1275&lt;&gt;0),SUMIF(C2:C1334,C1275,W2:W1334),0)</f>
        <v>0</v>
      </c>
      <c r="AY1275" s="387" t="str">
        <f t="shared" si="865"/>
        <v/>
      </c>
      <c r="AZ1275" s="387" t="str">
        <f t="shared" si="866"/>
        <v/>
      </c>
      <c r="BA1275" s="387">
        <f t="shared" si="867"/>
        <v>0</v>
      </c>
      <c r="BB1275" s="387">
        <f t="shared" si="836"/>
        <v>0</v>
      </c>
      <c r="BC1275" s="387">
        <f t="shared" si="837"/>
        <v>0</v>
      </c>
      <c r="BD1275" s="387">
        <f t="shared" si="838"/>
        <v>0</v>
      </c>
      <c r="BE1275" s="387">
        <f t="shared" si="839"/>
        <v>0</v>
      </c>
      <c r="BF1275" s="387">
        <f t="shared" si="840"/>
        <v>0</v>
      </c>
      <c r="BG1275" s="387">
        <f t="shared" si="841"/>
        <v>0</v>
      </c>
      <c r="BH1275" s="387">
        <f t="shared" si="842"/>
        <v>0</v>
      </c>
      <c r="BI1275" s="387">
        <f t="shared" si="843"/>
        <v>0</v>
      </c>
      <c r="BJ1275" s="387">
        <f t="shared" si="844"/>
        <v>0</v>
      </c>
      <c r="BK1275" s="387">
        <f t="shared" si="845"/>
        <v>0</v>
      </c>
      <c r="BL1275" s="387">
        <f t="shared" si="868"/>
        <v>0</v>
      </c>
      <c r="BM1275" s="387">
        <f t="shared" si="869"/>
        <v>0</v>
      </c>
      <c r="BN1275" s="387">
        <f t="shared" si="846"/>
        <v>0</v>
      </c>
      <c r="BO1275" s="387">
        <f t="shared" si="847"/>
        <v>0</v>
      </c>
      <c r="BP1275" s="387">
        <f t="shared" si="848"/>
        <v>0</v>
      </c>
      <c r="BQ1275" s="387">
        <f t="shared" si="849"/>
        <v>0</v>
      </c>
      <c r="BR1275" s="387">
        <f t="shared" si="850"/>
        <v>0</v>
      </c>
      <c r="BS1275" s="387">
        <f t="shared" si="851"/>
        <v>0</v>
      </c>
      <c r="BT1275" s="387">
        <f t="shared" si="852"/>
        <v>0</v>
      </c>
      <c r="BU1275" s="387">
        <f t="shared" si="853"/>
        <v>0</v>
      </c>
      <c r="BV1275" s="387">
        <f t="shared" si="854"/>
        <v>0</v>
      </c>
      <c r="BW1275" s="387">
        <f t="shared" si="855"/>
        <v>0</v>
      </c>
      <c r="BX1275" s="387">
        <f t="shared" si="870"/>
        <v>0</v>
      </c>
      <c r="BY1275" s="387">
        <f t="shared" si="871"/>
        <v>0</v>
      </c>
      <c r="BZ1275" s="387">
        <f t="shared" si="872"/>
        <v>0</v>
      </c>
      <c r="CA1275" s="387">
        <f t="shared" si="873"/>
        <v>0</v>
      </c>
      <c r="CB1275" s="387">
        <f t="shared" si="874"/>
        <v>0</v>
      </c>
      <c r="CC1275" s="387">
        <f t="shared" si="856"/>
        <v>0</v>
      </c>
      <c r="CD1275" s="387">
        <f t="shared" si="857"/>
        <v>0</v>
      </c>
      <c r="CE1275" s="387">
        <f t="shared" si="858"/>
        <v>0</v>
      </c>
      <c r="CF1275" s="387">
        <f t="shared" si="859"/>
        <v>0</v>
      </c>
      <c r="CG1275" s="387">
        <f t="shared" si="860"/>
        <v>0</v>
      </c>
      <c r="CH1275" s="387">
        <f t="shared" si="861"/>
        <v>0</v>
      </c>
      <c r="CI1275" s="387">
        <f t="shared" si="862"/>
        <v>0</v>
      </c>
      <c r="CJ1275" s="387">
        <f t="shared" si="875"/>
        <v>0</v>
      </c>
      <c r="CK1275" s="387" t="str">
        <f t="shared" si="876"/>
        <v/>
      </c>
      <c r="CL1275" s="387" t="str">
        <f t="shared" si="877"/>
        <v/>
      </c>
      <c r="CM1275" s="387" t="str">
        <f t="shared" si="878"/>
        <v/>
      </c>
      <c r="CN1275" s="387" t="str">
        <f t="shared" si="879"/>
        <v>0348-31</v>
      </c>
    </row>
    <row r="1276" spans="1:92" ht="15.75" thickBot="1" x14ac:dyDescent="0.3">
      <c r="A1276" s="376" t="s">
        <v>161</v>
      </c>
      <c r="B1276" s="376" t="s">
        <v>162</v>
      </c>
      <c r="C1276" s="376" t="s">
        <v>1859</v>
      </c>
      <c r="D1276" s="376" t="s">
        <v>1860</v>
      </c>
      <c r="E1276" s="376" t="s">
        <v>224</v>
      </c>
      <c r="F1276" s="382" t="s">
        <v>225</v>
      </c>
      <c r="G1276" s="376" t="s">
        <v>1945</v>
      </c>
      <c r="H1276" s="378"/>
      <c r="I1276" s="378"/>
      <c r="J1276" s="376" t="s">
        <v>215</v>
      </c>
      <c r="K1276" s="376" t="s">
        <v>1861</v>
      </c>
      <c r="L1276" s="376" t="s">
        <v>166</v>
      </c>
      <c r="M1276" s="376" t="s">
        <v>171</v>
      </c>
      <c r="N1276" s="376" t="s">
        <v>257</v>
      </c>
      <c r="O1276" s="379">
        <v>1</v>
      </c>
      <c r="P1276" s="385">
        <v>1</v>
      </c>
      <c r="Q1276" s="385">
        <v>1</v>
      </c>
      <c r="R1276" s="380">
        <v>80</v>
      </c>
      <c r="S1276" s="385">
        <v>1</v>
      </c>
      <c r="T1276" s="380">
        <v>105709.8</v>
      </c>
      <c r="U1276" s="380">
        <v>0</v>
      </c>
      <c r="V1276" s="380">
        <v>30920.1</v>
      </c>
      <c r="W1276" s="380">
        <v>132017.60000000001</v>
      </c>
      <c r="X1276" s="380">
        <v>39467.4</v>
      </c>
      <c r="Y1276" s="380">
        <v>132017.60000000001</v>
      </c>
      <c r="Z1276" s="380">
        <v>38912.93</v>
      </c>
      <c r="AA1276" s="376" t="s">
        <v>1862</v>
      </c>
      <c r="AB1276" s="376" t="s">
        <v>1863</v>
      </c>
      <c r="AC1276" s="376" t="s">
        <v>501</v>
      </c>
      <c r="AD1276" s="376" t="s">
        <v>198</v>
      </c>
      <c r="AE1276" s="376" t="s">
        <v>1861</v>
      </c>
      <c r="AF1276" s="376" t="s">
        <v>261</v>
      </c>
      <c r="AG1276" s="376" t="s">
        <v>178</v>
      </c>
      <c r="AH1276" s="381">
        <v>63.47</v>
      </c>
      <c r="AI1276" s="381">
        <v>42719.6</v>
      </c>
      <c r="AJ1276" s="376" t="s">
        <v>179</v>
      </c>
      <c r="AK1276" s="376" t="s">
        <v>180</v>
      </c>
      <c r="AL1276" s="376" t="s">
        <v>181</v>
      </c>
      <c r="AM1276" s="376" t="s">
        <v>182</v>
      </c>
      <c r="AN1276" s="376" t="s">
        <v>68</v>
      </c>
      <c r="AO1276" s="379">
        <v>80</v>
      </c>
      <c r="AP1276" s="385">
        <v>1</v>
      </c>
      <c r="AQ1276" s="385">
        <v>1</v>
      </c>
      <c r="AR1276" s="383" t="s">
        <v>183</v>
      </c>
      <c r="AS1276" s="387">
        <f t="shared" si="863"/>
        <v>1</v>
      </c>
      <c r="AT1276">
        <f t="shared" si="864"/>
        <v>1</v>
      </c>
      <c r="AU1276" s="387">
        <f>IF(AT1276=0,"",IF(AND(AT1276=1,M1276="F",SUMIF(C2:C1334,C1276,AS2:AS1334)&lt;=1),SUMIF(C2:C1334,C1276,AS2:AS1334),IF(AND(AT1276=1,M1276="F",SUMIF(C2:C1334,C1276,AS2:AS1334)&gt;1),1,"")))</f>
        <v>1</v>
      </c>
      <c r="AV1276" s="387" t="str">
        <f>IF(AT1276=0,"",IF(AND(AT1276=3,M1276="F",SUMIF(C2:C1334,C1276,AS2:AS1334)&lt;=1),SUMIF(C2:C1334,C1276,AS2:AS1334),IF(AND(AT1276=3,M1276="F",SUMIF(C2:C1334,C1276,AS2:AS1334)&gt;1),1,"")))</f>
        <v/>
      </c>
      <c r="AW1276" s="387">
        <f>SUMIF(C2:C1334,C1276,O2:O1334)</f>
        <v>3</v>
      </c>
      <c r="AX1276" s="387">
        <f>IF(AND(M1276="F",AS1276&lt;&gt;0),SUMIF(C2:C1334,C1276,W2:W1334),0)</f>
        <v>132017.60000000001</v>
      </c>
      <c r="AY1276" s="387">
        <f t="shared" si="865"/>
        <v>132017.60000000001</v>
      </c>
      <c r="AZ1276" s="387" t="str">
        <f t="shared" si="866"/>
        <v/>
      </c>
      <c r="BA1276" s="387">
        <f t="shared" si="867"/>
        <v>0</v>
      </c>
      <c r="BB1276" s="387">
        <f t="shared" si="836"/>
        <v>11650</v>
      </c>
      <c r="BC1276" s="387">
        <f t="shared" si="837"/>
        <v>0</v>
      </c>
      <c r="BD1276" s="387">
        <f t="shared" si="838"/>
        <v>8185.0912000000008</v>
      </c>
      <c r="BE1276" s="387">
        <f t="shared" si="839"/>
        <v>1914.2552000000003</v>
      </c>
      <c r="BF1276" s="387">
        <f t="shared" si="840"/>
        <v>15762.901440000001</v>
      </c>
      <c r="BG1276" s="387">
        <f t="shared" si="841"/>
        <v>951.84689600000013</v>
      </c>
      <c r="BH1276" s="387">
        <f t="shared" si="842"/>
        <v>646.88624000000004</v>
      </c>
      <c r="BI1276" s="387">
        <f t="shared" si="843"/>
        <v>0</v>
      </c>
      <c r="BJ1276" s="387">
        <f t="shared" si="844"/>
        <v>356.44752000000005</v>
      </c>
      <c r="BK1276" s="387">
        <f t="shared" si="845"/>
        <v>0</v>
      </c>
      <c r="BL1276" s="387">
        <f t="shared" si="868"/>
        <v>27817.428496000004</v>
      </c>
      <c r="BM1276" s="387">
        <f t="shared" si="869"/>
        <v>0</v>
      </c>
      <c r="BN1276" s="387">
        <f t="shared" si="846"/>
        <v>11650</v>
      </c>
      <c r="BO1276" s="387">
        <f t="shared" si="847"/>
        <v>0</v>
      </c>
      <c r="BP1276" s="387">
        <f t="shared" si="848"/>
        <v>8185.0912000000008</v>
      </c>
      <c r="BQ1276" s="387">
        <f t="shared" si="849"/>
        <v>1914.2552000000003</v>
      </c>
      <c r="BR1276" s="387">
        <f t="shared" si="850"/>
        <v>15762.901440000001</v>
      </c>
      <c r="BS1276" s="387">
        <f t="shared" si="851"/>
        <v>951.84689600000013</v>
      </c>
      <c r="BT1276" s="387">
        <f t="shared" si="852"/>
        <v>0</v>
      </c>
      <c r="BU1276" s="387">
        <f t="shared" si="853"/>
        <v>0</v>
      </c>
      <c r="BV1276" s="387">
        <f t="shared" si="854"/>
        <v>448.85984000000002</v>
      </c>
      <c r="BW1276" s="387">
        <f t="shared" si="855"/>
        <v>0</v>
      </c>
      <c r="BX1276" s="387">
        <f t="shared" si="870"/>
        <v>27262.954576000004</v>
      </c>
      <c r="BY1276" s="387">
        <f t="shared" si="871"/>
        <v>0</v>
      </c>
      <c r="BZ1276" s="387">
        <f t="shared" si="872"/>
        <v>0</v>
      </c>
      <c r="CA1276" s="387">
        <f t="shared" si="873"/>
        <v>0</v>
      </c>
      <c r="CB1276" s="387">
        <f t="shared" si="874"/>
        <v>0</v>
      </c>
      <c r="CC1276" s="387">
        <f t="shared" si="856"/>
        <v>0</v>
      </c>
      <c r="CD1276" s="387">
        <f t="shared" si="857"/>
        <v>0</v>
      </c>
      <c r="CE1276" s="387">
        <f t="shared" si="858"/>
        <v>0</v>
      </c>
      <c r="CF1276" s="387">
        <f t="shared" si="859"/>
        <v>-646.88624000000004</v>
      </c>
      <c r="CG1276" s="387">
        <f t="shared" si="860"/>
        <v>0</v>
      </c>
      <c r="CH1276" s="387">
        <f t="shared" si="861"/>
        <v>92.412319999999966</v>
      </c>
      <c r="CI1276" s="387">
        <f t="shared" si="862"/>
        <v>0</v>
      </c>
      <c r="CJ1276" s="387">
        <f t="shared" si="875"/>
        <v>-554.47392000000013</v>
      </c>
      <c r="CK1276" s="387" t="str">
        <f t="shared" si="876"/>
        <v/>
      </c>
      <c r="CL1276" s="387" t="str">
        <f t="shared" si="877"/>
        <v/>
      </c>
      <c r="CM1276" s="387" t="str">
        <f t="shared" si="878"/>
        <v/>
      </c>
      <c r="CN1276" s="387" t="str">
        <f t="shared" si="879"/>
        <v>0348-31</v>
      </c>
    </row>
    <row r="1277" spans="1:92" ht="15.75" thickBot="1" x14ac:dyDescent="0.3">
      <c r="A1277" s="376" t="s">
        <v>161</v>
      </c>
      <c r="B1277" s="376" t="s">
        <v>162</v>
      </c>
      <c r="C1277" s="376" t="s">
        <v>801</v>
      </c>
      <c r="D1277" s="376" t="s">
        <v>786</v>
      </c>
      <c r="E1277" s="376" t="s">
        <v>224</v>
      </c>
      <c r="F1277" s="382" t="s">
        <v>225</v>
      </c>
      <c r="G1277" s="376" t="s">
        <v>1945</v>
      </c>
      <c r="H1277" s="378"/>
      <c r="I1277" s="378"/>
      <c r="J1277" s="376" t="s">
        <v>168</v>
      </c>
      <c r="K1277" s="376" t="s">
        <v>787</v>
      </c>
      <c r="L1277" s="376" t="s">
        <v>181</v>
      </c>
      <c r="M1277" s="376" t="s">
        <v>171</v>
      </c>
      <c r="N1277" s="376" t="s">
        <v>172</v>
      </c>
      <c r="O1277" s="379">
        <v>1</v>
      </c>
      <c r="P1277" s="385">
        <v>0.1</v>
      </c>
      <c r="Q1277" s="385">
        <v>0.1</v>
      </c>
      <c r="R1277" s="380">
        <v>80</v>
      </c>
      <c r="S1277" s="385">
        <v>0.1</v>
      </c>
      <c r="T1277" s="380">
        <v>1701.5</v>
      </c>
      <c r="U1277" s="380">
        <v>0</v>
      </c>
      <c r="V1277" s="380">
        <v>588.08000000000004</v>
      </c>
      <c r="W1277" s="380">
        <v>7928.96</v>
      </c>
      <c r="X1277" s="380">
        <v>2879.63</v>
      </c>
      <c r="Y1277" s="380">
        <v>7928.96</v>
      </c>
      <c r="Z1277" s="380">
        <v>2846.33</v>
      </c>
      <c r="AA1277" s="376" t="s">
        <v>802</v>
      </c>
      <c r="AB1277" s="376" t="s">
        <v>709</v>
      </c>
      <c r="AC1277" s="376" t="s">
        <v>418</v>
      </c>
      <c r="AD1277" s="376" t="s">
        <v>252</v>
      </c>
      <c r="AE1277" s="376" t="s">
        <v>787</v>
      </c>
      <c r="AF1277" s="376" t="s">
        <v>211</v>
      </c>
      <c r="AG1277" s="376" t="s">
        <v>178</v>
      </c>
      <c r="AH1277" s="381">
        <v>38.119999999999997</v>
      </c>
      <c r="AI1277" s="381">
        <v>33771.5</v>
      </c>
      <c r="AJ1277" s="376" t="s">
        <v>179</v>
      </c>
      <c r="AK1277" s="376" t="s">
        <v>180</v>
      </c>
      <c r="AL1277" s="376" t="s">
        <v>181</v>
      </c>
      <c r="AM1277" s="376" t="s">
        <v>182</v>
      </c>
      <c r="AN1277" s="376" t="s">
        <v>68</v>
      </c>
      <c r="AO1277" s="379">
        <v>80</v>
      </c>
      <c r="AP1277" s="385">
        <v>1</v>
      </c>
      <c r="AQ1277" s="385">
        <v>0.1</v>
      </c>
      <c r="AR1277" s="383" t="s">
        <v>183</v>
      </c>
      <c r="AS1277" s="387">
        <f t="shared" si="863"/>
        <v>0.1</v>
      </c>
      <c r="AT1277">
        <f t="shared" si="864"/>
        <v>1</v>
      </c>
      <c r="AU1277" s="387">
        <f>IF(AT1277=0,"",IF(AND(AT1277=1,M1277="F",SUMIF(C2:C1334,C1277,AS2:AS1334)&lt;=1),SUMIF(C2:C1334,C1277,AS2:AS1334),IF(AND(AT1277=1,M1277="F",SUMIF(C2:C1334,C1277,AS2:AS1334)&gt;1),1,"")))</f>
        <v>1</v>
      </c>
      <c r="AV1277" s="387" t="str">
        <f>IF(AT1277=0,"",IF(AND(AT1277=3,M1277="F",SUMIF(C2:C1334,C1277,AS2:AS1334)&lt;=1),SUMIF(C2:C1334,C1277,AS2:AS1334),IF(AND(AT1277=3,M1277="F",SUMIF(C2:C1334,C1277,AS2:AS1334)&gt;1),1,"")))</f>
        <v/>
      </c>
      <c r="AW1277" s="387">
        <f>SUMIF(C2:C1334,C1277,O2:O1334)</f>
        <v>4</v>
      </c>
      <c r="AX1277" s="387">
        <f>IF(AND(M1277="F",AS1277&lt;&gt;0),SUMIF(C2:C1334,C1277,W2:W1334),0)</f>
        <v>79289.600000000006</v>
      </c>
      <c r="AY1277" s="387">
        <f t="shared" si="865"/>
        <v>7928.96</v>
      </c>
      <c r="AZ1277" s="387" t="str">
        <f t="shared" si="866"/>
        <v/>
      </c>
      <c r="BA1277" s="387">
        <f t="shared" si="867"/>
        <v>0</v>
      </c>
      <c r="BB1277" s="387">
        <f t="shared" si="836"/>
        <v>1165</v>
      </c>
      <c r="BC1277" s="387">
        <f t="shared" si="837"/>
        <v>0</v>
      </c>
      <c r="BD1277" s="387">
        <f t="shared" si="838"/>
        <v>491.59552000000002</v>
      </c>
      <c r="BE1277" s="387">
        <f t="shared" si="839"/>
        <v>114.96992</v>
      </c>
      <c r="BF1277" s="387">
        <f t="shared" si="840"/>
        <v>946.71782400000006</v>
      </c>
      <c r="BG1277" s="387">
        <f t="shared" si="841"/>
        <v>57.167801600000004</v>
      </c>
      <c r="BH1277" s="387">
        <f t="shared" si="842"/>
        <v>38.851903999999998</v>
      </c>
      <c r="BI1277" s="387">
        <f t="shared" si="843"/>
        <v>43.886793599999997</v>
      </c>
      <c r="BJ1277" s="387">
        <f t="shared" si="844"/>
        <v>21.408192</v>
      </c>
      <c r="BK1277" s="387">
        <f t="shared" si="845"/>
        <v>0</v>
      </c>
      <c r="BL1277" s="387">
        <f t="shared" si="868"/>
        <v>1714.5979552000003</v>
      </c>
      <c r="BM1277" s="387">
        <f t="shared" si="869"/>
        <v>0</v>
      </c>
      <c r="BN1277" s="387">
        <f t="shared" si="846"/>
        <v>1165</v>
      </c>
      <c r="BO1277" s="387">
        <f t="shared" si="847"/>
        <v>0</v>
      </c>
      <c r="BP1277" s="387">
        <f t="shared" si="848"/>
        <v>491.59552000000002</v>
      </c>
      <c r="BQ1277" s="387">
        <f t="shared" si="849"/>
        <v>114.96992</v>
      </c>
      <c r="BR1277" s="387">
        <f t="shared" si="850"/>
        <v>946.71782400000006</v>
      </c>
      <c r="BS1277" s="387">
        <f t="shared" si="851"/>
        <v>57.167801600000004</v>
      </c>
      <c r="BT1277" s="387">
        <f t="shared" si="852"/>
        <v>0</v>
      </c>
      <c r="BU1277" s="387">
        <f t="shared" si="853"/>
        <v>43.886793599999997</v>
      </c>
      <c r="BV1277" s="387">
        <f t="shared" si="854"/>
        <v>26.958463999999999</v>
      </c>
      <c r="BW1277" s="387">
        <f t="shared" si="855"/>
        <v>0</v>
      </c>
      <c r="BX1277" s="387">
        <f t="shared" si="870"/>
        <v>1681.2963232000002</v>
      </c>
      <c r="BY1277" s="387">
        <f t="shared" si="871"/>
        <v>0</v>
      </c>
      <c r="BZ1277" s="387">
        <f t="shared" si="872"/>
        <v>0</v>
      </c>
      <c r="CA1277" s="387">
        <f t="shared" si="873"/>
        <v>0</v>
      </c>
      <c r="CB1277" s="387">
        <f t="shared" si="874"/>
        <v>0</v>
      </c>
      <c r="CC1277" s="387">
        <f t="shared" si="856"/>
        <v>0</v>
      </c>
      <c r="CD1277" s="387">
        <f t="shared" si="857"/>
        <v>0</v>
      </c>
      <c r="CE1277" s="387">
        <f t="shared" si="858"/>
        <v>0</v>
      </c>
      <c r="CF1277" s="387">
        <f t="shared" si="859"/>
        <v>-38.851903999999998</v>
      </c>
      <c r="CG1277" s="387">
        <f t="shared" si="860"/>
        <v>0</v>
      </c>
      <c r="CH1277" s="387">
        <f t="shared" si="861"/>
        <v>5.550271999999997</v>
      </c>
      <c r="CI1277" s="387">
        <f t="shared" si="862"/>
        <v>0</v>
      </c>
      <c r="CJ1277" s="387">
        <f t="shared" si="875"/>
        <v>-33.301631999999998</v>
      </c>
      <c r="CK1277" s="387" t="str">
        <f t="shared" si="876"/>
        <v/>
      </c>
      <c r="CL1277" s="387" t="str">
        <f t="shared" si="877"/>
        <v/>
      </c>
      <c r="CM1277" s="387" t="str">
        <f t="shared" si="878"/>
        <v/>
      </c>
      <c r="CN1277" s="387" t="str">
        <f t="shared" si="879"/>
        <v>0348-31</v>
      </c>
    </row>
    <row r="1278" spans="1:92" ht="15.75" thickBot="1" x14ac:dyDescent="0.3">
      <c r="A1278" s="376" t="s">
        <v>161</v>
      </c>
      <c r="B1278" s="376" t="s">
        <v>162</v>
      </c>
      <c r="C1278" s="376" t="s">
        <v>2545</v>
      </c>
      <c r="D1278" s="376" t="s">
        <v>247</v>
      </c>
      <c r="E1278" s="376" t="s">
        <v>224</v>
      </c>
      <c r="F1278" s="382" t="s">
        <v>225</v>
      </c>
      <c r="G1278" s="376" t="s">
        <v>1945</v>
      </c>
      <c r="H1278" s="378"/>
      <c r="I1278" s="378"/>
      <c r="J1278" s="376" t="s">
        <v>215</v>
      </c>
      <c r="K1278" s="376" t="s">
        <v>248</v>
      </c>
      <c r="L1278" s="376" t="s">
        <v>178</v>
      </c>
      <c r="M1278" s="376" t="s">
        <v>171</v>
      </c>
      <c r="N1278" s="376" t="s">
        <v>172</v>
      </c>
      <c r="O1278" s="379">
        <v>1</v>
      </c>
      <c r="P1278" s="385">
        <v>1</v>
      </c>
      <c r="Q1278" s="385">
        <v>1</v>
      </c>
      <c r="R1278" s="380">
        <v>80</v>
      </c>
      <c r="S1278" s="385">
        <v>1</v>
      </c>
      <c r="T1278" s="380">
        <v>26428.32</v>
      </c>
      <c r="U1278" s="380">
        <v>227.67</v>
      </c>
      <c r="V1278" s="380">
        <v>18265.25</v>
      </c>
      <c r="W1278" s="380">
        <v>29224</v>
      </c>
      <c r="X1278" s="380">
        <v>17969.650000000001</v>
      </c>
      <c r="Y1278" s="380">
        <v>29224</v>
      </c>
      <c r="Z1278" s="380">
        <v>17846.919999999998</v>
      </c>
      <c r="AA1278" s="376" t="s">
        <v>2546</v>
      </c>
      <c r="AB1278" s="376" t="s">
        <v>2547</v>
      </c>
      <c r="AC1278" s="376" t="s">
        <v>1440</v>
      </c>
      <c r="AD1278" s="376" t="s">
        <v>1270</v>
      </c>
      <c r="AE1278" s="376" t="s">
        <v>248</v>
      </c>
      <c r="AF1278" s="376" t="s">
        <v>253</v>
      </c>
      <c r="AG1278" s="376" t="s">
        <v>178</v>
      </c>
      <c r="AH1278" s="381">
        <v>14.05</v>
      </c>
      <c r="AI1278" s="381">
        <v>2083.5</v>
      </c>
      <c r="AJ1278" s="376" t="s">
        <v>179</v>
      </c>
      <c r="AK1278" s="376" t="s">
        <v>180</v>
      </c>
      <c r="AL1278" s="376" t="s">
        <v>181</v>
      </c>
      <c r="AM1278" s="376" t="s">
        <v>182</v>
      </c>
      <c r="AN1278" s="376" t="s">
        <v>68</v>
      </c>
      <c r="AO1278" s="379">
        <v>80</v>
      </c>
      <c r="AP1278" s="385">
        <v>1</v>
      </c>
      <c r="AQ1278" s="385">
        <v>1</v>
      </c>
      <c r="AR1278" s="383" t="s">
        <v>183</v>
      </c>
      <c r="AS1278" s="387">
        <f t="shared" si="863"/>
        <v>1</v>
      </c>
      <c r="AT1278">
        <f t="shared" si="864"/>
        <v>1</v>
      </c>
      <c r="AU1278" s="387">
        <f>IF(AT1278=0,"",IF(AND(AT1278=1,M1278="F",SUMIF(C2:C1334,C1278,AS2:AS1334)&lt;=1),SUMIF(C2:C1334,C1278,AS2:AS1334),IF(AND(AT1278=1,M1278="F",SUMIF(C2:C1334,C1278,AS2:AS1334)&gt;1),1,"")))</f>
        <v>1</v>
      </c>
      <c r="AV1278" s="387" t="str">
        <f>IF(AT1278=0,"",IF(AND(AT1278=3,M1278="F",SUMIF(C2:C1334,C1278,AS2:AS1334)&lt;=1),SUMIF(C2:C1334,C1278,AS2:AS1334),IF(AND(AT1278=3,M1278="F",SUMIF(C2:C1334,C1278,AS2:AS1334)&gt;1),1,"")))</f>
        <v/>
      </c>
      <c r="AW1278" s="387">
        <f>SUMIF(C2:C1334,C1278,O2:O1334)</f>
        <v>1</v>
      </c>
      <c r="AX1278" s="387">
        <f>IF(AND(M1278="F",AS1278&lt;&gt;0),SUMIF(C2:C1334,C1278,W2:W1334),0)</f>
        <v>29224</v>
      </c>
      <c r="AY1278" s="387">
        <f t="shared" si="865"/>
        <v>29224</v>
      </c>
      <c r="AZ1278" s="387" t="str">
        <f t="shared" si="866"/>
        <v/>
      </c>
      <c r="BA1278" s="387">
        <f t="shared" si="867"/>
        <v>0</v>
      </c>
      <c r="BB1278" s="387">
        <f t="shared" si="836"/>
        <v>11650</v>
      </c>
      <c r="BC1278" s="387">
        <f t="shared" si="837"/>
        <v>0</v>
      </c>
      <c r="BD1278" s="387">
        <f t="shared" si="838"/>
        <v>1811.8879999999999</v>
      </c>
      <c r="BE1278" s="387">
        <f t="shared" si="839"/>
        <v>423.74800000000005</v>
      </c>
      <c r="BF1278" s="387">
        <f t="shared" si="840"/>
        <v>3489.3456000000001</v>
      </c>
      <c r="BG1278" s="387">
        <f t="shared" si="841"/>
        <v>210.70504</v>
      </c>
      <c r="BH1278" s="387">
        <f t="shared" si="842"/>
        <v>143.19759999999999</v>
      </c>
      <c r="BI1278" s="387">
        <f t="shared" si="843"/>
        <v>161.75484</v>
      </c>
      <c r="BJ1278" s="387">
        <f t="shared" si="844"/>
        <v>78.904800000000009</v>
      </c>
      <c r="BK1278" s="387">
        <f t="shared" si="845"/>
        <v>0</v>
      </c>
      <c r="BL1278" s="387">
        <f t="shared" si="868"/>
        <v>6319.5438800000002</v>
      </c>
      <c r="BM1278" s="387">
        <f t="shared" si="869"/>
        <v>0</v>
      </c>
      <c r="BN1278" s="387">
        <f t="shared" si="846"/>
        <v>11650</v>
      </c>
      <c r="BO1278" s="387">
        <f t="shared" si="847"/>
        <v>0</v>
      </c>
      <c r="BP1278" s="387">
        <f t="shared" si="848"/>
        <v>1811.8879999999999</v>
      </c>
      <c r="BQ1278" s="387">
        <f t="shared" si="849"/>
        <v>423.74800000000005</v>
      </c>
      <c r="BR1278" s="387">
        <f t="shared" si="850"/>
        <v>3489.3456000000001</v>
      </c>
      <c r="BS1278" s="387">
        <f t="shared" si="851"/>
        <v>210.70504</v>
      </c>
      <c r="BT1278" s="387">
        <f t="shared" si="852"/>
        <v>0</v>
      </c>
      <c r="BU1278" s="387">
        <f t="shared" si="853"/>
        <v>161.75484</v>
      </c>
      <c r="BV1278" s="387">
        <f t="shared" si="854"/>
        <v>99.361599999999996</v>
      </c>
      <c r="BW1278" s="387">
        <f t="shared" si="855"/>
        <v>0</v>
      </c>
      <c r="BX1278" s="387">
        <f t="shared" si="870"/>
        <v>6196.8030799999997</v>
      </c>
      <c r="BY1278" s="387">
        <f t="shared" si="871"/>
        <v>0</v>
      </c>
      <c r="BZ1278" s="387">
        <f t="shared" si="872"/>
        <v>0</v>
      </c>
      <c r="CA1278" s="387">
        <f t="shared" si="873"/>
        <v>0</v>
      </c>
      <c r="CB1278" s="387">
        <f t="shared" si="874"/>
        <v>0</v>
      </c>
      <c r="CC1278" s="387">
        <f t="shared" si="856"/>
        <v>0</v>
      </c>
      <c r="CD1278" s="387">
        <f t="shared" si="857"/>
        <v>0</v>
      </c>
      <c r="CE1278" s="387">
        <f t="shared" si="858"/>
        <v>0</v>
      </c>
      <c r="CF1278" s="387">
        <f t="shared" si="859"/>
        <v>-143.19759999999999</v>
      </c>
      <c r="CG1278" s="387">
        <f t="shared" si="860"/>
        <v>0</v>
      </c>
      <c r="CH1278" s="387">
        <f t="shared" si="861"/>
        <v>20.456799999999991</v>
      </c>
      <c r="CI1278" s="387">
        <f t="shared" si="862"/>
        <v>0</v>
      </c>
      <c r="CJ1278" s="387">
        <f t="shared" si="875"/>
        <v>-122.74080000000001</v>
      </c>
      <c r="CK1278" s="387" t="str">
        <f t="shared" si="876"/>
        <v/>
      </c>
      <c r="CL1278" s="387" t="str">
        <f t="shared" si="877"/>
        <v/>
      </c>
      <c r="CM1278" s="387" t="str">
        <f t="shared" si="878"/>
        <v/>
      </c>
      <c r="CN1278" s="387" t="str">
        <f t="shared" si="879"/>
        <v>0348-31</v>
      </c>
    </row>
    <row r="1279" spans="1:92" ht="15.75" thickBot="1" x14ac:dyDescent="0.3">
      <c r="A1279" s="376" t="s">
        <v>161</v>
      </c>
      <c r="B1279" s="376" t="s">
        <v>162</v>
      </c>
      <c r="C1279" s="376" t="s">
        <v>1749</v>
      </c>
      <c r="D1279" s="376" t="s">
        <v>868</v>
      </c>
      <c r="E1279" s="376" t="s">
        <v>224</v>
      </c>
      <c r="F1279" s="382" t="s">
        <v>225</v>
      </c>
      <c r="G1279" s="376" t="s">
        <v>1945</v>
      </c>
      <c r="H1279" s="378"/>
      <c r="I1279" s="378"/>
      <c r="J1279" s="376" t="s">
        <v>215</v>
      </c>
      <c r="K1279" s="376" t="s">
        <v>869</v>
      </c>
      <c r="L1279" s="376" t="s">
        <v>296</v>
      </c>
      <c r="M1279" s="376" t="s">
        <v>171</v>
      </c>
      <c r="N1279" s="376" t="s">
        <v>172</v>
      </c>
      <c r="O1279" s="379">
        <v>1</v>
      </c>
      <c r="P1279" s="385">
        <v>1</v>
      </c>
      <c r="Q1279" s="385">
        <v>1</v>
      </c>
      <c r="R1279" s="380">
        <v>80</v>
      </c>
      <c r="S1279" s="385">
        <v>1</v>
      </c>
      <c r="T1279" s="380">
        <v>0</v>
      </c>
      <c r="U1279" s="380">
        <v>0</v>
      </c>
      <c r="V1279" s="380">
        <v>0</v>
      </c>
      <c r="W1279" s="380">
        <v>42848</v>
      </c>
      <c r="X1279" s="380">
        <v>20915.84</v>
      </c>
      <c r="Y1279" s="380">
        <v>42848</v>
      </c>
      <c r="Z1279" s="380">
        <v>20735.89</v>
      </c>
      <c r="AA1279" s="376" t="s">
        <v>1750</v>
      </c>
      <c r="AB1279" s="376" t="s">
        <v>1751</v>
      </c>
      <c r="AC1279" s="376" t="s">
        <v>1752</v>
      </c>
      <c r="AD1279" s="376" t="s">
        <v>419</v>
      </c>
      <c r="AE1279" s="376" t="s">
        <v>873</v>
      </c>
      <c r="AF1279" s="376" t="s">
        <v>393</v>
      </c>
      <c r="AG1279" s="376" t="s">
        <v>178</v>
      </c>
      <c r="AH1279" s="381">
        <v>20.6</v>
      </c>
      <c r="AI1279" s="381">
        <v>33355.4</v>
      </c>
      <c r="AJ1279" s="376" t="s">
        <v>179</v>
      </c>
      <c r="AK1279" s="376" t="s">
        <v>180</v>
      </c>
      <c r="AL1279" s="376" t="s">
        <v>181</v>
      </c>
      <c r="AM1279" s="376" t="s">
        <v>182</v>
      </c>
      <c r="AN1279" s="376" t="s">
        <v>68</v>
      </c>
      <c r="AO1279" s="379">
        <v>80</v>
      </c>
      <c r="AP1279" s="385">
        <v>1</v>
      </c>
      <c r="AQ1279" s="385">
        <v>1</v>
      </c>
      <c r="AR1279" s="383">
        <v>3</v>
      </c>
      <c r="AS1279" s="387">
        <f t="shared" si="863"/>
        <v>1</v>
      </c>
      <c r="AT1279">
        <f t="shared" si="864"/>
        <v>1</v>
      </c>
      <c r="AU1279" s="387">
        <f>IF(AT1279=0,"",IF(AND(AT1279=1,M1279="F",SUMIF(C2:C1334,C1279,AS2:AS1334)&lt;=1),SUMIF(C2:C1334,C1279,AS2:AS1334),IF(AND(AT1279=1,M1279="F",SUMIF(C2:C1334,C1279,AS2:AS1334)&gt;1),1,"")))</f>
        <v>1</v>
      </c>
      <c r="AV1279" s="387" t="str">
        <f>IF(AT1279=0,"",IF(AND(AT1279=3,M1279="F",SUMIF(C2:C1334,C1279,AS2:AS1334)&lt;=1),SUMIF(C2:C1334,C1279,AS2:AS1334),IF(AND(AT1279=3,M1279="F",SUMIF(C2:C1334,C1279,AS2:AS1334)&gt;1),1,"")))</f>
        <v/>
      </c>
      <c r="AW1279" s="387">
        <f>SUMIF(C2:C1334,C1279,O2:O1334)</f>
        <v>2</v>
      </c>
      <c r="AX1279" s="387">
        <f>IF(AND(M1279="F",AS1279&lt;&gt;0),SUMIF(C2:C1334,C1279,W2:W1334),0)</f>
        <v>42848</v>
      </c>
      <c r="AY1279" s="387">
        <f t="shared" si="865"/>
        <v>42848</v>
      </c>
      <c r="AZ1279" s="387" t="str">
        <f t="shared" si="866"/>
        <v/>
      </c>
      <c r="BA1279" s="387">
        <f t="shared" si="867"/>
        <v>0</v>
      </c>
      <c r="BB1279" s="387">
        <f t="shared" si="836"/>
        <v>11650</v>
      </c>
      <c r="BC1279" s="387">
        <f t="shared" si="837"/>
        <v>0</v>
      </c>
      <c r="BD1279" s="387">
        <f t="shared" si="838"/>
        <v>2656.576</v>
      </c>
      <c r="BE1279" s="387">
        <f t="shared" si="839"/>
        <v>621.29600000000005</v>
      </c>
      <c r="BF1279" s="387">
        <f t="shared" si="840"/>
        <v>5116.0511999999999</v>
      </c>
      <c r="BG1279" s="387">
        <f t="shared" si="841"/>
        <v>308.93407999999999</v>
      </c>
      <c r="BH1279" s="387">
        <f t="shared" si="842"/>
        <v>209.95519999999999</v>
      </c>
      <c r="BI1279" s="387">
        <f t="shared" si="843"/>
        <v>237.16368</v>
      </c>
      <c r="BJ1279" s="387">
        <f t="shared" si="844"/>
        <v>115.68960000000001</v>
      </c>
      <c r="BK1279" s="387">
        <f t="shared" si="845"/>
        <v>0</v>
      </c>
      <c r="BL1279" s="387">
        <f t="shared" si="868"/>
        <v>9265.6657599999999</v>
      </c>
      <c r="BM1279" s="387">
        <f t="shared" si="869"/>
        <v>0</v>
      </c>
      <c r="BN1279" s="387">
        <f t="shared" si="846"/>
        <v>11650</v>
      </c>
      <c r="BO1279" s="387">
        <f t="shared" si="847"/>
        <v>0</v>
      </c>
      <c r="BP1279" s="387">
        <f t="shared" si="848"/>
        <v>2656.576</v>
      </c>
      <c r="BQ1279" s="387">
        <f t="shared" si="849"/>
        <v>621.29600000000005</v>
      </c>
      <c r="BR1279" s="387">
        <f t="shared" si="850"/>
        <v>5116.0511999999999</v>
      </c>
      <c r="BS1279" s="387">
        <f t="shared" si="851"/>
        <v>308.93407999999999</v>
      </c>
      <c r="BT1279" s="387">
        <f t="shared" si="852"/>
        <v>0</v>
      </c>
      <c r="BU1279" s="387">
        <f t="shared" si="853"/>
        <v>237.16368</v>
      </c>
      <c r="BV1279" s="387">
        <f t="shared" si="854"/>
        <v>145.6832</v>
      </c>
      <c r="BW1279" s="387">
        <f t="shared" si="855"/>
        <v>0</v>
      </c>
      <c r="BX1279" s="387">
        <f t="shared" si="870"/>
        <v>9085.7041599999993</v>
      </c>
      <c r="BY1279" s="387">
        <f t="shared" si="871"/>
        <v>0</v>
      </c>
      <c r="BZ1279" s="387">
        <f t="shared" si="872"/>
        <v>0</v>
      </c>
      <c r="CA1279" s="387">
        <f t="shared" si="873"/>
        <v>0</v>
      </c>
      <c r="CB1279" s="387">
        <f t="shared" si="874"/>
        <v>0</v>
      </c>
      <c r="CC1279" s="387">
        <f t="shared" si="856"/>
        <v>0</v>
      </c>
      <c r="CD1279" s="387">
        <f t="shared" si="857"/>
        <v>0</v>
      </c>
      <c r="CE1279" s="387">
        <f t="shared" si="858"/>
        <v>0</v>
      </c>
      <c r="CF1279" s="387">
        <f t="shared" si="859"/>
        <v>-209.95519999999999</v>
      </c>
      <c r="CG1279" s="387">
        <f t="shared" si="860"/>
        <v>0</v>
      </c>
      <c r="CH1279" s="387">
        <f t="shared" si="861"/>
        <v>29.993599999999986</v>
      </c>
      <c r="CI1279" s="387">
        <f t="shared" si="862"/>
        <v>0</v>
      </c>
      <c r="CJ1279" s="387">
        <f t="shared" si="875"/>
        <v>-179.9616</v>
      </c>
      <c r="CK1279" s="387" t="str">
        <f t="shared" si="876"/>
        <v/>
      </c>
      <c r="CL1279" s="387" t="str">
        <f t="shared" si="877"/>
        <v/>
      </c>
      <c r="CM1279" s="387" t="str">
        <f t="shared" si="878"/>
        <v/>
      </c>
      <c r="CN1279" s="387" t="str">
        <f t="shared" si="879"/>
        <v>0348-31</v>
      </c>
    </row>
    <row r="1280" spans="1:92" ht="15.75" thickBot="1" x14ac:dyDescent="0.3">
      <c r="A1280" s="376" t="s">
        <v>161</v>
      </c>
      <c r="B1280" s="376" t="s">
        <v>162</v>
      </c>
      <c r="C1280" s="376" t="s">
        <v>782</v>
      </c>
      <c r="D1280" s="376" t="s">
        <v>783</v>
      </c>
      <c r="E1280" s="376" t="s">
        <v>224</v>
      </c>
      <c r="F1280" s="382" t="s">
        <v>225</v>
      </c>
      <c r="G1280" s="376" t="s">
        <v>1945</v>
      </c>
      <c r="H1280" s="378"/>
      <c r="I1280" s="378"/>
      <c r="J1280" s="376" t="s">
        <v>239</v>
      </c>
      <c r="K1280" s="376" t="s">
        <v>784</v>
      </c>
      <c r="L1280" s="376" t="s">
        <v>351</v>
      </c>
      <c r="M1280" s="376" t="s">
        <v>272</v>
      </c>
      <c r="N1280" s="376" t="s">
        <v>172</v>
      </c>
      <c r="O1280" s="379">
        <v>0</v>
      </c>
      <c r="P1280" s="385">
        <v>0</v>
      </c>
      <c r="Q1280" s="385">
        <v>0</v>
      </c>
      <c r="R1280" s="380">
        <v>80</v>
      </c>
      <c r="S1280" s="385">
        <v>0</v>
      </c>
      <c r="T1280" s="380">
        <v>902.8</v>
      </c>
      <c r="U1280" s="380">
        <v>0</v>
      </c>
      <c r="V1280" s="380">
        <v>334.39</v>
      </c>
      <c r="W1280" s="380">
        <v>0</v>
      </c>
      <c r="X1280" s="380">
        <v>0</v>
      </c>
      <c r="Y1280" s="380">
        <v>0</v>
      </c>
      <c r="Z1280" s="380">
        <v>0</v>
      </c>
      <c r="AA1280" s="378"/>
      <c r="AB1280" s="376" t="s">
        <v>45</v>
      </c>
      <c r="AC1280" s="376" t="s">
        <v>45</v>
      </c>
      <c r="AD1280" s="378"/>
      <c r="AE1280" s="378"/>
      <c r="AF1280" s="378"/>
      <c r="AG1280" s="378"/>
      <c r="AH1280" s="379">
        <v>0</v>
      </c>
      <c r="AI1280" s="379">
        <v>0</v>
      </c>
      <c r="AJ1280" s="378"/>
      <c r="AK1280" s="378"/>
      <c r="AL1280" s="376" t="s">
        <v>181</v>
      </c>
      <c r="AM1280" s="378"/>
      <c r="AN1280" s="378"/>
      <c r="AO1280" s="379">
        <v>0</v>
      </c>
      <c r="AP1280" s="385">
        <v>0</v>
      </c>
      <c r="AQ1280" s="385">
        <v>0</v>
      </c>
      <c r="AR1280" s="384"/>
      <c r="AS1280" s="387">
        <f t="shared" si="863"/>
        <v>0</v>
      </c>
      <c r="AT1280">
        <f t="shared" si="864"/>
        <v>0</v>
      </c>
      <c r="AU1280" s="387" t="str">
        <f>IF(AT1280=0,"",IF(AND(AT1280=1,M1280="F",SUMIF(C2:C1334,C1280,AS2:AS1334)&lt;=1),SUMIF(C2:C1334,C1280,AS2:AS1334),IF(AND(AT1280=1,M1280="F",SUMIF(C2:C1334,C1280,AS2:AS1334)&gt;1),1,"")))</f>
        <v/>
      </c>
      <c r="AV1280" s="387" t="str">
        <f>IF(AT1280=0,"",IF(AND(AT1280=3,M1280="F",SUMIF(C2:C1334,C1280,AS2:AS1334)&lt;=1),SUMIF(C2:C1334,C1280,AS2:AS1334),IF(AND(AT1280=3,M1280="F",SUMIF(C2:C1334,C1280,AS2:AS1334)&gt;1),1,"")))</f>
        <v/>
      </c>
      <c r="AW1280" s="387">
        <f>SUMIF(C2:C1334,C1280,O2:O1334)</f>
        <v>0</v>
      </c>
      <c r="AX1280" s="387">
        <f>IF(AND(M1280="F",AS1280&lt;&gt;0),SUMIF(C2:C1334,C1280,W2:W1334),0)</f>
        <v>0</v>
      </c>
      <c r="AY1280" s="387" t="str">
        <f t="shared" si="865"/>
        <v/>
      </c>
      <c r="AZ1280" s="387" t="str">
        <f t="shared" si="866"/>
        <v/>
      </c>
      <c r="BA1280" s="387">
        <f t="shared" si="867"/>
        <v>0</v>
      </c>
      <c r="BB1280" s="387">
        <f t="shared" si="836"/>
        <v>0</v>
      </c>
      <c r="BC1280" s="387">
        <f t="shared" si="837"/>
        <v>0</v>
      </c>
      <c r="BD1280" s="387">
        <f t="shared" si="838"/>
        <v>0</v>
      </c>
      <c r="BE1280" s="387">
        <f t="shared" si="839"/>
        <v>0</v>
      </c>
      <c r="BF1280" s="387">
        <f t="shared" si="840"/>
        <v>0</v>
      </c>
      <c r="BG1280" s="387">
        <f t="shared" si="841"/>
        <v>0</v>
      </c>
      <c r="BH1280" s="387">
        <f t="shared" si="842"/>
        <v>0</v>
      </c>
      <c r="BI1280" s="387">
        <f t="shared" si="843"/>
        <v>0</v>
      </c>
      <c r="BJ1280" s="387">
        <f t="shared" si="844"/>
        <v>0</v>
      </c>
      <c r="BK1280" s="387">
        <f t="shared" si="845"/>
        <v>0</v>
      </c>
      <c r="BL1280" s="387">
        <f t="shared" si="868"/>
        <v>0</v>
      </c>
      <c r="BM1280" s="387">
        <f t="shared" si="869"/>
        <v>0</v>
      </c>
      <c r="BN1280" s="387">
        <f t="shared" si="846"/>
        <v>0</v>
      </c>
      <c r="BO1280" s="387">
        <f t="shared" si="847"/>
        <v>0</v>
      </c>
      <c r="BP1280" s="387">
        <f t="shared" si="848"/>
        <v>0</v>
      </c>
      <c r="BQ1280" s="387">
        <f t="shared" si="849"/>
        <v>0</v>
      </c>
      <c r="BR1280" s="387">
        <f t="shared" si="850"/>
        <v>0</v>
      </c>
      <c r="BS1280" s="387">
        <f t="shared" si="851"/>
        <v>0</v>
      </c>
      <c r="BT1280" s="387">
        <f t="shared" si="852"/>
        <v>0</v>
      </c>
      <c r="BU1280" s="387">
        <f t="shared" si="853"/>
        <v>0</v>
      </c>
      <c r="BV1280" s="387">
        <f t="shared" si="854"/>
        <v>0</v>
      </c>
      <c r="BW1280" s="387">
        <f t="shared" si="855"/>
        <v>0</v>
      </c>
      <c r="BX1280" s="387">
        <f t="shared" si="870"/>
        <v>0</v>
      </c>
      <c r="BY1280" s="387">
        <f t="shared" si="871"/>
        <v>0</v>
      </c>
      <c r="BZ1280" s="387">
        <f t="shared" si="872"/>
        <v>0</v>
      </c>
      <c r="CA1280" s="387">
        <f t="shared" si="873"/>
        <v>0</v>
      </c>
      <c r="CB1280" s="387">
        <f t="shared" si="874"/>
        <v>0</v>
      </c>
      <c r="CC1280" s="387">
        <f t="shared" si="856"/>
        <v>0</v>
      </c>
      <c r="CD1280" s="387">
        <f t="shared" si="857"/>
        <v>0</v>
      </c>
      <c r="CE1280" s="387">
        <f t="shared" si="858"/>
        <v>0</v>
      </c>
      <c r="CF1280" s="387">
        <f t="shared" si="859"/>
        <v>0</v>
      </c>
      <c r="CG1280" s="387">
        <f t="shared" si="860"/>
        <v>0</v>
      </c>
      <c r="CH1280" s="387">
        <f t="shared" si="861"/>
        <v>0</v>
      </c>
      <c r="CI1280" s="387">
        <f t="shared" si="862"/>
        <v>0</v>
      </c>
      <c r="CJ1280" s="387">
        <f t="shared" si="875"/>
        <v>0</v>
      </c>
      <c r="CK1280" s="387" t="str">
        <f t="shared" si="876"/>
        <v/>
      </c>
      <c r="CL1280" s="387" t="str">
        <f t="shared" si="877"/>
        <v/>
      </c>
      <c r="CM1280" s="387" t="str">
        <f t="shared" si="878"/>
        <v/>
      </c>
      <c r="CN1280" s="387" t="str">
        <f t="shared" si="879"/>
        <v>0348-31</v>
      </c>
    </row>
    <row r="1281" spans="1:92" ht="15.75" thickBot="1" x14ac:dyDescent="0.3">
      <c r="A1281" s="376" t="s">
        <v>161</v>
      </c>
      <c r="B1281" s="376" t="s">
        <v>162</v>
      </c>
      <c r="C1281" s="376" t="s">
        <v>1734</v>
      </c>
      <c r="D1281" s="376" t="s">
        <v>862</v>
      </c>
      <c r="E1281" s="376" t="s">
        <v>224</v>
      </c>
      <c r="F1281" s="382" t="s">
        <v>225</v>
      </c>
      <c r="G1281" s="376" t="s">
        <v>1945</v>
      </c>
      <c r="H1281" s="378"/>
      <c r="I1281" s="378"/>
      <c r="J1281" s="376" t="s">
        <v>168</v>
      </c>
      <c r="K1281" s="376" t="s">
        <v>863</v>
      </c>
      <c r="L1281" s="376" t="s">
        <v>252</v>
      </c>
      <c r="M1281" s="376" t="s">
        <v>171</v>
      </c>
      <c r="N1281" s="376" t="s">
        <v>172</v>
      </c>
      <c r="O1281" s="379">
        <v>1</v>
      </c>
      <c r="P1281" s="385">
        <v>0.2</v>
      </c>
      <c r="Q1281" s="385">
        <v>0.2</v>
      </c>
      <c r="R1281" s="380">
        <v>80</v>
      </c>
      <c r="S1281" s="385">
        <v>0.2</v>
      </c>
      <c r="T1281" s="380">
        <v>10950.18</v>
      </c>
      <c r="U1281" s="380">
        <v>1173.3399999999999</v>
      </c>
      <c r="V1281" s="380">
        <v>6312.42</v>
      </c>
      <c r="W1281" s="380">
        <v>7712.64</v>
      </c>
      <c r="X1281" s="380">
        <v>3997.85</v>
      </c>
      <c r="Y1281" s="380">
        <v>7712.64</v>
      </c>
      <c r="Z1281" s="380">
        <v>3965.46</v>
      </c>
      <c r="AA1281" s="376" t="s">
        <v>1735</v>
      </c>
      <c r="AB1281" s="376" t="s">
        <v>1736</v>
      </c>
      <c r="AC1281" s="376" t="s">
        <v>365</v>
      </c>
      <c r="AD1281" s="376" t="s">
        <v>1066</v>
      </c>
      <c r="AE1281" s="376" t="s">
        <v>863</v>
      </c>
      <c r="AF1281" s="376" t="s">
        <v>393</v>
      </c>
      <c r="AG1281" s="376" t="s">
        <v>178</v>
      </c>
      <c r="AH1281" s="381">
        <v>18.54</v>
      </c>
      <c r="AI1281" s="381">
        <v>28635.4</v>
      </c>
      <c r="AJ1281" s="376" t="s">
        <v>179</v>
      </c>
      <c r="AK1281" s="376" t="s">
        <v>180</v>
      </c>
      <c r="AL1281" s="376" t="s">
        <v>181</v>
      </c>
      <c r="AM1281" s="376" t="s">
        <v>182</v>
      </c>
      <c r="AN1281" s="376" t="s">
        <v>68</v>
      </c>
      <c r="AO1281" s="379">
        <v>80</v>
      </c>
      <c r="AP1281" s="385">
        <v>1</v>
      </c>
      <c r="AQ1281" s="385">
        <v>0.2</v>
      </c>
      <c r="AR1281" s="383" t="s">
        <v>183</v>
      </c>
      <c r="AS1281" s="387">
        <f t="shared" si="863"/>
        <v>0.2</v>
      </c>
      <c r="AT1281">
        <f t="shared" si="864"/>
        <v>1</v>
      </c>
      <c r="AU1281" s="387">
        <f>IF(AT1281=0,"",IF(AND(AT1281=1,M1281="F",SUMIF(C2:C1334,C1281,AS2:AS1334)&lt;=1),SUMIF(C2:C1334,C1281,AS2:AS1334),IF(AND(AT1281=1,M1281="F",SUMIF(C2:C1334,C1281,AS2:AS1334)&gt;1),1,"")))</f>
        <v>1</v>
      </c>
      <c r="AV1281" s="387" t="str">
        <f>IF(AT1281=0,"",IF(AND(AT1281=3,M1281="F",SUMIF(C2:C1334,C1281,AS2:AS1334)&lt;=1),SUMIF(C2:C1334,C1281,AS2:AS1334),IF(AND(AT1281=3,M1281="F",SUMIF(C2:C1334,C1281,AS2:AS1334)&gt;1),1,"")))</f>
        <v/>
      </c>
      <c r="AW1281" s="387">
        <f>SUMIF(C2:C1334,C1281,O2:O1334)</f>
        <v>3</v>
      </c>
      <c r="AX1281" s="387">
        <f>IF(AND(M1281="F",AS1281&lt;&gt;0),SUMIF(C2:C1334,C1281,W2:W1334),0)</f>
        <v>38563.200000000004</v>
      </c>
      <c r="AY1281" s="387">
        <f t="shared" si="865"/>
        <v>7712.64</v>
      </c>
      <c r="AZ1281" s="387" t="str">
        <f t="shared" si="866"/>
        <v/>
      </c>
      <c r="BA1281" s="387">
        <f t="shared" si="867"/>
        <v>0</v>
      </c>
      <c r="BB1281" s="387">
        <f t="shared" si="836"/>
        <v>2330</v>
      </c>
      <c r="BC1281" s="387">
        <f t="shared" si="837"/>
        <v>0</v>
      </c>
      <c r="BD1281" s="387">
        <f t="shared" si="838"/>
        <v>478.18368000000004</v>
      </c>
      <c r="BE1281" s="387">
        <f t="shared" si="839"/>
        <v>111.83328000000002</v>
      </c>
      <c r="BF1281" s="387">
        <f t="shared" si="840"/>
        <v>920.88921600000003</v>
      </c>
      <c r="BG1281" s="387">
        <f t="shared" si="841"/>
        <v>55.608134400000004</v>
      </c>
      <c r="BH1281" s="387">
        <f t="shared" si="842"/>
        <v>37.791936</v>
      </c>
      <c r="BI1281" s="387">
        <f t="shared" si="843"/>
        <v>42.689462400000004</v>
      </c>
      <c r="BJ1281" s="387">
        <f t="shared" si="844"/>
        <v>20.824128000000002</v>
      </c>
      <c r="BK1281" s="387">
        <f t="shared" si="845"/>
        <v>0</v>
      </c>
      <c r="BL1281" s="387">
        <f t="shared" si="868"/>
        <v>1667.8198367999998</v>
      </c>
      <c r="BM1281" s="387">
        <f t="shared" si="869"/>
        <v>0</v>
      </c>
      <c r="BN1281" s="387">
        <f t="shared" si="846"/>
        <v>2330</v>
      </c>
      <c r="BO1281" s="387">
        <f t="shared" si="847"/>
        <v>0</v>
      </c>
      <c r="BP1281" s="387">
        <f t="shared" si="848"/>
        <v>478.18368000000004</v>
      </c>
      <c r="BQ1281" s="387">
        <f t="shared" si="849"/>
        <v>111.83328000000002</v>
      </c>
      <c r="BR1281" s="387">
        <f t="shared" si="850"/>
        <v>920.88921600000003</v>
      </c>
      <c r="BS1281" s="387">
        <f t="shared" si="851"/>
        <v>55.608134400000004</v>
      </c>
      <c r="BT1281" s="387">
        <f t="shared" si="852"/>
        <v>0</v>
      </c>
      <c r="BU1281" s="387">
        <f t="shared" si="853"/>
        <v>42.689462400000004</v>
      </c>
      <c r="BV1281" s="387">
        <f t="shared" si="854"/>
        <v>26.222975999999999</v>
      </c>
      <c r="BW1281" s="387">
        <f t="shared" si="855"/>
        <v>0</v>
      </c>
      <c r="BX1281" s="387">
        <f t="shared" si="870"/>
        <v>1635.4267487999998</v>
      </c>
      <c r="BY1281" s="387">
        <f t="shared" si="871"/>
        <v>0</v>
      </c>
      <c r="BZ1281" s="387">
        <f t="shared" si="872"/>
        <v>0</v>
      </c>
      <c r="CA1281" s="387">
        <f t="shared" si="873"/>
        <v>0</v>
      </c>
      <c r="CB1281" s="387">
        <f t="shared" si="874"/>
        <v>0</v>
      </c>
      <c r="CC1281" s="387">
        <f t="shared" si="856"/>
        <v>0</v>
      </c>
      <c r="CD1281" s="387">
        <f t="shared" si="857"/>
        <v>0</v>
      </c>
      <c r="CE1281" s="387">
        <f t="shared" si="858"/>
        <v>0</v>
      </c>
      <c r="CF1281" s="387">
        <f t="shared" si="859"/>
        <v>-37.791936</v>
      </c>
      <c r="CG1281" s="387">
        <f t="shared" si="860"/>
        <v>0</v>
      </c>
      <c r="CH1281" s="387">
        <f t="shared" si="861"/>
        <v>5.3988479999999974</v>
      </c>
      <c r="CI1281" s="387">
        <f t="shared" si="862"/>
        <v>0</v>
      </c>
      <c r="CJ1281" s="387">
        <f t="shared" si="875"/>
        <v>-32.393088000000006</v>
      </c>
      <c r="CK1281" s="387" t="str">
        <f t="shared" si="876"/>
        <v/>
      </c>
      <c r="CL1281" s="387" t="str">
        <f t="shared" si="877"/>
        <v/>
      </c>
      <c r="CM1281" s="387" t="str">
        <f t="shared" si="878"/>
        <v/>
      </c>
      <c r="CN1281" s="387" t="str">
        <f t="shared" si="879"/>
        <v>0348-31</v>
      </c>
    </row>
    <row r="1282" spans="1:92" ht="15.75" thickBot="1" x14ac:dyDescent="0.3">
      <c r="A1282" s="376" t="s">
        <v>161</v>
      </c>
      <c r="B1282" s="376" t="s">
        <v>162</v>
      </c>
      <c r="C1282" s="376" t="s">
        <v>2548</v>
      </c>
      <c r="D1282" s="376" t="s">
        <v>974</v>
      </c>
      <c r="E1282" s="376" t="s">
        <v>224</v>
      </c>
      <c r="F1282" s="382" t="s">
        <v>225</v>
      </c>
      <c r="G1282" s="376" t="s">
        <v>1945</v>
      </c>
      <c r="H1282" s="378"/>
      <c r="I1282" s="378"/>
      <c r="J1282" s="376" t="s">
        <v>215</v>
      </c>
      <c r="K1282" s="376" t="s">
        <v>975</v>
      </c>
      <c r="L1282" s="376" t="s">
        <v>296</v>
      </c>
      <c r="M1282" s="376" t="s">
        <v>171</v>
      </c>
      <c r="N1282" s="376" t="s">
        <v>172</v>
      </c>
      <c r="O1282" s="379">
        <v>1</v>
      </c>
      <c r="P1282" s="385">
        <v>1</v>
      </c>
      <c r="Q1282" s="385">
        <v>1</v>
      </c>
      <c r="R1282" s="380">
        <v>80</v>
      </c>
      <c r="S1282" s="385">
        <v>1</v>
      </c>
      <c r="T1282" s="380">
        <v>33064.870000000003</v>
      </c>
      <c r="U1282" s="380">
        <v>0</v>
      </c>
      <c r="V1282" s="380">
        <v>15638.92</v>
      </c>
      <c r="W1282" s="380">
        <v>45406.400000000001</v>
      </c>
      <c r="X1282" s="380">
        <v>21469.11</v>
      </c>
      <c r="Y1282" s="380">
        <v>45406.400000000001</v>
      </c>
      <c r="Z1282" s="380">
        <v>21278.41</v>
      </c>
      <c r="AA1282" s="376" t="s">
        <v>2549</v>
      </c>
      <c r="AB1282" s="376" t="s">
        <v>2550</v>
      </c>
      <c r="AC1282" s="376" t="s">
        <v>2551</v>
      </c>
      <c r="AD1282" s="376" t="s">
        <v>1270</v>
      </c>
      <c r="AE1282" s="376" t="s">
        <v>975</v>
      </c>
      <c r="AF1282" s="376" t="s">
        <v>301</v>
      </c>
      <c r="AG1282" s="376" t="s">
        <v>178</v>
      </c>
      <c r="AH1282" s="381">
        <v>21.83</v>
      </c>
      <c r="AI1282" s="379">
        <v>2359</v>
      </c>
      <c r="AJ1282" s="376" t="s">
        <v>179</v>
      </c>
      <c r="AK1282" s="376" t="s">
        <v>180</v>
      </c>
      <c r="AL1282" s="376" t="s">
        <v>181</v>
      </c>
      <c r="AM1282" s="376" t="s">
        <v>182</v>
      </c>
      <c r="AN1282" s="376" t="s">
        <v>68</v>
      </c>
      <c r="AO1282" s="379">
        <v>80</v>
      </c>
      <c r="AP1282" s="385">
        <v>1</v>
      </c>
      <c r="AQ1282" s="385">
        <v>1</v>
      </c>
      <c r="AR1282" s="383" t="s">
        <v>183</v>
      </c>
      <c r="AS1282" s="387">
        <f t="shared" si="863"/>
        <v>1</v>
      </c>
      <c r="AT1282">
        <f t="shared" si="864"/>
        <v>1</v>
      </c>
      <c r="AU1282" s="387">
        <f>IF(AT1282=0,"",IF(AND(AT1282=1,M1282="F",SUMIF(C2:C1334,C1282,AS2:AS1334)&lt;=1),SUMIF(C2:C1334,C1282,AS2:AS1334),IF(AND(AT1282=1,M1282="F",SUMIF(C2:C1334,C1282,AS2:AS1334)&gt;1),1,"")))</f>
        <v>1</v>
      </c>
      <c r="AV1282" s="387" t="str">
        <f>IF(AT1282=0,"",IF(AND(AT1282=3,M1282="F",SUMIF(C2:C1334,C1282,AS2:AS1334)&lt;=1),SUMIF(C2:C1334,C1282,AS2:AS1334),IF(AND(AT1282=3,M1282="F",SUMIF(C2:C1334,C1282,AS2:AS1334)&gt;1),1,"")))</f>
        <v/>
      </c>
      <c r="AW1282" s="387">
        <f>SUMIF(C2:C1334,C1282,O2:O1334)</f>
        <v>1</v>
      </c>
      <c r="AX1282" s="387">
        <f>IF(AND(M1282="F",AS1282&lt;&gt;0),SUMIF(C2:C1334,C1282,W2:W1334),0)</f>
        <v>45406.400000000001</v>
      </c>
      <c r="AY1282" s="387">
        <f t="shared" si="865"/>
        <v>45406.400000000001</v>
      </c>
      <c r="AZ1282" s="387" t="str">
        <f t="shared" si="866"/>
        <v/>
      </c>
      <c r="BA1282" s="387">
        <f t="shared" si="867"/>
        <v>0</v>
      </c>
      <c r="BB1282" s="387">
        <f t="shared" ref="BB1282:BB1334" si="880">IF(AND(AT1282=1,AK1282="E",AU1282&gt;=0.75,AW1282=1),Health,IF(AND(AT1282=1,AK1282="E",AU1282&gt;=0.75),Health*P1282,IF(AND(AT1282=1,AK1282="E",AU1282&gt;=0.5,AW1282=1),PTHealth,IF(AND(AT1282=1,AK1282="E",AU1282&gt;=0.5),PTHealth*P1282,0))))</f>
        <v>11650</v>
      </c>
      <c r="BC1282" s="387">
        <f t="shared" ref="BC1282:BC1334" si="881">IF(AND(AT1282=3,AK1282="E",AV1282&gt;=0.75,AW1282=1),Health,IF(AND(AT1282=3,AK1282="E",AV1282&gt;=0.75),Health*P1282,IF(AND(AT1282=3,AK1282="E",AV1282&gt;=0.5,AW1282=1),PTHealth,IF(AND(AT1282=3,AK1282="E",AV1282&gt;=0.5),PTHealth*P1282,0))))</f>
        <v>0</v>
      </c>
      <c r="BD1282" s="387">
        <f t="shared" ref="BD1282:BD1334" si="882">IF(AND(AT1282&lt;&gt;0,AX1282&gt;=MAXSSDI),SSDI*MAXSSDI*P1282,IF(AT1282&lt;&gt;0,SSDI*W1282,0))</f>
        <v>2815.1968000000002</v>
      </c>
      <c r="BE1282" s="387">
        <f t="shared" ref="BE1282:BE1334" si="883">IF(AT1282&lt;&gt;0,SSHI*W1282,0)</f>
        <v>658.39280000000008</v>
      </c>
      <c r="BF1282" s="387">
        <f t="shared" ref="BF1282:BF1334" si="884">IF(AND(AT1282&lt;&gt;0,AN1282&lt;&gt;"NE"),VLOOKUP(AN1282,Retirement_Rates,3,FALSE)*W1282,0)</f>
        <v>5421.5241600000008</v>
      </c>
      <c r="BG1282" s="387">
        <f t="shared" ref="BG1282:BG1334" si="885">IF(AND(AT1282&lt;&gt;0,AJ1282&lt;&gt;"PF"),Life*W1282,0)</f>
        <v>327.38014400000003</v>
      </c>
      <c r="BH1282" s="387">
        <f t="shared" ref="BH1282:BH1334" si="886">IF(AND(AT1282&lt;&gt;0,AM1282="Y"),UI*W1282,0)</f>
        <v>222.49135999999999</v>
      </c>
      <c r="BI1282" s="387">
        <f t="shared" ref="BI1282:BI1334" si="887">IF(AND(AT1282&lt;&gt;0,N1282&lt;&gt;"NR"),DHR*W1282,0)</f>
        <v>251.32442399999999</v>
      </c>
      <c r="BJ1282" s="387">
        <f t="shared" ref="BJ1282:BJ1334" si="888">IF(AT1282&lt;&gt;0,WC*W1282,0)</f>
        <v>122.59728000000001</v>
      </c>
      <c r="BK1282" s="387">
        <f t="shared" ref="BK1282:BK1334" si="889">IF(OR(AND(AT1282&lt;&gt;0,AJ1282&lt;&gt;"PF",AN1282&lt;&gt;"NE",AG1282&lt;&gt;"A"),AND(AL1282="E",OR(AT1282=1,AT1282=3))),Sick*W1282,0)</f>
        <v>0</v>
      </c>
      <c r="BL1282" s="387">
        <f t="shared" si="868"/>
        <v>9818.9069680000011</v>
      </c>
      <c r="BM1282" s="387">
        <f t="shared" si="869"/>
        <v>0</v>
      </c>
      <c r="BN1282" s="387">
        <f t="shared" ref="BN1282:BN1334" si="890">IF(AND(AT1282=1,AK1282="E",AU1282&gt;=0.75,AW1282=1),HealthBY,IF(AND(AT1282=1,AK1282="E",AU1282&gt;=0.75),HealthBY*P1282,IF(AND(AT1282=1,AK1282="E",AU1282&gt;=0.5,AW1282=1),PTHealthBY,IF(AND(AT1282=1,AK1282="E",AU1282&gt;=0.5),PTHealthBY*P1282,0))))</f>
        <v>11650</v>
      </c>
      <c r="BO1282" s="387">
        <f t="shared" ref="BO1282:BO1334" si="891">IF(AND(AT1282=3,AK1282="E",AV1282&gt;=0.75,AW1282=1),HealthBY,IF(AND(AT1282=3,AK1282="E",AV1282&gt;=0.75),HealthBY*P1282,IF(AND(AT1282=3,AK1282="E",AV1282&gt;=0.5,AW1282=1),PTHealthBY,IF(AND(AT1282=3,AK1282="E",AV1282&gt;=0.5),PTHealthBY*P1282,0))))</f>
        <v>0</v>
      </c>
      <c r="BP1282" s="387">
        <f t="shared" ref="BP1282:BP1334" si="892">IF(AND(AT1282&lt;&gt;0,(AX1282+BA1282)&gt;=MAXSSDIBY),SSDIBY*MAXSSDIBY*P1282,IF(AT1282&lt;&gt;0,SSDIBY*W1282,0))</f>
        <v>2815.1968000000002</v>
      </c>
      <c r="BQ1282" s="387">
        <f t="shared" ref="BQ1282:BQ1334" si="893">IF(AT1282&lt;&gt;0,SSHIBY*W1282,0)</f>
        <v>658.39280000000008</v>
      </c>
      <c r="BR1282" s="387">
        <f t="shared" ref="BR1282:BR1334" si="894">IF(AND(AT1282&lt;&gt;0,AN1282&lt;&gt;"NE"),VLOOKUP(AN1282,Retirement_Rates,4,FALSE)*W1282,0)</f>
        <v>5421.5241600000008</v>
      </c>
      <c r="BS1282" s="387">
        <f t="shared" ref="BS1282:BS1334" si="895">IF(AND(AT1282&lt;&gt;0,AJ1282&lt;&gt;"PF"),LifeBY*W1282,0)</f>
        <v>327.38014400000003</v>
      </c>
      <c r="BT1282" s="387">
        <f t="shared" ref="BT1282:BT1334" si="896">IF(AND(AT1282&lt;&gt;0,AM1282="Y"),UIBY*W1282,0)</f>
        <v>0</v>
      </c>
      <c r="BU1282" s="387">
        <f t="shared" ref="BU1282:BU1334" si="897">IF(AND(AT1282&lt;&gt;0,N1282&lt;&gt;"NR"),DHRBY*W1282,0)</f>
        <v>251.32442399999999</v>
      </c>
      <c r="BV1282" s="387">
        <f t="shared" ref="BV1282:BV1334" si="898">IF(AT1282&lt;&gt;0,WCBY*W1282,0)</f>
        <v>154.38175999999999</v>
      </c>
      <c r="BW1282" s="387">
        <f t="shared" ref="BW1282:BW1334" si="899">IF(OR(AND(AT1282&lt;&gt;0,AJ1282&lt;&gt;"PF",AN1282&lt;&gt;"NE",AG1282&lt;&gt;"A"),AND(AL1282="E",OR(AT1282=1,AT1282=3))),SickBY*W1282,0)</f>
        <v>0</v>
      </c>
      <c r="BX1282" s="387">
        <f t="shared" si="870"/>
        <v>9628.2000880000014</v>
      </c>
      <c r="BY1282" s="387">
        <f t="shared" si="871"/>
        <v>0</v>
      </c>
      <c r="BZ1282" s="387">
        <f t="shared" si="872"/>
        <v>0</v>
      </c>
      <c r="CA1282" s="387">
        <f t="shared" si="873"/>
        <v>0</v>
      </c>
      <c r="CB1282" s="387">
        <f t="shared" si="874"/>
        <v>0</v>
      </c>
      <c r="CC1282" s="387">
        <f t="shared" ref="CC1282:CC1334" si="900">IF(AT1282&lt;&gt;0,SSHICHG*Y1282,0)</f>
        <v>0</v>
      </c>
      <c r="CD1282" s="387">
        <f t="shared" ref="CD1282:CD1334" si="901">IF(AND(AT1282&lt;&gt;0,AN1282&lt;&gt;"NE"),VLOOKUP(AN1282,Retirement_Rates,5,FALSE)*Y1282,0)</f>
        <v>0</v>
      </c>
      <c r="CE1282" s="387">
        <f t="shared" ref="CE1282:CE1334" si="902">IF(AND(AT1282&lt;&gt;0,AJ1282&lt;&gt;"PF"),LifeCHG*Y1282,0)</f>
        <v>0</v>
      </c>
      <c r="CF1282" s="387">
        <f t="shared" ref="CF1282:CF1334" si="903">IF(AND(AT1282&lt;&gt;0,AM1282="Y"),UICHG*Y1282,0)</f>
        <v>-222.49135999999999</v>
      </c>
      <c r="CG1282" s="387">
        <f t="shared" ref="CG1282:CG1334" si="904">IF(AND(AT1282&lt;&gt;0,N1282&lt;&gt;"NR"),DHRCHG*Y1282,0)</f>
        <v>0</v>
      </c>
      <c r="CH1282" s="387">
        <f t="shared" ref="CH1282:CH1334" si="905">IF(AT1282&lt;&gt;0,WCCHG*Y1282,0)</f>
        <v>31.784479999999984</v>
      </c>
      <c r="CI1282" s="387">
        <f t="shared" ref="CI1282:CI1334" si="906">IF(OR(AND(AT1282&lt;&gt;0,AJ1282&lt;&gt;"PF",AN1282&lt;&gt;"NE",AG1282&lt;&gt;"A"),AND(AL1282="E",OR(AT1282=1,AT1282=3))),SickCHG*Y1282,0)</f>
        <v>0</v>
      </c>
      <c r="CJ1282" s="387">
        <f t="shared" si="875"/>
        <v>-190.70688000000001</v>
      </c>
      <c r="CK1282" s="387" t="str">
        <f t="shared" si="876"/>
        <v/>
      </c>
      <c r="CL1282" s="387" t="str">
        <f t="shared" si="877"/>
        <v/>
      </c>
      <c r="CM1282" s="387" t="str">
        <f t="shared" si="878"/>
        <v/>
      </c>
      <c r="CN1282" s="387" t="str">
        <f t="shared" si="879"/>
        <v>0348-31</v>
      </c>
    </row>
    <row r="1283" spans="1:92" ht="15.75" thickBot="1" x14ac:dyDescent="0.3">
      <c r="A1283" s="376" t="s">
        <v>161</v>
      </c>
      <c r="B1283" s="376" t="s">
        <v>162</v>
      </c>
      <c r="C1283" s="376" t="s">
        <v>509</v>
      </c>
      <c r="D1283" s="376" t="s">
        <v>238</v>
      </c>
      <c r="E1283" s="376" t="s">
        <v>224</v>
      </c>
      <c r="F1283" s="382" t="s">
        <v>225</v>
      </c>
      <c r="G1283" s="376" t="s">
        <v>1945</v>
      </c>
      <c r="H1283" s="378"/>
      <c r="I1283" s="378"/>
      <c r="J1283" s="376" t="s">
        <v>215</v>
      </c>
      <c r="K1283" s="376" t="s">
        <v>285</v>
      </c>
      <c r="L1283" s="376" t="s">
        <v>170</v>
      </c>
      <c r="M1283" s="376" t="s">
        <v>171</v>
      </c>
      <c r="N1283" s="376" t="s">
        <v>172</v>
      </c>
      <c r="O1283" s="379">
        <v>1</v>
      </c>
      <c r="P1283" s="385">
        <v>0</v>
      </c>
      <c r="Q1283" s="385">
        <v>0</v>
      </c>
      <c r="R1283" s="380">
        <v>80</v>
      </c>
      <c r="S1283" s="385">
        <v>0</v>
      </c>
      <c r="T1283" s="380">
        <v>3448.89</v>
      </c>
      <c r="U1283" s="380">
        <v>0</v>
      </c>
      <c r="V1283" s="380">
        <v>1423.3</v>
      </c>
      <c r="W1283" s="380">
        <v>0</v>
      </c>
      <c r="X1283" s="380">
        <v>0</v>
      </c>
      <c r="Y1283" s="380">
        <v>0</v>
      </c>
      <c r="Z1283" s="380">
        <v>0</v>
      </c>
      <c r="AA1283" s="376" t="s">
        <v>510</v>
      </c>
      <c r="AB1283" s="376" t="s">
        <v>511</v>
      </c>
      <c r="AC1283" s="376" t="s">
        <v>512</v>
      </c>
      <c r="AD1283" s="376" t="s">
        <v>513</v>
      </c>
      <c r="AE1283" s="376" t="s">
        <v>285</v>
      </c>
      <c r="AF1283" s="376" t="s">
        <v>177</v>
      </c>
      <c r="AG1283" s="376" t="s">
        <v>178</v>
      </c>
      <c r="AH1283" s="381">
        <v>29.16</v>
      </c>
      <c r="AI1283" s="379">
        <v>17505</v>
      </c>
      <c r="AJ1283" s="376" t="s">
        <v>179</v>
      </c>
      <c r="AK1283" s="376" t="s">
        <v>180</v>
      </c>
      <c r="AL1283" s="376" t="s">
        <v>181</v>
      </c>
      <c r="AM1283" s="376" t="s">
        <v>182</v>
      </c>
      <c r="AN1283" s="376" t="s">
        <v>68</v>
      </c>
      <c r="AO1283" s="379">
        <v>80</v>
      </c>
      <c r="AP1283" s="385">
        <v>1</v>
      </c>
      <c r="AQ1283" s="385">
        <v>0</v>
      </c>
      <c r="AR1283" s="383" t="s">
        <v>183</v>
      </c>
      <c r="AS1283" s="387">
        <f t="shared" ref="AS1283:AS1334" si="907">IF(((AO1283/80)*AP1283*P1283)&gt;1,AQ1283,((AO1283/80)*AP1283*P1283))</f>
        <v>0</v>
      </c>
      <c r="AT1283">
        <f t="shared" ref="AT1283:AT1334" si="908">IF(AND(M1283="F",N1283&lt;&gt;"NG",AS1283&lt;&gt;0,AND(AR1283&lt;&gt;6,AR1283&lt;&gt;36,AR1283&lt;&gt;56),AG1283&lt;&gt;"A",OR(AG1283="H",AJ1283="FS")),1,IF(AND(M1283="F",N1283&lt;&gt;"NG",AS1283&lt;&gt;0,AG1283="A"),3,0))</f>
        <v>0</v>
      </c>
      <c r="AU1283" s="387" t="str">
        <f>IF(AT1283=0,"",IF(AND(AT1283=1,M1283="F",SUMIF(C2:C1334,C1283,AS2:AS1334)&lt;=1),SUMIF(C2:C1334,C1283,AS2:AS1334),IF(AND(AT1283=1,M1283="F",SUMIF(C2:C1334,C1283,AS2:AS1334)&gt;1),1,"")))</f>
        <v/>
      </c>
      <c r="AV1283" s="387" t="str">
        <f>IF(AT1283=0,"",IF(AND(AT1283=3,M1283="F",SUMIF(C2:C1334,C1283,AS2:AS1334)&lt;=1),SUMIF(C2:C1334,C1283,AS2:AS1334),IF(AND(AT1283=3,M1283="F",SUMIF(C2:C1334,C1283,AS2:AS1334)&gt;1),1,"")))</f>
        <v/>
      </c>
      <c r="AW1283" s="387">
        <f>SUMIF(C2:C1334,C1283,O2:O1334)</f>
        <v>3</v>
      </c>
      <c r="AX1283" s="387">
        <f>IF(AND(M1283="F",AS1283&lt;&gt;0),SUMIF(C2:C1334,C1283,W2:W1334),0)</f>
        <v>0</v>
      </c>
      <c r="AY1283" s="387" t="str">
        <f t="shared" ref="AY1283:AY1334" si="909">IF(AT1283=1,W1283,"")</f>
        <v/>
      </c>
      <c r="AZ1283" s="387" t="str">
        <f t="shared" ref="AZ1283:AZ1334" si="910">IF(AT1283=3,W1283,"")</f>
        <v/>
      </c>
      <c r="BA1283" s="387">
        <f t="shared" ref="BA1283:BA1334" si="911">IF(AT1283=1,Y1283-W1283,0)</f>
        <v>0</v>
      </c>
      <c r="BB1283" s="387">
        <f t="shared" si="880"/>
        <v>0</v>
      </c>
      <c r="BC1283" s="387">
        <f t="shared" si="881"/>
        <v>0</v>
      </c>
      <c r="BD1283" s="387">
        <f t="shared" si="882"/>
        <v>0</v>
      </c>
      <c r="BE1283" s="387">
        <f t="shared" si="883"/>
        <v>0</v>
      </c>
      <c r="BF1283" s="387">
        <f t="shared" si="884"/>
        <v>0</v>
      </c>
      <c r="BG1283" s="387">
        <f t="shared" si="885"/>
        <v>0</v>
      </c>
      <c r="BH1283" s="387">
        <f t="shared" si="886"/>
        <v>0</v>
      </c>
      <c r="BI1283" s="387">
        <f t="shared" si="887"/>
        <v>0</v>
      </c>
      <c r="BJ1283" s="387">
        <f t="shared" si="888"/>
        <v>0</v>
      </c>
      <c r="BK1283" s="387">
        <f t="shared" si="889"/>
        <v>0</v>
      </c>
      <c r="BL1283" s="387">
        <f t="shared" ref="BL1283:BL1334" si="912">IF(AT1283=1,SUM(BD1283:BK1283),0)</f>
        <v>0</v>
      </c>
      <c r="BM1283" s="387">
        <f t="shared" ref="BM1283:BM1334" si="913">IF(AT1283=3,SUM(BD1283:BK1283),0)</f>
        <v>0</v>
      </c>
      <c r="BN1283" s="387">
        <f t="shared" si="890"/>
        <v>0</v>
      </c>
      <c r="BO1283" s="387">
        <f t="shared" si="891"/>
        <v>0</v>
      </c>
      <c r="BP1283" s="387">
        <f t="shared" si="892"/>
        <v>0</v>
      </c>
      <c r="BQ1283" s="387">
        <f t="shared" si="893"/>
        <v>0</v>
      </c>
      <c r="BR1283" s="387">
        <f t="shared" si="894"/>
        <v>0</v>
      </c>
      <c r="BS1283" s="387">
        <f t="shared" si="895"/>
        <v>0</v>
      </c>
      <c r="BT1283" s="387">
        <f t="shared" si="896"/>
        <v>0</v>
      </c>
      <c r="BU1283" s="387">
        <f t="shared" si="897"/>
        <v>0</v>
      </c>
      <c r="BV1283" s="387">
        <f t="shared" si="898"/>
        <v>0</v>
      </c>
      <c r="BW1283" s="387">
        <f t="shared" si="899"/>
        <v>0</v>
      </c>
      <c r="BX1283" s="387">
        <f t="shared" ref="BX1283:BX1334" si="914">IF(AT1283=1,SUM(BP1283:BW1283),0)</f>
        <v>0</v>
      </c>
      <c r="BY1283" s="387">
        <f t="shared" ref="BY1283:BY1334" si="915">IF(AT1283=3,SUM(BP1283:BW1283),0)</f>
        <v>0</v>
      </c>
      <c r="BZ1283" s="387">
        <f t="shared" ref="BZ1283:BZ1334" si="916">IF(AT1283=1,BN1283-BB1283,0)</f>
        <v>0</v>
      </c>
      <c r="CA1283" s="387">
        <f t="shared" ref="CA1283:CA1334" si="917">IF(AT1283=3,BO1283-BC1283,0)</f>
        <v>0</v>
      </c>
      <c r="CB1283" s="387">
        <f t="shared" ref="CB1283:CB1334" si="918">BP1283-BD1283</f>
        <v>0</v>
      </c>
      <c r="CC1283" s="387">
        <f t="shared" si="900"/>
        <v>0</v>
      </c>
      <c r="CD1283" s="387">
        <f t="shared" si="901"/>
        <v>0</v>
      </c>
      <c r="CE1283" s="387">
        <f t="shared" si="902"/>
        <v>0</v>
      </c>
      <c r="CF1283" s="387">
        <f t="shared" si="903"/>
        <v>0</v>
      </c>
      <c r="CG1283" s="387">
        <f t="shared" si="904"/>
        <v>0</v>
      </c>
      <c r="CH1283" s="387">
        <f t="shared" si="905"/>
        <v>0</v>
      </c>
      <c r="CI1283" s="387">
        <f t="shared" si="906"/>
        <v>0</v>
      </c>
      <c r="CJ1283" s="387">
        <f t="shared" ref="CJ1283:CJ1334" si="919">IF(AT1283=1,SUM(CB1283:CI1283),0)</f>
        <v>0</v>
      </c>
      <c r="CK1283" s="387" t="str">
        <f t="shared" ref="CK1283:CK1334" si="920">IF(AT1283=3,SUM(CB1283:CI1283),"")</f>
        <v/>
      </c>
      <c r="CL1283" s="387" t="str">
        <f t="shared" ref="CL1283:CL1334" si="921">IF(OR(N1283="NG",AG1283="D"),(T1283+U1283),"")</f>
        <v/>
      </c>
      <c r="CM1283" s="387" t="str">
        <f t="shared" ref="CM1283:CM1334" si="922">IF(OR(N1283="NG",AG1283="D"),V1283,"")</f>
        <v/>
      </c>
      <c r="CN1283" s="387" t="str">
        <f t="shared" ref="CN1283:CN1334" si="923">E1283 &amp; "-" &amp; F1283</f>
        <v>0348-31</v>
      </c>
    </row>
    <row r="1284" spans="1:92" ht="15.75" thickBot="1" x14ac:dyDescent="0.3">
      <c r="A1284" s="376" t="s">
        <v>161</v>
      </c>
      <c r="B1284" s="376" t="s">
        <v>162</v>
      </c>
      <c r="C1284" s="376" t="s">
        <v>1896</v>
      </c>
      <c r="D1284" s="376" t="s">
        <v>868</v>
      </c>
      <c r="E1284" s="376" t="s">
        <v>224</v>
      </c>
      <c r="F1284" s="382" t="s">
        <v>225</v>
      </c>
      <c r="G1284" s="376" t="s">
        <v>1945</v>
      </c>
      <c r="H1284" s="378"/>
      <c r="I1284" s="378"/>
      <c r="J1284" s="376" t="s">
        <v>215</v>
      </c>
      <c r="K1284" s="376" t="s">
        <v>894</v>
      </c>
      <c r="L1284" s="376" t="s">
        <v>170</v>
      </c>
      <c r="M1284" s="376" t="s">
        <v>272</v>
      </c>
      <c r="N1284" s="376" t="s">
        <v>172</v>
      </c>
      <c r="O1284" s="379">
        <v>0</v>
      </c>
      <c r="P1284" s="385">
        <v>1</v>
      </c>
      <c r="Q1284" s="385">
        <v>1</v>
      </c>
      <c r="R1284" s="380">
        <v>80</v>
      </c>
      <c r="S1284" s="385">
        <v>1</v>
      </c>
      <c r="T1284" s="380">
        <v>0</v>
      </c>
      <c r="U1284" s="380">
        <v>0</v>
      </c>
      <c r="V1284" s="380">
        <v>0</v>
      </c>
      <c r="W1284" s="380">
        <v>53476.800000000003</v>
      </c>
      <c r="X1284" s="380">
        <v>23422.83</v>
      </c>
      <c r="Y1284" s="380">
        <v>53476.800000000003</v>
      </c>
      <c r="Z1284" s="380">
        <v>23155.45</v>
      </c>
      <c r="AA1284" s="378"/>
      <c r="AB1284" s="376" t="s">
        <v>45</v>
      </c>
      <c r="AC1284" s="376" t="s">
        <v>45</v>
      </c>
      <c r="AD1284" s="378"/>
      <c r="AE1284" s="378"/>
      <c r="AF1284" s="378"/>
      <c r="AG1284" s="378"/>
      <c r="AH1284" s="379">
        <v>0</v>
      </c>
      <c r="AI1284" s="379">
        <v>0</v>
      </c>
      <c r="AJ1284" s="378"/>
      <c r="AK1284" s="378"/>
      <c r="AL1284" s="376" t="s">
        <v>181</v>
      </c>
      <c r="AM1284" s="378"/>
      <c r="AN1284" s="378"/>
      <c r="AO1284" s="379">
        <v>0</v>
      </c>
      <c r="AP1284" s="385">
        <v>0</v>
      </c>
      <c r="AQ1284" s="385">
        <v>0</v>
      </c>
      <c r="AR1284" s="384"/>
      <c r="AS1284" s="387">
        <f t="shared" si="907"/>
        <v>0</v>
      </c>
      <c r="AT1284">
        <f t="shared" si="908"/>
        <v>0</v>
      </c>
      <c r="AU1284" s="387" t="str">
        <f>IF(AT1284=0,"",IF(AND(AT1284=1,M1284="F",SUMIF(C2:C1334,C1284,AS2:AS1334)&lt;=1),SUMIF(C2:C1334,C1284,AS2:AS1334),IF(AND(AT1284=1,M1284="F",SUMIF(C2:C1334,C1284,AS2:AS1334)&gt;1),1,"")))</f>
        <v/>
      </c>
      <c r="AV1284" s="387" t="str">
        <f>IF(AT1284=0,"",IF(AND(AT1284=3,M1284="F",SUMIF(C2:C1334,C1284,AS2:AS1334)&lt;=1),SUMIF(C2:C1334,C1284,AS2:AS1334),IF(AND(AT1284=3,M1284="F",SUMIF(C2:C1334,C1284,AS2:AS1334)&gt;1),1,"")))</f>
        <v/>
      </c>
      <c r="AW1284" s="387">
        <f>SUMIF(C2:C1334,C1284,O2:O1334)</f>
        <v>0</v>
      </c>
      <c r="AX1284" s="387">
        <f>IF(AND(M1284="F",AS1284&lt;&gt;0),SUMIF(C2:C1334,C1284,W2:W1334),0)</f>
        <v>0</v>
      </c>
      <c r="AY1284" s="387" t="str">
        <f t="shared" si="909"/>
        <v/>
      </c>
      <c r="AZ1284" s="387" t="str">
        <f t="shared" si="910"/>
        <v/>
      </c>
      <c r="BA1284" s="387">
        <f t="shared" si="911"/>
        <v>0</v>
      </c>
      <c r="BB1284" s="387">
        <f t="shared" si="880"/>
        <v>0</v>
      </c>
      <c r="BC1284" s="387">
        <f t="shared" si="881"/>
        <v>0</v>
      </c>
      <c r="BD1284" s="387">
        <f t="shared" si="882"/>
        <v>0</v>
      </c>
      <c r="BE1284" s="387">
        <f t="shared" si="883"/>
        <v>0</v>
      </c>
      <c r="BF1284" s="387">
        <f t="shared" si="884"/>
        <v>0</v>
      </c>
      <c r="BG1284" s="387">
        <f t="shared" si="885"/>
        <v>0</v>
      </c>
      <c r="BH1284" s="387">
        <f t="shared" si="886"/>
        <v>0</v>
      </c>
      <c r="BI1284" s="387">
        <f t="shared" si="887"/>
        <v>0</v>
      </c>
      <c r="BJ1284" s="387">
        <f t="shared" si="888"/>
        <v>0</v>
      </c>
      <c r="BK1284" s="387">
        <f t="shared" si="889"/>
        <v>0</v>
      </c>
      <c r="BL1284" s="387">
        <f t="shared" si="912"/>
        <v>0</v>
      </c>
      <c r="BM1284" s="387">
        <f t="shared" si="913"/>
        <v>0</v>
      </c>
      <c r="BN1284" s="387">
        <f t="shared" si="890"/>
        <v>0</v>
      </c>
      <c r="BO1284" s="387">
        <f t="shared" si="891"/>
        <v>0</v>
      </c>
      <c r="BP1284" s="387">
        <f t="shared" si="892"/>
        <v>0</v>
      </c>
      <c r="BQ1284" s="387">
        <f t="shared" si="893"/>
        <v>0</v>
      </c>
      <c r="BR1284" s="387">
        <f t="shared" si="894"/>
        <v>0</v>
      </c>
      <c r="BS1284" s="387">
        <f t="shared" si="895"/>
        <v>0</v>
      </c>
      <c r="BT1284" s="387">
        <f t="shared" si="896"/>
        <v>0</v>
      </c>
      <c r="BU1284" s="387">
        <f t="shared" si="897"/>
        <v>0</v>
      </c>
      <c r="BV1284" s="387">
        <f t="shared" si="898"/>
        <v>0</v>
      </c>
      <c r="BW1284" s="387">
        <f t="shared" si="899"/>
        <v>0</v>
      </c>
      <c r="BX1284" s="387">
        <f t="shared" si="914"/>
        <v>0</v>
      </c>
      <c r="BY1284" s="387">
        <f t="shared" si="915"/>
        <v>0</v>
      </c>
      <c r="BZ1284" s="387">
        <f t="shared" si="916"/>
        <v>0</v>
      </c>
      <c r="CA1284" s="387">
        <f t="shared" si="917"/>
        <v>0</v>
      </c>
      <c r="CB1284" s="387">
        <f t="shared" si="918"/>
        <v>0</v>
      </c>
      <c r="CC1284" s="387">
        <f t="shared" si="900"/>
        <v>0</v>
      </c>
      <c r="CD1284" s="387">
        <f t="shared" si="901"/>
        <v>0</v>
      </c>
      <c r="CE1284" s="387">
        <f t="shared" si="902"/>
        <v>0</v>
      </c>
      <c r="CF1284" s="387">
        <f t="shared" si="903"/>
        <v>0</v>
      </c>
      <c r="CG1284" s="387">
        <f t="shared" si="904"/>
        <v>0</v>
      </c>
      <c r="CH1284" s="387">
        <f t="shared" si="905"/>
        <v>0</v>
      </c>
      <c r="CI1284" s="387">
        <f t="shared" si="906"/>
        <v>0</v>
      </c>
      <c r="CJ1284" s="387">
        <f t="shared" si="919"/>
        <v>0</v>
      </c>
      <c r="CK1284" s="387" t="str">
        <f t="shared" si="920"/>
        <v/>
      </c>
      <c r="CL1284" s="387" t="str">
        <f t="shared" si="921"/>
        <v/>
      </c>
      <c r="CM1284" s="387" t="str">
        <f t="shared" si="922"/>
        <v/>
      </c>
      <c r="CN1284" s="387" t="str">
        <f t="shared" si="923"/>
        <v>0348-31</v>
      </c>
    </row>
    <row r="1285" spans="1:92" ht="15.75" thickBot="1" x14ac:dyDescent="0.3">
      <c r="A1285" s="376" t="s">
        <v>161</v>
      </c>
      <c r="B1285" s="376" t="s">
        <v>162</v>
      </c>
      <c r="C1285" s="376" t="s">
        <v>2552</v>
      </c>
      <c r="D1285" s="376" t="s">
        <v>862</v>
      </c>
      <c r="E1285" s="376" t="s">
        <v>224</v>
      </c>
      <c r="F1285" s="382" t="s">
        <v>225</v>
      </c>
      <c r="G1285" s="376" t="s">
        <v>1945</v>
      </c>
      <c r="H1285" s="378"/>
      <c r="I1285" s="378"/>
      <c r="J1285" s="376" t="s">
        <v>215</v>
      </c>
      <c r="K1285" s="376" t="s">
        <v>863</v>
      </c>
      <c r="L1285" s="376" t="s">
        <v>252</v>
      </c>
      <c r="M1285" s="376" t="s">
        <v>171</v>
      </c>
      <c r="N1285" s="376" t="s">
        <v>172</v>
      </c>
      <c r="O1285" s="379">
        <v>1</v>
      </c>
      <c r="P1285" s="385">
        <v>1</v>
      </c>
      <c r="Q1285" s="385">
        <v>1</v>
      </c>
      <c r="R1285" s="380">
        <v>80</v>
      </c>
      <c r="S1285" s="385">
        <v>1</v>
      </c>
      <c r="T1285" s="380">
        <v>34429.86</v>
      </c>
      <c r="U1285" s="380">
        <v>437.24</v>
      </c>
      <c r="V1285" s="380">
        <v>18986.45</v>
      </c>
      <c r="W1285" s="380">
        <v>38708.800000000003</v>
      </c>
      <c r="X1285" s="380">
        <v>20020.75</v>
      </c>
      <c r="Y1285" s="380">
        <v>38708.800000000003</v>
      </c>
      <c r="Z1285" s="380">
        <v>19858.169999999998</v>
      </c>
      <c r="AA1285" s="376" t="s">
        <v>2553</v>
      </c>
      <c r="AB1285" s="376" t="s">
        <v>2554</v>
      </c>
      <c r="AC1285" s="376" t="s">
        <v>1315</v>
      </c>
      <c r="AD1285" s="376" t="s">
        <v>601</v>
      </c>
      <c r="AE1285" s="376" t="s">
        <v>863</v>
      </c>
      <c r="AF1285" s="376" t="s">
        <v>393</v>
      </c>
      <c r="AG1285" s="376" t="s">
        <v>178</v>
      </c>
      <c r="AH1285" s="381">
        <v>18.61</v>
      </c>
      <c r="AI1285" s="381">
        <v>2063.6999999999998</v>
      </c>
      <c r="AJ1285" s="376" t="s">
        <v>179</v>
      </c>
      <c r="AK1285" s="376" t="s">
        <v>180</v>
      </c>
      <c r="AL1285" s="376" t="s">
        <v>181</v>
      </c>
      <c r="AM1285" s="376" t="s">
        <v>182</v>
      </c>
      <c r="AN1285" s="376" t="s">
        <v>68</v>
      </c>
      <c r="AO1285" s="379">
        <v>80</v>
      </c>
      <c r="AP1285" s="385">
        <v>1</v>
      </c>
      <c r="AQ1285" s="385">
        <v>1</v>
      </c>
      <c r="AR1285" s="383" t="s">
        <v>183</v>
      </c>
      <c r="AS1285" s="387">
        <f t="shared" si="907"/>
        <v>1</v>
      </c>
      <c r="AT1285">
        <f t="shared" si="908"/>
        <v>1</v>
      </c>
      <c r="AU1285" s="387">
        <f>IF(AT1285=0,"",IF(AND(AT1285=1,M1285="F",SUMIF(C2:C1334,C1285,AS2:AS1334)&lt;=1),SUMIF(C2:C1334,C1285,AS2:AS1334),IF(AND(AT1285=1,M1285="F",SUMIF(C2:C1334,C1285,AS2:AS1334)&gt;1),1,"")))</f>
        <v>1</v>
      </c>
      <c r="AV1285" s="387" t="str">
        <f>IF(AT1285=0,"",IF(AND(AT1285=3,M1285="F",SUMIF(C2:C1334,C1285,AS2:AS1334)&lt;=1),SUMIF(C2:C1334,C1285,AS2:AS1334),IF(AND(AT1285=3,M1285="F",SUMIF(C2:C1334,C1285,AS2:AS1334)&gt;1),1,"")))</f>
        <v/>
      </c>
      <c r="AW1285" s="387">
        <f>SUMIF(C2:C1334,C1285,O2:O1334)</f>
        <v>1</v>
      </c>
      <c r="AX1285" s="387">
        <f>IF(AND(M1285="F",AS1285&lt;&gt;0),SUMIF(C2:C1334,C1285,W2:W1334),0)</f>
        <v>38708.800000000003</v>
      </c>
      <c r="AY1285" s="387">
        <f t="shared" si="909"/>
        <v>38708.800000000003</v>
      </c>
      <c r="AZ1285" s="387" t="str">
        <f t="shared" si="910"/>
        <v/>
      </c>
      <c r="BA1285" s="387">
        <f t="shared" si="911"/>
        <v>0</v>
      </c>
      <c r="BB1285" s="387">
        <f t="shared" si="880"/>
        <v>11650</v>
      </c>
      <c r="BC1285" s="387">
        <f t="shared" si="881"/>
        <v>0</v>
      </c>
      <c r="BD1285" s="387">
        <f t="shared" si="882"/>
        <v>2399.9456</v>
      </c>
      <c r="BE1285" s="387">
        <f t="shared" si="883"/>
        <v>561.27760000000012</v>
      </c>
      <c r="BF1285" s="387">
        <f t="shared" si="884"/>
        <v>4621.8307200000008</v>
      </c>
      <c r="BG1285" s="387">
        <f t="shared" si="885"/>
        <v>279.09044800000004</v>
      </c>
      <c r="BH1285" s="387">
        <f t="shared" si="886"/>
        <v>189.67312000000001</v>
      </c>
      <c r="BI1285" s="387">
        <f t="shared" si="887"/>
        <v>214.25320800000003</v>
      </c>
      <c r="BJ1285" s="387">
        <f t="shared" si="888"/>
        <v>104.51376000000002</v>
      </c>
      <c r="BK1285" s="387">
        <f t="shared" si="889"/>
        <v>0</v>
      </c>
      <c r="BL1285" s="387">
        <f t="shared" si="912"/>
        <v>8370.5844560000005</v>
      </c>
      <c r="BM1285" s="387">
        <f t="shared" si="913"/>
        <v>0</v>
      </c>
      <c r="BN1285" s="387">
        <f t="shared" si="890"/>
        <v>11650</v>
      </c>
      <c r="BO1285" s="387">
        <f t="shared" si="891"/>
        <v>0</v>
      </c>
      <c r="BP1285" s="387">
        <f t="shared" si="892"/>
        <v>2399.9456</v>
      </c>
      <c r="BQ1285" s="387">
        <f t="shared" si="893"/>
        <v>561.27760000000012</v>
      </c>
      <c r="BR1285" s="387">
        <f t="shared" si="894"/>
        <v>4621.8307200000008</v>
      </c>
      <c r="BS1285" s="387">
        <f t="shared" si="895"/>
        <v>279.09044800000004</v>
      </c>
      <c r="BT1285" s="387">
        <f t="shared" si="896"/>
        <v>0</v>
      </c>
      <c r="BU1285" s="387">
        <f t="shared" si="897"/>
        <v>214.25320800000003</v>
      </c>
      <c r="BV1285" s="387">
        <f t="shared" si="898"/>
        <v>131.60992000000002</v>
      </c>
      <c r="BW1285" s="387">
        <f t="shared" si="899"/>
        <v>0</v>
      </c>
      <c r="BX1285" s="387">
        <f t="shared" si="914"/>
        <v>8208.007496000002</v>
      </c>
      <c r="BY1285" s="387">
        <f t="shared" si="915"/>
        <v>0</v>
      </c>
      <c r="BZ1285" s="387">
        <f t="shared" si="916"/>
        <v>0</v>
      </c>
      <c r="CA1285" s="387">
        <f t="shared" si="917"/>
        <v>0</v>
      </c>
      <c r="CB1285" s="387">
        <f t="shared" si="918"/>
        <v>0</v>
      </c>
      <c r="CC1285" s="387">
        <f t="shared" si="900"/>
        <v>0</v>
      </c>
      <c r="CD1285" s="387">
        <f t="shared" si="901"/>
        <v>0</v>
      </c>
      <c r="CE1285" s="387">
        <f t="shared" si="902"/>
        <v>0</v>
      </c>
      <c r="CF1285" s="387">
        <f t="shared" si="903"/>
        <v>-189.67312000000001</v>
      </c>
      <c r="CG1285" s="387">
        <f t="shared" si="904"/>
        <v>0</v>
      </c>
      <c r="CH1285" s="387">
        <f t="shared" si="905"/>
        <v>27.09615999999999</v>
      </c>
      <c r="CI1285" s="387">
        <f t="shared" si="906"/>
        <v>0</v>
      </c>
      <c r="CJ1285" s="387">
        <f t="shared" si="919"/>
        <v>-162.57696000000001</v>
      </c>
      <c r="CK1285" s="387" t="str">
        <f t="shared" si="920"/>
        <v/>
      </c>
      <c r="CL1285" s="387" t="str">
        <f t="shared" si="921"/>
        <v/>
      </c>
      <c r="CM1285" s="387" t="str">
        <f t="shared" si="922"/>
        <v/>
      </c>
      <c r="CN1285" s="387" t="str">
        <f t="shared" si="923"/>
        <v>0348-31</v>
      </c>
    </row>
    <row r="1286" spans="1:92" ht="15.75" thickBot="1" x14ac:dyDescent="0.3">
      <c r="A1286" s="376" t="s">
        <v>161</v>
      </c>
      <c r="B1286" s="376" t="s">
        <v>162</v>
      </c>
      <c r="C1286" s="376" t="s">
        <v>2555</v>
      </c>
      <c r="D1286" s="376" t="s">
        <v>792</v>
      </c>
      <c r="E1286" s="376" t="s">
        <v>224</v>
      </c>
      <c r="F1286" s="382" t="s">
        <v>225</v>
      </c>
      <c r="G1286" s="376" t="s">
        <v>1945</v>
      </c>
      <c r="H1286" s="378"/>
      <c r="I1286" s="378"/>
      <c r="J1286" s="376" t="s">
        <v>215</v>
      </c>
      <c r="K1286" s="376" t="s">
        <v>793</v>
      </c>
      <c r="L1286" s="376" t="s">
        <v>170</v>
      </c>
      <c r="M1286" s="376" t="s">
        <v>171</v>
      </c>
      <c r="N1286" s="376" t="s">
        <v>172</v>
      </c>
      <c r="O1286" s="379">
        <v>1</v>
      </c>
      <c r="P1286" s="385">
        <v>1</v>
      </c>
      <c r="Q1286" s="385">
        <v>1</v>
      </c>
      <c r="R1286" s="380">
        <v>80</v>
      </c>
      <c r="S1286" s="385">
        <v>1</v>
      </c>
      <c r="T1286" s="380">
        <v>45948.81</v>
      </c>
      <c r="U1286" s="380">
        <v>841.73</v>
      </c>
      <c r="V1286" s="380">
        <v>21184.45</v>
      </c>
      <c r="W1286" s="380">
        <v>48672</v>
      </c>
      <c r="X1286" s="380">
        <v>22175.29</v>
      </c>
      <c r="Y1286" s="380">
        <v>48672</v>
      </c>
      <c r="Z1286" s="380">
        <v>21970.87</v>
      </c>
      <c r="AA1286" s="376" t="s">
        <v>2556</v>
      </c>
      <c r="AB1286" s="376" t="s">
        <v>2557</v>
      </c>
      <c r="AC1286" s="376" t="s">
        <v>2558</v>
      </c>
      <c r="AD1286" s="376" t="s">
        <v>1270</v>
      </c>
      <c r="AE1286" s="376" t="s">
        <v>793</v>
      </c>
      <c r="AF1286" s="376" t="s">
        <v>177</v>
      </c>
      <c r="AG1286" s="376" t="s">
        <v>178</v>
      </c>
      <c r="AH1286" s="381">
        <v>23.4</v>
      </c>
      <c r="AI1286" s="381">
        <v>7764.7</v>
      </c>
      <c r="AJ1286" s="376" t="s">
        <v>179</v>
      </c>
      <c r="AK1286" s="376" t="s">
        <v>180</v>
      </c>
      <c r="AL1286" s="376" t="s">
        <v>181</v>
      </c>
      <c r="AM1286" s="376" t="s">
        <v>182</v>
      </c>
      <c r="AN1286" s="376" t="s">
        <v>68</v>
      </c>
      <c r="AO1286" s="379">
        <v>80</v>
      </c>
      <c r="AP1286" s="385">
        <v>1</v>
      </c>
      <c r="AQ1286" s="385">
        <v>1</v>
      </c>
      <c r="AR1286" s="383" t="s">
        <v>183</v>
      </c>
      <c r="AS1286" s="387">
        <f t="shared" si="907"/>
        <v>1</v>
      </c>
      <c r="AT1286">
        <f t="shared" si="908"/>
        <v>1</v>
      </c>
      <c r="AU1286" s="387">
        <f>IF(AT1286=0,"",IF(AND(AT1286=1,M1286="F",SUMIF(C2:C1334,C1286,AS2:AS1334)&lt;=1),SUMIF(C2:C1334,C1286,AS2:AS1334),IF(AND(AT1286=1,M1286="F",SUMIF(C2:C1334,C1286,AS2:AS1334)&gt;1),1,"")))</f>
        <v>1</v>
      </c>
      <c r="AV1286" s="387" t="str">
        <f>IF(AT1286=0,"",IF(AND(AT1286=3,M1286="F",SUMIF(C2:C1334,C1286,AS2:AS1334)&lt;=1),SUMIF(C2:C1334,C1286,AS2:AS1334),IF(AND(AT1286=3,M1286="F",SUMIF(C2:C1334,C1286,AS2:AS1334)&gt;1),1,"")))</f>
        <v/>
      </c>
      <c r="AW1286" s="387">
        <f>SUMIF(C2:C1334,C1286,O2:O1334)</f>
        <v>1</v>
      </c>
      <c r="AX1286" s="387">
        <f>IF(AND(M1286="F",AS1286&lt;&gt;0),SUMIF(C2:C1334,C1286,W2:W1334),0)</f>
        <v>48672</v>
      </c>
      <c r="AY1286" s="387">
        <f t="shared" si="909"/>
        <v>48672</v>
      </c>
      <c r="AZ1286" s="387" t="str">
        <f t="shared" si="910"/>
        <v/>
      </c>
      <c r="BA1286" s="387">
        <f t="shared" si="911"/>
        <v>0</v>
      </c>
      <c r="BB1286" s="387">
        <f t="shared" si="880"/>
        <v>11650</v>
      </c>
      <c r="BC1286" s="387">
        <f t="shared" si="881"/>
        <v>0</v>
      </c>
      <c r="BD1286" s="387">
        <f t="shared" si="882"/>
        <v>3017.6639999999998</v>
      </c>
      <c r="BE1286" s="387">
        <f t="shared" si="883"/>
        <v>705.74400000000003</v>
      </c>
      <c r="BF1286" s="387">
        <f t="shared" si="884"/>
        <v>5811.4368000000004</v>
      </c>
      <c r="BG1286" s="387">
        <f t="shared" si="885"/>
        <v>350.92511999999999</v>
      </c>
      <c r="BH1286" s="387">
        <f t="shared" si="886"/>
        <v>238.49279999999999</v>
      </c>
      <c r="BI1286" s="387">
        <f t="shared" si="887"/>
        <v>269.39952</v>
      </c>
      <c r="BJ1286" s="387">
        <f t="shared" si="888"/>
        <v>131.4144</v>
      </c>
      <c r="BK1286" s="387">
        <f t="shared" si="889"/>
        <v>0</v>
      </c>
      <c r="BL1286" s="387">
        <f t="shared" si="912"/>
        <v>10525.076640000001</v>
      </c>
      <c r="BM1286" s="387">
        <f t="shared" si="913"/>
        <v>0</v>
      </c>
      <c r="BN1286" s="387">
        <f t="shared" si="890"/>
        <v>11650</v>
      </c>
      <c r="BO1286" s="387">
        <f t="shared" si="891"/>
        <v>0</v>
      </c>
      <c r="BP1286" s="387">
        <f t="shared" si="892"/>
        <v>3017.6639999999998</v>
      </c>
      <c r="BQ1286" s="387">
        <f t="shared" si="893"/>
        <v>705.74400000000003</v>
      </c>
      <c r="BR1286" s="387">
        <f t="shared" si="894"/>
        <v>5811.4368000000004</v>
      </c>
      <c r="BS1286" s="387">
        <f t="shared" si="895"/>
        <v>350.92511999999999</v>
      </c>
      <c r="BT1286" s="387">
        <f t="shared" si="896"/>
        <v>0</v>
      </c>
      <c r="BU1286" s="387">
        <f t="shared" si="897"/>
        <v>269.39952</v>
      </c>
      <c r="BV1286" s="387">
        <f t="shared" si="898"/>
        <v>165.48479999999998</v>
      </c>
      <c r="BW1286" s="387">
        <f t="shared" si="899"/>
        <v>0</v>
      </c>
      <c r="BX1286" s="387">
        <f t="shared" si="914"/>
        <v>10320.654240000002</v>
      </c>
      <c r="BY1286" s="387">
        <f t="shared" si="915"/>
        <v>0</v>
      </c>
      <c r="BZ1286" s="387">
        <f t="shared" si="916"/>
        <v>0</v>
      </c>
      <c r="CA1286" s="387">
        <f t="shared" si="917"/>
        <v>0</v>
      </c>
      <c r="CB1286" s="387">
        <f t="shared" si="918"/>
        <v>0</v>
      </c>
      <c r="CC1286" s="387">
        <f t="shared" si="900"/>
        <v>0</v>
      </c>
      <c r="CD1286" s="387">
        <f t="shared" si="901"/>
        <v>0</v>
      </c>
      <c r="CE1286" s="387">
        <f t="shared" si="902"/>
        <v>0</v>
      </c>
      <c r="CF1286" s="387">
        <f t="shared" si="903"/>
        <v>-238.49279999999999</v>
      </c>
      <c r="CG1286" s="387">
        <f t="shared" si="904"/>
        <v>0</v>
      </c>
      <c r="CH1286" s="387">
        <f t="shared" si="905"/>
        <v>34.070399999999985</v>
      </c>
      <c r="CI1286" s="387">
        <f t="shared" si="906"/>
        <v>0</v>
      </c>
      <c r="CJ1286" s="387">
        <f t="shared" si="919"/>
        <v>-204.42240000000001</v>
      </c>
      <c r="CK1286" s="387" t="str">
        <f t="shared" si="920"/>
        <v/>
      </c>
      <c r="CL1286" s="387" t="str">
        <f t="shared" si="921"/>
        <v/>
      </c>
      <c r="CM1286" s="387" t="str">
        <f t="shared" si="922"/>
        <v/>
      </c>
      <c r="CN1286" s="387" t="str">
        <f t="shared" si="923"/>
        <v>0348-31</v>
      </c>
    </row>
    <row r="1287" spans="1:92" ht="15.75" thickBot="1" x14ac:dyDescent="0.3">
      <c r="A1287" s="376" t="s">
        <v>161</v>
      </c>
      <c r="B1287" s="376" t="s">
        <v>162</v>
      </c>
      <c r="C1287" s="376" t="s">
        <v>2559</v>
      </c>
      <c r="D1287" s="376" t="s">
        <v>891</v>
      </c>
      <c r="E1287" s="376" t="s">
        <v>224</v>
      </c>
      <c r="F1287" s="382" t="s">
        <v>225</v>
      </c>
      <c r="G1287" s="376" t="s">
        <v>1945</v>
      </c>
      <c r="H1287" s="378"/>
      <c r="I1287" s="378"/>
      <c r="J1287" s="376" t="s">
        <v>215</v>
      </c>
      <c r="K1287" s="376" t="s">
        <v>892</v>
      </c>
      <c r="L1287" s="376" t="s">
        <v>432</v>
      </c>
      <c r="M1287" s="376" t="s">
        <v>171</v>
      </c>
      <c r="N1287" s="376" t="s">
        <v>172</v>
      </c>
      <c r="O1287" s="379">
        <v>1</v>
      </c>
      <c r="P1287" s="385">
        <v>1</v>
      </c>
      <c r="Q1287" s="385">
        <v>1</v>
      </c>
      <c r="R1287" s="380">
        <v>80</v>
      </c>
      <c r="S1287" s="385">
        <v>1</v>
      </c>
      <c r="T1287" s="380">
        <v>68132.100000000006</v>
      </c>
      <c r="U1287" s="380">
        <v>130.04</v>
      </c>
      <c r="V1287" s="380">
        <v>25977.41</v>
      </c>
      <c r="W1287" s="380">
        <v>82867.199999999997</v>
      </c>
      <c r="X1287" s="380">
        <v>29570</v>
      </c>
      <c r="Y1287" s="380">
        <v>82867.199999999997</v>
      </c>
      <c r="Z1287" s="380">
        <v>29221.96</v>
      </c>
      <c r="AA1287" s="376" t="s">
        <v>2560</v>
      </c>
      <c r="AB1287" s="376" t="s">
        <v>315</v>
      </c>
      <c r="AC1287" s="376" t="s">
        <v>2561</v>
      </c>
      <c r="AD1287" s="376" t="s">
        <v>252</v>
      </c>
      <c r="AE1287" s="376" t="s">
        <v>892</v>
      </c>
      <c r="AF1287" s="376" t="s">
        <v>436</v>
      </c>
      <c r="AG1287" s="376" t="s">
        <v>178</v>
      </c>
      <c r="AH1287" s="381">
        <v>39.840000000000003</v>
      </c>
      <c r="AI1287" s="381">
        <v>28367.5</v>
      </c>
      <c r="AJ1287" s="376" t="s">
        <v>179</v>
      </c>
      <c r="AK1287" s="376" t="s">
        <v>180</v>
      </c>
      <c r="AL1287" s="376" t="s">
        <v>181</v>
      </c>
      <c r="AM1287" s="376" t="s">
        <v>182</v>
      </c>
      <c r="AN1287" s="376" t="s">
        <v>68</v>
      </c>
      <c r="AO1287" s="379">
        <v>80</v>
      </c>
      <c r="AP1287" s="385">
        <v>1</v>
      </c>
      <c r="AQ1287" s="385">
        <v>1</v>
      </c>
      <c r="AR1287" s="383" t="s">
        <v>183</v>
      </c>
      <c r="AS1287" s="387">
        <f t="shared" si="907"/>
        <v>1</v>
      </c>
      <c r="AT1287">
        <f t="shared" si="908"/>
        <v>1</v>
      </c>
      <c r="AU1287" s="387">
        <f>IF(AT1287=0,"",IF(AND(AT1287=1,M1287="F",SUMIF(C2:C1334,C1287,AS2:AS1334)&lt;=1),SUMIF(C2:C1334,C1287,AS2:AS1334),IF(AND(AT1287=1,M1287="F",SUMIF(C2:C1334,C1287,AS2:AS1334)&gt;1),1,"")))</f>
        <v>1</v>
      </c>
      <c r="AV1287" s="387" t="str">
        <f>IF(AT1287=0,"",IF(AND(AT1287=3,M1287="F",SUMIF(C2:C1334,C1287,AS2:AS1334)&lt;=1),SUMIF(C2:C1334,C1287,AS2:AS1334),IF(AND(AT1287=3,M1287="F",SUMIF(C2:C1334,C1287,AS2:AS1334)&gt;1),1,"")))</f>
        <v/>
      </c>
      <c r="AW1287" s="387">
        <f>SUMIF(C2:C1334,C1287,O2:O1334)</f>
        <v>1</v>
      </c>
      <c r="AX1287" s="387">
        <f>IF(AND(M1287="F",AS1287&lt;&gt;0),SUMIF(C2:C1334,C1287,W2:W1334),0)</f>
        <v>82867.199999999997</v>
      </c>
      <c r="AY1287" s="387">
        <f t="shared" si="909"/>
        <v>82867.199999999997</v>
      </c>
      <c r="AZ1287" s="387" t="str">
        <f t="shared" si="910"/>
        <v/>
      </c>
      <c r="BA1287" s="387">
        <f t="shared" si="911"/>
        <v>0</v>
      </c>
      <c r="BB1287" s="387">
        <f t="shared" si="880"/>
        <v>11650</v>
      </c>
      <c r="BC1287" s="387">
        <f t="shared" si="881"/>
        <v>0</v>
      </c>
      <c r="BD1287" s="387">
        <f t="shared" si="882"/>
        <v>5137.7663999999995</v>
      </c>
      <c r="BE1287" s="387">
        <f t="shared" si="883"/>
        <v>1201.5744</v>
      </c>
      <c r="BF1287" s="387">
        <f t="shared" si="884"/>
        <v>9894.3436799999999</v>
      </c>
      <c r="BG1287" s="387">
        <f t="shared" si="885"/>
        <v>597.47251200000005</v>
      </c>
      <c r="BH1287" s="387">
        <f t="shared" si="886"/>
        <v>406.04927999999995</v>
      </c>
      <c r="BI1287" s="387">
        <f t="shared" si="887"/>
        <v>458.66995199999997</v>
      </c>
      <c r="BJ1287" s="387">
        <f t="shared" si="888"/>
        <v>223.74144000000001</v>
      </c>
      <c r="BK1287" s="387">
        <f t="shared" si="889"/>
        <v>0</v>
      </c>
      <c r="BL1287" s="387">
        <f t="shared" si="912"/>
        <v>17919.617664000001</v>
      </c>
      <c r="BM1287" s="387">
        <f t="shared" si="913"/>
        <v>0</v>
      </c>
      <c r="BN1287" s="387">
        <f t="shared" si="890"/>
        <v>11650</v>
      </c>
      <c r="BO1287" s="387">
        <f t="shared" si="891"/>
        <v>0</v>
      </c>
      <c r="BP1287" s="387">
        <f t="shared" si="892"/>
        <v>5137.7663999999995</v>
      </c>
      <c r="BQ1287" s="387">
        <f t="shared" si="893"/>
        <v>1201.5744</v>
      </c>
      <c r="BR1287" s="387">
        <f t="shared" si="894"/>
        <v>9894.3436799999999</v>
      </c>
      <c r="BS1287" s="387">
        <f t="shared" si="895"/>
        <v>597.47251200000005</v>
      </c>
      <c r="BT1287" s="387">
        <f t="shared" si="896"/>
        <v>0</v>
      </c>
      <c r="BU1287" s="387">
        <f t="shared" si="897"/>
        <v>458.66995199999997</v>
      </c>
      <c r="BV1287" s="387">
        <f t="shared" si="898"/>
        <v>281.74847999999997</v>
      </c>
      <c r="BW1287" s="387">
        <f t="shared" si="899"/>
        <v>0</v>
      </c>
      <c r="BX1287" s="387">
        <f t="shared" si="914"/>
        <v>17571.575423999999</v>
      </c>
      <c r="BY1287" s="387">
        <f t="shared" si="915"/>
        <v>0</v>
      </c>
      <c r="BZ1287" s="387">
        <f t="shared" si="916"/>
        <v>0</v>
      </c>
      <c r="CA1287" s="387">
        <f t="shared" si="917"/>
        <v>0</v>
      </c>
      <c r="CB1287" s="387">
        <f t="shared" si="918"/>
        <v>0</v>
      </c>
      <c r="CC1287" s="387">
        <f t="shared" si="900"/>
        <v>0</v>
      </c>
      <c r="CD1287" s="387">
        <f t="shared" si="901"/>
        <v>0</v>
      </c>
      <c r="CE1287" s="387">
        <f t="shared" si="902"/>
        <v>0</v>
      </c>
      <c r="CF1287" s="387">
        <f t="shared" si="903"/>
        <v>-406.04927999999995</v>
      </c>
      <c r="CG1287" s="387">
        <f t="shared" si="904"/>
        <v>0</v>
      </c>
      <c r="CH1287" s="387">
        <f t="shared" si="905"/>
        <v>58.007039999999968</v>
      </c>
      <c r="CI1287" s="387">
        <f t="shared" si="906"/>
        <v>0</v>
      </c>
      <c r="CJ1287" s="387">
        <f t="shared" si="919"/>
        <v>-348.04223999999999</v>
      </c>
      <c r="CK1287" s="387" t="str">
        <f t="shared" si="920"/>
        <v/>
      </c>
      <c r="CL1287" s="387" t="str">
        <f t="shared" si="921"/>
        <v/>
      </c>
      <c r="CM1287" s="387" t="str">
        <f t="shared" si="922"/>
        <v/>
      </c>
      <c r="CN1287" s="387" t="str">
        <f t="shared" si="923"/>
        <v>0348-31</v>
      </c>
    </row>
    <row r="1288" spans="1:92" ht="15.75" thickBot="1" x14ac:dyDescent="0.3">
      <c r="A1288" s="376" t="s">
        <v>161</v>
      </c>
      <c r="B1288" s="376" t="s">
        <v>162</v>
      </c>
      <c r="C1288" s="376" t="s">
        <v>1901</v>
      </c>
      <c r="D1288" s="376" t="s">
        <v>274</v>
      </c>
      <c r="E1288" s="376" t="s">
        <v>224</v>
      </c>
      <c r="F1288" s="382" t="s">
        <v>225</v>
      </c>
      <c r="G1288" s="376" t="s">
        <v>1945</v>
      </c>
      <c r="H1288" s="378"/>
      <c r="I1288" s="378"/>
      <c r="J1288" s="376" t="s">
        <v>215</v>
      </c>
      <c r="K1288" s="376" t="s">
        <v>275</v>
      </c>
      <c r="L1288" s="376" t="s">
        <v>178</v>
      </c>
      <c r="M1288" s="376" t="s">
        <v>566</v>
      </c>
      <c r="N1288" s="376" t="s">
        <v>172</v>
      </c>
      <c r="O1288" s="379">
        <v>0</v>
      </c>
      <c r="P1288" s="385">
        <v>0</v>
      </c>
      <c r="Q1288" s="385">
        <v>0</v>
      </c>
      <c r="R1288" s="380">
        <v>80</v>
      </c>
      <c r="S1288" s="385">
        <v>0</v>
      </c>
      <c r="T1288" s="380">
        <v>560.63</v>
      </c>
      <c r="U1288" s="380">
        <v>0</v>
      </c>
      <c r="V1288" s="380">
        <v>337.46</v>
      </c>
      <c r="W1288" s="380">
        <v>0</v>
      </c>
      <c r="X1288" s="380">
        <v>0</v>
      </c>
      <c r="Y1288" s="380">
        <v>0</v>
      </c>
      <c r="Z1288" s="380">
        <v>0</v>
      </c>
      <c r="AA1288" s="378"/>
      <c r="AB1288" s="376" t="s">
        <v>45</v>
      </c>
      <c r="AC1288" s="376" t="s">
        <v>45</v>
      </c>
      <c r="AD1288" s="378"/>
      <c r="AE1288" s="378"/>
      <c r="AF1288" s="378"/>
      <c r="AG1288" s="378"/>
      <c r="AH1288" s="379">
        <v>0</v>
      </c>
      <c r="AI1288" s="379">
        <v>0</v>
      </c>
      <c r="AJ1288" s="378"/>
      <c r="AK1288" s="378"/>
      <c r="AL1288" s="376" t="s">
        <v>181</v>
      </c>
      <c r="AM1288" s="378"/>
      <c r="AN1288" s="378"/>
      <c r="AO1288" s="379">
        <v>0</v>
      </c>
      <c r="AP1288" s="385">
        <v>0</v>
      </c>
      <c r="AQ1288" s="385">
        <v>0</v>
      </c>
      <c r="AR1288" s="384"/>
      <c r="AS1288" s="387">
        <f t="shared" si="907"/>
        <v>0</v>
      </c>
      <c r="AT1288">
        <f t="shared" si="908"/>
        <v>0</v>
      </c>
      <c r="AU1288" s="387" t="str">
        <f>IF(AT1288=0,"",IF(AND(AT1288=1,M1288="F",SUMIF(C2:C1334,C1288,AS2:AS1334)&lt;=1),SUMIF(C2:C1334,C1288,AS2:AS1334),IF(AND(AT1288=1,M1288="F",SUMIF(C2:C1334,C1288,AS2:AS1334)&gt;1),1,"")))</f>
        <v/>
      </c>
      <c r="AV1288" s="387" t="str">
        <f>IF(AT1288=0,"",IF(AND(AT1288=3,M1288="F",SUMIF(C2:C1334,C1288,AS2:AS1334)&lt;=1),SUMIF(C2:C1334,C1288,AS2:AS1334),IF(AND(AT1288=3,M1288="F",SUMIF(C2:C1334,C1288,AS2:AS1334)&gt;1),1,"")))</f>
        <v/>
      </c>
      <c r="AW1288" s="387">
        <f>SUMIF(C2:C1334,C1288,O2:O1334)</f>
        <v>0</v>
      </c>
      <c r="AX1288" s="387">
        <f>IF(AND(M1288="F",AS1288&lt;&gt;0),SUMIF(C2:C1334,C1288,W2:W1334),0)</f>
        <v>0</v>
      </c>
      <c r="AY1288" s="387" t="str">
        <f t="shared" si="909"/>
        <v/>
      </c>
      <c r="AZ1288" s="387" t="str">
        <f t="shared" si="910"/>
        <v/>
      </c>
      <c r="BA1288" s="387">
        <f t="shared" si="911"/>
        <v>0</v>
      </c>
      <c r="BB1288" s="387">
        <f t="shared" si="880"/>
        <v>0</v>
      </c>
      <c r="BC1288" s="387">
        <f t="shared" si="881"/>
        <v>0</v>
      </c>
      <c r="BD1288" s="387">
        <f t="shared" si="882"/>
        <v>0</v>
      </c>
      <c r="BE1288" s="387">
        <f t="shared" si="883"/>
        <v>0</v>
      </c>
      <c r="BF1288" s="387">
        <f t="shared" si="884"/>
        <v>0</v>
      </c>
      <c r="BG1288" s="387">
        <f t="shared" si="885"/>
        <v>0</v>
      </c>
      <c r="BH1288" s="387">
        <f t="shared" si="886"/>
        <v>0</v>
      </c>
      <c r="BI1288" s="387">
        <f t="shared" si="887"/>
        <v>0</v>
      </c>
      <c r="BJ1288" s="387">
        <f t="shared" si="888"/>
        <v>0</v>
      </c>
      <c r="BK1288" s="387">
        <f t="shared" si="889"/>
        <v>0</v>
      </c>
      <c r="BL1288" s="387">
        <f t="shared" si="912"/>
        <v>0</v>
      </c>
      <c r="BM1288" s="387">
        <f t="shared" si="913"/>
        <v>0</v>
      </c>
      <c r="BN1288" s="387">
        <f t="shared" si="890"/>
        <v>0</v>
      </c>
      <c r="BO1288" s="387">
        <f t="shared" si="891"/>
        <v>0</v>
      </c>
      <c r="BP1288" s="387">
        <f t="shared" si="892"/>
        <v>0</v>
      </c>
      <c r="BQ1288" s="387">
        <f t="shared" si="893"/>
        <v>0</v>
      </c>
      <c r="BR1288" s="387">
        <f t="shared" si="894"/>
        <v>0</v>
      </c>
      <c r="BS1288" s="387">
        <f t="shared" si="895"/>
        <v>0</v>
      </c>
      <c r="BT1288" s="387">
        <f t="shared" si="896"/>
        <v>0</v>
      </c>
      <c r="BU1288" s="387">
        <f t="shared" si="897"/>
        <v>0</v>
      </c>
      <c r="BV1288" s="387">
        <f t="shared" si="898"/>
        <v>0</v>
      </c>
      <c r="BW1288" s="387">
        <f t="shared" si="899"/>
        <v>0</v>
      </c>
      <c r="BX1288" s="387">
        <f t="shared" si="914"/>
        <v>0</v>
      </c>
      <c r="BY1288" s="387">
        <f t="shared" si="915"/>
        <v>0</v>
      </c>
      <c r="BZ1288" s="387">
        <f t="shared" si="916"/>
        <v>0</v>
      </c>
      <c r="CA1288" s="387">
        <f t="shared" si="917"/>
        <v>0</v>
      </c>
      <c r="CB1288" s="387">
        <f t="shared" si="918"/>
        <v>0</v>
      </c>
      <c r="CC1288" s="387">
        <f t="shared" si="900"/>
        <v>0</v>
      </c>
      <c r="CD1288" s="387">
        <f t="shared" si="901"/>
        <v>0</v>
      </c>
      <c r="CE1288" s="387">
        <f t="shared" si="902"/>
        <v>0</v>
      </c>
      <c r="CF1288" s="387">
        <f t="shared" si="903"/>
        <v>0</v>
      </c>
      <c r="CG1288" s="387">
        <f t="shared" si="904"/>
        <v>0</v>
      </c>
      <c r="CH1288" s="387">
        <f t="shared" si="905"/>
        <v>0</v>
      </c>
      <c r="CI1288" s="387">
        <f t="shared" si="906"/>
        <v>0</v>
      </c>
      <c r="CJ1288" s="387">
        <f t="shared" si="919"/>
        <v>0</v>
      </c>
      <c r="CK1288" s="387" t="str">
        <f t="shared" si="920"/>
        <v/>
      </c>
      <c r="CL1288" s="387" t="str">
        <f t="shared" si="921"/>
        <v/>
      </c>
      <c r="CM1288" s="387" t="str">
        <f t="shared" si="922"/>
        <v/>
      </c>
      <c r="CN1288" s="387" t="str">
        <f t="shared" si="923"/>
        <v>0348-31</v>
      </c>
    </row>
    <row r="1289" spans="1:92" ht="15.75" thickBot="1" x14ac:dyDescent="0.3">
      <c r="A1289" s="376" t="s">
        <v>161</v>
      </c>
      <c r="B1289" s="376" t="s">
        <v>162</v>
      </c>
      <c r="C1289" s="376" t="s">
        <v>1536</v>
      </c>
      <c r="D1289" s="376" t="s">
        <v>862</v>
      </c>
      <c r="E1289" s="376" t="s">
        <v>224</v>
      </c>
      <c r="F1289" s="382" t="s">
        <v>225</v>
      </c>
      <c r="G1289" s="376" t="s">
        <v>1945</v>
      </c>
      <c r="H1289" s="378"/>
      <c r="I1289" s="378"/>
      <c r="J1289" s="376" t="s">
        <v>239</v>
      </c>
      <c r="K1289" s="376" t="s">
        <v>863</v>
      </c>
      <c r="L1289" s="376" t="s">
        <v>252</v>
      </c>
      <c r="M1289" s="376" t="s">
        <v>171</v>
      </c>
      <c r="N1289" s="376" t="s">
        <v>172</v>
      </c>
      <c r="O1289" s="379">
        <v>1</v>
      </c>
      <c r="P1289" s="385">
        <v>0.2</v>
      </c>
      <c r="Q1289" s="385">
        <v>0.2</v>
      </c>
      <c r="R1289" s="380">
        <v>80</v>
      </c>
      <c r="S1289" s="385">
        <v>0.2</v>
      </c>
      <c r="T1289" s="380">
        <v>7125.64</v>
      </c>
      <c r="U1289" s="380">
        <v>0</v>
      </c>
      <c r="V1289" s="380">
        <v>4085.97</v>
      </c>
      <c r="W1289" s="380">
        <v>7833.28</v>
      </c>
      <c r="X1289" s="380">
        <v>4023.93</v>
      </c>
      <c r="Y1289" s="380">
        <v>7833.28</v>
      </c>
      <c r="Z1289" s="380">
        <v>3991.04</v>
      </c>
      <c r="AA1289" s="376" t="s">
        <v>1537</v>
      </c>
      <c r="AB1289" s="376" t="s">
        <v>1538</v>
      </c>
      <c r="AC1289" s="376" t="s">
        <v>1539</v>
      </c>
      <c r="AD1289" s="376" t="s">
        <v>653</v>
      </c>
      <c r="AE1289" s="376" t="s">
        <v>863</v>
      </c>
      <c r="AF1289" s="376" t="s">
        <v>393</v>
      </c>
      <c r="AG1289" s="376" t="s">
        <v>178</v>
      </c>
      <c r="AH1289" s="381">
        <v>18.829999999999998</v>
      </c>
      <c r="AI1289" s="381">
        <v>2777.4</v>
      </c>
      <c r="AJ1289" s="376" t="s">
        <v>179</v>
      </c>
      <c r="AK1289" s="376" t="s">
        <v>180</v>
      </c>
      <c r="AL1289" s="376" t="s">
        <v>181</v>
      </c>
      <c r="AM1289" s="376" t="s">
        <v>182</v>
      </c>
      <c r="AN1289" s="376" t="s">
        <v>68</v>
      </c>
      <c r="AO1289" s="379">
        <v>80</v>
      </c>
      <c r="AP1289" s="385">
        <v>1</v>
      </c>
      <c r="AQ1289" s="385">
        <v>0.2</v>
      </c>
      <c r="AR1289" s="383" t="s">
        <v>183</v>
      </c>
      <c r="AS1289" s="387">
        <f t="shared" si="907"/>
        <v>0.2</v>
      </c>
      <c r="AT1289">
        <f t="shared" si="908"/>
        <v>1</v>
      </c>
      <c r="AU1289" s="387">
        <f>IF(AT1289=0,"",IF(AND(AT1289=1,M1289="F",SUMIF(C2:C1334,C1289,AS2:AS1334)&lt;=1),SUMIF(C2:C1334,C1289,AS2:AS1334),IF(AND(AT1289=1,M1289="F",SUMIF(C2:C1334,C1289,AS2:AS1334)&gt;1),1,"")))</f>
        <v>1</v>
      </c>
      <c r="AV1289" s="387" t="str">
        <f>IF(AT1289=0,"",IF(AND(AT1289=3,M1289="F",SUMIF(C2:C1334,C1289,AS2:AS1334)&lt;=1),SUMIF(C2:C1334,C1289,AS2:AS1334),IF(AND(AT1289=3,M1289="F",SUMIF(C2:C1334,C1289,AS2:AS1334)&gt;1),1,"")))</f>
        <v/>
      </c>
      <c r="AW1289" s="387">
        <f>SUMIF(C2:C1334,C1289,O2:O1334)</f>
        <v>3</v>
      </c>
      <c r="AX1289" s="387">
        <f>IF(AND(M1289="F",AS1289&lt;&gt;0),SUMIF(C2:C1334,C1289,W2:W1334),0)</f>
        <v>39166.400000000001</v>
      </c>
      <c r="AY1289" s="387">
        <f t="shared" si="909"/>
        <v>7833.28</v>
      </c>
      <c r="AZ1289" s="387" t="str">
        <f t="shared" si="910"/>
        <v/>
      </c>
      <c r="BA1289" s="387">
        <f t="shared" si="911"/>
        <v>0</v>
      </c>
      <c r="BB1289" s="387">
        <f t="shared" si="880"/>
        <v>2330</v>
      </c>
      <c r="BC1289" s="387">
        <f t="shared" si="881"/>
        <v>0</v>
      </c>
      <c r="BD1289" s="387">
        <f t="shared" si="882"/>
        <v>485.66335999999995</v>
      </c>
      <c r="BE1289" s="387">
        <f t="shared" si="883"/>
        <v>113.58256</v>
      </c>
      <c r="BF1289" s="387">
        <f t="shared" si="884"/>
        <v>935.293632</v>
      </c>
      <c r="BG1289" s="387">
        <f t="shared" si="885"/>
        <v>56.4779488</v>
      </c>
      <c r="BH1289" s="387">
        <f t="shared" si="886"/>
        <v>38.383071999999999</v>
      </c>
      <c r="BI1289" s="387">
        <f t="shared" si="887"/>
        <v>43.357204799999998</v>
      </c>
      <c r="BJ1289" s="387">
        <f t="shared" si="888"/>
        <v>21.149856</v>
      </c>
      <c r="BK1289" s="387">
        <f t="shared" si="889"/>
        <v>0</v>
      </c>
      <c r="BL1289" s="387">
        <f t="shared" si="912"/>
        <v>1693.9076336000001</v>
      </c>
      <c r="BM1289" s="387">
        <f t="shared" si="913"/>
        <v>0</v>
      </c>
      <c r="BN1289" s="387">
        <f t="shared" si="890"/>
        <v>2330</v>
      </c>
      <c r="BO1289" s="387">
        <f t="shared" si="891"/>
        <v>0</v>
      </c>
      <c r="BP1289" s="387">
        <f t="shared" si="892"/>
        <v>485.66335999999995</v>
      </c>
      <c r="BQ1289" s="387">
        <f t="shared" si="893"/>
        <v>113.58256</v>
      </c>
      <c r="BR1289" s="387">
        <f t="shared" si="894"/>
        <v>935.293632</v>
      </c>
      <c r="BS1289" s="387">
        <f t="shared" si="895"/>
        <v>56.4779488</v>
      </c>
      <c r="BT1289" s="387">
        <f t="shared" si="896"/>
        <v>0</v>
      </c>
      <c r="BU1289" s="387">
        <f t="shared" si="897"/>
        <v>43.357204799999998</v>
      </c>
      <c r="BV1289" s="387">
        <f t="shared" si="898"/>
        <v>26.633151999999999</v>
      </c>
      <c r="BW1289" s="387">
        <f t="shared" si="899"/>
        <v>0</v>
      </c>
      <c r="BX1289" s="387">
        <f t="shared" si="914"/>
        <v>1661.0078576000001</v>
      </c>
      <c r="BY1289" s="387">
        <f t="shared" si="915"/>
        <v>0</v>
      </c>
      <c r="BZ1289" s="387">
        <f t="shared" si="916"/>
        <v>0</v>
      </c>
      <c r="CA1289" s="387">
        <f t="shared" si="917"/>
        <v>0</v>
      </c>
      <c r="CB1289" s="387">
        <f t="shared" si="918"/>
        <v>0</v>
      </c>
      <c r="CC1289" s="387">
        <f t="shared" si="900"/>
        <v>0</v>
      </c>
      <c r="CD1289" s="387">
        <f t="shared" si="901"/>
        <v>0</v>
      </c>
      <c r="CE1289" s="387">
        <f t="shared" si="902"/>
        <v>0</v>
      </c>
      <c r="CF1289" s="387">
        <f t="shared" si="903"/>
        <v>-38.383071999999999</v>
      </c>
      <c r="CG1289" s="387">
        <f t="shared" si="904"/>
        <v>0</v>
      </c>
      <c r="CH1289" s="387">
        <f t="shared" si="905"/>
        <v>5.4832959999999975</v>
      </c>
      <c r="CI1289" s="387">
        <f t="shared" si="906"/>
        <v>0</v>
      </c>
      <c r="CJ1289" s="387">
        <f t="shared" si="919"/>
        <v>-32.899776000000003</v>
      </c>
      <c r="CK1289" s="387" t="str">
        <f t="shared" si="920"/>
        <v/>
      </c>
      <c r="CL1289" s="387" t="str">
        <f t="shared" si="921"/>
        <v/>
      </c>
      <c r="CM1289" s="387" t="str">
        <f t="shared" si="922"/>
        <v/>
      </c>
      <c r="CN1289" s="387" t="str">
        <f t="shared" si="923"/>
        <v>0348-31</v>
      </c>
    </row>
    <row r="1290" spans="1:92" ht="15.75" thickBot="1" x14ac:dyDescent="0.3">
      <c r="A1290" s="376" t="s">
        <v>161</v>
      </c>
      <c r="B1290" s="376" t="s">
        <v>162</v>
      </c>
      <c r="C1290" s="376" t="s">
        <v>1589</v>
      </c>
      <c r="D1290" s="376" t="s">
        <v>862</v>
      </c>
      <c r="E1290" s="376" t="s">
        <v>224</v>
      </c>
      <c r="F1290" s="382" t="s">
        <v>225</v>
      </c>
      <c r="G1290" s="376" t="s">
        <v>1945</v>
      </c>
      <c r="H1290" s="378"/>
      <c r="I1290" s="378"/>
      <c r="J1290" s="376" t="s">
        <v>239</v>
      </c>
      <c r="K1290" s="376" t="s">
        <v>863</v>
      </c>
      <c r="L1290" s="376" t="s">
        <v>252</v>
      </c>
      <c r="M1290" s="376" t="s">
        <v>171</v>
      </c>
      <c r="N1290" s="376" t="s">
        <v>172</v>
      </c>
      <c r="O1290" s="379">
        <v>1</v>
      </c>
      <c r="P1290" s="385">
        <v>0.4</v>
      </c>
      <c r="Q1290" s="385">
        <v>0.4</v>
      </c>
      <c r="R1290" s="380">
        <v>80</v>
      </c>
      <c r="S1290" s="385">
        <v>0.4</v>
      </c>
      <c r="T1290" s="380">
        <v>6649.93</v>
      </c>
      <c r="U1290" s="380">
        <v>54.27</v>
      </c>
      <c r="V1290" s="380">
        <v>3604.22</v>
      </c>
      <c r="W1290" s="380">
        <v>15841.28</v>
      </c>
      <c r="X1290" s="380">
        <v>8085.66</v>
      </c>
      <c r="Y1290" s="380">
        <v>15841.28</v>
      </c>
      <c r="Z1290" s="380">
        <v>8019.13</v>
      </c>
      <c r="AA1290" s="376" t="s">
        <v>1590</v>
      </c>
      <c r="AB1290" s="376" t="s">
        <v>1591</v>
      </c>
      <c r="AC1290" s="376" t="s">
        <v>176</v>
      </c>
      <c r="AD1290" s="376" t="s">
        <v>623</v>
      </c>
      <c r="AE1290" s="376" t="s">
        <v>863</v>
      </c>
      <c r="AF1290" s="376" t="s">
        <v>393</v>
      </c>
      <c r="AG1290" s="376" t="s">
        <v>178</v>
      </c>
      <c r="AH1290" s="381">
        <v>19.04</v>
      </c>
      <c r="AI1290" s="381">
        <v>4426.3999999999996</v>
      </c>
      <c r="AJ1290" s="376" t="s">
        <v>179</v>
      </c>
      <c r="AK1290" s="376" t="s">
        <v>180</v>
      </c>
      <c r="AL1290" s="376" t="s">
        <v>181</v>
      </c>
      <c r="AM1290" s="376" t="s">
        <v>182</v>
      </c>
      <c r="AN1290" s="376" t="s">
        <v>68</v>
      </c>
      <c r="AO1290" s="379">
        <v>80</v>
      </c>
      <c r="AP1290" s="385">
        <v>1</v>
      </c>
      <c r="AQ1290" s="385">
        <v>0.4</v>
      </c>
      <c r="AR1290" s="383" t="s">
        <v>183</v>
      </c>
      <c r="AS1290" s="387">
        <f t="shared" si="907"/>
        <v>0.4</v>
      </c>
      <c r="AT1290">
        <f t="shared" si="908"/>
        <v>1</v>
      </c>
      <c r="AU1290" s="387">
        <f>IF(AT1290=0,"",IF(AND(AT1290=1,M1290="F",SUMIF(C2:C1334,C1290,AS2:AS1334)&lt;=1),SUMIF(C2:C1334,C1290,AS2:AS1334),IF(AND(AT1290=1,M1290="F",SUMIF(C2:C1334,C1290,AS2:AS1334)&gt;1),1,"")))</f>
        <v>1</v>
      </c>
      <c r="AV1290" s="387" t="str">
        <f>IF(AT1290=0,"",IF(AND(AT1290=3,M1290="F",SUMIF(C2:C1334,C1290,AS2:AS1334)&lt;=1),SUMIF(C2:C1334,C1290,AS2:AS1334),IF(AND(AT1290=3,M1290="F",SUMIF(C2:C1334,C1290,AS2:AS1334)&gt;1),1,"")))</f>
        <v/>
      </c>
      <c r="AW1290" s="387">
        <f>SUMIF(C2:C1334,C1290,O2:O1334)</f>
        <v>2</v>
      </c>
      <c r="AX1290" s="387">
        <f>IF(AND(M1290="F",AS1290&lt;&gt;0),SUMIF(C2:C1334,C1290,W2:W1334),0)</f>
        <v>39603.199999999997</v>
      </c>
      <c r="AY1290" s="387">
        <f t="shared" si="909"/>
        <v>15841.28</v>
      </c>
      <c r="AZ1290" s="387" t="str">
        <f t="shared" si="910"/>
        <v/>
      </c>
      <c r="BA1290" s="387">
        <f t="shared" si="911"/>
        <v>0</v>
      </c>
      <c r="BB1290" s="387">
        <f t="shared" si="880"/>
        <v>4660</v>
      </c>
      <c r="BC1290" s="387">
        <f t="shared" si="881"/>
        <v>0</v>
      </c>
      <c r="BD1290" s="387">
        <f t="shared" si="882"/>
        <v>982.15935999999999</v>
      </c>
      <c r="BE1290" s="387">
        <f t="shared" si="883"/>
        <v>229.69856000000001</v>
      </c>
      <c r="BF1290" s="387">
        <f t="shared" si="884"/>
        <v>1891.4488320000003</v>
      </c>
      <c r="BG1290" s="387">
        <f t="shared" si="885"/>
        <v>114.2156288</v>
      </c>
      <c r="BH1290" s="387">
        <f t="shared" si="886"/>
        <v>77.622271999999995</v>
      </c>
      <c r="BI1290" s="387">
        <f t="shared" si="887"/>
        <v>87.681484800000007</v>
      </c>
      <c r="BJ1290" s="387">
        <f t="shared" si="888"/>
        <v>42.771456000000001</v>
      </c>
      <c r="BK1290" s="387">
        <f t="shared" si="889"/>
        <v>0</v>
      </c>
      <c r="BL1290" s="387">
        <f t="shared" si="912"/>
        <v>3425.5975936000004</v>
      </c>
      <c r="BM1290" s="387">
        <f t="shared" si="913"/>
        <v>0</v>
      </c>
      <c r="BN1290" s="387">
        <f t="shared" si="890"/>
        <v>4660</v>
      </c>
      <c r="BO1290" s="387">
        <f t="shared" si="891"/>
        <v>0</v>
      </c>
      <c r="BP1290" s="387">
        <f t="shared" si="892"/>
        <v>982.15935999999999</v>
      </c>
      <c r="BQ1290" s="387">
        <f t="shared" si="893"/>
        <v>229.69856000000001</v>
      </c>
      <c r="BR1290" s="387">
        <f t="shared" si="894"/>
        <v>1891.4488320000003</v>
      </c>
      <c r="BS1290" s="387">
        <f t="shared" si="895"/>
        <v>114.2156288</v>
      </c>
      <c r="BT1290" s="387">
        <f t="shared" si="896"/>
        <v>0</v>
      </c>
      <c r="BU1290" s="387">
        <f t="shared" si="897"/>
        <v>87.681484800000007</v>
      </c>
      <c r="BV1290" s="387">
        <f t="shared" si="898"/>
        <v>53.860351999999999</v>
      </c>
      <c r="BW1290" s="387">
        <f t="shared" si="899"/>
        <v>0</v>
      </c>
      <c r="BX1290" s="387">
        <f t="shared" si="914"/>
        <v>3359.0642176000006</v>
      </c>
      <c r="BY1290" s="387">
        <f t="shared" si="915"/>
        <v>0</v>
      </c>
      <c r="BZ1290" s="387">
        <f t="shared" si="916"/>
        <v>0</v>
      </c>
      <c r="CA1290" s="387">
        <f t="shared" si="917"/>
        <v>0</v>
      </c>
      <c r="CB1290" s="387">
        <f t="shared" si="918"/>
        <v>0</v>
      </c>
      <c r="CC1290" s="387">
        <f t="shared" si="900"/>
        <v>0</v>
      </c>
      <c r="CD1290" s="387">
        <f t="shared" si="901"/>
        <v>0</v>
      </c>
      <c r="CE1290" s="387">
        <f t="shared" si="902"/>
        <v>0</v>
      </c>
      <c r="CF1290" s="387">
        <f t="shared" si="903"/>
        <v>-77.622271999999995</v>
      </c>
      <c r="CG1290" s="387">
        <f t="shared" si="904"/>
        <v>0</v>
      </c>
      <c r="CH1290" s="387">
        <f t="shared" si="905"/>
        <v>11.088895999999995</v>
      </c>
      <c r="CI1290" s="387">
        <f t="shared" si="906"/>
        <v>0</v>
      </c>
      <c r="CJ1290" s="387">
        <f t="shared" si="919"/>
        <v>-66.533376000000004</v>
      </c>
      <c r="CK1290" s="387" t="str">
        <f t="shared" si="920"/>
        <v/>
      </c>
      <c r="CL1290" s="387" t="str">
        <f t="shared" si="921"/>
        <v/>
      </c>
      <c r="CM1290" s="387" t="str">
        <f t="shared" si="922"/>
        <v/>
      </c>
      <c r="CN1290" s="387" t="str">
        <f t="shared" si="923"/>
        <v>0348-31</v>
      </c>
    </row>
    <row r="1291" spans="1:92" ht="15.75" thickBot="1" x14ac:dyDescent="0.3">
      <c r="A1291" s="376" t="s">
        <v>161</v>
      </c>
      <c r="B1291" s="376" t="s">
        <v>162</v>
      </c>
      <c r="C1291" s="376" t="s">
        <v>1103</v>
      </c>
      <c r="D1291" s="376" t="s">
        <v>862</v>
      </c>
      <c r="E1291" s="376" t="s">
        <v>224</v>
      </c>
      <c r="F1291" s="382" t="s">
        <v>225</v>
      </c>
      <c r="G1291" s="376" t="s">
        <v>1945</v>
      </c>
      <c r="H1291" s="378"/>
      <c r="I1291" s="378"/>
      <c r="J1291" s="376" t="s">
        <v>239</v>
      </c>
      <c r="K1291" s="376" t="s">
        <v>863</v>
      </c>
      <c r="L1291" s="376" t="s">
        <v>252</v>
      </c>
      <c r="M1291" s="376" t="s">
        <v>171</v>
      </c>
      <c r="N1291" s="376" t="s">
        <v>172</v>
      </c>
      <c r="O1291" s="379">
        <v>1</v>
      </c>
      <c r="P1291" s="385">
        <v>0.3</v>
      </c>
      <c r="Q1291" s="385">
        <v>0.3</v>
      </c>
      <c r="R1291" s="380">
        <v>80</v>
      </c>
      <c r="S1291" s="385">
        <v>0.3</v>
      </c>
      <c r="T1291" s="380">
        <v>8311.01</v>
      </c>
      <c r="U1291" s="380">
        <v>0</v>
      </c>
      <c r="V1291" s="380">
        <v>4729.1899999999996</v>
      </c>
      <c r="W1291" s="380">
        <v>11544</v>
      </c>
      <c r="X1291" s="380">
        <v>5991.38</v>
      </c>
      <c r="Y1291" s="380">
        <v>11544</v>
      </c>
      <c r="Z1291" s="380">
        <v>5942.9</v>
      </c>
      <c r="AA1291" s="376" t="s">
        <v>1104</v>
      </c>
      <c r="AB1291" s="376" t="s">
        <v>1105</v>
      </c>
      <c r="AC1291" s="376" t="s">
        <v>1106</v>
      </c>
      <c r="AD1291" s="376" t="s">
        <v>820</v>
      </c>
      <c r="AE1291" s="376" t="s">
        <v>863</v>
      </c>
      <c r="AF1291" s="376" t="s">
        <v>393</v>
      </c>
      <c r="AG1291" s="376" t="s">
        <v>178</v>
      </c>
      <c r="AH1291" s="381">
        <v>18.5</v>
      </c>
      <c r="AI1291" s="379">
        <v>1200</v>
      </c>
      <c r="AJ1291" s="376" t="s">
        <v>179</v>
      </c>
      <c r="AK1291" s="376" t="s">
        <v>180</v>
      </c>
      <c r="AL1291" s="376" t="s">
        <v>181</v>
      </c>
      <c r="AM1291" s="376" t="s">
        <v>182</v>
      </c>
      <c r="AN1291" s="376" t="s">
        <v>68</v>
      </c>
      <c r="AO1291" s="379">
        <v>80</v>
      </c>
      <c r="AP1291" s="385">
        <v>1</v>
      </c>
      <c r="AQ1291" s="385">
        <v>0.3</v>
      </c>
      <c r="AR1291" s="383" t="s">
        <v>183</v>
      </c>
      <c r="AS1291" s="387">
        <f t="shared" si="907"/>
        <v>0.3</v>
      </c>
      <c r="AT1291">
        <f t="shared" si="908"/>
        <v>1</v>
      </c>
      <c r="AU1291" s="387">
        <f>IF(AT1291=0,"",IF(AND(AT1291=1,M1291="F",SUMIF(C2:C1334,C1291,AS2:AS1334)&lt;=1),SUMIF(C2:C1334,C1291,AS2:AS1334),IF(AND(AT1291=1,M1291="F",SUMIF(C2:C1334,C1291,AS2:AS1334)&gt;1),1,"")))</f>
        <v>1</v>
      </c>
      <c r="AV1291" s="387" t="str">
        <f>IF(AT1291=0,"",IF(AND(AT1291=3,M1291="F",SUMIF(C2:C1334,C1291,AS2:AS1334)&lt;=1),SUMIF(C2:C1334,C1291,AS2:AS1334),IF(AND(AT1291=3,M1291="F",SUMIF(C2:C1334,C1291,AS2:AS1334)&gt;1),1,"")))</f>
        <v/>
      </c>
      <c r="AW1291" s="387">
        <f>SUMIF(C2:C1334,C1291,O2:O1334)</f>
        <v>3</v>
      </c>
      <c r="AX1291" s="387">
        <f>IF(AND(M1291="F",AS1291&lt;&gt;0),SUMIF(C2:C1334,C1291,W2:W1334),0)</f>
        <v>38480</v>
      </c>
      <c r="AY1291" s="387">
        <f t="shared" si="909"/>
        <v>11544</v>
      </c>
      <c r="AZ1291" s="387" t="str">
        <f t="shared" si="910"/>
        <v/>
      </c>
      <c r="BA1291" s="387">
        <f t="shared" si="911"/>
        <v>0</v>
      </c>
      <c r="BB1291" s="387">
        <f t="shared" si="880"/>
        <v>3495</v>
      </c>
      <c r="BC1291" s="387">
        <f t="shared" si="881"/>
        <v>0</v>
      </c>
      <c r="BD1291" s="387">
        <f t="shared" si="882"/>
        <v>715.72799999999995</v>
      </c>
      <c r="BE1291" s="387">
        <f t="shared" si="883"/>
        <v>167.38800000000001</v>
      </c>
      <c r="BF1291" s="387">
        <f t="shared" si="884"/>
        <v>1378.3536000000001</v>
      </c>
      <c r="BG1291" s="387">
        <f t="shared" si="885"/>
        <v>83.232240000000004</v>
      </c>
      <c r="BH1291" s="387">
        <f t="shared" si="886"/>
        <v>56.565599999999996</v>
      </c>
      <c r="BI1291" s="387">
        <f t="shared" si="887"/>
        <v>63.896039999999999</v>
      </c>
      <c r="BJ1291" s="387">
        <f t="shared" si="888"/>
        <v>31.168800000000001</v>
      </c>
      <c r="BK1291" s="387">
        <f t="shared" si="889"/>
        <v>0</v>
      </c>
      <c r="BL1291" s="387">
        <f t="shared" si="912"/>
        <v>2496.3322800000001</v>
      </c>
      <c r="BM1291" s="387">
        <f t="shared" si="913"/>
        <v>0</v>
      </c>
      <c r="BN1291" s="387">
        <f t="shared" si="890"/>
        <v>3495</v>
      </c>
      <c r="BO1291" s="387">
        <f t="shared" si="891"/>
        <v>0</v>
      </c>
      <c r="BP1291" s="387">
        <f t="shared" si="892"/>
        <v>715.72799999999995</v>
      </c>
      <c r="BQ1291" s="387">
        <f t="shared" si="893"/>
        <v>167.38800000000001</v>
      </c>
      <c r="BR1291" s="387">
        <f t="shared" si="894"/>
        <v>1378.3536000000001</v>
      </c>
      <c r="BS1291" s="387">
        <f t="shared" si="895"/>
        <v>83.232240000000004</v>
      </c>
      <c r="BT1291" s="387">
        <f t="shared" si="896"/>
        <v>0</v>
      </c>
      <c r="BU1291" s="387">
        <f t="shared" si="897"/>
        <v>63.896039999999999</v>
      </c>
      <c r="BV1291" s="387">
        <f t="shared" si="898"/>
        <v>39.249600000000001</v>
      </c>
      <c r="BW1291" s="387">
        <f t="shared" si="899"/>
        <v>0</v>
      </c>
      <c r="BX1291" s="387">
        <f t="shared" si="914"/>
        <v>2447.8474800000004</v>
      </c>
      <c r="BY1291" s="387">
        <f t="shared" si="915"/>
        <v>0</v>
      </c>
      <c r="BZ1291" s="387">
        <f t="shared" si="916"/>
        <v>0</v>
      </c>
      <c r="CA1291" s="387">
        <f t="shared" si="917"/>
        <v>0</v>
      </c>
      <c r="CB1291" s="387">
        <f t="shared" si="918"/>
        <v>0</v>
      </c>
      <c r="CC1291" s="387">
        <f t="shared" si="900"/>
        <v>0</v>
      </c>
      <c r="CD1291" s="387">
        <f t="shared" si="901"/>
        <v>0</v>
      </c>
      <c r="CE1291" s="387">
        <f t="shared" si="902"/>
        <v>0</v>
      </c>
      <c r="CF1291" s="387">
        <f t="shared" si="903"/>
        <v>-56.565599999999996</v>
      </c>
      <c r="CG1291" s="387">
        <f t="shared" si="904"/>
        <v>0</v>
      </c>
      <c r="CH1291" s="387">
        <f t="shared" si="905"/>
        <v>8.0807999999999964</v>
      </c>
      <c r="CI1291" s="387">
        <f t="shared" si="906"/>
        <v>0</v>
      </c>
      <c r="CJ1291" s="387">
        <f t="shared" si="919"/>
        <v>-48.4848</v>
      </c>
      <c r="CK1291" s="387" t="str">
        <f t="shared" si="920"/>
        <v/>
      </c>
      <c r="CL1291" s="387" t="str">
        <f t="shared" si="921"/>
        <v/>
      </c>
      <c r="CM1291" s="387" t="str">
        <f t="shared" si="922"/>
        <v/>
      </c>
      <c r="CN1291" s="387" t="str">
        <f t="shared" si="923"/>
        <v>0348-31</v>
      </c>
    </row>
    <row r="1292" spans="1:92" ht="15.75" thickBot="1" x14ac:dyDescent="0.3">
      <c r="A1292" s="376" t="s">
        <v>161</v>
      </c>
      <c r="B1292" s="376" t="s">
        <v>162</v>
      </c>
      <c r="C1292" s="376" t="s">
        <v>1772</v>
      </c>
      <c r="D1292" s="376" t="s">
        <v>247</v>
      </c>
      <c r="E1292" s="376" t="s">
        <v>224</v>
      </c>
      <c r="F1292" s="382" t="s">
        <v>225</v>
      </c>
      <c r="G1292" s="376" t="s">
        <v>1945</v>
      </c>
      <c r="H1292" s="378"/>
      <c r="I1292" s="378"/>
      <c r="J1292" s="376" t="s">
        <v>215</v>
      </c>
      <c r="K1292" s="376" t="s">
        <v>248</v>
      </c>
      <c r="L1292" s="376" t="s">
        <v>178</v>
      </c>
      <c r="M1292" s="376" t="s">
        <v>171</v>
      </c>
      <c r="N1292" s="376" t="s">
        <v>172</v>
      </c>
      <c r="O1292" s="379">
        <v>1</v>
      </c>
      <c r="P1292" s="385">
        <v>1</v>
      </c>
      <c r="Q1292" s="385">
        <v>1</v>
      </c>
      <c r="R1292" s="380">
        <v>80</v>
      </c>
      <c r="S1292" s="385">
        <v>1</v>
      </c>
      <c r="T1292" s="380">
        <v>0</v>
      </c>
      <c r="U1292" s="380">
        <v>0</v>
      </c>
      <c r="V1292" s="380">
        <v>0</v>
      </c>
      <c r="W1292" s="380">
        <v>31720</v>
      </c>
      <c r="X1292" s="380">
        <v>18509.419999999998</v>
      </c>
      <c r="Y1292" s="380">
        <v>31720</v>
      </c>
      <c r="Z1292" s="380">
        <v>18376.2</v>
      </c>
      <c r="AA1292" s="376" t="s">
        <v>1773</v>
      </c>
      <c r="AB1292" s="376" t="s">
        <v>1774</v>
      </c>
      <c r="AC1292" s="376" t="s">
        <v>1775</v>
      </c>
      <c r="AD1292" s="376" t="s">
        <v>296</v>
      </c>
      <c r="AE1292" s="376" t="s">
        <v>248</v>
      </c>
      <c r="AF1292" s="376" t="s">
        <v>253</v>
      </c>
      <c r="AG1292" s="376" t="s">
        <v>178</v>
      </c>
      <c r="AH1292" s="381">
        <v>15.25</v>
      </c>
      <c r="AI1292" s="379">
        <v>40</v>
      </c>
      <c r="AJ1292" s="376" t="s">
        <v>179</v>
      </c>
      <c r="AK1292" s="376" t="s">
        <v>180</v>
      </c>
      <c r="AL1292" s="376" t="s">
        <v>181</v>
      </c>
      <c r="AM1292" s="376" t="s">
        <v>182</v>
      </c>
      <c r="AN1292" s="376" t="s">
        <v>68</v>
      </c>
      <c r="AO1292" s="379">
        <v>80</v>
      </c>
      <c r="AP1292" s="385">
        <v>1</v>
      </c>
      <c r="AQ1292" s="385">
        <v>1</v>
      </c>
      <c r="AR1292" s="383" t="s">
        <v>183</v>
      </c>
      <c r="AS1292" s="387">
        <f t="shared" si="907"/>
        <v>1</v>
      </c>
      <c r="AT1292">
        <f t="shared" si="908"/>
        <v>1</v>
      </c>
      <c r="AU1292" s="387">
        <f>IF(AT1292=0,"",IF(AND(AT1292=1,M1292="F",SUMIF(C2:C1334,C1292,AS2:AS1334)&lt;=1),SUMIF(C2:C1334,C1292,AS2:AS1334),IF(AND(AT1292=1,M1292="F",SUMIF(C2:C1334,C1292,AS2:AS1334)&gt;1),1,"")))</f>
        <v>1</v>
      </c>
      <c r="AV1292" s="387" t="str">
        <f>IF(AT1292=0,"",IF(AND(AT1292=3,M1292="F",SUMIF(C2:C1334,C1292,AS2:AS1334)&lt;=1),SUMIF(C2:C1334,C1292,AS2:AS1334),IF(AND(AT1292=3,M1292="F",SUMIF(C2:C1334,C1292,AS2:AS1334)&gt;1),1,"")))</f>
        <v/>
      </c>
      <c r="AW1292" s="387">
        <f>SUMIF(C2:C1334,C1292,O2:O1334)</f>
        <v>2</v>
      </c>
      <c r="AX1292" s="387">
        <f>IF(AND(M1292="F",AS1292&lt;&gt;0),SUMIF(C2:C1334,C1292,W2:W1334),0)</f>
        <v>31720</v>
      </c>
      <c r="AY1292" s="387">
        <f t="shared" si="909"/>
        <v>31720</v>
      </c>
      <c r="AZ1292" s="387" t="str">
        <f t="shared" si="910"/>
        <v/>
      </c>
      <c r="BA1292" s="387">
        <f t="shared" si="911"/>
        <v>0</v>
      </c>
      <c r="BB1292" s="387">
        <f t="shared" si="880"/>
        <v>11650</v>
      </c>
      <c r="BC1292" s="387">
        <f t="shared" si="881"/>
        <v>0</v>
      </c>
      <c r="BD1292" s="387">
        <f t="shared" si="882"/>
        <v>1966.6399999999999</v>
      </c>
      <c r="BE1292" s="387">
        <f t="shared" si="883"/>
        <v>459.94</v>
      </c>
      <c r="BF1292" s="387">
        <f t="shared" si="884"/>
        <v>3787.3680000000004</v>
      </c>
      <c r="BG1292" s="387">
        <f t="shared" si="885"/>
        <v>228.7012</v>
      </c>
      <c r="BH1292" s="387">
        <f t="shared" si="886"/>
        <v>155.428</v>
      </c>
      <c r="BI1292" s="387">
        <f t="shared" si="887"/>
        <v>175.5702</v>
      </c>
      <c r="BJ1292" s="387">
        <f t="shared" si="888"/>
        <v>85.644000000000005</v>
      </c>
      <c r="BK1292" s="387">
        <f t="shared" si="889"/>
        <v>0</v>
      </c>
      <c r="BL1292" s="387">
        <f t="shared" si="912"/>
        <v>6859.291400000001</v>
      </c>
      <c r="BM1292" s="387">
        <f t="shared" si="913"/>
        <v>0</v>
      </c>
      <c r="BN1292" s="387">
        <f t="shared" si="890"/>
        <v>11650</v>
      </c>
      <c r="BO1292" s="387">
        <f t="shared" si="891"/>
        <v>0</v>
      </c>
      <c r="BP1292" s="387">
        <f t="shared" si="892"/>
        <v>1966.6399999999999</v>
      </c>
      <c r="BQ1292" s="387">
        <f t="shared" si="893"/>
        <v>459.94</v>
      </c>
      <c r="BR1292" s="387">
        <f t="shared" si="894"/>
        <v>3787.3680000000004</v>
      </c>
      <c r="BS1292" s="387">
        <f t="shared" si="895"/>
        <v>228.7012</v>
      </c>
      <c r="BT1292" s="387">
        <f t="shared" si="896"/>
        <v>0</v>
      </c>
      <c r="BU1292" s="387">
        <f t="shared" si="897"/>
        <v>175.5702</v>
      </c>
      <c r="BV1292" s="387">
        <f t="shared" si="898"/>
        <v>107.848</v>
      </c>
      <c r="BW1292" s="387">
        <f t="shared" si="899"/>
        <v>0</v>
      </c>
      <c r="BX1292" s="387">
        <f t="shared" si="914"/>
        <v>6726.0674000000008</v>
      </c>
      <c r="BY1292" s="387">
        <f t="shared" si="915"/>
        <v>0</v>
      </c>
      <c r="BZ1292" s="387">
        <f t="shared" si="916"/>
        <v>0</v>
      </c>
      <c r="CA1292" s="387">
        <f t="shared" si="917"/>
        <v>0</v>
      </c>
      <c r="CB1292" s="387">
        <f t="shared" si="918"/>
        <v>0</v>
      </c>
      <c r="CC1292" s="387">
        <f t="shared" si="900"/>
        <v>0</v>
      </c>
      <c r="CD1292" s="387">
        <f t="shared" si="901"/>
        <v>0</v>
      </c>
      <c r="CE1292" s="387">
        <f t="shared" si="902"/>
        <v>0</v>
      </c>
      <c r="CF1292" s="387">
        <f t="shared" si="903"/>
        <v>-155.428</v>
      </c>
      <c r="CG1292" s="387">
        <f t="shared" si="904"/>
        <v>0</v>
      </c>
      <c r="CH1292" s="387">
        <f t="shared" si="905"/>
        <v>22.20399999999999</v>
      </c>
      <c r="CI1292" s="387">
        <f t="shared" si="906"/>
        <v>0</v>
      </c>
      <c r="CJ1292" s="387">
        <f t="shared" si="919"/>
        <v>-133.22400000000002</v>
      </c>
      <c r="CK1292" s="387" t="str">
        <f t="shared" si="920"/>
        <v/>
      </c>
      <c r="CL1292" s="387" t="str">
        <f t="shared" si="921"/>
        <v/>
      </c>
      <c r="CM1292" s="387" t="str">
        <f t="shared" si="922"/>
        <v/>
      </c>
      <c r="CN1292" s="387" t="str">
        <f t="shared" si="923"/>
        <v>0348-31</v>
      </c>
    </row>
    <row r="1293" spans="1:92" ht="15.75" thickBot="1" x14ac:dyDescent="0.3">
      <c r="A1293" s="376" t="s">
        <v>161</v>
      </c>
      <c r="B1293" s="376" t="s">
        <v>162</v>
      </c>
      <c r="C1293" s="376" t="s">
        <v>254</v>
      </c>
      <c r="D1293" s="376" t="s">
        <v>255</v>
      </c>
      <c r="E1293" s="376" t="s">
        <v>224</v>
      </c>
      <c r="F1293" s="382" t="s">
        <v>225</v>
      </c>
      <c r="G1293" s="376" t="s">
        <v>1945</v>
      </c>
      <c r="H1293" s="378"/>
      <c r="I1293" s="378"/>
      <c r="J1293" s="376" t="s">
        <v>168</v>
      </c>
      <c r="K1293" s="376" t="s">
        <v>256</v>
      </c>
      <c r="L1293" s="376" t="s">
        <v>166</v>
      </c>
      <c r="M1293" s="376" t="s">
        <v>171</v>
      </c>
      <c r="N1293" s="376" t="s">
        <v>257</v>
      </c>
      <c r="O1293" s="379">
        <v>1</v>
      </c>
      <c r="P1293" s="385">
        <v>0.75</v>
      </c>
      <c r="Q1293" s="385">
        <v>0.75</v>
      </c>
      <c r="R1293" s="380">
        <v>80</v>
      </c>
      <c r="S1293" s="385">
        <v>0.75</v>
      </c>
      <c r="T1293" s="380">
        <v>95694.49</v>
      </c>
      <c r="U1293" s="380">
        <v>0</v>
      </c>
      <c r="V1293" s="380">
        <v>28565.64</v>
      </c>
      <c r="W1293" s="380">
        <v>93038.39</v>
      </c>
      <c r="X1293" s="380">
        <v>28341.59</v>
      </c>
      <c r="Y1293" s="380">
        <v>93038.39</v>
      </c>
      <c r="Z1293" s="380">
        <v>27950.83</v>
      </c>
      <c r="AA1293" s="376" t="s">
        <v>258</v>
      </c>
      <c r="AB1293" s="376" t="s">
        <v>259</v>
      </c>
      <c r="AC1293" s="376" t="s">
        <v>260</v>
      </c>
      <c r="AD1293" s="376" t="s">
        <v>198</v>
      </c>
      <c r="AE1293" s="376" t="s">
        <v>256</v>
      </c>
      <c r="AF1293" s="376" t="s">
        <v>261</v>
      </c>
      <c r="AG1293" s="376" t="s">
        <v>178</v>
      </c>
      <c r="AH1293" s="381">
        <v>59.64</v>
      </c>
      <c r="AI1293" s="381">
        <v>60724.4</v>
      </c>
      <c r="AJ1293" s="376" t="s">
        <v>179</v>
      </c>
      <c r="AK1293" s="376" t="s">
        <v>180</v>
      </c>
      <c r="AL1293" s="376" t="s">
        <v>181</v>
      </c>
      <c r="AM1293" s="376" t="s">
        <v>182</v>
      </c>
      <c r="AN1293" s="376" t="s">
        <v>68</v>
      </c>
      <c r="AO1293" s="379">
        <v>80</v>
      </c>
      <c r="AP1293" s="385">
        <v>1</v>
      </c>
      <c r="AQ1293" s="385">
        <v>0.75</v>
      </c>
      <c r="AR1293" s="383" t="s">
        <v>183</v>
      </c>
      <c r="AS1293" s="387">
        <f t="shared" si="907"/>
        <v>0.75</v>
      </c>
      <c r="AT1293">
        <f t="shared" si="908"/>
        <v>1</v>
      </c>
      <c r="AU1293" s="387">
        <f>IF(AT1293=0,"",IF(AND(AT1293=1,M1293="F",SUMIF(C2:C1334,C1293,AS2:AS1334)&lt;=1),SUMIF(C2:C1334,C1293,AS2:AS1334),IF(AND(AT1293=1,M1293="F",SUMIF(C2:C1334,C1293,AS2:AS1334)&gt;1),1,"")))</f>
        <v>1</v>
      </c>
      <c r="AV1293" s="387" t="str">
        <f>IF(AT1293=0,"",IF(AND(AT1293=3,M1293="F",SUMIF(C2:C1334,C1293,AS2:AS1334)&lt;=1),SUMIF(C2:C1334,C1293,AS2:AS1334),IF(AND(AT1293=3,M1293="F",SUMIF(C2:C1334,C1293,AS2:AS1334)&gt;1),1,"")))</f>
        <v/>
      </c>
      <c r="AW1293" s="387">
        <f>SUMIF(C2:C1334,C1293,O2:O1334)</f>
        <v>3</v>
      </c>
      <c r="AX1293" s="387">
        <f>IF(AND(M1293="F",AS1293&lt;&gt;0),SUMIF(C2:C1334,C1293,W2:W1334),0)</f>
        <v>124051.19</v>
      </c>
      <c r="AY1293" s="387">
        <f t="shared" si="909"/>
        <v>93038.39</v>
      </c>
      <c r="AZ1293" s="387" t="str">
        <f t="shared" si="910"/>
        <v/>
      </c>
      <c r="BA1293" s="387">
        <f t="shared" si="911"/>
        <v>0</v>
      </c>
      <c r="BB1293" s="387">
        <f t="shared" si="880"/>
        <v>8737.5</v>
      </c>
      <c r="BC1293" s="387">
        <f t="shared" si="881"/>
        <v>0</v>
      </c>
      <c r="BD1293" s="387">
        <f t="shared" si="882"/>
        <v>5768.3801800000001</v>
      </c>
      <c r="BE1293" s="387">
        <f t="shared" si="883"/>
        <v>1349.0566550000001</v>
      </c>
      <c r="BF1293" s="387">
        <f t="shared" si="884"/>
        <v>11108.783766</v>
      </c>
      <c r="BG1293" s="387">
        <f t="shared" si="885"/>
        <v>670.80679190000001</v>
      </c>
      <c r="BH1293" s="387">
        <f t="shared" si="886"/>
        <v>455.88811099999998</v>
      </c>
      <c r="BI1293" s="387">
        <f t="shared" si="887"/>
        <v>0</v>
      </c>
      <c r="BJ1293" s="387">
        <f t="shared" si="888"/>
        <v>251.203653</v>
      </c>
      <c r="BK1293" s="387">
        <f t="shared" si="889"/>
        <v>0</v>
      </c>
      <c r="BL1293" s="387">
        <f t="shared" si="912"/>
        <v>19604.1191569</v>
      </c>
      <c r="BM1293" s="387">
        <f t="shared" si="913"/>
        <v>0</v>
      </c>
      <c r="BN1293" s="387">
        <f t="shared" si="890"/>
        <v>8737.5</v>
      </c>
      <c r="BO1293" s="387">
        <f t="shared" si="891"/>
        <v>0</v>
      </c>
      <c r="BP1293" s="387">
        <f t="shared" si="892"/>
        <v>5768.3801800000001</v>
      </c>
      <c r="BQ1293" s="387">
        <f t="shared" si="893"/>
        <v>1349.0566550000001</v>
      </c>
      <c r="BR1293" s="387">
        <f t="shared" si="894"/>
        <v>11108.783766</v>
      </c>
      <c r="BS1293" s="387">
        <f t="shared" si="895"/>
        <v>670.80679190000001</v>
      </c>
      <c r="BT1293" s="387">
        <f t="shared" si="896"/>
        <v>0</v>
      </c>
      <c r="BU1293" s="387">
        <f t="shared" si="897"/>
        <v>0</v>
      </c>
      <c r="BV1293" s="387">
        <f t="shared" si="898"/>
        <v>316.33052599999996</v>
      </c>
      <c r="BW1293" s="387">
        <f t="shared" si="899"/>
        <v>0</v>
      </c>
      <c r="BX1293" s="387">
        <f t="shared" si="914"/>
        <v>19213.357918900001</v>
      </c>
      <c r="BY1293" s="387">
        <f t="shared" si="915"/>
        <v>0</v>
      </c>
      <c r="BZ1293" s="387">
        <f t="shared" si="916"/>
        <v>0</v>
      </c>
      <c r="CA1293" s="387">
        <f t="shared" si="917"/>
        <v>0</v>
      </c>
      <c r="CB1293" s="387">
        <f t="shared" si="918"/>
        <v>0</v>
      </c>
      <c r="CC1293" s="387">
        <f t="shared" si="900"/>
        <v>0</v>
      </c>
      <c r="CD1293" s="387">
        <f t="shared" si="901"/>
        <v>0</v>
      </c>
      <c r="CE1293" s="387">
        <f t="shared" si="902"/>
        <v>0</v>
      </c>
      <c r="CF1293" s="387">
        <f t="shared" si="903"/>
        <v>-455.88811099999998</v>
      </c>
      <c r="CG1293" s="387">
        <f t="shared" si="904"/>
        <v>0</v>
      </c>
      <c r="CH1293" s="387">
        <f t="shared" si="905"/>
        <v>65.126872999999975</v>
      </c>
      <c r="CI1293" s="387">
        <f t="shared" si="906"/>
        <v>0</v>
      </c>
      <c r="CJ1293" s="387">
        <f t="shared" si="919"/>
        <v>-390.76123799999999</v>
      </c>
      <c r="CK1293" s="387" t="str">
        <f t="shared" si="920"/>
        <v/>
      </c>
      <c r="CL1293" s="387" t="str">
        <f t="shared" si="921"/>
        <v/>
      </c>
      <c r="CM1293" s="387" t="str">
        <f t="shared" si="922"/>
        <v/>
      </c>
      <c r="CN1293" s="387" t="str">
        <f t="shared" si="923"/>
        <v>0348-31</v>
      </c>
    </row>
    <row r="1294" spans="1:92" ht="15.75" thickBot="1" x14ac:dyDescent="0.3">
      <c r="A1294" s="376" t="s">
        <v>161</v>
      </c>
      <c r="B1294" s="376" t="s">
        <v>162</v>
      </c>
      <c r="C1294" s="376" t="s">
        <v>803</v>
      </c>
      <c r="D1294" s="376" t="s">
        <v>804</v>
      </c>
      <c r="E1294" s="376" t="s">
        <v>224</v>
      </c>
      <c r="F1294" s="382" t="s">
        <v>225</v>
      </c>
      <c r="G1294" s="376" t="s">
        <v>1945</v>
      </c>
      <c r="H1294" s="378"/>
      <c r="I1294" s="378"/>
      <c r="J1294" s="376" t="s">
        <v>239</v>
      </c>
      <c r="K1294" s="376" t="s">
        <v>805</v>
      </c>
      <c r="L1294" s="376" t="s">
        <v>351</v>
      </c>
      <c r="M1294" s="376" t="s">
        <v>171</v>
      </c>
      <c r="N1294" s="376" t="s">
        <v>172</v>
      </c>
      <c r="O1294" s="379">
        <v>1</v>
      </c>
      <c r="P1294" s="385">
        <v>0</v>
      </c>
      <c r="Q1294" s="385">
        <v>0</v>
      </c>
      <c r="R1294" s="380">
        <v>80</v>
      </c>
      <c r="S1294" s="385">
        <v>0</v>
      </c>
      <c r="T1294" s="380">
        <v>1493.31</v>
      </c>
      <c r="U1294" s="380">
        <v>0</v>
      </c>
      <c r="V1294" s="380">
        <v>499.78</v>
      </c>
      <c r="W1294" s="380">
        <v>0</v>
      </c>
      <c r="X1294" s="380">
        <v>0</v>
      </c>
      <c r="Y1294" s="380">
        <v>0</v>
      </c>
      <c r="Z1294" s="380">
        <v>0</v>
      </c>
      <c r="AA1294" s="376" t="s">
        <v>806</v>
      </c>
      <c r="AB1294" s="376" t="s">
        <v>807</v>
      </c>
      <c r="AC1294" s="376" t="s">
        <v>808</v>
      </c>
      <c r="AD1294" s="376" t="s">
        <v>170</v>
      </c>
      <c r="AE1294" s="376" t="s">
        <v>805</v>
      </c>
      <c r="AF1294" s="376" t="s">
        <v>355</v>
      </c>
      <c r="AG1294" s="376" t="s">
        <v>178</v>
      </c>
      <c r="AH1294" s="381">
        <v>45.93</v>
      </c>
      <c r="AI1294" s="379">
        <v>49965</v>
      </c>
      <c r="AJ1294" s="376" t="s">
        <v>179</v>
      </c>
      <c r="AK1294" s="376" t="s">
        <v>180</v>
      </c>
      <c r="AL1294" s="376" t="s">
        <v>181</v>
      </c>
      <c r="AM1294" s="376" t="s">
        <v>182</v>
      </c>
      <c r="AN1294" s="376" t="s">
        <v>68</v>
      </c>
      <c r="AO1294" s="379">
        <v>80</v>
      </c>
      <c r="AP1294" s="385">
        <v>1</v>
      </c>
      <c r="AQ1294" s="385">
        <v>0</v>
      </c>
      <c r="AR1294" s="383" t="s">
        <v>183</v>
      </c>
      <c r="AS1294" s="387">
        <f t="shared" si="907"/>
        <v>0</v>
      </c>
      <c r="AT1294">
        <f t="shared" si="908"/>
        <v>0</v>
      </c>
      <c r="AU1294" s="387" t="str">
        <f>IF(AT1294=0,"",IF(AND(AT1294=1,M1294="F",SUMIF(C2:C1334,C1294,AS2:AS1334)&lt;=1),SUMIF(C2:C1334,C1294,AS2:AS1334),IF(AND(AT1294=1,M1294="F",SUMIF(C2:C1334,C1294,AS2:AS1334)&gt;1),1,"")))</f>
        <v/>
      </c>
      <c r="AV1294" s="387" t="str">
        <f>IF(AT1294=0,"",IF(AND(AT1294=3,M1294="F",SUMIF(C2:C1334,C1294,AS2:AS1334)&lt;=1),SUMIF(C2:C1334,C1294,AS2:AS1334),IF(AND(AT1294=3,M1294="F",SUMIF(C2:C1334,C1294,AS2:AS1334)&gt;1),1,"")))</f>
        <v/>
      </c>
      <c r="AW1294" s="387">
        <f>SUMIF(C2:C1334,C1294,O2:O1334)</f>
        <v>4</v>
      </c>
      <c r="AX1294" s="387">
        <f>IF(AND(M1294="F",AS1294&lt;&gt;0),SUMIF(C2:C1334,C1294,W2:W1334),0)</f>
        <v>0</v>
      </c>
      <c r="AY1294" s="387" t="str">
        <f t="shared" si="909"/>
        <v/>
      </c>
      <c r="AZ1294" s="387" t="str">
        <f t="shared" si="910"/>
        <v/>
      </c>
      <c r="BA1294" s="387">
        <f t="shared" si="911"/>
        <v>0</v>
      </c>
      <c r="BB1294" s="387">
        <f t="shared" si="880"/>
        <v>0</v>
      </c>
      <c r="BC1294" s="387">
        <f t="shared" si="881"/>
        <v>0</v>
      </c>
      <c r="BD1294" s="387">
        <f t="shared" si="882"/>
        <v>0</v>
      </c>
      <c r="BE1294" s="387">
        <f t="shared" si="883"/>
        <v>0</v>
      </c>
      <c r="BF1294" s="387">
        <f t="shared" si="884"/>
        <v>0</v>
      </c>
      <c r="BG1294" s="387">
        <f t="shared" si="885"/>
        <v>0</v>
      </c>
      <c r="BH1294" s="387">
        <f t="shared" si="886"/>
        <v>0</v>
      </c>
      <c r="BI1294" s="387">
        <f t="shared" si="887"/>
        <v>0</v>
      </c>
      <c r="BJ1294" s="387">
        <f t="shared" si="888"/>
        <v>0</v>
      </c>
      <c r="BK1294" s="387">
        <f t="shared" si="889"/>
        <v>0</v>
      </c>
      <c r="BL1294" s="387">
        <f t="shared" si="912"/>
        <v>0</v>
      </c>
      <c r="BM1294" s="387">
        <f t="shared" si="913"/>
        <v>0</v>
      </c>
      <c r="BN1294" s="387">
        <f t="shared" si="890"/>
        <v>0</v>
      </c>
      <c r="BO1294" s="387">
        <f t="shared" si="891"/>
        <v>0</v>
      </c>
      <c r="BP1294" s="387">
        <f t="shared" si="892"/>
        <v>0</v>
      </c>
      <c r="BQ1294" s="387">
        <f t="shared" si="893"/>
        <v>0</v>
      </c>
      <c r="BR1294" s="387">
        <f t="shared" si="894"/>
        <v>0</v>
      </c>
      <c r="BS1294" s="387">
        <f t="shared" si="895"/>
        <v>0</v>
      </c>
      <c r="BT1294" s="387">
        <f t="shared" si="896"/>
        <v>0</v>
      </c>
      <c r="BU1294" s="387">
        <f t="shared" si="897"/>
        <v>0</v>
      </c>
      <c r="BV1294" s="387">
        <f t="shared" si="898"/>
        <v>0</v>
      </c>
      <c r="BW1294" s="387">
        <f t="shared" si="899"/>
        <v>0</v>
      </c>
      <c r="BX1294" s="387">
        <f t="shared" si="914"/>
        <v>0</v>
      </c>
      <c r="BY1294" s="387">
        <f t="shared" si="915"/>
        <v>0</v>
      </c>
      <c r="BZ1294" s="387">
        <f t="shared" si="916"/>
        <v>0</v>
      </c>
      <c r="CA1294" s="387">
        <f t="shared" si="917"/>
        <v>0</v>
      </c>
      <c r="CB1294" s="387">
        <f t="shared" si="918"/>
        <v>0</v>
      </c>
      <c r="CC1294" s="387">
        <f t="shared" si="900"/>
        <v>0</v>
      </c>
      <c r="CD1294" s="387">
        <f t="shared" si="901"/>
        <v>0</v>
      </c>
      <c r="CE1294" s="387">
        <f t="shared" si="902"/>
        <v>0</v>
      </c>
      <c r="CF1294" s="387">
        <f t="shared" si="903"/>
        <v>0</v>
      </c>
      <c r="CG1294" s="387">
        <f t="shared" si="904"/>
        <v>0</v>
      </c>
      <c r="CH1294" s="387">
        <f t="shared" si="905"/>
        <v>0</v>
      </c>
      <c r="CI1294" s="387">
        <f t="shared" si="906"/>
        <v>0</v>
      </c>
      <c r="CJ1294" s="387">
        <f t="shared" si="919"/>
        <v>0</v>
      </c>
      <c r="CK1294" s="387" t="str">
        <f t="shared" si="920"/>
        <v/>
      </c>
      <c r="CL1294" s="387" t="str">
        <f t="shared" si="921"/>
        <v/>
      </c>
      <c r="CM1294" s="387" t="str">
        <f t="shared" si="922"/>
        <v/>
      </c>
      <c r="CN1294" s="387" t="str">
        <f t="shared" si="923"/>
        <v>0348-31</v>
      </c>
    </row>
    <row r="1295" spans="1:92" ht="15.75" thickBot="1" x14ac:dyDescent="0.3">
      <c r="A1295" s="376" t="s">
        <v>161</v>
      </c>
      <c r="B1295" s="376" t="s">
        <v>162</v>
      </c>
      <c r="C1295" s="376" t="s">
        <v>1801</v>
      </c>
      <c r="D1295" s="376" t="s">
        <v>792</v>
      </c>
      <c r="E1295" s="376" t="s">
        <v>224</v>
      </c>
      <c r="F1295" s="382" t="s">
        <v>225</v>
      </c>
      <c r="G1295" s="376" t="s">
        <v>1945</v>
      </c>
      <c r="H1295" s="378"/>
      <c r="I1295" s="378"/>
      <c r="J1295" s="376" t="s">
        <v>215</v>
      </c>
      <c r="K1295" s="376" t="s">
        <v>793</v>
      </c>
      <c r="L1295" s="376" t="s">
        <v>170</v>
      </c>
      <c r="M1295" s="376" t="s">
        <v>171</v>
      </c>
      <c r="N1295" s="376" t="s">
        <v>172</v>
      </c>
      <c r="O1295" s="379">
        <v>1</v>
      </c>
      <c r="P1295" s="385">
        <v>1</v>
      </c>
      <c r="Q1295" s="385">
        <v>1</v>
      </c>
      <c r="R1295" s="380">
        <v>80</v>
      </c>
      <c r="S1295" s="385">
        <v>1</v>
      </c>
      <c r="T1295" s="380">
        <v>45443.92</v>
      </c>
      <c r="U1295" s="380">
        <v>0</v>
      </c>
      <c r="V1295" s="380">
        <v>20975.05</v>
      </c>
      <c r="W1295" s="380">
        <v>48692.800000000003</v>
      </c>
      <c r="X1295" s="380">
        <v>22179.79</v>
      </c>
      <c r="Y1295" s="380">
        <v>48692.800000000003</v>
      </c>
      <c r="Z1295" s="380">
        <v>21975.279999999999</v>
      </c>
      <c r="AA1295" s="376" t="s">
        <v>1802</v>
      </c>
      <c r="AB1295" s="376" t="s">
        <v>1533</v>
      </c>
      <c r="AC1295" s="376" t="s">
        <v>1423</v>
      </c>
      <c r="AD1295" s="376" t="s">
        <v>252</v>
      </c>
      <c r="AE1295" s="376" t="s">
        <v>793</v>
      </c>
      <c r="AF1295" s="376" t="s">
        <v>177</v>
      </c>
      <c r="AG1295" s="376" t="s">
        <v>178</v>
      </c>
      <c r="AH1295" s="381">
        <v>23.41</v>
      </c>
      <c r="AI1295" s="381">
        <v>27567.200000000001</v>
      </c>
      <c r="AJ1295" s="376" t="s">
        <v>179</v>
      </c>
      <c r="AK1295" s="376" t="s">
        <v>180</v>
      </c>
      <c r="AL1295" s="376" t="s">
        <v>181</v>
      </c>
      <c r="AM1295" s="376" t="s">
        <v>182</v>
      </c>
      <c r="AN1295" s="376" t="s">
        <v>68</v>
      </c>
      <c r="AO1295" s="379">
        <v>80</v>
      </c>
      <c r="AP1295" s="385">
        <v>1</v>
      </c>
      <c r="AQ1295" s="385">
        <v>1</v>
      </c>
      <c r="AR1295" s="383" t="s">
        <v>183</v>
      </c>
      <c r="AS1295" s="387">
        <f t="shared" si="907"/>
        <v>1</v>
      </c>
      <c r="AT1295">
        <f t="shared" si="908"/>
        <v>1</v>
      </c>
      <c r="AU1295" s="387">
        <f>IF(AT1295=0,"",IF(AND(AT1295=1,M1295="F",SUMIF(C2:C1334,C1295,AS2:AS1334)&lt;=1),SUMIF(C2:C1334,C1295,AS2:AS1334),IF(AND(AT1295=1,M1295="F",SUMIF(C2:C1334,C1295,AS2:AS1334)&gt;1),1,"")))</f>
        <v>1</v>
      </c>
      <c r="AV1295" s="387" t="str">
        <f>IF(AT1295=0,"",IF(AND(AT1295=3,M1295="F",SUMIF(C2:C1334,C1295,AS2:AS1334)&lt;=1),SUMIF(C2:C1334,C1295,AS2:AS1334),IF(AND(AT1295=3,M1295="F",SUMIF(C2:C1334,C1295,AS2:AS1334)&gt;1),1,"")))</f>
        <v/>
      </c>
      <c r="AW1295" s="387">
        <f>SUMIF(C2:C1334,C1295,O2:O1334)</f>
        <v>2</v>
      </c>
      <c r="AX1295" s="387">
        <f>IF(AND(M1295="F",AS1295&lt;&gt;0),SUMIF(C2:C1334,C1295,W2:W1334),0)</f>
        <v>48692.800000000003</v>
      </c>
      <c r="AY1295" s="387">
        <f t="shared" si="909"/>
        <v>48692.800000000003</v>
      </c>
      <c r="AZ1295" s="387" t="str">
        <f t="shared" si="910"/>
        <v/>
      </c>
      <c r="BA1295" s="387">
        <f t="shared" si="911"/>
        <v>0</v>
      </c>
      <c r="BB1295" s="387">
        <f t="shared" si="880"/>
        <v>11650</v>
      </c>
      <c r="BC1295" s="387">
        <f t="shared" si="881"/>
        <v>0</v>
      </c>
      <c r="BD1295" s="387">
        <f t="shared" si="882"/>
        <v>3018.9536000000003</v>
      </c>
      <c r="BE1295" s="387">
        <f t="shared" si="883"/>
        <v>706.04560000000004</v>
      </c>
      <c r="BF1295" s="387">
        <f t="shared" si="884"/>
        <v>5813.9203200000011</v>
      </c>
      <c r="BG1295" s="387">
        <f t="shared" si="885"/>
        <v>351.07508800000005</v>
      </c>
      <c r="BH1295" s="387">
        <f t="shared" si="886"/>
        <v>238.59472</v>
      </c>
      <c r="BI1295" s="387">
        <f t="shared" si="887"/>
        <v>269.51464800000002</v>
      </c>
      <c r="BJ1295" s="387">
        <f t="shared" si="888"/>
        <v>131.47056000000001</v>
      </c>
      <c r="BK1295" s="387">
        <f t="shared" si="889"/>
        <v>0</v>
      </c>
      <c r="BL1295" s="387">
        <f t="shared" si="912"/>
        <v>10529.574536</v>
      </c>
      <c r="BM1295" s="387">
        <f t="shared" si="913"/>
        <v>0</v>
      </c>
      <c r="BN1295" s="387">
        <f t="shared" si="890"/>
        <v>11650</v>
      </c>
      <c r="BO1295" s="387">
        <f t="shared" si="891"/>
        <v>0</v>
      </c>
      <c r="BP1295" s="387">
        <f t="shared" si="892"/>
        <v>3018.9536000000003</v>
      </c>
      <c r="BQ1295" s="387">
        <f t="shared" si="893"/>
        <v>706.04560000000004</v>
      </c>
      <c r="BR1295" s="387">
        <f t="shared" si="894"/>
        <v>5813.9203200000011</v>
      </c>
      <c r="BS1295" s="387">
        <f t="shared" si="895"/>
        <v>351.07508800000005</v>
      </c>
      <c r="BT1295" s="387">
        <f t="shared" si="896"/>
        <v>0</v>
      </c>
      <c r="BU1295" s="387">
        <f t="shared" si="897"/>
        <v>269.51464800000002</v>
      </c>
      <c r="BV1295" s="387">
        <f t="shared" si="898"/>
        <v>165.55552</v>
      </c>
      <c r="BW1295" s="387">
        <f t="shared" si="899"/>
        <v>0</v>
      </c>
      <c r="BX1295" s="387">
        <f t="shared" si="914"/>
        <v>10325.064776000001</v>
      </c>
      <c r="BY1295" s="387">
        <f t="shared" si="915"/>
        <v>0</v>
      </c>
      <c r="BZ1295" s="387">
        <f t="shared" si="916"/>
        <v>0</v>
      </c>
      <c r="CA1295" s="387">
        <f t="shared" si="917"/>
        <v>0</v>
      </c>
      <c r="CB1295" s="387">
        <f t="shared" si="918"/>
        <v>0</v>
      </c>
      <c r="CC1295" s="387">
        <f t="shared" si="900"/>
        <v>0</v>
      </c>
      <c r="CD1295" s="387">
        <f t="shared" si="901"/>
        <v>0</v>
      </c>
      <c r="CE1295" s="387">
        <f t="shared" si="902"/>
        <v>0</v>
      </c>
      <c r="CF1295" s="387">
        <f t="shared" si="903"/>
        <v>-238.59472</v>
      </c>
      <c r="CG1295" s="387">
        <f t="shared" si="904"/>
        <v>0</v>
      </c>
      <c r="CH1295" s="387">
        <f t="shared" si="905"/>
        <v>34.084959999999988</v>
      </c>
      <c r="CI1295" s="387">
        <f t="shared" si="906"/>
        <v>0</v>
      </c>
      <c r="CJ1295" s="387">
        <f t="shared" si="919"/>
        <v>-204.50976</v>
      </c>
      <c r="CK1295" s="387" t="str">
        <f t="shared" si="920"/>
        <v/>
      </c>
      <c r="CL1295" s="387" t="str">
        <f t="shared" si="921"/>
        <v/>
      </c>
      <c r="CM1295" s="387" t="str">
        <f t="shared" si="922"/>
        <v/>
      </c>
      <c r="CN1295" s="387" t="str">
        <f t="shared" si="923"/>
        <v>0348-31</v>
      </c>
    </row>
    <row r="1296" spans="1:92" ht="15.75" thickBot="1" x14ac:dyDescent="0.3">
      <c r="A1296" s="376" t="s">
        <v>161</v>
      </c>
      <c r="B1296" s="376" t="s">
        <v>162</v>
      </c>
      <c r="C1296" s="376" t="s">
        <v>1784</v>
      </c>
      <c r="D1296" s="376" t="s">
        <v>1088</v>
      </c>
      <c r="E1296" s="376" t="s">
        <v>224</v>
      </c>
      <c r="F1296" s="382" t="s">
        <v>225</v>
      </c>
      <c r="G1296" s="376" t="s">
        <v>1945</v>
      </c>
      <c r="H1296" s="378"/>
      <c r="I1296" s="378"/>
      <c r="J1296" s="376" t="s">
        <v>215</v>
      </c>
      <c r="K1296" s="376" t="s">
        <v>1089</v>
      </c>
      <c r="L1296" s="376" t="s">
        <v>181</v>
      </c>
      <c r="M1296" s="376" t="s">
        <v>171</v>
      </c>
      <c r="N1296" s="376" t="s">
        <v>172</v>
      </c>
      <c r="O1296" s="379">
        <v>1</v>
      </c>
      <c r="P1296" s="385">
        <v>1</v>
      </c>
      <c r="Q1296" s="385">
        <v>1</v>
      </c>
      <c r="R1296" s="380">
        <v>80</v>
      </c>
      <c r="S1296" s="385">
        <v>1</v>
      </c>
      <c r="T1296" s="380">
        <v>0</v>
      </c>
      <c r="U1296" s="380">
        <v>0</v>
      </c>
      <c r="V1296" s="380">
        <v>0</v>
      </c>
      <c r="W1296" s="380">
        <v>80121.600000000006</v>
      </c>
      <c r="X1296" s="380">
        <v>28976.25</v>
      </c>
      <c r="Y1296" s="380">
        <v>80121.600000000006</v>
      </c>
      <c r="Z1296" s="380">
        <v>28639.75</v>
      </c>
      <c r="AA1296" s="376" t="s">
        <v>1785</v>
      </c>
      <c r="AB1296" s="376" t="s">
        <v>1786</v>
      </c>
      <c r="AC1296" s="376" t="s">
        <v>1707</v>
      </c>
      <c r="AD1296" s="376" t="s">
        <v>170</v>
      </c>
      <c r="AE1296" s="376" t="s">
        <v>1089</v>
      </c>
      <c r="AF1296" s="376" t="s">
        <v>211</v>
      </c>
      <c r="AG1296" s="376" t="s">
        <v>178</v>
      </c>
      <c r="AH1296" s="381">
        <v>38.520000000000003</v>
      </c>
      <c r="AI1296" s="381">
        <v>60085.1</v>
      </c>
      <c r="AJ1296" s="376" t="s">
        <v>179</v>
      </c>
      <c r="AK1296" s="376" t="s">
        <v>180</v>
      </c>
      <c r="AL1296" s="376" t="s">
        <v>181</v>
      </c>
      <c r="AM1296" s="376" t="s">
        <v>182</v>
      </c>
      <c r="AN1296" s="376" t="s">
        <v>68</v>
      </c>
      <c r="AO1296" s="379">
        <v>80</v>
      </c>
      <c r="AP1296" s="385">
        <v>1</v>
      </c>
      <c r="AQ1296" s="385">
        <v>1</v>
      </c>
      <c r="AR1296" s="383" t="s">
        <v>183</v>
      </c>
      <c r="AS1296" s="387">
        <f t="shared" si="907"/>
        <v>1</v>
      </c>
      <c r="AT1296">
        <f t="shared" si="908"/>
        <v>1</v>
      </c>
      <c r="AU1296" s="387">
        <f>IF(AT1296=0,"",IF(AND(AT1296=1,M1296="F",SUMIF(C2:C1334,C1296,AS2:AS1334)&lt;=1),SUMIF(C2:C1334,C1296,AS2:AS1334),IF(AND(AT1296=1,M1296="F",SUMIF(C2:C1334,C1296,AS2:AS1334)&gt;1),1,"")))</f>
        <v>1</v>
      </c>
      <c r="AV1296" s="387" t="str">
        <f>IF(AT1296=0,"",IF(AND(AT1296=3,M1296="F",SUMIF(C2:C1334,C1296,AS2:AS1334)&lt;=1),SUMIF(C2:C1334,C1296,AS2:AS1334),IF(AND(AT1296=3,M1296="F",SUMIF(C2:C1334,C1296,AS2:AS1334)&gt;1),1,"")))</f>
        <v/>
      </c>
      <c r="AW1296" s="387">
        <f>SUMIF(C2:C1334,C1296,O2:O1334)</f>
        <v>2</v>
      </c>
      <c r="AX1296" s="387">
        <f>IF(AND(M1296="F",AS1296&lt;&gt;0),SUMIF(C2:C1334,C1296,W2:W1334),0)</f>
        <v>80121.600000000006</v>
      </c>
      <c r="AY1296" s="387">
        <f t="shared" si="909"/>
        <v>80121.600000000006</v>
      </c>
      <c r="AZ1296" s="387" t="str">
        <f t="shared" si="910"/>
        <v/>
      </c>
      <c r="BA1296" s="387">
        <f t="shared" si="911"/>
        <v>0</v>
      </c>
      <c r="BB1296" s="387">
        <f t="shared" si="880"/>
        <v>11650</v>
      </c>
      <c r="BC1296" s="387">
        <f t="shared" si="881"/>
        <v>0</v>
      </c>
      <c r="BD1296" s="387">
        <f t="shared" si="882"/>
        <v>4967.5392000000002</v>
      </c>
      <c r="BE1296" s="387">
        <f t="shared" si="883"/>
        <v>1161.7632000000001</v>
      </c>
      <c r="BF1296" s="387">
        <f t="shared" si="884"/>
        <v>9566.519040000001</v>
      </c>
      <c r="BG1296" s="387">
        <f t="shared" si="885"/>
        <v>577.67673600000012</v>
      </c>
      <c r="BH1296" s="387">
        <f t="shared" si="886"/>
        <v>392.59584000000001</v>
      </c>
      <c r="BI1296" s="387">
        <f t="shared" si="887"/>
        <v>443.47305600000004</v>
      </c>
      <c r="BJ1296" s="387">
        <f t="shared" si="888"/>
        <v>216.32832000000002</v>
      </c>
      <c r="BK1296" s="387">
        <f t="shared" si="889"/>
        <v>0</v>
      </c>
      <c r="BL1296" s="387">
        <f t="shared" si="912"/>
        <v>17325.895392000002</v>
      </c>
      <c r="BM1296" s="387">
        <f t="shared" si="913"/>
        <v>0</v>
      </c>
      <c r="BN1296" s="387">
        <f t="shared" si="890"/>
        <v>11650</v>
      </c>
      <c r="BO1296" s="387">
        <f t="shared" si="891"/>
        <v>0</v>
      </c>
      <c r="BP1296" s="387">
        <f t="shared" si="892"/>
        <v>4967.5392000000002</v>
      </c>
      <c r="BQ1296" s="387">
        <f t="shared" si="893"/>
        <v>1161.7632000000001</v>
      </c>
      <c r="BR1296" s="387">
        <f t="shared" si="894"/>
        <v>9566.519040000001</v>
      </c>
      <c r="BS1296" s="387">
        <f t="shared" si="895"/>
        <v>577.67673600000012</v>
      </c>
      <c r="BT1296" s="387">
        <f t="shared" si="896"/>
        <v>0</v>
      </c>
      <c r="BU1296" s="387">
        <f t="shared" si="897"/>
        <v>443.47305600000004</v>
      </c>
      <c r="BV1296" s="387">
        <f t="shared" si="898"/>
        <v>272.41343999999998</v>
      </c>
      <c r="BW1296" s="387">
        <f t="shared" si="899"/>
        <v>0</v>
      </c>
      <c r="BX1296" s="387">
        <f t="shared" si="914"/>
        <v>16989.384672</v>
      </c>
      <c r="BY1296" s="387">
        <f t="shared" si="915"/>
        <v>0</v>
      </c>
      <c r="BZ1296" s="387">
        <f t="shared" si="916"/>
        <v>0</v>
      </c>
      <c r="CA1296" s="387">
        <f t="shared" si="917"/>
        <v>0</v>
      </c>
      <c r="CB1296" s="387">
        <f t="shared" si="918"/>
        <v>0</v>
      </c>
      <c r="CC1296" s="387">
        <f t="shared" si="900"/>
        <v>0</v>
      </c>
      <c r="CD1296" s="387">
        <f t="shared" si="901"/>
        <v>0</v>
      </c>
      <c r="CE1296" s="387">
        <f t="shared" si="902"/>
        <v>0</v>
      </c>
      <c r="CF1296" s="387">
        <f t="shared" si="903"/>
        <v>-392.59584000000001</v>
      </c>
      <c r="CG1296" s="387">
        <f t="shared" si="904"/>
        <v>0</v>
      </c>
      <c r="CH1296" s="387">
        <f t="shared" si="905"/>
        <v>56.085119999999975</v>
      </c>
      <c r="CI1296" s="387">
        <f t="shared" si="906"/>
        <v>0</v>
      </c>
      <c r="CJ1296" s="387">
        <f t="shared" si="919"/>
        <v>-336.51072000000005</v>
      </c>
      <c r="CK1296" s="387" t="str">
        <f t="shared" si="920"/>
        <v/>
      </c>
      <c r="CL1296" s="387" t="str">
        <f t="shared" si="921"/>
        <v/>
      </c>
      <c r="CM1296" s="387" t="str">
        <f t="shared" si="922"/>
        <v/>
      </c>
      <c r="CN1296" s="387" t="str">
        <f t="shared" si="923"/>
        <v>0348-31</v>
      </c>
    </row>
    <row r="1297" spans="1:92" ht="15.75" thickBot="1" x14ac:dyDescent="0.3">
      <c r="A1297" s="376" t="s">
        <v>161</v>
      </c>
      <c r="B1297" s="376" t="s">
        <v>162</v>
      </c>
      <c r="C1297" s="376" t="s">
        <v>1762</v>
      </c>
      <c r="D1297" s="376" t="s">
        <v>862</v>
      </c>
      <c r="E1297" s="376" t="s">
        <v>224</v>
      </c>
      <c r="F1297" s="382" t="s">
        <v>225</v>
      </c>
      <c r="G1297" s="376" t="s">
        <v>1945</v>
      </c>
      <c r="H1297" s="378"/>
      <c r="I1297" s="378"/>
      <c r="J1297" s="376" t="s">
        <v>239</v>
      </c>
      <c r="K1297" s="376" t="s">
        <v>863</v>
      </c>
      <c r="L1297" s="376" t="s">
        <v>252</v>
      </c>
      <c r="M1297" s="376" t="s">
        <v>171</v>
      </c>
      <c r="N1297" s="376" t="s">
        <v>172</v>
      </c>
      <c r="O1297" s="379">
        <v>1</v>
      </c>
      <c r="P1297" s="385">
        <v>0.3</v>
      </c>
      <c r="Q1297" s="385">
        <v>0.3</v>
      </c>
      <c r="R1297" s="380">
        <v>80</v>
      </c>
      <c r="S1297" s="385">
        <v>0.3</v>
      </c>
      <c r="T1297" s="380">
        <v>9821.9500000000007</v>
      </c>
      <c r="U1297" s="380">
        <v>0</v>
      </c>
      <c r="V1297" s="380">
        <v>4343.8900000000003</v>
      </c>
      <c r="W1297" s="380">
        <v>16617.12</v>
      </c>
      <c r="X1297" s="380">
        <v>7088.44</v>
      </c>
      <c r="Y1297" s="380">
        <v>16617.12</v>
      </c>
      <c r="Z1297" s="380">
        <v>7018.65</v>
      </c>
      <c r="AA1297" s="376" t="s">
        <v>1763</v>
      </c>
      <c r="AB1297" s="376" t="s">
        <v>1764</v>
      </c>
      <c r="AC1297" s="376" t="s">
        <v>1765</v>
      </c>
      <c r="AD1297" s="376" t="s">
        <v>406</v>
      </c>
      <c r="AE1297" s="376" t="s">
        <v>863</v>
      </c>
      <c r="AF1297" s="376" t="s">
        <v>393</v>
      </c>
      <c r="AG1297" s="376" t="s">
        <v>178</v>
      </c>
      <c r="AH1297" s="381">
        <v>26.63</v>
      </c>
      <c r="AI1297" s="381">
        <v>50638.9</v>
      </c>
      <c r="AJ1297" s="376" t="s">
        <v>179</v>
      </c>
      <c r="AK1297" s="376" t="s">
        <v>180</v>
      </c>
      <c r="AL1297" s="376" t="s">
        <v>181</v>
      </c>
      <c r="AM1297" s="376" t="s">
        <v>182</v>
      </c>
      <c r="AN1297" s="376" t="s">
        <v>68</v>
      </c>
      <c r="AO1297" s="379">
        <v>80</v>
      </c>
      <c r="AP1297" s="385">
        <v>1</v>
      </c>
      <c r="AQ1297" s="385">
        <v>0.3</v>
      </c>
      <c r="AR1297" s="383" t="s">
        <v>183</v>
      </c>
      <c r="AS1297" s="387">
        <f t="shared" si="907"/>
        <v>0.3</v>
      </c>
      <c r="AT1297">
        <f t="shared" si="908"/>
        <v>1</v>
      </c>
      <c r="AU1297" s="387">
        <f>IF(AT1297=0,"",IF(AND(AT1297=1,M1297="F",SUMIF(C2:C1334,C1297,AS2:AS1334)&lt;=1),SUMIF(C2:C1334,C1297,AS2:AS1334),IF(AND(AT1297=1,M1297="F",SUMIF(C2:C1334,C1297,AS2:AS1334)&gt;1),1,"")))</f>
        <v>1</v>
      </c>
      <c r="AV1297" s="387" t="str">
        <f>IF(AT1297=0,"",IF(AND(AT1297=3,M1297="F",SUMIF(C2:C1334,C1297,AS2:AS1334)&lt;=1),SUMIF(C2:C1334,C1297,AS2:AS1334),IF(AND(AT1297=3,M1297="F",SUMIF(C2:C1334,C1297,AS2:AS1334)&gt;1),1,"")))</f>
        <v/>
      </c>
      <c r="AW1297" s="387">
        <f>SUMIF(C2:C1334,C1297,O2:O1334)</f>
        <v>3</v>
      </c>
      <c r="AX1297" s="387">
        <f>IF(AND(M1297="F",AS1297&lt;&gt;0),SUMIF(C2:C1334,C1297,W2:W1334),0)</f>
        <v>55390.399999999994</v>
      </c>
      <c r="AY1297" s="387">
        <f t="shared" si="909"/>
        <v>16617.12</v>
      </c>
      <c r="AZ1297" s="387" t="str">
        <f t="shared" si="910"/>
        <v/>
      </c>
      <c r="BA1297" s="387">
        <f t="shared" si="911"/>
        <v>0</v>
      </c>
      <c r="BB1297" s="387">
        <f t="shared" si="880"/>
        <v>3495</v>
      </c>
      <c r="BC1297" s="387">
        <f t="shared" si="881"/>
        <v>0</v>
      </c>
      <c r="BD1297" s="387">
        <f t="shared" si="882"/>
        <v>1030.26144</v>
      </c>
      <c r="BE1297" s="387">
        <f t="shared" si="883"/>
        <v>240.94824</v>
      </c>
      <c r="BF1297" s="387">
        <f t="shared" si="884"/>
        <v>1984.084128</v>
      </c>
      <c r="BG1297" s="387">
        <f t="shared" si="885"/>
        <v>119.8094352</v>
      </c>
      <c r="BH1297" s="387">
        <f t="shared" si="886"/>
        <v>81.423887999999991</v>
      </c>
      <c r="BI1297" s="387">
        <f t="shared" si="887"/>
        <v>91.975759199999999</v>
      </c>
      <c r="BJ1297" s="387">
        <f t="shared" si="888"/>
        <v>44.866224000000003</v>
      </c>
      <c r="BK1297" s="387">
        <f t="shared" si="889"/>
        <v>0</v>
      </c>
      <c r="BL1297" s="387">
        <f t="shared" si="912"/>
        <v>3593.3691143999995</v>
      </c>
      <c r="BM1297" s="387">
        <f t="shared" si="913"/>
        <v>0</v>
      </c>
      <c r="BN1297" s="387">
        <f t="shared" si="890"/>
        <v>3495</v>
      </c>
      <c r="BO1297" s="387">
        <f t="shared" si="891"/>
        <v>0</v>
      </c>
      <c r="BP1297" s="387">
        <f t="shared" si="892"/>
        <v>1030.26144</v>
      </c>
      <c r="BQ1297" s="387">
        <f t="shared" si="893"/>
        <v>240.94824</v>
      </c>
      <c r="BR1297" s="387">
        <f t="shared" si="894"/>
        <v>1984.084128</v>
      </c>
      <c r="BS1297" s="387">
        <f t="shared" si="895"/>
        <v>119.8094352</v>
      </c>
      <c r="BT1297" s="387">
        <f t="shared" si="896"/>
        <v>0</v>
      </c>
      <c r="BU1297" s="387">
        <f t="shared" si="897"/>
        <v>91.975759199999999</v>
      </c>
      <c r="BV1297" s="387">
        <f t="shared" si="898"/>
        <v>56.498207999999991</v>
      </c>
      <c r="BW1297" s="387">
        <f t="shared" si="899"/>
        <v>0</v>
      </c>
      <c r="BX1297" s="387">
        <f t="shared" si="914"/>
        <v>3523.5772103999998</v>
      </c>
      <c r="BY1297" s="387">
        <f t="shared" si="915"/>
        <v>0</v>
      </c>
      <c r="BZ1297" s="387">
        <f t="shared" si="916"/>
        <v>0</v>
      </c>
      <c r="CA1297" s="387">
        <f t="shared" si="917"/>
        <v>0</v>
      </c>
      <c r="CB1297" s="387">
        <f t="shared" si="918"/>
        <v>0</v>
      </c>
      <c r="CC1297" s="387">
        <f t="shared" si="900"/>
        <v>0</v>
      </c>
      <c r="CD1297" s="387">
        <f t="shared" si="901"/>
        <v>0</v>
      </c>
      <c r="CE1297" s="387">
        <f t="shared" si="902"/>
        <v>0</v>
      </c>
      <c r="CF1297" s="387">
        <f t="shared" si="903"/>
        <v>-81.423887999999991</v>
      </c>
      <c r="CG1297" s="387">
        <f t="shared" si="904"/>
        <v>0</v>
      </c>
      <c r="CH1297" s="387">
        <f t="shared" si="905"/>
        <v>11.631983999999994</v>
      </c>
      <c r="CI1297" s="387">
        <f t="shared" si="906"/>
        <v>0</v>
      </c>
      <c r="CJ1297" s="387">
        <f t="shared" si="919"/>
        <v>-69.791904000000002</v>
      </c>
      <c r="CK1297" s="387" t="str">
        <f t="shared" si="920"/>
        <v/>
      </c>
      <c r="CL1297" s="387" t="str">
        <f t="shared" si="921"/>
        <v/>
      </c>
      <c r="CM1297" s="387" t="str">
        <f t="shared" si="922"/>
        <v/>
      </c>
      <c r="CN1297" s="387" t="str">
        <f t="shared" si="923"/>
        <v>0348-31</v>
      </c>
    </row>
    <row r="1298" spans="1:92" ht="15.75" thickBot="1" x14ac:dyDescent="0.3">
      <c r="A1298" s="376" t="s">
        <v>161</v>
      </c>
      <c r="B1298" s="376" t="s">
        <v>162</v>
      </c>
      <c r="C1298" s="376" t="s">
        <v>2562</v>
      </c>
      <c r="D1298" s="376" t="s">
        <v>974</v>
      </c>
      <c r="E1298" s="376" t="s">
        <v>224</v>
      </c>
      <c r="F1298" s="382" t="s">
        <v>225</v>
      </c>
      <c r="G1298" s="376" t="s">
        <v>1945</v>
      </c>
      <c r="H1298" s="378"/>
      <c r="I1298" s="378"/>
      <c r="J1298" s="376" t="s">
        <v>215</v>
      </c>
      <c r="K1298" s="376" t="s">
        <v>975</v>
      </c>
      <c r="L1298" s="376" t="s">
        <v>296</v>
      </c>
      <c r="M1298" s="376" t="s">
        <v>171</v>
      </c>
      <c r="N1298" s="376" t="s">
        <v>172</v>
      </c>
      <c r="O1298" s="379">
        <v>1</v>
      </c>
      <c r="P1298" s="385">
        <v>1</v>
      </c>
      <c r="Q1298" s="385">
        <v>1</v>
      </c>
      <c r="R1298" s="380">
        <v>80</v>
      </c>
      <c r="S1298" s="385">
        <v>1</v>
      </c>
      <c r="T1298" s="380">
        <v>31414.400000000001</v>
      </c>
      <c r="U1298" s="380">
        <v>0</v>
      </c>
      <c r="V1298" s="380">
        <v>15208.58</v>
      </c>
      <c r="W1298" s="380">
        <v>43243.199999999997</v>
      </c>
      <c r="X1298" s="380">
        <v>21001.3</v>
      </c>
      <c r="Y1298" s="380">
        <v>43243.199999999997</v>
      </c>
      <c r="Z1298" s="380">
        <v>20819.68</v>
      </c>
      <c r="AA1298" s="376" t="s">
        <v>2563</v>
      </c>
      <c r="AB1298" s="376" t="s">
        <v>2564</v>
      </c>
      <c r="AC1298" s="376" t="s">
        <v>260</v>
      </c>
      <c r="AD1298" s="376" t="s">
        <v>1178</v>
      </c>
      <c r="AE1298" s="376" t="s">
        <v>975</v>
      </c>
      <c r="AF1298" s="376" t="s">
        <v>301</v>
      </c>
      <c r="AG1298" s="376" t="s">
        <v>178</v>
      </c>
      <c r="AH1298" s="381">
        <v>20.79</v>
      </c>
      <c r="AI1298" s="381">
        <v>2412.3000000000002</v>
      </c>
      <c r="AJ1298" s="376" t="s">
        <v>179</v>
      </c>
      <c r="AK1298" s="376" t="s">
        <v>180</v>
      </c>
      <c r="AL1298" s="376" t="s">
        <v>181</v>
      </c>
      <c r="AM1298" s="376" t="s">
        <v>182</v>
      </c>
      <c r="AN1298" s="376" t="s">
        <v>68</v>
      </c>
      <c r="AO1298" s="379">
        <v>80</v>
      </c>
      <c r="AP1298" s="385">
        <v>1</v>
      </c>
      <c r="AQ1298" s="385">
        <v>1</v>
      </c>
      <c r="AR1298" s="383" t="s">
        <v>183</v>
      </c>
      <c r="AS1298" s="387">
        <f t="shared" si="907"/>
        <v>1</v>
      </c>
      <c r="AT1298">
        <f t="shared" si="908"/>
        <v>1</v>
      </c>
      <c r="AU1298" s="387">
        <f>IF(AT1298=0,"",IF(AND(AT1298=1,M1298="F",SUMIF(C2:C1334,C1298,AS2:AS1334)&lt;=1),SUMIF(C2:C1334,C1298,AS2:AS1334),IF(AND(AT1298=1,M1298="F",SUMIF(C2:C1334,C1298,AS2:AS1334)&gt;1),1,"")))</f>
        <v>1</v>
      </c>
      <c r="AV1298" s="387" t="str">
        <f>IF(AT1298=0,"",IF(AND(AT1298=3,M1298="F",SUMIF(C2:C1334,C1298,AS2:AS1334)&lt;=1),SUMIF(C2:C1334,C1298,AS2:AS1334),IF(AND(AT1298=3,M1298="F",SUMIF(C2:C1334,C1298,AS2:AS1334)&gt;1),1,"")))</f>
        <v/>
      </c>
      <c r="AW1298" s="387">
        <f>SUMIF(C2:C1334,C1298,O2:O1334)</f>
        <v>1</v>
      </c>
      <c r="AX1298" s="387">
        <f>IF(AND(M1298="F",AS1298&lt;&gt;0),SUMIF(C2:C1334,C1298,W2:W1334),0)</f>
        <v>43243.199999999997</v>
      </c>
      <c r="AY1298" s="387">
        <f t="shared" si="909"/>
        <v>43243.199999999997</v>
      </c>
      <c r="AZ1298" s="387" t="str">
        <f t="shared" si="910"/>
        <v/>
      </c>
      <c r="BA1298" s="387">
        <f t="shared" si="911"/>
        <v>0</v>
      </c>
      <c r="BB1298" s="387">
        <f t="shared" si="880"/>
        <v>11650</v>
      </c>
      <c r="BC1298" s="387">
        <f t="shared" si="881"/>
        <v>0</v>
      </c>
      <c r="BD1298" s="387">
        <f t="shared" si="882"/>
        <v>2681.0783999999999</v>
      </c>
      <c r="BE1298" s="387">
        <f t="shared" si="883"/>
        <v>627.02639999999997</v>
      </c>
      <c r="BF1298" s="387">
        <f t="shared" si="884"/>
        <v>5163.2380800000001</v>
      </c>
      <c r="BG1298" s="387">
        <f t="shared" si="885"/>
        <v>311.78347200000002</v>
      </c>
      <c r="BH1298" s="387">
        <f t="shared" si="886"/>
        <v>211.89167999999998</v>
      </c>
      <c r="BI1298" s="387">
        <f t="shared" si="887"/>
        <v>239.35111199999997</v>
      </c>
      <c r="BJ1298" s="387">
        <f t="shared" si="888"/>
        <v>116.75664</v>
      </c>
      <c r="BK1298" s="387">
        <f t="shared" si="889"/>
        <v>0</v>
      </c>
      <c r="BL1298" s="387">
        <f t="shared" si="912"/>
        <v>9351.1257839999998</v>
      </c>
      <c r="BM1298" s="387">
        <f t="shared" si="913"/>
        <v>0</v>
      </c>
      <c r="BN1298" s="387">
        <f t="shared" si="890"/>
        <v>11650</v>
      </c>
      <c r="BO1298" s="387">
        <f t="shared" si="891"/>
        <v>0</v>
      </c>
      <c r="BP1298" s="387">
        <f t="shared" si="892"/>
        <v>2681.0783999999999</v>
      </c>
      <c r="BQ1298" s="387">
        <f t="shared" si="893"/>
        <v>627.02639999999997</v>
      </c>
      <c r="BR1298" s="387">
        <f t="shared" si="894"/>
        <v>5163.2380800000001</v>
      </c>
      <c r="BS1298" s="387">
        <f t="shared" si="895"/>
        <v>311.78347200000002</v>
      </c>
      <c r="BT1298" s="387">
        <f t="shared" si="896"/>
        <v>0</v>
      </c>
      <c r="BU1298" s="387">
        <f t="shared" si="897"/>
        <v>239.35111199999997</v>
      </c>
      <c r="BV1298" s="387">
        <f t="shared" si="898"/>
        <v>147.02687999999998</v>
      </c>
      <c r="BW1298" s="387">
        <f t="shared" si="899"/>
        <v>0</v>
      </c>
      <c r="BX1298" s="387">
        <f t="shared" si="914"/>
        <v>9169.504343999999</v>
      </c>
      <c r="BY1298" s="387">
        <f t="shared" si="915"/>
        <v>0</v>
      </c>
      <c r="BZ1298" s="387">
        <f t="shared" si="916"/>
        <v>0</v>
      </c>
      <c r="CA1298" s="387">
        <f t="shared" si="917"/>
        <v>0</v>
      </c>
      <c r="CB1298" s="387">
        <f t="shared" si="918"/>
        <v>0</v>
      </c>
      <c r="CC1298" s="387">
        <f t="shared" si="900"/>
        <v>0</v>
      </c>
      <c r="CD1298" s="387">
        <f t="shared" si="901"/>
        <v>0</v>
      </c>
      <c r="CE1298" s="387">
        <f t="shared" si="902"/>
        <v>0</v>
      </c>
      <c r="CF1298" s="387">
        <f t="shared" si="903"/>
        <v>-211.89167999999998</v>
      </c>
      <c r="CG1298" s="387">
        <f t="shared" si="904"/>
        <v>0</v>
      </c>
      <c r="CH1298" s="387">
        <f t="shared" si="905"/>
        <v>30.270239999999983</v>
      </c>
      <c r="CI1298" s="387">
        <f t="shared" si="906"/>
        <v>0</v>
      </c>
      <c r="CJ1298" s="387">
        <f t="shared" si="919"/>
        <v>-181.62144000000001</v>
      </c>
      <c r="CK1298" s="387" t="str">
        <f t="shared" si="920"/>
        <v/>
      </c>
      <c r="CL1298" s="387" t="str">
        <f t="shared" si="921"/>
        <v/>
      </c>
      <c r="CM1298" s="387" t="str">
        <f t="shared" si="922"/>
        <v/>
      </c>
      <c r="CN1298" s="387" t="str">
        <f t="shared" si="923"/>
        <v>0348-31</v>
      </c>
    </row>
    <row r="1299" spans="1:92" ht="15.75" thickBot="1" x14ac:dyDescent="0.3">
      <c r="A1299" s="376" t="s">
        <v>161</v>
      </c>
      <c r="B1299" s="376" t="s">
        <v>162</v>
      </c>
      <c r="C1299" s="376" t="s">
        <v>2565</v>
      </c>
      <c r="D1299" s="376" t="s">
        <v>2173</v>
      </c>
      <c r="E1299" s="376" t="s">
        <v>224</v>
      </c>
      <c r="F1299" s="382" t="s">
        <v>225</v>
      </c>
      <c r="G1299" s="376" t="s">
        <v>1945</v>
      </c>
      <c r="H1299" s="378"/>
      <c r="I1299" s="378"/>
      <c r="J1299" s="376" t="s">
        <v>215</v>
      </c>
      <c r="K1299" s="376" t="s">
        <v>2174</v>
      </c>
      <c r="L1299" s="376" t="s">
        <v>296</v>
      </c>
      <c r="M1299" s="376" t="s">
        <v>171</v>
      </c>
      <c r="N1299" s="376" t="s">
        <v>172</v>
      </c>
      <c r="O1299" s="379">
        <v>1</v>
      </c>
      <c r="P1299" s="385">
        <v>1</v>
      </c>
      <c r="Q1299" s="385">
        <v>1</v>
      </c>
      <c r="R1299" s="380">
        <v>80</v>
      </c>
      <c r="S1299" s="385">
        <v>1</v>
      </c>
      <c r="T1299" s="380">
        <v>30624.959999999999</v>
      </c>
      <c r="U1299" s="380">
        <v>875.1</v>
      </c>
      <c r="V1299" s="380">
        <v>14012.93</v>
      </c>
      <c r="W1299" s="380">
        <v>50003.199999999997</v>
      </c>
      <c r="X1299" s="380">
        <v>22463.15</v>
      </c>
      <c r="Y1299" s="380">
        <v>50003.199999999997</v>
      </c>
      <c r="Z1299" s="380">
        <v>22253.15</v>
      </c>
      <c r="AA1299" s="376" t="s">
        <v>2566</v>
      </c>
      <c r="AB1299" s="376" t="s">
        <v>2279</v>
      </c>
      <c r="AC1299" s="376" t="s">
        <v>2567</v>
      </c>
      <c r="AD1299" s="376" t="s">
        <v>210</v>
      </c>
      <c r="AE1299" s="376" t="s">
        <v>2174</v>
      </c>
      <c r="AF1299" s="376" t="s">
        <v>301</v>
      </c>
      <c r="AG1299" s="376" t="s">
        <v>178</v>
      </c>
      <c r="AH1299" s="381">
        <v>24.04</v>
      </c>
      <c r="AI1299" s="381">
        <v>27766.1</v>
      </c>
      <c r="AJ1299" s="376" t="s">
        <v>179</v>
      </c>
      <c r="AK1299" s="376" t="s">
        <v>180</v>
      </c>
      <c r="AL1299" s="376" t="s">
        <v>181</v>
      </c>
      <c r="AM1299" s="376" t="s">
        <v>182</v>
      </c>
      <c r="AN1299" s="376" t="s">
        <v>68</v>
      </c>
      <c r="AO1299" s="379">
        <v>80</v>
      </c>
      <c r="AP1299" s="385">
        <v>1</v>
      </c>
      <c r="AQ1299" s="385">
        <v>1</v>
      </c>
      <c r="AR1299" s="383" t="s">
        <v>183</v>
      </c>
      <c r="AS1299" s="387">
        <f t="shared" si="907"/>
        <v>1</v>
      </c>
      <c r="AT1299">
        <f t="shared" si="908"/>
        <v>1</v>
      </c>
      <c r="AU1299" s="387">
        <f>IF(AT1299=0,"",IF(AND(AT1299=1,M1299="F",SUMIF(C2:C1334,C1299,AS2:AS1334)&lt;=1),SUMIF(C2:C1334,C1299,AS2:AS1334),IF(AND(AT1299=1,M1299="F",SUMIF(C2:C1334,C1299,AS2:AS1334)&gt;1),1,"")))</f>
        <v>1</v>
      </c>
      <c r="AV1299" s="387" t="str">
        <f>IF(AT1299=0,"",IF(AND(AT1299=3,M1299="F",SUMIF(C2:C1334,C1299,AS2:AS1334)&lt;=1),SUMIF(C2:C1334,C1299,AS2:AS1334),IF(AND(AT1299=3,M1299="F",SUMIF(C2:C1334,C1299,AS2:AS1334)&gt;1),1,"")))</f>
        <v/>
      </c>
      <c r="AW1299" s="387">
        <f>SUMIF(C2:C1334,C1299,O2:O1334)</f>
        <v>1</v>
      </c>
      <c r="AX1299" s="387">
        <f>IF(AND(M1299="F",AS1299&lt;&gt;0),SUMIF(C2:C1334,C1299,W2:W1334),0)</f>
        <v>50003.199999999997</v>
      </c>
      <c r="AY1299" s="387">
        <f t="shared" si="909"/>
        <v>50003.199999999997</v>
      </c>
      <c r="AZ1299" s="387" t="str">
        <f t="shared" si="910"/>
        <v/>
      </c>
      <c r="BA1299" s="387">
        <f t="shared" si="911"/>
        <v>0</v>
      </c>
      <c r="BB1299" s="387">
        <f t="shared" si="880"/>
        <v>11650</v>
      </c>
      <c r="BC1299" s="387">
        <f t="shared" si="881"/>
        <v>0</v>
      </c>
      <c r="BD1299" s="387">
        <f t="shared" si="882"/>
        <v>3100.1983999999998</v>
      </c>
      <c r="BE1299" s="387">
        <f t="shared" si="883"/>
        <v>725.04639999999995</v>
      </c>
      <c r="BF1299" s="387">
        <f t="shared" si="884"/>
        <v>5970.3820800000003</v>
      </c>
      <c r="BG1299" s="387">
        <f t="shared" si="885"/>
        <v>360.52307200000001</v>
      </c>
      <c r="BH1299" s="387">
        <f t="shared" si="886"/>
        <v>245.01567999999997</v>
      </c>
      <c r="BI1299" s="387">
        <f t="shared" si="887"/>
        <v>276.76771199999996</v>
      </c>
      <c r="BJ1299" s="387">
        <f t="shared" si="888"/>
        <v>135.00863999999999</v>
      </c>
      <c r="BK1299" s="387">
        <f t="shared" si="889"/>
        <v>0</v>
      </c>
      <c r="BL1299" s="387">
        <f t="shared" si="912"/>
        <v>10812.941984000001</v>
      </c>
      <c r="BM1299" s="387">
        <f t="shared" si="913"/>
        <v>0</v>
      </c>
      <c r="BN1299" s="387">
        <f t="shared" si="890"/>
        <v>11650</v>
      </c>
      <c r="BO1299" s="387">
        <f t="shared" si="891"/>
        <v>0</v>
      </c>
      <c r="BP1299" s="387">
        <f t="shared" si="892"/>
        <v>3100.1983999999998</v>
      </c>
      <c r="BQ1299" s="387">
        <f t="shared" si="893"/>
        <v>725.04639999999995</v>
      </c>
      <c r="BR1299" s="387">
        <f t="shared" si="894"/>
        <v>5970.3820800000003</v>
      </c>
      <c r="BS1299" s="387">
        <f t="shared" si="895"/>
        <v>360.52307200000001</v>
      </c>
      <c r="BT1299" s="387">
        <f t="shared" si="896"/>
        <v>0</v>
      </c>
      <c r="BU1299" s="387">
        <f t="shared" si="897"/>
        <v>276.76771199999996</v>
      </c>
      <c r="BV1299" s="387">
        <f t="shared" si="898"/>
        <v>170.01087999999999</v>
      </c>
      <c r="BW1299" s="387">
        <f t="shared" si="899"/>
        <v>0</v>
      </c>
      <c r="BX1299" s="387">
        <f t="shared" si="914"/>
        <v>10602.928544</v>
      </c>
      <c r="BY1299" s="387">
        <f t="shared" si="915"/>
        <v>0</v>
      </c>
      <c r="BZ1299" s="387">
        <f t="shared" si="916"/>
        <v>0</v>
      </c>
      <c r="CA1299" s="387">
        <f t="shared" si="917"/>
        <v>0</v>
      </c>
      <c r="CB1299" s="387">
        <f t="shared" si="918"/>
        <v>0</v>
      </c>
      <c r="CC1299" s="387">
        <f t="shared" si="900"/>
        <v>0</v>
      </c>
      <c r="CD1299" s="387">
        <f t="shared" si="901"/>
        <v>0</v>
      </c>
      <c r="CE1299" s="387">
        <f t="shared" si="902"/>
        <v>0</v>
      </c>
      <c r="CF1299" s="387">
        <f t="shared" si="903"/>
        <v>-245.01567999999997</v>
      </c>
      <c r="CG1299" s="387">
        <f t="shared" si="904"/>
        <v>0</v>
      </c>
      <c r="CH1299" s="387">
        <f t="shared" si="905"/>
        <v>35.002239999999979</v>
      </c>
      <c r="CI1299" s="387">
        <f t="shared" si="906"/>
        <v>0</v>
      </c>
      <c r="CJ1299" s="387">
        <f t="shared" si="919"/>
        <v>-210.01344</v>
      </c>
      <c r="CK1299" s="387" t="str">
        <f t="shared" si="920"/>
        <v/>
      </c>
      <c r="CL1299" s="387" t="str">
        <f t="shared" si="921"/>
        <v/>
      </c>
      <c r="CM1299" s="387" t="str">
        <f t="shared" si="922"/>
        <v/>
      </c>
      <c r="CN1299" s="387" t="str">
        <f t="shared" si="923"/>
        <v>0348-31</v>
      </c>
    </row>
    <row r="1300" spans="1:92" ht="15.75" thickBot="1" x14ac:dyDescent="0.3">
      <c r="A1300" s="376" t="s">
        <v>161</v>
      </c>
      <c r="B1300" s="376" t="s">
        <v>162</v>
      </c>
      <c r="C1300" s="376" t="s">
        <v>890</v>
      </c>
      <c r="D1300" s="376" t="s">
        <v>891</v>
      </c>
      <c r="E1300" s="376" t="s">
        <v>224</v>
      </c>
      <c r="F1300" s="382" t="s">
        <v>225</v>
      </c>
      <c r="G1300" s="376" t="s">
        <v>1945</v>
      </c>
      <c r="H1300" s="378"/>
      <c r="I1300" s="378"/>
      <c r="J1300" s="376" t="s">
        <v>239</v>
      </c>
      <c r="K1300" s="376" t="s">
        <v>892</v>
      </c>
      <c r="L1300" s="376" t="s">
        <v>432</v>
      </c>
      <c r="M1300" s="376" t="s">
        <v>566</v>
      </c>
      <c r="N1300" s="376" t="s">
        <v>172</v>
      </c>
      <c r="O1300" s="379">
        <v>0</v>
      </c>
      <c r="P1300" s="385">
        <v>0</v>
      </c>
      <c r="Q1300" s="385">
        <v>0</v>
      </c>
      <c r="R1300" s="380">
        <v>80</v>
      </c>
      <c r="S1300" s="385">
        <v>0</v>
      </c>
      <c r="T1300" s="380">
        <v>27934.400000000001</v>
      </c>
      <c r="U1300" s="380">
        <v>0</v>
      </c>
      <c r="V1300" s="380">
        <v>9118.4</v>
      </c>
      <c r="W1300" s="380">
        <v>0</v>
      </c>
      <c r="X1300" s="380">
        <v>0</v>
      </c>
      <c r="Y1300" s="380">
        <v>0</v>
      </c>
      <c r="Z1300" s="380">
        <v>0</v>
      </c>
      <c r="AA1300" s="378"/>
      <c r="AB1300" s="376" t="s">
        <v>45</v>
      </c>
      <c r="AC1300" s="376" t="s">
        <v>45</v>
      </c>
      <c r="AD1300" s="378"/>
      <c r="AE1300" s="378"/>
      <c r="AF1300" s="378"/>
      <c r="AG1300" s="378"/>
      <c r="AH1300" s="379">
        <v>0</v>
      </c>
      <c r="AI1300" s="379">
        <v>0</v>
      </c>
      <c r="AJ1300" s="378"/>
      <c r="AK1300" s="378"/>
      <c r="AL1300" s="376" t="s">
        <v>181</v>
      </c>
      <c r="AM1300" s="378"/>
      <c r="AN1300" s="378"/>
      <c r="AO1300" s="379">
        <v>0</v>
      </c>
      <c r="AP1300" s="385">
        <v>0</v>
      </c>
      <c r="AQ1300" s="385">
        <v>0</v>
      </c>
      <c r="AR1300" s="384"/>
      <c r="AS1300" s="387">
        <f t="shared" si="907"/>
        <v>0</v>
      </c>
      <c r="AT1300">
        <f t="shared" si="908"/>
        <v>0</v>
      </c>
      <c r="AU1300" s="387" t="str">
        <f>IF(AT1300=0,"",IF(AND(AT1300=1,M1300="F",SUMIF(C2:C1334,C1300,AS2:AS1334)&lt;=1),SUMIF(C2:C1334,C1300,AS2:AS1334),IF(AND(AT1300=1,M1300="F",SUMIF(C2:C1334,C1300,AS2:AS1334)&gt;1),1,"")))</f>
        <v/>
      </c>
      <c r="AV1300" s="387" t="str">
        <f>IF(AT1300=0,"",IF(AND(AT1300=3,M1300="F",SUMIF(C2:C1334,C1300,AS2:AS1334)&lt;=1),SUMIF(C2:C1334,C1300,AS2:AS1334),IF(AND(AT1300=3,M1300="F",SUMIF(C2:C1334,C1300,AS2:AS1334)&gt;1),1,"")))</f>
        <v/>
      </c>
      <c r="AW1300" s="387">
        <f>SUMIF(C2:C1334,C1300,O2:O1334)</f>
        <v>0</v>
      </c>
      <c r="AX1300" s="387">
        <f>IF(AND(M1300="F",AS1300&lt;&gt;0),SUMIF(C2:C1334,C1300,W2:W1334),0)</f>
        <v>0</v>
      </c>
      <c r="AY1300" s="387" t="str">
        <f t="shared" si="909"/>
        <v/>
      </c>
      <c r="AZ1300" s="387" t="str">
        <f t="shared" si="910"/>
        <v/>
      </c>
      <c r="BA1300" s="387">
        <f t="shared" si="911"/>
        <v>0</v>
      </c>
      <c r="BB1300" s="387">
        <f t="shared" si="880"/>
        <v>0</v>
      </c>
      <c r="BC1300" s="387">
        <f t="shared" si="881"/>
        <v>0</v>
      </c>
      <c r="BD1300" s="387">
        <f t="shared" si="882"/>
        <v>0</v>
      </c>
      <c r="BE1300" s="387">
        <f t="shared" si="883"/>
        <v>0</v>
      </c>
      <c r="BF1300" s="387">
        <f t="shared" si="884"/>
        <v>0</v>
      </c>
      <c r="BG1300" s="387">
        <f t="shared" si="885"/>
        <v>0</v>
      </c>
      <c r="BH1300" s="387">
        <f t="shared" si="886"/>
        <v>0</v>
      </c>
      <c r="BI1300" s="387">
        <f t="shared" si="887"/>
        <v>0</v>
      </c>
      <c r="BJ1300" s="387">
        <f t="shared" si="888"/>
        <v>0</v>
      </c>
      <c r="BK1300" s="387">
        <f t="shared" si="889"/>
        <v>0</v>
      </c>
      <c r="BL1300" s="387">
        <f t="shared" si="912"/>
        <v>0</v>
      </c>
      <c r="BM1300" s="387">
        <f t="shared" si="913"/>
        <v>0</v>
      </c>
      <c r="BN1300" s="387">
        <f t="shared" si="890"/>
        <v>0</v>
      </c>
      <c r="BO1300" s="387">
        <f t="shared" si="891"/>
        <v>0</v>
      </c>
      <c r="BP1300" s="387">
        <f t="shared" si="892"/>
        <v>0</v>
      </c>
      <c r="BQ1300" s="387">
        <f t="shared" si="893"/>
        <v>0</v>
      </c>
      <c r="BR1300" s="387">
        <f t="shared" si="894"/>
        <v>0</v>
      </c>
      <c r="BS1300" s="387">
        <f t="shared" si="895"/>
        <v>0</v>
      </c>
      <c r="BT1300" s="387">
        <f t="shared" si="896"/>
        <v>0</v>
      </c>
      <c r="BU1300" s="387">
        <f t="shared" si="897"/>
        <v>0</v>
      </c>
      <c r="BV1300" s="387">
        <f t="shared" si="898"/>
        <v>0</v>
      </c>
      <c r="BW1300" s="387">
        <f t="shared" si="899"/>
        <v>0</v>
      </c>
      <c r="BX1300" s="387">
        <f t="shared" si="914"/>
        <v>0</v>
      </c>
      <c r="BY1300" s="387">
        <f t="shared" si="915"/>
        <v>0</v>
      </c>
      <c r="BZ1300" s="387">
        <f t="shared" si="916"/>
        <v>0</v>
      </c>
      <c r="CA1300" s="387">
        <f t="shared" si="917"/>
        <v>0</v>
      </c>
      <c r="CB1300" s="387">
        <f t="shared" si="918"/>
        <v>0</v>
      </c>
      <c r="CC1300" s="387">
        <f t="shared" si="900"/>
        <v>0</v>
      </c>
      <c r="CD1300" s="387">
        <f t="shared" si="901"/>
        <v>0</v>
      </c>
      <c r="CE1300" s="387">
        <f t="shared" si="902"/>
        <v>0</v>
      </c>
      <c r="CF1300" s="387">
        <f t="shared" si="903"/>
        <v>0</v>
      </c>
      <c r="CG1300" s="387">
        <f t="shared" si="904"/>
        <v>0</v>
      </c>
      <c r="CH1300" s="387">
        <f t="shared" si="905"/>
        <v>0</v>
      </c>
      <c r="CI1300" s="387">
        <f t="shared" si="906"/>
        <v>0</v>
      </c>
      <c r="CJ1300" s="387">
        <f t="shared" si="919"/>
        <v>0</v>
      </c>
      <c r="CK1300" s="387" t="str">
        <f t="shared" si="920"/>
        <v/>
      </c>
      <c r="CL1300" s="387" t="str">
        <f t="shared" si="921"/>
        <v/>
      </c>
      <c r="CM1300" s="387" t="str">
        <f t="shared" si="922"/>
        <v/>
      </c>
      <c r="CN1300" s="387" t="str">
        <f t="shared" si="923"/>
        <v>0348-31</v>
      </c>
    </row>
    <row r="1301" spans="1:92" ht="15.75" thickBot="1" x14ac:dyDescent="0.3">
      <c r="A1301" s="376" t="s">
        <v>161</v>
      </c>
      <c r="B1301" s="376" t="s">
        <v>162</v>
      </c>
      <c r="C1301" s="376" t="s">
        <v>2568</v>
      </c>
      <c r="D1301" s="376" t="s">
        <v>862</v>
      </c>
      <c r="E1301" s="376" t="s">
        <v>224</v>
      </c>
      <c r="F1301" s="382" t="s">
        <v>225</v>
      </c>
      <c r="G1301" s="376" t="s">
        <v>1945</v>
      </c>
      <c r="H1301" s="378"/>
      <c r="I1301" s="378"/>
      <c r="J1301" s="376" t="s">
        <v>215</v>
      </c>
      <c r="K1301" s="376" t="s">
        <v>863</v>
      </c>
      <c r="L1301" s="376" t="s">
        <v>252</v>
      </c>
      <c r="M1301" s="376" t="s">
        <v>171</v>
      </c>
      <c r="N1301" s="376" t="s">
        <v>172</v>
      </c>
      <c r="O1301" s="379">
        <v>1</v>
      </c>
      <c r="P1301" s="385">
        <v>1</v>
      </c>
      <c r="Q1301" s="385">
        <v>1</v>
      </c>
      <c r="R1301" s="380">
        <v>80</v>
      </c>
      <c r="S1301" s="385">
        <v>1</v>
      </c>
      <c r="T1301" s="380">
        <v>33615.72</v>
      </c>
      <c r="U1301" s="380">
        <v>0</v>
      </c>
      <c r="V1301" s="380">
        <v>18709.29</v>
      </c>
      <c r="W1301" s="380">
        <v>38688</v>
      </c>
      <c r="X1301" s="380">
        <v>20016.25</v>
      </c>
      <c r="Y1301" s="380">
        <v>38688</v>
      </c>
      <c r="Z1301" s="380">
        <v>19853.759999999998</v>
      </c>
      <c r="AA1301" s="376" t="s">
        <v>2569</v>
      </c>
      <c r="AB1301" s="376" t="s">
        <v>2570</v>
      </c>
      <c r="AC1301" s="376" t="s">
        <v>1825</v>
      </c>
      <c r="AD1301" s="376" t="s">
        <v>252</v>
      </c>
      <c r="AE1301" s="376" t="s">
        <v>863</v>
      </c>
      <c r="AF1301" s="376" t="s">
        <v>393</v>
      </c>
      <c r="AG1301" s="376" t="s">
        <v>178</v>
      </c>
      <c r="AH1301" s="381">
        <v>18.600000000000001</v>
      </c>
      <c r="AI1301" s="381">
        <v>2000.2</v>
      </c>
      <c r="AJ1301" s="376" t="s">
        <v>179</v>
      </c>
      <c r="AK1301" s="376" t="s">
        <v>180</v>
      </c>
      <c r="AL1301" s="376" t="s">
        <v>181</v>
      </c>
      <c r="AM1301" s="376" t="s">
        <v>182</v>
      </c>
      <c r="AN1301" s="376" t="s">
        <v>68</v>
      </c>
      <c r="AO1301" s="379">
        <v>80</v>
      </c>
      <c r="AP1301" s="385">
        <v>1</v>
      </c>
      <c r="AQ1301" s="385">
        <v>1</v>
      </c>
      <c r="AR1301" s="383" t="s">
        <v>183</v>
      </c>
      <c r="AS1301" s="387">
        <f t="shared" si="907"/>
        <v>1</v>
      </c>
      <c r="AT1301">
        <f t="shared" si="908"/>
        <v>1</v>
      </c>
      <c r="AU1301" s="387">
        <f>IF(AT1301=0,"",IF(AND(AT1301=1,M1301="F",SUMIF(C2:C1334,C1301,AS2:AS1334)&lt;=1),SUMIF(C2:C1334,C1301,AS2:AS1334),IF(AND(AT1301=1,M1301="F",SUMIF(C2:C1334,C1301,AS2:AS1334)&gt;1),1,"")))</f>
        <v>1</v>
      </c>
      <c r="AV1301" s="387" t="str">
        <f>IF(AT1301=0,"",IF(AND(AT1301=3,M1301="F",SUMIF(C2:C1334,C1301,AS2:AS1334)&lt;=1),SUMIF(C2:C1334,C1301,AS2:AS1334),IF(AND(AT1301=3,M1301="F",SUMIF(C2:C1334,C1301,AS2:AS1334)&gt;1),1,"")))</f>
        <v/>
      </c>
      <c r="AW1301" s="387">
        <f>SUMIF(C2:C1334,C1301,O2:O1334)</f>
        <v>1</v>
      </c>
      <c r="AX1301" s="387">
        <f>IF(AND(M1301="F",AS1301&lt;&gt;0),SUMIF(C2:C1334,C1301,W2:W1334),0)</f>
        <v>38688</v>
      </c>
      <c r="AY1301" s="387">
        <f t="shared" si="909"/>
        <v>38688</v>
      </c>
      <c r="AZ1301" s="387" t="str">
        <f t="shared" si="910"/>
        <v/>
      </c>
      <c r="BA1301" s="387">
        <f t="shared" si="911"/>
        <v>0</v>
      </c>
      <c r="BB1301" s="387">
        <f t="shared" si="880"/>
        <v>11650</v>
      </c>
      <c r="BC1301" s="387">
        <f t="shared" si="881"/>
        <v>0</v>
      </c>
      <c r="BD1301" s="387">
        <f t="shared" si="882"/>
        <v>2398.6559999999999</v>
      </c>
      <c r="BE1301" s="387">
        <f t="shared" si="883"/>
        <v>560.976</v>
      </c>
      <c r="BF1301" s="387">
        <f t="shared" si="884"/>
        <v>4619.3472000000002</v>
      </c>
      <c r="BG1301" s="387">
        <f t="shared" si="885"/>
        <v>278.94048000000004</v>
      </c>
      <c r="BH1301" s="387">
        <f t="shared" si="886"/>
        <v>189.5712</v>
      </c>
      <c r="BI1301" s="387">
        <f t="shared" si="887"/>
        <v>214.13808</v>
      </c>
      <c r="BJ1301" s="387">
        <f t="shared" si="888"/>
        <v>104.4576</v>
      </c>
      <c r="BK1301" s="387">
        <f t="shared" si="889"/>
        <v>0</v>
      </c>
      <c r="BL1301" s="387">
        <f t="shared" si="912"/>
        <v>8366.0865599999997</v>
      </c>
      <c r="BM1301" s="387">
        <f t="shared" si="913"/>
        <v>0</v>
      </c>
      <c r="BN1301" s="387">
        <f t="shared" si="890"/>
        <v>11650</v>
      </c>
      <c r="BO1301" s="387">
        <f t="shared" si="891"/>
        <v>0</v>
      </c>
      <c r="BP1301" s="387">
        <f t="shared" si="892"/>
        <v>2398.6559999999999</v>
      </c>
      <c r="BQ1301" s="387">
        <f t="shared" si="893"/>
        <v>560.976</v>
      </c>
      <c r="BR1301" s="387">
        <f t="shared" si="894"/>
        <v>4619.3472000000002</v>
      </c>
      <c r="BS1301" s="387">
        <f t="shared" si="895"/>
        <v>278.94048000000004</v>
      </c>
      <c r="BT1301" s="387">
        <f t="shared" si="896"/>
        <v>0</v>
      </c>
      <c r="BU1301" s="387">
        <f t="shared" si="897"/>
        <v>214.13808</v>
      </c>
      <c r="BV1301" s="387">
        <f t="shared" si="898"/>
        <v>131.53919999999999</v>
      </c>
      <c r="BW1301" s="387">
        <f t="shared" si="899"/>
        <v>0</v>
      </c>
      <c r="BX1301" s="387">
        <f t="shared" si="914"/>
        <v>8203.5969599999989</v>
      </c>
      <c r="BY1301" s="387">
        <f t="shared" si="915"/>
        <v>0</v>
      </c>
      <c r="BZ1301" s="387">
        <f t="shared" si="916"/>
        <v>0</v>
      </c>
      <c r="CA1301" s="387">
        <f t="shared" si="917"/>
        <v>0</v>
      </c>
      <c r="CB1301" s="387">
        <f t="shared" si="918"/>
        <v>0</v>
      </c>
      <c r="CC1301" s="387">
        <f t="shared" si="900"/>
        <v>0</v>
      </c>
      <c r="CD1301" s="387">
        <f t="shared" si="901"/>
        <v>0</v>
      </c>
      <c r="CE1301" s="387">
        <f t="shared" si="902"/>
        <v>0</v>
      </c>
      <c r="CF1301" s="387">
        <f t="shared" si="903"/>
        <v>-189.5712</v>
      </c>
      <c r="CG1301" s="387">
        <f t="shared" si="904"/>
        <v>0</v>
      </c>
      <c r="CH1301" s="387">
        <f t="shared" si="905"/>
        <v>27.081599999999987</v>
      </c>
      <c r="CI1301" s="387">
        <f t="shared" si="906"/>
        <v>0</v>
      </c>
      <c r="CJ1301" s="387">
        <f t="shared" si="919"/>
        <v>-162.48960000000002</v>
      </c>
      <c r="CK1301" s="387" t="str">
        <f t="shared" si="920"/>
        <v/>
      </c>
      <c r="CL1301" s="387" t="str">
        <f t="shared" si="921"/>
        <v/>
      </c>
      <c r="CM1301" s="387" t="str">
        <f t="shared" si="922"/>
        <v/>
      </c>
      <c r="CN1301" s="387" t="str">
        <f t="shared" si="923"/>
        <v>0348-31</v>
      </c>
    </row>
    <row r="1302" spans="1:92" ht="15.75" thickBot="1" x14ac:dyDescent="0.3">
      <c r="A1302" s="376" t="s">
        <v>161</v>
      </c>
      <c r="B1302" s="376" t="s">
        <v>162</v>
      </c>
      <c r="C1302" s="376" t="s">
        <v>813</v>
      </c>
      <c r="D1302" s="376" t="s">
        <v>263</v>
      </c>
      <c r="E1302" s="376" t="s">
        <v>224</v>
      </c>
      <c r="F1302" s="382" t="s">
        <v>225</v>
      </c>
      <c r="G1302" s="376" t="s">
        <v>1945</v>
      </c>
      <c r="H1302" s="378"/>
      <c r="I1302" s="378"/>
      <c r="J1302" s="376" t="s">
        <v>239</v>
      </c>
      <c r="K1302" s="376" t="s">
        <v>264</v>
      </c>
      <c r="L1302" s="376" t="s">
        <v>210</v>
      </c>
      <c r="M1302" s="376" t="s">
        <v>171</v>
      </c>
      <c r="N1302" s="376" t="s">
        <v>172</v>
      </c>
      <c r="O1302" s="379">
        <v>1</v>
      </c>
      <c r="P1302" s="385">
        <v>0.85</v>
      </c>
      <c r="Q1302" s="385">
        <v>0.85</v>
      </c>
      <c r="R1302" s="380">
        <v>80</v>
      </c>
      <c r="S1302" s="385">
        <v>0.85</v>
      </c>
      <c r="T1302" s="380">
        <v>48375.57</v>
      </c>
      <c r="U1302" s="380">
        <v>0</v>
      </c>
      <c r="V1302" s="380">
        <v>19128.7</v>
      </c>
      <c r="W1302" s="380">
        <v>54595.839999999997</v>
      </c>
      <c r="X1302" s="380">
        <v>21708.82</v>
      </c>
      <c r="Y1302" s="380">
        <v>54595.839999999997</v>
      </c>
      <c r="Z1302" s="380">
        <v>21479.52</v>
      </c>
      <c r="AA1302" s="376" t="s">
        <v>814</v>
      </c>
      <c r="AB1302" s="376" t="s">
        <v>815</v>
      </c>
      <c r="AC1302" s="376" t="s">
        <v>816</v>
      </c>
      <c r="AD1302" s="376" t="s">
        <v>170</v>
      </c>
      <c r="AE1302" s="376" t="s">
        <v>264</v>
      </c>
      <c r="AF1302" s="376" t="s">
        <v>245</v>
      </c>
      <c r="AG1302" s="376" t="s">
        <v>178</v>
      </c>
      <c r="AH1302" s="381">
        <v>30.88</v>
      </c>
      <c r="AI1302" s="381">
        <v>52794.8</v>
      </c>
      <c r="AJ1302" s="376" t="s">
        <v>179</v>
      </c>
      <c r="AK1302" s="376" t="s">
        <v>180</v>
      </c>
      <c r="AL1302" s="376" t="s">
        <v>181</v>
      </c>
      <c r="AM1302" s="376" t="s">
        <v>182</v>
      </c>
      <c r="AN1302" s="376" t="s">
        <v>68</v>
      </c>
      <c r="AO1302" s="379">
        <v>80</v>
      </c>
      <c r="AP1302" s="385">
        <v>1</v>
      </c>
      <c r="AQ1302" s="385">
        <v>0.85</v>
      </c>
      <c r="AR1302" s="383" t="s">
        <v>183</v>
      </c>
      <c r="AS1302" s="387">
        <f t="shared" si="907"/>
        <v>0.85</v>
      </c>
      <c r="AT1302">
        <f t="shared" si="908"/>
        <v>1</v>
      </c>
      <c r="AU1302" s="387">
        <f>IF(AT1302=0,"",IF(AND(AT1302=1,M1302="F",SUMIF(C2:C1334,C1302,AS2:AS1334)&lt;=1),SUMIF(C2:C1334,C1302,AS2:AS1334),IF(AND(AT1302=1,M1302="F",SUMIF(C2:C1334,C1302,AS2:AS1334)&gt;1),1,"")))</f>
        <v>1</v>
      </c>
      <c r="AV1302" s="387" t="str">
        <f>IF(AT1302=0,"",IF(AND(AT1302=3,M1302="F",SUMIF(C2:C1334,C1302,AS2:AS1334)&lt;=1),SUMIF(C2:C1334,C1302,AS2:AS1334),IF(AND(AT1302=3,M1302="F",SUMIF(C2:C1334,C1302,AS2:AS1334)&gt;1),1,"")))</f>
        <v/>
      </c>
      <c r="AW1302" s="387">
        <f>SUMIF(C2:C1334,C1302,O2:O1334)</f>
        <v>3</v>
      </c>
      <c r="AX1302" s="387">
        <f>IF(AND(M1302="F",AS1302&lt;&gt;0),SUMIF(C2:C1334,C1302,W2:W1334),0)</f>
        <v>64230.399999999994</v>
      </c>
      <c r="AY1302" s="387">
        <f t="shared" si="909"/>
        <v>54595.839999999997</v>
      </c>
      <c r="AZ1302" s="387" t="str">
        <f t="shared" si="910"/>
        <v/>
      </c>
      <c r="BA1302" s="387">
        <f t="shared" si="911"/>
        <v>0</v>
      </c>
      <c r="BB1302" s="387">
        <f t="shared" si="880"/>
        <v>9902.5</v>
      </c>
      <c r="BC1302" s="387">
        <f t="shared" si="881"/>
        <v>0</v>
      </c>
      <c r="BD1302" s="387">
        <f t="shared" si="882"/>
        <v>3384.9420799999998</v>
      </c>
      <c r="BE1302" s="387">
        <f t="shared" si="883"/>
        <v>791.63968</v>
      </c>
      <c r="BF1302" s="387">
        <f t="shared" si="884"/>
        <v>6518.7432959999996</v>
      </c>
      <c r="BG1302" s="387">
        <f t="shared" si="885"/>
        <v>393.63600639999999</v>
      </c>
      <c r="BH1302" s="387">
        <f t="shared" si="886"/>
        <v>267.51961599999998</v>
      </c>
      <c r="BI1302" s="387">
        <f t="shared" si="887"/>
        <v>302.18797439999997</v>
      </c>
      <c r="BJ1302" s="387">
        <f t="shared" si="888"/>
        <v>147.40876800000001</v>
      </c>
      <c r="BK1302" s="387">
        <f t="shared" si="889"/>
        <v>0</v>
      </c>
      <c r="BL1302" s="387">
        <f t="shared" si="912"/>
        <v>11806.077420799998</v>
      </c>
      <c r="BM1302" s="387">
        <f t="shared" si="913"/>
        <v>0</v>
      </c>
      <c r="BN1302" s="387">
        <f t="shared" si="890"/>
        <v>9902.5</v>
      </c>
      <c r="BO1302" s="387">
        <f t="shared" si="891"/>
        <v>0</v>
      </c>
      <c r="BP1302" s="387">
        <f t="shared" si="892"/>
        <v>3384.9420799999998</v>
      </c>
      <c r="BQ1302" s="387">
        <f t="shared" si="893"/>
        <v>791.63968</v>
      </c>
      <c r="BR1302" s="387">
        <f t="shared" si="894"/>
        <v>6518.7432959999996</v>
      </c>
      <c r="BS1302" s="387">
        <f t="shared" si="895"/>
        <v>393.63600639999999</v>
      </c>
      <c r="BT1302" s="387">
        <f t="shared" si="896"/>
        <v>0</v>
      </c>
      <c r="BU1302" s="387">
        <f t="shared" si="897"/>
        <v>302.18797439999997</v>
      </c>
      <c r="BV1302" s="387">
        <f t="shared" si="898"/>
        <v>185.62585599999997</v>
      </c>
      <c r="BW1302" s="387">
        <f t="shared" si="899"/>
        <v>0</v>
      </c>
      <c r="BX1302" s="387">
        <f t="shared" si="914"/>
        <v>11576.7748928</v>
      </c>
      <c r="BY1302" s="387">
        <f t="shared" si="915"/>
        <v>0</v>
      </c>
      <c r="BZ1302" s="387">
        <f t="shared" si="916"/>
        <v>0</v>
      </c>
      <c r="CA1302" s="387">
        <f t="shared" si="917"/>
        <v>0</v>
      </c>
      <c r="CB1302" s="387">
        <f t="shared" si="918"/>
        <v>0</v>
      </c>
      <c r="CC1302" s="387">
        <f t="shared" si="900"/>
        <v>0</v>
      </c>
      <c r="CD1302" s="387">
        <f t="shared" si="901"/>
        <v>0</v>
      </c>
      <c r="CE1302" s="387">
        <f t="shared" si="902"/>
        <v>0</v>
      </c>
      <c r="CF1302" s="387">
        <f t="shared" si="903"/>
        <v>-267.51961599999998</v>
      </c>
      <c r="CG1302" s="387">
        <f t="shared" si="904"/>
        <v>0</v>
      </c>
      <c r="CH1302" s="387">
        <f t="shared" si="905"/>
        <v>38.217087999999983</v>
      </c>
      <c r="CI1302" s="387">
        <f t="shared" si="906"/>
        <v>0</v>
      </c>
      <c r="CJ1302" s="387">
        <f t="shared" si="919"/>
        <v>-229.302528</v>
      </c>
      <c r="CK1302" s="387" t="str">
        <f t="shared" si="920"/>
        <v/>
      </c>
      <c r="CL1302" s="387" t="str">
        <f t="shared" si="921"/>
        <v/>
      </c>
      <c r="CM1302" s="387" t="str">
        <f t="shared" si="922"/>
        <v/>
      </c>
      <c r="CN1302" s="387" t="str">
        <f t="shared" si="923"/>
        <v>0348-31</v>
      </c>
    </row>
    <row r="1303" spans="1:92" ht="15.75" thickBot="1" x14ac:dyDescent="0.3">
      <c r="A1303" s="376" t="s">
        <v>161</v>
      </c>
      <c r="B1303" s="376" t="s">
        <v>162</v>
      </c>
      <c r="C1303" s="376" t="s">
        <v>1970</v>
      </c>
      <c r="D1303" s="376" t="s">
        <v>998</v>
      </c>
      <c r="E1303" s="376" t="s">
        <v>224</v>
      </c>
      <c r="F1303" s="382" t="s">
        <v>225</v>
      </c>
      <c r="G1303" s="376" t="s">
        <v>1945</v>
      </c>
      <c r="H1303" s="378"/>
      <c r="I1303" s="378"/>
      <c r="J1303" s="376" t="s">
        <v>215</v>
      </c>
      <c r="K1303" s="376" t="s">
        <v>999</v>
      </c>
      <c r="L1303" s="376" t="s">
        <v>170</v>
      </c>
      <c r="M1303" s="376" t="s">
        <v>171</v>
      </c>
      <c r="N1303" s="376" t="s">
        <v>172</v>
      </c>
      <c r="O1303" s="379">
        <v>1</v>
      </c>
      <c r="P1303" s="385">
        <v>1</v>
      </c>
      <c r="Q1303" s="385">
        <v>1</v>
      </c>
      <c r="R1303" s="380">
        <v>80</v>
      </c>
      <c r="S1303" s="385">
        <v>1</v>
      </c>
      <c r="T1303" s="380">
        <v>78264.23</v>
      </c>
      <c r="U1303" s="380">
        <v>0</v>
      </c>
      <c r="V1303" s="380">
        <v>24812.38</v>
      </c>
      <c r="W1303" s="380">
        <v>51001.599999999999</v>
      </c>
      <c r="X1303" s="380">
        <v>22679.06</v>
      </c>
      <c r="Y1303" s="380">
        <v>51001.599999999999</v>
      </c>
      <c r="Z1303" s="380">
        <v>22464.86</v>
      </c>
      <c r="AA1303" s="376" t="s">
        <v>1971</v>
      </c>
      <c r="AB1303" s="376" t="s">
        <v>1972</v>
      </c>
      <c r="AC1303" s="376" t="s">
        <v>1973</v>
      </c>
      <c r="AD1303" s="376" t="s">
        <v>1722</v>
      </c>
      <c r="AE1303" s="376" t="s">
        <v>999</v>
      </c>
      <c r="AF1303" s="376" t="s">
        <v>177</v>
      </c>
      <c r="AG1303" s="376" t="s">
        <v>178</v>
      </c>
      <c r="AH1303" s="381">
        <v>24.52</v>
      </c>
      <c r="AI1303" s="379">
        <v>7674</v>
      </c>
      <c r="AJ1303" s="376" t="s">
        <v>179</v>
      </c>
      <c r="AK1303" s="376" t="s">
        <v>180</v>
      </c>
      <c r="AL1303" s="376" t="s">
        <v>181</v>
      </c>
      <c r="AM1303" s="376" t="s">
        <v>182</v>
      </c>
      <c r="AN1303" s="376" t="s">
        <v>68</v>
      </c>
      <c r="AO1303" s="379">
        <v>80</v>
      </c>
      <c r="AP1303" s="385">
        <v>1</v>
      </c>
      <c r="AQ1303" s="385">
        <v>1</v>
      </c>
      <c r="AR1303" s="383" t="s">
        <v>183</v>
      </c>
      <c r="AS1303" s="387">
        <f t="shared" si="907"/>
        <v>1</v>
      </c>
      <c r="AT1303">
        <f t="shared" si="908"/>
        <v>1</v>
      </c>
      <c r="AU1303" s="387">
        <f>IF(AT1303=0,"",IF(AND(AT1303=1,M1303="F",SUMIF(C2:C1334,C1303,AS2:AS1334)&lt;=1),SUMIF(C2:C1334,C1303,AS2:AS1334),IF(AND(AT1303=1,M1303="F",SUMIF(C2:C1334,C1303,AS2:AS1334)&gt;1),1,"")))</f>
        <v>1</v>
      </c>
      <c r="AV1303" s="387" t="str">
        <f>IF(AT1303=0,"",IF(AND(AT1303=3,M1303="F",SUMIF(C2:C1334,C1303,AS2:AS1334)&lt;=1),SUMIF(C2:C1334,C1303,AS2:AS1334),IF(AND(AT1303=3,M1303="F",SUMIF(C2:C1334,C1303,AS2:AS1334)&gt;1),1,"")))</f>
        <v/>
      </c>
      <c r="AW1303" s="387">
        <f>SUMIF(C2:C1334,C1303,O2:O1334)</f>
        <v>2</v>
      </c>
      <c r="AX1303" s="387">
        <f>IF(AND(M1303="F",AS1303&lt;&gt;0),SUMIF(C2:C1334,C1303,W2:W1334),0)</f>
        <v>51001.599999999999</v>
      </c>
      <c r="AY1303" s="387">
        <f t="shared" si="909"/>
        <v>51001.599999999999</v>
      </c>
      <c r="AZ1303" s="387" t="str">
        <f t="shared" si="910"/>
        <v/>
      </c>
      <c r="BA1303" s="387">
        <f t="shared" si="911"/>
        <v>0</v>
      </c>
      <c r="BB1303" s="387">
        <f t="shared" si="880"/>
        <v>11650</v>
      </c>
      <c r="BC1303" s="387">
        <f t="shared" si="881"/>
        <v>0</v>
      </c>
      <c r="BD1303" s="387">
        <f t="shared" si="882"/>
        <v>3162.0992000000001</v>
      </c>
      <c r="BE1303" s="387">
        <f t="shared" si="883"/>
        <v>739.52319999999997</v>
      </c>
      <c r="BF1303" s="387">
        <f t="shared" si="884"/>
        <v>6089.5910400000002</v>
      </c>
      <c r="BG1303" s="387">
        <f t="shared" si="885"/>
        <v>367.72153600000001</v>
      </c>
      <c r="BH1303" s="387">
        <f t="shared" si="886"/>
        <v>249.90783999999999</v>
      </c>
      <c r="BI1303" s="387">
        <f t="shared" si="887"/>
        <v>282.29385600000001</v>
      </c>
      <c r="BJ1303" s="387">
        <f t="shared" si="888"/>
        <v>137.70432</v>
      </c>
      <c r="BK1303" s="387">
        <f t="shared" si="889"/>
        <v>0</v>
      </c>
      <c r="BL1303" s="387">
        <f t="shared" si="912"/>
        <v>11028.840992000001</v>
      </c>
      <c r="BM1303" s="387">
        <f t="shared" si="913"/>
        <v>0</v>
      </c>
      <c r="BN1303" s="387">
        <f t="shared" si="890"/>
        <v>11650</v>
      </c>
      <c r="BO1303" s="387">
        <f t="shared" si="891"/>
        <v>0</v>
      </c>
      <c r="BP1303" s="387">
        <f t="shared" si="892"/>
        <v>3162.0992000000001</v>
      </c>
      <c r="BQ1303" s="387">
        <f t="shared" si="893"/>
        <v>739.52319999999997</v>
      </c>
      <c r="BR1303" s="387">
        <f t="shared" si="894"/>
        <v>6089.5910400000002</v>
      </c>
      <c r="BS1303" s="387">
        <f t="shared" si="895"/>
        <v>367.72153600000001</v>
      </c>
      <c r="BT1303" s="387">
        <f t="shared" si="896"/>
        <v>0</v>
      </c>
      <c r="BU1303" s="387">
        <f t="shared" si="897"/>
        <v>282.29385600000001</v>
      </c>
      <c r="BV1303" s="387">
        <f t="shared" si="898"/>
        <v>173.40544</v>
      </c>
      <c r="BW1303" s="387">
        <f t="shared" si="899"/>
        <v>0</v>
      </c>
      <c r="BX1303" s="387">
        <f t="shared" si="914"/>
        <v>10814.634272000001</v>
      </c>
      <c r="BY1303" s="387">
        <f t="shared" si="915"/>
        <v>0</v>
      </c>
      <c r="BZ1303" s="387">
        <f t="shared" si="916"/>
        <v>0</v>
      </c>
      <c r="CA1303" s="387">
        <f t="shared" si="917"/>
        <v>0</v>
      </c>
      <c r="CB1303" s="387">
        <f t="shared" si="918"/>
        <v>0</v>
      </c>
      <c r="CC1303" s="387">
        <f t="shared" si="900"/>
        <v>0</v>
      </c>
      <c r="CD1303" s="387">
        <f t="shared" si="901"/>
        <v>0</v>
      </c>
      <c r="CE1303" s="387">
        <f t="shared" si="902"/>
        <v>0</v>
      </c>
      <c r="CF1303" s="387">
        <f t="shared" si="903"/>
        <v>-249.90783999999999</v>
      </c>
      <c r="CG1303" s="387">
        <f t="shared" si="904"/>
        <v>0</v>
      </c>
      <c r="CH1303" s="387">
        <f t="shared" si="905"/>
        <v>35.701119999999982</v>
      </c>
      <c r="CI1303" s="387">
        <f t="shared" si="906"/>
        <v>0</v>
      </c>
      <c r="CJ1303" s="387">
        <f t="shared" si="919"/>
        <v>-214.20672000000002</v>
      </c>
      <c r="CK1303" s="387" t="str">
        <f t="shared" si="920"/>
        <v/>
      </c>
      <c r="CL1303" s="387" t="str">
        <f t="shared" si="921"/>
        <v/>
      </c>
      <c r="CM1303" s="387" t="str">
        <f t="shared" si="922"/>
        <v/>
      </c>
      <c r="CN1303" s="387" t="str">
        <f t="shared" si="923"/>
        <v>0348-31</v>
      </c>
    </row>
    <row r="1304" spans="1:92" ht="15.75" thickBot="1" x14ac:dyDescent="0.3">
      <c r="A1304" s="376" t="s">
        <v>161</v>
      </c>
      <c r="B1304" s="376" t="s">
        <v>162</v>
      </c>
      <c r="C1304" s="376" t="s">
        <v>664</v>
      </c>
      <c r="D1304" s="376" t="s">
        <v>368</v>
      </c>
      <c r="E1304" s="376" t="s">
        <v>224</v>
      </c>
      <c r="F1304" s="382" t="s">
        <v>225</v>
      </c>
      <c r="G1304" s="376" t="s">
        <v>1945</v>
      </c>
      <c r="H1304" s="378"/>
      <c r="I1304" s="378"/>
      <c r="J1304" s="376" t="s">
        <v>239</v>
      </c>
      <c r="K1304" s="376" t="s">
        <v>424</v>
      </c>
      <c r="L1304" s="376" t="s">
        <v>210</v>
      </c>
      <c r="M1304" s="376" t="s">
        <v>272</v>
      </c>
      <c r="N1304" s="376" t="s">
        <v>172</v>
      </c>
      <c r="O1304" s="379">
        <v>0</v>
      </c>
      <c r="P1304" s="385">
        <v>0.5</v>
      </c>
      <c r="Q1304" s="385">
        <v>0.5</v>
      </c>
      <c r="R1304" s="380">
        <v>80</v>
      </c>
      <c r="S1304" s="385">
        <v>0.5</v>
      </c>
      <c r="T1304" s="380">
        <v>0</v>
      </c>
      <c r="U1304" s="380">
        <v>0</v>
      </c>
      <c r="V1304" s="380">
        <v>0</v>
      </c>
      <c r="W1304" s="380">
        <v>30232.799999999999</v>
      </c>
      <c r="X1304" s="380">
        <v>13241.96</v>
      </c>
      <c r="Y1304" s="380">
        <v>30232.799999999999</v>
      </c>
      <c r="Z1304" s="380">
        <v>13090.8</v>
      </c>
      <c r="AA1304" s="378"/>
      <c r="AB1304" s="376" t="s">
        <v>45</v>
      </c>
      <c r="AC1304" s="376" t="s">
        <v>45</v>
      </c>
      <c r="AD1304" s="378"/>
      <c r="AE1304" s="378"/>
      <c r="AF1304" s="378"/>
      <c r="AG1304" s="378"/>
      <c r="AH1304" s="379">
        <v>0</v>
      </c>
      <c r="AI1304" s="379">
        <v>0</v>
      </c>
      <c r="AJ1304" s="378"/>
      <c r="AK1304" s="378"/>
      <c r="AL1304" s="376" t="s">
        <v>181</v>
      </c>
      <c r="AM1304" s="378"/>
      <c r="AN1304" s="378"/>
      <c r="AO1304" s="379">
        <v>0</v>
      </c>
      <c r="AP1304" s="385">
        <v>0</v>
      </c>
      <c r="AQ1304" s="385">
        <v>0</v>
      </c>
      <c r="AR1304" s="384"/>
      <c r="AS1304" s="387">
        <f t="shared" si="907"/>
        <v>0</v>
      </c>
      <c r="AT1304">
        <f t="shared" si="908"/>
        <v>0</v>
      </c>
      <c r="AU1304" s="387" t="str">
        <f>IF(AT1304=0,"",IF(AND(AT1304=1,M1304="F",SUMIF(C2:C1334,C1304,AS2:AS1334)&lt;=1),SUMIF(C2:C1334,C1304,AS2:AS1334),IF(AND(AT1304=1,M1304="F",SUMIF(C2:C1334,C1304,AS2:AS1334)&gt;1),1,"")))</f>
        <v/>
      </c>
      <c r="AV1304" s="387" t="str">
        <f>IF(AT1304=0,"",IF(AND(AT1304=3,M1304="F",SUMIF(C2:C1334,C1304,AS2:AS1334)&lt;=1),SUMIF(C2:C1334,C1304,AS2:AS1334),IF(AND(AT1304=3,M1304="F",SUMIF(C2:C1334,C1304,AS2:AS1334)&gt;1),1,"")))</f>
        <v/>
      </c>
      <c r="AW1304" s="387">
        <f>SUMIF(C2:C1334,C1304,O2:O1334)</f>
        <v>0</v>
      </c>
      <c r="AX1304" s="387">
        <f>IF(AND(M1304="F",AS1304&lt;&gt;0),SUMIF(C2:C1334,C1304,W2:W1334),0)</f>
        <v>0</v>
      </c>
      <c r="AY1304" s="387" t="str">
        <f t="shared" si="909"/>
        <v/>
      </c>
      <c r="AZ1304" s="387" t="str">
        <f t="shared" si="910"/>
        <v/>
      </c>
      <c r="BA1304" s="387">
        <f t="shared" si="911"/>
        <v>0</v>
      </c>
      <c r="BB1304" s="387">
        <f t="shared" si="880"/>
        <v>0</v>
      </c>
      <c r="BC1304" s="387">
        <f t="shared" si="881"/>
        <v>0</v>
      </c>
      <c r="BD1304" s="387">
        <f t="shared" si="882"/>
        <v>0</v>
      </c>
      <c r="BE1304" s="387">
        <f t="shared" si="883"/>
        <v>0</v>
      </c>
      <c r="BF1304" s="387">
        <f t="shared" si="884"/>
        <v>0</v>
      </c>
      <c r="BG1304" s="387">
        <f t="shared" si="885"/>
        <v>0</v>
      </c>
      <c r="BH1304" s="387">
        <f t="shared" si="886"/>
        <v>0</v>
      </c>
      <c r="BI1304" s="387">
        <f t="shared" si="887"/>
        <v>0</v>
      </c>
      <c r="BJ1304" s="387">
        <f t="shared" si="888"/>
        <v>0</v>
      </c>
      <c r="BK1304" s="387">
        <f t="shared" si="889"/>
        <v>0</v>
      </c>
      <c r="BL1304" s="387">
        <f t="shared" si="912"/>
        <v>0</v>
      </c>
      <c r="BM1304" s="387">
        <f t="shared" si="913"/>
        <v>0</v>
      </c>
      <c r="BN1304" s="387">
        <f t="shared" si="890"/>
        <v>0</v>
      </c>
      <c r="BO1304" s="387">
        <f t="shared" si="891"/>
        <v>0</v>
      </c>
      <c r="BP1304" s="387">
        <f t="shared" si="892"/>
        <v>0</v>
      </c>
      <c r="BQ1304" s="387">
        <f t="shared" si="893"/>
        <v>0</v>
      </c>
      <c r="BR1304" s="387">
        <f t="shared" si="894"/>
        <v>0</v>
      </c>
      <c r="BS1304" s="387">
        <f t="shared" si="895"/>
        <v>0</v>
      </c>
      <c r="BT1304" s="387">
        <f t="shared" si="896"/>
        <v>0</v>
      </c>
      <c r="BU1304" s="387">
        <f t="shared" si="897"/>
        <v>0</v>
      </c>
      <c r="BV1304" s="387">
        <f t="shared" si="898"/>
        <v>0</v>
      </c>
      <c r="BW1304" s="387">
        <f t="shared" si="899"/>
        <v>0</v>
      </c>
      <c r="BX1304" s="387">
        <f t="shared" si="914"/>
        <v>0</v>
      </c>
      <c r="BY1304" s="387">
        <f t="shared" si="915"/>
        <v>0</v>
      </c>
      <c r="BZ1304" s="387">
        <f t="shared" si="916"/>
        <v>0</v>
      </c>
      <c r="CA1304" s="387">
        <f t="shared" si="917"/>
        <v>0</v>
      </c>
      <c r="CB1304" s="387">
        <f t="shared" si="918"/>
        <v>0</v>
      </c>
      <c r="CC1304" s="387">
        <f t="shared" si="900"/>
        <v>0</v>
      </c>
      <c r="CD1304" s="387">
        <f t="shared" si="901"/>
        <v>0</v>
      </c>
      <c r="CE1304" s="387">
        <f t="shared" si="902"/>
        <v>0</v>
      </c>
      <c r="CF1304" s="387">
        <f t="shared" si="903"/>
        <v>0</v>
      </c>
      <c r="CG1304" s="387">
        <f t="shared" si="904"/>
        <v>0</v>
      </c>
      <c r="CH1304" s="387">
        <f t="shared" si="905"/>
        <v>0</v>
      </c>
      <c r="CI1304" s="387">
        <f t="shared" si="906"/>
        <v>0</v>
      </c>
      <c r="CJ1304" s="387">
        <f t="shared" si="919"/>
        <v>0</v>
      </c>
      <c r="CK1304" s="387" t="str">
        <f t="shared" si="920"/>
        <v/>
      </c>
      <c r="CL1304" s="387" t="str">
        <f t="shared" si="921"/>
        <v/>
      </c>
      <c r="CM1304" s="387" t="str">
        <f t="shared" si="922"/>
        <v/>
      </c>
      <c r="CN1304" s="387" t="str">
        <f t="shared" si="923"/>
        <v>0348-31</v>
      </c>
    </row>
    <row r="1305" spans="1:92" ht="15.75" thickBot="1" x14ac:dyDescent="0.3">
      <c r="A1305" s="376" t="s">
        <v>161</v>
      </c>
      <c r="B1305" s="376" t="s">
        <v>162</v>
      </c>
      <c r="C1305" s="376" t="s">
        <v>2571</v>
      </c>
      <c r="D1305" s="376" t="s">
        <v>700</v>
      </c>
      <c r="E1305" s="376" t="s">
        <v>224</v>
      </c>
      <c r="F1305" s="382" t="s">
        <v>225</v>
      </c>
      <c r="G1305" s="376" t="s">
        <v>1945</v>
      </c>
      <c r="H1305" s="378"/>
      <c r="I1305" s="378"/>
      <c r="J1305" s="376" t="s">
        <v>215</v>
      </c>
      <c r="K1305" s="376" t="s">
        <v>701</v>
      </c>
      <c r="L1305" s="376" t="s">
        <v>170</v>
      </c>
      <c r="M1305" s="376" t="s">
        <v>171</v>
      </c>
      <c r="N1305" s="376" t="s">
        <v>172</v>
      </c>
      <c r="O1305" s="379">
        <v>1</v>
      </c>
      <c r="P1305" s="385">
        <v>1</v>
      </c>
      <c r="Q1305" s="385">
        <v>1</v>
      </c>
      <c r="R1305" s="380">
        <v>80</v>
      </c>
      <c r="S1305" s="385">
        <v>1</v>
      </c>
      <c r="T1305" s="380">
        <v>46257.24</v>
      </c>
      <c r="U1305" s="380">
        <v>2001.28</v>
      </c>
      <c r="V1305" s="380">
        <v>21409.22</v>
      </c>
      <c r="W1305" s="380">
        <v>49025.599999999999</v>
      </c>
      <c r="X1305" s="380">
        <v>22251.75</v>
      </c>
      <c r="Y1305" s="380">
        <v>49025.599999999999</v>
      </c>
      <c r="Z1305" s="380">
        <v>22045.85</v>
      </c>
      <c r="AA1305" s="376" t="s">
        <v>2572</v>
      </c>
      <c r="AB1305" s="376" t="s">
        <v>2573</v>
      </c>
      <c r="AC1305" s="376" t="s">
        <v>2514</v>
      </c>
      <c r="AD1305" s="376" t="s">
        <v>252</v>
      </c>
      <c r="AE1305" s="376" t="s">
        <v>701</v>
      </c>
      <c r="AF1305" s="376" t="s">
        <v>177</v>
      </c>
      <c r="AG1305" s="376" t="s">
        <v>178</v>
      </c>
      <c r="AH1305" s="381">
        <v>23.57</v>
      </c>
      <c r="AI1305" s="381">
        <v>35944.6</v>
      </c>
      <c r="AJ1305" s="376" t="s">
        <v>179</v>
      </c>
      <c r="AK1305" s="376" t="s">
        <v>180</v>
      </c>
      <c r="AL1305" s="376" t="s">
        <v>181</v>
      </c>
      <c r="AM1305" s="376" t="s">
        <v>182</v>
      </c>
      <c r="AN1305" s="376" t="s">
        <v>68</v>
      </c>
      <c r="AO1305" s="379">
        <v>80</v>
      </c>
      <c r="AP1305" s="385">
        <v>1</v>
      </c>
      <c r="AQ1305" s="385">
        <v>1</v>
      </c>
      <c r="AR1305" s="383" t="s">
        <v>183</v>
      </c>
      <c r="AS1305" s="387">
        <f t="shared" si="907"/>
        <v>1</v>
      </c>
      <c r="AT1305">
        <f t="shared" si="908"/>
        <v>1</v>
      </c>
      <c r="AU1305" s="387">
        <f>IF(AT1305=0,"",IF(AND(AT1305=1,M1305="F",SUMIF(C2:C1334,C1305,AS2:AS1334)&lt;=1),SUMIF(C2:C1334,C1305,AS2:AS1334),IF(AND(AT1305=1,M1305="F",SUMIF(C2:C1334,C1305,AS2:AS1334)&gt;1),1,"")))</f>
        <v>1</v>
      </c>
      <c r="AV1305" s="387" t="str">
        <f>IF(AT1305=0,"",IF(AND(AT1305=3,M1305="F",SUMIF(C2:C1334,C1305,AS2:AS1334)&lt;=1),SUMIF(C2:C1334,C1305,AS2:AS1334),IF(AND(AT1305=3,M1305="F",SUMIF(C2:C1334,C1305,AS2:AS1334)&gt;1),1,"")))</f>
        <v/>
      </c>
      <c r="AW1305" s="387">
        <f>SUMIF(C2:C1334,C1305,O2:O1334)</f>
        <v>1</v>
      </c>
      <c r="AX1305" s="387">
        <f>IF(AND(M1305="F",AS1305&lt;&gt;0),SUMIF(C2:C1334,C1305,W2:W1334),0)</f>
        <v>49025.599999999999</v>
      </c>
      <c r="AY1305" s="387">
        <f t="shared" si="909"/>
        <v>49025.599999999999</v>
      </c>
      <c r="AZ1305" s="387" t="str">
        <f t="shared" si="910"/>
        <v/>
      </c>
      <c r="BA1305" s="387">
        <f t="shared" si="911"/>
        <v>0</v>
      </c>
      <c r="BB1305" s="387">
        <f t="shared" si="880"/>
        <v>11650</v>
      </c>
      <c r="BC1305" s="387">
        <f t="shared" si="881"/>
        <v>0</v>
      </c>
      <c r="BD1305" s="387">
        <f t="shared" si="882"/>
        <v>3039.5871999999999</v>
      </c>
      <c r="BE1305" s="387">
        <f t="shared" si="883"/>
        <v>710.87120000000004</v>
      </c>
      <c r="BF1305" s="387">
        <f t="shared" si="884"/>
        <v>5853.6566400000002</v>
      </c>
      <c r="BG1305" s="387">
        <f t="shared" si="885"/>
        <v>353.47457600000001</v>
      </c>
      <c r="BH1305" s="387">
        <f t="shared" si="886"/>
        <v>240.22543999999999</v>
      </c>
      <c r="BI1305" s="387">
        <f t="shared" si="887"/>
        <v>271.356696</v>
      </c>
      <c r="BJ1305" s="387">
        <f t="shared" si="888"/>
        <v>132.36912000000001</v>
      </c>
      <c r="BK1305" s="387">
        <f t="shared" si="889"/>
        <v>0</v>
      </c>
      <c r="BL1305" s="387">
        <f t="shared" si="912"/>
        <v>10601.540872000001</v>
      </c>
      <c r="BM1305" s="387">
        <f t="shared" si="913"/>
        <v>0</v>
      </c>
      <c r="BN1305" s="387">
        <f t="shared" si="890"/>
        <v>11650</v>
      </c>
      <c r="BO1305" s="387">
        <f t="shared" si="891"/>
        <v>0</v>
      </c>
      <c r="BP1305" s="387">
        <f t="shared" si="892"/>
        <v>3039.5871999999999</v>
      </c>
      <c r="BQ1305" s="387">
        <f t="shared" si="893"/>
        <v>710.87120000000004</v>
      </c>
      <c r="BR1305" s="387">
        <f t="shared" si="894"/>
        <v>5853.6566400000002</v>
      </c>
      <c r="BS1305" s="387">
        <f t="shared" si="895"/>
        <v>353.47457600000001</v>
      </c>
      <c r="BT1305" s="387">
        <f t="shared" si="896"/>
        <v>0</v>
      </c>
      <c r="BU1305" s="387">
        <f t="shared" si="897"/>
        <v>271.356696</v>
      </c>
      <c r="BV1305" s="387">
        <f t="shared" si="898"/>
        <v>166.68704</v>
      </c>
      <c r="BW1305" s="387">
        <f t="shared" si="899"/>
        <v>0</v>
      </c>
      <c r="BX1305" s="387">
        <f t="shared" si="914"/>
        <v>10395.633352000003</v>
      </c>
      <c r="BY1305" s="387">
        <f t="shared" si="915"/>
        <v>0</v>
      </c>
      <c r="BZ1305" s="387">
        <f t="shared" si="916"/>
        <v>0</v>
      </c>
      <c r="CA1305" s="387">
        <f t="shared" si="917"/>
        <v>0</v>
      </c>
      <c r="CB1305" s="387">
        <f t="shared" si="918"/>
        <v>0</v>
      </c>
      <c r="CC1305" s="387">
        <f t="shared" si="900"/>
        <v>0</v>
      </c>
      <c r="CD1305" s="387">
        <f t="shared" si="901"/>
        <v>0</v>
      </c>
      <c r="CE1305" s="387">
        <f t="shared" si="902"/>
        <v>0</v>
      </c>
      <c r="CF1305" s="387">
        <f t="shared" si="903"/>
        <v>-240.22543999999999</v>
      </c>
      <c r="CG1305" s="387">
        <f t="shared" si="904"/>
        <v>0</v>
      </c>
      <c r="CH1305" s="387">
        <f t="shared" si="905"/>
        <v>34.31791999999998</v>
      </c>
      <c r="CI1305" s="387">
        <f t="shared" si="906"/>
        <v>0</v>
      </c>
      <c r="CJ1305" s="387">
        <f t="shared" si="919"/>
        <v>-205.90752000000001</v>
      </c>
      <c r="CK1305" s="387" t="str">
        <f t="shared" si="920"/>
        <v/>
      </c>
      <c r="CL1305" s="387" t="str">
        <f t="shared" si="921"/>
        <v/>
      </c>
      <c r="CM1305" s="387" t="str">
        <f t="shared" si="922"/>
        <v/>
      </c>
      <c r="CN1305" s="387" t="str">
        <f t="shared" si="923"/>
        <v>0348-31</v>
      </c>
    </row>
    <row r="1306" spans="1:92" ht="15.75" thickBot="1" x14ac:dyDescent="0.3">
      <c r="A1306" s="376" t="s">
        <v>161</v>
      </c>
      <c r="B1306" s="376" t="s">
        <v>162</v>
      </c>
      <c r="C1306" s="376" t="s">
        <v>2574</v>
      </c>
      <c r="D1306" s="376" t="s">
        <v>974</v>
      </c>
      <c r="E1306" s="376" t="s">
        <v>224</v>
      </c>
      <c r="F1306" s="382" t="s">
        <v>225</v>
      </c>
      <c r="G1306" s="376" t="s">
        <v>1945</v>
      </c>
      <c r="H1306" s="378"/>
      <c r="I1306" s="378"/>
      <c r="J1306" s="376" t="s">
        <v>215</v>
      </c>
      <c r="K1306" s="376" t="s">
        <v>975</v>
      </c>
      <c r="L1306" s="376" t="s">
        <v>296</v>
      </c>
      <c r="M1306" s="376" t="s">
        <v>171</v>
      </c>
      <c r="N1306" s="376" t="s">
        <v>172</v>
      </c>
      <c r="O1306" s="379">
        <v>1</v>
      </c>
      <c r="P1306" s="385">
        <v>1</v>
      </c>
      <c r="Q1306" s="385">
        <v>1</v>
      </c>
      <c r="R1306" s="380">
        <v>80</v>
      </c>
      <c r="S1306" s="385">
        <v>1</v>
      </c>
      <c r="T1306" s="380">
        <v>43044.26</v>
      </c>
      <c r="U1306" s="380">
        <v>3115.43</v>
      </c>
      <c r="V1306" s="380">
        <v>21039.45</v>
      </c>
      <c r="W1306" s="380">
        <v>46592</v>
      </c>
      <c r="X1306" s="380">
        <v>21725.48</v>
      </c>
      <c r="Y1306" s="380">
        <v>46592</v>
      </c>
      <c r="Z1306" s="380">
        <v>21529.8</v>
      </c>
      <c r="AA1306" s="376" t="s">
        <v>2575</v>
      </c>
      <c r="AB1306" s="376" t="s">
        <v>1319</v>
      </c>
      <c r="AC1306" s="376" t="s">
        <v>2576</v>
      </c>
      <c r="AD1306" s="376" t="s">
        <v>583</v>
      </c>
      <c r="AE1306" s="376" t="s">
        <v>975</v>
      </c>
      <c r="AF1306" s="376" t="s">
        <v>301</v>
      </c>
      <c r="AG1306" s="376" t="s">
        <v>178</v>
      </c>
      <c r="AH1306" s="381">
        <v>22.4</v>
      </c>
      <c r="AI1306" s="381">
        <v>25267.8</v>
      </c>
      <c r="AJ1306" s="376" t="s">
        <v>179</v>
      </c>
      <c r="AK1306" s="376" t="s">
        <v>180</v>
      </c>
      <c r="AL1306" s="376" t="s">
        <v>181</v>
      </c>
      <c r="AM1306" s="376" t="s">
        <v>182</v>
      </c>
      <c r="AN1306" s="376" t="s">
        <v>68</v>
      </c>
      <c r="AO1306" s="379">
        <v>80</v>
      </c>
      <c r="AP1306" s="385">
        <v>1</v>
      </c>
      <c r="AQ1306" s="385">
        <v>1</v>
      </c>
      <c r="AR1306" s="383" t="s">
        <v>183</v>
      </c>
      <c r="AS1306" s="387">
        <f t="shared" si="907"/>
        <v>1</v>
      </c>
      <c r="AT1306">
        <f t="shared" si="908"/>
        <v>1</v>
      </c>
      <c r="AU1306" s="387">
        <f>IF(AT1306=0,"",IF(AND(AT1306=1,M1306="F",SUMIF(C2:C1334,C1306,AS2:AS1334)&lt;=1),SUMIF(C2:C1334,C1306,AS2:AS1334),IF(AND(AT1306=1,M1306="F",SUMIF(C2:C1334,C1306,AS2:AS1334)&gt;1),1,"")))</f>
        <v>1</v>
      </c>
      <c r="AV1306" s="387" t="str">
        <f>IF(AT1306=0,"",IF(AND(AT1306=3,M1306="F",SUMIF(C2:C1334,C1306,AS2:AS1334)&lt;=1),SUMIF(C2:C1334,C1306,AS2:AS1334),IF(AND(AT1306=3,M1306="F",SUMIF(C2:C1334,C1306,AS2:AS1334)&gt;1),1,"")))</f>
        <v/>
      </c>
      <c r="AW1306" s="387">
        <f>SUMIF(C2:C1334,C1306,O2:O1334)</f>
        <v>1</v>
      </c>
      <c r="AX1306" s="387">
        <f>IF(AND(M1306="F",AS1306&lt;&gt;0),SUMIF(C2:C1334,C1306,W2:W1334),0)</f>
        <v>46592</v>
      </c>
      <c r="AY1306" s="387">
        <f t="shared" si="909"/>
        <v>46592</v>
      </c>
      <c r="AZ1306" s="387" t="str">
        <f t="shared" si="910"/>
        <v/>
      </c>
      <c r="BA1306" s="387">
        <f t="shared" si="911"/>
        <v>0</v>
      </c>
      <c r="BB1306" s="387">
        <f t="shared" si="880"/>
        <v>11650</v>
      </c>
      <c r="BC1306" s="387">
        <f t="shared" si="881"/>
        <v>0</v>
      </c>
      <c r="BD1306" s="387">
        <f t="shared" si="882"/>
        <v>2888.7040000000002</v>
      </c>
      <c r="BE1306" s="387">
        <f t="shared" si="883"/>
        <v>675.58400000000006</v>
      </c>
      <c r="BF1306" s="387">
        <f t="shared" si="884"/>
        <v>5563.0848000000005</v>
      </c>
      <c r="BG1306" s="387">
        <f t="shared" si="885"/>
        <v>335.92831999999999</v>
      </c>
      <c r="BH1306" s="387">
        <f t="shared" si="886"/>
        <v>228.30079999999998</v>
      </c>
      <c r="BI1306" s="387">
        <f t="shared" si="887"/>
        <v>257.88672000000003</v>
      </c>
      <c r="BJ1306" s="387">
        <f t="shared" si="888"/>
        <v>125.7984</v>
      </c>
      <c r="BK1306" s="387">
        <f t="shared" si="889"/>
        <v>0</v>
      </c>
      <c r="BL1306" s="387">
        <f t="shared" si="912"/>
        <v>10075.287040000001</v>
      </c>
      <c r="BM1306" s="387">
        <f t="shared" si="913"/>
        <v>0</v>
      </c>
      <c r="BN1306" s="387">
        <f t="shared" si="890"/>
        <v>11650</v>
      </c>
      <c r="BO1306" s="387">
        <f t="shared" si="891"/>
        <v>0</v>
      </c>
      <c r="BP1306" s="387">
        <f t="shared" si="892"/>
        <v>2888.7040000000002</v>
      </c>
      <c r="BQ1306" s="387">
        <f t="shared" si="893"/>
        <v>675.58400000000006</v>
      </c>
      <c r="BR1306" s="387">
        <f t="shared" si="894"/>
        <v>5563.0848000000005</v>
      </c>
      <c r="BS1306" s="387">
        <f t="shared" si="895"/>
        <v>335.92831999999999</v>
      </c>
      <c r="BT1306" s="387">
        <f t="shared" si="896"/>
        <v>0</v>
      </c>
      <c r="BU1306" s="387">
        <f t="shared" si="897"/>
        <v>257.88672000000003</v>
      </c>
      <c r="BV1306" s="387">
        <f t="shared" si="898"/>
        <v>158.4128</v>
      </c>
      <c r="BW1306" s="387">
        <f t="shared" si="899"/>
        <v>0</v>
      </c>
      <c r="BX1306" s="387">
        <f t="shared" si="914"/>
        <v>9879.6006400000006</v>
      </c>
      <c r="BY1306" s="387">
        <f t="shared" si="915"/>
        <v>0</v>
      </c>
      <c r="BZ1306" s="387">
        <f t="shared" si="916"/>
        <v>0</v>
      </c>
      <c r="CA1306" s="387">
        <f t="shared" si="917"/>
        <v>0</v>
      </c>
      <c r="CB1306" s="387">
        <f t="shared" si="918"/>
        <v>0</v>
      </c>
      <c r="CC1306" s="387">
        <f t="shared" si="900"/>
        <v>0</v>
      </c>
      <c r="CD1306" s="387">
        <f t="shared" si="901"/>
        <v>0</v>
      </c>
      <c r="CE1306" s="387">
        <f t="shared" si="902"/>
        <v>0</v>
      </c>
      <c r="CF1306" s="387">
        <f t="shared" si="903"/>
        <v>-228.30079999999998</v>
      </c>
      <c r="CG1306" s="387">
        <f t="shared" si="904"/>
        <v>0</v>
      </c>
      <c r="CH1306" s="387">
        <f t="shared" si="905"/>
        <v>32.614399999999982</v>
      </c>
      <c r="CI1306" s="387">
        <f t="shared" si="906"/>
        <v>0</v>
      </c>
      <c r="CJ1306" s="387">
        <f t="shared" si="919"/>
        <v>-195.68639999999999</v>
      </c>
      <c r="CK1306" s="387" t="str">
        <f t="shared" si="920"/>
        <v/>
      </c>
      <c r="CL1306" s="387" t="str">
        <f t="shared" si="921"/>
        <v/>
      </c>
      <c r="CM1306" s="387" t="str">
        <f t="shared" si="922"/>
        <v/>
      </c>
      <c r="CN1306" s="387" t="str">
        <f t="shared" si="923"/>
        <v>0348-31</v>
      </c>
    </row>
    <row r="1307" spans="1:92" ht="15.75" thickBot="1" x14ac:dyDescent="0.3">
      <c r="A1307" s="376" t="s">
        <v>161</v>
      </c>
      <c r="B1307" s="376" t="s">
        <v>162</v>
      </c>
      <c r="C1307" s="376" t="s">
        <v>2577</v>
      </c>
      <c r="D1307" s="376" t="s">
        <v>974</v>
      </c>
      <c r="E1307" s="376" t="s">
        <v>224</v>
      </c>
      <c r="F1307" s="382" t="s">
        <v>225</v>
      </c>
      <c r="G1307" s="376" t="s">
        <v>1945</v>
      </c>
      <c r="H1307" s="378"/>
      <c r="I1307" s="378"/>
      <c r="J1307" s="376" t="s">
        <v>215</v>
      </c>
      <c r="K1307" s="376" t="s">
        <v>975</v>
      </c>
      <c r="L1307" s="376" t="s">
        <v>296</v>
      </c>
      <c r="M1307" s="376" t="s">
        <v>171</v>
      </c>
      <c r="N1307" s="376" t="s">
        <v>172</v>
      </c>
      <c r="O1307" s="379">
        <v>1</v>
      </c>
      <c r="P1307" s="385">
        <v>1</v>
      </c>
      <c r="Q1307" s="385">
        <v>1</v>
      </c>
      <c r="R1307" s="380">
        <v>80</v>
      </c>
      <c r="S1307" s="385">
        <v>1</v>
      </c>
      <c r="T1307" s="380">
        <v>46451.199999999997</v>
      </c>
      <c r="U1307" s="380">
        <v>0</v>
      </c>
      <c r="V1307" s="380">
        <v>21246.959999999999</v>
      </c>
      <c r="W1307" s="380">
        <v>49836.800000000003</v>
      </c>
      <c r="X1307" s="380">
        <v>22427.18</v>
      </c>
      <c r="Y1307" s="380">
        <v>49836.800000000003</v>
      </c>
      <c r="Z1307" s="380">
        <v>22217.87</v>
      </c>
      <c r="AA1307" s="376" t="s">
        <v>2578</v>
      </c>
      <c r="AB1307" s="376" t="s">
        <v>315</v>
      </c>
      <c r="AC1307" s="376" t="s">
        <v>2579</v>
      </c>
      <c r="AD1307" s="376" t="s">
        <v>324</v>
      </c>
      <c r="AE1307" s="376" t="s">
        <v>975</v>
      </c>
      <c r="AF1307" s="376" t="s">
        <v>301</v>
      </c>
      <c r="AG1307" s="376" t="s">
        <v>178</v>
      </c>
      <c r="AH1307" s="381">
        <v>23.96</v>
      </c>
      <c r="AI1307" s="381">
        <v>43951.3</v>
      </c>
      <c r="AJ1307" s="376" t="s">
        <v>179</v>
      </c>
      <c r="AK1307" s="376" t="s">
        <v>180</v>
      </c>
      <c r="AL1307" s="376" t="s">
        <v>181</v>
      </c>
      <c r="AM1307" s="376" t="s">
        <v>182</v>
      </c>
      <c r="AN1307" s="376" t="s">
        <v>68</v>
      </c>
      <c r="AO1307" s="379">
        <v>80</v>
      </c>
      <c r="AP1307" s="385">
        <v>1</v>
      </c>
      <c r="AQ1307" s="385">
        <v>1</v>
      </c>
      <c r="AR1307" s="383" t="s">
        <v>183</v>
      </c>
      <c r="AS1307" s="387">
        <f t="shared" si="907"/>
        <v>1</v>
      </c>
      <c r="AT1307">
        <f t="shared" si="908"/>
        <v>1</v>
      </c>
      <c r="AU1307" s="387">
        <f>IF(AT1307=0,"",IF(AND(AT1307=1,M1307="F",SUMIF(C2:C1334,C1307,AS2:AS1334)&lt;=1),SUMIF(C2:C1334,C1307,AS2:AS1334),IF(AND(AT1307=1,M1307="F",SUMIF(C2:C1334,C1307,AS2:AS1334)&gt;1),1,"")))</f>
        <v>1</v>
      </c>
      <c r="AV1307" s="387" t="str">
        <f>IF(AT1307=0,"",IF(AND(AT1307=3,M1307="F",SUMIF(C2:C1334,C1307,AS2:AS1334)&lt;=1),SUMIF(C2:C1334,C1307,AS2:AS1334),IF(AND(AT1307=3,M1307="F",SUMIF(C2:C1334,C1307,AS2:AS1334)&gt;1),1,"")))</f>
        <v/>
      </c>
      <c r="AW1307" s="387">
        <f>SUMIF(C2:C1334,C1307,O2:O1334)</f>
        <v>1</v>
      </c>
      <c r="AX1307" s="387">
        <f>IF(AND(M1307="F",AS1307&lt;&gt;0),SUMIF(C2:C1334,C1307,W2:W1334),0)</f>
        <v>49836.800000000003</v>
      </c>
      <c r="AY1307" s="387">
        <f t="shared" si="909"/>
        <v>49836.800000000003</v>
      </c>
      <c r="AZ1307" s="387" t="str">
        <f t="shared" si="910"/>
        <v/>
      </c>
      <c r="BA1307" s="387">
        <f t="shared" si="911"/>
        <v>0</v>
      </c>
      <c r="BB1307" s="387">
        <f t="shared" si="880"/>
        <v>11650</v>
      </c>
      <c r="BC1307" s="387">
        <f t="shared" si="881"/>
        <v>0</v>
      </c>
      <c r="BD1307" s="387">
        <f t="shared" si="882"/>
        <v>3089.8816000000002</v>
      </c>
      <c r="BE1307" s="387">
        <f t="shared" si="883"/>
        <v>722.63360000000011</v>
      </c>
      <c r="BF1307" s="387">
        <f t="shared" si="884"/>
        <v>5950.5139200000003</v>
      </c>
      <c r="BG1307" s="387">
        <f t="shared" si="885"/>
        <v>359.32332800000006</v>
      </c>
      <c r="BH1307" s="387">
        <f t="shared" si="886"/>
        <v>244.20032</v>
      </c>
      <c r="BI1307" s="387">
        <f t="shared" si="887"/>
        <v>275.84668800000003</v>
      </c>
      <c r="BJ1307" s="387">
        <f t="shared" si="888"/>
        <v>134.55936000000003</v>
      </c>
      <c r="BK1307" s="387">
        <f t="shared" si="889"/>
        <v>0</v>
      </c>
      <c r="BL1307" s="387">
        <f t="shared" si="912"/>
        <v>10776.958816</v>
      </c>
      <c r="BM1307" s="387">
        <f t="shared" si="913"/>
        <v>0</v>
      </c>
      <c r="BN1307" s="387">
        <f t="shared" si="890"/>
        <v>11650</v>
      </c>
      <c r="BO1307" s="387">
        <f t="shared" si="891"/>
        <v>0</v>
      </c>
      <c r="BP1307" s="387">
        <f t="shared" si="892"/>
        <v>3089.8816000000002</v>
      </c>
      <c r="BQ1307" s="387">
        <f t="shared" si="893"/>
        <v>722.63360000000011</v>
      </c>
      <c r="BR1307" s="387">
        <f t="shared" si="894"/>
        <v>5950.5139200000003</v>
      </c>
      <c r="BS1307" s="387">
        <f t="shared" si="895"/>
        <v>359.32332800000006</v>
      </c>
      <c r="BT1307" s="387">
        <f t="shared" si="896"/>
        <v>0</v>
      </c>
      <c r="BU1307" s="387">
        <f t="shared" si="897"/>
        <v>275.84668800000003</v>
      </c>
      <c r="BV1307" s="387">
        <f t="shared" si="898"/>
        <v>169.44512</v>
      </c>
      <c r="BW1307" s="387">
        <f t="shared" si="899"/>
        <v>0</v>
      </c>
      <c r="BX1307" s="387">
        <f t="shared" si="914"/>
        <v>10567.644256000001</v>
      </c>
      <c r="BY1307" s="387">
        <f t="shared" si="915"/>
        <v>0</v>
      </c>
      <c r="BZ1307" s="387">
        <f t="shared" si="916"/>
        <v>0</v>
      </c>
      <c r="CA1307" s="387">
        <f t="shared" si="917"/>
        <v>0</v>
      </c>
      <c r="CB1307" s="387">
        <f t="shared" si="918"/>
        <v>0</v>
      </c>
      <c r="CC1307" s="387">
        <f t="shared" si="900"/>
        <v>0</v>
      </c>
      <c r="CD1307" s="387">
        <f t="shared" si="901"/>
        <v>0</v>
      </c>
      <c r="CE1307" s="387">
        <f t="shared" si="902"/>
        <v>0</v>
      </c>
      <c r="CF1307" s="387">
        <f t="shared" si="903"/>
        <v>-244.20032</v>
      </c>
      <c r="CG1307" s="387">
        <f t="shared" si="904"/>
        <v>0</v>
      </c>
      <c r="CH1307" s="387">
        <f t="shared" si="905"/>
        <v>34.885759999999983</v>
      </c>
      <c r="CI1307" s="387">
        <f t="shared" si="906"/>
        <v>0</v>
      </c>
      <c r="CJ1307" s="387">
        <f t="shared" si="919"/>
        <v>-209.31456000000003</v>
      </c>
      <c r="CK1307" s="387" t="str">
        <f t="shared" si="920"/>
        <v/>
      </c>
      <c r="CL1307" s="387" t="str">
        <f t="shared" si="921"/>
        <v/>
      </c>
      <c r="CM1307" s="387" t="str">
        <f t="shared" si="922"/>
        <v/>
      </c>
      <c r="CN1307" s="387" t="str">
        <f t="shared" si="923"/>
        <v>0348-31</v>
      </c>
    </row>
    <row r="1308" spans="1:92" ht="15.75" thickBot="1" x14ac:dyDescent="0.3">
      <c r="A1308" s="376" t="s">
        <v>161</v>
      </c>
      <c r="B1308" s="376" t="s">
        <v>162</v>
      </c>
      <c r="C1308" s="376" t="s">
        <v>1803</v>
      </c>
      <c r="D1308" s="376" t="s">
        <v>270</v>
      </c>
      <c r="E1308" s="376" t="s">
        <v>224</v>
      </c>
      <c r="F1308" s="382" t="s">
        <v>225</v>
      </c>
      <c r="G1308" s="376" t="s">
        <v>1945</v>
      </c>
      <c r="H1308" s="378"/>
      <c r="I1308" s="378"/>
      <c r="J1308" s="376" t="s">
        <v>215</v>
      </c>
      <c r="K1308" s="376" t="s">
        <v>271</v>
      </c>
      <c r="L1308" s="376" t="s">
        <v>217</v>
      </c>
      <c r="M1308" s="376" t="s">
        <v>171</v>
      </c>
      <c r="N1308" s="376" t="s">
        <v>172</v>
      </c>
      <c r="O1308" s="379">
        <v>1</v>
      </c>
      <c r="P1308" s="385">
        <v>1</v>
      </c>
      <c r="Q1308" s="385">
        <v>1</v>
      </c>
      <c r="R1308" s="380">
        <v>80</v>
      </c>
      <c r="S1308" s="385">
        <v>1</v>
      </c>
      <c r="T1308" s="380">
        <v>0</v>
      </c>
      <c r="U1308" s="380">
        <v>0</v>
      </c>
      <c r="V1308" s="380">
        <v>0</v>
      </c>
      <c r="W1308" s="380">
        <v>35505.599999999999</v>
      </c>
      <c r="X1308" s="380">
        <v>19328.05</v>
      </c>
      <c r="Y1308" s="380">
        <v>35505.599999999999</v>
      </c>
      <c r="Z1308" s="380">
        <v>19178.93</v>
      </c>
      <c r="AA1308" s="376" t="s">
        <v>1804</v>
      </c>
      <c r="AB1308" s="376" t="s">
        <v>1805</v>
      </c>
      <c r="AC1308" s="376" t="s">
        <v>1806</v>
      </c>
      <c r="AD1308" s="376" t="s">
        <v>279</v>
      </c>
      <c r="AE1308" s="376" t="s">
        <v>271</v>
      </c>
      <c r="AF1308" s="376" t="s">
        <v>221</v>
      </c>
      <c r="AG1308" s="376" t="s">
        <v>178</v>
      </c>
      <c r="AH1308" s="381">
        <v>17.07</v>
      </c>
      <c r="AI1308" s="379">
        <v>10854</v>
      </c>
      <c r="AJ1308" s="376" t="s">
        <v>179</v>
      </c>
      <c r="AK1308" s="376" t="s">
        <v>180</v>
      </c>
      <c r="AL1308" s="376" t="s">
        <v>181</v>
      </c>
      <c r="AM1308" s="376" t="s">
        <v>182</v>
      </c>
      <c r="AN1308" s="376" t="s">
        <v>68</v>
      </c>
      <c r="AO1308" s="379">
        <v>80</v>
      </c>
      <c r="AP1308" s="385">
        <v>1</v>
      </c>
      <c r="AQ1308" s="385">
        <v>1</v>
      </c>
      <c r="AR1308" s="383" t="s">
        <v>183</v>
      </c>
      <c r="AS1308" s="387">
        <f t="shared" si="907"/>
        <v>1</v>
      </c>
      <c r="AT1308">
        <f t="shared" si="908"/>
        <v>1</v>
      </c>
      <c r="AU1308" s="387">
        <f>IF(AT1308=0,"",IF(AND(AT1308=1,M1308="F",SUMIF(C2:C1334,C1308,AS2:AS1334)&lt;=1),SUMIF(C2:C1334,C1308,AS2:AS1334),IF(AND(AT1308=1,M1308="F",SUMIF(C2:C1334,C1308,AS2:AS1334)&gt;1),1,"")))</f>
        <v>1</v>
      </c>
      <c r="AV1308" s="387" t="str">
        <f>IF(AT1308=0,"",IF(AND(AT1308=3,M1308="F",SUMIF(C2:C1334,C1308,AS2:AS1334)&lt;=1),SUMIF(C2:C1334,C1308,AS2:AS1334),IF(AND(AT1308=3,M1308="F",SUMIF(C2:C1334,C1308,AS2:AS1334)&gt;1),1,"")))</f>
        <v/>
      </c>
      <c r="AW1308" s="387">
        <f>SUMIF(C2:C1334,C1308,O2:O1334)</f>
        <v>2</v>
      </c>
      <c r="AX1308" s="387">
        <f>IF(AND(M1308="F",AS1308&lt;&gt;0),SUMIF(C2:C1334,C1308,W2:W1334),0)</f>
        <v>35505.599999999999</v>
      </c>
      <c r="AY1308" s="387">
        <f t="shared" si="909"/>
        <v>35505.599999999999</v>
      </c>
      <c r="AZ1308" s="387" t="str">
        <f t="shared" si="910"/>
        <v/>
      </c>
      <c r="BA1308" s="387">
        <f t="shared" si="911"/>
        <v>0</v>
      </c>
      <c r="BB1308" s="387">
        <f t="shared" si="880"/>
        <v>11650</v>
      </c>
      <c r="BC1308" s="387">
        <f t="shared" si="881"/>
        <v>0</v>
      </c>
      <c r="BD1308" s="387">
        <f t="shared" si="882"/>
        <v>2201.3471999999997</v>
      </c>
      <c r="BE1308" s="387">
        <f t="shared" si="883"/>
        <v>514.83119999999997</v>
      </c>
      <c r="BF1308" s="387">
        <f t="shared" si="884"/>
        <v>4239.3686399999997</v>
      </c>
      <c r="BG1308" s="387">
        <f t="shared" si="885"/>
        <v>255.99537599999999</v>
      </c>
      <c r="BH1308" s="387">
        <f t="shared" si="886"/>
        <v>173.97744</v>
      </c>
      <c r="BI1308" s="387">
        <f t="shared" si="887"/>
        <v>196.52349599999999</v>
      </c>
      <c r="BJ1308" s="387">
        <f t="shared" si="888"/>
        <v>95.865120000000005</v>
      </c>
      <c r="BK1308" s="387">
        <f t="shared" si="889"/>
        <v>0</v>
      </c>
      <c r="BL1308" s="387">
        <f t="shared" si="912"/>
        <v>7677.9084719999992</v>
      </c>
      <c r="BM1308" s="387">
        <f t="shared" si="913"/>
        <v>0</v>
      </c>
      <c r="BN1308" s="387">
        <f t="shared" si="890"/>
        <v>11650</v>
      </c>
      <c r="BO1308" s="387">
        <f t="shared" si="891"/>
        <v>0</v>
      </c>
      <c r="BP1308" s="387">
        <f t="shared" si="892"/>
        <v>2201.3471999999997</v>
      </c>
      <c r="BQ1308" s="387">
        <f t="shared" si="893"/>
        <v>514.83119999999997</v>
      </c>
      <c r="BR1308" s="387">
        <f t="shared" si="894"/>
        <v>4239.3686399999997</v>
      </c>
      <c r="BS1308" s="387">
        <f t="shared" si="895"/>
        <v>255.99537599999999</v>
      </c>
      <c r="BT1308" s="387">
        <f t="shared" si="896"/>
        <v>0</v>
      </c>
      <c r="BU1308" s="387">
        <f t="shared" si="897"/>
        <v>196.52349599999999</v>
      </c>
      <c r="BV1308" s="387">
        <f t="shared" si="898"/>
        <v>120.71903999999999</v>
      </c>
      <c r="BW1308" s="387">
        <f t="shared" si="899"/>
        <v>0</v>
      </c>
      <c r="BX1308" s="387">
        <f t="shared" si="914"/>
        <v>7528.7849519999991</v>
      </c>
      <c r="BY1308" s="387">
        <f t="shared" si="915"/>
        <v>0</v>
      </c>
      <c r="BZ1308" s="387">
        <f t="shared" si="916"/>
        <v>0</v>
      </c>
      <c r="CA1308" s="387">
        <f t="shared" si="917"/>
        <v>0</v>
      </c>
      <c r="CB1308" s="387">
        <f t="shared" si="918"/>
        <v>0</v>
      </c>
      <c r="CC1308" s="387">
        <f t="shared" si="900"/>
        <v>0</v>
      </c>
      <c r="CD1308" s="387">
        <f t="shared" si="901"/>
        <v>0</v>
      </c>
      <c r="CE1308" s="387">
        <f t="shared" si="902"/>
        <v>0</v>
      </c>
      <c r="CF1308" s="387">
        <f t="shared" si="903"/>
        <v>-173.97744</v>
      </c>
      <c r="CG1308" s="387">
        <f t="shared" si="904"/>
        <v>0</v>
      </c>
      <c r="CH1308" s="387">
        <f t="shared" si="905"/>
        <v>24.853919999999988</v>
      </c>
      <c r="CI1308" s="387">
        <f t="shared" si="906"/>
        <v>0</v>
      </c>
      <c r="CJ1308" s="387">
        <f t="shared" si="919"/>
        <v>-149.12352000000001</v>
      </c>
      <c r="CK1308" s="387" t="str">
        <f t="shared" si="920"/>
        <v/>
      </c>
      <c r="CL1308" s="387" t="str">
        <f t="shared" si="921"/>
        <v/>
      </c>
      <c r="CM1308" s="387" t="str">
        <f t="shared" si="922"/>
        <v/>
      </c>
      <c r="CN1308" s="387" t="str">
        <f t="shared" si="923"/>
        <v>0348-31</v>
      </c>
    </row>
    <row r="1309" spans="1:92" ht="15.75" thickBot="1" x14ac:dyDescent="0.3">
      <c r="A1309" s="376" t="s">
        <v>161</v>
      </c>
      <c r="B1309" s="376" t="s">
        <v>162</v>
      </c>
      <c r="C1309" s="376" t="s">
        <v>1944</v>
      </c>
      <c r="D1309" s="376" t="s">
        <v>862</v>
      </c>
      <c r="E1309" s="376" t="s">
        <v>224</v>
      </c>
      <c r="F1309" s="382" t="s">
        <v>225</v>
      </c>
      <c r="G1309" s="376" t="s">
        <v>1945</v>
      </c>
      <c r="H1309" s="378"/>
      <c r="I1309" s="378"/>
      <c r="J1309" s="376" t="s">
        <v>215</v>
      </c>
      <c r="K1309" s="376" t="s">
        <v>863</v>
      </c>
      <c r="L1309" s="376" t="s">
        <v>252</v>
      </c>
      <c r="M1309" s="376" t="s">
        <v>272</v>
      </c>
      <c r="N1309" s="376" t="s">
        <v>172</v>
      </c>
      <c r="O1309" s="379">
        <v>0</v>
      </c>
      <c r="P1309" s="385">
        <v>1</v>
      </c>
      <c r="Q1309" s="385">
        <v>1</v>
      </c>
      <c r="R1309" s="380">
        <v>80</v>
      </c>
      <c r="S1309" s="385">
        <v>1</v>
      </c>
      <c r="T1309" s="380">
        <v>16237.94</v>
      </c>
      <c r="U1309" s="380">
        <v>0</v>
      </c>
      <c r="V1309" s="380">
        <v>9691.7199999999993</v>
      </c>
      <c r="W1309" s="380">
        <v>42328</v>
      </c>
      <c r="X1309" s="380">
        <v>18539.66</v>
      </c>
      <c r="Y1309" s="380">
        <v>42328</v>
      </c>
      <c r="Z1309" s="380">
        <v>18328.02</v>
      </c>
      <c r="AA1309" s="378"/>
      <c r="AB1309" s="376" t="s">
        <v>45</v>
      </c>
      <c r="AC1309" s="376" t="s">
        <v>45</v>
      </c>
      <c r="AD1309" s="378"/>
      <c r="AE1309" s="378"/>
      <c r="AF1309" s="378"/>
      <c r="AG1309" s="378"/>
      <c r="AH1309" s="379">
        <v>0</v>
      </c>
      <c r="AI1309" s="379">
        <v>0</v>
      </c>
      <c r="AJ1309" s="378"/>
      <c r="AK1309" s="378"/>
      <c r="AL1309" s="376" t="s">
        <v>181</v>
      </c>
      <c r="AM1309" s="378"/>
      <c r="AN1309" s="378"/>
      <c r="AO1309" s="379">
        <v>0</v>
      </c>
      <c r="AP1309" s="385">
        <v>0</v>
      </c>
      <c r="AQ1309" s="385">
        <v>0</v>
      </c>
      <c r="AR1309" s="384"/>
      <c r="AS1309" s="387">
        <f t="shared" si="907"/>
        <v>0</v>
      </c>
      <c r="AT1309">
        <f t="shared" si="908"/>
        <v>0</v>
      </c>
      <c r="AU1309" s="387" t="str">
        <f>IF(AT1309=0,"",IF(AND(AT1309=1,M1309="F",SUMIF(C2:C1334,C1309,AS2:AS1334)&lt;=1),SUMIF(C2:C1334,C1309,AS2:AS1334),IF(AND(AT1309=1,M1309="F",SUMIF(C2:C1334,C1309,AS2:AS1334)&gt;1),1,"")))</f>
        <v/>
      </c>
      <c r="AV1309" s="387" t="str">
        <f>IF(AT1309=0,"",IF(AND(AT1309=3,M1309="F",SUMIF(C2:C1334,C1309,AS2:AS1334)&lt;=1),SUMIF(C2:C1334,C1309,AS2:AS1334),IF(AND(AT1309=3,M1309="F",SUMIF(C2:C1334,C1309,AS2:AS1334)&gt;1),1,"")))</f>
        <v/>
      </c>
      <c r="AW1309" s="387">
        <f>SUMIF(C2:C1334,C1309,O2:O1334)</f>
        <v>0</v>
      </c>
      <c r="AX1309" s="387">
        <f>IF(AND(M1309="F",AS1309&lt;&gt;0),SUMIF(C2:C1334,C1309,W2:W1334),0)</f>
        <v>0</v>
      </c>
      <c r="AY1309" s="387" t="str">
        <f t="shared" si="909"/>
        <v/>
      </c>
      <c r="AZ1309" s="387" t="str">
        <f t="shared" si="910"/>
        <v/>
      </c>
      <c r="BA1309" s="387">
        <f t="shared" si="911"/>
        <v>0</v>
      </c>
      <c r="BB1309" s="387">
        <f t="shared" si="880"/>
        <v>0</v>
      </c>
      <c r="BC1309" s="387">
        <f t="shared" si="881"/>
        <v>0</v>
      </c>
      <c r="BD1309" s="387">
        <f t="shared" si="882"/>
        <v>0</v>
      </c>
      <c r="BE1309" s="387">
        <f t="shared" si="883"/>
        <v>0</v>
      </c>
      <c r="BF1309" s="387">
        <f t="shared" si="884"/>
        <v>0</v>
      </c>
      <c r="BG1309" s="387">
        <f t="shared" si="885"/>
        <v>0</v>
      </c>
      <c r="BH1309" s="387">
        <f t="shared" si="886"/>
        <v>0</v>
      </c>
      <c r="BI1309" s="387">
        <f t="shared" si="887"/>
        <v>0</v>
      </c>
      <c r="BJ1309" s="387">
        <f t="shared" si="888"/>
        <v>0</v>
      </c>
      <c r="BK1309" s="387">
        <f t="shared" si="889"/>
        <v>0</v>
      </c>
      <c r="BL1309" s="387">
        <f t="shared" si="912"/>
        <v>0</v>
      </c>
      <c r="BM1309" s="387">
        <f t="shared" si="913"/>
        <v>0</v>
      </c>
      <c r="BN1309" s="387">
        <f t="shared" si="890"/>
        <v>0</v>
      </c>
      <c r="BO1309" s="387">
        <f t="shared" si="891"/>
        <v>0</v>
      </c>
      <c r="BP1309" s="387">
        <f t="shared" si="892"/>
        <v>0</v>
      </c>
      <c r="BQ1309" s="387">
        <f t="shared" si="893"/>
        <v>0</v>
      </c>
      <c r="BR1309" s="387">
        <f t="shared" si="894"/>
        <v>0</v>
      </c>
      <c r="BS1309" s="387">
        <f t="shared" si="895"/>
        <v>0</v>
      </c>
      <c r="BT1309" s="387">
        <f t="shared" si="896"/>
        <v>0</v>
      </c>
      <c r="BU1309" s="387">
        <f t="shared" si="897"/>
        <v>0</v>
      </c>
      <c r="BV1309" s="387">
        <f t="shared" si="898"/>
        <v>0</v>
      </c>
      <c r="BW1309" s="387">
        <f t="shared" si="899"/>
        <v>0</v>
      </c>
      <c r="BX1309" s="387">
        <f t="shared" si="914"/>
        <v>0</v>
      </c>
      <c r="BY1309" s="387">
        <f t="shared" si="915"/>
        <v>0</v>
      </c>
      <c r="BZ1309" s="387">
        <f t="shared" si="916"/>
        <v>0</v>
      </c>
      <c r="CA1309" s="387">
        <f t="shared" si="917"/>
        <v>0</v>
      </c>
      <c r="CB1309" s="387">
        <f t="shared" si="918"/>
        <v>0</v>
      </c>
      <c r="CC1309" s="387">
        <f t="shared" si="900"/>
        <v>0</v>
      </c>
      <c r="CD1309" s="387">
        <f t="shared" si="901"/>
        <v>0</v>
      </c>
      <c r="CE1309" s="387">
        <f t="shared" si="902"/>
        <v>0</v>
      </c>
      <c r="CF1309" s="387">
        <f t="shared" si="903"/>
        <v>0</v>
      </c>
      <c r="CG1309" s="387">
        <f t="shared" si="904"/>
        <v>0</v>
      </c>
      <c r="CH1309" s="387">
        <f t="shared" si="905"/>
        <v>0</v>
      </c>
      <c r="CI1309" s="387">
        <f t="shared" si="906"/>
        <v>0</v>
      </c>
      <c r="CJ1309" s="387">
        <f t="shared" si="919"/>
        <v>0</v>
      </c>
      <c r="CK1309" s="387" t="str">
        <f t="shared" si="920"/>
        <v/>
      </c>
      <c r="CL1309" s="387" t="str">
        <f t="shared" si="921"/>
        <v/>
      </c>
      <c r="CM1309" s="387" t="str">
        <f t="shared" si="922"/>
        <v/>
      </c>
      <c r="CN1309" s="387" t="str">
        <f t="shared" si="923"/>
        <v>0348-31</v>
      </c>
    </row>
    <row r="1310" spans="1:92" ht="15.75" thickBot="1" x14ac:dyDescent="0.3">
      <c r="A1310" s="376" t="s">
        <v>161</v>
      </c>
      <c r="B1310" s="376" t="s">
        <v>162</v>
      </c>
      <c r="C1310" s="376" t="s">
        <v>1930</v>
      </c>
      <c r="D1310" s="376" t="s">
        <v>1931</v>
      </c>
      <c r="E1310" s="376" t="s">
        <v>224</v>
      </c>
      <c r="F1310" s="382" t="s">
        <v>225</v>
      </c>
      <c r="G1310" s="376" t="s">
        <v>1945</v>
      </c>
      <c r="H1310" s="378"/>
      <c r="I1310" s="378"/>
      <c r="J1310" s="376" t="s">
        <v>215</v>
      </c>
      <c r="K1310" s="376" t="s">
        <v>1932</v>
      </c>
      <c r="L1310" s="376" t="s">
        <v>166</v>
      </c>
      <c r="M1310" s="376" t="s">
        <v>171</v>
      </c>
      <c r="N1310" s="376" t="s">
        <v>257</v>
      </c>
      <c r="O1310" s="379">
        <v>1</v>
      </c>
      <c r="P1310" s="385">
        <v>1</v>
      </c>
      <c r="Q1310" s="385">
        <v>1</v>
      </c>
      <c r="R1310" s="380">
        <v>80</v>
      </c>
      <c r="S1310" s="385">
        <v>1</v>
      </c>
      <c r="T1310" s="380">
        <v>0</v>
      </c>
      <c r="U1310" s="380">
        <v>0</v>
      </c>
      <c r="V1310" s="380">
        <v>0</v>
      </c>
      <c r="W1310" s="380">
        <v>120369.60000000001</v>
      </c>
      <c r="X1310" s="380">
        <v>37013.050000000003</v>
      </c>
      <c r="Y1310" s="380">
        <v>120369.60000000001</v>
      </c>
      <c r="Z1310" s="380">
        <v>36507.5</v>
      </c>
      <c r="AA1310" s="376" t="s">
        <v>1933</v>
      </c>
      <c r="AB1310" s="376" t="s">
        <v>1725</v>
      </c>
      <c r="AC1310" s="376" t="s">
        <v>622</v>
      </c>
      <c r="AD1310" s="376" t="s">
        <v>180</v>
      </c>
      <c r="AE1310" s="376" t="s">
        <v>1932</v>
      </c>
      <c r="AF1310" s="376" t="s">
        <v>261</v>
      </c>
      <c r="AG1310" s="376" t="s">
        <v>178</v>
      </c>
      <c r="AH1310" s="381">
        <v>57.87</v>
      </c>
      <c r="AI1310" s="381">
        <v>62612.9</v>
      </c>
      <c r="AJ1310" s="376" t="s">
        <v>179</v>
      </c>
      <c r="AK1310" s="376" t="s">
        <v>180</v>
      </c>
      <c r="AL1310" s="376" t="s">
        <v>181</v>
      </c>
      <c r="AM1310" s="376" t="s">
        <v>182</v>
      </c>
      <c r="AN1310" s="376" t="s">
        <v>68</v>
      </c>
      <c r="AO1310" s="379">
        <v>80</v>
      </c>
      <c r="AP1310" s="385">
        <v>1</v>
      </c>
      <c r="AQ1310" s="385">
        <v>1</v>
      </c>
      <c r="AR1310" s="383" t="s">
        <v>183</v>
      </c>
      <c r="AS1310" s="387">
        <f t="shared" si="907"/>
        <v>1</v>
      </c>
      <c r="AT1310">
        <f t="shared" si="908"/>
        <v>1</v>
      </c>
      <c r="AU1310" s="387">
        <f>IF(AT1310=0,"",IF(AND(AT1310=1,M1310="F",SUMIF(C2:C1334,C1310,AS2:AS1334)&lt;=1),SUMIF(C2:C1334,C1310,AS2:AS1334),IF(AND(AT1310=1,M1310="F",SUMIF(C2:C1334,C1310,AS2:AS1334)&gt;1),1,"")))</f>
        <v>1</v>
      </c>
      <c r="AV1310" s="387" t="str">
        <f>IF(AT1310=0,"",IF(AND(AT1310=3,M1310="F",SUMIF(C2:C1334,C1310,AS2:AS1334)&lt;=1),SUMIF(C2:C1334,C1310,AS2:AS1334),IF(AND(AT1310=3,M1310="F",SUMIF(C2:C1334,C1310,AS2:AS1334)&gt;1),1,"")))</f>
        <v/>
      </c>
      <c r="AW1310" s="387">
        <f>SUMIF(C2:C1334,C1310,O2:O1334)</f>
        <v>2</v>
      </c>
      <c r="AX1310" s="387">
        <f>IF(AND(M1310="F",AS1310&lt;&gt;0),SUMIF(C2:C1334,C1310,W2:W1334),0)</f>
        <v>120369.60000000001</v>
      </c>
      <c r="AY1310" s="387">
        <f t="shared" si="909"/>
        <v>120369.60000000001</v>
      </c>
      <c r="AZ1310" s="387" t="str">
        <f t="shared" si="910"/>
        <v/>
      </c>
      <c r="BA1310" s="387">
        <f t="shared" si="911"/>
        <v>0</v>
      </c>
      <c r="BB1310" s="387">
        <f t="shared" si="880"/>
        <v>11650</v>
      </c>
      <c r="BC1310" s="387">
        <f t="shared" si="881"/>
        <v>0</v>
      </c>
      <c r="BD1310" s="387">
        <f t="shared" si="882"/>
        <v>7462.9152000000004</v>
      </c>
      <c r="BE1310" s="387">
        <f t="shared" si="883"/>
        <v>1745.3592000000001</v>
      </c>
      <c r="BF1310" s="387">
        <f t="shared" si="884"/>
        <v>14372.130240000002</v>
      </c>
      <c r="BG1310" s="387">
        <f t="shared" si="885"/>
        <v>867.86481600000002</v>
      </c>
      <c r="BH1310" s="387">
        <f t="shared" si="886"/>
        <v>589.81104000000005</v>
      </c>
      <c r="BI1310" s="387">
        <f t="shared" si="887"/>
        <v>0</v>
      </c>
      <c r="BJ1310" s="387">
        <f t="shared" si="888"/>
        <v>324.99792000000002</v>
      </c>
      <c r="BK1310" s="387">
        <f t="shared" si="889"/>
        <v>0</v>
      </c>
      <c r="BL1310" s="387">
        <f t="shared" si="912"/>
        <v>25363.078416000004</v>
      </c>
      <c r="BM1310" s="387">
        <f t="shared" si="913"/>
        <v>0</v>
      </c>
      <c r="BN1310" s="387">
        <f t="shared" si="890"/>
        <v>11650</v>
      </c>
      <c r="BO1310" s="387">
        <f t="shared" si="891"/>
        <v>0</v>
      </c>
      <c r="BP1310" s="387">
        <f t="shared" si="892"/>
        <v>7462.9152000000004</v>
      </c>
      <c r="BQ1310" s="387">
        <f t="shared" si="893"/>
        <v>1745.3592000000001</v>
      </c>
      <c r="BR1310" s="387">
        <f t="shared" si="894"/>
        <v>14372.130240000002</v>
      </c>
      <c r="BS1310" s="387">
        <f t="shared" si="895"/>
        <v>867.86481600000002</v>
      </c>
      <c r="BT1310" s="387">
        <f t="shared" si="896"/>
        <v>0</v>
      </c>
      <c r="BU1310" s="387">
        <f t="shared" si="897"/>
        <v>0</v>
      </c>
      <c r="BV1310" s="387">
        <f t="shared" si="898"/>
        <v>409.25664</v>
      </c>
      <c r="BW1310" s="387">
        <f t="shared" si="899"/>
        <v>0</v>
      </c>
      <c r="BX1310" s="387">
        <f t="shared" si="914"/>
        <v>24857.526096000001</v>
      </c>
      <c r="BY1310" s="387">
        <f t="shared" si="915"/>
        <v>0</v>
      </c>
      <c r="BZ1310" s="387">
        <f t="shared" si="916"/>
        <v>0</v>
      </c>
      <c r="CA1310" s="387">
        <f t="shared" si="917"/>
        <v>0</v>
      </c>
      <c r="CB1310" s="387">
        <f t="shared" si="918"/>
        <v>0</v>
      </c>
      <c r="CC1310" s="387">
        <f t="shared" si="900"/>
        <v>0</v>
      </c>
      <c r="CD1310" s="387">
        <f t="shared" si="901"/>
        <v>0</v>
      </c>
      <c r="CE1310" s="387">
        <f t="shared" si="902"/>
        <v>0</v>
      </c>
      <c r="CF1310" s="387">
        <f t="shared" si="903"/>
        <v>-589.81104000000005</v>
      </c>
      <c r="CG1310" s="387">
        <f t="shared" si="904"/>
        <v>0</v>
      </c>
      <c r="CH1310" s="387">
        <f t="shared" si="905"/>
        <v>84.258719999999968</v>
      </c>
      <c r="CI1310" s="387">
        <f t="shared" si="906"/>
        <v>0</v>
      </c>
      <c r="CJ1310" s="387">
        <f t="shared" si="919"/>
        <v>-505.55232000000007</v>
      </c>
      <c r="CK1310" s="387" t="str">
        <f t="shared" si="920"/>
        <v/>
      </c>
      <c r="CL1310" s="387" t="str">
        <f t="shared" si="921"/>
        <v/>
      </c>
      <c r="CM1310" s="387" t="str">
        <f t="shared" si="922"/>
        <v/>
      </c>
      <c r="CN1310" s="387" t="str">
        <f t="shared" si="923"/>
        <v>0348-31</v>
      </c>
    </row>
    <row r="1311" spans="1:92" ht="15.75" thickBot="1" x14ac:dyDescent="0.3">
      <c r="A1311" s="376" t="s">
        <v>161</v>
      </c>
      <c r="B1311" s="376" t="s">
        <v>162</v>
      </c>
      <c r="C1311" s="376" t="s">
        <v>1010</v>
      </c>
      <c r="D1311" s="376" t="s">
        <v>862</v>
      </c>
      <c r="E1311" s="376" t="s">
        <v>224</v>
      </c>
      <c r="F1311" s="382" t="s">
        <v>225</v>
      </c>
      <c r="G1311" s="376" t="s">
        <v>1945</v>
      </c>
      <c r="H1311" s="378"/>
      <c r="I1311" s="378"/>
      <c r="J1311" s="376" t="s">
        <v>168</v>
      </c>
      <c r="K1311" s="376" t="s">
        <v>863</v>
      </c>
      <c r="L1311" s="376" t="s">
        <v>252</v>
      </c>
      <c r="M1311" s="376" t="s">
        <v>171</v>
      </c>
      <c r="N1311" s="376" t="s">
        <v>172</v>
      </c>
      <c r="O1311" s="379">
        <v>1</v>
      </c>
      <c r="P1311" s="385">
        <v>0.4</v>
      </c>
      <c r="Q1311" s="385">
        <v>0.4</v>
      </c>
      <c r="R1311" s="380">
        <v>80</v>
      </c>
      <c r="S1311" s="385">
        <v>0.4</v>
      </c>
      <c r="T1311" s="380">
        <v>12960.99</v>
      </c>
      <c r="U1311" s="380">
        <v>0</v>
      </c>
      <c r="V1311" s="380">
        <v>7002.91</v>
      </c>
      <c r="W1311" s="380">
        <v>17513.599999999999</v>
      </c>
      <c r="X1311" s="380">
        <v>8447.2999999999993</v>
      </c>
      <c r="Y1311" s="380">
        <v>17513.599999999999</v>
      </c>
      <c r="Z1311" s="380">
        <v>8373.74</v>
      </c>
      <c r="AA1311" s="376" t="s">
        <v>1011</v>
      </c>
      <c r="AB1311" s="376" t="s">
        <v>1012</v>
      </c>
      <c r="AC1311" s="376" t="s">
        <v>1013</v>
      </c>
      <c r="AD1311" s="376" t="s">
        <v>324</v>
      </c>
      <c r="AE1311" s="376" t="s">
        <v>863</v>
      </c>
      <c r="AF1311" s="376" t="s">
        <v>393</v>
      </c>
      <c r="AG1311" s="376" t="s">
        <v>178</v>
      </c>
      <c r="AH1311" s="381">
        <v>21.05</v>
      </c>
      <c r="AI1311" s="381">
        <v>16174.1</v>
      </c>
      <c r="AJ1311" s="376" t="s">
        <v>179</v>
      </c>
      <c r="AK1311" s="376" t="s">
        <v>180</v>
      </c>
      <c r="AL1311" s="376" t="s">
        <v>181</v>
      </c>
      <c r="AM1311" s="376" t="s">
        <v>182</v>
      </c>
      <c r="AN1311" s="376" t="s">
        <v>68</v>
      </c>
      <c r="AO1311" s="379">
        <v>80</v>
      </c>
      <c r="AP1311" s="385">
        <v>1</v>
      </c>
      <c r="AQ1311" s="385">
        <v>0.4</v>
      </c>
      <c r="AR1311" s="383" t="s">
        <v>183</v>
      </c>
      <c r="AS1311" s="387">
        <f t="shared" si="907"/>
        <v>0.4</v>
      </c>
      <c r="AT1311">
        <f t="shared" si="908"/>
        <v>1</v>
      </c>
      <c r="AU1311" s="387">
        <f>IF(AT1311=0,"",IF(AND(AT1311=1,M1311="F",SUMIF(C2:C1334,C1311,AS2:AS1334)&lt;=1),SUMIF(C2:C1334,C1311,AS2:AS1334),IF(AND(AT1311=1,M1311="F",SUMIF(C2:C1334,C1311,AS2:AS1334)&gt;1),1,"")))</f>
        <v>1</v>
      </c>
      <c r="AV1311" s="387" t="str">
        <f>IF(AT1311=0,"",IF(AND(AT1311=3,M1311="F",SUMIF(C2:C1334,C1311,AS2:AS1334)&lt;=1),SUMIF(C2:C1334,C1311,AS2:AS1334),IF(AND(AT1311=3,M1311="F",SUMIF(C2:C1334,C1311,AS2:AS1334)&gt;1),1,"")))</f>
        <v/>
      </c>
      <c r="AW1311" s="387">
        <f>SUMIF(C2:C1334,C1311,O2:O1334)</f>
        <v>3</v>
      </c>
      <c r="AX1311" s="387">
        <f>IF(AND(M1311="F",AS1311&lt;&gt;0),SUMIF(C2:C1334,C1311,W2:W1334),0)</f>
        <v>43784</v>
      </c>
      <c r="AY1311" s="387">
        <f t="shared" si="909"/>
        <v>17513.599999999999</v>
      </c>
      <c r="AZ1311" s="387" t="str">
        <f t="shared" si="910"/>
        <v/>
      </c>
      <c r="BA1311" s="387">
        <f t="shared" si="911"/>
        <v>0</v>
      </c>
      <c r="BB1311" s="387">
        <f t="shared" si="880"/>
        <v>4660</v>
      </c>
      <c r="BC1311" s="387">
        <f t="shared" si="881"/>
        <v>0</v>
      </c>
      <c r="BD1311" s="387">
        <f t="shared" si="882"/>
        <v>1085.8431999999998</v>
      </c>
      <c r="BE1311" s="387">
        <f t="shared" si="883"/>
        <v>253.94719999999998</v>
      </c>
      <c r="BF1311" s="387">
        <f t="shared" si="884"/>
        <v>2091.1238399999997</v>
      </c>
      <c r="BG1311" s="387">
        <f t="shared" si="885"/>
        <v>126.273056</v>
      </c>
      <c r="BH1311" s="387">
        <f t="shared" si="886"/>
        <v>85.816639999999992</v>
      </c>
      <c r="BI1311" s="387">
        <f t="shared" si="887"/>
        <v>96.937775999999985</v>
      </c>
      <c r="BJ1311" s="387">
        <f t="shared" si="888"/>
        <v>47.286719999999995</v>
      </c>
      <c r="BK1311" s="387">
        <f t="shared" si="889"/>
        <v>0</v>
      </c>
      <c r="BL1311" s="387">
        <f t="shared" si="912"/>
        <v>3787.2284319999999</v>
      </c>
      <c r="BM1311" s="387">
        <f t="shared" si="913"/>
        <v>0</v>
      </c>
      <c r="BN1311" s="387">
        <f t="shared" si="890"/>
        <v>4660</v>
      </c>
      <c r="BO1311" s="387">
        <f t="shared" si="891"/>
        <v>0</v>
      </c>
      <c r="BP1311" s="387">
        <f t="shared" si="892"/>
        <v>1085.8431999999998</v>
      </c>
      <c r="BQ1311" s="387">
        <f t="shared" si="893"/>
        <v>253.94719999999998</v>
      </c>
      <c r="BR1311" s="387">
        <f t="shared" si="894"/>
        <v>2091.1238399999997</v>
      </c>
      <c r="BS1311" s="387">
        <f t="shared" si="895"/>
        <v>126.273056</v>
      </c>
      <c r="BT1311" s="387">
        <f t="shared" si="896"/>
        <v>0</v>
      </c>
      <c r="BU1311" s="387">
        <f t="shared" si="897"/>
        <v>96.937775999999985</v>
      </c>
      <c r="BV1311" s="387">
        <f t="shared" si="898"/>
        <v>59.54623999999999</v>
      </c>
      <c r="BW1311" s="387">
        <f t="shared" si="899"/>
        <v>0</v>
      </c>
      <c r="BX1311" s="387">
        <f t="shared" si="914"/>
        <v>3713.6713119999999</v>
      </c>
      <c r="BY1311" s="387">
        <f t="shared" si="915"/>
        <v>0</v>
      </c>
      <c r="BZ1311" s="387">
        <f t="shared" si="916"/>
        <v>0</v>
      </c>
      <c r="CA1311" s="387">
        <f t="shared" si="917"/>
        <v>0</v>
      </c>
      <c r="CB1311" s="387">
        <f t="shared" si="918"/>
        <v>0</v>
      </c>
      <c r="CC1311" s="387">
        <f t="shared" si="900"/>
        <v>0</v>
      </c>
      <c r="CD1311" s="387">
        <f t="shared" si="901"/>
        <v>0</v>
      </c>
      <c r="CE1311" s="387">
        <f t="shared" si="902"/>
        <v>0</v>
      </c>
      <c r="CF1311" s="387">
        <f t="shared" si="903"/>
        <v>-85.816639999999992</v>
      </c>
      <c r="CG1311" s="387">
        <f t="shared" si="904"/>
        <v>0</v>
      </c>
      <c r="CH1311" s="387">
        <f t="shared" si="905"/>
        <v>12.259519999999993</v>
      </c>
      <c r="CI1311" s="387">
        <f t="shared" si="906"/>
        <v>0</v>
      </c>
      <c r="CJ1311" s="387">
        <f t="shared" si="919"/>
        <v>-73.557119999999998</v>
      </c>
      <c r="CK1311" s="387" t="str">
        <f t="shared" si="920"/>
        <v/>
      </c>
      <c r="CL1311" s="387" t="str">
        <f t="shared" si="921"/>
        <v/>
      </c>
      <c r="CM1311" s="387" t="str">
        <f t="shared" si="922"/>
        <v/>
      </c>
      <c r="CN1311" s="387" t="str">
        <f t="shared" si="923"/>
        <v>0348-31</v>
      </c>
    </row>
    <row r="1312" spans="1:92" ht="15.75" thickBot="1" x14ac:dyDescent="0.3">
      <c r="A1312" s="376" t="s">
        <v>161</v>
      </c>
      <c r="B1312" s="376" t="s">
        <v>162</v>
      </c>
      <c r="C1312" s="376" t="s">
        <v>2580</v>
      </c>
      <c r="D1312" s="376" t="s">
        <v>862</v>
      </c>
      <c r="E1312" s="376" t="s">
        <v>224</v>
      </c>
      <c r="F1312" s="382" t="s">
        <v>225</v>
      </c>
      <c r="G1312" s="376" t="s">
        <v>1945</v>
      </c>
      <c r="H1312" s="378"/>
      <c r="I1312" s="378"/>
      <c r="J1312" s="376" t="s">
        <v>215</v>
      </c>
      <c r="K1312" s="376" t="s">
        <v>863</v>
      </c>
      <c r="L1312" s="376" t="s">
        <v>252</v>
      </c>
      <c r="M1312" s="376" t="s">
        <v>171</v>
      </c>
      <c r="N1312" s="376" t="s">
        <v>172</v>
      </c>
      <c r="O1312" s="379">
        <v>1</v>
      </c>
      <c r="P1312" s="385">
        <v>1</v>
      </c>
      <c r="Q1312" s="385">
        <v>1</v>
      </c>
      <c r="R1312" s="380">
        <v>80</v>
      </c>
      <c r="S1312" s="385">
        <v>1</v>
      </c>
      <c r="T1312" s="380">
        <v>24436.83</v>
      </c>
      <c r="U1312" s="380">
        <v>0</v>
      </c>
      <c r="V1312" s="380">
        <v>13737.59</v>
      </c>
      <c r="W1312" s="380">
        <v>38563.199999999997</v>
      </c>
      <c r="X1312" s="380">
        <v>19989.259999999998</v>
      </c>
      <c r="Y1312" s="380">
        <v>38563.199999999997</v>
      </c>
      <c r="Z1312" s="380">
        <v>19827.3</v>
      </c>
      <c r="AA1312" s="376" t="s">
        <v>2581</v>
      </c>
      <c r="AB1312" s="376" t="s">
        <v>2582</v>
      </c>
      <c r="AC1312" s="376" t="s">
        <v>435</v>
      </c>
      <c r="AD1312" s="376" t="s">
        <v>324</v>
      </c>
      <c r="AE1312" s="376" t="s">
        <v>863</v>
      </c>
      <c r="AF1312" s="376" t="s">
        <v>393</v>
      </c>
      <c r="AG1312" s="376" t="s">
        <v>178</v>
      </c>
      <c r="AH1312" s="381">
        <v>18.54</v>
      </c>
      <c r="AI1312" s="379">
        <v>1472</v>
      </c>
      <c r="AJ1312" s="376" t="s">
        <v>179</v>
      </c>
      <c r="AK1312" s="376" t="s">
        <v>180</v>
      </c>
      <c r="AL1312" s="376" t="s">
        <v>181</v>
      </c>
      <c r="AM1312" s="376" t="s">
        <v>182</v>
      </c>
      <c r="AN1312" s="376" t="s">
        <v>68</v>
      </c>
      <c r="AO1312" s="379">
        <v>80</v>
      </c>
      <c r="AP1312" s="385">
        <v>1</v>
      </c>
      <c r="AQ1312" s="385">
        <v>1</v>
      </c>
      <c r="AR1312" s="383" t="s">
        <v>183</v>
      </c>
      <c r="AS1312" s="387">
        <f t="shared" si="907"/>
        <v>1</v>
      </c>
      <c r="AT1312">
        <f t="shared" si="908"/>
        <v>1</v>
      </c>
      <c r="AU1312" s="387">
        <f>IF(AT1312=0,"",IF(AND(AT1312=1,M1312="F",SUMIF(C2:C1334,C1312,AS2:AS1334)&lt;=1),SUMIF(C2:C1334,C1312,AS2:AS1334),IF(AND(AT1312=1,M1312="F",SUMIF(C2:C1334,C1312,AS2:AS1334)&gt;1),1,"")))</f>
        <v>1</v>
      </c>
      <c r="AV1312" s="387" t="str">
        <f>IF(AT1312=0,"",IF(AND(AT1312=3,M1312="F",SUMIF(C2:C1334,C1312,AS2:AS1334)&lt;=1),SUMIF(C2:C1334,C1312,AS2:AS1334),IF(AND(AT1312=3,M1312="F",SUMIF(C2:C1334,C1312,AS2:AS1334)&gt;1),1,"")))</f>
        <v/>
      </c>
      <c r="AW1312" s="387">
        <f>SUMIF(C2:C1334,C1312,O2:O1334)</f>
        <v>1</v>
      </c>
      <c r="AX1312" s="387">
        <f>IF(AND(M1312="F",AS1312&lt;&gt;0),SUMIF(C2:C1334,C1312,W2:W1334),0)</f>
        <v>38563.199999999997</v>
      </c>
      <c r="AY1312" s="387">
        <f t="shared" si="909"/>
        <v>38563.199999999997</v>
      </c>
      <c r="AZ1312" s="387" t="str">
        <f t="shared" si="910"/>
        <v/>
      </c>
      <c r="BA1312" s="387">
        <f t="shared" si="911"/>
        <v>0</v>
      </c>
      <c r="BB1312" s="387">
        <f t="shared" si="880"/>
        <v>11650</v>
      </c>
      <c r="BC1312" s="387">
        <f t="shared" si="881"/>
        <v>0</v>
      </c>
      <c r="BD1312" s="387">
        <f t="shared" si="882"/>
        <v>2390.9184</v>
      </c>
      <c r="BE1312" s="387">
        <f t="shared" si="883"/>
        <v>559.16639999999995</v>
      </c>
      <c r="BF1312" s="387">
        <f t="shared" si="884"/>
        <v>4604.4460799999997</v>
      </c>
      <c r="BG1312" s="387">
        <f t="shared" si="885"/>
        <v>278.04067199999997</v>
      </c>
      <c r="BH1312" s="387">
        <f t="shared" si="886"/>
        <v>188.95967999999999</v>
      </c>
      <c r="BI1312" s="387">
        <f t="shared" si="887"/>
        <v>213.44731199999998</v>
      </c>
      <c r="BJ1312" s="387">
        <f t="shared" si="888"/>
        <v>104.12063999999999</v>
      </c>
      <c r="BK1312" s="387">
        <f t="shared" si="889"/>
        <v>0</v>
      </c>
      <c r="BL1312" s="387">
        <f t="shared" si="912"/>
        <v>8339.0991839999988</v>
      </c>
      <c r="BM1312" s="387">
        <f t="shared" si="913"/>
        <v>0</v>
      </c>
      <c r="BN1312" s="387">
        <f t="shared" si="890"/>
        <v>11650</v>
      </c>
      <c r="BO1312" s="387">
        <f t="shared" si="891"/>
        <v>0</v>
      </c>
      <c r="BP1312" s="387">
        <f t="shared" si="892"/>
        <v>2390.9184</v>
      </c>
      <c r="BQ1312" s="387">
        <f t="shared" si="893"/>
        <v>559.16639999999995</v>
      </c>
      <c r="BR1312" s="387">
        <f t="shared" si="894"/>
        <v>4604.4460799999997</v>
      </c>
      <c r="BS1312" s="387">
        <f t="shared" si="895"/>
        <v>278.04067199999997</v>
      </c>
      <c r="BT1312" s="387">
        <f t="shared" si="896"/>
        <v>0</v>
      </c>
      <c r="BU1312" s="387">
        <f t="shared" si="897"/>
        <v>213.44731199999998</v>
      </c>
      <c r="BV1312" s="387">
        <f t="shared" si="898"/>
        <v>131.11487999999997</v>
      </c>
      <c r="BW1312" s="387">
        <f t="shared" si="899"/>
        <v>0</v>
      </c>
      <c r="BX1312" s="387">
        <f t="shared" si="914"/>
        <v>8177.1337440000007</v>
      </c>
      <c r="BY1312" s="387">
        <f t="shared" si="915"/>
        <v>0</v>
      </c>
      <c r="BZ1312" s="387">
        <f t="shared" si="916"/>
        <v>0</v>
      </c>
      <c r="CA1312" s="387">
        <f t="shared" si="917"/>
        <v>0</v>
      </c>
      <c r="CB1312" s="387">
        <f t="shared" si="918"/>
        <v>0</v>
      </c>
      <c r="CC1312" s="387">
        <f t="shared" si="900"/>
        <v>0</v>
      </c>
      <c r="CD1312" s="387">
        <f t="shared" si="901"/>
        <v>0</v>
      </c>
      <c r="CE1312" s="387">
        <f t="shared" si="902"/>
        <v>0</v>
      </c>
      <c r="CF1312" s="387">
        <f t="shared" si="903"/>
        <v>-188.95967999999999</v>
      </c>
      <c r="CG1312" s="387">
        <f t="shared" si="904"/>
        <v>0</v>
      </c>
      <c r="CH1312" s="387">
        <f t="shared" si="905"/>
        <v>26.994239999999984</v>
      </c>
      <c r="CI1312" s="387">
        <f t="shared" si="906"/>
        <v>0</v>
      </c>
      <c r="CJ1312" s="387">
        <f t="shared" si="919"/>
        <v>-161.96544</v>
      </c>
      <c r="CK1312" s="387" t="str">
        <f t="shared" si="920"/>
        <v/>
      </c>
      <c r="CL1312" s="387" t="str">
        <f t="shared" si="921"/>
        <v/>
      </c>
      <c r="CM1312" s="387" t="str">
        <f t="shared" si="922"/>
        <v/>
      </c>
      <c r="CN1312" s="387" t="str">
        <f t="shared" si="923"/>
        <v>0348-31</v>
      </c>
    </row>
    <row r="1313" spans="1:92" ht="15.75" thickBot="1" x14ac:dyDescent="0.3">
      <c r="A1313" s="376" t="s">
        <v>161</v>
      </c>
      <c r="B1313" s="376" t="s">
        <v>162</v>
      </c>
      <c r="C1313" s="376" t="s">
        <v>1817</v>
      </c>
      <c r="D1313" s="376" t="s">
        <v>868</v>
      </c>
      <c r="E1313" s="376" t="s">
        <v>224</v>
      </c>
      <c r="F1313" s="382" t="s">
        <v>225</v>
      </c>
      <c r="G1313" s="376" t="s">
        <v>1945</v>
      </c>
      <c r="H1313" s="378"/>
      <c r="I1313" s="378"/>
      <c r="J1313" s="376" t="s">
        <v>215</v>
      </c>
      <c r="K1313" s="376" t="s">
        <v>869</v>
      </c>
      <c r="L1313" s="376" t="s">
        <v>296</v>
      </c>
      <c r="M1313" s="376" t="s">
        <v>171</v>
      </c>
      <c r="N1313" s="376" t="s">
        <v>172</v>
      </c>
      <c r="O1313" s="379">
        <v>1</v>
      </c>
      <c r="P1313" s="385">
        <v>1</v>
      </c>
      <c r="Q1313" s="385">
        <v>1</v>
      </c>
      <c r="R1313" s="380">
        <v>80</v>
      </c>
      <c r="S1313" s="385">
        <v>1</v>
      </c>
      <c r="T1313" s="380">
        <v>0</v>
      </c>
      <c r="U1313" s="380">
        <v>0</v>
      </c>
      <c r="V1313" s="380">
        <v>0</v>
      </c>
      <c r="W1313" s="380">
        <v>42848</v>
      </c>
      <c r="X1313" s="380">
        <v>20915.84</v>
      </c>
      <c r="Y1313" s="380">
        <v>42848</v>
      </c>
      <c r="Z1313" s="380">
        <v>20735.89</v>
      </c>
      <c r="AA1313" s="376" t="s">
        <v>1818</v>
      </c>
      <c r="AB1313" s="376" t="s">
        <v>1819</v>
      </c>
      <c r="AC1313" s="376" t="s">
        <v>1518</v>
      </c>
      <c r="AD1313" s="376" t="s">
        <v>1820</v>
      </c>
      <c r="AE1313" s="376" t="s">
        <v>873</v>
      </c>
      <c r="AF1313" s="376" t="s">
        <v>393</v>
      </c>
      <c r="AG1313" s="376" t="s">
        <v>178</v>
      </c>
      <c r="AH1313" s="381">
        <v>20.6</v>
      </c>
      <c r="AI1313" s="379">
        <v>320</v>
      </c>
      <c r="AJ1313" s="376" t="s">
        <v>179</v>
      </c>
      <c r="AK1313" s="376" t="s">
        <v>180</v>
      </c>
      <c r="AL1313" s="376" t="s">
        <v>181</v>
      </c>
      <c r="AM1313" s="376" t="s">
        <v>182</v>
      </c>
      <c r="AN1313" s="376" t="s">
        <v>68</v>
      </c>
      <c r="AO1313" s="379">
        <v>80</v>
      </c>
      <c r="AP1313" s="385">
        <v>1</v>
      </c>
      <c r="AQ1313" s="385">
        <v>1</v>
      </c>
      <c r="AR1313" s="383">
        <v>3</v>
      </c>
      <c r="AS1313" s="387">
        <f t="shared" si="907"/>
        <v>1</v>
      </c>
      <c r="AT1313">
        <f t="shared" si="908"/>
        <v>1</v>
      </c>
      <c r="AU1313" s="387">
        <f>IF(AT1313=0,"",IF(AND(AT1313=1,M1313="F",SUMIF(C2:C1334,C1313,AS2:AS1334)&lt;=1),SUMIF(C2:C1334,C1313,AS2:AS1334),IF(AND(AT1313=1,M1313="F",SUMIF(C2:C1334,C1313,AS2:AS1334)&gt;1),1,"")))</f>
        <v>1</v>
      </c>
      <c r="AV1313" s="387" t="str">
        <f>IF(AT1313=0,"",IF(AND(AT1313=3,M1313="F",SUMIF(C2:C1334,C1313,AS2:AS1334)&lt;=1),SUMIF(C2:C1334,C1313,AS2:AS1334),IF(AND(AT1313=3,M1313="F",SUMIF(C2:C1334,C1313,AS2:AS1334)&gt;1),1,"")))</f>
        <v/>
      </c>
      <c r="AW1313" s="387">
        <f>SUMIF(C2:C1334,C1313,O2:O1334)</f>
        <v>2</v>
      </c>
      <c r="AX1313" s="387">
        <f>IF(AND(M1313="F",AS1313&lt;&gt;0),SUMIF(C2:C1334,C1313,W2:W1334),0)</f>
        <v>42848</v>
      </c>
      <c r="AY1313" s="387">
        <f t="shared" si="909"/>
        <v>42848</v>
      </c>
      <c r="AZ1313" s="387" t="str">
        <f t="shared" si="910"/>
        <v/>
      </c>
      <c r="BA1313" s="387">
        <f t="shared" si="911"/>
        <v>0</v>
      </c>
      <c r="BB1313" s="387">
        <f t="shared" si="880"/>
        <v>11650</v>
      </c>
      <c r="BC1313" s="387">
        <f t="shared" si="881"/>
        <v>0</v>
      </c>
      <c r="BD1313" s="387">
        <f t="shared" si="882"/>
        <v>2656.576</v>
      </c>
      <c r="BE1313" s="387">
        <f t="shared" si="883"/>
        <v>621.29600000000005</v>
      </c>
      <c r="BF1313" s="387">
        <f t="shared" si="884"/>
        <v>5116.0511999999999</v>
      </c>
      <c r="BG1313" s="387">
        <f t="shared" si="885"/>
        <v>308.93407999999999</v>
      </c>
      <c r="BH1313" s="387">
        <f t="shared" si="886"/>
        <v>209.95519999999999</v>
      </c>
      <c r="BI1313" s="387">
        <f t="shared" si="887"/>
        <v>237.16368</v>
      </c>
      <c r="BJ1313" s="387">
        <f t="shared" si="888"/>
        <v>115.68960000000001</v>
      </c>
      <c r="BK1313" s="387">
        <f t="shared" si="889"/>
        <v>0</v>
      </c>
      <c r="BL1313" s="387">
        <f t="shared" si="912"/>
        <v>9265.6657599999999</v>
      </c>
      <c r="BM1313" s="387">
        <f t="shared" si="913"/>
        <v>0</v>
      </c>
      <c r="BN1313" s="387">
        <f t="shared" si="890"/>
        <v>11650</v>
      </c>
      <c r="BO1313" s="387">
        <f t="shared" si="891"/>
        <v>0</v>
      </c>
      <c r="BP1313" s="387">
        <f t="shared" si="892"/>
        <v>2656.576</v>
      </c>
      <c r="BQ1313" s="387">
        <f t="shared" si="893"/>
        <v>621.29600000000005</v>
      </c>
      <c r="BR1313" s="387">
        <f t="shared" si="894"/>
        <v>5116.0511999999999</v>
      </c>
      <c r="BS1313" s="387">
        <f t="shared" si="895"/>
        <v>308.93407999999999</v>
      </c>
      <c r="BT1313" s="387">
        <f t="shared" si="896"/>
        <v>0</v>
      </c>
      <c r="BU1313" s="387">
        <f t="shared" si="897"/>
        <v>237.16368</v>
      </c>
      <c r="BV1313" s="387">
        <f t="shared" si="898"/>
        <v>145.6832</v>
      </c>
      <c r="BW1313" s="387">
        <f t="shared" si="899"/>
        <v>0</v>
      </c>
      <c r="BX1313" s="387">
        <f t="shared" si="914"/>
        <v>9085.7041599999993</v>
      </c>
      <c r="BY1313" s="387">
        <f t="shared" si="915"/>
        <v>0</v>
      </c>
      <c r="BZ1313" s="387">
        <f t="shared" si="916"/>
        <v>0</v>
      </c>
      <c r="CA1313" s="387">
        <f t="shared" si="917"/>
        <v>0</v>
      </c>
      <c r="CB1313" s="387">
        <f t="shared" si="918"/>
        <v>0</v>
      </c>
      <c r="CC1313" s="387">
        <f t="shared" si="900"/>
        <v>0</v>
      </c>
      <c r="CD1313" s="387">
        <f t="shared" si="901"/>
        <v>0</v>
      </c>
      <c r="CE1313" s="387">
        <f t="shared" si="902"/>
        <v>0</v>
      </c>
      <c r="CF1313" s="387">
        <f t="shared" si="903"/>
        <v>-209.95519999999999</v>
      </c>
      <c r="CG1313" s="387">
        <f t="shared" si="904"/>
        <v>0</v>
      </c>
      <c r="CH1313" s="387">
        <f t="shared" si="905"/>
        <v>29.993599999999986</v>
      </c>
      <c r="CI1313" s="387">
        <f t="shared" si="906"/>
        <v>0</v>
      </c>
      <c r="CJ1313" s="387">
        <f t="shared" si="919"/>
        <v>-179.9616</v>
      </c>
      <c r="CK1313" s="387" t="str">
        <f t="shared" si="920"/>
        <v/>
      </c>
      <c r="CL1313" s="387" t="str">
        <f t="shared" si="921"/>
        <v/>
      </c>
      <c r="CM1313" s="387" t="str">
        <f t="shared" si="922"/>
        <v/>
      </c>
      <c r="CN1313" s="387" t="str">
        <f t="shared" si="923"/>
        <v>0348-31</v>
      </c>
    </row>
    <row r="1314" spans="1:92" ht="15.75" thickBot="1" x14ac:dyDescent="0.3">
      <c r="A1314" s="376" t="s">
        <v>161</v>
      </c>
      <c r="B1314" s="376" t="s">
        <v>162</v>
      </c>
      <c r="C1314" s="376" t="s">
        <v>1796</v>
      </c>
      <c r="D1314" s="376" t="s">
        <v>862</v>
      </c>
      <c r="E1314" s="376" t="s">
        <v>224</v>
      </c>
      <c r="F1314" s="382" t="s">
        <v>225</v>
      </c>
      <c r="G1314" s="376" t="s">
        <v>1945</v>
      </c>
      <c r="H1314" s="378"/>
      <c r="I1314" s="378"/>
      <c r="J1314" s="376" t="s">
        <v>239</v>
      </c>
      <c r="K1314" s="376" t="s">
        <v>863</v>
      </c>
      <c r="L1314" s="376" t="s">
        <v>252</v>
      </c>
      <c r="M1314" s="376" t="s">
        <v>171</v>
      </c>
      <c r="N1314" s="376" t="s">
        <v>172</v>
      </c>
      <c r="O1314" s="379">
        <v>1</v>
      </c>
      <c r="P1314" s="385">
        <v>0.35</v>
      </c>
      <c r="Q1314" s="385">
        <v>0.35</v>
      </c>
      <c r="R1314" s="380">
        <v>80</v>
      </c>
      <c r="S1314" s="385">
        <v>0.35</v>
      </c>
      <c r="T1314" s="380">
        <v>13861.54</v>
      </c>
      <c r="U1314" s="380">
        <v>0</v>
      </c>
      <c r="V1314" s="380">
        <v>7416.5</v>
      </c>
      <c r="W1314" s="380">
        <v>13795.6</v>
      </c>
      <c r="X1314" s="380">
        <v>7060.78</v>
      </c>
      <c r="Y1314" s="380">
        <v>13795.6</v>
      </c>
      <c r="Z1314" s="380">
        <v>7002.84</v>
      </c>
      <c r="AA1314" s="376" t="s">
        <v>1797</v>
      </c>
      <c r="AB1314" s="376" t="s">
        <v>1798</v>
      </c>
      <c r="AC1314" s="376" t="s">
        <v>1799</v>
      </c>
      <c r="AD1314" s="376" t="s">
        <v>1800</v>
      </c>
      <c r="AE1314" s="376" t="s">
        <v>863</v>
      </c>
      <c r="AF1314" s="376" t="s">
        <v>393</v>
      </c>
      <c r="AG1314" s="376" t="s">
        <v>178</v>
      </c>
      <c r="AH1314" s="381">
        <v>18.95</v>
      </c>
      <c r="AI1314" s="379">
        <v>3680</v>
      </c>
      <c r="AJ1314" s="376" t="s">
        <v>179</v>
      </c>
      <c r="AK1314" s="376" t="s">
        <v>180</v>
      </c>
      <c r="AL1314" s="376" t="s">
        <v>181</v>
      </c>
      <c r="AM1314" s="376" t="s">
        <v>182</v>
      </c>
      <c r="AN1314" s="376" t="s">
        <v>68</v>
      </c>
      <c r="AO1314" s="379">
        <v>80</v>
      </c>
      <c r="AP1314" s="385">
        <v>1</v>
      </c>
      <c r="AQ1314" s="385">
        <v>0.35</v>
      </c>
      <c r="AR1314" s="383" t="s">
        <v>183</v>
      </c>
      <c r="AS1314" s="387">
        <f t="shared" si="907"/>
        <v>0.35</v>
      </c>
      <c r="AT1314">
        <f t="shared" si="908"/>
        <v>1</v>
      </c>
      <c r="AU1314" s="387">
        <f>IF(AT1314=0,"",IF(AND(AT1314=1,M1314="F",SUMIF(C2:C1334,C1314,AS2:AS1334)&lt;=1),SUMIF(C2:C1334,C1314,AS2:AS1334),IF(AND(AT1314=1,M1314="F",SUMIF(C2:C1334,C1314,AS2:AS1334)&gt;1),1,"")))</f>
        <v>1</v>
      </c>
      <c r="AV1314" s="387" t="str">
        <f>IF(AT1314=0,"",IF(AND(AT1314=3,M1314="F",SUMIF(C2:C1334,C1314,AS2:AS1334)&lt;=1),SUMIF(C2:C1334,C1314,AS2:AS1334),IF(AND(AT1314=3,M1314="F",SUMIF(C2:C1334,C1314,AS2:AS1334)&gt;1),1,"")))</f>
        <v/>
      </c>
      <c r="AW1314" s="387">
        <f>SUMIF(C2:C1334,C1314,O2:O1334)</f>
        <v>3</v>
      </c>
      <c r="AX1314" s="387">
        <f>IF(AND(M1314="F",AS1314&lt;&gt;0),SUMIF(C2:C1334,C1314,W2:W1334),0)</f>
        <v>39416</v>
      </c>
      <c r="AY1314" s="387">
        <f t="shared" si="909"/>
        <v>13795.6</v>
      </c>
      <c r="AZ1314" s="387" t="str">
        <f t="shared" si="910"/>
        <v/>
      </c>
      <c r="BA1314" s="387">
        <f t="shared" si="911"/>
        <v>0</v>
      </c>
      <c r="BB1314" s="387">
        <f t="shared" si="880"/>
        <v>4077.4999999999995</v>
      </c>
      <c r="BC1314" s="387">
        <f t="shared" si="881"/>
        <v>0</v>
      </c>
      <c r="BD1314" s="387">
        <f t="shared" si="882"/>
        <v>855.32720000000006</v>
      </c>
      <c r="BE1314" s="387">
        <f t="shared" si="883"/>
        <v>200.03620000000001</v>
      </c>
      <c r="BF1314" s="387">
        <f t="shared" si="884"/>
        <v>1647.1946400000002</v>
      </c>
      <c r="BG1314" s="387">
        <f t="shared" si="885"/>
        <v>99.466276000000008</v>
      </c>
      <c r="BH1314" s="387">
        <f t="shared" si="886"/>
        <v>67.598439999999997</v>
      </c>
      <c r="BI1314" s="387">
        <f t="shared" si="887"/>
        <v>76.358646000000007</v>
      </c>
      <c r="BJ1314" s="387">
        <f t="shared" si="888"/>
        <v>37.24812</v>
      </c>
      <c r="BK1314" s="387">
        <f t="shared" si="889"/>
        <v>0</v>
      </c>
      <c r="BL1314" s="387">
        <f t="shared" si="912"/>
        <v>2983.229522000001</v>
      </c>
      <c r="BM1314" s="387">
        <f t="shared" si="913"/>
        <v>0</v>
      </c>
      <c r="BN1314" s="387">
        <f t="shared" si="890"/>
        <v>4077.4999999999995</v>
      </c>
      <c r="BO1314" s="387">
        <f t="shared" si="891"/>
        <v>0</v>
      </c>
      <c r="BP1314" s="387">
        <f t="shared" si="892"/>
        <v>855.32720000000006</v>
      </c>
      <c r="BQ1314" s="387">
        <f t="shared" si="893"/>
        <v>200.03620000000001</v>
      </c>
      <c r="BR1314" s="387">
        <f t="shared" si="894"/>
        <v>1647.1946400000002</v>
      </c>
      <c r="BS1314" s="387">
        <f t="shared" si="895"/>
        <v>99.466276000000008</v>
      </c>
      <c r="BT1314" s="387">
        <f t="shared" si="896"/>
        <v>0</v>
      </c>
      <c r="BU1314" s="387">
        <f t="shared" si="897"/>
        <v>76.358646000000007</v>
      </c>
      <c r="BV1314" s="387">
        <f t="shared" si="898"/>
        <v>46.90504</v>
      </c>
      <c r="BW1314" s="387">
        <f t="shared" si="899"/>
        <v>0</v>
      </c>
      <c r="BX1314" s="387">
        <f t="shared" si="914"/>
        <v>2925.2880020000007</v>
      </c>
      <c r="BY1314" s="387">
        <f t="shared" si="915"/>
        <v>0</v>
      </c>
      <c r="BZ1314" s="387">
        <f t="shared" si="916"/>
        <v>0</v>
      </c>
      <c r="CA1314" s="387">
        <f t="shared" si="917"/>
        <v>0</v>
      </c>
      <c r="CB1314" s="387">
        <f t="shared" si="918"/>
        <v>0</v>
      </c>
      <c r="CC1314" s="387">
        <f t="shared" si="900"/>
        <v>0</v>
      </c>
      <c r="CD1314" s="387">
        <f t="shared" si="901"/>
        <v>0</v>
      </c>
      <c r="CE1314" s="387">
        <f t="shared" si="902"/>
        <v>0</v>
      </c>
      <c r="CF1314" s="387">
        <f t="shared" si="903"/>
        <v>-67.598439999999997</v>
      </c>
      <c r="CG1314" s="387">
        <f t="shared" si="904"/>
        <v>0</v>
      </c>
      <c r="CH1314" s="387">
        <f t="shared" si="905"/>
        <v>9.656919999999996</v>
      </c>
      <c r="CI1314" s="387">
        <f t="shared" si="906"/>
        <v>0</v>
      </c>
      <c r="CJ1314" s="387">
        <f t="shared" si="919"/>
        <v>-57.941519999999997</v>
      </c>
      <c r="CK1314" s="387" t="str">
        <f t="shared" si="920"/>
        <v/>
      </c>
      <c r="CL1314" s="387" t="str">
        <f t="shared" si="921"/>
        <v/>
      </c>
      <c r="CM1314" s="387" t="str">
        <f t="shared" si="922"/>
        <v/>
      </c>
      <c r="CN1314" s="387" t="str">
        <f t="shared" si="923"/>
        <v>0348-31</v>
      </c>
    </row>
    <row r="1315" spans="1:92" ht="15.75" thickBot="1" x14ac:dyDescent="0.3">
      <c r="A1315" s="376" t="s">
        <v>161</v>
      </c>
      <c r="B1315" s="376" t="s">
        <v>162</v>
      </c>
      <c r="C1315" s="376" t="s">
        <v>1176</v>
      </c>
      <c r="D1315" s="376" t="s">
        <v>270</v>
      </c>
      <c r="E1315" s="376" t="s">
        <v>224</v>
      </c>
      <c r="F1315" s="382" t="s">
        <v>225</v>
      </c>
      <c r="G1315" s="376" t="s">
        <v>1945</v>
      </c>
      <c r="H1315" s="378"/>
      <c r="I1315" s="378"/>
      <c r="J1315" s="376" t="s">
        <v>215</v>
      </c>
      <c r="K1315" s="376" t="s">
        <v>271</v>
      </c>
      <c r="L1315" s="376" t="s">
        <v>217</v>
      </c>
      <c r="M1315" s="376" t="s">
        <v>171</v>
      </c>
      <c r="N1315" s="376" t="s">
        <v>172</v>
      </c>
      <c r="O1315" s="379">
        <v>1</v>
      </c>
      <c r="P1315" s="385">
        <v>1</v>
      </c>
      <c r="Q1315" s="385">
        <v>1</v>
      </c>
      <c r="R1315" s="380">
        <v>80</v>
      </c>
      <c r="S1315" s="385">
        <v>1</v>
      </c>
      <c r="T1315" s="380">
        <v>23112.53</v>
      </c>
      <c r="U1315" s="380">
        <v>408.87</v>
      </c>
      <c r="V1315" s="380">
        <v>13366.59</v>
      </c>
      <c r="W1315" s="380">
        <v>34132.800000000003</v>
      </c>
      <c r="X1315" s="380">
        <v>19031.18</v>
      </c>
      <c r="Y1315" s="380">
        <v>34132.800000000003</v>
      </c>
      <c r="Z1315" s="380">
        <v>18887.830000000002</v>
      </c>
      <c r="AA1315" s="376" t="s">
        <v>1177</v>
      </c>
      <c r="AB1315" s="376" t="s">
        <v>1178</v>
      </c>
      <c r="AC1315" s="376" t="s">
        <v>1179</v>
      </c>
      <c r="AD1315" s="376" t="s">
        <v>1180</v>
      </c>
      <c r="AE1315" s="376" t="s">
        <v>271</v>
      </c>
      <c r="AF1315" s="376" t="s">
        <v>221</v>
      </c>
      <c r="AG1315" s="376" t="s">
        <v>178</v>
      </c>
      <c r="AH1315" s="381">
        <v>16.41</v>
      </c>
      <c r="AI1315" s="381">
        <v>3376.4</v>
      </c>
      <c r="AJ1315" s="376" t="s">
        <v>179</v>
      </c>
      <c r="AK1315" s="376" t="s">
        <v>180</v>
      </c>
      <c r="AL1315" s="376" t="s">
        <v>181</v>
      </c>
      <c r="AM1315" s="376" t="s">
        <v>182</v>
      </c>
      <c r="AN1315" s="376" t="s">
        <v>68</v>
      </c>
      <c r="AO1315" s="379">
        <v>80</v>
      </c>
      <c r="AP1315" s="385">
        <v>1</v>
      </c>
      <c r="AQ1315" s="385">
        <v>1</v>
      </c>
      <c r="AR1315" s="383" t="s">
        <v>183</v>
      </c>
      <c r="AS1315" s="387">
        <f t="shared" si="907"/>
        <v>1</v>
      </c>
      <c r="AT1315">
        <f t="shared" si="908"/>
        <v>1</v>
      </c>
      <c r="AU1315" s="387">
        <f>IF(AT1315=0,"",IF(AND(AT1315=1,M1315="F",SUMIF(C2:C1334,C1315,AS2:AS1334)&lt;=1),SUMIF(C2:C1334,C1315,AS2:AS1334),IF(AND(AT1315=1,M1315="F",SUMIF(C2:C1334,C1315,AS2:AS1334)&gt;1),1,"")))</f>
        <v>1</v>
      </c>
      <c r="AV1315" s="387" t="str">
        <f>IF(AT1315=0,"",IF(AND(AT1315=3,M1315="F",SUMIF(C2:C1334,C1315,AS2:AS1334)&lt;=1),SUMIF(C2:C1334,C1315,AS2:AS1334),IF(AND(AT1315=3,M1315="F",SUMIF(C2:C1334,C1315,AS2:AS1334)&gt;1),1,"")))</f>
        <v/>
      </c>
      <c r="AW1315" s="387">
        <f>SUMIF(C2:C1334,C1315,O2:O1334)</f>
        <v>2</v>
      </c>
      <c r="AX1315" s="387">
        <f>IF(AND(M1315="F",AS1315&lt;&gt;0),SUMIF(C2:C1334,C1315,W2:W1334),0)</f>
        <v>34132.800000000003</v>
      </c>
      <c r="AY1315" s="387">
        <f t="shared" si="909"/>
        <v>34132.800000000003</v>
      </c>
      <c r="AZ1315" s="387" t="str">
        <f t="shared" si="910"/>
        <v/>
      </c>
      <c r="BA1315" s="387">
        <f t="shared" si="911"/>
        <v>0</v>
      </c>
      <c r="BB1315" s="387">
        <f t="shared" si="880"/>
        <v>11650</v>
      </c>
      <c r="BC1315" s="387">
        <f t="shared" si="881"/>
        <v>0</v>
      </c>
      <c r="BD1315" s="387">
        <f t="shared" si="882"/>
        <v>2116.2336</v>
      </c>
      <c r="BE1315" s="387">
        <f t="shared" si="883"/>
        <v>494.92560000000009</v>
      </c>
      <c r="BF1315" s="387">
        <f t="shared" si="884"/>
        <v>4075.4563200000007</v>
      </c>
      <c r="BG1315" s="387">
        <f t="shared" si="885"/>
        <v>246.09748800000003</v>
      </c>
      <c r="BH1315" s="387">
        <f t="shared" si="886"/>
        <v>167.25072</v>
      </c>
      <c r="BI1315" s="387">
        <f t="shared" si="887"/>
        <v>188.925048</v>
      </c>
      <c r="BJ1315" s="387">
        <f t="shared" si="888"/>
        <v>92.158560000000008</v>
      </c>
      <c r="BK1315" s="387">
        <f t="shared" si="889"/>
        <v>0</v>
      </c>
      <c r="BL1315" s="387">
        <f t="shared" si="912"/>
        <v>7381.0473360000015</v>
      </c>
      <c r="BM1315" s="387">
        <f t="shared" si="913"/>
        <v>0</v>
      </c>
      <c r="BN1315" s="387">
        <f t="shared" si="890"/>
        <v>11650</v>
      </c>
      <c r="BO1315" s="387">
        <f t="shared" si="891"/>
        <v>0</v>
      </c>
      <c r="BP1315" s="387">
        <f t="shared" si="892"/>
        <v>2116.2336</v>
      </c>
      <c r="BQ1315" s="387">
        <f t="shared" si="893"/>
        <v>494.92560000000009</v>
      </c>
      <c r="BR1315" s="387">
        <f t="shared" si="894"/>
        <v>4075.4563200000007</v>
      </c>
      <c r="BS1315" s="387">
        <f t="shared" si="895"/>
        <v>246.09748800000003</v>
      </c>
      <c r="BT1315" s="387">
        <f t="shared" si="896"/>
        <v>0</v>
      </c>
      <c r="BU1315" s="387">
        <f t="shared" si="897"/>
        <v>188.925048</v>
      </c>
      <c r="BV1315" s="387">
        <f t="shared" si="898"/>
        <v>116.05152</v>
      </c>
      <c r="BW1315" s="387">
        <f t="shared" si="899"/>
        <v>0</v>
      </c>
      <c r="BX1315" s="387">
        <f t="shared" si="914"/>
        <v>7237.6895760000016</v>
      </c>
      <c r="BY1315" s="387">
        <f t="shared" si="915"/>
        <v>0</v>
      </c>
      <c r="BZ1315" s="387">
        <f t="shared" si="916"/>
        <v>0</v>
      </c>
      <c r="CA1315" s="387">
        <f t="shared" si="917"/>
        <v>0</v>
      </c>
      <c r="CB1315" s="387">
        <f t="shared" si="918"/>
        <v>0</v>
      </c>
      <c r="CC1315" s="387">
        <f t="shared" si="900"/>
        <v>0</v>
      </c>
      <c r="CD1315" s="387">
        <f t="shared" si="901"/>
        <v>0</v>
      </c>
      <c r="CE1315" s="387">
        <f t="shared" si="902"/>
        <v>0</v>
      </c>
      <c r="CF1315" s="387">
        <f t="shared" si="903"/>
        <v>-167.25072</v>
      </c>
      <c r="CG1315" s="387">
        <f t="shared" si="904"/>
        <v>0</v>
      </c>
      <c r="CH1315" s="387">
        <f t="shared" si="905"/>
        <v>23.892959999999992</v>
      </c>
      <c r="CI1315" s="387">
        <f t="shared" si="906"/>
        <v>0</v>
      </c>
      <c r="CJ1315" s="387">
        <f t="shared" si="919"/>
        <v>-143.35776000000001</v>
      </c>
      <c r="CK1315" s="387" t="str">
        <f t="shared" si="920"/>
        <v/>
      </c>
      <c r="CL1315" s="387" t="str">
        <f t="shared" si="921"/>
        <v/>
      </c>
      <c r="CM1315" s="387" t="str">
        <f t="shared" si="922"/>
        <v/>
      </c>
      <c r="CN1315" s="387" t="str">
        <f t="shared" si="923"/>
        <v>0348-31</v>
      </c>
    </row>
    <row r="1316" spans="1:92" ht="15.75" thickBot="1" x14ac:dyDescent="0.3">
      <c r="A1316" s="376" t="s">
        <v>161</v>
      </c>
      <c r="B1316" s="376" t="s">
        <v>162</v>
      </c>
      <c r="C1316" s="376" t="s">
        <v>544</v>
      </c>
      <c r="D1316" s="376" t="s">
        <v>263</v>
      </c>
      <c r="E1316" s="376" t="s">
        <v>224</v>
      </c>
      <c r="F1316" s="382" t="s">
        <v>225</v>
      </c>
      <c r="G1316" s="376" t="s">
        <v>1945</v>
      </c>
      <c r="H1316" s="378"/>
      <c r="I1316" s="378"/>
      <c r="J1316" s="376" t="s">
        <v>215</v>
      </c>
      <c r="K1316" s="376" t="s">
        <v>264</v>
      </c>
      <c r="L1316" s="376" t="s">
        <v>210</v>
      </c>
      <c r="M1316" s="376" t="s">
        <v>171</v>
      </c>
      <c r="N1316" s="376" t="s">
        <v>172</v>
      </c>
      <c r="O1316" s="379">
        <v>1</v>
      </c>
      <c r="P1316" s="385">
        <v>0</v>
      </c>
      <c r="Q1316" s="385">
        <v>0</v>
      </c>
      <c r="R1316" s="380">
        <v>80</v>
      </c>
      <c r="S1316" s="385">
        <v>0</v>
      </c>
      <c r="T1316" s="380">
        <v>957.01</v>
      </c>
      <c r="U1316" s="380">
        <v>0</v>
      </c>
      <c r="V1316" s="380">
        <v>338.83</v>
      </c>
      <c r="W1316" s="380">
        <v>0</v>
      </c>
      <c r="X1316" s="380">
        <v>0</v>
      </c>
      <c r="Y1316" s="380">
        <v>0</v>
      </c>
      <c r="Z1316" s="380">
        <v>0</v>
      </c>
      <c r="AA1316" s="376" t="s">
        <v>545</v>
      </c>
      <c r="AB1316" s="376" t="s">
        <v>546</v>
      </c>
      <c r="AC1316" s="376" t="s">
        <v>458</v>
      </c>
      <c r="AD1316" s="376" t="s">
        <v>406</v>
      </c>
      <c r="AE1316" s="376" t="s">
        <v>264</v>
      </c>
      <c r="AF1316" s="376" t="s">
        <v>245</v>
      </c>
      <c r="AG1316" s="376" t="s">
        <v>178</v>
      </c>
      <c r="AH1316" s="381">
        <v>31.31</v>
      </c>
      <c r="AI1316" s="381">
        <v>46544.3</v>
      </c>
      <c r="AJ1316" s="376" t="s">
        <v>179</v>
      </c>
      <c r="AK1316" s="376" t="s">
        <v>180</v>
      </c>
      <c r="AL1316" s="376" t="s">
        <v>181</v>
      </c>
      <c r="AM1316" s="376" t="s">
        <v>182</v>
      </c>
      <c r="AN1316" s="376" t="s">
        <v>68</v>
      </c>
      <c r="AO1316" s="379">
        <v>80</v>
      </c>
      <c r="AP1316" s="385">
        <v>1</v>
      </c>
      <c r="AQ1316" s="385">
        <v>0</v>
      </c>
      <c r="AR1316" s="383" t="s">
        <v>183</v>
      </c>
      <c r="AS1316" s="387">
        <f t="shared" si="907"/>
        <v>0</v>
      </c>
      <c r="AT1316">
        <f t="shared" si="908"/>
        <v>0</v>
      </c>
      <c r="AU1316" s="387" t="str">
        <f>IF(AT1316=0,"",IF(AND(AT1316=1,M1316="F",SUMIF(C2:C1334,C1316,AS2:AS1334)&lt;=1),SUMIF(C2:C1334,C1316,AS2:AS1334),IF(AND(AT1316=1,M1316="F",SUMIF(C2:C1334,C1316,AS2:AS1334)&gt;1),1,"")))</f>
        <v/>
      </c>
      <c r="AV1316" s="387" t="str">
        <f>IF(AT1316=0,"",IF(AND(AT1316=3,M1316="F",SUMIF(C2:C1334,C1316,AS2:AS1334)&lt;=1),SUMIF(C2:C1334,C1316,AS2:AS1334),IF(AND(AT1316=3,M1316="F",SUMIF(C2:C1334,C1316,AS2:AS1334)&gt;1),1,"")))</f>
        <v/>
      </c>
      <c r="AW1316" s="387">
        <f>SUMIF(C2:C1334,C1316,O2:O1334)</f>
        <v>4</v>
      </c>
      <c r="AX1316" s="387">
        <f>IF(AND(M1316="F",AS1316&lt;&gt;0),SUMIF(C2:C1334,C1316,W2:W1334),0)</f>
        <v>0</v>
      </c>
      <c r="AY1316" s="387" t="str">
        <f t="shared" si="909"/>
        <v/>
      </c>
      <c r="AZ1316" s="387" t="str">
        <f t="shared" si="910"/>
        <v/>
      </c>
      <c r="BA1316" s="387">
        <f t="shared" si="911"/>
        <v>0</v>
      </c>
      <c r="BB1316" s="387">
        <f t="shared" si="880"/>
        <v>0</v>
      </c>
      <c r="BC1316" s="387">
        <f t="shared" si="881"/>
        <v>0</v>
      </c>
      <c r="BD1316" s="387">
        <f t="shared" si="882"/>
        <v>0</v>
      </c>
      <c r="BE1316" s="387">
        <f t="shared" si="883"/>
        <v>0</v>
      </c>
      <c r="BF1316" s="387">
        <f t="shared" si="884"/>
        <v>0</v>
      </c>
      <c r="BG1316" s="387">
        <f t="shared" si="885"/>
        <v>0</v>
      </c>
      <c r="BH1316" s="387">
        <f t="shared" si="886"/>
        <v>0</v>
      </c>
      <c r="BI1316" s="387">
        <f t="shared" si="887"/>
        <v>0</v>
      </c>
      <c r="BJ1316" s="387">
        <f t="shared" si="888"/>
        <v>0</v>
      </c>
      <c r="BK1316" s="387">
        <f t="shared" si="889"/>
        <v>0</v>
      </c>
      <c r="BL1316" s="387">
        <f t="shared" si="912"/>
        <v>0</v>
      </c>
      <c r="BM1316" s="387">
        <f t="shared" si="913"/>
        <v>0</v>
      </c>
      <c r="BN1316" s="387">
        <f t="shared" si="890"/>
        <v>0</v>
      </c>
      <c r="BO1316" s="387">
        <f t="shared" si="891"/>
        <v>0</v>
      </c>
      <c r="BP1316" s="387">
        <f t="shared" si="892"/>
        <v>0</v>
      </c>
      <c r="BQ1316" s="387">
        <f t="shared" si="893"/>
        <v>0</v>
      </c>
      <c r="BR1316" s="387">
        <f t="shared" si="894"/>
        <v>0</v>
      </c>
      <c r="BS1316" s="387">
        <f t="shared" si="895"/>
        <v>0</v>
      </c>
      <c r="BT1316" s="387">
        <f t="shared" si="896"/>
        <v>0</v>
      </c>
      <c r="BU1316" s="387">
        <f t="shared" si="897"/>
        <v>0</v>
      </c>
      <c r="BV1316" s="387">
        <f t="shared" si="898"/>
        <v>0</v>
      </c>
      <c r="BW1316" s="387">
        <f t="shared" si="899"/>
        <v>0</v>
      </c>
      <c r="BX1316" s="387">
        <f t="shared" si="914"/>
        <v>0</v>
      </c>
      <c r="BY1316" s="387">
        <f t="shared" si="915"/>
        <v>0</v>
      </c>
      <c r="BZ1316" s="387">
        <f t="shared" si="916"/>
        <v>0</v>
      </c>
      <c r="CA1316" s="387">
        <f t="shared" si="917"/>
        <v>0</v>
      </c>
      <c r="CB1316" s="387">
        <f t="shared" si="918"/>
        <v>0</v>
      </c>
      <c r="CC1316" s="387">
        <f t="shared" si="900"/>
        <v>0</v>
      </c>
      <c r="CD1316" s="387">
        <f t="shared" si="901"/>
        <v>0</v>
      </c>
      <c r="CE1316" s="387">
        <f t="shared" si="902"/>
        <v>0</v>
      </c>
      <c r="CF1316" s="387">
        <f t="shared" si="903"/>
        <v>0</v>
      </c>
      <c r="CG1316" s="387">
        <f t="shared" si="904"/>
        <v>0</v>
      </c>
      <c r="CH1316" s="387">
        <f t="shared" si="905"/>
        <v>0</v>
      </c>
      <c r="CI1316" s="387">
        <f t="shared" si="906"/>
        <v>0</v>
      </c>
      <c r="CJ1316" s="387">
        <f t="shared" si="919"/>
        <v>0</v>
      </c>
      <c r="CK1316" s="387" t="str">
        <f t="shared" si="920"/>
        <v/>
      </c>
      <c r="CL1316" s="387" t="str">
        <f t="shared" si="921"/>
        <v/>
      </c>
      <c r="CM1316" s="387" t="str">
        <f t="shared" si="922"/>
        <v/>
      </c>
      <c r="CN1316" s="387" t="str">
        <f t="shared" si="923"/>
        <v>0348-31</v>
      </c>
    </row>
    <row r="1317" spans="1:92" ht="15.75" thickBot="1" x14ac:dyDescent="0.3">
      <c r="A1317" s="376" t="s">
        <v>161</v>
      </c>
      <c r="B1317" s="376" t="s">
        <v>162</v>
      </c>
      <c r="C1317" s="376" t="s">
        <v>893</v>
      </c>
      <c r="D1317" s="376" t="s">
        <v>868</v>
      </c>
      <c r="E1317" s="376" t="s">
        <v>224</v>
      </c>
      <c r="F1317" s="382" t="s">
        <v>225</v>
      </c>
      <c r="G1317" s="376" t="s">
        <v>1945</v>
      </c>
      <c r="H1317" s="378"/>
      <c r="I1317" s="378"/>
      <c r="J1317" s="376" t="s">
        <v>215</v>
      </c>
      <c r="K1317" s="376" t="s">
        <v>894</v>
      </c>
      <c r="L1317" s="376" t="s">
        <v>170</v>
      </c>
      <c r="M1317" s="376" t="s">
        <v>272</v>
      </c>
      <c r="N1317" s="376" t="s">
        <v>172</v>
      </c>
      <c r="O1317" s="379">
        <v>0</v>
      </c>
      <c r="P1317" s="385">
        <v>1</v>
      </c>
      <c r="Q1317" s="385">
        <v>1</v>
      </c>
      <c r="R1317" s="380">
        <v>80</v>
      </c>
      <c r="S1317" s="385">
        <v>1</v>
      </c>
      <c r="T1317" s="380">
        <v>0</v>
      </c>
      <c r="U1317" s="380">
        <v>0</v>
      </c>
      <c r="V1317" s="380">
        <v>0</v>
      </c>
      <c r="W1317" s="380">
        <v>53476.800000000003</v>
      </c>
      <c r="X1317" s="380">
        <v>23422.83</v>
      </c>
      <c r="Y1317" s="380">
        <v>53476.800000000003</v>
      </c>
      <c r="Z1317" s="380">
        <v>23155.45</v>
      </c>
      <c r="AA1317" s="378"/>
      <c r="AB1317" s="376" t="s">
        <v>45</v>
      </c>
      <c r="AC1317" s="376" t="s">
        <v>45</v>
      </c>
      <c r="AD1317" s="378"/>
      <c r="AE1317" s="378"/>
      <c r="AF1317" s="378"/>
      <c r="AG1317" s="378"/>
      <c r="AH1317" s="379">
        <v>0</v>
      </c>
      <c r="AI1317" s="379">
        <v>0</v>
      </c>
      <c r="AJ1317" s="378"/>
      <c r="AK1317" s="378"/>
      <c r="AL1317" s="376" t="s">
        <v>181</v>
      </c>
      <c r="AM1317" s="378"/>
      <c r="AN1317" s="378"/>
      <c r="AO1317" s="379">
        <v>0</v>
      </c>
      <c r="AP1317" s="385">
        <v>0</v>
      </c>
      <c r="AQ1317" s="385">
        <v>0</v>
      </c>
      <c r="AR1317" s="384"/>
      <c r="AS1317" s="387">
        <f t="shared" si="907"/>
        <v>0</v>
      </c>
      <c r="AT1317">
        <f t="shared" si="908"/>
        <v>0</v>
      </c>
      <c r="AU1317" s="387" t="str">
        <f>IF(AT1317=0,"",IF(AND(AT1317=1,M1317="F",SUMIF(C2:C1334,C1317,AS2:AS1334)&lt;=1),SUMIF(C2:C1334,C1317,AS2:AS1334),IF(AND(AT1317=1,M1317="F",SUMIF(C2:C1334,C1317,AS2:AS1334)&gt;1),1,"")))</f>
        <v/>
      </c>
      <c r="AV1317" s="387" t="str">
        <f>IF(AT1317=0,"",IF(AND(AT1317=3,M1317="F",SUMIF(C2:C1334,C1317,AS2:AS1334)&lt;=1),SUMIF(C2:C1334,C1317,AS2:AS1334),IF(AND(AT1317=3,M1317="F",SUMIF(C2:C1334,C1317,AS2:AS1334)&gt;1),1,"")))</f>
        <v/>
      </c>
      <c r="AW1317" s="387">
        <f>SUMIF(C2:C1334,C1317,O2:O1334)</f>
        <v>0</v>
      </c>
      <c r="AX1317" s="387">
        <f>IF(AND(M1317="F",AS1317&lt;&gt;0),SUMIF(C2:C1334,C1317,W2:W1334),0)</f>
        <v>0</v>
      </c>
      <c r="AY1317" s="387" t="str">
        <f t="shared" si="909"/>
        <v/>
      </c>
      <c r="AZ1317" s="387" t="str">
        <f t="shared" si="910"/>
        <v/>
      </c>
      <c r="BA1317" s="387">
        <f t="shared" si="911"/>
        <v>0</v>
      </c>
      <c r="BB1317" s="387">
        <f t="shared" si="880"/>
        <v>0</v>
      </c>
      <c r="BC1317" s="387">
        <f t="shared" si="881"/>
        <v>0</v>
      </c>
      <c r="BD1317" s="387">
        <f t="shared" si="882"/>
        <v>0</v>
      </c>
      <c r="BE1317" s="387">
        <f t="shared" si="883"/>
        <v>0</v>
      </c>
      <c r="BF1317" s="387">
        <f t="shared" si="884"/>
        <v>0</v>
      </c>
      <c r="BG1317" s="387">
        <f t="shared" si="885"/>
        <v>0</v>
      </c>
      <c r="BH1317" s="387">
        <f t="shared" si="886"/>
        <v>0</v>
      </c>
      <c r="BI1317" s="387">
        <f t="shared" si="887"/>
        <v>0</v>
      </c>
      <c r="BJ1317" s="387">
        <f t="shared" si="888"/>
        <v>0</v>
      </c>
      <c r="BK1317" s="387">
        <f t="shared" si="889"/>
        <v>0</v>
      </c>
      <c r="BL1317" s="387">
        <f t="shared" si="912"/>
        <v>0</v>
      </c>
      <c r="BM1317" s="387">
        <f t="shared" si="913"/>
        <v>0</v>
      </c>
      <c r="BN1317" s="387">
        <f t="shared" si="890"/>
        <v>0</v>
      </c>
      <c r="BO1317" s="387">
        <f t="shared" si="891"/>
        <v>0</v>
      </c>
      <c r="BP1317" s="387">
        <f t="shared" si="892"/>
        <v>0</v>
      </c>
      <c r="BQ1317" s="387">
        <f t="shared" si="893"/>
        <v>0</v>
      </c>
      <c r="BR1317" s="387">
        <f t="shared" si="894"/>
        <v>0</v>
      </c>
      <c r="BS1317" s="387">
        <f t="shared" si="895"/>
        <v>0</v>
      </c>
      <c r="BT1317" s="387">
        <f t="shared" si="896"/>
        <v>0</v>
      </c>
      <c r="BU1317" s="387">
        <f t="shared" si="897"/>
        <v>0</v>
      </c>
      <c r="BV1317" s="387">
        <f t="shared" si="898"/>
        <v>0</v>
      </c>
      <c r="BW1317" s="387">
        <f t="shared" si="899"/>
        <v>0</v>
      </c>
      <c r="BX1317" s="387">
        <f t="shared" si="914"/>
        <v>0</v>
      </c>
      <c r="BY1317" s="387">
        <f t="shared" si="915"/>
        <v>0</v>
      </c>
      <c r="BZ1317" s="387">
        <f t="shared" si="916"/>
        <v>0</v>
      </c>
      <c r="CA1317" s="387">
        <f t="shared" si="917"/>
        <v>0</v>
      </c>
      <c r="CB1317" s="387">
        <f t="shared" si="918"/>
        <v>0</v>
      </c>
      <c r="CC1317" s="387">
        <f t="shared" si="900"/>
        <v>0</v>
      </c>
      <c r="CD1317" s="387">
        <f t="shared" si="901"/>
        <v>0</v>
      </c>
      <c r="CE1317" s="387">
        <f t="shared" si="902"/>
        <v>0</v>
      </c>
      <c r="CF1317" s="387">
        <f t="shared" si="903"/>
        <v>0</v>
      </c>
      <c r="CG1317" s="387">
        <f t="shared" si="904"/>
        <v>0</v>
      </c>
      <c r="CH1317" s="387">
        <f t="shared" si="905"/>
        <v>0</v>
      </c>
      <c r="CI1317" s="387">
        <f t="shared" si="906"/>
        <v>0</v>
      </c>
      <c r="CJ1317" s="387">
        <f t="shared" si="919"/>
        <v>0</v>
      </c>
      <c r="CK1317" s="387" t="str">
        <f t="shared" si="920"/>
        <v/>
      </c>
      <c r="CL1317" s="387" t="str">
        <f t="shared" si="921"/>
        <v/>
      </c>
      <c r="CM1317" s="387" t="str">
        <f t="shared" si="922"/>
        <v/>
      </c>
      <c r="CN1317" s="387" t="str">
        <f t="shared" si="923"/>
        <v>0348-31</v>
      </c>
    </row>
    <row r="1318" spans="1:92" ht="15.75" thickBot="1" x14ac:dyDescent="0.3">
      <c r="A1318" s="376" t="s">
        <v>161</v>
      </c>
      <c r="B1318" s="376" t="s">
        <v>162</v>
      </c>
      <c r="C1318" s="376" t="s">
        <v>1083</v>
      </c>
      <c r="D1318" s="376" t="s">
        <v>862</v>
      </c>
      <c r="E1318" s="376" t="s">
        <v>224</v>
      </c>
      <c r="F1318" s="382" t="s">
        <v>225</v>
      </c>
      <c r="G1318" s="376" t="s">
        <v>1945</v>
      </c>
      <c r="H1318" s="378"/>
      <c r="I1318" s="378"/>
      <c r="J1318" s="376" t="s">
        <v>239</v>
      </c>
      <c r="K1318" s="376" t="s">
        <v>863</v>
      </c>
      <c r="L1318" s="376" t="s">
        <v>252</v>
      </c>
      <c r="M1318" s="376" t="s">
        <v>171</v>
      </c>
      <c r="N1318" s="376" t="s">
        <v>172</v>
      </c>
      <c r="O1318" s="379">
        <v>1</v>
      </c>
      <c r="P1318" s="385">
        <v>0.1</v>
      </c>
      <c r="Q1318" s="385">
        <v>0.1</v>
      </c>
      <c r="R1318" s="380">
        <v>80</v>
      </c>
      <c r="S1318" s="385">
        <v>0.1</v>
      </c>
      <c r="T1318" s="380">
        <v>4060.32</v>
      </c>
      <c r="U1318" s="380">
        <v>0</v>
      </c>
      <c r="V1318" s="380">
        <v>2355.48</v>
      </c>
      <c r="W1318" s="380">
        <v>3883.36</v>
      </c>
      <c r="X1318" s="380">
        <v>2004.77</v>
      </c>
      <c r="Y1318" s="380">
        <v>3883.36</v>
      </c>
      <c r="Z1318" s="380">
        <v>1988.46</v>
      </c>
      <c r="AA1318" s="376" t="s">
        <v>1084</v>
      </c>
      <c r="AB1318" s="376" t="s">
        <v>1085</v>
      </c>
      <c r="AC1318" s="376" t="s">
        <v>176</v>
      </c>
      <c r="AD1318" s="376" t="s">
        <v>1086</v>
      </c>
      <c r="AE1318" s="376" t="s">
        <v>863</v>
      </c>
      <c r="AF1318" s="376" t="s">
        <v>393</v>
      </c>
      <c r="AG1318" s="376" t="s">
        <v>178</v>
      </c>
      <c r="AH1318" s="381">
        <v>18.670000000000002</v>
      </c>
      <c r="AI1318" s="379">
        <v>1520</v>
      </c>
      <c r="AJ1318" s="376" t="s">
        <v>179</v>
      </c>
      <c r="AK1318" s="376" t="s">
        <v>180</v>
      </c>
      <c r="AL1318" s="376" t="s">
        <v>181</v>
      </c>
      <c r="AM1318" s="376" t="s">
        <v>182</v>
      </c>
      <c r="AN1318" s="376" t="s">
        <v>68</v>
      </c>
      <c r="AO1318" s="379">
        <v>80</v>
      </c>
      <c r="AP1318" s="385">
        <v>1</v>
      </c>
      <c r="AQ1318" s="385">
        <v>0.1</v>
      </c>
      <c r="AR1318" s="383" t="s">
        <v>183</v>
      </c>
      <c r="AS1318" s="387">
        <f t="shared" si="907"/>
        <v>0.1</v>
      </c>
      <c r="AT1318">
        <f t="shared" si="908"/>
        <v>1</v>
      </c>
      <c r="AU1318" s="387">
        <f>IF(AT1318=0,"",IF(AND(AT1318=1,M1318="F",SUMIF(C2:C1334,C1318,AS2:AS1334)&lt;=1),SUMIF(C2:C1334,C1318,AS2:AS1334),IF(AND(AT1318=1,M1318="F",SUMIF(C2:C1334,C1318,AS2:AS1334)&gt;1),1,"")))</f>
        <v>1</v>
      </c>
      <c r="AV1318" s="387" t="str">
        <f>IF(AT1318=0,"",IF(AND(AT1318=3,M1318="F",SUMIF(C2:C1334,C1318,AS2:AS1334)&lt;=1),SUMIF(C2:C1334,C1318,AS2:AS1334),IF(AND(AT1318=3,M1318="F",SUMIF(C2:C1334,C1318,AS2:AS1334)&gt;1),1,"")))</f>
        <v/>
      </c>
      <c r="AW1318" s="387">
        <f>SUMIF(C2:C1334,C1318,O2:O1334)</f>
        <v>3</v>
      </c>
      <c r="AX1318" s="387">
        <f>IF(AND(M1318="F",AS1318&lt;&gt;0),SUMIF(C2:C1334,C1318,W2:W1334),0)</f>
        <v>38833.599999999999</v>
      </c>
      <c r="AY1318" s="387">
        <f t="shared" si="909"/>
        <v>3883.36</v>
      </c>
      <c r="AZ1318" s="387" t="str">
        <f t="shared" si="910"/>
        <v/>
      </c>
      <c r="BA1318" s="387">
        <f t="shared" si="911"/>
        <v>0</v>
      </c>
      <c r="BB1318" s="387">
        <f t="shared" si="880"/>
        <v>1165</v>
      </c>
      <c r="BC1318" s="387">
        <f t="shared" si="881"/>
        <v>0</v>
      </c>
      <c r="BD1318" s="387">
        <f t="shared" si="882"/>
        <v>240.76832000000002</v>
      </c>
      <c r="BE1318" s="387">
        <f t="shared" si="883"/>
        <v>56.308720000000008</v>
      </c>
      <c r="BF1318" s="387">
        <f t="shared" si="884"/>
        <v>463.67318400000005</v>
      </c>
      <c r="BG1318" s="387">
        <f t="shared" si="885"/>
        <v>27.999025600000003</v>
      </c>
      <c r="BH1318" s="387">
        <f t="shared" si="886"/>
        <v>19.028464</v>
      </c>
      <c r="BI1318" s="387">
        <f t="shared" si="887"/>
        <v>21.494397599999999</v>
      </c>
      <c r="BJ1318" s="387">
        <f t="shared" si="888"/>
        <v>10.485072000000001</v>
      </c>
      <c r="BK1318" s="387">
        <f t="shared" si="889"/>
        <v>0</v>
      </c>
      <c r="BL1318" s="387">
        <f t="shared" si="912"/>
        <v>839.75718319999999</v>
      </c>
      <c r="BM1318" s="387">
        <f t="shared" si="913"/>
        <v>0</v>
      </c>
      <c r="BN1318" s="387">
        <f t="shared" si="890"/>
        <v>1165</v>
      </c>
      <c r="BO1318" s="387">
        <f t="shared" si="891"/>
        <v>0</v>
      </c>
      <c r="BP1318" s="387">
        <f t="shared" si="892"/>
        <v>240.76832000000002</v>
      </c>
      <c r="BQ1318" s="387">
        <f t="shared" si="893"/>
        <v>56.308720000000008</v>
      </c>
      <c r="BR1318" s="387">
        <f t="shared" si="894"/>
        <v>463.67318400000005</v>
      </c>
      <c r="BS1318" s="387">
        <f t="shared" si="895"/>
        <v>27.999025600000003</v>
      </c>
      <c r="BT1318" s="387">
        <f t="shared" si="896"/>
        <v>0</v>
      </c>
      <c r="BU1318" s="387">
        <f t="shared" si="897"/>
        <v>21.494397599999999</v>
      </c>
      <c r="BV1318" s="387">
        <f t="shared" si="898"/>
        <v>13.203424</v>
      </c>
      <c r="BW1318" s="387">
        <f t="shared" si="899"/>
        <v>0</v>
      </c>
      <c r="BX1318" s="387">
        <f t="shared" si="914"/>
        <v>823.4470712000001</v>
      </c>
      <c r="BY1318" s="387">
        <f t="shared" si="915"/>
        <v>0</v>
      </c>
      <c r="BZ1318" s="387">
        <f t="shared" si="916"/>
        <v>0</v>
      </c>
      <c r="CA1318" s="387">
        <f t="shared" si="917"/>
        <v>0</v>
      </c>
      <c r="CB1318" s="387">
        <f t="shared" si="918"/>
        <v>0</v>
      </c>
      <c r="CC1318" s="387">
        <f t="shared" si="900"/>
        <v>0</v>
      </c>
      <c r="CD1318" s="387">
        <f t="shared" si="901"/>
        <v>0</v>
      </c>
      <c r="CE1318" s="387">
        <f t="shared" si="902"/>
        <v>0</v>
      </c>
      <c r="CF1318" s="387">
        <f t="shared" si="903"/>
        <v>-19.028464</v>
      </c>
      <c r="CG1318" s="387">
        <f t="shared" si="904"/>
        <v>0</v>
      </c>
      <c r="CH1318" s="387">
        <f t="shared" si="905"/>
        <v>2.718351999999999</v>
      </c>
      <c r="CI1318" s="387">
        <f t="shared" si="906"/>
        <v>0</v>
      </c>
      <c r="CJ1318" s="387">
        <f t="shared" si="919"/>
        <v>-16.310112</v>
      </c>
      <c r="CK1318" s="387" t="str">
        <f t="shared" si="920"/>
        <v/>
      </c>
      <c r="CL1318" s="387" t="str">
        <f t="shared" si="921"/>
        <v/>
      </c>
      <c r="CM1318" s="387" t="str">
        <f t="shared" si="922"/>
        <v/>
      </c>
      <c r="CN1318" s="387" t="str">
        <f t="shared" si="923"/>
        <v>0348-31</v>
      </c>
    </row>
    <row r="1319" spans="1:92" ht="15.75" thickBot="1" x14ac:dyDescent="0.3">
      <c r="A1319" s="376" t="s">
        <v>161</v>
      </c>
      <c r="B1319" s="376" t="s">
        <v>162</v>
      </c>
      <c r="C1319" s="376" t="s">
        <v>1000</v>
      </c>
      <c r="D1319" s="376" t="s">
        <v>792</v>
      </c>
      <c r="E1319" s="376" t="s">
        <v>224</v>
      </c>
      <c r="F1319" s="382" t="s">
        <v>225</v>
      </c>
      <c r="G1319" s="376" t="s">
        <v>1945</v>
      </c>
      <c r="H1319" s="378"/>
      <c r="I1319" s="378"/>
      <c r="J1319" s="376" t="s">
        <v>239</v>
      </c>
      <c r="K1319" s="376" t="s">
        <v>793</v>
      </c>
      <c r="L1319" s="376" t="s">
        <v>170</v>
      </c>
      <c r="M1319" s="376" t="s">
        <v>171</v>
      </c>
      <c r="N1319" s="376" t="s">
        <v>172</v>
      </c>
      <c r="O1319" s="379">
        <v>1</v>
      </c>
      <c r="P1319" s="385">
        <v>0.7</v>
      </c>
      <c r="Q1319" s="385">
        <v>0.7</v>
      </c>
      <c r="R1319" s="380">
        <v>80</v>
      </c>
      <c r="S1319" s="385">
        <v>0.7</v>
      </c>
      <c r="T1319" s="380">
        <v>54854.8</v>
      </c>
      <c r="U1319" s="380">
        <v>0</v>
      </c>
      <c r="V1319" s="380">
        <v>19771.66</v>
      </c>
      <c r="W1319" s="380">
        <v>55575.519999999997</v>
      </c>
      <c r="X1319" s="380">
        <v>20173.18</v>
      </c>
      <c r="Y1319" s="380">
        <v>55575.519999999997</v>
      </c>
      <c r="Z1319" s="380">
        <v>19939.759999999998</v>
      </c>
      <c r="AA1319" s="376" t="s">
        <v>1001</v>
      </c>
      <c r="AB1319" s="376" t="s">
        <v>1002</v>
      </c>
      <c r="AC1319" s="376" t="s">
        <v>1003</v>
      </c>
      <c r="AD1319" s="376" t="s">
        <v>178</v>
      </c>
      <c r="AE1319" s="376" t="s">
        <v>793</v>
      </c>
      <c r="AF1319" s="376" t="s">
        <v>177</v>
      </c>
      <c r="AG1319" s="376" t="s">
        <v>178</v>
      </c>
      <c r="AH1319" s="381">
        <v>38.17</v>
      </c>
      <c r="AI1319" s="381">
        <v>46021.4</v>
      </c>
      <c r="AJ1319" s="376" t="s">
        <v>179</v>
      </c>
      <c r="AK1319" s="376" t="s">
        <v>180</v>
      </c>
      <c r="AL1319" s="376" t="s">
        <v>181</v>
      </c>
      <c r="AM1319" s="376" t="s">
        <v>182</v>
      </c>
      <c r="AN1319" s="376" t="s">
        <v>68</v>
      </c>
      <c r="AO1319" s="379">
        <v>80</v>
      </c>
      <c r="AP1319" s="385">
        <v>1</v>
      </c>
      <c r="AQ1319" s="385">
        <v>0.7</v>
      </c>
      <c r="AR1319" s="383" t="s">
        <v>183</v>
      </c>
      <c r="AS1319" s="387">
        <f t="shared" si="907"/>
        <v>0.7</v>
      </c>
      <c r="AT1319">
        <f t="shared" si="908"/>
        <v>1</v>
      </c>
      <c r="AU1319" s="387">
        <f>IF(AT1319=0,"",IF(AND(AT1319=1,M1319="F",SUMIF(C2:C1334,C1319,AS2:AS1334)&lt;=1),SUMIF(C2:C1334,C1319,AS2:AS1334),IF(AND(AT1319=1,M1319="F",SUMIF(C2:C1334,C1319,AS2:AS1334)&gt;1),1,"")))</f>
        <v>1</v>
      </c>
      <c r="AV1319" s="387" t="str">
        <f>IF(AT1319=0,"",IF(AND(AT1319=3,M1319="F",SUMIF(C2:C1334,C1319,AS2:AS1334)&lt;=1),SUMIF(C2:C1334,C1319,AS2:AS1334),IF(AND(AT1319=3,M1319="F",SUMIF(C2:C1334,C1319,AS2:AS1334)&gt;1),1,"")))</f>
        <v/>
      </c>
      <c r="AW1319" s="387">
        <f>SUMIF(C2:C1334,C1319,O2:O1334)</f>
        <v>2</v>
      </c>
      <c r="AX1319" s="387">
        <f>IF(AND(M1319="F",AS1319&lt;&gt;0),SUMIF(C2:C1334,C1319,W2:W1334),0)</f>
        <v>79393.600000000006</v>
      </c>
      <c r="AY1319" s="387">
        <f t="shared" si="909"/>
        <v>55575.519999999997</v>
      </c>
      <c r="AZ1319" s="387" t="str">
        <f t="shared" si="910"/>
        <v/>
      </c>
      <c r="BA1319" s="387">
        <f t="shared" si="911"/>
        <v>0</v>
      </c>
      <c r="BB1319" s="387">
        <f t="shared" si="880"/>
        <v>8154.9999999999991</v>
      </c>
      <c r="BC1319" s="387">
        <f t="shared" si="881"/>
        <v>0</v>
      </c>
      <c r="BD1319" s="387">
        <f t="shared" si="882"/>
        <v>3445.6822399999996</v>
      </c>
      <c r="BE1319" s="387">
        <f t="shared" si="883"/>
        <v>805.84504000000004</v>
      </c>
      <c r="BF1319" s="387">
        <f t="shared" si="884"/>
        <v>6635.7170880000003</v>
      </c>
      <c r="BG1319" s="387">
        <f t="shared" si="885"/>
        <v>400.69949919999999</v>
      </c>
      <c r="BH1319" s="387">
        <f t="shared" si="886"/>
        <v>272.32004799999999</v>
      </c>
      <c r="BI1319" s="387">
        <f t="shared" si="887"/>
        <v>307.61050319999998</v>
      </c>
      <c r="BJ1319" s="387">
        <f t="shared" si="888"/>
        <v>150.05390399999999</v>
      </c>
      <c r="BK1319" s="387">
        <f t="shared" si="889"/>
        <v>0</v>
      </c>
      <c r="BL1319" s="387">
        <f t="shared" si="912"/>
        <v>12017.928322399999</v>
      </c>
      <c r="BM1319" s="387">
        <f t="shared" si="913"/>
        <v>0</v>
      </c>
      <c r="BN1319" s="387">
        <f t="shared" si="890"/>
        <v>8154.9999999999991</v>
      </c>
      <c r="BO1319" s="387">
        <f t="shared" si="891"/>
        <v>0</v>
      </c>
      <c r="BP1319" s="387">
        <f t="shared" si="892"/>
        <v>3445.6822399999996</v>
      </c>
      <c r="BQ1319" s="387">
        <f t="shared" si="893"/>
        <v>805.84504000000004</v>
      </c>
      <c r="BR1319" s="387">
        <f t="shared" si="894"/>
        <v>6635.7170880000003</v>
      </c>
      <c r="BS1319" s="387">
        <f t="shared" si="895"/>
        <v>400.69949919999999</v>
      </c>
      <c r="BT1319" s="387">
        <f t="shared" si="896"/>
        <v>0</v>
      </c>
      <c r="BU1319" s="387">
        <f t="shared" si="897"/>
        <v>307.61050319999998</v>
      </c>
      <c r="BV1319" s="387">
        <f t="shared" si="898"/>
        <v>188.95676799999998</v>
      </c>
      <c r="BW1319" s="387">
        <f t="shared" si="899"/>
        <v>0</v>
      </c>
      <c r="BX1319" s="387">
        <f t="shared" si="914"/>
        <v>11784.511138399999</v>
      </c>
      <c r="BY1319" s="387">
        <f t="shared" si="915"/>
        <v>0</v>
      </c>
      <c r="BZ1319" s="387">
        <f t="shared" si="916"/>
        <v>0</v>
      </c>
      <c r="CA1319" s="387">
        <f t="shared" si="917"/>
        <v>0</v>
      </c>
      <c r="CB1319" s="387">
        <f t="shared" si="918"/>
        <v>0</v>
      </c>
      <c r="CC1319" s="387">
        <f t="shared" si="900"/>
        <v>0</v>
      </c>
      <c r="CD1319" s="387">
        <f t="shared" si="901"/>
        <v>0</v>
      </c>
      <c r="CE1319" s="387">
        <f t="shared" si="902"/>
        <v>0</v>
      </c>
      <c r="CF1319" s="387">
        <f t="shared" si="903"/>
        <v>-272.32004799999999</v>
      </c>
      <c r="CG1319" s="387">
        <f t="shared" si="904"/>
        <v>0</v>
      </c>
      <c r="CH1319" s="387">
        <f t="shared" si="905"/>
        <v>38.90286399999998</v>
      </c>
      <c r="CI1319" s="387">
        <f t="shared" si="906"/>
        <v>0</v>
      </c>
      <c r="CJ1319" s="387">
        <f t="shared" si="919"/>
        <v>-233.41718400000002</v>
      </c>
      <c r="CK1319" s="387" t="str">
        <f t="shared" si="920"/>
        <v/>
      </c>
      <c r="CL1319" s="387" t="str">
        <f t="shared" si="921"/>
        <v/>
      </c>
      <c r="CM1319" s="387" t="str">
        <f t="shared" si="922"/>
        <v/>
      </c>
      <c r="CN1319" s="387" t="str">
        <f t="shared" si="923"/>
        <v>0348-31</v>
      </c>
    </row>
    <row r="1320" spans="1:92" ht="15.75" thickBot="1" x14ac:dyDescent="0.3">
      <c r="A1320" s="376" t="s">
        <v>161</v>
      </c>
      <c r="B1320" s="376" t="s">
        <v>162</v>
      </c>
      <c r="C1320" s="376" t="s">
        <v>624</v>
      </c>
      <c r="D1320" s="376" t="s">
        <v>625</v>
      </c>
      <c r="E1320" s="376" t="s">
        <v>224</v>
      </c>
      <c r="F1320" s="382" t="s">
        <v>225</v>
      </c>
      <c r="G1320" s="376" t="s">
        <v>1945</v>
      </c>
      <c r="H1320" s="378"/>
      <c r="I1320" s="378"/>
      <c r="J1320" s="376" t="s">
        <v>215</v>
      </c>
      <c r="K1320" s="376" t="s">
        <v>626</v>
      </c>
      <c r="L1320" s="376" t="s">
        <v>217</v>
      </c>
      <c r="M1320" s="376" t="s">
        <v>171</v>
      </c>
      <c r="N1320" s="376" t="s">
        <v>172</v>
      </c>
      <c r="O1320" s="379">
        <v>1</v>
      </c>
      <c r="P1320" s="385">
        <v>0</v>
      </c>
      <c r="Q1320" s="385">
        <v>0</v>
      </c>
      <c r="R1320" s="380">
        <v>80</v>
      </c>
      <c r="S1320" s="385">
        <v>0</v>
      </c>
      <c r="T1320" s="380">
        <v>465.42</v>
      </c>
      <c r="U1320" s="380">
        <v>0</v>
      </c>
      <c r="V1320" s="380">
        <v>218.35</v>
      </c>
      <c r="W1320" s="380">
        <v>0</v>
      </c>
      <c r="X1320" s="380">
        <v>0</v>
      </c>
      <c r="Y1320" s="380">
        <v>0</v>
      </c>
      <c r="Z1320" s="380">
        <v>0</v>
      </c>
      <c r="AA1320" s="376" t="s">
        <v>627</v>
      </c>
      <c r="AB1320" s="376" t="s">
        <v>628</v>
      </c>
      <c r="AC1320" s="376" t="s">
        <v>629</v>
      </c>
      <c r="AD1320" s="376" t="s">
        <v>252</v>
      </c>
      <c r="AE1320" s="376" t="s">
        <v>626</v>
      </c>
      <c r="AF1320" s="376" t="s">
        <v>221</v>
      </c>
      <c r="AG1320" s="376" t="s">
        <v>178</v>
      </c>
      <c r="AH1320" s="381">
        <v>22.78</v>
      </c>
      <c r="AI1320" s="381">
        <v>24627.7</v>
      </c>
      <c r="AJ1320" s="376" t="s">
        <v>179</v>
      </c>
      <c r="AK1320" s="376" t="s">
        <v>180</v>
      </c>
      <c r="AL1320" s="376" t="s">
        <v>181</v>
      </c>
      <c r="AM1320" s="376" t="s">
        <v>182</v>
      </c>
      <c r="AN1320" s="376" t="s">
        <v>68</v>
      </c>
      <c r="AO1320" s="379">
        <v>80</v>
      </c>
      <c r="AP1320" s="385">
        <v>1</v>
      </c>
      <c r="AQ1320" s="385">
        <v>0</v>
      </c>
      <c r="AR1320" s="383" t="s">
        <v>183</v>
      </c>
      <c r="AS1320" s="387">
        <f t="shared" si="907"/>
        <v>0</v>
      </c>
      <c r="AT1320">
        <f t="shared" si="908"/>
        <v>0</v>
      </c>
      <c r="AU1320" s="387" t="str">
        <f>IF(AT1320=0,"",IF(AND(AT1320=1,M1320="F",SUMIF(C2:C1334,C1320,AS2:AS1334)&lt;=1),SUMIF(C2:C1334,C1320,AS2:AS1334),IF(AND(AT1320=1,M1320="F",SUMIF(C2:C1334,C1320,AS2:AS1334)&gt;1),1,"")))</f>
        <v/>
      </c>
      <c r="AV1320" s="387" t="str">
        <f>IF(AT1320=0,"",IF(AND(AT1320=3,M1320="F",SUMIF(C2:C1334,C1320,AS2:AS1334)&lt;=1),SUMIF(C2:C1334,C1320,AS2:AS1334),IF(AND(AT1320=3,M1320="F",SUMIF(C2:C1334,C1320,AS2:AS1334)&gt;1),1,"")))</f>
        <v/>
      </c>
      <c r="AW1320" s="387">
        <f>SUMIF(C2:C1334,C1320,O2:O1334)</f>
        <v>3</v>
      </c>
      <c r="AX1320" s="387">
        <f>IF(AND(M1320="F",AS1320&lt;&gt;0),SUMIF(C2:C1334,C1320,W2:W1334),0)</f>
        <v>0</v>
      </c>
      <c r="AY1320" s="387" t="str">
        <f t="shared" si="909"/>
        <v/>
      </c>
      <c r="AZ1320" s="387" t="str">
        <f t="shared" si="910"/>
        <v/>
      </c>
      <c r="BA1320" s="387">
        <f t="shared" si="911"/>
        <v>0</v>
      </c>
      <c r="BB1320" s="387">
        <f t="shared" si="880"/>
        <v>0</v>
      </c>
      <c r="BC1320" s="387">
        <f t="shared" si="881"/>
        <v>0</v>
      </c>
      <c r="BD1320" s="387">
        <f t="shared" si="882"/>
        <v>0</v>
      </c>
      <c r="BE1320" s="387">
        <f t="shared" si="883"/>
        <v>0</v>
      </c>
      <c r="BF1320" s="387">
        <f t="shared" si="884"/>
        <v>0</v>
      </c>
      <c r="BG1320" s="387">
        <f t="shared" si="885"/>
        <v>0</v>
      </c>
      <c r="BH1320" s="387">
        <f t="shared" si="886"/>
        <v>0</v>
      </c>
      <c r="BI1320" s="387">
        <f t="shared" si="887"/>
        <v>0</v>
      </c>
      <c r="BJ1320" s="387">
        <f t="shared" si="888"/>
        <v>0</v>
      </c>
      <c r="BK1320" s="387">
        <f t="shared" si="889"/>
        <v>0</v>
      </c>
      <c r="BL1320" s="387">
        <f t="shared" si="912"/>
        <v>0</v>
      </c>
      <c r="BM1320" s="387">
        <f t="shared" si="913"/>
        <v>0</v>
      </c>
      <c r="BN1320" s="387">
        <f t="shared" si="890"/>
        <v>0</v>
      </c>
      <c r="BO1320" s="387">
        <f t="shared" si="891"/>
        <v>0</v>
      </c>
      <c r="BP1320" s="387">
        <f t="shared" si="892"/>
        <v>0</v>
      </c>
      <c r="BQ1320" s="387">
        <f t="shared" si="893"/>
        <v>0</v>
      </c>
      <c r="BR1320" s="387">
        <f t="shared" si="894"/>
        <v>0</v>
      </c>
      <c r="BS1320" s="387">
        <f t="shared" si="895"/>
        <v>0</v>
      </c>
      <c r="BT1320" s="387">
        <f t="shared" si="896"/>
        <v>0</v>
      </c>
      <c r="BU1320" s="387">
        <f t="shared" si="897"/>
        <v>0</v>
      </c>
      <c r="BV1320" s="387">
        <f t="shared" si="898"/>
        <v>0</v>
      </c>
      <c r="BW1320" s="387">
        <f t="shared" si="899"/>
        <v>0</v>
      </c>
      <c r="BX1320" s="387">
        <f t="shared" si="914"/>
        <v>0</v>
      </c>
      <c r="BY1320" s="387">
        <f t="shared" si="915"/>
        <v>0</v>
      </c>
      <c r="BZ1320" s="387">
        <f t="shared" si="916"/>
        <v>0</v>
      </c>
      <c r="CA1320" s="387">
        <f t="shared" si="917"/>
        <v>0</v>
      </c>
      <c r="CB1320" s="387">
        <f t="shared" si="918"/>
        <v>0</v>
      </c>
      <c r="CC1320" s="387">
        <f t="shared" si="900"/>
        <v>0</v>
      </c>
      <c r="CD1320" s="387">
        <f t="shared" si="901"/>
        <v>0</v>
      </c>
      <c r="CE1320" s="387">
        <f t="shared" si="902"/>
        <v>0</v>
      </c>
      <c r="CF1320" s="387">
        <f t="shared" si="903"/>
        <v>0</v>
      </c>
      <c r="CG1320" s="387">
        <f t="shared" si="904"/>
        <v>0</v>
      </c>
      <c r="CH1320" s="387">
        <f t="shared" si="905"/>
        <v>0</v>
      </c>
      <c r="CI1320" s="387">
        <f t="shared" si="906"/>
        <v>0</v>
      </c>
      <c r="CJ1320" s="387">
        <f t="shared" si="919"/>
        <v>0</v>
      </c>
      <c r="CK1320" s="387" t="str">
        <f t="shared" si="920"/>
        <v/>
      </c>
      <c r="CL1320" s="387" t="str">
        <f t="shared" si="921"/>
        <v/>
      </c>
      <c r="CM1320" s="387" t="str">
        <f t="shared" si="922"/>
        <v/>
      </c>
      <c r="CN1320" s="387" t="str">
        <f t="shared" si="923"/>
        <v>0348-31</v>
      </c>
    </row>
    <row r="1321" spans="1:92" ht="15.75" thickBot="1" x14ac:dyDescent="0.3">
      <c r="A1321" s="376" t="s">
        <v>161</v>
      </c>
      <c r="B1321" s="376" t="s">
        <v>162</v>
      </c>
      <c r="C1321" s="376" t="s">
        <v>2583</v>
      </c>
      <c r="D1321" s="376" t="s">
        <v>2173</v>
      </c>
      <c r="E1321" s="376" t="s">
        <v>224</v>
      </c>
      <c r="F1321" s="382" t="s">
        <v>225</v>
      </c>
      <c r="G1321" s="376" t="s">
        <v>1945</v>
      </c>
      <c r="H1321" s="378"/>
      <c r="I1321" s="378"/>
      <c r="J1321" s="376" t="s">
        <v>215</v>
      </c>
      <c r="K1321" s="376" t="s">
        <v>2174</v>
      </c>
      <c r="L1321" s="376" t="s">
        <v>296</v>
      </c>
      <c r="M1321" s="376" t="s">
        <v>272</v>
      </c>
      <c r="N1321" s="376" t="s">
        <v>172</v>
      </c>
      <c r="O1321" s="379">
        <v>0</v>
      </c>
      <c r="P1321" s="385">
        <v>1</v>
      </c>
      <c r="Q1321" s="385">
        <v>1</v>
      </c>
      <c r="R1321" s="380">
        <v>80</v>
      </c>
      <c r="S1321" s="385">
        <v>1</v>
      </c>
      <c r="T1321" s="380">
        <v>12175.22</v>
      </c>
      <c r="U1321" s="380">
        <v>3037.88</v>
      </c>
      <c r="V1321" s="380">
        <v>6532.95</v>
      </c>
      <c r="W1321" s="380">
        <v>47403.199999999997</v>
      </c>
      <c r="X1321" s="380">
        <v>20762.599999999999</v>
      </c>
      <c r="Y1321" s="380">
        <v>47403.199999999997</v>
      </c>
      <c r="Z1321" s="380">
        <v>20525.580000000002</v>
      </c>
      <c r="AA1321" s="378"/>
      <c r="AB1321" s="376" t="s">
        <v>45</v>
      </c>
      <c r="AC1321" s="376" t="s">
        <v>45</v>
      </c>
      <c r="AD1321" s="378"/>
      <c r="AE1321" s="378"/>
      <c r="AF1321" s="378"/>
      <c r="AG1321" s="378"/>
      <c r="AH1321" s="379">
        <v>0</v>
      </c>
      <c r="AI1321" s="379">
        <v>0</v>
      </c>
      <c r="AJ1321" s="378"/>
      <c r="AK1321" s="378"/>
      <c r="AL1321" s="376" t="s">
        <v>181</v>
      </c>
      <c r="AM1321" s="378"/>
      <c r="AN1321" s="378"/>
      <c r="AO1321" s="379">
        <v>0</v>
      </c>
      <c r="AP1321" s="385">
        <v>0</v>
      </c>
      <c r="AQ1321" s="385">
        <v>0</v>
      </c>
      <c r="AR1321" s="384"/>
      <c r="AS1321" s="387">
        <f t="shared" si="907"/>
        <v>0</v>
      </c>
      <c r="AT1321">
        <f t="shared" si="908"/>
        <v>0</v>
      </c>
      <c r="AU1321" s="387" t="str">
        <f>IF(AT1321=0,"",IF(AND(AT1321=1,M1321="F",SUMIF(C2:C1334,C1321,AS2:AS1334)&lt;=1),SUMIF(C2:C1334,C1321,AS2:AS1334),IF(AND(AT1321=1,M1321="F",SUMIF(C2:C1334,C1321,AS2:AS1334)&gt;1),1,"")))</f>
        <v/>
      </c>
      <c r="AV1321" s="387" t="str">
        <f>IF(AT1321=0,"",IF(AND(AT1321=3,M1321="F",SUMIF(C2:C1334,C1321,AS2:AS1334)&lt;=1),SUMIF(C2:C1334,C1321,AS2:AS1334),IF(AND(AT1321=3,M1321="F",SUMIF(C2:C1334,C1321,AS2:AS1334)&gt;1),1,"")))</f>
        <v/>
      </c>
      <c r="AW1321" s="387">
        <f>SUMIF(C2:C1334,C1321,O2:O1334)</f>
        <v>0</v>
      </c>
      <c r="AX1321" s="387">
        <f>IF(AND(M1321="F",AS1321&lt;&gt;0),SUMIF(C2:C1334,C1321,W2:W1334),0)</f>
        <v>0</v>
      </c>
      <c r="AY1321" s="387" t="str">
        <f t="shared" si="909"/>
        <v/>
      </c>
      <c r="AZ1321" s="387" t="str">
        <f t="shared" si="910"/>
        <v/>
      </c>
      <c r="BA1321" s="387">
        <f t="shared" si="911"/>
        <v>0</v>
      </c>
      <c r="BB1321" s="387">
        <f t="shared" si="880"/>
        <v>0</v>
      </c>
      <c r="BC1321" s="387">
        <f t="shared" si="881"/>
        <v>0</v>
      </c>
      <c r="BD1321" s="387">
        <f t="shared" si="882"/>
        <v>0</v>
      </c>
      <c r="BE1321" s="387">
        <f t="shared" si="883"/>
        <v>0</v>
      </c>
      <c r="BF1321" s="387">
        <f t="shared" si="884"/>
        <v>0</v>
      </c>
      <c r="BG1321" s="387">
        <f t="shared" si="885"/>
        <v>0</v>
      </c>
      <c r="BH1321" s="387">
        <f t="shared" si="886"/>
        <v>0</v>
      </c>
      <c r="BI1321" s="387">
        <f t="shared" si="887"/>
        <v>0</v>
      </c>
      <c r="BJ1321" s="387">
        <f t="shared" si="888"/>
        <v>0</v>
      </c>
      <c r="BK1321" s="387">
        <f t="shared" si="889"/>
        <v>0</v>
      </c>
      <c r="BL1321" s="387">
        <f t="shared" si="912"/>
        <v>0</v>
      </c>
      <c r="BM1321" s="387">
        <f t="shared" si="913"/>
        <v>0</v>
      </c>
      <c r="BN1321" s="387">
        <f t="shared" si="890"/>
        <v>0</v>
      </c>
      <c r="BO1321" s="387">
        <f t="shared" si="891"/>
        <v>0</v>
      </c>
      <c r="BP1321" s="387">
        <f t="shared" si="892"/>
        <v>0</v>
      </c>
      <c r="BQ1321" s="387">
        <f t="shared" si="893"/>
        <v>0</v>
      </c>
      <c r="BR1321" s="387">
        <f t="shared" si="894"/>
        <v>0</v>
      </c>
      <c r="BS1321" s="387">
        <f t="shared" si="895"/>
        <v>0</v>
      </c>
      <c r="BT1321" s="387">
        <f t="shared" si="896"/>
        <v>0</v>
      </c>
      <c r="BU1321" s="387">
        <f t="shared" si="897"/>
        <v>0</v>
      </c>
      <c r="BV1321" s="387">
        <f t="shared" si="898"/>
        <v>0</v>
      </c>
      <c r="BW1321" s="387">
        <f t="shared" si="899"/>
        <v>0</v>
      </c>
      <c r="BX1321" s="387">
        <f t="shared" si="914"/>
        <v>0</v>
      </c>
      <c r="BY1321" s="387">
        <f t="shared" si="915"/>
        <v>0</v>
      </c>
      <c r="BZ1321" s="387">
        <f t="shared" si="916"/>
        <v>0</v>
      </c>
      <c r="CA1321" s="387">
        <f t="shared" si="917"/>
        <v>0</v>
      </c>
      <c r="CB1321" s="387">
        <f t="shared" si="918"/>
        <v>0</v>
      </c>
      <c r="CC1321" s="387">
        <f t="shared" si="900"/>
        <v>0</v>
      </c>
      <c r="CD1321" s="387">
        <f t="shared" si="901"/>
        <v>0</v>
      </c>
      <c r="CE1321" s="387">
        <f t="shared" si="902"/>
        <v>0</v>
      </c>
      <c r="CF1321" s="387">
        <f t="shared" si="903"/>
        <v>0</v>
      </c>
      <c r="CG1321" s="387">
        <f t="shared" si="904"/>
        <v>0</v>
      </c>
      <c r="CH1321" s="387">
        <f t="shared" si="905"/>
        <v>0</v>
      </c>
      <c r="CI1321" s="387">
        <f t="shared" si="906"/>
        <v>0</v>
      </c>
      <c r="CJ1321" s="387">
        <f t="shared" si="919"/>
        <v>0</v>
      </c>
      <c r="CK1321" s="387" t="str">
        <f t="shared" si="920"/>
        <v/>
      </c>
      <c r="CL1321" s="387" t="str">
        <f t="shared" si="921"/>
        <v/>
      </c>
      <c r="CM1321" s="387" t="str">
        <f t="shared" si="922"/>
        <v/>
      </c>
      <c r="CN1321" s="387" t="str">
        <f t="shared" si="923"/>
        <v>0348-31</v>
      </c>
    </row>
    <row r="1322" spans="1:92" ht="15.75" thickBot="1" x14ac:dyDescent="0.3">
      <c r="A1322" s="376" t="s">
        <v>161</v>
      </c>
      <c r="B1322" s="376" t="s">
        <v>162</v>
      </c>
      <c r="C1322" s="376" t="s">
        <v>429</v>
      </c>
      <c r="D1322" s="376" t="s">
        <v>430</v>
      </c>
      <c r="E1322" s="376" t="s">
        <v>224</v>
      </c>
      <c r="F1322" s="382" t="s">
        <v>225</v>
      </c>
      <c r="G1322" s="376" t="s">
        <v>1945</v>
      </c>
      <c r="H1322" s="378"/>
      <c r="I1322" s="378"/>
      <c r="J1322" s="376" t="s">
        <v>239</v>
      </c>
      <c r="K1322" s="376" t="s">
        <v>431</v>
      </c>
      <c r="L1322" s="376" t="s">
        <v>432</v>
      </c>
      <c r="M1322" s="376" t="s">
        <v>171</v>
      </c>
      <c r="N1322" s="376" t="s">
        <v>172</v>
      </c>
      <c r="O1322" s="379">
        <v>1</v>
      </c>
      <c r="P1322" s="385">
        <v>0.85</v>
      </c>
      <c r="Q1322" s="385">
        <v>0.85</v>
      </c>
      <c r="R1322" s="380">
        <v>80</v>
      </c>
      <c r="S1322" s="385">
        <v>0.85</v>
      </c>
      <c r="T1322" s="380">
        <v>91956.6</v>
      </c>
      <c r="U1322" s="380">
        <v>30061.03</v>
      </c>
      <c r="V1322" s="380">
        <v>35232.379999999997</v>
      </c>
      <c r="W1322" s="380">
        <v>92042.08</v>
      </c>
      <c r="X1322" s="380">
        <v>29806.55</v>
      </c>
      <c r="Y1322" s="380">
        <v>92042.08</v>
      </c>
      <c r="Z1322" s="380">
        <v>29419.98</v>
      </c>
      <c r="AA1322" s="376" t="s">
        <v>433</v>
      </c>
      <c r="AB1322" s="376" t="s">
        <v>434</v>
      </c>
      <c r="AC1322" s="376" t="s">
        <v>435</v>
      </c>
      <c r="AD1322" s="376" t="s">
        <v>180</v>
      </c>
      <c r="AE1322" s="376" t="s">
        <v>431</v>
      </c>
      <c r="AF1322" s="376" t="s">
        <v>436</v>
      </c>
      <c r="AG1322" s="376" t="s">
        <v>178</v>
      </c>
      <c r="AH1322" s="381">
        <v>52.06</v>
      </c>
      <c r="AI1322" s="379">
        <v>27150</v>
      </c>
      <c r="AJ1322" s="376" t="s">
        <v>179</v>
      </c>
      <c r="AK1322" s="376" t="s">
        <v>180</v>
      </c>
      <c r="AL1322" s="376" t="s">
        <v>181</v>
      </c>
      <c r="AM1322" s="376" t="s">
        <v>182</v>
      </c>
      <c r="AN1322" s="376" t="s">
        <v>68</v>
      </c>
      <c r="AO1322" s="379">
        <v>80</v>
      </c>
      <c r="AP1322" s="385">
        <v>1</v>
      </c>
      <c r="AQ1322" s="385">
        <v>0.85</v>
      </c>
      <c r="AR1322" s="383" t="s">
        <v>183</v>
      </c>
      <c r="AS1322" s="387">
        <f t="shared" si="907"/>
        <v>0.85</v>
      </c>
      <c r="AT1322">
        <f t="shared" si="908"/>
        <v>1</v>
      </c>
      <c r="AU1322" s="387">
        <f>IF(AT1322=0,"",IF(AND(AT1322=1,M1322="F",SUMIF(C2:C1334,C1322,AS2:AS1334)&lt;=1),SUMIF(C2:C1334,C1322,AS2:AS1334),IF(AND(AT1322=1,M1322="F",SUMIF(C2:C1334,C1322,AS2:AS1334)&gt;1),1,"")))</f>
        <v>1</v>
      </c>
      <c r="AV1322" s="387" t="str">
        <f>IF(AT1322=0,"",IF(AND(AT1322=3,M1322="F",SUMIF(C2:C1334,C1322,AS2:AS1334)&lt;=1),SUMIF(C2:C1334,C1322,AS2:AS1334),IF(AND(AT1322=3,M1322="F",SUMIF(C2:C1334,C1322,AS2:AS1334)&gt;1),1,"")))</f>
        <v/>
      </c>
      <c r="AW1322" s="387">
        <f>SUMIF(C2:C1334,C1322,O2:O1334)</f>
        <v>3</v>
      </c>
      <c r="AX1322" s="387">
        <f>IF(AND(M1322="F",AS1322&lt;&gt;0),SUMIF(C2:C1334,C1322,W2:W1334),0)</f>
        <v>108284.8</v>
      </c>
      <c r="AY1322" s="387">
        <f t="shared" si="909"/>
        <v>92042.08</v>
      </c>
      <c r="AZ1322" s="387" t="str">
        <f t="shared" si="910"/>
        <v/>
      </c>
      <c r="BA1322" s="387">
        <f t="shared" si="911"/>
        <v>0</v>
      </c>
      <c r="BB1322" s="387">
        <f t="shared" si="880"/>
        <v>9902.5</v>
      </c>
      <c r="BC1322" s="387">
        <f t="shared" si="881"/>
        <v>0</v>
      </c>
      <c r="BD1322" s="387">
        <f t="shared" si="882"/>
        <v>5706.6089600000005</v>
      </c>
      <c r="BE1322" s="387">
        <f t="shared" si="883"/>
        <v>1334.6101600000002</v>
      </c>
      <c r="BF1322" s="387">
        <f t="shared" si="884"/>
        <v>10989.824352000001</v>
      </c>
      <c r="BG1322" s="387">
        <f t="shared" si="885"/>
        <v>663.62339680000002</v>
      </c>
      <c r="BH1322" s="387">
        <f t="shared" si="886"/>
        <v>451.006192</v>
      </c>
      <c r="BI1322" s="387">
        <f t="shared" si="887"/>
        <v>509.45291280000004</v>
      </c>
      <c r="BJ1322" s="387">
        <f t="shared" si="888"/>
        <v>248.51361600000001</v>
      </c>
      <c r="BK1322" s="387">
        <f t="shared" si="889"/>
        <v>0</v>
      </c>
      <c r="BL1322" s="387">
        <f t="shared" si="912"/>
        <v>19903.639589600003</v>
      </c>
      <c r="BM1322" s="387">
        <f t="shared" si="913"/>
        <v>0</v>
      </c>
      <c r="BN1322" s="387">
        <f t="shared" si="890"/>
        <v>9902.5</v>
      </c>
      <c r="BO1322" s="387">
        <f t="shared" si="891"/>
        <v>0</v>
      </c>
      <c r="BP1322" s="387">
        <f t="shared" si="892"/>
        <v>5706.6089600000005</v>
      </c>
      <c r="BQ1322" s="387">
        <f t="shared" si="893"/>
        <v>1334.6101600000002</v>
      </c>
      <c r="BR1322" s="387">
        <f t="shared" si="894"/>
        <v>10989.824352000001</v>
      </c>
      <c r="BS1322" s="387">
        <f t="shared" si="895"/>
        <v>663.62339680000002</v>
      </c>
      <c r="BT1322" s="387">
        <f t="shared" si="896"/>
        <v>0</v>
      </c>
      <c r="BU1322" s="387">
        <f t="shared" si="897"/>
        <v>509.45291280000004</v>
      </c>
      <c r="BV1322" s="387">
        <f t="shared" si="898"/>
        <v>312.94307199999997</v>
      </c>
      <c r="BW1322" s="387">
        <f t="shared" si="899"/>
        <v>0</v>
      </c>
      <c r="BX1322" s="387">
        <f t="shared" si="914"/>
        <v>19517.0628536</v>
      </c>
      <c r="BY1322" s="387">
        <f t="shared" si="915"/>
        <v>0</v>
      </c>
      <c r="BZ1322" s="387">
        <f t="shared" si="916"/>
        <v>0</v>
      </c>
      <c r="CA1322" s="387">
        <f t="shared" si="917"/>
        <v>0</v>
      </c>
      <c r="CB1322" s="387">
        <f t="shared" si="918"/>
        <v>0</v>
      </c>
      <c r="CC1322" s="387">
        <f t="shared" si="900"/>
        <v>0</v>
      </c>
      <c r="CD1322" s="387">
        <f t="shared" si="901"/>
        <v>0</v>
      </c>
      <c r="CE1322" s="387">
        <f t="shared" si="902"/>
        <v>0</v>
      </c>
      <c r="CF1322" s="387">
        <f t="shared" si="903"/>
        <v>-451.006192</v>
      </c>
      <c r="CG1322" s="387">
        <f t="shared" si="904"/>
        <v>0</v>
      </c>
      <c r="CH1322" s="387">
        <f t="shared" si="905"/>
        <v>64.429455999999973</v>
      </c>
      <c r="CI1322" s="387">
        <f t="shared" si="906"/>
        <v>0</v>
      </c>
      <c r="CJ1322" s="387">
        <f t="shared" si="919"/>
        <v>-386.57673600000004</v>
      </c>
      <c r="CK1322" s="387" t="str">
        <f t="shared" si="920"/>
        <v/>
      </c>
      <c r="CL1322" s="387" t="str">
        <f t="shared" si="921"/>
        <v/>
      </c>
      <c r="CM1322" s="387" t="str">
        <f t="shared" si="922"/>
        <v/>
      </c>
      <c r="CN1322" s="387" t="str">
        <f t="shared" si="923"/>
        <v>0348-31</v>
      </c>
    </row>
    <row r="1323" spans="1:92" ht="15.75" thickBot="1" x14ac:dyDescent="0.3">
      <c r="A1323" s="376" t="s">
        <v>161</v>
      </c>
      <c r="B1323" s="376" t="s">
        <v>162</v>
      </c>
      <c r="C1323" s="376" t="s">
        <v>2584</v>
      </c>
      <c r="D1323" s="376" t="s">
        <v>862</v>
      </c>
      <c r="E1323" s="376" t="s">
        <v>224</v>
      </c>
      <c r="F1323" s="382" t="s">
        <v>225</v>
      </c>
      <c r="G1323" s="376" t="s">
        <v>1945</v>
      </c>
      <c r="H1323" s="378"/>
      <c r="I1323" s="378"/>
      <c r="J1323" s="376" t="s">
        <v>215</v>
      </c>
      <c r="K1323" s="376" t="s">
        <v>863</v>
      </c>
      <c r="L1323" s="376" t="s">
        <v>252</v>
      </c>
      <c r="M1323" s="376" t="s">
        <v>171</v>
      </c>
      <c r="N1323" s="376" t="s">
        <v>172</v>
      </c>
      <c r="O1323" s="379">
        <v>1</v>
      </c>
      <c r="P1323" s="385">
        <v>1</v>
      </c>
      <c r="Q1323" s="385">
        <v>1</v>
      </c>
      <c r="R1323" s="380">
        <v>80</v>
      </c>
      <c r="S1323" s="385">
        <v>1</v>
      </c>
      <c r="T1323" s="380">
        <v>38523.31</v>
      </c>
      <c r="U1323" s="380">
        <v>884.48</v>
      </c>
      <c r="V1323" s="380">
        <v>19917.669999999998</v>
      </c>
      <c r="W1323" s="380">
        <v>41246.400000000001</v>
      </c>
      <c r="X1323" s="380">
        <v>20569.5</v>
      </c>
      <c r="Y1323" s="380">
        <v>41246.400000000001</v>
      </c>
      <c r="Z1323" s="380">
        <v>20396.27</v>
      </c>
      <c r="AA1323" s="376" t="s">
        <v>2585</v>
      </c>
      <c r="AB1323" s="376" t="s">
        <v>2586</v>
      </c>
      <c r="AC1323" s="376" t="s">
        <v>2587</v>
      </c>
      <c r="AD1323" s="376" t="s">
        <v>324</v>
      </c>
      <c r="AE1323" s="376" t="s">
        <v>863</v>
      </c>
      <c r="AF1323" s="376" t="s">
        <v>393</v>
      </c>
      <c r="AG1323" s="376" t="s">
        <v>178</v>
      </c>
      <c r="AH1323" s="381">
        <v>19.829999999999998</v>
      </c>
      <c r="AI1323" s="381">
        <v>2432.1</v>
      </c>
      <c r="AJ1323" s="376" t="s">
        <v>179</v>
      </c>
      <c r="AK1323" s="376" t="s">
        <v>180</v>
      </c>
      <c r="AL1323" s="376" t="s">
        <v>181</v>
      </c>
      <c r="AM1323" s="376" t="s">
        <v>182</v>
      </c>
      <c r="AN1323" s="376" t="s">
        <v>68</v>
      </c>
      <c r="AO1323" s="379">
        <v>80</v>
      </c>
      <c r="AP1323" s="385">
        <v>1</v>
      </c>
      <c r="AQ1323" s="385">
        <v>1</v>
      </c>
      <c r="AR1323" s="383" t="s">
        <v>183</v>
      </c>
      <c r="AS1323" s="387">
        <f t="shared" si="907"/>
        <v>1</v>
      </c>
      <c r="AT1323">
        <f t="shared" si="908"/>
        <v>1</v>
      </c>
      <c r="AU1323" s="387">
        <f>IF(AT1323=0,"",IF(AND(AT1323=1,M1323="F",SUMIF(C2:C1334,C1323,AS2:AS1334)&lt;=1),SUMIF(C2:C1334,C1323,AS2:AS1334),IF(AND(AT1323=1,M1323="F",SUMIF(C2:C1334,C1323,AS2:AS1334)&gt;1),1,"")))</f>
        <v>1</v>
      </c>
      <c r="AV1323" s="387" t="str">
        <f>IF(AT1323=0,"",IF(AND(AT1323=3,M1323="F",SUMIF(C2:C1334,C1323,AS2:AS1334)&lt;=1),SUMIF(C2:C1334,C1323,AS2:AS1334),IF(AND(AT1323=3,M1323="F",SUMIF(C2:C1334,C1323,AS2:AS1334)&gt;1),1,"")))</f>
        <v/>
      </c>
      <c r="AW1323" s="387">
        <f>SUMIF(C2:C1334,C1323,O2:O1334)</f>
        <v>1</v>
      </c>
      <c r="AX1323" s="387">
        <f>IF(AND(M1323="F",AS1323&lt;&gt;0),SUMIF(C2:C1334,C1323,W2:W1334),0)</f>
        <v>41246.400000000001</v>
      </c>
      <c r="AY1323" s="387">
        <f t="shared" si="909"/>
        <v>41246.400000000001</v>
      </c>
      <c r="AZ1323" s="387" t="str">
        <f t="shared" si="910"/>
        <v/>
      </c>
      <c r="BA1323" s="387">
        <f t="shared" si="911"/>
        <v>0</v>
      </c>
      <c r="BB1323" s="387">
        <f t="shared" si="880"/>
        <v>11650</v>
      </c>
      <c r="BC1323" s="387">
        <f t="shared" si="881"/>
        <v>0</v>
      </c>
      <c r="BD1323" s="387">
        <f t="shared" si="882"/>
        <v>2557.2768000000001</v>
      </c>
      <c r="BE1323" s="387">
        <f t="shared" si="883"/>
        <v>598.07280000000003</v>
      </c>
      <c r="BF1323" s="387">
        <f t="shared" si="884"/>
        <v>4924.8201600000002</v>
      </c>
      <c r="BG1323" s="387">
        <f t="shared" si="885"/>
        <v>297.38654400000001</v>
      </c>
      <c r="BH1323" s="387">
        <f t="shared" si="886"/>
        <v>202.10736</v>
      </c>
      <c r="BI1323" s="387">
        <f t="shared" si="887"/>
        <v>228.298824</v>
      </c>
      <c r="BJ1323" s="387">
        <f t="shared" si="888"/>
        <v>111.36528000000001</v>
      </c>
      <c r="BK1323" s="387">
        <f t="shared" si="889"/>
        <v>0</v>
      </c>
      <c r="BL1323" s="387">
        <f t="shared" si="912"/>
        <v>8919.327768000001</v>
      </c>
      <c r="BM1323" s="387">
        <f t="shared" si="913"/>
        <v>0</v>
      </c>
      <c r="BN1323" s="387">
        <f t="shared" si="890"/>
        <v>11650</v>
      </c>
      <c r="BO1323" s="387">
        <f t="shared" si="891"/>
        <v>0</v>
      </c>
      <c r="BP1323" s="387">
        <f t="shared" si="892"/>
        <v>2557.2768000000001</v>
      </c>
      <c r="BQ1323" s="387">
        <f t="shared" si="893"/>
        <v>598.07280000000003</v>
      </c>
      <c r="BR1323" s="387">
        <f t="shared" si="894"/>
        <v>4924.8201600000002</v>
      </c>
      <c r="BS1323" s="387">
        <f t="shared" si="895"/>
        <v>297.38654400000001</v>
      </c>
      <c r="BT1323" s="387">
        <f t="shared" si="896"/>
        <v>0</v>
      </c>
      <c r="BU1323" s="387">
        <f t="shared" si="897"/>
        <v>228.298824</v>
      </c>
      <c r="BV1323" s="387">
        <f t="shared" si="898"/>
        <v>140.23776000000001</v>
      </c>
      <c r="BW1323" s="387">
        <f t="shared" si="899"/>
        <v>0</v>
      </c>
      <c r="BX1323" s="387">
        <f t="shared" si="914"/>
        <v>8746.092888000001</v>
      </c>
      <c r="BY1323" s="387">
        <f t="shared" si="915"/>
        <v>0</v>
      </c>
      <c r="BZ1323" s="387">
        <f t="shared" si="916"/>
        <v>0</v>
      </c>
      <c r="CA1323" s="387">
        <f t="shared" si="917"/>
        <v>0</v>
      </c>
      <c r="CB1323" s="387">
        <f t="shared" si="918"/>
        <v>0</v>
      </c>
      <c r="CC1323" s="387">
        <f t="shared" si="900"/>
        <v>0</v>
      </c>
      <c r="CD1323" s="387">
        <f t="shared" si="901"/>
        <v>0</v>
      </c>
      <c r="CE1323" s="387">
        <f t="shared" si="902"/>
        <v>0</v>
      </c>
      <c r="CF1323" s="387">
        <f t="shared" si="903"/>
        <v>-202.10736</v>
      </c>
      <c r="CG1323" s="387">
        <f t="shared" si="904"/>
        <v>0</v>
      </c>
      <c r="CH1323" s="387">
        <f t="shared" si="905"/>
        <v>28.872479999999989</v>
      </c>
      <c r="CI1323" s="387">
        <f t="shared" si="906"/>
        <v>0</v>
      </c>
      <c r="CJ1323" s="387">
        <f t="shared" si="919"/>
        <v>-173.23488</v>
      </c>
      <c r="CK1323" s="387" t="str">
        <f t="shared" si="920"/>
        <v/>
      </c>
      <c r="CL1323" s="387" t="str">
        <f t="shared" si="921"/>
        <v/>
      </c>
      <c r="CM1323" s="387" t="str">
        <f t="shared" si="922"/>
        <v/>
      </c>
      <c r="CN1323" s="387" t="str">
        <f t="shared" si="923"/>
        <v>0348-31</v>
      </c>
    </row>
    <row r="1324" spans="1:92" ht="15.75" thickBot="1" x14ac:dyDescent="0.3">
      <c r="A1324" s="376" t="s">
        <v>161</v>
      </c>
      <c r="B1324" s="376" t="s">
        <v>162</v>
      </c>
      <c r="C1324" s="376" t="s">
        <v>2588</v>
      </c>
      <c r="D1324" s="376" t="s">
        <v>974</v>
      </c>
      <c r="E1324" s="376" t="s">
        <v>224</v>
      </c>
      <c r="F1324" s="382" t="s">
        <v>225</v>
      </c>
      <c r="G1324" s="376" t="s">
        <v>1945</v>
      </c>
      <c r="H1324" s="378"/>
      <c r="I1324" s="378"/>
      <c r="J1324" s="376" t="s">
        <v>215</v>
      </c>
      <c r="K1324" s="376" t="s">
        <v>975</v>
      </c>
      <c r="L1324" s="376" t="s">
        <v>296</v>
      </c>
      <c r="M1324" s="376" t="s">
        <v>171</v>
      </c>
      <c r="N1324" s="376" t="s">
        <v>172</v>
      </c>
      <c r="O1324" s="379">
        <v>1</v>
      </c>
      <c r="P1324" s="385">
        <v>1</v>
      </c>
      <c r="Q1324" s="385">
        <v>1</v>
      </c>
      <c r="R1324" s="380">
        <v>80</v>
      </c>
      <c r="S1324" s="385">
        <v>1</v>
      </c>
      <c r="T1324" s="380">
        <v>49052.84</v>
      </c>
      <c r="U1324" s="380">
        <v>997.24</v>
      </c>
      <c r="V1324" s="380">
        <v>21720.15</v>
      </c>
      <c r="W1324" s="380">
        <v>51500.800000000003</v>
      </c>
      <c r="X1324" s="380">
        <v>22787.02</v>
      </c>
      <c r="Y1324" s="380">
        <v>51500.800000000003</v>
      </c>
      <c r="Z1324" s="380">
        <v>22570.720000000001</v>
      </c>
      <c r="AA1324" s="376" t="s">
        <v>2589</v>
      </c>
      <c r="AB1324" s="376" t="s">
        <v>2590</v>
      </c>
      <c r="AC1324" s="376" t="s">
        <v>1364</v>
      </c>
      <c r="AD1324" s="376" t="s">
        <v>170</v>
      </c>
      <c r="AE1324" s="376" t="s">
        <v>975</v>
      </c>
      <c r="AF1324" s="376" t="s">
        <v>301</v>
      </c>
      <c r="AG1324" s="376" t="s">
        <v>178</v>
      </c>
      <c r="AH1324" s="381">
        <v>24.76</v>
      </c>
      <c r="AI1324" s="381">
        <v>26139.5</v>
      </c>
      <c r="AJ1324" s="376" t="s">
        <v>179</v>
      </c>
      <c r="AK1324" s="376" t="s">
        <v>180</v>
      </c>
      <c r="AL1324" s="376" t="s">
        <v>181</v>
      </c>
      <c r="AM1324" s="376" t="s">
        <v>182</v>
      </c>
      <c r="AN1324" s="376" t="s">
        <v>68</v>
      </c>
      <c r="AO1324" s="379">
        <v>80</v>
      </c>
      <c r="AP1324" s="385">
        <v>1</v>
      </c>
      <c r="AQ1324" s="385">
        <v>1</v>
      </c>
      <c r="AR1324" s="383" t="s">
        <v>183</v>
      </c>
      <c r="AS1324" s="387">
        <f t="shared" si="907"/>
        <v>1</v>
      </c>
      <c r="AT1324">
        <f t="shared" si="908"/>
        <v>1</v>
      </c>
      <c r="AU1324" s="387">
        <f>IF(AT1324=0,"",IF(AND(AT1324=1,M1324="F",SUMIF(C2:C1334,C1324,AS2:AS1334)&lt;=1),SUMIF(C2:C1334,C1324,AS2:AS1334),IF(AND(AT1324=1,M1324="F",SUMIF(C2:C1334,C1324,AS2:AS1334)&gt;1),1,"")))</f>
        <v>1</v>
      </c>
      <c r="AV1324" s="387" t="str">
        <f>IF(AT1324=0,"",IF(AND(AT1324=3,M1324="F",SUMIF(C2:C1334,C1324,AS2:AS1334)&lt;=1),SUMIF(C2:C1334,C1324,AS2:AS1334),IF(AND(AT1324=3,M1324="F",SUMIF(C2:C1334,C1324,AS2:AS1334)&gt;1),1,"")))</f>
        <v/>
      </c>
      <c r="AW1324" s="387">
        <f>SUMIF(C2:C1334,C1324,O2:O1334)</f>
        <v>1</v>
      </c>
      <c r="AX1324" s="387">
        <f>IF(AND(M1324="F",AS1324&lt;&gt;0),SUMIF(C2:C1334,C1324,W2:W1334),0)</f>
        <v>51500.800000000003</v>
      </c>
      <c r="AY1324" s="387">
        <f t="shared" si="909"/>
        <v>51500.800000000003</v>
      </c>
      <c r="AZ1324" s="387" t="str">
        <f t="shared" si="910"/>
        <v/>
      </c>
      <c r="BA1324" s="387">
        <f t="shared" si="911"/>
        <v>0</v>
      </c>
      <c r="BB1324" s="387">
        <f t="shared" si="880"/>
        <v>11650</v>
      </c>
      <c r="BC1324" s="387">
        <f t="shared" si="881"/>
        <v>0</v>
      </c>
      <c r="BD1324" s="387">
        <f t="shared" si="882"/>
        <v>3193.0496000000003</v>
      </c>
      <c r="BE1324" s="387">
        <f t="shared" si="883"/>
        <v>746.76160000000004</v>
      </c>
      <c r="BF1324" s="387">
        <f t="shared" si="884"/>
        <v>6149.1955200000002</v>
      </c>
      <c r="BG1324" s="387">
        <f t="shared" si="885"/>
        <v>371.32076800000004</v>
      </c>
      <c r="BH1324" s="387">
        <f t="shared" si="886"/>
        <v>252.35392000000002</v>
      </c>
      <c r="BI1324" s="387">
        <f t="shared" si="887"/>
        <v>285.05692800000003</v>
      </c>
      <c r="BJ1324" s="387">
        <f t="shared" si="888"/>
        <v>139.05216000000001</v>
      </c>
      <c r="BK1324" s="387">
        <f t="shared" si="889"/>
        <v>0</v>
      </c>
      <c r="BL1324" s="387">
        <f t="shared" si="912"/>
        <v>11136.790496</v>
      </c>
      <c r="BM1324" s="387">
        <f t="shared" si="913"/>
        <v>0</v>
      </c>
      <c r="BN1324" s="387">
        <f t="shared" si="890"/>
        <v>11650</v>
      </c>
      <c r="BO1324" s="387">
        <f t="shared" si="891"/>
        <v>0</v>
      </c>
      <c r="BP1324" s="387">
        <f t="shared" si="892"/>
        <v>3193.0496000000003</v>
      </c>
      <c r="BQ1324" s="387">
        <f t="shared" si="893"/>
        <v>746.76160000000004</v>
      </c>
      <c r="BR1324" s="387">
        <f t="shared" si="894"/>
        <v>6149.1955200000002</v>
      </c>
      <c r="BS1324" s="387">
        <f t="shared" si="895"/>
        <v>371.32076800000004</v>
      </c>
      <c r="BT1324" s="387">
        <f t="shared" si="896"/>
        <v>0</v>
      </c>
      <c r="BU1324" s="387">
        <f t="shared" si="897"/>
        <v>285.05692800000003</v>
      </c>
      <c r="BV1324" s="387">
        <f t="shared" si="898"/>
        <v>175.10272000000001</v>
      </c>
      <c r="BW1324" s="387">
        <f t="shared" si="899"/>
        <v>0</v>
      </c>
      <c r="BX1324" s="387">
        <f t="shared" si="914"/>
        <v>10920.487136000002</v>
      </c>
      <c r="BY1324" s="387">
        <f t="shared" si="915"/>
        <v>0</v>
      </c>
      <c r="BZ1324" s="387">
        <f t="shared" si="916"/>
        <v>0</v>
      </c>
      <c r="CA1324" s="387">
        <f t="shared" si="917"/>
        <v>0</v>
      </c>
      <c r="CB1324" s="387">
        <f t="shared" si="918"/>
        <v>0</v>
      </c>
      <c r="CC1324" s="387">
        <f t="shared" si="900"/>
        <v>0</v>
      </c>
      <c r="CD1324" s="387">
        <f t="shared" si="901"/>
        <v>0</v>
      </c>
      <c r="CE1324" s="387">
        <f t="shared" si="902"/>
        <v>0</v>
      </c>
      <c r="CF1324" s="387">
        <f t="shared" si="903"/>
        <v>-252.35392000000002</v>
      </c>
      <c r="CG1324" s="387">
        <f t="shared" si="904"/>
        <v>0</v>
      </c>
      <c r="CH1324" s="387">
        <f t="shared" si="905"/>
        <v>36.050559999999983</v>
      </c>
      <c r="CI1324" s="387">
        <f t="shared" si="906"/>
        <v>0</v>
      </c>
      <c r="CJ1324" s="387">
        <f t="shared" si="919"/>
        <v>-216.30336000000003</v>
      </c>
      <c r="CK1324" s="387" t="str">
        <f t="shared" si="920"/>
        <v/>
      </c>
      <c r="CL1324" s="387" t="str">
        <f t="shared" si="921"/>
        <v/>
      </c>
      <c r="CM1324" s="387" t="str">
        <f t="shared" si="922"/>
        <v/>
      </c>
      <c r="CN1324" s="387" t="str">
        <f t="shared" si="923"/>
        <v>0348-31</v>
      </c>
    </row>
    <row r="1325" spans="1:92" ht="15.75" thickBot="1" x14ac:dyDescent="0.3">
      <c r="A1325" s="376" t="s">
        <v>161</v>
      </c>
      <c r="B1325" s="376" t="s">
        <v>162</v>
      </c>
      <c r="C1325" s="376" t="s">
        <v>1836</v>
      </c>
      <c r="D1325" s="376" t="s">
        <v>1088</v>
      </c>
      <c r="E1325" s="376" t="s">
        <v>224</v>
      </c>
      <c r="F1325" s="382" t="s">
        <v>225</v>
      </c>
      <c r="G1325" s="376" t="s">
        <v>1945</v>
      </c>
      <c r="H1325" s="378"/>
      <c r="I1325" s="378"/>
      <c r="J1325" s="376" t="s">
        <v>215</v>
      </c>
      <c r="K1325" s="376" t="s">
        <v>1089</v>
      </c>
      <c r="L1325" s="376" t="s">
        <v>181</v>
      </c>
      <c r="M1325" s="376" t="s">
        <v>171</v>
      </c>
      <c r="N1325" s="376" t="s">
        <v>172</v>
      </c>
      <c r="O1325" s="379">
        <v>1</v>
      </c>
      <c r="P1325" s="385">
        <v>1</v>
      </c>
      <c r="Q1325" s="385">
        <v>1</v>
      </c>
      <c r="R1325" s="380">
        <v>80</v>
      </c>
      <c r="S1325" s="385">
        <v>1</v>
      </c>
      <c r="T1325" s="380">
        <v>0</v>
      </c>
      <c r="U1325" s="380">
        <v>0</v>
      </c>
      <c r="V1325" s="380">
        <v>0</v>
      </c>
      <c r="W1325" s="380">
        <v>80246.399999999994</v>
      </c>
      <c r="X1325" s="380">
        <v>29003.25</v>
      </c>
      <c r="Y1325" s="380">
        <v>80246.399999999994</v>
      </c>
      <c r="Z1325" s="380">
        <v>28666.22</v>
      </c>
      <c r="AA1325" s="376" t="s">
        <v>1837</v>
      </c>
      <c r="AB1325" s="376" t="s">
        <v>1838</v>
      </c>
      <c r="AC1325" s="376" t="s">
        <v>435</v>
      </c>
      <c r="AD1325" s="376" t="s">
        <v>534</v>
      </c>
      <c r="AE1325" s="376" t="s">
        <v>1089</v>
      </c>
      <c r="AF1325" s="376" t="s">
        <v>211</v>
      </c>
      <c r="AG1325" s="376" t="s">
        <v>178</v>
      </c>
      <c r="AH1325" s="381">
        <v>38.58</v>
      </c>
      <c r="AI1325" s="381">
        <v>35446.400000000001</v>
      </c>
      <c r="AJ1325" s="376" t="s">
        <v>179</v>
      </c>
      <c r="AK1325" s="376" t="s">
        <v>180</v>
      </c>
      <c r="AL1325" s="376" t="s">
        <v>181</v>
      </c>
      <c r="AM1325" s="376" t="s">
        <v>182</v>
      </c>
      <c r="AN1325" s="376" t="s">
        <v>68</v>
      </c>
      <c r="AO1325" s="379">
        <v>80</v>
      </c>
      <c r="AP1325" s="385">
        <v>1</v>
      </c>
      <c r="AQ1325" s="385">
        <v>1</v>
      </c>
      <c r="AR1325" s="383" t="s">
        <v>183</v>
      </c>
      <c r="AS1325" s="387">
        <f t="shared" si="907"/>
        <v>1</v>
      </c>
      <c r="AT1325">
        <f t="shared" si="908"/>
        <v>1</v>
      </c>
      <c r="AU1325" s="387">
        <f>IF(AT1325=0,"",IF(AND(AT1325=1,M1325="F",SUMIF(C2:C1334,C1325,AS2:AS1334)&lt;=1),SUMIF(C2:C1334,C1325,AS2:AS1334),IF(AND(AT1325=1,M1325="F",SUMIF(C2:C1334,C1325,AS2:AS1334)&gt;1),1,"")))</f>
        <v>1</v>
      </c>
      <c r="AV1325" s="387" t="str">
        <f>IF(AT1325=0,"",IF(AND(AT1325=3,M1325="F",SUMIF(C2:C1334,C1325,AS2:AS1334)&lt;=1),SUMIF(C2:C1334,C1325,AS2:AS1334),IF(AND(AT1325=3,M1325="F",SUMIF(C2:C1334,C1325,AS2:AS1334)&gt;1),1,"")))</f>
        <v/>
      </c>
      <c r="AW1325" s="387">
        <f>SUMIF(C2:C1334,C1325,O2:O1334)</f>
        <v>2</v>
      </c>
      <c r="AX1325" s="387">
        <f>IF(AND(M1325="F",AS1325&lt;&gt;0),SUMIF(C2:C1334,C1325,W2:W1334),0)</f>
        <v>80246.399999999994</v>
      </c>
      <c r="AY1325" s="387">
        <f t="shared" si="909"/>
        <v>80246.399999999994</v>
      </c>
      <c r="AZ1325" s="387" t="str">
        <f t="shared" si="910"/>
        <v/>
      </c>
      <c r="BA1325" s="387">
        <f t="shared" si="911"/>
        <v>0</v>
      </c>
      <c r="BB1325" s="387">
        <f t="shared" si="880"/>
        <v>11650</v>
      </c>
      <c r="BC1325" s="387">
        <f t="shared" si="881"/>
        <v>0</v>
      </c>
      <c r="BD1325" s="387">
        <f t="shared" si="882"/>
        <v>4975.2767999999996</v>
      </c>
      <c r="BE1325" s="387">
        <f t="shared" si="883"/>
        <v>1163.5727999999999</v>
      </c>
      <c r="BF1325" s="387">
        <f t="shared" si="884"/>
        <v>9581.4201599999997</v>
      </c>
      <c r="BG1325" s="387">
        <f t="shared" si="885"/>
        <v>578.57654400000001</v>
      </c>
      <c r="BH1325" s="387">
        <f t="shared" si="886"/>
        <v>393.20735999999994</v>
      </c>
      <c r="BI1325" s="387">
        <f t="shared" si="887"/>
        <v>444.16382399999998</v>
      </c>
      <c r="BJ1325" s="387">
        <f t="shared" si="888"/>
        <v>216.66528</v>
      </c>
      <c r="BK1325" s="387">
        <f t="shared" si="889"/>
        <v>0</v>
      </c>
      <c r="BL1325" s="387">
        <f t="shared" si="912"/>
        <v>17352.882767999999</v>
      </c>
      <c r="BM1325" s="387">
        <f t="shared" si="913"/>
        <v>0</v>
      </c>
      <c r="BN1325" s="387">
        <f t="shared" si="890"/>
        <v>11650</v>
      </c>
      <c r="BO1325" s="387">
        <f t="shared" si="891"/>
        <v>0</v>
      </c>
      <c r="BP1325" s="387">
        <f t="shared" si="892"/>
        <v>4975.2767999999996</v>
      </c>
      <c r="BQ1325" s="387">
        <f t="shared" si="893"/>
        <v>1163.5727999999999</v>
      </c>
      <c r="BR1325" s="387">
        <f t="shared" si="894"/>
        <v>9581.4201599999997</v>
      </c>
      <c r="BS1325" s="387">
        <f t="shared" si="895"/>
        <v>578.57654400000001</v>
      </c>
      <c r="BT1325" s="387">
        <f t="shared" si="896"/>
        <v>0</v>
      </c>
      <c r="BU1325" s="387">
        <f t="shared" si="897"/>
        <v>444.16382399999998</v>
      </c>
      <c r="BV1325" s="387">
        <f t="shared" si="898"/>
        <v>272.83775999999995</v>
      </c>
      <c r="BW1325" s="387">
        <f t="shared" si="899"/>
        <v>0</v>
      </c>
      <c r="BX1325" s="387">
        <f t="shared" si="914"/>
        <v>17015.847887999997</v>
      </c>
      <c r="BY1325" s="387">
        <f t="shared" si="915"/>
        <v>0</v>
      </c>
      <c r="BZ1325" s="387">
        <f t="shared" si="916"/>
        <v>0</v>
      </c>
      <c r="CA1325" s="387">
        <f t="shared" si="917"/>
        <v>0</v>
      </c>
      <c r="CB1325" s="387">
        <f t="shared" si="918"/>
        <v>0</v>
      </c>
      <c r="CC1325" s="387">
        <f t="shared" si="900"/>
        <v>0</v>
      </c>
      <c r="CD1325" s="387">
        <f t="shared" si="901"/>
        <v>0</v>
      </c>
      <c r="CE1325" s="387">
        <f t="shared" si="902"/>
        <v>0</v>
      </c>
      <c r="CF1325" s="387">
        <f t="shared" si="903"/>
        <v>-393.20735999999994</v>
      </c>
      <c r="CG1325" s="387">
        <f t="shared" si="904"/>
        <v>0</v>
      </c>
      <c r="CH1325" s="387">
        <f t="shared" si="905"/>
        <v>56.172479999999972</v>
      </c>
      <c r="CI1325" s="387">
        <f t="shared" si="906"/>
        <v>0</v>
      </c>
      <c r="CJ1325" s="387">
        <f t="shared" si="919"/>
        <v>-337.03487999999999</v>
      </c>
      <c r="CK1325" s="387" t="str">
        <f t="shared" si="920"/>
        <v/>
      </c>
      <c r="CL1325" s="387" t="str">
        <f t="shared" si="921"/>
        <v/>
      </c>
      <c r="CM1325" s="387" t="str">
        <f t="shared" si="922"/>
        <v/>
      </c>
      <c r="CN1325" s="387" t="str">
        <f t="shared" si="923"/>
        <v>0348-31</v>
      </c>
    </row>
    <row r="1326" spans="1:92" ht="15.75" thickBot="1" x14ac:dyDescent="0.3">
      <c r="A1326" s="376" t="s">
        <v>161</v>
      </c>
      <c r="B1326" s="376" t="s">
        <v>162</v>
      </c>
      <c r="C1326" s="376" t="s">
        <v>333</v>
      </c>
      <c r="D1326" s="376" t="s">
        <v>334</v>
      </c>
      <c r="E1326" s="376" t="s">
        <v>224</v>
      </c>
      <c r="F1326" s="382" t="s">
        <v>225</v>
      </c>
      <c r="G1326" s="376" t="s">
        <v>1945</v>
      </c>
      <c r="H1326" s="378"/>
      <c r="I1326" s="378"/>
      <c r="J1326" s="376" t="s">
        <v>215</v>
      </c>
      <c r="K1326" s="376" t="s">
        <v>335</v>
      </c>
      <c r="L1326" s="376" t="s">
        <v>170</v>
      </c>
      <c r="M1326" s="376" t="s">
        <v>272</v>
      </c>
      <c r="N1326" s="376" t="s">
        <v>257</v>
      </c>
      <c r="O1326" s="379">
        <v>0</v>
      </c>
      <c r="P1326" s="385">
        <v>0</v>
      </c>
      <c r="Q1326" s="385">
        <v>0</v>
      </c>
      <c r="R1326" s="380">
        <v>80</v>
      </c>
      <c r="S1326" s="385">
        <v>0</v>
      </c>
      <c r="T1326" s="380">
        <v>14798.53</v>
      </c>
      <c r="U1326" s="380">
        <v>84.03</v>
      </c>
      <c r="V1326" s="380">
        <v>5609.96</v>
      </c>
      <c r="W1326" s="380">
        <v>0</v>
      </c>
      <c r="X1326" s="380">
        <v>0</v>
      </c>
      <c r="Y1326" s="380">
        <v>0</v>
      </c>
      <c r="Z1326" s="380">
        <v>0</v>
      </c>
      <c r="AA1326" s="378"/>
      <c r="AB1326" s="376" t="s">
        <v>45</v>
      </c>
      <c r="AC1326" s="376" t="s">
        <v>45</v>
      </c>
      <c r="AD1326" s="378"/>
      <c r="AE1326" s="378"/>
      <c r="AF1326" s="378"/>
      <c r="AG1326" s="378"/>
      <c r="AH1326" s="379">
        <v>0</v>
      </c>
      <c r="AI1326" s="379">
        <v>0</v>
      </c>
      <c r="AJ1326" s="378"/>
      <c r="AK1326" s="378"/>
      <c r="AL1326" s="376" t="s">
        <v>181</v>
      </c>
      <c r="AM1326" s="378"/>
      <c r="AN1326" s="378"/>
      <c r="AO1326" s="379">
        <v>0</v>
      </c>
      <c r="AP1326" s="385">
        <v>0</v>
      </c>
      <c r="AQ1326" s="385">
        <v>0</v>
      </c>
      <c r="AR1326" s="384"/>
      <c r="AS1326" s="387">
        <f t="shared" si="907"/>
        <v>0</v>
      </c>
      <c r="AT1326">
        <f t="shared" si="908"/>
        <v>0</v>
      </c>
      <c r="AU1326" s="387" t="str">
        <f>IF(AT1326=0,"",IF(AND(AT1326=1,M1326="F",SUMIF(C2:C1334,C1326,AS2:AS1334)&lt;=1),SUMIF(C2:C1334,C1326,AS2:AS1334),IF(AND(AT1326=1,M1326="F",SUMIF(C2:C1334,C1326,AS2:AS1334)&gt;1),1,"")))</f>
        <v/>
      </c>
      <c r="AV1326" s="387" t="str">
        <f>IF(AT1326=0,"",IF(AND(AT1326=3,M1326="F",SUMIF(C2:C1334,C1326,AS2:AS1334)&lt;=1),SUMIF(C2:C1334,C1326,AS2:AS1334),IF(AND(AT1326=3,M1326="F",SUMIF(C2:C1334,C1326,AS2:AS1334)&gt;1),1,"")))</f>
        <v/>
      </c>
      <c r="AW1326" s="387">
        <f>SUMIF(C2:C1334,C1326,O2:O1334)</f>
        <v>0</v>
      </c>
      <c r="AX1326" s="387">
        <f>IF(AND(M1326="F",AS1326&lt;&gt;0),SUMIF(C2:C1334,C1326,W2:W1334),0)</f>
        <v>0</v>
      </c>
      <c r="AY1326" s="387" t="str">
        <f t="shared" si="909"/>
        <v/>
      </c>
      <c r="AZ1326" s="387" t="str">
        <f t="shared" si="910"/>
        <v/>
      </c>
      <c r="BA1326" s="387">
        <f t="shared" si="911"/>
        <v>0</v>
      </c>
      <c r="BB1326" s="387">
        <f t="shared" si="880"/>
        <v>0</v>
      </c>
      <c r="BC1326" s="387">
        <f t="shared" si="881"/>
        <v>0</v>
      </c>
      <c r="BD1326" s="387">
        <f t="shared" si="882"/>
        <v>0</v>
      </c>
      <c r="BE1326" s="387">
        <f t="shared" si="883"/>
        <v>0</v>
      </c>
      <c r="BF1326" s="387">
        <f t="shared" si="884"/>
        <v>0</v>
      </c>
      <c r="BG1326" s="387">
        <f t="shared" si="885"/>
        <v>0</v>
      </c>
      <c r="BH1326" s="387">
        <f t="shared" si="886"/>
        <v>0</v>
      </c>
      <c r="BI1326" s="387">
        <f t="shared" si="887"/>
        <v>0</v>
      </c>
      <c r="BJ1326" s="387">
        <f t="shared" si="888"/>
        <v>0</v>
      </c>
      <c r="BK1326" s="387">
        <f t="shared" si="889"/>
        <v>0</v>
      </c>
      <c r="BL1326" s="387">
        <f t="shared" si="912"/>
        <v>0</v>
      </c>
      <c r="BM1326" s="387">
        <f t="shared" si="913"/>
        <v>0</v>
      </c>
      <c r="BN1326" s="387">
        <f t="shared" si="890"/>
        <v>0</v>
      </c>
      <c r="BO1326" s="387">
        <f t="shared" si="891"/>
        <v>0</v>
      </c>
      <c r="BP1326" s="387">
        <f t="shared" si="892"/>
        <v>0</v>
      </c>
      <c r="BQ1326" s="387">
        <f t="shared" si="893"/>
        <v>0</v>
      </c>
      <c r="BR1326" s="387">
        <f t="shared" si="894"/>
        <v>0</v>
      </c>
      <c r="BS1326" s="387">
        <f t="shared" si="895"/>
        <v>0</v>
      </c>
      <c r="BT1326" s="387">
        <f t="shared" si="896"/>
        <v>0</v>
      </c>
      <c r="BU1326" s="387">
        <f t="shared" si="897"/>
        <v>0</v>
      </c>
      <c r="BV1326" s="387">
        <f t="shared" si="898"/>
        <v>0</v>
      </c>
      <c r="BW1326" s="387">
        <f t="shared" si="899"/>
        <v>0</v>
      </c>
      <c r="BX1326" s="387">
        <f t="shared" si="914"/>
        <v>0</v>
      </c>
      <c r="BY1326" s="387">
        <f t="shared" si="915"/>
        <v>0</v>
      </c>
      <c r="BZ1326" s="387">
        <f t="shared" si="916"/>
        <v>0</v>
      </c>
      <c r="CA1326" s="387">
        <f t="shared" si="917"/>
        <v>0</v>
      </c>
      <c r="CB1326" s="387">
        <f t="shared" si="918"/>
        <v>0</v>
      </c>
      <c r="CC1326" s="387">
        <f t="shared" si="900"/>
        <v>0</v>
      </c>
      <c r="CD1326" s="387">
        <f t="shared" si="901"/>
        <v>0</v>
      </c>
      <c r="CE1326" s="387">
        <f t="shared" si="902"/>
        <v>0</v>
      </c>
      <c r="CF1326" s="387">
        <f t="shared" si="903"/>
        <v>0</v>
      </c>
      <c r="CG1326" s="387">
        <f t="shared" si="904"/>
        <v>0</v>
      </c>
      <c r="CH1326" s="387">
        <f t="shared" si="905"/>
        <v>0</v>
      </c>
      <c r="CI1326" s="387">
        <f t="shared" si="906"/>
        <v>0</v>
      </c>
      <c r="CJ1326" s="387">
        <f t="shared" si="919"/>
        <v>0</v>
      </c>
      <c r="CK1326" s="387" t="str">
        <f t="shared" si="920"/>
        <v/>
      </c>
      <c r="CL1326" s="387" t="str">
        <f t="shared" si="921"/>
        <v/>
      </c>
      <c r="CM1326" s="387" t="str">
        <f t="shared" si="922"/>
        <v/>
      </c>
      <c r="CN1326" s="387" t="str">
        <f t="shared" si="923"/>
        <v>0348-31</v>
      </c>
    </row>
    <row r="1327" spans="1:92" ht="15.75" thickBot="1" x14ac:dyDescent="0.3">
      <c r="A1327" s="376" t="s">
        <v>161</v>
      </c>
      <c r="B1327" s="376" t="s">
        <v>162</v>
      </c>
      <c r="C1327" s="376" t="s">
        <v>1946</v>
      </c>
      <c r="D1327" s="376" t="s">
        <v>368</v>
      </c>
      <c r="E1327" s="376" t="s">
        <v>669</v>
      </c>
      <c r="F1327" s="382" t="s">
        <v>225</v>
      </c>
      <c r="G1327" s="376" t="s">
        <v>1945</v>
      </c>
      <c r="H1327" s="378"/>
      <c r="I1327" s="378"/>
      <c r="J1327" s="376" t="s">
        <v>239</v>
      </c>
      <c r="K1327" s="376" t="s">
        <v>382</v>
      </c>
      <c r="L1327" s="376" t="s">
        <v>296</v>
      </c>
      <c r="M1327" s="376" t="s">
        <v>566</v>
      </c>
      <c r="N1327" s="376" t="s">
        <v>172</v>
      </c>
      <c r="O1327" s="379">
        <v>0</v>
      </c>
      <c r="P1327" s="385">
        <v>0</v>
      </c>
      <c r="Q1327" s="385">
        <v>0</v>
      </c>
      <c r="R1327" s="380">
        <v>80</v>
      </c>
      <c r="S1327" s="385">
        <v>0</v>
      </c>
      <c r="T1327" s="380">
        <v>-1559.58</v>
      </c>
      <c r="U1327" s="380">
        <v>-778.26</v>
      </c>
      <c r="V1327" s="380">
        <v>-300.61</v>
      </c>
      <c r="W1327" s="380">
        <v>0</v>
      </c>
      <c r="X1327" s="380">
        <v>0</v>
      </c>
      <c r="Y1327" s="380">
        <v>0</v>
      </c>
      <c r="Z1327" s="380">
        <v>0</v>
      </c>
      <c r="AA1327" s="378"/>
      <c r="AB1327" s="376" t="s">
        <v>45</v>
      </c>
      <c r="AC1327" s="376" t="s">
        <v>45</v>
      </c>
      <c r="AD1327" s="378"/>
      <c r="AE1327" s="378"/>
      <c r="AF1327" s="378"/>
      <c r="AG1327" s="378"/>
      <c r="AH1327" s="379">
        <v>0</v>
      </c>
      <c r="AI1327" s="379">
        <v>0</v>
      </c>
      <c r="AJ1327" s="378"/>
      <c r="AK1327" s="378"/>
      <c r="AL1327" s="376" t="s">
        <v>181</v>
      </c>
      <c r="AM1327" s="378"/>
      <c r="AN1327" s="378"/>
      <c r="AO1327" s="379">
        <v>0</v>
      </c>
      <c r="AP1327" s="385">
        <v>0</v>
      </c>
      <c r="AQ1327" s="385">
        <v>0</v>
      </c>
      <c r="AR1327" s="384"/>
      <c r="AS1327" s="387">
        <f t="shared" si="907"/>
        <v>0</v>
      </c>
      <c r="AT1327">
        <f t="shared" si="908"/>
        <v>0</v>
      </c>
      <c r="AU1327" s="387" t="str">
        <f>IF(AT1327=0,"",IF(AND(AT1327=1,M1327="F",SUMIF(C2:C1334,C1327,AS2:AS1334)&lt;=1),SUMIF(C2:C1334,C1327,AS2:AS1334),IF(AND(AT1327=1,M1327="F",SUMIF(C2:C1334,C1327,AS2:AS1334)&gt;1),1,"")))</f>
        <v/>
      </c>
      <c r="AV1327" s="387" t="str">
        <f>IF(AT1327=0,"",IF(AND(AT1327=3,M1327="F",SUMIF(C2:C1334,C1327,AS2:AS1334)&lt;=1),SUMIF(C2:C1334,C1327,AS2:AS1334),IF(AND(AT1327=3,M1327="F",SUMIF(C2:C1334,C1327,AS2:AS1334)&gt;1),1,"")))</f>
        <v/>
      </c>
      <c r="AW1327" s="387">
        <f>SUMIF(C2:C1334,C1327,O2:O1334)</f>
        <v>0</v>
      </c>
      <c r="AX1327" s="387">
        <f>IF(AND(M1327="F",AS1327&lt;&gt;0),SUMIF(C2:C1334,C1327,W2:W1334),0)</f>
        <v>0</v>
      </c>
      <c r="AY1327" s="387" t="str">
        <f t="shared" si="909"/>
        <v/>
      </c>
      <c r="AZ1327" s="387" t="str">
        <f t="shared" si="910"/>
        <v/>
      </c>
      <c r="BA1327" s="387">
        <f t="shared" si="911"/>
        <v>0</v>
      </c>
      <c r="BB1327" s="387">
        <f t="shared" si="880"/>
        <v>0</v>
      </c>
      <c r="BC1327" s="387">
        <f t="shared" si="881"/>
        <v>0</v>
      </c>
      <c r="BD1327" s="387">
        <f t="shared" si="882"/>
        <v>0</v>
      </c>
      <c r="BE1327" s="387">
        <f t="shared" si="883"/>
        <v>0</v>
      </c>
      <c r="BF1327" s="387">
        <f t="shared" si="884"/>
        <v>0</v>
      </c>
      <c r="BG1327" s="387">
        <f t="shared" si="885"/>
        <v>0</v>
      </c>
      <c r="BH1327" s="387">
        <f t="shared" si="886"/>
        <v>0</v>
      </c>
      <c r="BI1327" s="387">
        <f t="shared" si="887"/>
        <v>0</v>
      </c>
      <c r="BJ1327" s="387">
        <f t="shared" si="888"/>
        <v>0</v>
      </c>
      <c r="BK1327" s="387">
        <f t="shared" si="889"/>
        <v>0</v>
      </c>
      <c r="BL1327" s="387">
        <f t="shared" si="912"/>
        <v>0</v>
      </c>
      <c r="BM1327" s="387">
        <f t="shared" si="913"/>
        <v>0</v>
      </c>
      <c r="BN1327" s="387">
        <f t="shared" si="890"/>
        <v>0</v>
      </c>
      <c r="BO1327" s="387">
        <f t="shared" si="891"/>
        <v>0</v>
      </c>
      <c r="BP1327" s="387">
        <f t="shared" si="892"/>
        <v>0</v>
      </c>
      <c r="BQ1327" s="387">
        <f t="shared" si="893"/>
        <v>0</v>
      </c>
      <c r="BR1327" s="387">
        <f t="shared" si="894"/>
        <v>0</v>
      </c>
      <c r="BS1327" s="387">
        <f t="shared" si="895"/>
        <v>0</v>
      </c>
      <c r="BT1327" s="387">
        <f t="shared" si="896"/>
        <v>0</v>
      </c>
      <c r="BU1327" s="387">
        <f t="shared" si="897"/>
        <v>0</v>
      </c>
      <c r="BV1327" s="387">
        <f t="shared" si="898"/>
        <v>0</v>
      </c>
      <c r="BW1327" s="387">
        <f t="shared" si="899"/>
        <v>0</v>
      </c>
      <c r="BX1327" s="387">
        <f t="shared" si="914"/>
        <v>0</v>
      </c>
      <c r="BY1327" s="387">
        <f t="shared" si="915"/>
        <v>0</v>
      </c>
      <c r="BZ1327" s="387">
        <f t="shared" si="916"/>
        <v>0</v>
      </c>
      <c r="CA1327" s="387">
        <f t="shared" si="917"/>
        <v>0</v>
      </c>
      <c r="CB1327" s="387">
        <f t="shared" si="918"/>
        <v>0</v>
      </c>
      <c r="CC1327" s="387">
        <f t="shared" si="900"/>
        <v>0</v>
      </c>
      <c r="CD1327" s="387">
        <f t="shared" si="901"/>
        <v>0</v>
      </c>
      <c r="CE1327" s="387">
        <f t="shared" si="902"/>
        <v>0</v>
      </c>
      <c r="CF1327" s="387">
        <f t="shared" si="903"/>
        <v>0</v>
      </c>
      <c r="CG1327" s="387">
        <f t="shared" si="904"/>
        <v>0</v>
      </c>
      <c r="CH1327" s="387">
        <f t="shared" si="905"/>
        <v>0</v>
      </c>
      <c r="CI1327" s="387">
        <f t="shared" si="906"/>
        <v>0</v>
      </c>
      <c r="CJ1327" s="387">
        <f t="shared" si="919"/>
        <v>0</v>
      </c>
      <c r="CK1327" s="387" t="str">
        <f t="shared" si="920"/>
        <v/>
      </c>
      <c r="CL1327" s="387" t="str">
        <f t="shared" si="921"/>
        <v/>
      </c>
      <c r="CM1327" s="387" t="str">
        <f t="shared" si="922"/>
        <v/>
      </c>
      <c r="CN1327" s="387" t="str">
        <f t="shared" si="923"/>
        <v>0349-31</v>
      </c>
    </row>
    <row r="1328" spans="1:92" ht="15.75" thickBot="1" x14ac:dyDescent="0.3">
      <c r="A1328" s="376" t="s">
        <v>161</v>
      </c>
      <c r="B1328" s="376" t="s">
        <v>162</v>
      </c>
      <c r="C1328" s="376" t="s">
        <v>2349</v>
      </c>
      <c r="D1328" s="376" t="s">
        <v>421</v>
      </c>
      <c r="E1328" s="376" t="s">
        <v>669</v>
      </c>
      <c r="F1328" s="382" t="s">
        <v>225</v>
      </c>
      <c r="G1328" s="376" t="s">
        <v>1945</v>
      </c>
      <c r="H1328" s="378"/>
      <c r="I1328" s="378"/>
      <c r="J1328" s="376" t="s">
        <v>239</v>
      </c>
      <c r="K1328" s="376" t="s">
        <v>422</v>
      </c>
      <c r="L1328" s="376" t="s">
        <v>181</v>
      </c>
      <c r="M1328" s="376" t="s">
        <v>566</v>
      </c>
      <c r="N1328" s="376" t="s">
        <v>172</v>
      </c>
      <c r="O1328" s="379">
        <v>0</v>
      </c>
      <c r="P1328" s="385">
        <v>0</v>
      </c>
      <c r="Q1328" s="385">
        <v>0</v>
      </c>
      <c r="R1328" s="380">
        <v>80</v>
      </c>
      <c r="S1328" s="385">
        <v>0</v>
      </c>
      <c r="T1328" s="380">
        <v>1263.8</v>
      </c>
      <c r="U1328" s="380">
        <v>0</v>
      </c>
      <c r="V1328" s="380">
        <v>-0.4</v>
      </c>
      <c r="W1328" s="380">
        <v>0</v>
      </c>
      <c r="X1328" s="380">
        <v>0</v>
      </c>
      <c r="Y1328" s="380">
        <v>0</v>
      </c>
      <c r="Z1328" s="380">
        <v>0</v>
      </c>
      <c r="AA1328" s="378"/>
      <c r="AB1328" s="376" t="s">
        <v>45</v>
      </c>
      <c r="AC1328" s="376" t="s">
        <v>45</v>
      </c>
      <c r="AD1328" s="378"/>
      <c r="AE1328" s="378"/>
      <c r="AF1328" s="378"/>
      <c r="AG1328" s="378"/>
      <c r="AH1328" s="379">
        <v>0</v>
      </c>
      <c r="AI1328" s="379">
        <v>0</v>
      </c>
      <c r="AJ1328" s="378"/>
      <c r="AK1328" s="378"/>
      <c r="AL1328" s="376" t="s">
        <v>181</v>
      </c>
      <c r="AM1328" s="378"/>
      <c r="AN1328" s="378"/>
      <c r="AO1328" s="379">
        <v>0</v>
      </c>
      <c r="AP1328" s="385">
        <v>0</v>
      </c>
      <c r="AQ1328" s="385">
        <v>0</v>
      </c>
      <c r="AR1328" s="384"/>
      <c r="AS1328" s="387">
        <f t="shared" si="907"/>
        <v>0</v>
      </c>
      <c r="AT1328">
        <f t="shared" si="908"/>
        <v>0</v>
      </c>
      <c r="AU1328" s="387" t="str">
        <f>IF(AT1328=0,"",IF(AND(AT1328=1,M1328="F",SUMIF(C2:C1334,C1328,AS2:AS1334)&lt;=1),SUMIF(C2:C1334,C1328,AS2:AS1334),IF(AND(AT1328=1,M1328="F",SUMIF(C2:C1334,C1328,AS2:AS1334)&gt;1),1,"")))</f>
        <v/>
      </c>
      <c r="AV1328" s="387" t="str">
        <f>IF(AT1328=0,"",IF(AND(AT1328=3,M1328="F",SUMIF(C2:C1334,C1328,AS2:AS1334)&lt;=1),SUMIF(C2:C1334,C1328,AS2:AS1334),IF(AND(AT1328=3,M1328="F",SUMIF(C2:C1334,C1328,AS2:AS1334)&gt;1),1,"")))</f>
        <v/>
      </c>
      <c r="AW1328" s="387">
        <f>SUMIF(C2:C1334,C1328,O2:O1334)</f>
        <v>0</v>
      </c>
      <c r="AX1328" s="387">
        <f>IF(AND(M1328="F",AS1328&lt;&gt;0),SUMIF(C2:C1334,C1328,W2:W1334),0)</f>
        <v>0</v>
      </c>
      <c r="AY1328" s="387" t="str">
        <f t="shared" si="909"/>
        <v/>
      </c>
      <c r="AZ1328" s="387" t="str">
        <f t="shared" si="910"/>
        <v/>
      </c>
      <c r="BA1328" s="387">
        <f t="shared" si="911"/>
        <v>0</v>
      </c>
      <c r="BB1328" s="387">
        <f t="shared" si="880"/>
        <v>0</v>
      </c>
      <c r="BC1328" s="387">
        <f t="shared" si="881"/>
        <v>0</v>
      </c>
      <c r="BD1328" s="387">
        <f t="shared" si="882"/>
        <v>0</v>
      </c>
      <c r="BE1328" s="387">
        <f t="shared" si="883"/>
        <v>0</v>
      </c>
      <c r="BF1328" s="387">
        <f t="shared" si="884"/>
        <v>0</v>
      </c>
      <c r="BG1328" s="387">
        <f t="shared" si="885"/>
        <v>0</v>
      </c>
      <c r="BH1328" s="387">
        <f t="shared" si="886"/>
        <v>0</v>
      </c>
      <c r="BI1328" s="387">
        <f t="shared" si="887"/>
        <v>0</v>
      </c>
      <c r="BJ1328" s="387">
        <f t="shared" si="888"/>
        <v>0</v>
      </c>
      <c r="BK1328" s="387">
        <f t="shared" si="889"/>
        <v>0</v>
      </c>
      <c r="BL1328" s="387">
        <f t="shared" si="912"/>
        <v>0</v>
      </c>
      <c r="BM1328" s="387">
        <f t="shared" si="913"/>
        <v>0</v>
      </c>
      <c r="BN1328" s="387">
        <f t="shared" si="890"/>
        <v>0</v>
      </c>
      <c r="BO1328" s="387">
        <f t="shared" si="891"/>
        <v>0</v>
      </c>
      <c r="BP1328" s="387">
        <f t="shared" si="892"/>
        <v>0</v>
      </c>
      <c r="BQ1328" s="387">
        <f t="shared" si="893"/>
        <v>0</v>
      </c>
      <c r="BR1328" s="387">
        <f t="shared" si="894"/>
        <v>0</v>
      </c>
      <c r="BS1328" s="387">
        <f t="shared" si="895"/>
        <v>0</v>
      </c>
      <c r="BT1328" s="387">
        <f t="shared" si="896"/>
        <v>0</v>
      </c>
      <c r="BU1328" s="387">
        <f t="shared" si="897"/>
        <v>0</v>
      </c>
      <c r="BV1328" s="387">
        <f t="shared" si="898"/>
        <v>0</v>
      </c>
      <c r="BW1328" s="387">
        <f t="shared" si="899"/>
        <v>0</v>
      </c>
      <c r="BX1328" s="387">
        <f t="shared" si="914"/>
        <v>0</v>
      </c>
      <c r="BY1328" s="387">
        <f t="shared" si="915"/>
        <v>0</v>
      </c>
      <c r="BZ1328" s="387">
        <f t="shared" si="916"/>
        <v>0</v>
      </c>
      <c r="CA1328" s="387">
        <f t="shared" si="917"/>
        <v>0</v>
      </c>
      <c r="CB1328" s="387">
        <f t="shared" si="918"/>
        <v>0</v>
      </c>
      <c r="CC1328" s="387">
        <f t="shared" si="900"/>
        <v>0</v>
      </c>
      <c r="CD1328" s="387">
        <f t="shared" si="901"/>
        <v>0</v>
      </c>
      <c r="CE1328" s="387">
        <f t="shared" si="902"/>
        <v>0</v>
      </c>
      <c r="CF1328" s="387">
        <f t="shared" si="903"/>
        <v>0</v>
      </c>
      <c r="CG1328" s="387">
        <f t="shared" si="904"/>
        <v>0</v>
      </c>
      <c r="CH1328" s="387">
        <f t="shared" si="905"/>
        <v>0</v>
      </c>
      <c r="CI1328" s="387">
        <f t="shared" si="906"/>
        <v>0</v>
      </c>
      <c r="CJ1328" s="387">
        <f t="shared" si="919"/>
        <v>0</v>
      </c>
      <c r="CK1328" s="387" t="str">
        <f t="shared" si="920"/>
        <v/>
      </c>
      <c r="CL1328" s="387" t="str">
        <f t="shared" si="921"/>
        <v/>
      </c>
      <c r="CM1328" s="387" t="str">
        <f t="shared" si="922"/>
        <v/>
      </c>
      <c r="CN1328" s="387" t="str">
        <f t="shared" si="923"/>
        <v>0349-31</v>
      </c>
    </row>
    <row r="1329" spans="1:92" ht="15.75" thickBot="1" x14ac:dyDescent="0.3">
      <c r="A1329" s="376" t="s">
        <v>161</v>
      </c>
      <c r="B1329" s="376" t="s">
        <v>162</v>
      </c>
      <c r="C1329" s="376" t="s">
        <v>407</v>
      </c>
      <c r="D1329" s="376" t="s">
        <v>408</v>
      </c>
      <c r="E1329" s="376" t="s">
        <v>669</v>
      </c>
      <c r="F1329" s="382" t="s">
        <v>225</v>
      </c>
      <c r="G1329" s="376" t="s">
        <v>1945</v>
      </c>
      <c r="H1329" s="378"/>
      <c r="I1329" s="378"/>
      <c r="J1329" s="376" t="s">
        <v>215</v>
      </c>
      <c r="K1329" s="376" t="s">
        <v>409</v>
      </c>
      <c r="L1329" s="376" t="s">
        <v>181</v>
      </c>
      <c r="M1329" s="376" t="s">
        <v>171</v>
      </c>
      <c r="N1329" s="376" t="s">
        <v>172</v>
      </c>
      <c r="O1329" s="379">
        <v>1</v>
      </c>
      <c r="P1329" s="385">
        <v>0</v>
      </c>
      <c r="Q1329" s="385">
        <v>0</v>
      </c>
      <c r="R1329" s="380">
        <v>80</v>
      </c>
      <c r="S1329" s="385">
        <v>0</v>
      </c>
      <c r="T1329" s="380">
        <v>386.94</v>
      </c>
      <c r="U1329" s="380">
        <v>0</v>
      </c>
      <c r="V1329" s="380">
        <v>41.83</v>
      </c>
      <c r="W1329" s="380">
        <v>0</v>
      </c>
      <c r="X1329" s="380">
        <v>0</v>
      </c>
      <c r="Y1329" s="380">
        <v>0</v>
      </c>
      <c r="Z1329" s="380">
        <v>0</v>
      </c>
      <c r="AA1329" s="376" t="s">
        <v>410</v>
      </c>
      <c r="AB1329" s="376" t="s">
        <v>411</v>
      </c>
      <c r="AC1329" s="376" t="s">
        <v>412</v>
      </c>
      <c r="AD1329" s="376" t="s">
        <v>198</v>
      </c>
      <c r="AE1329" s="376" t="s">
        <v>409</v>
      </c>
      <c r="AF1329" s="376" t="s">
        <v>211</v>
      </c>
      <c r="AG1329" s="376" t="s">
        <v>178</v>
      </c>
      <c r="AH1329" s="381">
        <v>36.840000000000003</v>
      </c>
      <c r="AI1329" s="381">
        <v>38589.1</v>
      </c>
      <c r="AJ1329" s="376" t="s">
        <v>179</v>
      </c>
      <c r="AK1329" s="376" t="s">
        <v>180</v>
      </c>
      <c r="AL1329" s="376" t="s">
        <v>181</v>
      </c>
      <c r="AM1329" s="376" t="s">
        <v>182</v>
      </c>
      <c r="AN1329" s="376" t="s">
        <v>68</v>
      </c>
      <c r="AO1329" s="379">
        <v>80</v>
      </c>
      <c r="AP1329" s="385">
        <v>1</v>
      </c>
      <c r="AQ1329" s="385">
        <v>0</v>
      </c>
      <c r="AR1329" s="383" t="s">
        <v>183</v>
      </c>
      <c r="AS1329" s="387">
        <f t="shared" si="907"/>
        <v>0</v>
      </c>
      <c r="AT1329">
        <f t="shared" si="908"/>
        <v>0</v>
      </c>
      <c r="AU1329" s="387" t="str">
        <f>IF(AT1329=0,"",IF(AND(AT1329=1,M1329="F",SUMIF(C2:C1334,C1329,AS2:AS1334)&lt;=1),SUMIF(C2:C1334,C1329,AS2:AS1334),IF(AND(AT1329=1,M1329="F",SUMIF(C2:C1334,C1329,AS2:AS1334)&gt;1),1,"")))</f>
        <v/>
      </c>
      <c r="AV1329" s="387" t="str">
        <f>IF(AT1329=0,"",IF(AND(AT1329=3,M1329="F",SUMIF(C2:C1334,C1329,AS2:AS1334)&lt;=1),SUMIF(C2:C1334,C1329,AS2:AS1334),IF(AND(AT1329=3,M1329="F",SUMIF(C2:C1334,C1329,AS2:AS1334)&gt;1),1,"")))</f>
        <v/>
      </c>
      <c r="AW1329" s="387">
        <f>SUMIF(C2:C1334,C1329,O2:O1334)</f>
        <v>4</v>
      </c>
      <c r="AX1329" s="387">
        <f>IF(AND(M1329="F",AS1329&lt;&gt;0),SUMIF(C2:C1334,C1329,W2:W1334),0)</f>
        <v>0</v>
      </c>
      <c r="AY1329" s="387" t="str">
        <f t="shared" si="909"/>
        <v/>
      </c>
      <c r="AZ1329" s="387" t="str">
        <f t="shared" si="910"/>
        <v/>
      </c>
      <c r="BA1329" s="387">
        <f t="shared" si="911"/>
        <v>0</v>
      </c>
      <c r="BB1329" s="387">
        <f t="shared" si="880"/>
        <v>0</v>
      </c>
      <c r="BC1329" s="387">
        <f t="shared" si="881"/>
        <v>0</v>
      </c>
      <c r="BD1329" s="387">
        <f t="shared" si="882"/>
        <v>0</v>
      </c>
      <c r="BE1329" s="387">
        <f t="shared" si="883"/>
        <v>0</v>
      </c>
      <c r="BF1329" s="387">
        <f t="shared" si="884"/>
        <v>0</v>
      </c>
      <c r="BG1329" s="387">
        <f t="shared" si="885"/>
        <v>0</v>
      </c>
      <c r="BH1329" s="387">
        <f t="shared" si="886"/>
        <v>0</v>
      </c>
      <c r="BI1329" s="387">
        <f t="shared" si="887"/>
        <v>0</v>
      </c>
      <c r="BJ1329" s="387">
        <f t="shared" si="888"/>
        <v>0</v>
      </c>
      <c r="BK1329" s="387">
        <f t="shared" si="889"/>
        <v>0</v>
      </c>
      <c r="BL1329" s="387">
        <f t="shared" si="912"/>
        <v>0</v>
      </c>
      <c r="BM1329" s="387">
        <f t="shared" si="913"/>
        <v>0</v>
      </c>
      <c r="BN1329" s="387">
        <f t="shared" si="890"/>
        <v>0</v>
      </c>
      <c r="BO1329" s="387">
        <f t="shared" si="891"/>
        <v>0</v>
      </c>
      <c r="BP1329" s="387">
        <f t="shared" si="892"/>
        <v>0</v>
      </c>
      <c r="BQ1329" s="387">
        <f t="shared" si="893"/>
        <v>0</v>
      </c>
      <c r="BR1329" s="387">
        <f t="shared" si="894"/>
        <v>0</v>
      </c>
      <c r="BS1329" s="387">
        <f t="shared" si="895"/>
        <v>0</v>
      </c>
      <c r="BT1329" s="387">
        <f t="shared" si="896"/>
        <v>0</v>
      </c>
      <c r="BU1329" s="387">
        <f t="shared" si="897"/>
        <v>0</v>
      </c>
      <c r="BV1329" s="387">
        <f t="shared" si="898"/>
        <v>0</v>
      </c>
      <c r="BW1329" s="387">
        <f t="shared" si="899"/>
        <v>0</v>
      </c>
      <c r="BX1329" s="387">
        <f t="shared" si="914"/>
        <v>0</v>
      </c>
      <c r="BY1329" s="387">
        <f t="shared" si="915"/>
        <v>0</v>
      </c>
      <c r="BZ1329" s="387">
        <f t="shared" si="916"/>
        <v>0</v>
      </c>
      <c r="CA1329" s="387">
        <f t="shared" si="917"/>
        <v>0</v>
      </c>
      <c r="CB1329" s="387">
        <f t="shared" si="918"/>
        <v>0</v>
      </c>
      <c r="CC1329" s="387">
        <f t="shared" si="900"/>
        <v>0</v>
      </c>
      <c r="CD1329" s="387">
        <f t="shared" si="901"/>
        <v>0</v>
      </c>
      <c r="CE1329" s="387">
        <f t="shared" si="902"/>
        <v>0</v>
      </c>
      <c r="CF1329" s="387">
        <f t="shared" si="903"/>
        <v>0</v>
      </c>
      <c r="CG1329" s="387">
        <f t="shared" si="904"/>
        <v>0</v>
      </c>
      <c r="CH1329" s="387">
        <f t="shared" si="905"/>
        <v>0</v>
      </c>
      <c r="CI1329" s="387">
        <f t="shared" si="906"/>
        <v>0</v>
      </c>
      <c r="CJ1329" s="387">
        <f t="shared" si="919"/>
        <v>0</v>
      </c>
      <c r="CK1329" s="387" t="str">
        <f t="shared" si="920"/>
        <v/>
      </c>
      <c r="CL1329" s="387" t="str">
        <f t="shared" si="921"/>
        <v/>
      </c>
      <c r="CM1329" s="387" t="str">
        <f t="shared" si="922"/>
        <v/>
      </c>
      <c r="CN1329" s="387" t="str">
        <f t="shared" si="923"/>
        <v>0349-31</v>
      </c>
    </row>
    <row r="1330" spans="1:92" ht="15.75" thickBot="1" x14ac:dyDescent="0.3">
      <c r="A1330" s="376" t="s">
        <v>161</v>
      </c>
      <c r="B1330" s="376" t="s">
        <v>162</v>
      </c>
      <c r="C1330" s="376" t="s">
        <v>1611</v>
      </c>
      <c r="D1330" s="376" t="s">
        <v>375</v>
      </c>
      <c r="E1330" s="376" t="s">
        <v>669</v>
      </c>
      <c r="F1330" s="382" t="s">
        <v>225</v>
      </c>
      <c r="G1330" s="376" t="s">
        <v>1945</v>
      </c>
      <c r="H1330" s="378"/>
      <c r="I1330" s="378"/>
      <c r="J1330" s="376" t="s">
        <v>239</v>
      </c>
      <c r="K1330" s="376" t="s">
        <v>376</v>
      </c>
      <c r="L1330" s="376" t="s">
        <v>178</v>
      </c>
      <c r="M1330" s="376" t="s">
        <v>171</v>
      </c>
      <c r="N1330" s="376" t="s">
        <v>172</v>
      </c>
      <c r="O1330" s="379">
        <v>1</v>
      </c>
      <c r="P1330" s="385">
        <v>0.5</v>
      </c>
      <c r="Q1330" s="385">
        <v>0.5</v>
      </c>
      <c r="R1330" s="380">
        <v>80</v>
      </c>
      <c r="S1330" s="385">
        <v>0.5</v>
      </c>
      <c r="T1330" s="380">
        <v>0</v>
      </c>
      <c r="U1330" s="380">
        <v>0</v>
      </c>
      <c r="V1330" s="380">
        <v>0</v>
      </c>
      <c r="W1330" s="380">
        <v>15412.8</v>
      </c>
      <c r="X1330" s="380">
        <v>9158</v>
      </c>
      <c r="Y1330" s="380">
        <v>15412.8</v>
      </c>
      <c r="Z1330" s="380">
        <v>9093.27</v>
      </c>
      <c r="AA1330" s="376" t="s">
        <v>1612</v>
      </c>
      <c r="AB1330" s="376" t="s">
        <v>1613</v>
      </c>
      <c r="AC1330" s="376" t="s">
        <v>451</v>
      </c>
      <c r="AD1330" s="376" t="s">
        <v>324</v>
      </c>
      <c r="AE1330" s="376" t="s">
        <v>376</v>
      </c>
      <c r="AF1330" s="376" t="s">
        <v>253</v>
      </c>
      <c r="AG1330" s="376" t="s">
        <v>178</v>
      </c>
      <c r="AH1330" s="381">
        <v>14.82</v>
      </c>
      <c r="AI1330" s="379">
        <v>10828</v>
      </c>
      <c r="AJ1330" s="376" t="s">
        <v>179</v>
      </c>
      <c r="AK1330" s="376" t="s">
        <v>180</v>
      </c>
      <c r="AL1330" s="376" t="s">
        <v>181</v>
      </c>
      <c r="AM1330" s="376" t="s">
        <v>182</v>
      </c>
      <c r="AN1330" s="376" t="s">
        <v>68</v>
      </c>
      <c r="AO1330" s="379">
        <v>80</v>
      </c>
      <c r="AP1330" s="385">
        <v>1</v>
      </c>
      <c r="AQ1330" s="385">
        <v>0.5</v>
      </c>
      <c r="AR1330" s="383" t="s">
        <v>183</v>
      </c>
      <c r="AS1330" s="387">
        <f t="shared" si="907"/>
        <v>0.5</v>
      </c>
      <c r="AT1330">
        <f t="shared" si="908"/>
        <v>1</v>
      </c>
      <c r="AU1330" s="387">
        <f>IF(AT1330=0,"",IF(AND(AT1330=1,M1330="F",SUMIF(C2:C1334,C1330,AS2:AS1334)&lt;=1),SUMIF(C2:C1334,C1330,AS2:AS1334),IF(AND(AT1330=1,M1330="F",SUMIF(C2:C1334,C1330,AS2:AS1334)&gt;1),1,"")))</f>
        <v>1</v>
      </c>
      <c r="AV1330" s="387" t="str">
        <f>IF(AT1330=0,"",IF(AND(AT1330=3,M1330="F",SUMIF(C2:C1334,C1330,AS2:AS1334)&lt;=1),SUMIF(C2:C1334,C1330,AS2:AS1334),IF(AND(AT1330=3,M1330="F",SUMIF(C2:C1334,C1330,AS2:AS1334)&gt;1),1,"")))</f>
        <v/>
      </c>
      <c r="AW1330" s="387">
        <f>SUMIF(C2:C1334,C1330,O2:O1334)</f>
        <v>4</v>
      </c>
      <c r="AX1330" s="387">
        <f>IF(AND(M1330="F",AS1330&lt;&gt;0),SUMIF(C2:C1334,C1330,W2:W1334),0)</f>
        <v>30825.599999999999</v>
      </c>
      <c r="AY1330" s="387">
        <f t="shared" si="909"/>
        <v>15412.8</v>
      </c>
      <c r="AZ1330" s="387" t="str">
        <f t="shared" si="910"/>
        <v/>
      </c>
      <c r="BA1330" s="387">
        <f t="shared" si="911"/>
        <v>0</v>
      </c>
      <c r="BB1330" s="387">
        <f t="shared" si="880"/>
        <v>5825</v>
      </c>
      <c r="BC1330" s="387">
        <f t="shared" si="881"/>
        <v>0</v>
      </c>
      <c r="BD1330" s="387">
        <f t="shared" si="882"/>
        <v>955.59359999999992</v>
      </c>
      <c r="BE1330" s="387">
        <f t="shared" si="883"/>
        <v>223.48560000000001</v>
      </c>
      <c r="BF1330" s="387">
        <f t="shared" si="884"/>
        <v>1840.2883200000001</v>
      </c>
      <c r="BG1330" s="387">
        <f t="shared" si="885"/>
        <v>111.126288</v>
      </c>
      <c r="BH1330" s="387">
        <f t="shared" si="886"/>
        <v>75.522719999999993</v>
      </c>
      <c r="BI1330" s="387">
        <f t="shared" si="887"/>
        <v>85.309848000000002</v>
      </c>
      <c r="BJ1330" s="387">
        <f t="shared" si="888"/>
        <v>41.614559999999997</v>
      </c>
      <c r="BK1330" s="387">
        <f t="shared" si="889"/>
        <v>0</v>
      </c>
      <c r="BL1330" s="387">
        <f t="shared" si="912"/>
        <v>3332.9409359999995</v>
      </c>
      <c r="BM1330" s="387">
        <f t="shared" si="913"/>
        <v>0</v>
      </c>
      <c r="BN1330" s="387">
        <f t="shared" si="890"/>
        <v>5825</v>
      </c>
      <c r="BO1330" s="387">
        <f t="shared" si="891"/>
        <v>0</v>
      </c>
      <c r="BP1330" s="387">
        <f t="shared" si="892"/>
        <v>955.59359999999992</v>
      </c>
      <c r="BQ1330" s="387">
        <f t="shared" si="893"/>
        <v>223.48560000000001</v>
      </c>
      <c r="BR1330" s="387">
        <f t="shared" si="894"/>
        <v>1840.2883200000001</v>
      </c>
      <c r="BS1330" s="387">
        <f t="shared" si="895"/>
        <v>111.126288</v>
      </c>
      <c r="BT1330" s="387">
        <f t="shared" si="896"/>
        <v>0</v>
      </c>
      <c r="BU1330" s="387">
        <f t="shared" si="897"/>
        <v>85.309848000000002</v>
      </c>
      <c r="BV1330" s="387">
        <f t="shared" si="898"/>
        <v>52.403519999999993</v>
      </c>
      <c r="BW1330" s="387">
        <f t="shared" si="899"/>
        <v>0</v>
      </c>
      <c r="BX1330" s="387">
        <f t="shared" si="914"/>
        <v>3268.2071759999994</v>
      </c>
      <c r="BY1330" s="387">
        <f t="shared" si="915"/>
        <v>0</v>
      </c>
      <c r="BZ1330" s="387">
        <f t="shared" si="916"/>
        <v>0</v>
      </c>
      <c r="CA1330" s="387">
        <f t="shared" si="917"/>
        <v>0</v>
      </c>
      <c r="CB1330" s="387">
        <f t="shared" si="918"/>
        <v>0</v>
      </c>
      <c r="CC1330" s="387">
        <f t="shared" si="900"/>
        <v>0</v>
      </c>
      <c r="CD1330" s="387">
        <f t="shared" si="901"/>
        <v>0</v>
      </c>
      <c r="CE1330" s="387">
        <f t="shared" si="902"/>
        <v>0</v>
      </c>
      <c r="CF1330" s="387">
        <f t="shared" si="903"/>
        <v>-75.522719999999993</v>
      </c>
      <c r="CG1330" s="387">
        <f t="shared" si="904"/>
        <v>0</v>
      </c>
      <c r="CH1330" s="387">
        <f t="shared" si="905"/>
        <v>10.788959999999994</v>
      </c>
      <c r="CI1330" s="387">
        <f t="shared" si="906"/>
        <v>0</v>
      </c>
      <c r="CJ1330" s="387">
        <f t="shared" si="919"/>
        <v>-64.733760000000004</v>
      </c>
      <c r="CK1330" s="387" t="str">
        <f t="shared" si="920"/>
        <v/>
      </c>
      <c r="CL1330" s="387" t="str">
        <f t="shared" si="921"/>
        <v/>
      </c>
      <c r="CM1330" s="387" t="str">
        <f t="shared" si="922"/>
        <v/>
      </c>
      <c r="CN1330" s="387" t="str">
        <f t="shared" si="923"/>
        <v>0349-31</v>
      </c>
    </row>
    <row r="1331" spans="1:92" ht="15.75" thickBot="1" x14ac:dyDescent="0.3">
      <c r="A1331" s="376" t="s">
        <v>161</v>
      </c>
      <c r="B1331" s="376" t="s">
        <v>162</v>
      </c>
      <c r="C1331" s="376" t="s">
        <v>1655</v>
      </c>
      <c r="D1331" s="376" t="s">
        <v>270</v>
      </c>
      <c r="E1331" s="376" t="s">
        <v>669</v>
      </c>
      <c r="F1331" s="382" t="s">
        <v>225</v>
      </c>
      <c r="G1331" s="376" t="s">
        <v>1945</v>
      </c>
      <c r="H1331" s="378"/>
      <c r="I1331" s="378"/>
      <c r="J1331" s="376" t="s">
        <v>215</v>
      </c>
      <c r="K1331" s="376" t="s">
        <v>271</v>
      </c>
      <c r="L1331" s="376" t="s">
        <v>217</v>
      </c>
      <c r="M1331" s="376" t="s">
        <v>171</v>
      </c>
      <c r="N1331" s="376" t="s">
        <v>172</v>
      </c>
      <c r="O1331" s="379">
        <v>1</v>
      </c>
      <c r="P1331" s="385">
        <v>1</v>
      </c>
      <c r="Q1331" s="385">
        <v>1</v>
      </c>
      <c r="R1331" s="380">
        <v>80</v>
      </c>
      <c r="S1331" s="385">
        <v>1</v>
      </c>
      <c r="T1331" s="380">
        <v>0</v>
      </c>
      <c r="U1331" s="380">
        <v>0</v>
      </c>
      <c r="V1331" s="380">
        <v>0</v>
      </c>
      <c r="W1331" s="380">
        <v>38584</v>
      </c>
      <c r="X1331" s="380">
        <v>19993.75</v>
      </c>
      <c r="Y1331" s="380">
        <v>38584</v>
      </c>
      <c r="Z1331" s="380">
        <v>19831.7</v>
      </c>
      <c r="AA1331" s="376" t="s">
        <v>1656</v>
      </c>
      <c r="AB1331" s="376" t="s">
        <v>1657</v>
      </c>
      <c r="AC1331" s="376" t="s">
        <v>1148</v>
      </c>
      <c r="AD1331" s="376" t="s">
        <v>686</v>
      </c>
      <c r="AE1331" s="376" t="s">
        <v>271</v>
      </c>
      <c r="AF1331" s="376" t="s">
        <v>221</v>
      </c>
      <c r="AG1331" s="376" t="s">
        <v>178</v>
      </c>
      <c r="AH1331" s="381">
        <v>18.55</v>
      </c>
      <c r="AI1331" s="381">
        <v>56491.1</v>
      </c>
      <c r="AJ1331" s="376" t="s">
        <v>179</v>
      </c>
      <c r="AK1331" s="376" t="s">
        <v>180</v>
      </c>
      <c r="AL1331" s="376" t="s">
        <v>181</v>
      </c>
      <c r="AM1331" s="376" t="s">
        <v>182</v>
      </c>
      <c r="AN1331" s="376" t="s">
        <v>68</v>
      </c>
      <c r="AO1331" s="379">
        <v>80</v>
      </c>
      <c r="AP1331" s="385">
        <v>1</v>
      </c>
      <c r="AQ1331" s="385">
        <v>1</v>
      </c>
      <c r="AR1331" s="383" t="s">
        <v>183</v>
      </c>
      <c r="AS1331" s="387">
        <f t="shared" si="907"/>
        <v>1</v>
      </c>
      <c r="AT1331">
        <f t="shared" si="908"/>
        <v>1</v>
      </c>
      <c r="AU1331" s="387">
        <f>IF(AT1331=0,"",IF(AND(AT1331=1,M1331="F",SUMIF(C2:C1334,C1331,AS2:AS1334)&lt;=1),SUMIF(C2:C1334,C1331,AS2:AS1334),IF(AND(AT1331=1,M1331="F",SUMIF(C2:C1334,C1331,AS2:AS1334)&gt;1),1,"")))</f>
        <v>1</v>
      </c>
      <c r="AV1331" s="387" t="str">
        <f>IF(AT1331=0,"",IF(AND(AT1331=3,M1331="F",SUMIF(C2:C1334,C1331,AS2:AS1334)&lt;=1),SUMIF(C2:C1334,C1331,AS2:AS1334),IF(AND(AT1331=3,M1331="F",SUMIF(C2:C1334,C1331,AS2:AS1334)&gt;1),1,"")))</f>
        <v/>
      </c>
      <c r="AW1331" s="387">
        <f>SUMIF(C2:C1334,C1331,O2:O1334)</f>
        <v>3</v>
      </c>
      <c r="AX1331" s="387">
        <f>IF(AND(M1331="F",AS1331&lt;&gt;0),SUMIF(C2:C1334,C1331,W2:W1334),0)</f>
        <v>38584</v>
      </c>
      <c r="AY1331" s="387">
        <f t="shared" si="909"/>
        <v>38584</v>
      </c>
      <c r="AZ1331" s="387" t="str">
        <f t="shared" si="910"/>
        <v/>
      </c>
      <c r="BA1331" s="387">
        <f t="shared" si="911"/>
        <v>0</v>
      </c>
      <c r="BB1331" s="387">
        <f t="shared" si="880"/>
        <v>11650</v>
      </c>
      <c r="BC1331" s="387">
        <f t="shared" si="881"/>
        <v>0</v>
      </c>
      <c r="BD1331" s="387">
        <f t="shared" si="882"/>
        <v>2392.2080000000001</v>
      </c>
      <c r="BE1331" s="387">
        <f t="shared" si="883"/>
        <v>559.46800000000007</v>
      </c>
      <c r="BF1331" s="387">
        <f t="shared" si="884"/>
        <v>4606.9296000000004</v>
      </c>
      <c r="BG1331" s="387">
        <f t="shared" si="885"/>
        <v>278.19064000000003</v>
      </c>
      <c r="BH1331" s="387">
        <f t="shared" si="886"/>
        <v>189.0616</v>
      </c>
      <c r="BI1331" s="387">
        <f t="shared" si="887"/>
        <v>213.56244000000001</v>
      </c>
      <c r="BJ1331" s="387">
        <f t="shared" si="888"/>
        <v>104.1768</v>
      </c>
      <c r="BK1331" s="387">
        <f t="shared" si="889"/>
        <v>0</v>
      </c>
      <c r="BL1331" s="387">
        <f t="shared" si="912"/>
        <v>8343.5970799999996</v>
      </c>
      <c r="BM1331" s="387">
        <f t="shared" si="913"/>
        <v>0</v>
      </c>
      <c r="BN1331" s="387">
        <f t="shared" si="890"/>
        <v>11650</v>
      </c>
      <c r="BO1331" s="387">
        <f t="shared" si="891"/>
        <v>0</v>
      </c>
      <c r="BP1331" s="387">
        <f t="shared" si="892"/>
        <v>2392.2080000000001</v>
      </c>
      <c r="BQ1331" s="387">
        <f t="shared" si="893"/>
        <v>559.46800000000007</v>
      </c>
      <c r="BR1331" s="387">
        <f t="shared" si="894"/>
        <v>4606.9296000000004</v>
      </c>
      <c r="BS1331" s="387">
        <f t="shared" si="895"/>
        <v>278.19064000000003</v>
      </c>
      <c r="BT1331" s="387">
        <f t="shared" si="896"/>
        <v>0</v>
      </c>
      <c r="BU1331" s="387">
        <f t="shared" si="897"/>
        <v>213.56244000000001</v>
      </c>
      <c r="BV1331" s="387">
        <f t="shared" si="898"/>
        <v>131.18559999999999</v>
      </c>
      <c r="BW1331" s="387">
        <f t="shared" si="899"/>
        <v>0</v>
      </c>
      <c r="BX1331" s="387">
        <f t="shared" si="914"/>
        <v>8181.5442800000001</v>
      </c>
      <c r="BY1331" s="387">
        <f t="shared" si="915"/>
        <v>0</v>
      </c>
      <c r="BZ1331" s="387">
        <f t="shared" si="916"/>
        <v>0</v>
      </c>
      <c r="CA1331" s="387">
        <f t="shared" si="917"/>
        <v>0</v>
      </c>
      <c r="CB1331" s="387">
        <f t="shared" si="918"/>
        <v>0</v>
      </c>
      <c r="CC1331" s="387">
        <f t="shared" si="900"/>
        <v>0</v>
      </c>
      <c r="CD1331" s="387">
        <f t="shared" si="901"/>
        <v>0</v>
      </c>
      <c r="CE1331" s="387">
        <f t="shared" si="902"/>
        <v>0</v>
      </c>
      <c r="CF1331" s="387">
        <f t="shared" si="903"/>
        <v>-189.0616</v>
      </c>
      <c r="CG1331" s="387">
        <f t="shared" si="904"/>
        <v>0</v>
      </c>
      <c r="CH1331" s="387">
        <f t="shared" si="905"/>
        <v>27.008799999999987</v>
      </c>
      <c r="CI1331" s="387">
        <f t="shared" si="906"/>
        <v>0</v>
      </c>
      <c r="CJ1331" s="387">
        <f t="shared" si="919"/>
        <v>-162.05280000000002</v>
      </c>
      <c r="CK1331" s="387" t="str">
        <f t="shared" si="920"/>
        <v/>
      </c>
      <c r="CL1331" s="387" t="str">
        <f t="shared" si="921"/>
        <v/>
      </c>
      <c r="CM1331" s="387" t="str">
        <f t="shared" si="922"/>
        <v/>
      </c>
      <c r="CN1331" s="387" t="str">
        <f t="shared" si="923"/>
        <v>0349-31</v>
      </c>
    </row>
    <row r="1332" spans="1:92" ht="15.75" thickBot="1" x14ac:dyDescent="0.3">
      <c r="A1332" s="376" t="s">
        <v>161</v>
      </c>
      <c r="B1332" s="376" t="s">
        <v>162</v>
      </c>
      <c r="C1332" s="376" t="s">
        <v>890</v>
      </c>
      <c r="D1332" s="376" t="s">
        <v>891</v>
      </c>
      <c r="E1332" s="376" t="s">
        <v>669</v>
      </c>
      <c r="F1332" s="382" t="s">
        <v>225</v>
      </c>
      <c r="G1332" s="376" t="s">
        <v>1945</v>
      </c>
      <c r="H1332" s="378"/>
      <c r="I1332" s="378"/>
      <c r="J1332" s="376" t="s">
        <v>239</v>
      </c>
      <c r="K1332" s="376" t="s">
        <v>892</v>
      </c>
      <c r="L1332" s="376" t="s">
        <v>432</v>
      </c>
      <c r="M1332" s="376" t="s">
        <v>566</v>
      </c>
      <c r="N1332" s="376" t="s">
        <v>172</v>
      </c>
      <c r="O1332" s="379">
        <v>0</v>
      </c>
      <c r="P1332" s="385">
        <v>0</v>
      </c>
      <c r="Q1332" s="385">
        <v>0</v>
      </c>
      <c r="R1332" s="380">
        <v>80</v>
      </c>
      <c r="S1332" s="385">
        <v>0</v>
      </c>
      <c r="T1332" s="380">
        <v>613.04999999999995</v>
      </c>
      <c r="U1332" s="380">
        <v>0</v>
      </c>
      <c r="V1332" s="380">
        <v>101.62</v>
      </c>
      <c r="W1332" s="380">
        <v>0</v>
      </c>
      <c r="X1332" s="380">
        <v>0</v>
      </c>
      <c r="Y1332" s="380">
        <v>0</v>
      </c>
      <c r="Z1332" s="380">
        <v>0</v>
      </c>
      <c r="AA1332" s="378"/>
      <c r="AB1332" s="376" t="s">
        <v>45</v>
      </c>
      <c r="AC1332" s="376" t="s">
        <v>45</v>
      </c>
      <c r="AD1332" s="378"/>
      <c r="AE1332" s="378"/>
      <c r="AF1332" s="378"/>
      <c r="AG1332" s="378"/>
      <c r="AH1332" s="379">
        <v>0</v>
      </c>
      <c r="AI1332" s="379">
        <v>0</v>
      </c>
      <c r="AJ1332" s="378"/>
      <c r="AK1332" s="378"/>
      <c r="AL1332" s="376" t="s">
        <v>181</v>
      </c>
      <c r="AM1332" s="378"/>
      <c r="AN1332" s="378"/>
      <c r="AO1332" s="379">
        <v>0</v>
      </c>
      <c r="AP1332" s="385">
        <v>0</v>
      </c>
      <c r="AQ1332" s="385">
        <v>0</v>
      </c>
      <c r="AR1332" s="384"/>
      <c r="AS1332" s="387">
        <f t="shared" si="907"/>
        <v>0</v>
      </c>
      <c r="AT1332">
        <f t="shared" si="908"/>
        <v>0</v>
      </c>
      <c r="AU1332" s="387" t="str">
        <f>IF(AT1332=0,"",IF(AND(AT1332=1,M1332="F",SUMIF(C2:C1334,C1332,AS2:AS1334)&lt;=1),SUMIF(C2:C1334,C1332,AS2:AS1334),IF(AND(AT1332=1,M1332="F",SUMIF(C2:C1334,C1332,AS2:AS1334)&gt;1),1,"")))</f>
        <v/>
      </c>
      <c r="AV1332" s="387" t="str">
        <f>IF(AT1332=0,"",IF(AND(AT1332=3,M1332="F",SUMIF(C2:C1334,C1332,AS2:AS1334)&lt;=1),SUMIF(C2:C1334,C1332,AS2:AS1334),IF(AND(AT1332=3,M1332="F",SUMIF(C2:C1334,C1332,AS2:AS1334)&gt;1),1,"")))</f>
        <v/>
      </c>
      <c r="AW1332" s="387">
        <f>SUMIF(C2:C1334,C1332,O2:O1334)</f>
        <v>0</v>
      </c>
      <c r="AX1332" s="387">
        <f>IF(AND(M1332="F",AS1332&lt;&gt;0),SUMIF(C2:C1334,C1332,W2:W1334),0)</f>
        <v>0</v>
      </c>
      <c r="AY1332" s="387" t="str">
        <f t="shared" si="909"/>
        <v/>
      </c>
      <c r="AZ1332" s="387" t="str">
        <f t="shared" si="910"/>
        <v/>
      </c>
      <c r="BA1332" s="387">
        <f t="shared" si="911"/>
        <v>0</v>
      </c>
      <c r="BB1332" s="387">
        <f t="shared" si="880"/>
        <v>0</v>
      </c>
      <c r="BC1332" s="387">
        <f t="shared" si="881"/>
        <v>0</v>
      </c>
      <c r="BD1332" s="387">
        <f t="shared" si="882"/>
        <v>0</v>
      </c>
      <c r="BE1332" s="387">
        <f t="shared" si="883"/>
        <v>0</v>
      </c>
      <c r="BF1332" s="387">
        <f t="shared" si="884"/>
        <v>0</v>
      </c>
      <c r="BG1332" s="387">
        <f t="shared" si="885"/>
        <v>0</v>
      </c>
      <c r="BH1332" s="387">
        <f t="shared" si="886"/>
        <v>0</v>
      </c>
      <c r="BI1332" s="387">
        <f t="shared" si="887"/>
        <v>0</v>
      </c>
      <c r="BJ1332" s="387">
        <f t="shared" si="888"/>
        <v>0</v>
      </c>
      <c r="BK1332" s="387">
        <f t="shared" si="889"/>
        <v>0</v>
      </c>
      <c r="BL1332" s="387">
        <f t="shared" si="912"/>
        <v>0</v>
      </c>
      <c r="BM1332" s="387">
        <f t="shared" si="913"/>
        <v>0</v>
      </c>
      <c r="BN1332" s="387">
        <f t="shared" si="890"/>
        <v>0</v>
      </c>
      <c r="BO1332" s="387">
        <f t="shared" si="891"/>
        <v>0</v>
      </c>
      <c r="BP1332" s="387">
        <f t="shared" si="892"/>
        <v>0</v>
      </c>
      <c r="BQ1332" s="387">
        <f t="shared" si="893"/>
        <v>0</v>
      </c>
      <c r="BR1332" s="387">
        <f t="shared" si="894"/>
        <v>0</v>
      </c>
      <c r="BS1332" s="387">
        <f t="shared" si="895"/>
        <v>0</v>
      </c>
      <c r="BT1332" s="387">
        <f t="shared" si="896"/>
        <v>0</v>
      </c>
      <c r="BU1332" s="387">
        <f t="shared" si="897"/>
        <v>0</v>
      </c>
      <c r="BV1332" s="387">
        <f t="shared" si="898"/>
        <v>0</v>
      </c>
      <c r="BW1332" s="387">
        <f t="shared" si="899"/>
        <v>0</v>
      </c>
      <c r="BX1332" s="387">
        <f t="shared" si="914"/>
        <v>0</v>
      </c>
      <c r="BY1332" s="387">
        <f t="shared" si="915"/>
        <v>0</v>
      </c>
      <c r="BZ1332" s="387">
        <f t="shared" si="916"/>
        <v>0</v>
      </c>
      <c r="CA1332" s="387">
        <f t="shared" si="917"/>
        <v>0</v>
      </c>
      <c r="CB1332" s="387">
        <f t="shared" si="918"/>
        <v>0</v>
      </c>
      <c r="CC1332" s="387">
        <f t="shared" si="900"/>
        <v>0</v>
      </c>
      <c r="CD1332" s="387">
        <f t="shared" si="901"/>
        <v>0</v>
      </c>
      <c r="CE1332" s="387">
        <f t="shared" si="902"/>
        <v>0</v>
      </c>
      <c r="CF1332" s="387">
        <f t="shared" si="903"/>
        <v>0</v>
      </c>
      <c r="CG1332" s="387">
        <f t="shared" si="904"/>
        <v>0</v>
      </c>
      <c r="CH1332" s="387">
        <f t="shared" si="905"/>
        <v>0</v>
      </c>
      <c r="CI1332" s="387">
        <f t="shared" si="906"/>
        <v>0</v>
      </c>
      <c r="CJ1332" s="387">
        <f t="shared" si="919"/>
        <v>0</v>
      </c>
      <c r="CK1332" s="387" t="str">
        <f t="shared" si="920"/>
        <v/>
      </c>
      <c r="CL1332" s="387" t="str">
        <f t="shared" si="921"/>
        <v/>
      </c>
      <c r="CM1332" s="387" t="str">
        <f t="shared" si="922"/>
        <v/>
      </c>
      <c r="CN1332" s="387" t="str">
        <f t="shared" si="923"/>
        <v>0349-31</v>
      </c>
    </row>
    <row r="1333" spans="1:92" ht="15.75" thickBot="1" x14ac:dyDescent="0.3">
      <c r="A1333" s="376" t="s">
        <v>161</v>
      </c>
      <c r="B1333" s="376" t="s">
        <v>162</v>
      </c>
      <c r="C1333" s="376" t="s">
        <v>1487</v>
      </c>
      <c r="D1333" s="376" t="s">
        <v>238</v>
      </c>
      <c r="E1333" s="376" t="s">
        <v>2591</v>
      </c>
      <c r="F1333" s="382" t="s">
        <v>2592</v>
      </c>
      <c r="G1333" s="376" t="s">
        <v>2591</v>
      </c>
      <c r="H1333" s="378"/>
      <c r="I1333" s="378"/>
      <c r="J1333" s="376" t="s">
        <v>215</v>
      </c>
      <c r="K1333" s="376" t="s">
        <v>285</v>
      </c>
      <c r="L1333" s="376" t="s">
        <v>170</v>
      </c>
      <c r="M1333" s="376" t="s">
        <v>272</v>
      </c>
      <c r="N1333" s="376" t="s">
        <v>172</v>
      </c>
      <c r="O1333" s="379">
        <v>0</v>
      </c>
      <c r="P1333" s="385">
        <v>1</v>
      </c>
      <c r="Q1333" s="385">
        <v>1</v>
      </c>
      <c r="R1333" s="380">
        <v>80</v>
      </c>
      <c r="S1333" s="385">
        <v>1</v>
      </c>
      <c r="T1333" s="380">
        <v>0</v>
      </c>
      <c r="U1333" s="380">
        <v>0</v>
      </c>
      <c r="V1333" s="380">
        <v>0</v>
      </c>
      <c r="W1333" s="380">
        <v>53476.800000000003</v>
      </c>
      <c r="X1333" s="380">
        <v>23422.83</v>
      </c>
      <c r="Y1333" s="380">
        <v>53476.800000000003</v>
      </c>
      <c r="Z1333" s="380">
        <v>23155.45</v>
      </c>
      <c r="AA1333" s="378"/>
      <c r="AB1333" s="376" t="s">
        <v>45</v>
      </c>
      <c r="AC1333" s="376" t="s">
        <v>45</v>
      </c>
      <c r="AD1333" s="378"/>
      <c r="AE1333" s="378"/>
      <c r="AF1333" s="378"/>
      <c r="AG1333" s="378"/>
      <c r="AH1333" s="379">
        <v>0</v>
      </c>
      <c r="AI1333" s="379">
        <v>0</v>
      </c>
      <c r="AJ1333" s="378"/>
      <c r="AK1333" s="378"/>
      <c r="AL1333" s="376" t="s">
        <v>181</v>
      </c>
      <c r="AM1333" s="378"/>
      <c r="AN1333" s="378"/>
      <c r="AO1333" s="379">
        <v>0</v>
      </c>
      <c r="AP1333" s="385">
        <v>0</v>
      </c>
      <c r="AQ1333" s="385">
        <v>0</v>
      </c>
      <c r="AR1333" s="384"/>
      <c r="AS1333" s="387">
        <f t="shared" si="907"/>
        <v>0</v>
      </c>
      <c r="AT1333">
        <f t="shared" si="908"/>
        <v>0</v>
      </c>
      <c r="AU1333" s="387" t="str">
        <f>IF(AT1333=0,"",IF(AND(AT1333=1,M1333="F",SUMIF(C2:C1334,C1333,AS2:AS1334)&lt;=1),SUMIF(C2:C1334,C1333,AS2:AS1334),IF(AND(AT1333=1,M1333="F",SUMIF(C2:C1334,C1333,AS2:AS1334)&gt;1),1,"")))</f>
        <v/>
      </c>
      <c r="AV1333" s="387" t="str">
        <f>IF(AT1333=0,"",IF(AND(AT1333=3,M1333="F",SUMIF(C2:C1334,C1333,AS2:AS1334)&lt;=1),SUMIF(C2:C1334,C1333,AS2:AS1334),IF(AND(AT1333=3,M1333="F",SUMIF(C2:C1334,C1333,AS2:AS1334)&gt;1),1,"")))</f>
        <v/>
      </c>
      <c r="AW1333" s="387">
        <f>SUMIF(C2:C1334,C1333,O2:O1334)</f>
        <v>0</v>
      </c>
      <c r="AX1333" s="387">
        <f>IF(AND(M1333="F",AS1333&lt;&gt;0),SUMIF(C2:C1334,C1333,W2:W1334),0)</f>
        <v>0</v>
      </c>
      <c r="AY1333" s="387" t="str">
        <f t="shared" si="909"/>
        <v/>
      </c>
      <c r="AZ1333" s="387" t="str">
        <f t="shared" si="910"/>
        <v/>
      </c>
      <c r="BA1333" s="387">
        <f t="shared" si="911"/>
        <v>0</v>
      </c>
      <c r="BB1333" s="387">
        <f t="shared" si="880"/>
        <v>0</v>
      </c>
      <c r="BC1333" s="387">
        <f t="shared" si="881"/>
        <v>0</v>
      </c>
      <c r="BD1333" s="387">
        <f t="shared" si="882"/>
        <v>0</v>
      </c>
      <c r="BE1333" s="387">
        <f t="shared" si="883"/>
        <v>0</v>
      </c>
      <c r="BF1333" s="387">
        <f t="shared" si="884"/>
        <v>0</v>
      </c>
      <c r="BG1333" s="387">
        <f t="shared" si="885"/>
        <v>0</v>
      </c>
      <c r="BH1333" s="387">
        <f t="shared" si="886"/>
        <v>0</v>
      </c>
      <c r="BI1333" s="387">
        <f t="shared" si="887"/>
        <v>0</v>
      </c>
      <c r="BJ1333" s="387">
        <f t="shared" si="888"/>
        <v>0</v>
      </c>
      <c r="BK1333" s="387">
        <f t="shared" si="889"/>
        <v>0</v>
      </c>
      <c r="BL1333" s="387">
        <f t="shared" si="912"/>
        <v>0</v>
      </c>
      <c r="BM1333" s="387">
        <f t="shared" si="913"/>
        <v>0</v>
      </c>
      <c r="BN1333" s="387">
        <f t="shared" si="890"/>
        <v>0</v>
      </c>
      <c r="BO1333" s="387">
        <f t="shared" si="891"/>
        <v>0</v>
      </c>
      <c r="BP1333" s="387">
        <f t="shared" si="892"/>
        <v>0</v>
      </c>
      <c r="BQ1333" s="387">
        <f t="shared" si="893"/>
        <v>0</v>
      </c>
      <c r="BR1333" s="387">
        <f t="shared" si="894"/>
        <v>0</v>
      </c>
      <c r="BS1333" s="387">
        <f t="shared" si="895"/>
        <v>0</v>
      </c>
      <c r="BT1333" s="387">
        <f t="shared" si="896"/>
        <v>0</v>
      </c>
      <c r="BU1333" s="387">
        <f t="shared" si="897"/>
        <v>0</v>
      </c>
      <c r="BV1333" s="387">
        <f t="shared" si="898"/>
        <v>0</v>
      </c>
      <c r="BW1333" s="387">
        <f t="shared" si="899"/>
        <v>0</v>
      </c>
      <c r="BX1333" s="387">
        <f t="shared" si="914"/>
        <v>0</v>
      </c>
      <c r="BY1333" s="387">
        <f t="shared" si="915"/>
        <v>0</v>
      </c>
      <c r="BZ1333" s="387">
        <f t="shared" si="916"/>
        <v>0</v>
      </c>
      <c r="CA1333" s="387">
        <f t="shared" si="917"/>
        <v>0</v>
      </c>
      <c r="CB1333" s="387">
        <f t="shared" si="918"/>
        <v>0</v>
      </c>
      <c r="CC1333" s="387">
        <f t="shared" si="900"/>
        <v>0</v>
      </c>
      <c r="CD1333" s="387">
        <f t="shared" si="901"/>
        <v>0</v>
      </c>
      <c r="CE1333" s="387">
        <f t="shared" si="902"/>
        <v>0</v>
      </c>
      <c r="CF1333" s="387">
        <f t="shared" si="903"/>
        <v>0</v>
      </c>
      <c r="CG1333" s="387">
        <f t="shared" si="904"/>
        <v>0</v>
      </c>
      <c r="CH1333" s="387">
        <f t="shared" si="905"/>
        <v>0</v>
      </c>
      <c r="CI1333" s="387">
        <f t="shared" si="906"/>
        <v>0</v>
      </c>
      <c r="CJ1333" s="387">
        <f t="shared" si="919"/>
        <v>0</v>
      </c>
      <c r="CK1333" s="387" t="str">
        <f t="shared" si="920"/>
        <v/>
      </c>
      <c r="CL1333" s="387" t="str">
        <f t="shared" si="921"/>
        <v/>
      </c>
      <c r="CM1333" s="387" t="str">
        <f t="shared" si="922"/>
        <v/>
      </c>
      <c r="CN1333" s="387" t="str">
        <f t="shared" si="923"/>
        <v>ÿÿÿÿ-ÿÿ</v>
      </c>
    </row>
    <row r="1334" spans="1:92" ht="15.75" thickBot="1" x14ac:dyDescent="0.3">
      <c r="A1334" s="376" t="s">
        <v>161</v>
      </c>
      <c r="B1334" s="376" t="s">
        <v>162</v>
      </c>
      <c r="C1334" s="376" t="s">
        <v>1761</v>
      </c>
      <c r="D1334" s="376" t="s">
        <v>247</v>
      </c>
      <c r="E1334" s="376" t="s">
        <v>2591</v>
      </c>
      <c r="F1334" s="382" t="s">
        <v>2592</v>
      </c>
      <c r="G1334" s="376" t="s">
        <v>2591</v>
      </c>
      <c r="H1334" s="378"/>
      <c r="I1334" s="378"/>
      <c r="J1334" s="376" t="s">
        <v>215</v>
      </c>
      <c r="K1334" s="376" t="s">
        <v>248</v>
      </c>
      <c r="L1334" s="376" t="s">
        <v>178</v>
      </c>
      <c r="M1334" s="376" t="s">
        <v>272</v>
      </c>
      <c r="N1334" s="376" t="s">
        <v>172</v>
      </c>
      <c r="O1334" s="379">
        <v>0</v>
      </c>
      <c r="P1334" s="385">
        <v>1</v>
      </c>
      <c r="Q1334" s="385">
        <v>1</v>
      </c>
      <c r="R1334" s="380">
        <v>80</v>
      </c>
      <c r="S1334" s="385">
        <v>1</v>
      </c>
      <c r="T1334" s="380">
        <v>0</v>
      </c>
      <c r="U1334" s="380">
        <v>0</v>
      </c>
      <c r="V1334" s="380">
        <v>0</v>
      </c>
      <c r="W1334" s="380">
        <v>32094.400000000001</v>
      </c>
      <c r="X1334" s="380">
        <v>14057.34</v>
      </c>
      <c r="Y1334" s="380">
        <v>32094.400000000001</v>
      </c>
      <c r="Z1334" s="380">
        <v>13896.87</v>
      </c>
      <c r="AA1334" s="378"/>
      <c r="AB1334" s="376" t="s">
        <v>45</v>
      </c>
      <c r="AC1334" s="376" t="s">
        <v>45</v>
      </c>
      <c r="AD1334" s="378"/>
      <c r="AE1334" s="378"/>
      <c r="AF1334" s="378"/>
      <c r="AG1334" s="378"/>
      <c r="AH1334" s="379">
        <v>0</v>
      </c>
      <c r="AI1334" s="379">
        <v>0</v>
      </c>
      <c r="AJ1334" s="378"/>
      <c r="AK1334" s="378"/>
      <c r="AL1334" s="376" t="s">
        <v>181</v>
      </c>
      <c r="AM1334" s="378"/>
      <c r="AN1334" s="378"/>
      <c r="AO1334" s="379">
        <v>0</v>
      </c>
      <c r="AP1334" s="385">
        <v>0</v>
      </c>
      <c r="AQ1334" s="385">
        <v>0</v>
      </c>
      <c r="AR1334" s="384"/>
      <c r="AS1334" s="387">
        <f t="shared" si="907"/>
        <v>0</v>
      </c>
      <c r="AT1334">
        <f t="shared" si="908"/>
        <v>0</v>
      </c>
      <c r="AU1334" s="387" t="str">
        <f>IF(AT1334=0,"",IF(AND(AT1334=1,M1334="F",SUMIF(C2:C1334,C1334,AS2:AS1334)&lt;=1),SUMIF(C2:C1334,C1334,AS2:AS1334),IF(AND(AT1334=1,M1334="F",SUMIF(C2:C1334,C1334,AS2:AS1334)&gt;1),1,"")))</f>
        <v/>
      </c>
      <c r="AV1334" s="387" t="str">
        <f>IF(AT1334=0,"",IF(AND(AT1334=3,M1334="F",SUMIF(C2:C1334,C1334,AS2:AS1334)&lt;=1),SUMIF(C2:C1334,C1334,AS2:AS1334),IF(AND(AT1334=3,M1334="F",SUMIF(C2:C1334,C1334,AS2:AS1334)&gt;1),1,"")))</f>
        <v/>
      </c>
      <c r="AW1334" s="387">
        <f>SUMIF(C2:C1334,C1334,O2:O1334)</f>
        <v>0</v>
      </c>
      <c r="AX1334" s="387">
        <f>IF(AND(M1334="F",AS1334&lt;&gt;0),SUMIF(C2:C1334,C1334,W2:W1334),0)</f>
        <v>0</v>
      </c>
      <c r="AY1334" s="387" t="str">
        <f t="shared" si="909"/>
        <v/>
      </c>
      <c r="AZ1334" s="387" t="str">
        <f t="shared" si="910"/>
        <v/>
      </c>
      <c r="BA1334" s="387">
        <f t="shared" si="911"/>
        <v>0</v>
      </c>
      <c r="BB1334" s="387">
        <f t="shared" si="880"/>
        <v>0</v>
      </c>
      <c r="BC1334" s="387">
        <f t="shared" si="881"/>
        <v>0</v>
      </c>
      <c r="BD1334" s="387">
        <f t="shared" si="882"/>
        <v>0</v>
      </c>
      <c r="BE1334" s="387">
        <f t="shared" si="883"/>
        <v>0</v>
      </c>
      <c r="BF1334" s="387">
        <f t="shared" si="884"/>
        <v>0</v>
      </c>
      <c r="BG1334" s="387">
        <f t="shared" si="885"/>
        <v>0</v>
      </c>
      <c r="BH1334" s="387">
        <f t="shared" si="886"/>
        <v>0</v>
      </c>
      <c r="BI1334" s="387">
        <f t="shared" si="887"/>
        <v>0</v>
      </c>
      <c r="BJ1334" s="387">
        <f t="shared" si="888"/>
        <v>0</v>
      </c>
      <c r="BK1334" s="387">
        <f t="shared" si="889"/>
        <v>0</v>
      </c>
      <c r="BL1334" s="387">
        <f t="shared" si="912"/>
        <v>0</v>
      </c>
      <c r="BM1334" s="387">
        <f t="shared" si="913"/>
        <v>0</v>
      </c>
      <c r="BN1334" s="387">
        <f t="shared" si="890"/>
        <v>0</v>
      </c>
      <c r="BO1334" s="387">
        <f t="shared" si="891"/>
        <v>0</v>
      </c>
      <c r="BP1334" s="387">
        <f t="shared" si="892"/>
        <v>0</v>
      </c>
      <c r="BQ1334" s="387">
        <f t="shared" si="893"/>
        <v>0</v>
      </c>
      <c r="BR1334" s="387">
        <f t="shared" si="894"/>
        <v>0</v>
      </c>
      <c r="BS1334" s="387">
        <f t="shared" si="895"/>
        <v>0</v>
      </c>
      <c r="BT1334" s="387">
        <f t="shared" si="896"/>
        <v>0</v>
      </c>
      <c r="BU1334" s="387">
        <f t="shared" si="897"/>
        <v>0</v>
      </c>
      <c r="BV1334" s="387">
        <f t="shared" si="898"/>
        <v>0</v>
      </c>
      <c r="BW1334" s="387">
        <f t="shared" si="899"/>
        <v>0</v>
      </c>
      <c r="BX1334" s="387">
        <f t="shared" si="914"/>
        <v>0</v>
      </c>
      <c r="BY1334" s="387">
        <f t="shared" si="915"/>
        <v>0</v>
      </c>
      <c r="BZ1334" s="387">
        <f t="shared" si="916"/>
        <v>0</v>
      </c>
      <c r="CA1334" s="387">
        <f t="shared" si="917"/>
        <v>0</v>
      </c>
      <c r="CB1334" s="387">
        <f t="shared" si="918"/>
        <v>0</v>
      </c>
      <c r="CC1334" s="387">
        <f t="shared" si="900"/>
        <v>0</v>
      </c>
      <c r="CD1334" s="387">
        <f t="shared" si="901"/>
        <v>0</v>
      </c>
      <c r="CE1334" s="387">
        <f t="shared" si="902"/>
        <v>0</v>
      </c>
      <c r="CF1334" s="387">
        <f t="shared" si="903"/>
        <v>0</v>
      </c>
      <c r="CG1334" s="387">
        <f t="shared" si="904"/>
        <v>0</v>
      </c>
      <c r="CH1334" s="387">
        <f t="shared" si="905"/>
        <v>0</v>
      </c>
      <c r="CI1334" s="387">
        <f t="shared" si="906"/>
        <v>0</v>
      </c>
      <c r="CJ1334" s="387">
        <f t="shared" si="919"/>
        <v>0</v>
      </c>
      <c r="CK1334" s="387" t="str">
        <f t="shared" si="920"/>
        <v/>
      </c>
      <c r="CL1334" s="387" t="str">
        <f t="shared" si="921"/>
        <v/>
      </c>
      <c r="CM1334" s="387" t="str">
        <f t="shared" si="922"/>
        <v/>
      </c>
      <c r="CN1334" s="387" t="str">
        <f t="shared" si="923"/>
        <v>ÿÿÿÿ-ÿÿ</v>
      </c>
    </row>
    <row r="1336" spans="1:92" ht="21" x14ac:dyDescent="0.35">
      <c r="AQ1336" s="251" t="s">
        <v>2718</v>
      </c>
    </row>
    <row r="1337" spans="1:92" ht="15.75" thickBot="1" x14ac:dyDescent="0.3">
      <c r="AR1337" t="s">
        <v>2641</v>
      </c>
      <c r="AS1337" s="387">
        <f>SUMIFS(AS2:AS1334,G2:G1334,"EMAA",E2:E1334,"0001",F2:F1334,"00",AT2:AT1334,1)</f>
        <v>0</v>
      </c>
      <c r="AT1337" s="387">
        <f>SUMIFS(AS2:AS1334,G2:G1334,"EMAA",E2:E1334,"0001",F2:F1334,"00",AT2:AT1334,3)</f>
        <v>0</v>
      </c>
      <c r="AU1337" s="387">
        <f>SUMIFS(AU2:AU1334,G2:G1334,"EMAA",E2:E1334,"0001",F2:F1334,"00")</f>
        <v>0</v>
      </c>
      <c r="AV1337" s="387">
        <f>SUMIFS(AV2:AV1334,G2:G1334,"EMAA",E2:E1334,"0001",F2:F1334,"00")</f>
        <v>0</v>
      </c>
      <c r="AW1337" s="387">
        <f>SUMIFS(AW2:AW1334,G2:G1334,"EMAA",E2:E1334,"0001",F2:F1334,"00")</f>
        <v>0</v>
      </c>
      <c r="AX1337" s="387">
        <f>SUMIFS(AX2:AX1334,G2:G1334,"EMAA",E2:E1334,"0001",F2:F1334,"00")</f>
        <v>0</v>
      </c>
      <c r="AY1337" s="387">
        <f>SUMIFS(AY2:AY1334,G2:G1334,"EMAA",E2:E1334,"0001",F2:F1334,"00")</f>
        <v>0</v>
      </c>
      <c r="AZ1337" s="387">
        <f>SUMIFS(AZ2:AZ1334,G2:G1334,"EMAA",E2:E1334,"0001",F2:F1334,"00")</f>
        <v>0</v>
      </c>
      <c r="BA1337" s="387">
        <f>SUMIFS(BA2:BA1334,G2:G1334,"EMAA",E2:E1334,"0001",F2:F1334,"00")</f>
        <v>0</v>
      </c>
      <c r="BB1337" s="387">
        <f>SUMIFS(BB2:BB1334,G2:G1334,"EMAA",E2:E1334,"0001",F2:F1334,"00")</f>
        <v>0</v>
      </c>
      <c r="BC1337" s="387">
        <f>SUMIFS(BC2:BC1334,G2:G1334,"EMAA",E2:E1334,"0001",F2:F1334,"00")</f>
        <v>0</v>
      </c>
      <c r="BD1337" s="387">
        <f>SUMIFS(BD2:BD1334,G2:G1334,"EMAA",E2:E1334,"0001",F2:F1334,"00")</f>
        <v>0</v>
      </c>
      <c r="BE1337" s="387">
        <f>SUMIFS(BE2:BE1334,G2:G1334,"EMAA",E2:E1334,"0001",F2:F1334,"00")</f>
        <v>0</v>
      </c>
      <c r="BF1337" s="387">
        <f>SUMIFS(BF2:BF1334,G2:G1334,"EMAA",E2:E1334,"0001",F2:F1334,"00")</f>
        <v>0</v>
      </c>
      <c r="BG1337" s="387">
        <f>SUMIFS(BG2:BG1334,G2:G1334,"EMAA",E2:E1334,"0001",F2:F1334,"00")</f>
        <v>0</v>
      </c>
      <c r="BH1337" s="387">
        <f>SUMIFS(BH2:BH1334,G2:G1334,"EMAA",E2:E1334,"0001",F2:F1334,"00")</f>
        <v>0</v>
      </c>
      <c r="BI1337" s="387">
        <f>SUMIFS(BI2:BI1334,G2:G1334,"EMAA",E2:E1334,"0001",F2:F1334,"00")</f>
        <v>0</v>
      </c>
      <c r="BJ1337" s="387">
        <f>SUMIFS(BJ2:BJ1334,G2:G1334,"EMAA",E2:E1334,"0001",F2:F1334,"00")</f>
        <v>0</v>
      </c>
      <c r="BK1337" s="387">
        <f>SUMIFS(BK2:BK1334,G2:G1334,"EMAA",E2:E1334,"0001",F2:F1334,"00")</f>
        <v>0</v>
      </c>
      <c r="BL1337" s="387">
        <f>SUMIFS(BL2:BL1334,G2:G1334,"EMAA",E2:E1334,"0001",F2:F1334,"00")</f>
        <v>0</v>
      </c>
      <c r="BM1337" s="387">
        <f>SUMIFS(BM2:BM1334,G2:G1334,"EMAA",E2:E1334,"0001",F2:F1334,"00")</f>
        <v>0</v>
      </c>
      <c r="BN1337" s="387">
        <f>SUMIFS(BN2:BN1334,G2:G1334,"EMAA",E2:E1334,"0001",F2:F1334,"00")</f>
        <v>0</v>
      </c>
      <c r="BO1337" s="387">
        <f>SUMIFS(BO2:BO1334,G2:G1334,"EMAA",E2:E1334,"0001",F2:F1334,"00")</f>
        <v>0</v>
      </c>
      <c r="BP1337" s="387">
        <f>SUMIFS(BP2:BP1334,G2:G1334,"EMAA",E2:E1334,"0001",F2:F1334,"00")</f>
        <v>0</v>
      </c>
      <c r="BQ1337" s="387">
        <f>SUMIFS(BQ2:BQ1334,G2:G1334,"EMAA",E2:E1334,"0001",F2:F1334,"00")</f>
        <v>0</v>
      </c>
      <c r="BR1337" s="387">
        <f>SUMIFS(BR2:BR1334,G2:G1334,"EMAA",E2:E1334,"0001",F2:F1334,"00")</f>
        <v>0</v>
      </c>
      <c r="BS1337" s="387">
        <f>SUMIFS(BS2:BS1334,G2:G1334,"EMAA",E2:E1334,"0001",F2:F1334,"00")</f>
        <v>0</v>
      </c>
      <c r="BT1337" s="387">
        <f>SUMIFS(BT2:BT1334,G2:G1334,"EMAA",E2:E1334,"0001",F2:F1334,"00")</f>
        <v>0</v>
      </c>
      <c r="BU1337" s="387">
        <f>SUMIFS(BU2:BU1334,G2:G1334,"EMAA",E2:E1334,"0001",F2:F1334,"00")</f>
        <v>0</v>
      </c>
      <c r="BV1337" s="387">
        <f>SUMIFS(BV2:BV1334,G2:G1334,"EMAA",E2:E1334,"0001",F2:F1334,"00")</f>
        <v>0</v>
      </c>
      <c r="BW1337" s="387">
        <f>SUMIFS(BW2:BW1334,G2:G1334,"EMAA",E2:E1334,"0001",F2:F1334,"00")</f>
        <v>0</v>
      </c>
      <c r="BX1337" s="387">
        <f>SUMIFS(BX2:BX1334,G2:G1334,"EMAA",E2:E1334,"0001",F2:F1334,"00")</f>
        <v>0</v>
      </c>
      <c r="BY1337" s="387">
        <f>SUMIFS(BY2:BY1334,G2:G1334,"EMAA",E2:E1334,"0001",F2:F1334,"00")</f>
        <v>0</v>
      </c>
      <c r="BZ1337" s="387">
        <f>SUMIFS(BZ2:BZ1334,G2:G1334,"EMAA",E2:E1334,"0001",F2:F1334,"00")</f>
        <v>0</v>
      </c>
      <c r="CA1337" s="387">
        <f>SUMIFS(CA2:CA1334,G2:G1334,"EMAA",E2:E1334,"0001",F2:F1334,"00")</f>
        <v>0</v>
      </c>
      <c r="CB1337" s="387">
        <f>SUMIFS(CB2:CB1334,G2:G1334,"EMAA",E2:E1334,"0001",F2:F1334,"00")</f>
        <v>0</v>
      </c>
      <c r="CC1337" s="387">
        <f>SUMIFS(CC2:CC1334,G2:G1334,"EMAA",E2:E1334,"0001",F2:F1334,"00")</f>
        <v>0</v>
      </c>
      <c r="CD1337" s="387">
        <f>SUMIFS(CD2:CD1334,G2:G1334,"EMAA",E2:E1334,"0001",F2:F1334,"00")</f>
        <v>0</v>
      </c>
      <c r="CE1337" s="387">
        <f>SUMIFS(CE2:CE1334,G2:G1334,"EMAA",E2:E1334,"0001",F2:F1334,"00")</f>
        <v>0</v>
      </c>
      <c r="CF1337" s="387">
        <f>SUMIFS(CF2:CF1334,G2:G1334,"EMAA",E2:E1334,"0001",F2:F1334,"00")</f>
        <v>0</v>
      </c>
      <c r="CG1337" s="387">
        <f>SUMIFS(CG2:CG1334,G2:G1334,"EMAA",E2:E1334,"0001",F2:F1334,"00")</f>
        <v>0</v>
      </c>
      <c r="CH1337" s="387">
        <f>SUMIFS(CH2:CH1334,G2:G1334,"EMAA",E2:E1334,"0001",F2:F1334,"00")</f>
        <v>0</v>
      </c>
      <c r="CI1337" s="387">
        <f>SUMIFS(CI2:CI1334,G2:G1334,"EMAA",E2:E1334,"0001",F2:F1334,"00")</f>
        <v>0</v>
      </c>
      <c r="CJ1337" s="387">
        <f>SUMIFS(CJ2:CJ1334,G2:G1334,"EMAA",E2:E1334,"0001",F2:F1334,"00")</f>
        <v>0</v>
      </c>
      <c r="CK1337" s="387">
        <f>SUMIFS(CK2:CK1334,G2:G1334,"EMAA",E2:E1334,"0001",F2:F1334,"00")</f>
        <v>0</v>
      </c>
      <c r="CL1337" s="387">
        <f>SUMIFS(CL2:CL1334,G2:G1334,"EMAA",E2:E1334,"0001",F2:F1334,"00")</f>
        <v>0</v>
      </c>
      <c r="CM1337" s="387">
        <f>SUMIFS(CM2:CM1334,G2:G1334,"EMAA",E2:E1334,"0001",F2:F1334,"00")</f>
        <v>0</v>
      </c>
    </row>
    <row r="1338" spans="1:92" ht="18.75" x14ac:dyDescent="0.3">
      <c r="AQ1338" s="393" t="s">
        <v>2642</v>
      </c>
      <c r="AS1338" s="394">
        <f t="shared" ref="AS1338:CM1338" si="924">SUM(AS1337:AS1337)</f>
        <v>0</v>
      </c>
      <c r="AT1338" s="394">
        <f t="shared" si="924"/>
        <v>0</v>
      </c>
      <c r="AU1338" s="394">
        <f t="shared" si="924"/>
        <v>0</v>
      </c>
      <c r="AV1338" s="394">
        <f t="shared" si="924"/>
        <v>0</v>
      </c>
      <c r="AW1338" s="394">
        <f t="shared" si="924"/>
        <v>0</v>
      </c>
      <c r="AX1338" s="394">
        <f t="shared" si="924"/>
        <v>0</v>
      </c>
      <c r="AY1338" s="394">
        <f t="shared" si="924"/>
        <v>0</v>
      </c>
      <c r="AZ1338" s="394">
        <f t="shared" si="924"/>
        <v>0</v>
      </c>
      <c r="BA1338" s="394">
        <f t="shared" si="924"/>
        <v>0</v>
      </c>
      <c r="BB1338" s="394">
        <f t="shared" si="924"/>
        <v>0</v>
      </c>
      <c r="BC1338" s="394">
        <f t="shared" si="924"/>
        <v>0</v>
      </c>
      <c r="BD1338" s="394">
        <f t="shared" si="924"/>
        <v>0</v>
      </c>
      <c r="BE1338" s="394">
        <f t="shared" si="924"/>
        <v>0</v>
      </c>
      <c r="BF1338" s="394">
        <f t="shared" si="924"/>
        <v>0</v>
      </c>
      <c r="BG1338" s="394">
        <f t="shared" si="924"/>
        <v>0</v>
      </c>
      <c r="BH1338" s="394">
        <f t="shared" si="924"/>
        <v>0</v>
      </c>
      <c r="BI1338" s="394">
        <f t="shared" si="924"/>
        <v>0</v>
      </c>
      <c r="BJ1338" s="394">
        <f t="shared" si="924"/>
        <v>0</v>
      </c>
      <c r="BK1338" s="394">
        <f t="shared" si="924"/>
        <v>0</v>
      </c>
      <c r="BL1338" s="394">
        <f t="shared" si="924"/>
        <v>0</v>
      </c>
      <c r="BM1338" s="394">
        <f t="shared" si="924"/>
        <v>0</v>
      </c>
      <c r="BN1338" s="394">
        <f t="shared" si="924"/>
        <v>0</v>
      </c>
      <c r="BO1338" s="394">
        <f t="shared" si="924"/>
        <v>0</v>
      </c>
      <c r="BP1338" s="394">
        <f t="shared" si="924"/>
        <v>0</v>
      </c>
      <c r="BQ1338" s="394">
        <f t="shared" si="924"/>
        <v>0</v>
      </c>
      <c r="BR1338" s="394">
        <f t="shared" si="924"/>
        <v>0</v>
      </c>
      <c r="BS1338" s="394">
        <f t="shared" si="924"/>
        <v>0</v>
      </c>
      <c r="BT1338" s="394">
        <f t="shared" si="924"/>
        <v>0</v>
      </c>
      <c r="BU1338" s="394">
        <f t="shared" si="924"/>
        <v>0</v>
      </c>
      <c r="BV1338" s="394">
        <f t="shared" si="924"/>
        <v>0</v>
      </c>
      <c r="BW1338" s="394">
        <f t="shared" si="924"/>
        <v>0</v>
      </c>
      <c r="BX1338" s="394">
        <f t="shared" si="924"/>
        <v>0</v>
      </c>
      <c r="BY1338" s="394">
        <f t="shared" si="924"/>
        <v>0</v>
      </c>
      <c r="BZ1338" s="394">
        <f t="shared" si="924"/>
        <v>0</v>
      </c>
      <c r="CA1338" s="394">
        <f t="shared" si="924"/>
        <v>0</v>
      </c>
      <c r="CB1338" s="394">
        <f t="shared" si="924"/>
        <v>0</v>
      </c>
      <c r="CC1338" s="394">
        <f t="shared" si="924"/>
        <v>0</v>
      </c>
      <c r="CD1338" s="394">
        <f t="shared" si="924"/>
        <v>0</v>
      </c>
      <c r="CE1338" s="394">
        <f t="shared" si="924"/>
        <v>0</v>
      </c>
      <c r="CF1338" s="394">
        <f t="shared" si="924"/>
        <v>0</v>
      </c>
      <c r="CG1338" s="394">
        <f t="shared" si="924"/>
        <v>0</v>
      </c>
      <c r="CH1338" s="394">
        <f t="shared" si="924"/>
        <v>0</v>
      </c>
      <c r="CI1338" s="394">
        <f t="shared" si="924"/>
        <v>0</v>
      </c>
      <c r="CJ1338" s="394">
        <f t="shared" si="924"/>
        <v>0</v>
      </c>
      <c r="CK1338" s="394">
        <f t="shared" si="924"/>
        <v>0</v>
      </c>
      <c r="CL1338" s="394">
        <f t="shared" si="924"/>
        <v>0</v>
      </c>
      <c r="CM1338" s="394">
        <f t="shared" si="924"/>
        <v>0</v>
      </c>
    </row>
    <row r="1339" spans="1:92" ht="15.75" thickBot="1" x14ac:dyDescent="0.3">
      <c r="AR1339" t="s">
        <v>2649</v>
      </c>
      <c r="AS1339" s="387">
        <f>SUMIFS(AS2:AS1334,G2:G1334,"EMAA",E2:E1334,"0302",F2:F1334,"00",AT2:AT1334,1)</f>
        <v>2.2000000000000002</v>
      </c>
      <c r="AT1339" s="387">
        <f>SUMIFS(AS2:AS1334,G2:G1334,"EMAA",E2:E1334,"0302",F2:F1334,"00",AT2:AT1334,3)</f>
        <v>0</v>
      </c>
      <c r="AU1339" s="387">
        <f>SUMIFS(AU2:AU1334,G2:G1334,"EMAA",E2:E1334,"0302",F2:F1334,"00")</f>
        <v>6</v>
      </c>
      <c r="AV1339" s="387">
        <f>SUMIFS(AV2:AV1334,G2:G1334,"EMAA",E2:E1334,"0302",F2:F1334,"00")</f>
        <v>0</v>
      </c>
      <c r="AW1339" s="387">
        <f>SUMIFS(AW2:AW1334,G2:G1334,"EMAA",E2:E1334,"0302",F2:F1334,"00")</f>
        <v>24</v>
      </c>
      <c r="AX1339" s="387">
        <f>SUMIFS(AX2:AX1334,G2:G1334,"EMAA",E2:E1334,"0302",F2:F1334,"00")</f>
        <v>395948.79999999999</v>
      </c>
      <c r="AY1339" s="387">
        <f>SUMIFS(AY2:AY1334,G2:G1334,"EMAA",E2:E1334,"0302",F2:F1334,"00")</f>
        <v>145163.20000000001</v>
      </c>
      <c r="AZ1339" s="387">
        <f>SUMIFS(AZ2:AZ1334,G2:G1334,"EMAA",E2:E1334,"0302",F2:F1334,"00")</f>
        <v>0</v>
      </c>
      <c r="BA1339" s="387">
        <f>SUMIFS(BA2:BA1334,G2:G1334,"EMAA",E2:E1334,"0302",F2:F1334,"00")</f>
        <v>0</v>
      </c>
      <c r="BB1339" s="387">
        <f>SUMIFS(BB2:BB1334,G2:G1334,"EMAA",E2:E1334,"0302",F2:F1334,"00")</f>
        <v>25630</v>
      </c>
      <c r="BC1339" s="387">
        <f>SUMIFS(BC2:BC1334,G2:G1334,"EMAA",E2:E1334,"0302",F2:F1334,"00")</f>
        <v>0</v>
      </c>
      <c r="BD1339" s="387">
        <f>SUMIFS(BD2:BD1334,G2:G1334,"EMAA",E2:E1334,"0302",F2:F1334,"00")</f>
        <v>9000.1183999999994</v>
      </c>
      <c r="BE1339" s="387">
        <f>SUMIFS(BE2:BE1334,G2:G1334,"EMAA",E2:E1334,"0302",F2:F1334,"00")</f>
        <v>2104.8663999999999</v>
      </c>
      <c r="BF1339" s="387">
        <f>SUMIFS(BF2:BF1334,G2:G1334,"EMAA",E2:E1334,"0302",F2:F1334,"00")</f>
        <v>17332.486079999999</v>
      </c>
      <c r="BG1339" s="387">
        <f>SUMIFS(BG2:BG1334,G2:G1334,"EMAA",E2:E1334,"0302",F2:F1334,"00")</f>
        <v>1046.6266720000001</v>
      </c>
      <c r="BH1339" s="387">
        <f>SUMIFS(BH2:BH1334,G2:G1334,"EMAA",E2:E1334,"0302",F2:F1334,"00")</f>
        <v>711.29967999999997</v>
      </c>
      <c r="BI1339" s="387">
        <f>SUMIFS(BI2:BI1334,G2:G1334,"EMAA",E2:E1334,"0302",F2:F1334,"00")</f>
        <v>803.47831199999996</v>
      </c>
      <c r="BJ1339" s="387">
        <f>SUMIFS(BJ2:BJ1334,G2:G1334,"EMAA",E2:E1334,"0302",F2:F1334,"00")</f>
        <v>391.94064000000003</v>
      </c>
      <c r="BK1339" s="387">
        <f>SUMIFS(BK2:BK1334,G2:G1334,"EMAA",E2:E1334,"0302",F2:F1334,"00")</f>
        <v>0</v>
      </c>
      <c r="BL1339" s="387">
        <f>SUMIFS(BL2:BL1334,G2:G1334,"EMAA",E2:E1334,"0302",F2:F1334,"00")</f>
        <v>31390.816183999999</v>
      </c>
      <c r="BM1339" s="387">
        <f>SUMIFS(BM2:BM1334,G2:G1334,"EMAA",E2:E1334,"0302",F2:F1334,"00")</f>
        <v>0</v>
      </c>
      <c r="BN1339" s="387">
        <f>SUMIFS(BN2:BN1334,G2:G1334,"EMAA",E2:E1334,"0302",F2:F1334,"00")</f>
        <v>25630</v>
      </c>
      <c r="BO1339" s="387">
        <f>SUMIFS(BO2:BO1334,G2:G1334,"EMAA",E2:E1334,"0302",F2:F1334,"00")</f>
        <v>0</v>
      </c>
      <c r="BP1339" s="387">
        <f>SUMIFS(BP2:BP1334,G2:G1334,"EMAA",E2:E1334,"0302",F2:F1334,"00")</f>
        <v>9000.1183999999994</v>
      </c>
      <c r="BQ1339" s="387">
        <f>SUMIFS(BQ2:BQ1334,G2:G1334,"EMAA",E2:E1334,"0302",F2:F1334,"00")</f>
        <v>2104.8663999999999</v>
      </c>
      <c r="BR1339" s="387">
        <f>SUMIFS(BR2:BR1334,G2:G1334,"EMAA",E2:E1334,"0302",F2:F1334,"00")</f>
        <v>17332.486079999999</v>
      </c>
      <c r="BS1339" s="387">
        <f>SUMIFS(BS2:BS1334,G2:G1334,"EMAA",E2:E1334,"0302",F2:F1334,"00")</f>
        <v>1046.6266720000001</v>
      </c>
      <c r="BT1339" s="387">
        <f>SUMIFS(BT2:BT1334,G2:G1334,"EMAA",E2:E1334,"0302",F2:F1334,"00")</f>
        <v>0</v>
      </c>
      <c r="BU1339" s="387">
        <f>SUMIFS(BU2:BU1334,G2:G1334,"EMAA",E2:E1334,"0302",F2:F1334,"00")</f>
        <v>803.47831199999996</v>
      </c>
      <c r="BV1339" s="387">
        <f>SUMIFS(BV2:BV1334,G2:G1334,"EMAA",E2:E1334,"0302",F2:F1334,"00")</f>
        <v>493.55487999999997</v>
      </c>
      <c r="BW1339" s="387">
        <f>SUMIFS(BW2:BW1334,G2:G1334,"EMAA",E2:E1334,"0302",F2:F1334,"00")</f>
        <v>0</v>
      </c>
      <c r="BX1339" s="387">
        <f>SUMIFS(BX2:BX1334,G2:G1334,"EMAA",E2:E1334,"0302",F2:F1334,"00")</f>
        <v>30781.130744000002</v>
      </c>
      <c r="BY1339" s="387">
        <f>SUMIFS(BY2:BY1334,G2:G1334,"EMAA",E2:E1334,"0302",F2:F1334,"00")</f>
        <v>0</v>
      </c>
      <c r="BZ1339" s="387">
        <f>SUMIFS(BZ2:BZ1334,G2:G1334,"EMAA",E2:E1334,"0302",F2:F1334,"00")</f>
        <v>0</v>
      </c>
      <c r="CA1339" s="387">
        <f>SUMIFS(CA2:CA1334,G2:G1334,"EMAA",E2:E1334,"0302",F2:F1334,"00")</f>
        <v>0</v>
      </c>
      <c r="CB1339" s="387">
        <f>SUMIFS(CB2:CB1334,G2:G1334,"EMAA",E2:E1334,"0302",F2:F1334,"00")</f>
        <v>0</v>
      </c>
      <c r="CC1339" s="387">
        <f>SUMIFS(CC2:CC1334,G2:G1334,"EMAA",E2:E1334,"0302",F2:F1334,"00")</f>
        <v>0</v>
      </c>
      <c r="CD1339" s="387">
        <f>SUMIFS(CD2:CD1334,G2:G1334,"EMAA",E2:E1334,"0302",F2:F1334,"00")</f>
        <v>0</v>
      </c>
      <c r="CE1339" s="387">
        <f>SUMIFS(CE2:CE1334,G2:G1334,"EMAA",E2:E1334,"0302",F2:F1334,"00")</f>
        <v>0</v>
      </c>
      <c r="CF1339" s="387">
        <f>SUMIFS(CF2:CF1334,G2:G1334,"EMAA",E2:E1334,"0302",F2:F1334,"00")</f>
        <v>-711.29967999999997</v>
      </c>
      <c r="CG1339" s="387">
        <f>SUMIFS(CG2:CG1334,G2:G1334,"EMAA",E2:E1334,"0302",F2:F1334,"00")</f>
        <v>0</v>
      </c>
      <c r="CH1339" s="387">
        <f>SUMIFS(CH2:CH1334,G2:G1334,"EMAA",E2:E1334,"0302",F2:F1334,"00")</f>
        <v>101.61423999999997</v>
      </c>
      <c r="CI1339" s="387">
        <f>SUMIFS(CI2:CI1334,G2:G1334,"EMAA",E2:E1334,"0302",F2:F1334,"00")</f>
        <v>0</v>
      </c>
      <c r="CJ1339" s="387">
        <f>SUMIFS(CJ2:CJ1334,G2:G1334,"EMAA",E2:E1334,"0302",F2:F1334,"00")</f>
        <v>-609.68543999999997</v>
      </c>
      <c r="CK1339" s="387">
        <f>SUMIFS(CK2:CK1334,G2:G1334,"EMAA",E2:E1334,"0302",F2:F1334,"00")</f>
        <v>0</v>
      </c>
      <c r="CL1339" s="387">
        <f>SUMIFS(CL2:CL1334,G2:G1334,"EMAA",E2:E1334,"0302",F2:F1334,"00")</f>
        <v>0</v>
      </c>
      <c r="CM1339" s="387">
        <f>SUMIFS(CM2:CM1334,G2:G1334,"EMAA",E2:E1334,"0302",F2:F1334,"00")</f>
        <v>0</v>
      </c>
    </row>
    <row r="1340" spans="1:92" ht="18.75" x14ac:dyDescent="0.3">
      <c r="AQ1340" s="393" t="s">
        <v>2650</v>
      </c>
      <c r="AS1340" s="394">
        <f t="shared" ref="AS1340:CM1340" si="925">SUM(AS1339:AS1339)</f>
        <v>2.2000000000000002</v>
      </c>
      <c r="AT1340" s="394">
        <f t="shared" si="925"/>
        <v>0</v>
      </c>
      <c r="AU1340" s="394">
        <f t="shared" si="925"/>
        <v>6</v>
      </c>
      <c r="AV1340" s="394">
        <f t="shared" si="925"/>
        <v>0</v>
      </c>
      <c r="AW1340" s="394">
        <f t="shared" si="925"/>
        <v>24</v>
      </c>
      <c r="AX1340" s="394">
        <f t="shared" si="925"/>
        <v>395948.79999999999</v>
      </c>
      <c r="AY1340" s="394">
        <f t="shared" si="925"/>
        <v>145163.20000000001</v>
      </c>
      <c r="AZ1340" s="394">
        <f t="shared" si="925"/>
        <v>0</v>
      </c>
      <c r="BA1340" s="394">
        <f t="shared" si="925"/>
        <v>0</v>
      </c>
      <c r="BB1340" s="394">
        <f t="shared" si="925"/>
        <v>25630</v>
      </c>
      <c r="BC1340" s="394">
        <f t="shared" si="925"/>
        <v>0</v>
      </c>
      <c r="BD1340" s="394">
        <f t="shared" si="925"/>
        <v>9000.1183999999994</v>
      </c>
      <c r="BE1340" s="394">
        <f t="shared" si="925"/>
        <v>2104.8663999999999</v>
      </c>
      <c r="BF1340" s="394">
        <f t="shared" si="925"/>
        <v>17332.486079999999</v>
      </c>
      <c r="BG1340" s="394">
        <f t="shared" si="925"/>
        <v>1046.6266720000001</v>
      </c>
      <c r="BH1340" s="394">
        <f t="shared" si="925"/>
        <v>711.29967999999997</v>
      </c>
      <c r="BI1340" s="394">
        <f t="shared" si="925"/>
        <v>803.47831199999996</v>
      </c>
      <c r="BJ1340" s="394">
        <f t="shared" si="925"/>
        <v>391.94064000000003</v>
      </c>
      <c r="BK1340" s="394">
        <f t="shared" si="925"/>
        <v>0</v>
      </c>
      <c r="BL1340" s="394">
        <f t="shared" si="925"/>
        <v>31390.816183999999</v>
      </c>
      <c r="BM1340" s="394">
        <f t="shared" si="925"/>
        <v>0</v>
      </c>
      <c r="BN1340" s="394">
        <f t="shared" si="925"/>
        <v>25630</v>
      </c>
      <c r="BO1340" s="394">
        <f t="shared" si="925"/>
        <v>0</v>
      </c>
      <c r="BP1340" s="394">
        <f t="shared" si="925"/>
        <v>9000.1183999999994</v>
      </c>
      <c r="BQ1340" s="394">
        <f t="shared" si="925"/>
        <v>2104.8663999999999</v>
      </c>
      <c r="BR1340" s="394">
        <f t="shared" si="925"/>
        <v>17332.486079999999</v>
      </c>
      <c r="BS1340" s="394">
        <f t="shared" si="925"/>
        <v>1046.6266720000001</v>
      </c>
      <c r="BT1340" s="394">
        <f t="shared" si="925"/>
        <v>0</v>
      </c>
      <c r="BU1340" s="394">
        <f t="shared" si="925"/>
        <v>803.47831199999996</v>
      </c>
      <c r="BV1340" s="394">
        <f t="shared" si="925"/>
        <v>493.55487999999997</v>
      </c>
      <c r="BW1340" s="394">
        <f t="shared" si="925"/>
        <v>0</v>
      </c>
      <c r="BX1340" s="394">
        <f t="shared" si="925"/>
        <v>30781.130744000002</v>
      </c>
      <c r="BY1340" s="394">
        <f t="shared" si="925"/>
        <v>0</v>
      </c>
      <c r="BZ1340" s="394">
        <f t="shared" si="925"/>
        <v>0</v>
      </c>
      <c r="CA1340" s="394">
        <f t="shared" si="925"/>
        <v>0</v>
      </c>
      <c r="CB1340" s="394">
        <f t="shared" si="925"/>
        <v>0</v>
      </c>
      <c r="CC1340" s="394">
        <f t="shared" si="925"/>
        <v>0</v>
      </c>
      <c r="CD1340" s="394">
        <f t="shared" si="925"/>
        <v>0</v>
      </c>
      <c r="CE1340" s="394">
        <f t="shared" si="925"/>
        <v>0</v>
      </c>
      <c r="CF1340" s="394">
        <f t="shared" si="925"/>
        <v>-711.29967999999997</v>
      </c>
      <c r="CG1340" s="394">
        <f t="shared" si="925"/>
        <v>0</v>
      </c>
      <c r="CH1340" s="394">
        <f t="shared" si="925"/>
        <v>101.61423999999997</v>
      </c>
      <c r="CI1340" s="394">
        <f t="shared" si="925"/>
        <v>0</v>
      </c>
      <c r="CJ1340" s="394">
        <f t="shared" si="925"/>
        <v>-609.68543999999997</v>
      </c>
      <c r="CK1340" s="394">
        <f t="shared" si="925"/>
        <v>0</v>
      </c>
      <c r="CL1340" s="394">
        <f t="shared" si="925"/>
        <v>0</v>
      </c>
      <c r="CM1340" s="394">
        <f t="shared" si="925"/>
        <v>0</v>
      </c>
    </row>
    <row r="1341" spans="1:92" ht="15.75" thickBot="1" x14ac:dyDescent="0.3">
      <c r="AR1341" t="s">
        <v>2655</v>
      </c>
      <c r="AS1341" s="387">
        <f>SUMIFS(AS2:AS1334,G2:G1334,"EMAA",E2:E1334,"0303",F2:F1334,"00",AT2:AT1334,1)</f>
        <v>1</v>
      </c>
      <c r="AT1341" s="387">
        <f>SUMIFS(AS2:AS1334,G2:G1334,"EMAA",E2:E1334,"0303",F2:F1334,"00",AT2:AT1334,3)</f>
        <v>0</v>
      </c>
      <c r="AU1341" s="387">
        <f>SUMIFS(AU2:AU1334,G2:G1334,"EMAA",E2:E1334,"0303",F2:F1334,"00")</f>
        <v>1</v>
      </c>
      <c r="AV1341" s="387">
        <f>SUMIFS(AV2:AV1334,G2:G1334,"EMAA",E2:E1334,"0303",F2:F1334,"00")</f>
        <v>0</v>
      </c>
      <c r="AW1341" s="387">
        <f>SUMIFS(AW2:AW1334,G2:G1334,"EMAA",E2:E1334,"0303",F2:F1334,"00")</f>
        <v>3</v>
      </c>
      <c r="AX1341" s="387">
        <f>SUMIFS(AX2:AX1334,G2:G1334,"EMAA",E2:E1334,"0303",F2:F1334,"00")</f>
        <v>38376</v>
      </c>
      <c r="AY1341" s="387">
        <f>SUMIFS(AY2:AY1334,G2:G1334,"EMAA",E2:E1334,"0303",F2:F1334,"00")</f>
        <v>38376</v>
      </c>
      <c r="AZ1341" s="387">
        <f>SUMIFS(AZ2:AZ1334,G2:G1334,"EMAA",E2:E1334,"0303",F2:F1334,"00")</f>
        <v>0</v>
      </c>
      <c r="BA1341" s="387">
        <f>SUMIFS(BA2:BA1334,G2:G1334,"EMAA",E2:E1334,"0303",F2:F1334,"00")</f>
        <v>0</v>
      </c>
      <c r="BB1341" s="387">
        <f>SUMIFS(BB2:BB1334,G2:G1334,"EMAA",E2:E1334,"0303",F2:F1334,"00")</f>
        <v>11650</v>
      </c>
      <c r="BC1341" s="387">
        <f>SUMIFS(BC2:BC1334,G2:G1334,"EMAA",E2:E1334,"0303",F2:F1334,"00")</f>
        <v>0</v>
      </c>
      <c r="BD1341" s="387">
        <f>SUMIFS(BD2:BD1334,G2:G1334,"EMAA",E2:E1334,"0303",F2:F1334,"00")</f>
        <v>2379.3119999999999</v>
      </c>
      <c r="BE1341" s="387">
        <f>SUMIFS(BE2:BE1334,G2:G1334,"EMAA",E2:E1334,"0303",F2:F1334,"00")</f>
        <v>556.452</v>
      </c>
      <c r="BF1341" s="387">
        <f>SUMIFS(BF2:BF1334,G2:G1334,"EMAA",E2:E1334,"0303",F2:F1334,"00")</f>
        <v>4582.0944</v>
      </c>
      <c r="BG1341" s="387">
        <f>SUMIFS(BG2:BG1334,G2:G1334,"EMAA",E2:E1334,"0303",F2:F1334,"00")</f>
        <v>276.69096000000002</v>
      </c>
      <c r="BH1341" s="387">
        <f>SUMIFS(BH2:BH1334,G2:G1334,"EMAA",E2:E1334,"0303",F2:F1334,"00")</f>
        <v>188.04239999999999</v>
      </c>
      <c r="BI1341" s="387">
        <f>SUMIFS(BI2:BI1334,G2:G1334,"EMAA",E2:E1334,"0303",F2:F1334,"00")</f>
        <v>212.41116</v>
      </c>
      <c r="BJ1341" s="387">
        <f>SUMIFS(BJ2:BJ1334,G2:G1334,"EMAA",E2:E1334,"0303",F2:F1334,"00")</f>
        <v>103.6152</v>
      </c>
      <c r="BK1341" s="387">
        <f>SUMIFS(BK2:BK1334,G2:G1334,"EMAA",E2:E1334,"0303",F2:F1334,"00")</f>
        <v>0</v>
      </c>
      <c r="BL1341" s="387">
        <f>SUMIFS(BL2:BL1334,G2:G1334,"EMAA",E2:E1334,"0303",F2:F1334,"00")</f>
        <v>8298.618120000001</v>
      </c>
      <c r="BM1341" s="387">
        <f>SUMIFS(BM2:BM1334,G2:G1334,"EMAA",E2:E1334,"0303",F2:F1334,"00")</f>
        <v>0</v>
      </c>
      <c r="BN1341" s="387">
        <f>SUMIFS(BN2:BN1334,G2:G1334,"EMAA",E2:E1334,"0303",F2:F1334,"00")</f>
        <v>11650</v>
      </c>
      <c r="BO1341" s="387">
        <f>SUMIFS(BO2:BO1334,G2:G1334,"EMAA",E2:E1334,"0303",F2:F1334,"00")</f>
        <v>0</v>
      </c>
      <c r="BP1341" s="387">
        <f>SUMIFS(BP2:BP1334,G2:G1334,"EMAA",E2:E1334,"0303",F2:F1334,"00")</f>
        <v>2379.3119999999999</v>
      </c>
      <c r="BQ1341" s="387">
        <f>SUMIFS(BQ2:BQ1334,G2:G1334,"EMAA",E2:E1334,"0303",F2:F1334,"00")</f>
        <v>556.452</v>
      </c>
      <c r="BR1341" s="387">
        <f>SUMIFS(BR2:BR1334,G2:G1334,"EMAA",E2:E1334,"0303",F2:F1334,"00")</f>
        <v>4582.0944</v>
      </c>
      <c r="BS1341" s="387">
        <f>SUMIFS(BS2:BS1334,G2:G1334,"EMAA",E2:E1334,"0303",F2:F1334,"00")</f>
        <v>276.69096000000002</v>
      </c>
      <c r="BT1341" s="387">
        <f>SUMIFS(BT2:BT1334,G2:G1334,"EMAA",E2:E1334,"0303",F2:F1334,"00")</f>
        <v>0</v>
      </c>
      <c r="BU1341" s="387">
        <f>SUMIFS(BU2:BU1334,G2:G1334,"EMAA",E2:E1334,"0303",F2:F1334,"00")</f>
        <v>212.41116</v>
      </c>
      <c r="BV1341" s="387">
        <f>SUMIFS(BV2:BV1334,G2:G1334,"EMAA",E2:E1334,"0303",F2:F1334,"00")</f>
        <v>130.47839999999999</v>
      </c>
      <c r="BW1341" s="387">
        <f>SUMIFS(BW2:BW1334,G2:G1334,"EMAA",E2:E1334,"0303",F2:F1334,"00")</f>
        <v>0</v>
      </c>
      <c r="BX1341" s="387">
        <f>SUMIFS(BX2:BX1334,G2:G1334,"EMAA",E2:E1334,"0303",F2:F1334,"00")</f>
        <v>8137.4389199999996</v>
      </c>
      <c r="BY1341" s="387">
        <f>SUMIFS(BY2:BY1334,G2:G1334,"EMAA",E2:E1334,"0303",F2:F1334,"00")</f>
        <v>0</v>
      </c>
      <c r="BZ1341" s="387">
        <f>SUMIFS(BZ2:BZ1334,G2:G1334,"EMAA",E2:E1334,"0303",F2:F1334,"00")</f>
        <v>0</v>
      </c>
      <c r="CA1341" s="387">
        <f>SUMIFS(CA2:CA1334,G2:G1334,"EMAA",E2:E1334,"0303",F2:F1334,"00")</f>
        <v>0</v>
      </c>
      <c r="CB1341" s="387">
        <f>SUMIFS(CB2:CB1334,G2:G1334,"EMAA",E2:E1334,"0303",F2:F1334,"00")</f>
        <v>0</v>
      </c>
      <c r="CC1341" s="387">
        <f>SUMIFS(CC2:CC1334,G2:G1334,"EMAA",E2:E1334,"0303",F2:F1334,"00")</f>
        <v>0</v>
      </c>
      <c r="CD1341" s="387">
        <f>SUMIFS(CD2:CD1334,G2:G1334,"EMAA",E2:E1334,"0303",F2:F1334,"00")</f>
        <v>0</v>
      </c>
      <c r="CE1341" s="387">
        <f>SUMIFS(CE2:CE1334,G2:G1334,"EMAA",E2:E1334,"0303",F2:F1334,"00")</f>
        <v>0</v>
      </c>
      <c r="CF1341" s="387">
        <f>SUMIFS(CF2:CF1334,G2:G1334,"EMAA",E2:E1334,"0303",F2:F1334,"00")</f>
        <v>-188.04239999999999</v>
      </c>
      <c r="CG1341" s="387">
        <f>SUMIFS(CG2:CG1334,G2:G1334,"EMAA",E2:E1334,"0303",F2:F1334,"00")</f>
        <v>0</v>
      </c>
      <c r="CH1341" s="387">
        <f>SUMIFS(CH2:CH1334,G2:G1334,"EMAA",E2:E1334,"0303",F2:F1334,"00")</f>
        <v>26.863199999999988</v>
      </c>
      <c r="CI1341" s="387">
        <f>SUMIFS(CI2:CI1334,G2:G1334,"EMAA",E2:E1334,"0303",F2:F1334,"00")</f>
        <v>0</v>
      </c>
      <c r="CJ1341" s="387">
        <f>SUMIFS(CJ2:CJ1334,G2:G1334,"EMAA",E2:E1334,"0303",F2:F1334,"00")</f>
        <v>-161.17920000000001</v>
      </c>
      <c r="CK1341" s="387">
        <f>SUMIFS(CK2:CK1334,G2:G1334,"EMAA",E2:E1334,"0303",F2:F1334,"00")</f>
        <v>0</v>
      </c>
      <c r="CL1341" s="387">
        <f>SUMIFS(CL2:CL1334,G2:G1334,"EMAA",E2:E1334,"0303",F2:F1334,"00")</f>
        <v>0</v>
      </c>
      <c r="CM1341" s="387">
        <f>SUMIFS(CM2:CM1334,G2:G1334,"EMAA",E2:E1334,"0303",F2:F1334,"00")</f>
        <v>0</v>
      </c>
    </row>
    <row r="1342" spans="1:92" ht="18.75" x14ac:dyDescent="0.3">
      <c r="AQ1342" s="393" t="s">
        <v>2656</v>
      </c>
      <c r="AS1342" s="394">
        <f t="shared" ref="AS1342:CM1342" si="926">SUM(AS1341:AS1341)</f>
        <v>1</v>
      </c>
      <c r="AT1342" s="394">
        <f t="shared" si="926"/>
        <v>0</v>
      </c>
      <c r="AU1342" s="394">
        <f t="shared" si="926"/>
        <v>1</v>
      </c>
      <c r="AV1342" s="394">
        <f t="shared" si="926"/>
        <v>0</v>
      </c>
      <c r="AW1342" s="394">
        <f t="shared" si="926"/>
        <v>3</v>
      </c>
      <c r="AX1342" s="394">
        <f t="shared" si="926"/>
        <v>38376</v>
      </c>
      <c r="AY1342" s="394">
        <f t="shared" si="926"/>
        <v>38376</v>
      </c>
      <c r="AZ1342" s="394">
        <f t="shared" si="926"/>
        <v>0</v>
      </c>
      <c r="BA1342" s="394">
        <f t="shared" si="926"/>
        <v>0</v>
      </c>
      <c r="BB1342" s="394">
        <f t="shared" si="926"/>
        <v>11650</v>
      </c>
      <c r="BC1342" s="394">
        <f t="shared" si="926"/>
        <v>0</v>
      </c>
      <c r="BD1342" s="394">
        <f t="shared" si="926"/>
        <v>2379.3119999999999</v>
      </c>
      <c r="BE1342" s="394">
        <f t="shared" si="926"/>
        <v>556.452</v>
      </c>
      <c r="BF1342" s="394">
        <f t="shared" si="926"/>
        <v>4582.0944</v>
      </c>
      <c r="BG1342" s="394">
        <f t="shared" si="926"/>
        <v>276.69096000000002</v>
      </c>
      <c r="BH1342" s="394">
        <f t="shared" si="926"/>
        <v>188.04239999999999</v>
      </c>
      <c r="BI1342" s="394">
        <f t="shared" si="926"/>
        <v>212.41116</v>
      </c>
      <c r="BJ1342" s="394">
        <f t="shared" si="926"/>
        <v>103.6152</v>
      </c>
      <c r="BK1342" s="394">
        <f t="shared" si="926"/>
        <v>0</v>
      </c>
      <c r="BL1342" s="394">
        <f t="shared" si="926"/>
        <v>8298.618120000001</v>
      </c>
      <c r="BM1342" s="394">
        <f t="shared" si="926"/>
        <v>0</v>
      </c>
      <c r="BN1342" s="394">
        <f t="shared" si="926"/>
        <v>11650</v>
      </c>
      <c r="BO1342" s="394">
        <f t="shared" si="926"/>
        <v>0</v>
      </c>
      <c r="BP1342" s="394">
        <f t="shared" si="926"/>
        <v>2379.3119999999999</v>
      </c>
      <c r="BQ1342" s="394">
        <f t="shared" si="926"/>
        <v>556.452</v>
      </c>
      <c r="BR1342" s="394">
        <f t="shared" si="926"/>
        <v>4582.0944</v>
      </c>
      <c r="BS1342" s="394">
        <f t="shared" si="926"/>
        <v>276.69096000000002</v>
      </c>
      <c r="BT1342" s="394">
        <f t="shared" si="926"/>
        <v>0</v>
      </c>
      <c r="BU1342" s="394">
        <f t="shared" si="926"/>
        <v>212.41116</v>
      </c>
      <c r="BV1342" s="394">
        <f t="shared" si="926"/>
        <v>130.47839999999999</v>
      </c>
      <c r="BW1342" s="394">
        <f t="shared" si="926"/>
        <v>0</v>
      </c>
      <c r="BX1342" s="394">
        <f t="shared" si="926"/>
        <v>8137.4389199999996</v>
      </c>
      <c r="BY1342" s="394">
        <f t="shared" si="926"/>
        <v>0</v>
      </c>
      <c r="BZ1342" s="394">
        <f t="shared" si="926"/>
        <v>0</v>
      </c>
      <c r="CA1342" s="394">
        <f t="shared" si="926"/>
        <v>0</v>
      </c>
      <c r="CB1342" s="394">
        <f t="shared" si="926"/>
        <v>0</v>
      </c>
      <c r="CC1342" s="394">
        <f t="shared" si="926"/>
        <v>0</v>
      </c>
      <c r="CD1342" s="394">
        <f t="shared" si="926"/>
        <v>0</v>
      </c>
      <c r="CE1342" s="394">
        <f t="shared" si="926"/>
        <v>0</v>
      </c>
      <c r="CF1342" s="394">
        <f t="shared" si="926"/>
        <v>-188.04239999999999</v>
      </c>
      <c r="CG1342" s="394">
        <f t="shared" si="926"/>
        <v>0</v>
      </c>
      <c r="CH1342" s="394">
        <f t="shared" si="926"/>
        <v>26.863199999999988</v>
      </c>
      <c r="CI1342" s="394">
        <f t="shared" si="926"/>
        <v>0</v>
      </c>
      <c r="CJ1342" s="394">
        <f t="shared" si="926"/>
        <v>-161.17920000000001</v>
      </c>
      <c r="CK1342" s="394">
        <f t="shared" si="926"/>
        <v>0</v>
      </c>
      <c r="CL1342" s="394">
        <f t="shared" si="926"/>
        <v>0</v>
      </c>
      <c r="CM1342" s="394">
        <f t="shared" si="926"/>
        <v>0</v>
      </c>
    </row>
    <row r="1343" spans="1:92" x14ac:dyDescent="0.25">
      <c r="AR1343" t="s">
        <v>2661</v>
      </c>
      <c r="AS1343" s="387">
        <f>SUMIFS(AS2:AS1334,G2:G1334,"EMAA",E2:E1334,"0348",F2:F1334,"00",AT2:AT1334,1)</f>
        <v>0</v>
      </c>
      <c r="AT1343" s="387">
        <f>SUMIFS(AS2:AS1334,G2:G1334,"EMAA",E2:E1334,"0348",F2:F1334,"00",AT2:AT1334,3)</f>
        <v>0</v>
      </c>
      <c r="AU1343" s="387">
        <f>SUMIFS(AU2:AU1334,G2:G1334,"EMAA",E2:E1334,"0348",F2:F1334,"00")</f>
        <v>0</v>
      </c>
      <c r="AV1343" s="387">
        <f>SUMIFS(AV2:AV1334,G2:G1334,"EMAA",E2:E1334,"0348",F2:F1334,"00")</f>
        <v>0</v>
      </c>
      <c r="AW1343" s="387">
        <f>SUMIFS(AW2:AW1334,G2:G1334,"EMAA",E2:E1334,"0348",F2:F1334,"00")</f>
        <v>0</v>
      </c>
      <c r="AX1343" s="387">
        <f>SUMIFS(AX2:AX1334,G2:G1334,"EMAA",E2:E1334,"0348",F2:F1334,"00")</f>
        <v>0</v>
      </c>
      <c r="AY1343" s="387">
        <f>SUMIFS(AY2:AY1334,G2:G1334,"EMAA",E2:E1334,"0348",F2:F1334,"00")</f>
        <v>0</v>
      </c>
      <c r="AZ1343" s="387">
        <f>SUMIFS(AZ2:AZ1334,G2:G1334,"EMAA",E2:E1334,"0348",F2:F1334,"00")</f>
        <v>0</v>
      </c>
      <c r="BA1343" s="387">
        <f>SUMIFS(BA2:BA1334,G2:G1334,"EMAA",E2:E1334,"0348",F2:F1334,"00")</f>
        <v>0</v>
      </c>
      <c r="BB1343" s="387">
        <f>SUMIFS(BB2:BB1334,G2:G1334,"EMAA",E2:E1334,"0348",F2:F1334,"00")</f>
        <v>0</v>
      </c>
      <c r="BC1343" s="387">
        <f>SUMIFS(BC2:BC1334,G2:G1334,"EMAA",E2:E1334,"0348",F2:F1334,"00")</f>
        <v>0</v>
      </c>
      <c r="BD1343" s="387">
        <f>SUMIFS(BD2:BD1334,G2:G1334,"EMAA",E2:E1334,"0348",F2:F1334,"00")</f>
        <v>0</v>
      </c>
      <c r="BE1343" s="387">
        <f>SUMIFS(BE2:BE1334,G2:G1334,"EMAA",E2:E1334,"0348",F2:F1334,"00")</f>
        <v>0</v>
      </c>
      <c r="BF1343" s="387">
        <f>SUMIFS(BF2:BF1334,G2:G1334,"EMAA",E2:E1334,"0348",F2:F1334,"00")</f>
        <v>0</v>
      </c>
      <c r="BG1343" s="387">
        <f>SUMIFS(BG2:BG1334,G2:G1334,"EMAA",E2:E1334,"0348",F2:F1334,"00")</f>
        <v>0</v>
      </c>
      <c r="BH1343" s="387">
        <f>SUMIFS(BH2:BH1334,G2:G1334,"EMAA",E2:E1334,"0348",F2:F1334,"00")</f>
        <v>0</v>
      </c>
      <c r="BI1343" s="387">
        <f>SUMIFS(BI2:BI1334,G2:G1334,"EMAA",E2:E1334,"0348",F2:F1334,"00")</f>
        <v>0</v>
      </c>
      <c r="BJ1343" s="387">
        <f>SUMIFS(BJ2:BJ1334,G2:G1334,"EMAA",E2:E1334,"0348",F2:F1334,"00")</f>
        <v>0</v>
      </c>
      <c r="BK1343" s="387">
        <f>SUMIFS(BK2:BK1334,G2:G1334,"EMAA",E2:E1334,"0348",F2:F1334,"00")</f>
        <v>0</v>
      </c>
      <c r="BL1343" s="387">
        <f>SUMIFS(BL2:BL1334,G2:G1334,"EMAA",E2:E1334,"0348",F2:F1334,"00")</f>
        <v>0</v>
      </c>
      <c r="BM1343" s="387">
        <f>SUMIFS(BM2:BM1334,G2:G1334,"EMAA",E2:E1334,"0348",F2:F1334,"00")</f>
        <v>0</v>
      </c>
      <c r="BN1343" s="387">
        <f>SUMIFS(BN2:BN1334,G2:G1334,"EMAA",E2:E1334,"0348",F2:F1334,"00")</f>
        <v>0</v>
      </c>
      <c r="BO1343" s="387">
        <f>SUMIFS(BO2:BO1334,G2:G1334,"EMAA",E2:E1334,"0348",F2:F1334,"00")</f>
        <v>0</v>
      </c>
      <c r="BP1343" s="387">
        <f>SUMIFS(BP2:BP1334,G2:G1334,"EMAA",E2:E1334,"0348",F2:F1334,"00")</f>
        <v>0</v>
      </c>
      <c r="BQ1343" s="387">
        <f>SUMIFS(BQ2:BQ1334,G2:G1334,"EMAA",E2:E1334,"0348",F2:F1334,"00")</f>
        <v>0</v>
      </c>
      <c r="BR1343" s="387">
        <f>SUMIFS(BR2:BR1334,G2:G1334,"EMAA",E2:E1334,"0348",F2:F1334,"00")</f>
        <v>0</v>
      </c>
      <c r="BS1343" s="387">
        <f>SUMIFS(BS2:BS1334,G2:G1334,"EMAA",E2:E1334,"0348",F2:F1334,"00")</f>
        <v>0</v>
      </c>
      <c r="BT1343" s="387">
        <f>SUMIFS(BT2:BT1334,G2:G1334,"EMAA",E2:E1334,"0348",F2:F1334,"00")</f>
        <v>0</v>
      </c>
      <c r="BU1343" s="387">
        <f>SUMIFS(BU2:BU1334,G2:G1334,"EMAA",E2:E1334,"0348",F2:F1334,"00")</f>
        <v>0</v>
      </c>
      <c r="BV1343" s="387">
        <f>SUMIFS(BV2:BV1334,G2:G1334,"EMAA",E2:E1334,"0348",F2:F1334,"00")</f>
        <v>0</v>
      </c>
      <c r="BW1343" s="387">
        <f>SUMIFS(BW2:BW1334,G2:G1334,"EMAA",E2:E1334,"0348",F2:F1334,"00")</f>
        <v>0</v>
      </c>
      <c r="BX1343" s="387">
        <f>SUMIFS(BX2:BX1334,G2:G1334,"EMAA",E2:E1334,"0348",F2:F1334,"00")</f>
        <v>0</v>
      </c>
      <c r="BY1343" s="387">
        <f>SUMIFS(BY2:BY1334,G2:G1334,"EMAA",E2:E1334,"0348",F2:F1334,"00")</f>
        <v>0</v>
      </c>
      <c r="BZ1343" s="387">
        <f>SUMIFS(BZ2:BZ1334,G2:G1334,"EMAA",E2:E1334,"0348",F2:F1334,"00")</f>
        <v>0</v>
      </c>
      <c r="CA1343" s="387">
        <f>SUMIFS(CA2:CA1334,G2:G1334,"EMAA",E2:E1334,"0348",F2:F1334,"00")</f>
        <v>0</v>
      </c>
      <c r="CB1343" s="387">
        <f>SUMIFS(CB2:CB1334,G2:G1334,"EMAA",E2:E1334,"0348",F2:F1334,"00")</f>
        <v>0</v>
      </c>
      <c r="CC1343" s="387">
        <f>SUMIFS(CC2:CC1334,G2:G1334,"EMAA",E2:E1334,"0348",F2:F1334,"00")</f>
        <v>0</v>
      </c>
      <c r="CD1343" s="387">
        <f>SUMIFS(CD2:CD1334,G2:G1334,"EMAA",E2:E1334,"0348",F2:F1334,"00")</f>
        <v>0</v>
      </c>
      <c r="CE1343" s="387">
        <f>SUMIFS(CE2:CE1334,G2:G1334,"EMAA",E2:E1334,"0348",F2:F1334,"00")</f>
        <v>0</v>
      </c>
      <c r="CF1343" s="387">
        <f>SUMIFS(CF2:CF1334,G2:G1334,"EMAA",E2:E1334,"0348",F2:F1334,"00")</f>
        <v>0</v>
      </c>
      <c r="CG1343" s="387">
        <f>SUMIFS(CG2:CG1334,G2:G1334,"EMAA",E2:E1334,"0348",F2:F1334,"00")</f>
        <v>0</v>
      </c>
      <c r="CH1343" s="387">
        <f>SUMIFS(CH2:CH1334,G2:G1334,"EMAA",E2:E1334,"0348",F2:F1334,"00")</f>
        <v>0</v>
      </c>
      <c r="CI1343" s="387">
        <f>SUMIFS(CI2:CI1334,G2:G1334,"EMAA",E2:E1334,"0348",F2:F1334,"00")</f>
        <v>0</v>
      </c>
      <c r="CJ1343" s="387">
        <f>SUMIFS(CJ2:CJ1334,G2:G1334,"EMAA",E2:E1334,"0348",F2:F1334,"00")</f>
        <v>0</v>
      </c>
      <c r="CK1343" s="387">
        <f>SUMIFS(CK2:CK1334,G2:G1334,"EMAA",E2:E1334,"0348",F2:F1334,"00")</f>
        <v>0</v>
      </c>
      <c r="CL1343" s="387">
        <f>SUMIFS(CL2:CL1334,G2:G1334,"EMAA",E2:E1334,"0348",F2:F1334,"00")</f>
        <v>0</v>
      </c>
      <c r="CM1343" s="387">
        <f>SUMIFS(CM2:CM1334,G2:G1334,"EMAA",E2:E1334,"0348",F2:F1334,"00")</f>
        <v>0</v>
      </c>
    </row>
    <row r="1344" spans="1:92" ht="15.75" thickBot="1" x14ac:dyDescent="0.3">
      <c r="AR1344" t="s">
        <v>2662</v>
      </c>
      <c r="AS1344" s="387">
        <f>SUMIFS(AS2:AS1334,G2:G1334,"EMAA",E2:E1334,"0348",F2:F1334,"31",AT2:AT1334,1)</f>
        <v>66.489999999999995</v>
      </c>
      <c r="AT1344" s="387">
        <f>SUMIFS(AS2:AS1334,G2:G1334,"EMAA",E2:E1334,"0348",F2:F1334,"31",AT2:AT1334,3)</f>
        <v>0</v>
      </c>
      <c r="AU1344" s="387">
        <f>SUMIFS(AU2:AU1334,G2:G1334,"EMAA",E2:E1334,"0348",F2:F1334,"31")</f>
        <v>82.25</v>
      </c>
      <c r="AV1344" s="387">
        <f>SUMIFS(AV2:AV1334,G2:G1334,"EMAA",E2:E1334,"0348",F2:F1334,"31")</f>
        <v>0</v>
      </c>
      <c r="AW1344" s="387">
        <f>SUMIFS(AW2:AW1334,G2:G1334,"EMAA",E2:E1334,"0348",F2:F1334,"31")</f>
        <v>286</v>
      </c>
      <c r="AX1344" s="387">
        <f>SUMIFS(AX2:AX1334,G2:G1334,"EMAA",E2:E1334,"0348",F2:F1334,"31")</f>
        <v>5851195.9899999984</v>
      </c>
      <c r="AY1344" s="387">
        <f>SUMIFS(AY2:AY1334,G2:G1334,"EMAA",E2:E1334,"0348",F2:F1334,"31")</f>
        <v>4414009.5999999996</v>
      </c>
      <c r="AZ1344" s="387">
        <f>SUMIFS(AZ2:AZ1334,G2:G1334,"EMAA",E2:E1334,"0348",F2:F1334,"31")</f>
        <v>0</v>
      </c>
      <c r="BA1344" s="387">
        <f>SUMIFS(BA2:BA1334,G2:G1334,"EMAA",E2:E1334,"0348",F2:F1334,"31")</f>
        <v>0</v>
      </c>
      <c r="BB1344" s="387">
        <f>SUMIFS(BB2:BB1334,G2:G1334,"EMAA",E2:E1334,"0348",F2:F1334,"31")</f>
        <v>778686</v>
      </c>
      <c r="BC1344" s="387">
        <f>SUMIFS(BC2:BC1334,G2:G1334,"EMAA",E2:E1334,"0348",F2:F1334,"31")</f>
        <v>0</v>
      </c>
      <c r="BD1344" s="387">
        <f>SUMIFS(BD2:BD1334,G2:G1334,"EMAA",E2:E1334,"0348",F2:F1334,"31")</f>
        <v>275315.84344000003</v>
      </c>
      <c r="BE1344" s="387">
        <f>SUMIFS(BE2:BE1334,G2:G1334,"EMAA",E2:E1334,"0348",F2:F1334,"31")</f>
        <v>64003.13920000002</v>
      </c>
      <c r="BF1344" s="387">
        <f>SUMIFS(BF2:BF1334,G2:G1334,"EMAA",E2:E1334,"0348",F2:F1334,"31")</f>
        <v>527032.74624000001</v>
      </c>
      <c r="BG1344" s="387">
        <f>SUMIFS(BG2:BG1334,G2:G1334,"EMAA",E2:E1334,"0348",F2:F1334,"31")</f>
        <v>31825.009215999995</v>
      </c>
      <c r="BH1344" s="387">
        <f>SUMIFS(BH2:BH1334,G2:G1334,"EMAA",E2:E1334,"0348",F2:F1334,"31")</f>
        <v>20851.50704</v>
      </c>
      <c r="BI1344" s="387">
        <f>SUMIFS(BI2:BI1334,G2:G1334,"EMAA",E2:E1334,"0348",F2:F1334,"31")</f>
        <v>21733.109751600005</v>
      </c>
      <c r="BJ1344" s="387">
        <f>SUMIFS(BJ2:BJ1334,G2:G1334,"EMAA",E2:E1334,"0348",F2:F1334,"31")</f>
        <v>11917.825919999997</v>
      </c>
      <c r="BK1344" s="387">
        <f>SUMIFS(BK2:BK1334,G2:G1334,"EMAA",E2:E1334,"0348",F2:F1334,"31")</f>
        <v>0</v>
      </c>
      <c r="BL1344" s="387">
        <f>SUMIFS(BL2:BL1334,G2:G1334,"EMAA",E2:E1334,"0348",F2:F1334,"31")</f>
        <v>952679.18080760026</v>
      </c>
      <c r="BM1344" s="387">
        <f>SUMIFS(BM2:BM1334,G2:G1334,"EMAA",E2:E1334,"0348",F2:F1334,"31")</f>
        <v>0</v>
      </c>
      <c r="BN1344" s="387">
        <f>SUMIFS(BN2:BN1334,G2:G1334,"EMAA",E2:E1334,"0348",F2:F1334,"31")</f>
        <v>778686</v>
      </c>
      <c r="BO1344" s="387">
        <f>SUMIFS(BO2:BO1334,G2:G1334,"EMAA",E2:E1334,"0348",F2:F1334,"31")</f>
        <v>0</v>
      </c>
      <c r="BP1344" s="387">
        <f>SUMIFS(BP2:BP1334,G2:G1334,"EMAA",E2:E1334,"0348",F2:F1334,"31")</f>
        <v>275945.08144000004</v>
      </c>
      <c r="BQ1344" s="387">
        <f>SUMIFS(BQ2:BQ1334,G2:G1334,"EMAA",E2:E1334,"0348",F2:F1334,"31")</f>
        <v>64003.13920000002</v>
      </c>
      <c r="BR1344" s="387">
        <f>SUMIFS(BR2:BR1334,G2:G1334,"EMAA",E2:E1334,"0348",F2:F1334,"31")</f>
        <v>527032.74624000001</v>
      </c>
      <c r="BS1344" s="387">
        <f>SUMIFS(BS2:BS1334,G2:G1334,"EMAA",E2:E1334,"0348",F2:F1334,"31")</f>
        <v>31825.009215999995</v>
      </c>
      <c r="BT1344" s="387">
        <f>SUMIFS(BT2:BT1334,G2:G1334,"EMAA",E2:E1334,"0348",F2:F1334,"31")</f>
        <v>0</v>
      </c>
      <c r="BU1344" s="387">
        <f>SUMIFS(BU2:BU1334,G2:G1334,"EMAA",E2:E1334,"0348",F2:F1334,"31")</f>
        <v>21733.109751600005</v>
      </c>
      <c r="BV1344" s="387">
        <f>SUMIFS(BV2:BV1334,G2:G1334,"EMAA",E2:E1334,"0348",F2:F1334,"31")</f>
        <v>15007.632640000002</v>
      </c>
      <c r="BW1344" s="387">
        <f>SUMIFS(BW2:BW1334,G2:G1334,"EMAA",E2:E1334,"0348",F2:F1334,"31")</f>
        <v>0</v>
      </c>
      <c r="BX1344" s="387">
        <f>SUMIFS(BX2:BX1334,G2:G1334,"EMAA",E2:E1334,"0348",F2:F1334,"31")</f>
        <v>935546.7184876001</v>
      </c>
      <c r="BY1344" s="387">
        <f>SUMIFS(BY2:BY1334,G2:G1334,"EMAA",E2:E1334,"0348",F2:F1334,"31")</f>
        <v>0</v>
      </c>
      <c r="BZ1344" s="387">
        <f>SUMIFS(BZ2:BZ1334,G2:G1334,"EMAA",E2:E1334,"0348",F2:F1334,"31")</f>
        <v>0</v>
      </c>
      <c r="CA1344" s="387">
        <f>SUMIFS(CA2:CA1334,G2:G1334,"EMAA",E2:E1334,"0348",F2:F1334,"31")</f>
        <v>0</v>
      </c>
      <c r="CB1344" s="387">
        <f>SUMIFS(CB2:CB1334,G2:G1334,"EMAA",E2:E1334,"0348",F2:F1334,"31")</f>
        <v>629.23800000000119</v>
      </c>
      <c r="CC1344" s="387">
        <f>SUMIFS(CC2:CC1334,G2:G1334,"EMAA",E2:E1334,"0348",F2:F1334,"31")</f>
        <v>0</v>
      </c>
      <c r="CD1344" s="387">
        <f>SUMIFS(CD2:CD1334,G2:G1334,"EMAA",E2:E1334,"0348",F2:F1334,"31")</f>
        <v>0</v>
      </c>
      <c r="CE1344" s="387">
        <f>SUMIFS(CE2:CE1334,G2:G1334,"EMAA",E2:E1334,"0348",F2:F1334,"31")</f>
        <v>0</v>
      </c>
      <c r="CF1344" s="387">
        <f>SUMIFS(CF2:CF1334,G2:G1334,"EMAA",E2:E1334,"0348",F2:F1334,"31")</f>
        <v>-20851.50704</v>
      </c>
      <c r="CG1344" s="387">
        <f>SUMIFS(CG2:CG1334,G2:G1334,"EMAA",E2:E1334,"0348",F2:F1334,"31")</f>
        <v>0</v>
      </c>
      <c r="CH1344" s="387">
        <f>SUMIFS(CH2:CH1334,G2:G1334,"EMAA",E2:E1334,"0348",F2:F1334,"31")</f>
        <v>3089.8067199999978</v>
      </c>
      <c r="CI1344" s="387">
        <f>SUMIFS(CI2:CI1334,G2:G1334,"EMAA",E2:E1334,"0348",F2:F1334,"31")</f>
        <v>0</v>
      </c>
      <c r="CJ1344" s="387">
        <f>SUMIFS(CJ2:CJ1334,G2:G1334,"EMAA",E2:E1334,"0348",F2:F1334,"31")</f>
        <v>-17132.462319999995</v>
      </c>
      <c r="CK1344" s="387">
        <f>SUMIFS(CK2:CK1334,G2:G1334,"EMAA",E2:E1334,"0348",F2:F1334,"31")</f>
        <v>0</v>
      </c>
      <c r="CL1344" s="387">
        <f>SUMIFS(CL2:CL1334,G2:G1334,"EMAA",E2:E1334,"0348",F2:F1334,"31")</f>
        <v>0</v>
      </c>
      <c r="CM1344" s="387">
        <f>SUMIFS(CM2:CM1334,G2:G1334,"EMAA",E2:E1334,"0348",F2:F1334,"31")</f>
        <v>0</v>
      </c>
    </row>
    <row r="1345" spans="43:91" ht="18.75" x14ac:dyDescent="0.3">
      <c r="AQ1345" s="393" t="s">
        <v>2663</v>
      </c>
      <c r="AS1345" s="394">
        <f t="shared" ref="AS1345:CM1345" si="927">SUM(AS1343:AS1344)</f>
        <v>66.489999999999995</v>
      </c>
      <c r="AT1345" s="394">
        <f t="shared" si="927"/>
        <v>0</v>
      </c>
      <c r="AU1345" s="394">
        <f t="shared" si="927"/>
        <v>82.25</v>
      </c>
      <c r="AV1345" s="394">
        <f t="shared" si="927"/>
        <v>0</v>
      </c>
      <c r="AW1345" s="394">
        <f t="shared" si="927"/>
        <v>286</v>
      </c>
      <c r="AX1345" s="394">
        <f t="shared" si="927"/>
        <v>5851195.9899999984</v>
      </c>
      <c r="AY1345" s="394">
        <f t="shared" si="927"/>
        <v>4414009.5999999996</v>
      </c>
      <c r="AZ1345" s="394">
        <f t="shared" si="927"/>
        <v>0</v>
      </c>
      <c r="BA1345" s="394">
        <f t="shared" si="927"/>
        <v>0</v>
      </c>
      <c r="BB1345" s="394">
        <f t="shared" si="927"/>
        <v>778686</v>
      </c>
      <c r="BC1345" s="394">
        <f t="shared" si="927"/>
        <v>0</v>
      </c>
      <c r="BD1345" s="394">
        <f t="shared" si="927"/>
        <v>275315.84344000003</v>
      </c>
      <c r="BE1345" s="394">
        <f t="shared" si="927"/>
        <v>64003.13920000002</v>
      </c>
      <c r="BF1345" s="394">
        <f t="shared" si="927"/>
        <v>527032.74624000001</v>
      </c>
      <c r="BG1345" s="394">
        <f t="shared" si="927"/>
        <v>31825.009215999995</v>
      </c>
      <c r="BH1345" s="394">
        <f t="shared" si="927"/>
        <v>20851.50704</v>
      </c>
      <c r="BI1345" s="394">
        <f t="shared" si="927"/>
        <v>21733.109751600005</v>
      </c>
      <c r="BJ1345" s="394">
        <f t="shared" si="927"/>
        <v>11917.825919999997</v>
      </c>
      <c r="BK1345" s="394">
        <f t="shared" si="927"/>
        <v>0</v>
      </c>
      <c r="BL1345" s="394">
        <f t="shared" si="927"/>
        <v>952679.18080760026</v>
      </c>
      <c r="BM1345" s="394">
        <f t="shared" si="927"/>
        <v>0</v>
      </c>
      <c r="BN1345" s="394">
        <f t="shared" si="927"/>
        <v>778686</v>
      </c>
      <c r="BO1345" s="394">
        <f t="shared" si="927"/>
        <v>0</v>
      </c>
      <c r="BP1345" s="394">
        <f t="shared" si="927"/>
        <v>275945.08144000004</v>
      </c>
      <c r="BQ1345" s="394">
        <f t="shared" si="927"/>
        <v>64003.13920000002</v>
      </c>
      <c r="BR1345" s="394">
        <f t="shared" si="927"/>
        <v>527032.74624000001</v>
      </c>
      <c r="BS1345" s="394">
        <f t="shared" si="927"/>
        <v>31825.009215999995</v>
      </c>
      <c r="BT1345" s="394">
        <f t="shared" si="927"/>
        <v>0</v>
      </c>
      <c r="BU1345" s="394">
        <f t="shared" si="927"/>
        <v>21733.109751600005</v>
      </c>
      <c r="BV1345" s="394">
        <f t="shared" si="927"/>
        <v>15007.632640000002</v>
      </c>
      <c r="BW1345" s="394">
        <f t="shared" si="927"/>
        <v>0</v>
      </c>
      <c r="BX1345" s="394">
        <f t="shared" si="927"/>
        <v>935546.7184876001</v>
      </c>
      <c r="BY1345" s="394">
        <f t="shared" si="927"/>
        <v>0</v>
      </c>
      <c r="BZ1345" s="394">
        <f t="shared" si="927"/>
        <v>0</v>
      </c>
      <c r="CA1345" s="394">
        <f t="shared" si="927"/>
        <v>0</v>
      </c>
      <c r="CB1345" s="394">
        <f t="shared" si="927"/>
        <v>629.23800000000119</v>
      </c>
      <c r="CC1345" s="394">
        <f t="shared" si="927"/>
        <v>0</v>
      </c>
      <c r="CD1345" s="394">
        <f t="shared" si="927"/>
        <v>0</v>
      </c>
      <c r="CE1345" s="394">
        <f t="shared" si="927"/>
        <v>0</v>
      </c>
      <c r="CF1345" s="394">
        <f t="shared" si="927"/>
        <v>-20851.50704</v>
      </c>
      <c r="CG1345" s="394">
        <f t="shared" si="927"/>
        <v>0</v>
      </c>
      <c r="CH1345" s="394">
        <f t="shared" si="927"/>
        <v>3089.8067199999978</v>
      </c>
      <c r="CI1345" s="394">
        <f t="shared" si="927"/>
        <v>0</v>
      </c>
      <c r="CJ1345" s="394">
        <f t="shared" si="927"/>
        <v>-17132.462319999995</v>
      </c>
      <c r="CK1345" s="394">
        <f t="shared" si="927"/>
        <v>0</v>
      </c>
      <c r="CL1345" s="394">
        <f t="shared" si="927"/>
        <v>0</v>
      </c>
      <c r="CM1345" s="394">
        <f t="shared" si="927"/>
        <v>0</v>
      </c>
    </row>
    <row r="1346" spans="43:91" x14ac:dyDescent="0.25">
      <c r="AR1346" t="s">
        <v>2668</v>
      </c>
      <c r="AS1346" s="387">
        <f>SUMIFS(AS2:AS1334,G2:G1334,"EMAA",E2:E1334,"0349",F2:F1334,"00",AT2:AT1334,1)</f>
        <v>0</v>
      </c>
      <c r="AT1346" s="387">
        <f>SUMIFS(AS2:AS1334,G2:G1334,"EMAA",E2:E1334,"0349",F2:F1334,"00",AT2:AT1334,3)</f>
        <v>0</v>
      </c>
      <c r="AU1346" s="387">
        <f>SUMIFS(AU2:AU1334,G2:G1334,"EMAA",E2:E1334,"0349",F2:F1334,"00")</f>
        <v>0</v>
      </c>
      <c r="AV1346" s="387">
        <f>SUMIFS(AV2:AV1334,G2:G1334,"EMAA",E2:E1334,"0349",F2:F1334,"00")</f>
        <v>0</v>
      </c>
      <c r="AW1346" s="387">
        <f>SUMIFS(AW2:AW1334,G2:G1334,"EMAA",E2:E1334,"0349",F2:F1334,"00")</f>
        <v>0</v>
      </c>
      <c r="AX1346" s="387">
        <f>SUMIFS(AX2:AX1334,G2:G1334,"EMAA",E2:E1334,"0349",F2:F1334,"00")</f>
        <v>0</v>
      </c>
      <c r="AY1346" s="387">
        <f>SUMIFS(AY2:AY1334,G2:G1334,"EMAA",E2:E1334,"0349",F2:F1334,"00")</f>
        <v>0</v>
      </c>
      <c r="AZ1346" s="387">
        <f>SUMIFS(AZ2:AZ1334,G2:G1334,"EMAA",E2:E1334,"0349",F2:F1334,"00")</f>
        <v>0</v>
      </c>
      <c r="BA1346" s="387">
        <f>SUMIFS(BA2:BA1334,G2:G1334,"EMAA",E2:E1334,"0349",F2:F1334,"00")</f>
        <v>0</v>
      </c>
      <c r="BB1346" s="387">
        <f>SUMIFS(BB2:BB1334,G2:G1334,"EMAA",E2:E1334,"0349",F2:F1334,"00")</f>
        <v>0</v>
      </c>
      <c r="BC1346" s="387">
        <f>SUMIFS(BC2:BC1334,G2:G1334,"EMAA",E2:E1334,"0349",F2:F1334,"00")</f>
        <v>0</v>
      </c>
      <c r="BD1346" s="387">
        <f>SUMIFS(BD2:BD1334,G2:G1334,"EMAA",E2:E1334,"0349",F2:F1334,"00")</f>
        <v>0</v>
      </c>
      <c r="BE1346" s="387">
        <f>SUMIFS(BE2:BE1334,G2:G1334,"EMAA",E2:E1334,"0349",F2:F1334,"00")</f>
        <v>0</v>
      </c>
      <c r="BF1346" s="387">
        <f>SUMIFS(BF2:BF1334,G2:G1334,"EMAA",E2:E1334,"0349",F2:F1334,"00")</f>
        <v>0</v>
      </c>
      <c r="BG1346" s="387">
        <f>SUMIFS(BG2:BG1334,G2:G1334,"EMAA",E2:E1334,"0349",F2:F1334,"00")</f>
        <v>0</v>
      </c>
      <c r="BH1346" s="387">
        <f>SUMIFS(BH2:BH1334,G2:G1334,"EMAA",E2:E1334,"0349",F2:F1334,"00")</f>
        <v>0</v>
      </c>
      <c r="BI1346" s="387">
        <f>SUMIFS(BI2:BI1334,G2:G1334,"EMAA",E2:E1334,"0349",F2:F1334,"00")</f>
        <v>0</v>
      </c>
      <c r="BJ1346" s="387">
        <f>SUMIFS(BJ2:BJ1334,G2:G1334,"EMAA",E2:E1334,"0349",F2:F1334,"00")</f>
        <v>0</v>
      </c>
      <c r="BK1346" s="387">
        <f>SUMIFS(BK2:BK1334,G2:G1334,"EMAA",E2:E1334,"0349",F2:F1334,"00")</f>
        <v>0</v>
      </c>
      <c r="BL1346" s="387">
        <f>SUMIFS(BL2:BL1334,G2:G1334,"EMAA",E2:E1334,"0349",F2:F1334,"00")</f>
        <v>0</v>
      </c>
      <c r="BM1346" s="387">
        <f>SUMIFS(BM2:BM1334,G2:G1334,"EMAA",E2:E1334,"0349",F2:F1334,"00")</f>
        <v>0</v>
      </c>
      <c r="BN1346" s="387">
        <f>SUMIFS(BN2:BN1334,G2:G1334,"EMAA",E2:E1334,"0349",F2:F1334,"00")</f>
        <v>0</v>
      </c>
      <c r="BO1346" s="387">
        <f>SUMIFS(BO2:BO1334,G2:G1334,"EMAA",E2:E1334,"0349",F2:F1334,"00")</f>
        <v>0</v>
      </c>
      <c r="BP1346" s="387">
        <f>SUMIFS(BP2:BP1334,G2:G1334,"EMAA",E2:E1334,"0349",F2:F1334,"00")</f>
        <v>0</v>
      </c>
      <c r="BQ1346" s="387">
        <f>SUMIFS(BQ2:BQ1334,G2:G1334,"EMAA",E2:E1334,"0349",F2:F1334,"00")</f>
        <v>0</v>
      </c>
      <c r="BR1346" s="387">
        <f>SUMIFS(BR2:BR1334,G2:G1334,"EMAA",E2:E1334,"0349",F2:F1334,"00")</f>
        <v>0</v>
      </c>
      <c r="BS1346" s="387">
        <f>SUMIFS(BS2:BS1334,G2:G1334,"EMAA",E2:E1334,"0349",F2:F1334,"00")</f>
        <v>0</v>
      </c>
      <c r="BT1346" s="387">
        <f>SUMIFS(BT2:BT1334,G2:G1334,"EMAA",E2:E1334,"0349",F2:F1334,"00")</f>
        <v>0</v>
      </c>
      <c r="BU1346" s="387">
        <f>SUMIFS(BU2:BU1334,G2:G1334,"EMAA",E2:E1334,"0349",F2:F1334,"00")</f>
        <v>0</v>
      </c>
      <c r="BV1346" s="387">
        <f>SUMIFS(BV2:BV1334,G2:G1334,"EMAA",E2:E1334,"0349",F2:F1334,"00")</f>
        <v>0</v>
      </c>
      <c r="BW1346" s="387">
        <f>SUMIFS(BW2:BW1334,G2:G1334,"EMAA",E2:E1334,"0349",F2:F1334,"00")</f>
        <v>0</v>
      </c>
      <c r="BX1346" s="387">
        <f>SUMIFS(BX2:BX1334,G2:G1334,"EMAA",E2:E1334,"0349",F2:F1334,"00")</f>
        <v>0</v>
      </c>
      <c r="BY1346" s="387">
        <f>SUMIFS(BY2:BY1334,G2:G1334,"EMAA",E2:E1334,"0349",F2:F1334,"00")</f>
        <v>0</v>
      </c>
      <c r="BZ1346" s="387">
        <f>SUMIFS(BZ2:BZ1334,G2:G1334,"EMAA",E2:E1334,"0349",F2:F1334,"00")</f>
        <v>0</v>
      </c>
      <c r="CA1346" s="387">
        <f>SUMIFS(CA2:CA1334,G2:G1334,"EMAA",E2:E1334,"0349",F2:F1334,"00")</f>
        <v>0</v>
      </c>
      <c r="CB1346" s="387">
        <f>SUMIFS(CB2:CB1334,G2:G1334,"EMAA",E2:E1334,"0349",F2:F1334,"00")</f>
        <v>0</v>
      </c>
      <c r="CC1346" s="387">
        <f>SUMIFS(CC2:CC1334,G2:G1334,"EMAA",E2:E1334,"0349",F2:F1334,"00")</f>
        <v>0</v>
      </c>
      <c r="CD1346" s="387">
        <f>SUMIFS(CD2:CD1334,G2:G1334,"EMAA",E2:E1334,"0349",F2:F1334,"00")</f>
        <v>0</v>
      </c>
      <c r="CE1346" s="387">
        <f>SUMIFS(CE2:CE1334,G2:G1334,"EMAA",E2:E1334,"0349",F2:F1334,"00")</f>
        <v>0</v>
      </c>
      <c r="CF1346" s="387">
        <f>SUMIFS(CF2:CF1334,G2:G1334,"EMAA",E2:E1334,"0349",F2:F1334,"00")</f>
        <v>0</v>
      </c>
      <c r="CG1346" s="387">
        <f>SUMIFS(CG2:CG1334,G2:G1334,"EMAA",E2:E1334,"0349",F2:F1334,"00")</f>
        <v>0</v>
      </c>
      <c r="CH1346" s="387">
        <f>SUMIFS(CH2:CH1334,G2:G1334,"EMAA",E2:E1334,"0349",F2:F1334,"00")</f>
        <v>0</v>
      </c>
      <c r="CI1346" s="387">
        <f>SUMIFS(CI2:CI1334,G2:G1334,"EMAA",E2:E1334,"0349",F2:F1334,"00")</f>
        <v>0</v>
      </c>
      <c r="CJ1346" s="387">
        <f>SUMIFS(CJ2:CJ1334,G2:G1334,"EMAA",E2:E1334,"0349",F2:F1334,"00")</f>
        <v>0</v>
      </c>
      <c r="CK1346" s="387">
        <f>SUMIFS(CK2:CK1334,G2:G1334,"EMAA",E2:E1334,"0349",F2:F1334,"00")</f>
        <v>0</v>
      </c>
      <c r="CL1346" s="387">
        <f>SUMIFS(CL2:CL1334,G2:G1334,"EMAA",E2:E1334,"0349",F2:F1334,"00")</f>
        <v>0</v>
      </c>
      <c r="CM1346" s="387">
        <f>SUMIFS(CM2:CM1334,G2:G1334,"EMAA",E2:E1334,"0349",F2:F1334,"00")</f>
        <v>0</v>
      </c>
    </row>
    <row r="1347" spans="43:91" ht="15.75" thickBot="1" x14ac:dyDescent="0.3">
      <c r="AR1347" t="s">
        <v>2669</v>
      </c>
      <c r="AS1347" s="387">
        <f>SUMIFS(AS2:AS1334,G2:G1334,"EMAA",E2:E1334,"0349",F2:F1334,"31",AT2:AT1334,1)</f>
        <v>0.8</v>
      </c>
      <c r="AT1347" s="387">
        <f>SUMIFS(AS2:AS1334,G2:G1334,"EMAA",E2:E1334,"0349",F2:F1334,"31",AT2:AT1334,3)</f>
        <v>0</v>
      </c>
      <c r="AU1347" s="387">
        <f>SUMIFS(AU2:AU1334,G2:G1334,"EMAA",E2:E1334,"0349",F2:F1334,"31")</f>
        <v>2</v>
      </c>
      <c r="AV1347" s="387">
        <f>SUMIFS(AV2:AV1334,G2:G1334,"EMAA",E2:E1334,"0349",F2:F1334,"31")</f>
        <v>0</v>
      </c>
      <c r="AW1347" s="387">
        <f>SUMIFS(AW2:AW1334,G2:G1334,"EMAA",E2:E1334,"0349",F2:F1334,"31")</f>
        <v>10</v>
      </c>
      <c r="AX1347" s="387">
        <f>SUMIFS(AX2:AX1334,G2:G1334,"EMAA",E2:E1334,"0349",F2:F1334,"31")</f>
        <v>123531.2</v>
      </c>
      <c r="AY1347" s="387">
        <f>SUMIFS(AY2:AY1334,G2:G1334,"EMAA",E2:E1334,"0349",F2:F1334,"31")</f>
        <v>46056.4</v>
      </c>
      <c r="AZ1347" s="387">
        <f>SUMIFS(AZ2:AZ1334,G2:G1334,"EMAA",E2:E1334,"0349",F2:F1334,"31")</f>
        <v>0</v>
      </c>
      <c r="BA1347" s="387">
        <f>SUMIFS(BA2:BA1334,G2:G1334,"EMAA",E2:E1334,"0349",F2:F1334,"31")</f>
        <v>0</v>
      </c>
      <c r="BB1347" s="387">
        <f>SUMIFS(BB2:BB1334,G2:G1334,"EMAA",E2:E1334,"0349",F2:F1334,"31")</f>
        <v>9320</v>
      </c>
      <c r="BC1347" s="387">
        <f>SUMIFS(BC2:BC1334,G2:G1334,"EMAA",E2:E1334,"0349",F2:F1334,"31")</f>
        <v>0</v>
      </c>
      <c r="BD1347" s="387">
        <f>SUMIFS(BD2:BD1334,G2:G1334,"EMAA",E2:E1334,"0349",F2:F1334,"31")</f>
        <v>2855.4967999999999</v>
      </c>
      <c r="BE1347" s="387">
        <f>SUMIFS(BE2:BE1334,G2:G1334,"EMAA",E2:E1334,"0349",F2:F1334,"31")</f>
        <v>667.81780000000003</v>
      </c>
      <c r="BF1347" s="387">
        <f>SUMIFS(BF2:BF1334,G2:G1334,"EMAA",E2:E1334,"0349",F2:F1334,"31")</f>
        <v>5499.1341600000005</v>
      </c>
      <c r="BG1347" s="387">
        <f>SUMIFS(BG2:BG1334,G2:G1334,"EMAA",E2:E1334,"0349",F2:F1334,"31")</f>
        <v>332.06664400000005</v>
      </c>
      <c r="BH1347" s="387">
        <f>SUMIFS(BH2:BH1334,G2:G1334,"EMAA",E2:E1334,"0349",F2:F1334,"31")</f>
        <v>225.67635999999999</v>
      </c>
      <c r="BI1347" s="387">
        <f>SUMIFS(BI2:BI1334,G2:G1334,"EMAA",E2:E1334,"0349",F2:F1334,"31")</f>
        <v>254.92217400000001</v>
      </c>
      <c r="BJ1347" s="387">
        <f>SUMIFS(BJ2:BJ1334,G2:G1334,"EMAA",E2:E1334,"0349",F2:F1334,"31")</f>
        <v>124.35228000000002</v>
      </c>
      <c r="BK1347" s="387">
        <f>SUMIFS(BK2:BK1334,G2:G1334,"EMAA",E2:E1334,"0349",F2:F1334,"31")</f>
        <v>0</v>
      </c>
      <c r="BL1347" s="387">
        <f>SUMIFS(BL2:BL1334,G2:G1334,"EMAA",E2:E1334,"0349",F2:F1334,"31")</f>
        <v>9959.4662180000014</v>
      </c>
      <c r="BM1347" s="387">
        <f>SUMIFS(BM2:BM1334,G2:G1334,"EMAA",E2:E1334,"0349",F2:F1334,"31")</f>
        <v>0</v>
      </c>
      <c r="BN1347" s="387">
        <f>SUMIFS(BN2:BN1334,G2:G1334,"EMAA",E2:E1334,"0349",F2:F1334,"31")</f>
        <v>9320</v>
      </c>
      <c r="BO1347" s="387">
        <f>SUMIFS(BO2:BO1334,G2:G1334,"EMAA",E2:E1334,"0349",F2:F1334,"31")</f>
        <v>0</v>
      </c>
      <c r="BP1347" s="387">
        <f>SUMIFS(BP2:BP1334,G2:G1334,"EMAA",E2:E1334,"0349",F2:F1334,"31")</f>
        <v>2855.4967999999999</v>
      </c>
      <c r="BQ1347" s="387">
        <f>SUMIFS(BQ2:BQ1334,G2:G1334,"EMAA",E2:E1334,"0349",F2:F1334,"31")</f>
        <v>667.81780000000003</v>
      </c>
      <c r="BR1347" s="387">
        <f>SUMIFS(BR2:BR1334,G2:G1334,"EMAA",E2:E1334,"0349",F2:F1334,"31")</f>
        <v>5499.1341600000005</v>
      </c>
      <c r="BS1347" s="387">
        <f>SUMIFS(BS2:BS1334,G2:G1334,"EMAA",E2:E1334,"0349",F2:F1334,"31")</f>
        <v>332.06664400000005</v>
      </c>
      <c r="BT1347" s="387">
        <f>SUMIFS(BT2:BT1334,G2:G1334,"EMAA",E2:E1334,"0349",F2:F1334,"31")</f>
        <v>0</v>
      </c>
      <c r="BU1347" s="387">
        <f>SUMIFS(BU2:BU1334,G2:G1334,"EMAA",E2:E1334,"0349",F2:F1334,"31")</f>
        <v>254.92217400000001</v>
      </c>
      <c r="BV1347" s="387">
        <f>SUMIFS(BV2:BV1334,G2:G1334,"EMAA",E2:E1334,"0349",F2:F1334,"31")</f>
        <v>156.59175999999999</v>
      </c>
      <c r="BW1347" s="387">
        <f>SUMIFS(BW2:BW1334,G2:G1334,"EMAA",E2:E1334,"0349",F2:F1334,"31")</f>
        <v>0</v>
      </c>
      <c r="BX1347" s="387">
        <f>SUMIFS(BX2:BX1334,G2:G1334,"EMAA",E2:E1334,"0349",F2:F1334,"31")</f>
        <v>9766.0293380000021</v>
      </c>
      <c r="BY1347" s="387">
        <f>SUMIFS(BY2:BY1334,G2:G1334,"EMAA",E2:E1334,"0349",F2:F1334,"31")</f>
        <v>0</v>
      </c>
      <c r="BZ1347" s="387">
        <f>SUMIFS(BZ2:BZ1334,G2:G1334,"EMAA",E2:E1334,"0349",F2:F1334,"31")</f>
        <v>0</v>
      </c>
      <c r="CA1347" s="387">
        <f>SUMIFS(CA2:CA1334,G2:G1334,"EMAA",E2:E1334,"0349",F2:F1334,"31")</f>
        <v>0</v>
      </c>
      <c r="CB1347" s="387">
        <f>SUMIFS(CB2:CB1334,G2:G1334,"EMAA",E2:E1334,"0349",F2:F1334,"31")</f>
        <v>0</v>
      </c>
      <c r="CC1347" s="387">
        <f>SUMIFS(CC2:CC1334,G2:G1334,"EMAA",E2:E1334,"0349",F2:F1334,"31")</f>
        <v>0</v>
      </c>
      <c r="CD1347" s="387">
        <f>SUMIFS(CD2:CD1334,G2:G1334,"EMAA",E2:E1334,"0349",F2:F1334,"31")</f>
        <v>0</v>
      </c>
      <c r="CE1347" s="387">
        <f>SUMIFS(CE2:CE1334,G2:G1334,"EMAA",E2:E1334,"0349",F2:F1334,"31")</f>
        <v>0</v>
      </c>
      <c r="CF1347" s="387">
        <f>SUMIFS(CF2:CF1334,G2:G1334,"EMAA",E2:E1334,"0349",F2:F1334,"31")</f>
        <v>-225.67635999999999</v>
      </c>
      <c r="CG1347" s="387">
        <f>SUMIFS(CG2:CG1334,G2:G1334,"EMAA",E2:E1334,"0349",F2:F1334,"31")</f>
        <v>0</v>
      </c>
      <c r="CH1347" s="387">
        <f>SUMIFS(CH2:CH1334,G2:G1334,"EMAA",E2:E1334,"0349",F2:F1334,"31")</f>
        <v>32.239479999999986</v>
      </c>
      <c r="CI1347" s="387">
        <f>SUMIFS(CI2:CI1334,G2:G1334,"EMAA",E2:E1334,"0349",F2:F1334,"31")</f>
        <v>0</v>
      </c>
      <c r="CJ1347" s="387">
        <f>SUMIFS(CJ2:CJ1334,G2:G1334,"EMAA",E2:E1334,"0349",F2:F1334,"31")</f>
        <v>-193.43688</v>
      </c>
      <c r="CK1347" s="387">
        <f>SUMIFS(CK2:CK1334,G2:G1334,"EMAA",E2:E1334,"0349",F2:F1334,"31")</f>
        <v>0</v>
      </c>
      <c r="CL1347" s="387">
        <f>SUMIFS(CL2:CL1334,G2:G1334,"EMAA",E2:E1334,"0349",F2:F1334,"31")</f>
        <v>0</v>
      </c>
      <c r="CM1347" s="387">
        <f>SUMIFS(CM2:CM1334,G2:G1334,"EMAA",E2:E1334,"0349",F2:F1334,"31")</f>
        <v>0</v>
      </c>
    </row>
    <row r="1348" spans="43:91" ht="18.75" x14ac:dyDescent="0.3">
      <c r="AQ1348" s="393" t="s">
        <v>2670</v>
      </c>
      <c r="AS1348" s="394">
        <f t="shared" ref="AS1348:CM1348" si="928">SUM(AS1346:AS1347)</f>
        <v>0.8</v>
      </c>
      <c r="AT1348" s="394">
        <f t="shared" si="928"/>
        <v>0</v>
      </c>
      <c r="AU1348" s="394">
        <f t="shared" si="928"/>
        <v>2</v>
      </c>
      <c r="AV1348" s="394">
        <f t="shared" si="928"/>
        <v>0</v>
      </c>
      <c r="AW1348" s="394">
        <f t="shared" si="928"/>
        <v>10</v>
      </c>
      <c r="AX1348" s="394">
        <f t="shared" si="928"/>
        <v>123531.2</v>
      </c>
      <c r="AY1348" s="394">
        <f t="shared" si="928"/>
        <v>46056.4</v>
      </c>
      <c r="AZ1348" s="394">
        <f t="shared" si="928"/>
        <v>0</v>
      </c>
      <c r="BA1348" s="394">
        <f t="shared" si="928"/>
        <v>0</v>
      </c>
      <c r="BB1348" s="394">
        <f t="shared" si="928"/>
        <v>9320</v>
      </c>
      <c r="BC1348" s="394">
        <f t="shared" si="928"/>
        <v>0</v>
      </c>
      <c r="BD1348" s="394">
        <f t="shared" si="928"/>
        <v>2855.4967999999999</v>
      </c>
      <c r="BE1348" s="394">
        <f t="shared" si="928"/>
        <v>667.81780000000003</v>
      </c>
      <c r="BF1348" s="394">
        <f t="shared" si="928"/>
        <v>5499.1341600000005</v>
      </c>
      <c r="BG1348" s="394">
        <f t="shared" si="928"/>
        <v>332.06664400000005</v>
      </c>
      <c r="BH1348" s="394">
        <f t="shared" si="928"/>
        <v>225.67635999999999</v>
      </c>
      <c r="BI1348" s="394">
        <f t="shared" si="928"/>
        <v>254.92217400000001</v>
      </c>
      <c r="BJ1348" s="394">
        <f t="shared" si="928"/>
        <v>124.35228000000002</v>
      </c>
      <c r="BK1348" s="394">
        <f t="shared" si="928"/>
        <v>0</v>
      </c>
      <c r="BL1348" s="394">
        <f t="shared" si="928"/>
        <v>9959.4662180000014</v>
      </c>
      <c r="BM1348" s="394">
        <f t="shared" si="928"/>
        <v>0</v>
      </c>
      <c r="BN1348" s="394">
        <f t="shared" si="928"/>
        <v>9320</v>
      </c>
      <c r="BO1348" s="394">
        <f t="shared" si="928"/>
        <v>0</v>
      </c>
      <c r="BP1348" s="394">
        <f t="shared" si="928"/>
        <v>2855.4967999999999</v>
      </c>
      <c r="BQ1348" s="394">
        <f t="shared" si="928"/>
        <v>667.81780000000003</v>
      </c>
      <c r="BR1348" s="394">
        <f t="shared" si="928"/>
        <v>5499.1341600000005</v>
      </c>
      <c r="BS1348" s="394">
        <f t="shared" si="928"/>
        <v>332.06664400000005</v>
      </c>
      <c r="BT1348" s="394">
        <f t="shared" si="928"/>
        <v>0</v>
      </c>
      <c r="BU1348" s="394">
        <f t="shared" si="928"/>
        <v>254.92217400000001</v>
      </c>
      <c r="BV1348" s="394">
        <f t="shared" si="928"/>
        <v>156.59175999999999</v>
      </c>
      <c r="BW1348" s="394">
        <f t="shared" si="928"/>
        <v>0</v>
      </c>
      <c r="BX1348" s="394">
        <f t="shared" si="928"/>
        <v>9766.0293380000021</v>
      </c>
      <c r="BY1348" s="394">
        <f t="shared" si="928"/>
        <v>0</v>
      </c>
      <c r="BZ1348" s="394">
        <f t="shared" si="928"/>
        <v>0</v>
      </c>
      <c r="CA1348" s="394">
        <f t="shared" si="928"/>
        <v>0</v>
      </c>
      <c r="CB1348" s="394">
        <f t="shared" si="928"/>
        <v>0</v>
      </c>
      <c r="CC1348" s="394">
        <f t="shared" si="928"/>
        <v>0</v>
      </c>
      <c r="CD1348" s="394">
        <f t="shared" si="928"/>
        <v>0</v>
      </c>
      <c r="CE1348" s="394">
        <f t="shared" si="928"/>
        <v>0</v>
      </c>
      <c r="CF1348" s="394">
        <f t="shared" si="928"/>
        <v>-225.67635999999999</v>
      </c>
      <c r="CG1348" s="394">
        <f t="shared" si="928"/>
        <v>0</v>
      </c>
      <c r="CH1348" s="394">
        <f t="shared" si="928"/>
        <v>32.239479999999986</v>
      </c>
      <c r="CI1348" s="394">
        <f t="shared" si="928"/>
        <v>0</v>
      </c>
      <c r="CJ1348" s="394">
        <f t="shared" si="928"/>
        <v>-193.43688</v>
      </c>
      <c r="CK1348" s="394">
        <f t="shared" si="928"/>
        <v>0</v>
      </c>
      <c r="CL1348" s="394">
        <f t="shared" si="928"/>
        <v>0</v>
      </c>
      <c r="CM1348" s="394">
        <f t="shared" si="928"/>
        <v>0</v>
      </c>
    </row>
    <row r="1349" spans="43:91" ht="15.75" thickBot="1" x14ac:dyDescent="0.3">
      <c r="AR1349" t="s">
        <v>2675</v>
      </c>
      <c r="AS1349" s="387">
        <f>SUMIFS(AS2:AS1334,G2:G1334,"EMAD",E2:E1334,"0001",F2:F1334,"00",AT2:AT1334,1)</f>
        <v>0</v>
      </c>
      <c r="AT1349" s="387">
        <f>SUMIFS(AS2:AS1334,G2:G1334,"EMAD",E2:E1334,"0001",F2:F1334,"00",AT2:AT1334,3)</f>
        <v>0</v>
      </c>
      <c r="AU1349" s="387">
        <f>SUMIFS(AU2:AU1334,G2:G1334,"EMAD",E2:E1334,"0001",F2:F1334,"00")</f>
        <v>0</v>
      </c>
      <c r="AV1349" s="387">
        <f>SUMIFS(AV2:AV1334,G2:G1334,"EMAD",E2:E1334,"0001",F2:F1334,"00")</f>
        <v>0</v>
      </c>
      <c r="AW1349" s="387">
        <f>SUMIFS(AW2:AW1334,G2:G1334,"EMAD",E2:E1334,"0001",F2:F1334,"00")</f>
        <v>40</v>
      </c>
      <c r="AX1349" s="387">
        <f>SUMIFS(AX2:AX1334,G2:G1334,"EMAD",E2:E1334,"0001",F2:F1334,"00")</f>
        <v>0</v>
      </c>
      <c r="AY1349" s="387">
        <f>SUMIFS(AY2:AY1334,G2:G1334,"EMAD",E2:E1334,"0001",F2:F1334,"00")</f>
        <v>0</v>
      </c>
      <c r="AZ1349" s="387">
        <f>SUMIFS(AZ2:AZ1334,G2:G1334,"EMAD",E2:E1334,"0001",F2:F1334,"00")</f>
        <v>0</v>
      </c>
      <c r="BA1349" s="387">
        <f>SUMIFS(BA2:BA1334,G2:G1334,"EMAD",E2:E1334,"0001",F2:F1334,"00")</f>
        <v>0</v>
      </c>
      <c r="BB1349" s="387">
        <f>SUMIFS(BB2:BB1334,G2:G1334,"EMAD",E2:E1334,"0001",F2:F1334,"00")</f>
        <v>0</v>
      </c>
      <c r="BC1349" s="387">
        <f>SUMIFS(BC2:BC1334,G2:G1334,"EMAD",E2:E1334,"0001",F2:F1334,"00")</f>
        <v>0</v>
      </c>
      <c r="BD1349" s="387">
        <f>SUMIFS(BD2:BD1334,G2:G1334,"EMAD",E2:E1334,"0001",F2:F1334,"00")</f>
        <v>0</v>
      </c>
      <c r="BE1349" s="387">
        <f>SUMIFS(BE2:BE1334,G2:G1334,"EMAD",E2:E1334,"0001",F2:F1334,"00")</f>
        <v>0</v>
      </c>
      <c r="BF1349" s="387">
        <f>SUMIFS(BF2:BF1334,G2:G1334,"EMAD",E2:E1334,"0001",F2:F1334,"00")</f>
        <v>0</v>
      </c>
      <c r="BG1349" s="387">
        <f>SUMIFS(BG2:BG1334,G2:G1334,"EMAD",E2:E1334,"0001",F2:F1334,"00")</f>
        <v>0</v>
      </c>
      <c r="BH1349" s="387">
        <f>SUMIFS(BH2:BH1334,G2:G1334,"EMAD",E2:E1334,"0001",F2:F1334,"00")</f>
        <v>0</v>
      </c>
      <c r="BI1349" s="387">
        <f>SUMIFS(BI2:BI1334,G2:G1334,"EMAD",E2:E1334,"0001",F2:F1334,"00")</f>
        <v>0</v>
      </c>
      <c r="BJ1349" s="387">
        <f>SUMIFS(BJ2:BJ1334,G2:G1334,"EMAD",E2:E1334,"0001",F2:F1334,"00")</f>
        <v>0</v>
      </c>
      <c r="BK1349" s="387">
        <f>SUMIFS(BK2:BK1334,G2:G1334,"EMAD",E2:E1334,"0001",F2:F1334,"00")</f>
        <v>0</v>
      </c>
      <c r="BL1349" s="387">
        <f>SUMIFS(BL2:BL1334,G2:G1334,"EMAD",E2:E1334,"0001",F2:F1334,"00")</f>
        <v>0</v>
      </c>
      <c r="BM1349" s="387">
        <f>SUMIFS(BM2:BM1334,G2:G1334,"EMAD",E2:E1334,"0001",F2:F1334,"00")</f>
        <v>0</v>
      </c>
      <c r="BN1349" s="387">
        <f>SUMIFS(BN2:BN1334,G2:G1334,"EMAD",E2:E1334,"0001",F2:F1334,"00")</f>
        <v>0</v>
      </c>
      <c r="BO1349" s="387">
        <f>SUMIFS(BO2:BO1334,G2:G1334,"EMAD",E2:E1334,"0001",F2:F1334,"00")</f>
        <v>0</v>
      </c>
      <c r="BP1349" s="387">
        <f>SUMIFS(BP2:BP1334,G2:G1334,"EMAD",E2:E1334,"0001",F2:F1334,"00")</f>
        <v>0</v>
      </c>
      <c r="BQ1349" s="387">
        <f>SUMIFS(BQ2:BQ1334,G2:G1334,"EMAD",E2:E1334,"0001",F2:F1334,"00")</f>
        <v>0</v>
      </c>
      <c r="BR1349" s="387">
        <f>SUMIFS(BR2:BR1334,G2:G1334,"EMAD",E2:E1334,"0001",F2:F1334,"00")</f>
        <v>0</v>
      </c>
      <c r="BS1349" s="387">
        <f>SUMIFS(BS2:BS1334,G2:G1334,"EMAD",E2:E1334,"0001",F2:F1334,"00")</f>
        <v>0</v>
      </c>
      <c r="BT1349" s="387">
        <f>SUMIFS(BT2:BT1334,G2:G1334,"EMAD",E2:E1334,"0001",F2:F1334,"00")</f>
        <v>0</v>
      </c>
      <c r="BU1349" s="387">
        <f>SUMIFS(BU2:BU1334,G2:G1334,"EMAD",E2:E1334,"0001",F2:F1334,"00")</f>
        <v>0</v>
      </c>
      <c r="BV1349" s="387">
        <f>SUMIFS(BV2:BV1334,G2:G1334,"EMAD",E2:E1334,"0001",F2:F1334,"00")</f>
        <v>0</v>
      </c>
      <c r="BW1349" s="387">
        <f>SUMIFS(BW2:BW1334,G2:G1334,"EMAD",E2:E1334,"0001",F2:F1334,"00")</f>
        <v>0</v>
      </c>
      <c r="BX1349" s="387">
        <f>SUMIFS(BX2:BX1334,G2:G1334,"EMAD",E2:E1334,"0001",F2:F1334,"00")</f>
        <v>0</v>
      </c>
      <c r="BY1349" s="387">
        <f>SUMIFS(BY2:BY1334,G2:G1334,"EMAD",E2:E1334,"0001",F2:F1334,"00")</f>
        <v>0</v>
      </c>
      <c r="BZ1349" s="387">
        <f>SUMIFS(BZ2:BZ1334,G2:G1334,"EMAD",E2:E1334,"0001",F2:F1334,"00")</f>
        <v>0</v>
      </c>
      <c r="CA1349" s="387">
        <f>SUMIFS(CA2:CA1334,G2:G1334,"EMAD",E2:E1334,"0001",F2:F1334,"00")</f>
        <v>0</v>
      </c>
      <c r="CB1349" s="387">
        <f>SUMIFS(CB2:CB1334,G2:G1334,"EMAD",E2:E1334,"0001",F2:F1334,"00")</f>
        <v>0</v>
      </c>
      <c r="CC1349" s="387">
        <f>SUMIFS(CC2:CC1334,G2:G1334,"EMAD",E2:E1334,"0001",F2:F1334,"00")</f>
        <v>0</v>
      </c>
      <c r="CD1349" s="387">
        <f>SUMIFS(CD2:CD1334,G2:G1334,"EMAD",E2:E1334,"0001",F2:F1334,"00")</f>
        <v>0</v>
      </c>
      <c r="CE1349" s="387">
        <f>SUMIFS(CE2:CE1334,G2:G1334,"EMAD",E2:E1334,"0001",F2:F1334,"00")</f>
        <v>0</v>
      </c>
      <c r="CF1349" s="387">
        <f>SUMIFS(CF2:CF1334,G2:G1334,"EMAD",E2:E1334,"0001",F2:F1334,"00")</f>
        <v>0</v>
      </c>
      <c r="CG1349" s="387">
        <f>SUMIFS(CG2:CG1334,G2:G1334,"EMAD",E2:E1334,"0001",F2:F1334,"00")</f>
        <v>0</v>
      </c>
      <c r="CH1349" s="387">
        <f>SUMIFS(CH2:CH1334,G2:G1334,"EMAD",E2:E1334,"0001",F2:F1334,"00")</f>
        <v>0</v>
      </c>
      <c r="CI1349" s="387">
        <f>SUMIFS(CI2:CI1334,G2:G1334,"EMAD",E2:E1334,"0001",F2:F1334,"00")</f>
        <v>0</v>
      </c>
      <c r="CJ1349" s="387">
        <f>SUMIFS(CJ2:CJ1334,G2:G1334,"EMAD",E2:E1334,"0001",F2:F1334,"00")</f>
        <v>0</v>
      </c>
      <c r="CK1349" s="387">
        <f>SUMIFS(CK2:CK1334,G2:G1334,"EMAD",E2:E1334,"0001",F2:F1334,"00")</f>
        <v>0</v>
      </c>
      <c r="CL1349" s="387">
        <f>SUMIFS(CL2:CL1334,G2:G1334,"EMAD",E2:E1334,"0001",F2:F1334,"00")</f>
        <v>0</v>
      </c>
      <c r="CM1349" s="387">
        <f>SUMIFS(CM2:CM1334,G2:G1334,"EMAD",E2:E1334,"0001",F2:F1334,"00")</f>
        <v>0</v>
      </c>
    </row>
    <row r="1350" spans="43:91" ht="18.75" x14ac:dyDescent="0.3">
      <c r="AQ1350" s="393" t="s">
        <v>2676</v>
      </c>
      <c r="AS1350" s="394">
        <f t="shared" ref="AS1350:CM1350" si="929">SUM(AS1349:AS1349)</f>
        <v>0</v>
      </c>
      <c r="AT1350" s="394">
        <f t="shared" si="929"/>
        <v>0</v>
      </c>
      <c r="AU1350" s="394">
        <f t="shared" si="929"/>
        <v>0</v>
      </c>
      <c r="AV1350" s="394">
        <f t="shared" si="929"/>
        <v>0</v>
      </c>
      <c r="AW1350" s="394">
        <f t="shared" si="929"/>
        <v>40</v>
      </c>
      <c r="AX1350" s="394">
        <f t="shared" si="929"/>
        <v>0</v>
      </c>
      <c r="AY1350" s="394">
        <f t="shared" si="929"/>
        <v>0</v>
      </c>
      <c r="AZ1350" s="394">
        <f t="shared" si="929"/>
        <v>0</v>
      </c>
      <c r="BA1350" s="394">
        <f t="shared" si="929"/>
        <v>0</v>
      </c>
      <c r="BB1350" s="394">
        <f t="shared" si="929"/>
        <v>0</v>
      </c>
      <c r="BC1350" s="394">
        <f t="shared" si="929"/>
        <v>0</v>
      </c>
      <c r="BD1350" s="394">
        <f t="shared" si="929"/>
        <v>0</v>
      </c>
      <c r="BE1350" s="394">
        <f t="shared" si="929"/>
        <v>0</v>
      </c>
      <c r="BF1350" s="394">
        <f t="shared" si="929"/>
        <v>0</v>
      </c>
      <c r="BG1350" s="394">
        <f t="shared" si="929"/>
        <v>0</v>
      </c>
      <c r="BH1350" s="394">
        <f t="shared" si="929"/>
        <v>0</v>
      </c>
      <c r="BI1350" s="394">
        <f t="shared" si="929"/>
        <v>0</v>
      </c>
      <c r="BJ1350" s="394">
        <f t="shared" si="929"/>
        <v>0</v>
      </c>
      <c r="BK1350" s="394">
        <f t="shared" si="929"/>
        <v>0</v>
      </c>
      <c r="BL1350" s="394">
        <f t="shared" si="929"/>
        <v>0</v>
      </c>
      <c r="BM1350" s="394">
        <f t="shared" si="929"/>
        <v>0</v>
      </c>
      <c r="BN1350" s="394">
        <f t="shared" si="929"/>
        <v>0</v>
      </c>
      <c r="BO1350" s="394">
        <f t="shared" si="929"/>
        <v>0</v>
      </c>
      <c r="BP1350" s="394">
        <f t="shared" si="929"/>
        <v>0</v>
      </c>
      <c r="BQ1350" s="394">
        <f t="shared" si="929"/>
        <v>0</v>
      </c>
      <c r="BR1350" s="394">
        <f t="shared" si="929"/>
        <v>0</v>
      </c>
      <c r="BS1350" s="394">
        <f t="shared" si="929"/>
        <v>0</v>
      </c>
      <c r="BT1350" s="394">
        <f t="shared" si="929"/>
        <v>0</v>
      </c>
      <c r="BU1350" s="394">
        <f t="shared" si="929"/>
        <v>0</v>
      </c>
      <c r="BV1350" s="394">
        <f t="shared" si="929"/>
        <v>0</v>
      </c>
      <c r="BW1350" s="394">
        <f t="shared" si="929"/>
        <v>0</v>
      </c>
      <c r="BX1350" s="394">
        <f t="shared" si="929"/>
        <v>0</v>
      </c>
      <c r="BY1350" s="394">
        <f t="shared" si="929"/>
        <v>0</v>
      </c>
      <c r="BZ1350" s="394">
        <f t="shared" si="929"/>
        <v>0</v>
      </c>
      <c r="CA1350" s="394">
        <f t="shared" si="929"/>
        <v>0</v>
      </c>
      <c r="CB1350" s="394">
        <f t="shared" si="929"/>
        <v>0</v>
      </c>
      <c r="CC1350" s="394">
        <f t="shared" si="929"/>
        <v>0</v>
      </c>
      <c r="CD1350" s="394">
        <f t="shared" si="929"/>
        <v>0</v>
      </c>
      <c r="CE1350" s="394">
        <f t="shared" si="929"/>
        <v>0</v>
      </c>
      <c r="CF1350" s="394">
        <f t="shared" si="929"/>
        <v>0</v>
      </c>
      <c r="CG1350" s="394">
        <f t="shared" si="929"/>
        <v>0</v>
      </c>
      <c r="CH1350" s="394">
        <f t="shared" si="929"/>
        <v>0</v>
      </c>
      <c r="CI1350" s="394">
        <f t="shared" si="929"/>
        <v>0</v>
      </c>
      <c r="CJ1350" s="394">
        <f t="shared" si="929"/>
        <v>0</v>
      </c>
      <c r="CK1350" s="394">
        <f t="shared" si="929"/>
        <v>0</v>
      </c>
      <c r="CL1350" s="394">
        <f t="shared" si="929"/>
        <v>0</v>
      </c>
      <c r="CM1350" s="394">
        <f t="shared" si="929"/>
        <v>0</v>
      </c>
    </row>
    <row r="1351" spans="43:91" ht="15.75" thickBot="1" x14ac:dyDescent="0.3">
      <c r="AR1351" t="s">
        <v>2677</v>
      </c>
      <c r="AS1351" s="387">
        <f>SUMIFS(AS2:AS1334,G2:G1334,"EMAJ",E2:E1334,"0302",F2:F1334,"00",AT2:AT1334,1)</f>
        <v>0</v>
      </c>
      <c r="AT1351" s="387">
        <f>SUMIFS(AS2:AS1334,G2:G1334,"EMAJ",E2:E1334,"0302",F2:F1334,"00",AT2:AT1334,3)</f>
        <v>0</v>
      </c>
      <c r="AU1351" s="387">
        <f>SUMIFS(AU2:AU1334,G2:G1334,"EMAJ",E2:E1334,"0302",F2:F1334,"00")</f>
        <v>0</v>
      </c>
      <c r="AV1351" s="387">
        <f>SUMIFS(AV2:AV1334,G2:G1334,"EMAJ",E2:E1334,"0302",F2:F1334,"00")</f>
        <v>0</v>
      </c>
      <c r="AW1351" s="387">
        <f>SUMIFS(AW2:AW1334,G2:G1334,"EMAJ",E2:E1334,"0302",F2:F1334,"00")</f>
        <v>6</v>
      </c>
      <c r="AX1351" s="387">
        <f>SUMIFS(AX2:AX1334,G2:G1334,"EMAJ",E2:E1334,"0302",F2:F1334,"00")</f>
        <v>0</v>
      </c>
      <c r="AY1351" s="387">
        <f>SUMIFS(AY2:AY1334,G2:G1334,"EMAJ",E2:E1334,"0302",F2:F1334,"00")</f>
        <v>0</v>
      </c>
      <c r="AZ1351" s="387">
        <f>SUMIFS(AZ2:AZ1334,G2:G1334,"EMAJ",E2:E1334,"0302",F2:F1334,"00")</f>
        <v>0</v>
      </c>
      <c r="BA1351" s="387">
        <f>SUMIFS(BA2:BA1334,G2:G1334,"EMAJ",E2:E1334,"0302",F2:F1334,"00")</f>
        <v>0</v>
      </c>
      <c r="BB1351" s="387">
        <f>SUMIFS(BB2:BB1334,G2:G1334,"EMAJ",E2:E1334,"0302",F2:F1334,"00")</f>
        <v>0</v>
      </c>
      <c r="BC1351" s="387">
        <f>SUMIFS(BC2:BC1334,G2:G1334,"EMAJ",E2:E1334,"0302",F2:F1334,"00")</f>
        <v>0</v>
      </c>
      <c r="BD1351" s="387">
        <f>SUMIFS(BD2:BD1334,G2:G1334,"EMAJ",E2:E1334,"0302",F2:F1334,"00")</f>
        <v>0</v>
      </c>
      <c r="BE1351" s="387">
        <f>SUMIFS(BE2:BE1334,G2:G1334,"EMAJ",E2:E1334,"0302",F2:F1334,"00")</f>
        <v>0</v>
      </c>
      <c r="BF1351" s="387">
        <f>SUMIFS(BF2:BF1334,G2:G1334,"EMAJ",E2:E1334,"0302",F2:F1334,"00")</f>
        <v>0</v>
      </c>
      <c r="BG1351" s="387">
        <f>SUMIFS(BG2:BG1334,G2:G1334,"EMAJ",E2:E1334,"0302",F2:F1334,"00")</f>
        <v>0</v>
      </c>
      <c r="BH1351" s="387">
        <f>SUMIFS(BH2:BH1334,G2:G1334,"EMAJ",E2:E1334,"0302",F2:F1334,"00")</f>
        <v>0</v>
      </c>
      <c r="BI1351" s="387">
        <f>SUMIFS(BI2:BI1334,G2:G1334,"EMAJ",E2:E1334,"0302",F2:F1334,"00")</f>
        <v>0</v>
      </c>
      <c r="BJ1351" s="387">
        <f>SUMIFS(BJ2:BJ1334,G2:G1334,"EMAJ",E2:E1334,"0302",F2:F1334,"00")</f>
        <v>0</v>
      </c>
      <c r="BK1351" s="387">
        <f>SUMIFS(BK2:BK1334,G2:G1334,"EMAJ",E2:E1334,"0302",F2:F1334,"00")</f>
        <v>0</v>
      </c>
      <c r="BL1351" s="387">
        <f>SUMIFS(BL2:BL1334,G2:G1334,"EMAJ",E2:E1334,"0302",F2:F1334,"00")</f>
        <v>0</v>
      </c>
      <c r="BM1351" s="387">
        <f>SUMIFS(BM2:BM1334,G2:G1334,"EMAJ",E2:E1334,"0302",F2:F1334,"00")</f>
        <v>0</v>
      </c>
      <c r="BN1351" s="387">
        <f>SUMIFS(BN2:BN1334,G2:G1334,"EMAJ",E2:E1334,"0302",F2:F1334,"00")</f>
        <v>0</v>
      </c>
      <c r="BO1351" s="387">
        <f>SUMIFS(BO2:BO1334,G2:G1334,"EMAJ",E2:E1334,"0302",F2:F1334,"00")</f>
        <v>0</v>
      </c>
      <c r="BP1351" s="387">
        <f>SUMIFS(BP2:BP1334,G2:G1334,"EMAJ",E2:E1334,"0302",F2:F1334,"00")</f>
        <v>0</v>
      </c>
      <c r="BQ1351" s="387">
        <f>SUMIFS(BQ2:BQ1334,G2:G1334,"EMAJ",E2:E1334,"0302",F2:F1334,"00")</f>
        <v>0</v>
      </c>
      <c r="BR1351" s="387">
        <f>SUMIFS(BR2:BR1334,G2:G1334,"EMAJ",E2:E1334,"0302",F2:F1334,"00")</f>
        <v>0</v>
      </c>
      <c r="BS1351" s="387">
        <f>SUMIFS(BS2:BS1334,G2:G1334,"EMAJ",E2:E1334,"0302",F2:F1334,"00")</f>
        <v>0</v>
      </c>
      <c r="BT1351" s="387">
        <f>SUMIFS(BT2:BT1334,G2:G1334,"EMAJ",E2:E1334,"0302",F2:F1334,"00")</f>
        <v>0</v>
      </c>
      <c r="BU1351" s="387">
        <f>SUMIFS(BU2:BU1334,G2:G1334,"EMAJ",E2:E1334,"0302",F2:F1334,"00")</f>
        <v>0</v>
      </c>
      <c r="BV1351" s="387">
        <f>SUMIFS(BV2:BV1334,G2:G1334,"EMAJ",E2:E1334,"0302",F2:F1334,"00")</f>
        <v>0</v>
      </c>
      <c r="BW1351" s="387">
        <f>SUMIFS(BW2:BW1334,G2:G1334,"EMAJ",E2:E1334,"0302",F2:F1334,"00")</f>
        <v>0</v>
      </c>
      <c r="BX1351" s="387">
        <f>SUMIFS(BX2:BX1334,G2:G1334,"EMAJ",E2:E1334,"0302",F2:F1334,"00")</f>
        <v>0</v>
      </c>
      <c r="BY1351" s="387">
        <f>SUMIFS(BY2:BY1334,G2:G1334,"EMAJ",E2:E1334,"0302",F2:F1334,"00")</f>
        <v>0</v>
      </c>
      <c r="BZ1351" s="387">
        <f>SUMIFS(BZ2:BZ1334,G2:G1334,"EMAJ",E2:E1334,"0302",F2:F1334,"00")</f>
        <v>0</v>
      </c>
      <c r="CA1351" s="387">
        <f>SUMIFS(CA2:CA1334,G2:G1334,"EMAJ",E2:E1334,"0302",F2:F1334,"00")</f>
        <v>0</v>
      </c>
      <c r="CB1351" s="387">
        <f>SUMIFS(CB2:CB1334,G2:G1334,"EMAJ",E2:E1334,"0302",F2:F1334,"00")</f>
        <v>0</v>
      </c>
      <c r="CC1351" s="387">
        <f>SUMIFS(CC2:CC1334,G2:G1334,"EMAJ",E2:E1334,"0302",F2:F1334,"00")</f>
        <v>0</v>
      </c>
      <c r="CD1351" s="387">
        <f>SUMIFS(CD2:CD1334,G2:G1334,"EMAJ",E2:E1334,"0302",F2:F1334,"00")</f>
        <v>0</v>
      </c>
      <c r="CE1351" s="387">
        <f>SUMIFS(CE2:CE1334,G2:G1334,"EMAJ",E2:E1334,"0302",F2:F1334,"00")</f>
        <v>0</v>
      </c>
      <c r="CF1351" s="387">
        <f>SUMIFS(CF2:CF1334,G2:G1334,"EMAJ",E2:E1334,"0302",F2:F1334,"00")</f>
        <v>0</v>
      </c>
      <c r="CG1351" s="387">
        <f>SUMIFS(CG2:CG1334,G2:G1334,"EMAJ",E2:E1334,"0302",F2:F1334,"00")</f>
        <v>0</v>
      </c>
      <c r="CH1351" s="387">
        <f>SUMIFS(CH2:CH1334,G2:G1334,"EMAJ",E2:E1334,"0302",F2:F1334,"00")</f>
        <v>0</v>
      </c>
      <c r="CI1351" s="387">
        <f>SUMIFS(CI2:CI1334,G2:G1334,"EMAJ",E2:E1334,"0302",F2:F1334,"00")</f>
        <v>0</v>
      </c>
      <c r="CJ1351" s="387">
        <f>SUMIFS(CJ2:CJ1334,G2:G1334,"EMAJ",E2:E1334,"0302",F2:F1334,"00")</f>
        <v>0</v>
      </c>
      <c r="CK1351" s="387">
        <f>SUMIFS(CK2:CK1334,G2:G1334,"EMAJ",E2:E1334,"0302",F2:F1334,"00")</f>
        <v>0</v>
      </c>
      <c r="CL1351" s="387">
        <f>SUMIFS(CL2:CL1334,G2:G1334,"EMAJ",E2:E1334,"0302",F2:F1334,"00")</f>
        <v>0</v>
      </c>
      <c r="CM1351" s="387">
        <f>SUMIFS(CM2:CM1334,G2:G1334,"EMAJ",E2:E1334,"0302",F2:F1334,"00")</f>
        <v>0</v>
      </c>
    </row>
    <row r="1352" spans="43:91" ht="18.75" x14ac:dyDescent="0.3">
      <c r="AQ1352" s="393" t="s">
        <v>2678</v>
      </c>
      <c r="AS1352" s="394">
        <f t="shared" ref="AS1352:CM1352" si="930">SUM(AS1351:AS1351)</f>
        <v>0</v>
      </c>
      <c r="AT1352" s="394">
        <f t="shared" si="930"/>
        <v>0</v>
      </c>
      <c r="AU1352" s="394">
        <f t="shared" si="930"/>
        <v>0</v>
      </c>
      <c r="AV1352" s="394">
        <f t="shared" si="930"/>
        <v>0</v>
      </c>
      <c r="AW1352" s="394">
        <f t="shared" si="930"/>
        <v>6</v>
      </c>
      <c r="AX1352" s="394">
        <f t="shared" si="930"/>
        <v>0</v>
      </c>
      <c r="AY1352" s="394">
        <f t="shared" si="930"/>
        <v>0</v>
      </c>
      <c r="AZ1352" s="394">
        <f t="shared" si="930"/>
        <v>0</v>
      </c>
      <c r="BA1352" s="394">
        <f t="shared" si="930"/>
        <v>0</v>
      </c>
      <c r="BB1352" s="394">
        <f t="shared" si="930"/>
        <v>0</v>
      </c>
      <c r="BC1352" s="394">
        <f t="shared" si="930"/>
        <v>0</v>
      </c>
      <c r="BD1352" s="394">
        <f t="shared" si="930"/>
        <v>0</v>
      </c>
      <c r="BE1352" s="394">
        <f t="shared" si="930"/>
        <v>0</v>
      </c>
      <c r="BF1352" s="394">
        <f t="shared" si="930"/>
        <v>0</v>
      </c>
      <c r="BG1352" s="394">
        <f t="shared" si="930"/>
        <v>0</v>
      </c>
      <c r="BH1352" s="394">
        <f t="shared" si="930"/>
        <v>0</v>
      </c>
      <c r="BI1352" s="394">
        <f t="shared" si="930"/>
        <v>0</v>
      </c>
      <c r="BJ1352" s="394">
        <f t="shared" si="930"/>
        <v>0</v>
      </c>
      <c r="BK1352" s="394">
        <f t="shared" si="930"/>
        <v>0</v>
      </c>
      <c r="BL1352" s="394">
        <f t="shared" si="930"/>
        <v>0</v>
      </c>
      <c r="BM1352" s="394">
        <f t="shared" si="930"/>
        <v>0</v>
      </c>
      <c r="BN1352" s="394">
        <f t="shared" si="930"/>
        <v>0</v>
      </c>
      <c r="BO1352" s="394">
        <f t="shared" si="930"/>
        <v>0</v>
      </c>
      <c r="BP1352" s="394">
        <f t="shared" si="930"/>
        <v>0</v>
      </c>
      <c r="BQ1352" s="394">
        <f t="shared" si="930"/>
        <v>0</v>
      </c>
      <c r="BR1352" s="394">
        <f t="shared" si="930"/>
        <v>0</v>
      </c>
      <c r="BS1352" s="394">
        <f t="shared" si="930"/>
        <v>0</v>
      </c>
      <c r="BT1352" s="394">
        <f t="shared" si="930"/>
        <v>0</v>
      </c>
      <c r="BU1352" s="394">
        <f t="shared" si="930"/>
        <v>0</v>
      </c>
      <c r="BV1352" s="394">
        <f t="shared" si="930"/>
        <v>0</v>
      </c>
      <c r="BW1352" s="394">
        <f t="shared" si="930"/>
        <v>0</v>
      </c>
      <c r="BX1352" s="394">
        <f t="shared" si="930"/>
        <v>0</v>
      </c>
      <c r="BY1352" s="394">
        <f t="shared" si="930"/>
        <v>0</v>
      </c>
      <c r="BZ1352" s="394">
        <f t="shared" si="930"/>
        <v>0</v>
      </c>
      <c r="CA1352" s="394">
        <f t="shared" si="930"/>
        <v>0</v>
      </c>
      <c r="CB1352" s="394">
        <f t="shared" si="930"/>
        <v>0</v>
      </c>
      <c r="CC1352" s="394">
        <f t="shared" si="930"/>
        <v>0</v>
      </c>
      <c r="CD1352" s="394">
        <f t="shared" si="930"/>
        <v>0</v>
      </c>
      <c r="CE1352" s="394">
        <f t="shared" si="930"/>
        <v>0</v>
      </c>
      <c r="CF1352" s="394">
        <f t="shared" si="930"/>
        <v>0</v>
      </c>
      <c r="CG1352" s="394">
        <f t="shared" si="930"/>
        <v>0</v>
      </c>
      <c r="CH1352" s="394">
        <f t="shared" si="930"/>
        <v>0</v>
      </c>
      <c r="CI1352" s="394">
        <f t="shared" si="930"/>
        <v>0</v>
      </c>
      <c r="CJ1352" s="394">
        <f t="shared" si="930"/>
        <v>0</v>
      </c>
      <c r="CK1352" s="394">
        <f t="shared" si="930"/>
        <v>0</v>
      </c>
      <c r="CL1352" s="394">
        <f t="shared" si="930"/>
        <v>0</v>
      </c>
      <c r="CM1352" s="394">
        <f t="shared" si="930"/>
        <v>0</v>
      </c>
    </row>
    <row r="1353" spans="43:91" ht="15.75" thickBot="1" x14ac:dyDescent="0.3">
      <c r="AR1353" t="s">
        <v>2679</v>
      </c>
      <c r="AS1353" s="387">
        <f>SUMIFS(AS2:AS1334,G2:G1334,"EMAJ",E2:E1334,"0348",F2:F1334,"31",AT2:AT1334,1)</f>
        <v>0</v>
      </c>
      <c r="AT1353" s="387">
        <f>SUMIFS(AS2:AS1334,G2:G1334,"EMAJ",E2:E1334,"0348",F2:F1334,"31",AT2:AT1334,3)</f>
        <v>0</v>
      </c>
      <c r="AU1353" s="387">
        <f>SUMIFS(AU2:AU1334,G2:G1334,"EMAJ",E2:E1334,"0348",F2:F1334,"31")</f>
        <v>0</v>
      </c>
      <c r="AV1353" s="387">
        <f>SUMIFS(AV2:AV1334,G2:G1334,"EMAJ",E2:E1334,"0348",F2:F1334,"31")</f>
        <v>0</v>
      </c>
      <c r="AW1353" s="387">
        <f>SUMIFS(AW2:AW1334,G2:G1334,"EMAJ",E2:E1334,"0348",F2:F1334,"31")</f>
        <v>36</v>
      </c>
      <c r="AX1353" s="387">
        <f>SUMIFS(AX2:AX1334,G2:G1334,"EMAJ",E2:E1334,"0348",F2:F1334,"31")</f>
        <v>0</v>
      </c>
      <c r="AY1353" s="387">
        <f>SUMIFS(AY2:AY1334,G2:G1334,"EMAJ",E2:E1334,"0348",F2:F1334,"31")</f>
        <v>0</v>
      </c>
      <c r="AZ1353" s="387">
        <f>SUMIFS(AZ2:AZ1334,G2:G1334,"EMAJ",E2:E1334,"0348",F2:F1334,"31")</f>
        <v>0</v>
      </c>
      <c r="BA1353" s="387">
        <f>SUMIFS(BA2:BA1334,G2:G1334,"EMAJ",E2:E1334,"0348",F2:F1334,"31")</f>
        <v>0</v>
      </c>
      <c r="BB1353" s="387">
        <f>SUMIFS(BB2:BB1334,G2:G1334,"EMAJ",E2:E1334,"0348",F2:F1334,"31")</f>
        <v>0</v>
      </c>
      <c r="BC1353" s="387">
        <f>SUMIFS(BC2:BC1334,G2:G1334,"EMAJ",E2:E1334,"0348",F2:F1334,"31")</f>
        <v>0</v>
      </c>
      <c r="BD1353" s="387">
        <f>SUMIFS(BD2:BD1334,G2:G1334,"EMAJ",E2:E1334,"0348",F2:F1334,"31")</f>
        <v>0</v>
      </c>
      <c r="BE1353" s="387">
        <f>SUMIFS(BE2:BE1334,G2:G1334,"EMAJ",E2:E1334,"0348",F2:F1334,"31")</f>
        <v>0</v>
      </c>
      <c r="BF1353" s="387">
        <f>SUMIFS(BF2:BF1334,G2:G1334,"EMAJ",E2:E1334,"0348",F2:F1334,"31")</f>
        <v>0</v>
      </c>
      <c r="BG1353" s="387">
        <f>SUMIFS(BG2:BG1334,G2:G1334,"EMAJ",E2:E1334,"0348",F2:F1334,"31")</f>
        <v>0</v>
      </c>
      <c r="BH1353" s="387">
        <f>SUMIFS(BH2:BH1334,G2:G1334,"EMAJ",E2:E1334,"0348",F2:F1334,"31")</f>
        <v>0</v>
      </c>
      <c r="BI1353" s="387">
        <f>SUMIFS(BI2:BI1334,G2:G1334,"EMAJ",E2:E1334,"0348",F2:F1334,"31")</f>
        <v>0</v>
      </c>
      <c r="BJ1353" s="387">
        <f>SUMIFS(BJ2:BJ1334,G2:G1334,"EMAJ",E2:E1334,"0348",F2:F1334,"31")</f>
        <v>0</v>
      </c>
      <c r="BK1353" s="387">
        <f>SUMIFS(BK2:BK1334,G2:G1334,"EMAJ",E2:E1334,"0348",F2:F1334,"31")</f>
        <v>0</v>
      </c>
      <c r="BL1353" s="387">
        <f>SUMIFS(BL2:BL1334,G2:G1334,"EMAJ",E2:E1334,"0348",F2:F1334,"31")</f>
        <v>0</v>
      </c>
      <c r="BM1353" s="387">
        <f>SUMIFS(BM2:BM1334,G2:G1334,"EMAJ",E2:E1334,"0348",F2:F1334,"31")</f>
        <v>0</v>
      </c>
      <c r="BN1353" s="387">
        <f>SUMIFS(BN2:BN1334,G2:G1334,"EMAJ",E2:E1334,"0348",F2:F1334,"31")</f>
        <v>0</v>
      </c>
      <c r="BO1353" s="387">
        <f>SUMIFS(BO2:BO1334,G2:G1334,"EMAJ",E2:E1334,"0348",F2:F1334,"31")</f>
        <v>0</v>
      </c>
      <c r="BP1353" s="387">
        <f>SUMIFS(BP2:BP1334,G2:G1334,"EMAJ",E2:E1334,"0348",F2:F1334,"31")</f>
        <v>0</v>
      </c>
      <c r="BQ1353" s="387">
        <f>SUMIFS(BQ2:BQ1334,G2:G1334,"EMAJ",E2:E1334,"0348",F2:F1334,"31")</f>
        <v>0</v>
      </c>
      <c r="BR1353" s="387">
        <f>SUMIFS(BR2:BR1334,G2:G1334,"EMAJ",E2:E1334,"0348",F2:F1334,"31")</f>
        <v>0</v>
      </c>
      <c r="BS1353" s="387">
        <f>SUMIFS(BS2:BS1334,G2:G1334,"EMAJ",E2:E1334,"0348",F2:F1334,"31")</f>
        <v>0</v>
      </c>
      <c r="BT1353" s="387">
        <f>SUMIFS(BT2:BT1334,G2:G1334,"EMAJ",E2:E1334,"0348",F2:F1334,"31")</f>
        <v>0</v>
      </c>
      <c r="BU1353" s="387">
        <f>SUMIFS(BU2:BU1334,G2:G1334,"EMAJ",E2:E1334,"0348",F2:F1334,"31")</f>
        <v>0</v>
      </c>
      <c r="BV1353" s="387">
        <f>SUMIFS(BV2:BV1334,G2:G1334,"EMAJ",E2:E1334,"0348",F2:F1334,"31")</f>
        <v>0</v>
      </c>
      <c r="BW1353" s="387">
        <f>SUMIFS(BW2:BW1334,G2:G1334,"EMAJ",E2:E1334,"0348",F2:F1334,"31")</f>
        <v>0</v>
      </c>
      <c r="BX1353" s="387">
        <f>SUMIFS(BX2:BX1334,G2:G1334,"EMAJ",E2:E1334,"0348",F2:F1334,"31")</f>
        <v>0</v>
      </c>
      <c r="BY1353" s="387">
        <f>SUMIFS(BY2:BY1334,G2:G1334,"EMAJ",E2:E1334,"0348",F2:F1334,"31")</f>
        <v>0</v>
      </c>
      <c r="BZ1353" s="387">
        <f>SUMIFS(BZ2:BZ1334,G2:G1334,"EMAJ",E2:E1334,"0348",F2:F1334,"31")</f>
        <v>0</v>
      </c>
      <c r="CA1353" s="387">
        <f>SUMIFS(CA2:CA1334,G2:G1334,"EMAJ",E2:E1334,"0348",F2:F1334,"31")</f>
        <v>0</v>
      </c>
      <c r="CB1353" s="387">
        <f>SUMIFS(CB2:CB1334,G2:G1334,"EMAJ",E2:E1334,"0348",F2:F1334,"31")</f>
        <v>0</v>
      </c>
      <c r="CC1353" s="387">
        <f>SUMIFS(CC2:CC1334,G2:G1334,"EMAJ",E2:E1334,"0348",F2:F1334,"31")</f>
        <v>0</v>
      </c>
      <c r="CD1353" s="387">
        <f>SUMIFS(CD2:CD1334,G2:G1334,"EMAJ",E2:E1334,"0348",F2:F1334,"31")</f>
        <v>0</v>
      </c>
      <c r="CE1353" s="387">
        <f>SUMIFS(CE2:CE1334,G2:G1334,"EMAJ",E2:E1334,"0348",F2:F1334,"31")</f>
        <v>0</v>
      </c>
      <c r="CF1353" s="387">
        <f>SUMIFS(CF2:CF1334,G2:G1334,"EMAJ",E2:E1334,"0348",F2:F1334,"31")</f>
        <v>0</v>
      </c>
      <c r="CG1353" s="387">
        <f>SUMIFS(CG2:CG1334,G2:G1334,"EMAJ",E2:E1334,"0348",F2:F1334,"31")</f>
        <v>0</v>
      </c>
      <c r="CH1353" s="387">
        <f>SUMIFS(CH2:CH1334,G2:G1334,"EMAJ",E2:E1334,"0348",F2:F1334,"31")</f>
        <v>0</v>
      </c>
      <c r="CI1353" s="387">
        <f>SUMIFS(CI2:CI1334,G2:G1334,"EMAJ",E2:E1334,"0348",F2:F1334,"31")</f>
        <v>0</v>
      </c>
      <c r="CJ1353" s="387">
        <f>SUMIFS(CJ2:CJ1334,G2:G1334,"EMAJ",E2:E1334,"0348",F2:F1334,"31")</f>
        <v>0</v>
      </c>
      <c r="CK1353" s="387">
        <f>SUMIFS(CK2:CK1334,G2:G1334,"EMAJ",E2:E1334,"0348",F2:F1334,"31")</f>
        <v>0</v>
      </c>
      <c r="CL1353" s="387">
        <f>SUMIFS(CL2:CL1334,G2:G1334,"EMAJ",E2:E1334,"0348",F2:F1334,"31")</f>
        <v>0</v>
      </c>
      <c r="CM1353" s="387">
        <f>SUMIFS(CM2:CM1334,G2:G1334,"EMAJ",E2:E1334,"0348",F2:F1334,"31")</f>
        <v>0</v>
      </c>
    </row>
    <row r="1354" spans="43:91" ht="18.75" x14ac:dyDescent="0.3">
      <c r="AQ1354" s="393" t="s">
        <v>2680</v>
      </c>
      <c r="AS1354" s="394">
        <f t="shared" ref="AS1354:CM1354" si="931">SUM(AS1353:AS1353)</f>
        <v>0</v>
      </c>
      <c r="AT1354" s="394">
        <f t="shared" si="931"/>
        <v>0</v>
      </c>
      <c r="AU1354" s="394">
        <f t="shared" si="931"/>
        <v>0</v>
      </c>
      <c r="AV1354" s="394">
        <f t="shared" si="931"/>
        <v>0</v>
      </c>
      <c r="AW1354" s="394">
        <f t="shared" si="931"/>
        <v>36</v>
      </c>
      <c r="AX1354" s="394">
        <f t="shared" si="931"/>
        <v>0</v>
      </c>
      <c r="AY1354" s="394">
        <f t="shared" si="931"/>
        <v>0</v>
      </c>
      <c r="AZ1354" s="394">
        <f t="shared" si="931"/>
        <v>0</v>
      </c>
      <c r="BA1354" s="394">
        <f t="shared" si="931"/>
        <v>0</v>
      </c>
      <c r="BB1354" s="394">
        <f t="shared" si="931"/>
        <v>0</v>
      </c>
      <c r="BC1354" s="394">
        <f t="shared" si="931"/>
        <v>0</v>
      </c>
      <c r="BD1354" s="394">
        <f t="shared" si="931"/>
        <v>0</v>
      </c>
      <c r="BE1354" s="394">
        <f t="shared" si="931"/>
        <v>0</v>
      </c>
      <c r="BF1354" s="394">
        <f t="shared" si="931"/>
        <v>0</v>
      </c>
      <c r="BG1354" s="394">
        <f t="shared" si="931"/>
        <v>0</v>
      </c>
      <c r="BH1354" s="394">
        <f t="shared" si="931"/>
        <v>0</v>
      </c>
      <c r="BI1354" s="394">
        <f t="shared" si="931"/>
        <v>0</v>
      </c>
      <c r="BJ1354" s="394">
        <f t="shared" si="931"/>
        <v>0</v>
      </c>
      <c r="BK1354" s="394">
        <f t="shared" si="931"/>
        <v>0</v>
      </c>
      <c r="BL1354" s="394">
        <f t="shared" si="931"/>
        <v>0</v>
      </c>
      <c r="BM1354" s="394">
        <f t="shared" si="931"/>
        <v>0</v>
      </c>
      <c r="BN1354" s="394">
        <f t="shared" si="931"/>
        <v>0</v>
      </c>
      <c r="BO1354" s="394">
        <f t="shared" si="931"/>
        <v>0</v>
      </c>
      <c r="BP1354" s="394">
        <f t="shared" si="931"/>
        <v>0</v>
      </c>
      <c r="BQ1354" s="394">
        <f t="shared" si="931"/>
        <v>0</v>
      </c>
      <c r="BR1354" s="394">
        <f t="shared" si="931"/>
        <v>0</v>
      </c>
      <c r="BS1354" s="394">
        <f t="shared" si="931"/>
        <v>0</v>
      </c>
      <c r="BT1354" s="394">
        <f t="shared" si="931"/>
        <v>0</v>
      </c>
      <c r="BU1354" s="394">
        <f t="shared" si="931"/>
        <v>0</v>
      </c>
      <c r="BV1354" s="394">
        <f t="shared" si="931"/>
        <v>0</v>
      </c>
      <c r="BW1354" s="394">
        <f t="shared" si="931"/>
        <v>0</v>
      </c>
      <c r="BX1354" s="394">
        <f t="shared" si="931"/>
        <v>0</v>
      </c>
      <c r="BY1354" s="394">
        <f t="shared" si="931"/>
        <v>0</v>
      </c>
      <c r="BZ1354" s="394">
        <f t="shared" si="931"/>
        <v>0</v>
      </c>
      <c r="CA1354" s="394">
        <f t="shared" si="931"/>
        <v>0</v>
      </c>
      <c r="CB1354" s="394">
        <f t="shared" si="931"/>
        <v>0</v>
      </c>
      <c r="CC1354" s="394">
        <f t="shared" si="931"/>
        <v>0</v>
      </c>
      <c r="CD1354" s="394">
        <f t="shared" si="931"/>
        <v>0</v>
      </c>
      <c r="CE1354" s="394">
        <f t="shared" si="931"/>
        <v>0</v>
      </c>
      <c r="CF1354" s="394">
        <f t="shared" si="931"/>
        <v>0</v>
      </c>
      <c r="CG1354" s="394">
        <f t="shared" si="931"/>
        <v>0</v>
      </c>
      <c r="CH1354" s="394">
        <f t="shared" si="931"/>
        <v>0</v>
      </c>
      <c r="CI1354" s="394">
        <f t="shared" si="931"/>
        <v>0</v>
      </c>
      <c r="CJ1354" s="394">
        <f t="shared" si="931"/>
        <v>0</v>
      </c>
      <c r="CK1354" s="394">
        <f t="shared" si="931"/>
        <v>0</v>
      </c>
      <c r="CL1354" s="394">
        <f t="shared" si="931"/>
        <v>0</v>
      </c>
      <c r="CM1354" s="394">
        <f t="shared" si="931"/>
        <v>0</v>
      </c>
    </row>
    <row r="1355" spans="43:91" ht="15.75" thickBot="1" x14ac:dyDescent="0.3">
      <c r="AR1355" t="s">
        <v>2681</v>
      </c>
      <c r="AS1355" s="387">
        <f>SUMIFS(AS2:AS1334,G2:G1334,"EMAR",E2:E1334,"0303",F2:F1334,"00",AT2:AT1334,1)</f>
        <v>0</v>
      </c>
      <c r="AT1355" s="387">
        <f>SUMIFS(AS2:AS1334,G2:G1334,"EMAR",E2:E1334,"0303",F2:F1334,"00",AT2:AT1334,3)</f>
        <v>0</v>
      </c>
      <c r="AU1355" s="387">
        <f>SUMIFS(AU2:AU1334,G2:G1334,"EMAR",E2:E1334,"0303",F2:F1334,"00")</f>
        <v>0</v>
      </c>
      <c r="AV1355" s="387">
        <f>SUMIFS(AV2:AV1334,G2:G1334,"EMAR",E2:E1334,"0303",F2:F1334,"00")</f>
        <v>0</v>
      </c>
      <c r="AW1355" s="387">
        <f>SUMIFS(AW2:AW1334,G2:G1334,"EMAR",E2:E1334,"0303",F2:F1334,"00")</f>
        <v>53</v>
      </c>
      <c r="AX1355" s="387">
        <f>SUMIFS(AX2:AX1334,G2:G1334,"EMAR",E2:E1334,"0303",F2:F1334,"00")</f>
        <v>0</v>
      </c>
      <c r="AY1355" s="387">
        <f>SUMIFS(AY2:AY1334,G2:G1334,"EMAR",E2:E1334,"0303",F2:F1334,"00")</f>
        <v>0</v>
      </c>
      <c r="AZ1355" s="387">
        <f>SUMIFS(AZ2:AZ1334,G2:G1334,"EMAR",E2:E1334,"0303",F2:F1334,"00")</f>
        <v>0</v>
      </c>
      <c r="BA1355" s="387">
        <f>SUMIFS(BA2:BA1334,G2:G1334,"EMAR",E2:E1334,"0303",F2:F1334,"00")</f>
        <v>0</v>
      </c>
      <c r="BB1355" s="387">
        <f>SUMIFS(BB2:BB1334,G2:G1334,"EMAR",E2:E1334,"0303",F2:F1334,"00")</f>
        <v>0</v>
      </c>
      <c r="BC1355" s="387">
        <f>SUMIFS(BC2:BC1334,G2:G1334,"EMAR",E2:E1334,"0303",F2:F1334,"00")</f>
        <v>0</v>
      </c>
      <c r="BD1355" s="387">
        <f>SUMIFS(BD2:BD1334,G2:G1334,"EMAR",E2:E1334,"0303",F2:F1334,"00")</f>
        <v>0</v>
      </c>
      <c r="BE1355" s="387">
        <f>SUMIFS(BE2:BE1334,G2:G1334,"EMAR",E2:E1334,"0303",F2:F1334,"00")</f>
        <v>0</v>
      </c>
      <c r="BF1355" s="387">
        <f>SUMIFS(BF2:BF1334,G2:G1334,"EMAR",E2:E1334,"0303",F2:F1334,"00")</f>
        <v>0</v>
      </c>
      <c r="BG1355" s="387">
        <f>SUMIFS(BG2:BG1334,G2:G1334,"EMAR",E2:E1334,"0303",F2:F1334,"00")</f>
        <v>0</v>
      </c>
      <c r="BH1355" s="387">
        <f>SUMIFS(BH2:BH1334,G2:G1334,"EMAR",E2:E1334,"0303",F2:F1334,"00")</f>
        <v>0</v>
      </c>
      <c r="BI1355" s="387">
        <f>SUMIFS(BI2:BI1334,G2:G1334,"EMAR",E2:E1334,"0303",F2:F1334,"00")</f>
        <v>0</v>
      </c>
      <c r="BJ1355" s="387">
        <f>SUMIFS(BJ2:BJ1334,G2:G1334,"EMAR",E2:E1334,"0303",F2:F1334,"00")</f>
        <v>0</v>
      </c>
      <c r="BK1355" s="387">
        <f>SUMIFS(BK2:BK1334,G2:G1334,"EMAR",E2:E1334,"0303",F2:F1334,"00")</f>
        <v>0</v>
      </c>
      <c r="BL1355" s="387">
        <f>SUMIFS(BL2:BL1334,G2:G1334,"EMAR",E2:E1334,"0303",F2:F1334,"00")</f>
        <v>0</v>
      </c>
      <c r="BM1355" s="387">
        <f>SUMIFS(BM2:BM1334,G2:G1334,"EMAR",E2:E1334,"0303",F2:F1334,"00")</f>
        <v>0</v>
      </c>
      <c r="BN1355" s="387">
        <f>SUMIFS(BN2:BN1334,G2:G1334,"EMAR",E2:E1334,"0303",F2:F1334,"00")</f>
        <v>0</v>
      </c>
      <c r="BO1355" s="387">
        <f>SUMIFS(BO2:BO1334,G2:G1334,"EMAR",E2:E1334,"0303",F2:F1334,"00")</f>
        <v>0</v>
      </c>
      <c r="BP1355" s="387">
        <f>SUMIFS(BP2:BP1334,G2:G1334,"EMAR",E2:E1334,"0303",F2:F1334,"00")</f>
        <v>0</v>
      </c>
      <c r="BQ1355" s="387">
        <f>SUMIFS(BQ2:BQ1334,G2:G1334,"EMAR",E2:E1334,"0303",F2:F1334,"00")</f>
        <v>0</v>
      </c>
      <c r="BR1355" s="387">
        <f>SUMIFS(BR2:BR1334,G2:G1334,"EMAR",E2:E1334,"0303",F2:F1334,"00")</f>
        <v>0</v>
      </c>
      <c r="BS1355" s="387">
        <f>SUMIFS(BS2:BS1334,G2:G1334,"EMAR",E2:E1334,"0303",F2:F1334,"00")</f>
        <v>0</v>
      </c>
      <c r="BT1355" s="387">
        <f>SUMIFS(BT2:BT1334,G2:G1334,"EMAR",E2:E1334,"0303",F2:F1334,"00")</f>
        <v>0</v>
      </c>
      <c r="BU1355" s="387">
        <f>SUMIFS(BU2:BU1334,G2:G1334,"EMAR",E2:E1334,"0303",F2:F1334,"00")</f>
        <v>0</v>
      </c>
      <c r="BV1355" s="387">
        <f>SUMIFS(BV2:BV1334,G2:G1334,"EMAR",E2:E1334,"0303",F2:F1334,"00")</f>
        <v>0</v>
      </c>
      <c r="BW1355" s="387">
        <f>SUMIFS(BW2:BW1334,G2:G1334,"EMAR",E2:E1334,"0303",F2:F1334,"00")</f>
        <v>0</v>
      </c>
      <c r="BX1355" s="387">
        <f>SUMIFS(BX2:BX1334,G2:G1334,"EMAR",E2:E1334,"0303",F2:F1334,"00")</f>
        <v>0</v>
      </c>
      <c r="BY1355" s="387">
        <f>SUMIFS(BY2:BY1334,G2:G1334,"EMAR",E2:E1334,"0303",F2:F1334,"00")</f>
        <v>0</v>
      </c>
      <c r="BZ1355" s="387">
        <f>SUMIFS(BZ2:BZ1334,G2:G1334,"EMAR",E2:E1334,"0303",F2:F1334,"00")</f>
        <v>0</v>
      </c>
      <c r="CA1355" s="387">
        <f>SUMIFS(CA2:CA1334,G2:G1334,"EMAR",E2:E1334,"0303",F2:F1334,"00")</f>
        <v>0</v>
      </c>
      <c r="CB1355" s="387">
        <f>SUMIFS(CB2:CB1334,G2:G1334,"EMAR",E2:E1334,"0303",F2:F1334,"00")</f>
        <v>0</v>
      </c>
      <c r="CC1355" s="387">
        <f>SUMIFS(CC2:CC1334,G2:G1334,"EMAR",E2:E1334,"0303",F2:F1334,"00")</f>
        <v>0</v>
      </c>
      <c r="CD1355" s="387">
        <f>SUMIFS(CD2:CD1334,G2:G1334,"EMAR",E2:E1334,"0303",F2:F1334,"00")</f>
        <v>0</v>
      </c>
      <c r="CE1355" s="387">
        <f>SUMIFS(CE2:CE1334,G2:G1334,"EMAR",E2:E1334,"0303",F2:F1334,"00")</f>
        <v>0</v>
      </c>
      <c r="CF1355" s="387">
        <f>SUMIFS(CF2:CF1334,G2:G1334,"EMAR",E2:E1334,"0303",F2:F1334,"00")</f>
        <v>0</v>
      </c>
      <c r="CG1355" s="387">
        <f>SUMIFS(CG2:CG1334,G2:G1334,"EMAR",E2:E1334,"0303",F2:F1334,"00")</f>
        <v>0</v>
      </c>
      <c r="CH1355" s="387">
        <f>SUMIFS(CH2:CH1334,G2:G1334,"EMAR",E2:E1334,"0303",F2:F1334,"00")</f>
        <v>0</v>
      </c>
      <c r="CI1355" s="387">
        <f>SUMIFS(CI2:CI1334,G2:G1334,"EMAR",E2:E1334,"0303",F2:F1334,"00")</f>
        <v>0</v>
      </c>
      <c r="CJ1355" s="387">
        <f>SUMIFS(CJ2:CJ1334,G2:G1334,"EMAR",E2:E1334,"0303",F2:F1334,"00")</f>
        <v>0</v>
      </c>
      <c r="CK1355" s="387">
        <f>SUMIFS(CK2:CK1334,G2:G1334,"EMAR",E2:E1334,"0303",F2:F1334,"00")</f>
        <v>0</v>
      </c>
      <c r="CL1355" s="387">
        <f>SUMIFS(CL2:CL1334,G2:G1334,"EMAR",E2:E1334,"0303",F2:F1334,"00")</f>
        <v>2650</v>
      </c>
      <c r="CM1355" s="387">
        <f>SUMIFS(CM2:CM1334,G2:G1334,"EMAR",E2:E1334,"0303",F2:F1334,"00")</f>
        <v>442.87</v>
      </c>
    </row>
    <row r="1356" spans="43:91" ht="18.75" x14ac:dyDescent="0.3">
      <c r="AQ1356" s="393" t="s">
        <v>2682</v>
      </c>
      <c r="AS1356" s="394">
        <f t="shared" ref="AS1356:CM1356" si="932">SUM(AS1355:AS1355)</f>
        <v>0</v>
      </c>
      <c r="AT1356" s="394">
        <f t="shared" si="932"/>
        <v>0</v>
      </c>
      <c r="AU1356" s="394">
        <f t="shared" si="932"/>
        <v>0</v>
      </c>
      <c r="AV1356" s="394">
        <f t="shared" si="932"/>
        <v>0</v>
      </c>
      <c r="AW1356" s="394">
        <f t="shared" si="932"/>
        <v>53</v>
      </c>
      <c r="AX1356" s="394">
        <f t="shared" si="932"/>
        <v>0</v>
      </c>
      <c r="AY1356" s="394">
        <f t="shared" si="932"/>
        <v>0</v>
      </c>
      <c r="AZ1356" s="394">
        <f t="shared" si="932"/>
        <v>0</v>
      </c>
      <c r="BA1356" s="394">
        <f t="shared" si="932"/>
        <v>0</v>
      </c>
      <c r="BB1356" s="394">
        <f t="shared" si="932"/>
        <v>0</v>
      </c>
      <c r="BC1356" s="394">
        <f t="shared" si="932"/>
        <v>0</v>
      </c>
      <c r="BD1356" s="394">
        <f t="shared" si="932"/>
        <v>0</v>
      </c>
      <c r="BE1356" s="394">
        <f t="shared" si="932"/>
        <v>0</v>
      </c>
      <c r="BF1356" s="394">
        <f t="shared" si="932"/>
        <v>0</v>
      </c>
      <c r="BG1356" s="394">
        <f t="shared" si="932"/>
        <v>0</v>
      </c>
      <c r="BH1356" s="394">
        <f t="shared" si="932"/>
        <v>0</v>
      </c>
      <c r="BI1356" s="394">
        <f t="shared" si="932"/>
        <v>0</v>
      </c>
      <c r="BJ1356" s="394">
        <f t="shared" si="932"/>
        <v>0</v>
      </c>
      <c r="BK1356" s="394">
        <f t="shared" si="932"/>
        <v>0</v>
      </c>
      <c r="BL1356" s="394">
        <f t="shared" si="932"/>
        <v>0</v>
      </c>
      <c r="BM1356" s="394">
        <f t="shared" si="932"/>
        <v>0</v>
      </c>
      <c r="BN1356" s="394">
        <f t="shared" si="932"/>
        <v>0</v>
      </c>
      <c r="BO1356" s="394">
        <f t="shared" si="932"/>
        <v>0</v>
      </c>
      <c r="BP1356" s="394">
        <f t="shared" si="932"/>
        <v>0</v>
      </c>
      <c r="BQ1356" s="394">
        <f t="shared" si="932"/>
        <v>0</v>
      </c>
      <c r="BR1356" s="394">
        <f t="shared" si="932"/>
        <v>0</v>
      </c>
      <c r="BS1356" s="394">
        <f t="shared" si="932"/>
        <v>0</v>
      </c>
      <c r="BT1356" s="394">
        <f t="shared" si="932"/>
        <v>0</v>
      </c>
      <c r="BU1356" s="394">
        <f t="shared" si="932"/>
        <v>0</v>
      </c>
      <c r="BV1356" s="394">
        <f t="shared" si="932"/>
        <v>0</v>
      </c>
      <c r="BW1356" s="394">
        <f t="shared" si="932"/>
        <v>0</v>
      </c>
      <c r="BX1356" s="394">
        <f t="shared" si="932"/>
        <v>0</v>
      </c>
      <c r="BY1356" s="394">
        <f t="shared" si="932"/>
        <v>0</v>
      </c>
      <c r="BZ1356" s="394">
        <f t="shared" si="932"/>
        <v>0</v>
      </c>
      <c r="CA1356" s="394">
        <f t="shared" si="932"/>
        <v>0</v>
      </c>
      <c r="CB1356" s="394">
        <f t="shared" si="932"/>
        <v>0</v>
      </c>
      <c r="CC1356" s="394">
        <f t="shared" si="932"/>
        <v>0</v>
      </c>
      <c r="CD1356" s="394">
        <f t="shared" si="932"/>
        <v>0</v>
      </c>
      <c r="CE1356" s="394">
        <f t="shared" si="932"/>
        <v>0</v>
      </c>
      <c r="CF1356" s="394">
        <f t="shared" si="932"/>
        <v>0</v>
      </c>
      <c r="CG1356" s="394">
        <f t="shared" si="932"/>
        <v>0</v>
      </c>
      <c r="CH1356" s="394">
        <f t="shared" si="932"/>
        <v>0</v>
      </c>
      <c r="CI1356" s="394">
        <f t="shared" si="932"/>
        <v>0</v>
      </c>
      <c r="CJ1356" s="394">
        <f t="shared" si="932"/>
        <v>0</v>
      </c>
      <c r="CK1356" s="394">
        <f t="shared" si="932"/>
        <v>0</v>
      </c>
      <c r="CL1356" s="394">
        <f t="shared" si="932"/>
        <v>2650</v>
      </c>
      <c r="CM1356" s="394">
        <f t="shared" si="932"/>
        <v>442.87</v>
      </c>
    </row>
    <row r="1357" spans="43:91" ht="15.75" thickBot="1" x14ac:dyDescent="0.3">
      <c r="AR1357" t="s">
        <v>2683</v>
      </c>
      <c r="AS1357" s="387">
        <f>SUMIFS(AS2:AS1334,G2:G1334,"EMAR",E2:E1334,"0348",F2:F1334,"31",AT2:AT1334,1)</f>
        <v>0</v>
      </c>
      <c r="AT1357" s="387">
        <f>SUMIFS(AS2:AS1334,G2:G1334,"EMAR",E2:E1334,"0348",F2:F1334,"31",AT2:AT1334,3)</f>
        <v>0</v>
      </c>
      <c r="AU1357" s="387">
        <f>SUMIFS(AU2:AU1334,G2:G1334,"EMAR",E2:E1334,"0348",F2:F1334,"31")</f>
        <v>0</v>
      </c>
      <c r="AV1357" s="387">
        <f>SUMIFS(AV2:AV1334,G2:G1334,"EMAR",E2:E1334,"0348",F2:F1334,"31")</f>
        <v>0</v>
      </c>
      <c r="AW1357" s="387">
        <f>SUMIFS(AW2:AW1334,G2:G1334,"EMAR",E2:E1334,"0348",F2:F1334,"31")</f>
        <v>47</v>
      </c>
      <c r="AX1357" s="387">
        <f>SUMIFS(AX2:AX1334,G2:G1334,"EMAR",E2:E1334,"0348",F2:F1334,"31")</f>
        <v>0</v>
      </c>
      <c r="AY1357" s="387">
        <f>SUMIFS(AY2:AY1334,G2:G1334,"EMAR",E2:E1334,"0348",F2:F1334,"31")</f>
        <v>0</v>
      </c>
      <c r="AZ1357" s="387">
        <f>SUMIFS(AZ2:AZ1334,G2:G1334,"EMAR",E2:E1334,"0348",F2:F1334,"31")</f>
        <v>0</v>
      </c>
      <c r="BA1357" s="387">
        <f>SUMIFS(BA2:BA1334,G2:G1334,"EMAR",E2:E1334,"0348",F2:F1334,"31")</f>
        <v>0</v>
      </c>
      <c r="BB1357" s="387">
        <f>SUMIFS(BB2:BB1334,G2:G1334,"EMAR",E2:E1334,"0348",F2:F1334,"31")</f>
        <v>0</v>
      </c>
      <c r="BC1357" s="387">
        <f>SUMIFS(BC2:BC1334,G2:G1334,"EMAR",E2:E1334,"0348",F2:F1334,"31")</f>
        <v>0</v>
      </c>
      <c r="BD1357" s="387">
        <f>SUMIFS(BD2:BD1334,G2:G1334,"EMAR",E2:E1334,"0348",F2:F1334,"31")</f>
        <v>0</v>
      </c>
      <c r="BE1357" s="387">
        <f>SUMIFS(BE2:BE1334,G2:G1334,"EMAR",E2:E1334,"0348",F2:F1334,"31")</f>
        <v>0</v>
      </c>
      <c r="BF1357" s="387">
        <f>SUMIFS(BF2:BF1334,G2:G1334,"EMAR",E2:E1334,"0348",F2:F1334,"31")</f>
        <v>0</v>
      </c>
      <c r="BG1357" s="387">
        <f>SUMIFS(BG2:BG1334,G2:G1334,"EMAR",E2:E1334,"0348",F2:F1334,"31")</f>
        <v>0</v>
      </c>
      <c r="BH1357" s="387">
        <f>SUMIFS(BH2:BH1334,G2:G1334,"EMAR",E2:E1334,"0348",F2:F1334,"31")</f>
        <v>0</v>
      </c>
      <c r="BI1357" s="387">
        <f>SUMIFS(BI2:BI1334,G2:G1334,"EMAR",E2:E1334,"0348",F2:F1334,"31")</f>
        <v>0</v>
      </c>
      <c r="BJ1357" s="387">
        <f>SUMIFS(BJ2:BJ1334,G2:G1334,"EMAR",E2:E1334,"0348",F2:F1334,"31")</f>
        <v>0</v>
      </c>
      <c r="BK1357" s="387">
        <f>SUMIFS(BK2:BK1334,G2:G1334,"EMAR",E2:E1334,"0348",F2:F1334,"31")</f>
        <v>0</v>
      </c>
      <c r="BL1357" s="387">
        <f>SUMIFS(BL2:BL1334,G2:G1334,"EMAR",E2:E1334,"0348",F2:F1334,"31")</f>
        <v>0</v>
      </c>
      <c r="BM1357" s="387">
        <f>SUMIFS(BM2:BM1334,G2:G1334,"EMAR",E2:E1334,"0348",F2:F1334,"31")</f>
        <v>0</v>
      </c>
      <c r="BN1357" s="387">
        <f>SUMIFS(BN2:BN1334,G2:G1334,"EMAR",E2:E1334,"0348",F2:F1334,"31")</f>
        <v>0</v>
      </c>
      <c r="BO1357" s="387">
        <f>SUMIFS(BO2:BO1334,G2:G1334,"EMAR",E2:E1334,"0348",F2:F1334,"31")</f>
        <v>0</v>
      </c>
      <c r="BP1357" s="387">
        <f>SUMIFS(BP2:BP1334,G2:G1334,"EMAR",E2:E1334,"0348",F2:F1334,"31")</f>
        <v>0</v>
      </c>
      <c r="BQ1357" s="387">
        <f>SUMIFS(BQ2:BQ1334,G2:G1334,"EMAR",E2:E1334,"0348",F2:F1334,"31")</f>
        <v>0</v>
      </c>
      <c r="BR1357" s="387">
        <f>SUMIFS(BR2:BR1334,G2:G1334,"EMAR",E2:E1334,"0348",F2:F1334,"31")</f>
        <v>0</v>
      </c>
      <c r="BS1357" s="387">
        <f>SUMIFS(BS2:BS1334,G2:G1334,"EMAR",E2:E1334,"0348",F2:F1334,"31")</f>
        <v>0</v>
      </c>
      <c r="BT1357" s="387">
        <f>SUMIFS(BT2:BT1334,G2:G1334,"EMAR",E2:E1334,"0348",F2:F1334,"31")</f>
        <v>0</v>
      </c>
      <c r="BU1357" s="387">
        <f>SUMIFS(BU2:BU1334,G2:G1334,"EMAR",E2:E1334,"0348",F2:F1334,"31")</f>
        <v>0</v>
      </c>
      <c r="BV1357" s="387">
        <f>SUMIFS(BV2:BV1334,G2:G1334,"EMAR",E2:E1334,"0348",F2:F1334,"31")</f>
        <v>0</v>
      </c>
      <c r="BW1357" s="387">
        <f>SUMIFS(BW2:BW1334,G2:G1334,"EMAR",E2:E1334,"0348",F2:F1334,"31")</f>
        <v>0</v>
      </c>
      <c r="BX1357" s="387">
        <f>SUMIFS(BX2:BX1334,G2:G1334,"EMAR",E2:E1334,"0348",F2:F1334,"31")</f>
        <v>0</v>
      </c>
      <c r="BY1357" s="387">
        <f>SUMIFS(BY2:BY1334,G2:G1334,"EMAR",E2:E1334,"0348",F2:F1334,"31")</f>
        <v>0</v>
      </c>
      <c r="BZ1357" s="387">
        <f>SUMIFS(BZ2:BZ1334,G2:G1334,"EMAR",E2:E1334,"0348",F2:F1334,"31")</f>
        <v>0</v>
      </c>
      <c r="CA1357" s="387">
        <f>SUMIFS(CA2:CA1334,G2:G1334,"EMAR",E2:E1334,"0348",F2:F1334,"31")</f>
        <v>0</v>
      </c>
      <c r="CB1357" s="387">
        <f>SUMIFS(CB2:CB1334,G2:G1334,"EMAR",E2:E1334,"0348",F2:F1334,"31")</f>
        <v>0</v>
      </c>
      <c r="CC1357" s="387">
        <f>SUMIFS(CC2:CC1334,G2:G1334,"EMAR",E2:E1334,"0348",F2:F1334,"31")</f>
        <v>0</v>
      </c>
      <c r="CD1357" s="387">
        <f>SUMIFS(CD2:CD1334,G2:G1334,"EMAR",E2:E1334,"0348",F2:F1334,"31")</f>
        <v>0</v>
      </c>
      <c r="CE1357" s="387">
        <f>SUMIFS(CE2:CE1334,G2:G1334,"EMAR",E2:E1334,"0348",F2:F1334,"31")</f>
        <v>0</v>
      </c>
      <c r="CF1357" s="387">
        <f>SUMIFS(CF2:CF1334,G2:G1334,"EMAR",E2:E1334,"0348",F2:F1334,"31")</f>
        <v>0</v>
      </c>
      <c r="CG1357" s="387">
        <f>SUMIFS(CG2:CG1334,G2:G1334,"EMAR",E2:E1334,"0348",F2:F1334,"31")</f>
        <v>0</v>
      </c>
      <c r="CH1357" s="387">
        <f>SUMIFS(CH2:CH1334,G2:G1334,"EMAR",E2:E1334,"0348",F2:F1334,"31")</f>
        <v>0</v>
      </c>
      <c r="CI1357" s="387">
        <f>SUMIFS(CI2:CI1334,G2:G1334,"EMAR",E2:E1334,"0348",F2:F1334,"31")</f>
        <v>0</v>
      </c>
      <c r="CJ1357" s="387">
        <f>SUMIFS(CJ2:CJ1334,G2:G1334,"EMAR",E2:E1334,"0348",F2:F1334,"31")</f>
        <v>0</v>
      </c>
      <c r="CK1357" s="387">
        <f>SUMIFS(CK2:CK1334,G2:G1334,"EMAR",E2:E1334,"0348",F2:F1334,"31")</f>
        <v>0</v>
      </c>
      <c r="CL1357" s="387">
        <f>SUMIFS(CL2:CL1334,G2:G1334,"EMAR",E2:E1334,"0348",F2:F1334,"31")</f>
        <v>0</v>
      </c>
      <c r="CM1357" s="387">
        <f>SUMIFS(CM2:CM1334,G2:G1334,"EMAR",E2:E1334,"0348",F2:F1334,"31")</f>
        <v>0</v>
      </c>
    </row>
    <row r="1358" spans="43:91" ht="18.75" x14ac:dyDescent="0.3">
      <c r="AQ1358" s="393" t="s">
        <v>2684</v>
      </c>
      <c r="AS1358" s="394">
        <f t="shared" ref="AS1358:CM1358" si="933">SUM(AS1357:AS1357)</f>
        <v>0</v>
      </c>
      <c r="AT1358" s="394">
        <f t="shared" si="933"/>
        <v>0</v>
      </c>
      <c r="AU1358" s="394">
        <f t="shared" si="933"/>
        <v>0</v>
      </c>
      <c r="AV1358" s="394">
        <f t="shared" si="933"/>
        <v>0</v>
      </c>
      <c r="AW1358" s="394">
        <f t="shared" si="933"/>
        <v>47</v>
      </c>
      <c r="AX1358" s="394">
        <f t="shared" si="933"/>
        <v>0</v>
      </c>
      <c r="AY1358" s="394">
        <f t="shared" si="933"/>
        <v>0</v>
      </c>
      <c r="AZ1358" s="394">
        <f t="shared" si="933"/>
        <v>0</v>
      </c>
      <c r="BA1358" s="394">
        <f t="shared" si="933"/>
        <v>0</v>
      </c>
      <c r="BB1358" s="394">
        <f t="shared" si="933"/>
        <v>0</v>
      </c>
      <c r="BC1358" s="394">
        <f t="shared" si="933"/>
        <v>0</v>
      </c>
      <c r="BD1358" s="394">
        <f t="shared" si="933"/>
        <v>0</v>
      </c>
      <c r="BE1358" s="394">
        <f t="shared" si="933"/>
        <v>0</v>
      </c>
      <c r="BF1358" s="394">
        <f t="shared" si="933"/>
        <v>0</v>
      </c>
      <c r="BG1358" s="394">
        <f t="shared" si="933"/>
        <v>0</v>
      </c>
      <c r="BH1358" s="394">
        <f t="shared" si="933"/>
        <v>0</v>
      </c>
      <c r="BI1358" s="394">
        <f t="shared" si="933"/>
        <v>0</v>
      </c>
      <c r="BJ1358" s="394">
        <f t="shared" si="933"/>
        <v>0</v>
      </c>
      <c r="BK1358" s="394">
        <f t="shared" si="933"/>
        <v>0</v>
      </c>
      <c r="BL1358" s="394">
        <f t="shared" si="933"/>
        <v>0</v>
      </c>
      <c r="BM1358" s="394">
        <f t="shared" si="933"/>
        <v>0</v>
      </c>
      <c r="BN1358" s="394">
        <f t="shared" si="933"/>
        <v>0</v>
      </c>
      <c r="BO1358" s="394">
        <f t="shared" si="933"/>
        <v>0</v>
      </c>
      <c r="BP1358" s="394">
        <f t="shared" si="933"/>
        <v>0</v>
      </c>
      <c r="BQ1358" s="394">
        <f t="shared" si="933"/>
        <v>0</v>
      </c>
      <c r="BR1358" s="394">
        <f t="shared" si="933"/>
        <v>0</v>
      </c>
      <c r="BS1358" s="394">
        <f t="shared" si="933"/>
        <v>0</v>
      </c>
      <c r="BT1358" s="394">
        <f t="shared" si="933"/>
        <v>0</v>
      </c>
      <c r="BU1358" s="394">
        <f t="shared" si="933"/>
        <v>0</v>
      </c>
      <c r="BV1358" s="394">
        <f t="shared" si="933"/>
        <v>0</v>
      </c>
      <c r="BW1358" s="394">
        <f t="shared" si="933"/>
        <v>0</v>
      </c>
      <c r="BX1358" s="394">
        <f t="shared" si="933"/>
        <v>0</v>
      </c>
      <c r="BY1358" s="394">
        <f t="shared" si="933"/>
        <v>0</v>
      </c>
      <c r="BZ1358" s="394">
        <f t="shared" si="933"/>
        <v>0</v>
      </c>
      <c r="CA1358" s="394">
        <f t="shared" si="933"/>
        <v>0</v>
      </c>
      <c r="CB1358" s="394">
        <f t="shared" si="933"/>
        <v>0</v>
      </c>
      <c r="CC1358" s="394">
        <f t="shared" si="933"/>
        <v>0</v>
      </c>
      <c r="CD1358" s="394">
        <f t="shared" si="933"/>
        <v>0</v>
      </c>
      <c r="CE1358" s="394">
        <f t="shared" si="933"/>
        <v>0</v>
      </c>
      <c r="CF1358" s="394">
        <f t="shared" si="933"/>
        <v>0</v>
      </c>
      <c r="CG1358" s="394">
        <f t="shared" si="933"/>
        <v>0</v>
      </c>
      <c r="CH1358" s="394">
        <f t="shared" si="933"/>
        <v>0</v>
      </c>
      <c r="CI1358" s="394">
        <f t="shared" si="933"/>
        <v>0</v>
      </c>
      <c r="CJ1358" s="394">
        <f t="shared" si="933"/>
        <v>0</v>
      </c>
      <c r="CK1358" s="394">
        <f t="shared" si="933"/>
        <v>0</v>
      </c>
      <c r="CL1358" s="394">
        <f t="shared" si="933"/>
        <v>0</v>
      </c>
      <c r="CM1358" s="394">
        <f t="shared" si="933"/>
        <v>0</v>
      </c>
    </row>
    <row r="1359" spans="43:91" ht="15.75" thickBot="1" x14ac:dyDescent="0.3">
      <c r="AR1359" t="s">
        <v>2685</v>
      </c>
      <c r="AS1359" s="387">
        <f>SUMIFS(AS2:AS1334,G2:G1334,"EMLO",E2:E1334,"0001",F2:F1334,"00",AT2:AT1334,1)</f>
        <v>0</v>
      </c>
      <c r="AT1359" s="387">
        <f>SUMIFS(AS2:AS1334,G2:G1334,"EMLO",E2:E1334,"0001",F2:F1334,"00",AT2:AT1334,3)</f>
        <v>0</v>
      </c>
      <c r="AU1359" s="387">
        <f>SUMIFS(AU2:AU1334,G2:G1334,"EMLO",E2:E1334,"0001",F2:F1334,"00")</f>
        <v>0</v>
      </c>
      <c r="AV1359" s="387">
        <f>SUMIFS(AV2:AV1334,G2:G1334,"EMLO",E2:E1334,"0001",F2:F1334,"00")</f>
        <v>0</v>
      </c>
      <c r="AW1359" s="387">
        <f>SUMIFS(AW2:AW1334,G2:G1334,"EMLO",E2:E1334,"0001",F2:F1334,"00")</f>
        <v>0</v>
      </c>
      <c r="AX1359" s="387">
        <f>SUMIFS(AX2:AX1334,G2:G1334,"EMLO",E2:E1334,"0001",F2:F1334,"00")</f>
        <v>0</v>
      </c>
      <c r="AY1359" s="387">
        <f>SUMIFS(AY2:AY1334,G2:G1334,"EMLO",E2:E1334,"0001",F2:F1334,"00")</f>
        <v>0</v>
      </c>
      <c r="AZ1359" s="387">
        <f>SUMIFS(AZ2:AZ1334,G2:G1334,"EMLO",E2:E1334,"0001",F2:F1334,"00")</f>
        <v>0</v>
      </c>
      <c r="BA1359" s="387">
        <f>SUMIFS(BA2:BA1334,G2:G1334,"EMLO",E2:E1334,"0001",F2:F1334,"00")</f>
        <v>0</v>
      </c>
      <c r="BB1359" s="387">
        <f>SUMIFS(BB2:BB1334,G2:G1334,"EMLO",E2:E1334,"0001",F2:F1334,"00")</f>
        <v>0</v>
      </c>
      <c r="BC1359" s="387">
        <f>SUMIFS(BC2:BC1334,G2:G1334,"EMLO",E2:E1334,"0001",F2:F1334,"00")</f>
        <v>0</v>
      </c>
      <c r="BD1359" s="387">
        <f>SUMIFS(BD2:BD1334,G2:G1334,"EMLO",E2:E1334,"0001",F2:F1334,"00")</f>
        <v>0</v>
      </c>
      <c r="BE1359" s="387">
        <f>SUMIFS(BE2:BE1334,G2:G1334,"EMLO",E2:E1334,"0001",F2:F1334,"00")</f>
        <v>0</v>
      </c>
      <c r="BF1359" s="387">
        <f>SUMIFS(BF2:BF1334,G2:G1334,"EMLO",E2:E1334,"0001",F2:F1334,"00")</f>
        <v>0</v>
      </c>
      <c r="BG1359" s="387">
        <f>SUMIFS(BG2:BG1334,G2:G1334,"EMLO",E2:E1334,"0001",F2:F1334,"00")</f>
        <v>0</v>
      </c>
      <c r="BH1359" s="387">
        <f>SUMIFS(BH2:BH1334,G2:G1334,"EMLO",E2:E1334,"0001",F2:F1334,"00")</f>
        <v>0</v>
      </c>
      <c r="BI1359" s="387">
        <f>SUMIFS(BI2:BI1334,G2:G1334,"EMLO",E2:E1334,"0001",F2:F1334,"00")</f>
        <v>0</v>
      </c>
      <c r="BJ1359" s="387">
        <f>SUMIFS(BJ2:BJ1334,G2:G1334,"EMLO",E2:E1334,"0001",F2:F1334,"00")</f>
        <v>0</v>
      </c>
      <c r="BK1359" s="387">
        <f>SUMIFS(BK2:BK1334,G2:G1334,"EMLO",E2:E1334,"0001",F2:F1334,"00")</f>
        <v>0</v>
      </c>
      <c r="BL1359" s="387">
        <f>SUMIFS(BL2:BL1334,G2:G1334,"EMLO",E2:E1334,"0001",F2:F1334,"00")</f>
        <v>0</v>
      </c>
      <c r="BM1359" s="387">
        <f>SUMIFS(BM2:BM1334,G2:G1334,"EMLO",E2:E1334,"0001",F2:F1334,"00")</f>
        <v>0</v>
      </c>
      <c r="BN1359" s="387">
        <f>SUMIFS(BN2:BN1334,G2:G1334,"EMLO",E2:E1334,"0001",F2:F1334,"00")</f>
        <v>0</v>
      </c>
      <c r="BO1359" s="387">
        <f>SUMIFS(BO2:BO1334,G2:G1334,"EMLO",E2:E1334,"0001",F2:F1334,"00")</f>
        <v>0</v>
      </c>
      <c r="BP1359" s="387">
        <f>SUMIFS(BP2:BP1334,G2:G1334,"EMLO",E2:E1334,"0001",F2:F1334,"00")</f>
        <v>0</v>
      </c>
      <c r="BQ1359" s="387">
        <f>SUMIFS(BQ2:BQ1334,G2:G1334,"EMLO",E2:E1334,"0001",F2:F1334,"00")</f>
        <v>0</v>
      </c>
      <c r="BR1359" s="387">
        <f>SUMIFS(BR2:BR1334,G2:G1334,"EMLO",E2:E1334,"0001",F2:F1334,"00")</f>
        <v>0</v>
      </c>
      <c r="BS1359" s="387">
        <f>SUMIFS(BS2:BS1334,G2:G1334,"EMLO",E2:E1334,"0001",F2:F1334,"00")</f>
        <v>0</v>
      </c>
      <c r="BT1359" s="387">
        <f>SUMIFS(BT2:BT1334,G2:G1334,"EMLO",E2:E1334,"0001",F2:F1334,"00")</f>
        <v>0</v>
      </c>
      <c r="BU1359" s="387">
        <f>SUMIFS(BU2:BU1334,G2:G1334,"EMLO",E2:E1334,"0001",F2:F1334,"00")</f>
        <v>0</v>
      </c>
      <c r="BV1359" s="387">
        <f>SUMIFS(BV2:BV1334,G2:G1334,"EMLO",E2:E1334,"0001",F2:F1334,"00")</f>
        <v>0</v>
      </c>
      <c r="BW1359" s="387">
        <f>SUMIFS(BW2:BW1334,G2:G1334,"EMLO",E2:E1334,"0001",F2:F1334,"00")</f>
        <v>0</v>
      </c>
      <c r="BX1359" s="387">
        <f>SUMIFS(BX2:BX1334,G2:G1334,"EMLO",E2:E1334,"0001",F2:F1334,"00")</f>
        <v>0</v>
      </c>
      <c r="BY1359" s="387">
        <f>SUMIFS(BY2:BY1334,G2:G1334,"EMLO",E2:E1334,"0001",F2:F1334,"00")</f>
        <v>0</v>
      </c>
      <c r="BZ1359" s="387">
        <f>SUMIFS(BZ2:BZ1334,G2:G1334,"EMLO",E2:E1334,"0001",F2:F1334,"00")</f>
        <v>0</v>
      </c>
      <c r="CA1359" s="387">
        <f>SUMIFS(CA2:CA1334,G2:G1334,"EMLO",E2:E1334,"0001",F2:F1334,"00")</f>
        <v>0</v>
      </c>
      <c r="CB1359" s="387">
        <f>SUMIFS(CB2:CB1334,G2:G1334,"EMLO",E2:E1334,"0001",F2:F1334,"00")</f>
        <v>0</v>
      </c>
      <c r="CC1359" s="387">
        <f>SUMIFS(CC2:CC1334,G2:G1334,"EMLO",E2:E1334,"0001",F2:F1334,"00")</f>
        <v>0</v>
      </c>
      <c r="CD1359" s="387">
        <f>SUMIFS(CD2:CD1334,G2:G1334,"EMLO",E2:E1334,"0001",F2:F1334,"00")</f>
        <v>0</v>
      </c>
      <c r="CE1359" s="387">
        <f>SUMIFS(CE2:CE1334,G2:G1334,"EMLO",E2:E1334,"0001",F2:F1334,"00")</f>
        <v>0</v>
      </c>
      <c r="CF1359" s="387">
        <f>SUMIFS(CF2:CF1334,G2:G1334,"EMLO",E2:E1334,"0001",F2:F1334,"00")</f>
        <v>0</v>
      </c>
      <c r="CG1359" s="387">
        <f>SUMIFS(CG2:CG1334,G2:G1334,"EMLO",E2:E1334,"0001",F2:F1334,"00")</f>
        <v>0</v>
      </c>
      <c r="CH1359" s="387">
        <f>SUMIFS(CH2:CH1334,G2:G1334,"EMLO",E2:E1334,"0001",F2:F1334,"00")</f>
        <v>0</v>
      </c>
      <c r="CI1359" s="387">
        <f>SUMIFS(CI2:CI1334,G2:G1334,"EMLO",E2:E1334,"0001",F2:F1334,"00")</f>
        <v>0</v>
      </c>
      <c r="CJ1359" s="387">
        <f>SUMIFS(CJ2:CJ1334,G2:G1334,"EMLO",E2:E1334,"0001",F2:F1334,"00")</f>
        <v>0</v>
      </c>
      <c r="CK1359" s="387">
        <f>SUMIFS(CK2:CK1334,G2:G1334,"EMLO",E2:E1334,"0001",F2:F1334,"00")</f>
        <v>0</v>
      </c>
      <c r="CL1359" s="387">
        <f>SUMIFS(CL2:CL1334,G2:G1334,"EMLO",E2:E1334,"0001",F2:F1334,"00")</f>
        <v>0</v>
      </c>
      <c r="CM1359" s="387">
        <f>SUMIFS(CM2:CM1334,G2:G1334,"EMLO",E2:E1334,"0001",F2:F1334,"00")</f>
        <v>0</v>
      </c>
    </row>
    <row r="1360" spans="43:91" ht="18.75" x14ac:dyDescent="0.3">
      <c r="AQ1360" s="393" t="s">
        <v>2686</v>
      </c>
      <c r="AS1360" s="394">
        <f t="shared" ref="AS1360:CM1360" si="934">SUM(AS1359:AS1359)</f>
        <v>0</v>
      </c>
      <c r="AT1360" s="394">
        <f t="shared" si="934"/>
        <v>0</v>
      </c>
      <c r="AU1360" s="394">
        <f t="shared" si="934"/>
        <v>0</v>
      </c>
      <c r="AV1360" s="394">
        <f t="shared" si="934"/>
        <v>0</v>
      </c>
      <c r="AW1360" s="394">
        <f t="shared" si="934"/>
        <v>0</v>
      </c>
      <c r="AX1360" s="394">
        <f t="shared" si="934"/>
        <v>0</v>
      </c>
      <c r="AY1360" s="394">
        <f t="shared" si="934"/>
        <v>0</v>
      </c>
      <c r="AZ1360" s="394">
        <f t="shared" si="934"/>
        <v>0</v>
      </c>
      <c r="BA1360" s="394">
        <f t="shared" si="934"/>
        <v>0</v>
      </c>
      <c r="BB1360" s="394">
        <f t="shared" si="934"/>
        <v>0</v>
      </c>
      <c r="BC1360" s="394">
        <f t="shared" si="934"/>
        <v>0</v>
      </c>
      <c r="BD1360" s="394">
        <f t="shared" si="934"/>
        <v>0</v>
      </c>
      <c r="BE1360" s="394">
        <f t="shared" si="934"/>
        <v>0</v>
      </c>
      <c r="BF1360" s="394">
        <f t="shared" si="934"/>
        <v>0</v>
      </c>
      <c r="BG1360" s="394">
        <f t="shared" si="934"/>
        <v>0</v>
      </c>
      <c r="BH1360" s="394">
        <f t="shared" si="934"/>
        <v>0</v>
      </c>
      <c r="BI1360" s="394">
        <f t="shared" si="934"/>
        <v>0</v>
      </c>
      <c r="BJ1360" s="394">
        <f t="shared" si="934"/>
        <v>0</v>
      </c>
      <c r="BK1360" s="394">
        <f t="shared" si="934"/>
        <v>0</v>
      </c>
      <c r="BL1360" s="394">
        <f t="shared" si="934"/>
        <v>0</v>
      </c>
      <c r="BM1360" s="394">
        <f t="shared" si="934"/>
        <v>0</v>
      </c>
      <c r="BN1360" s="394">
        <f t="shared" si="934"/>
        <v>0</v>
      </c>
      <c r="BO1360" s="394">
        <f t="shared" si="934"/>
        <v>0</v>
      </c>
      <c r="BP1360" s="394">
        <f t="shared" si="934"/>
        <v>0</v>
      </c>
      <c r="BQ1360" s="394">
        <f t="shared" si="934"/>
        <v>0</v>
      </c>
      <c r="BR1360" s="394">
        <f t="shared" si="934"/>
        <v>0</v>
      </c>
      <c r="BS1360" s="394">
        <f t="shared" si="934"/>
        <v>0</v>
      </c>
      <c r="BT1360" s="394">
        <f t="shared" si="934"/>
        <v>0</v>
      </c>
      <c r="BU1360" s="394">
        <f t="shared" si="934"/>
        <v>0</v>
      </c>
      <c r="BV1360" s="394">
        <f t="shared" si="934"/>
        <v>0</v>
      </c>
      <c r="BW1360" s="394">
        <f t="shared" si="934"/>
        <v>0</v>
      </c>
      <c r="BX1360" s="394">
        <f t="shared" si="934"/>
        <v>0</v>
      </c>
      <c r="BY1360" s="394">
        <f t="shared" si="934"/>
        <v>0</v>
      </c>
      <c r="BZ1360" s="394">
        <f t="shared" si="934"/>
        <v>0</v>
      </c>
      <c r="CA1360" s="394">
        <f t="shared" si="934"/>
        <v>0</v>
      </c>
      <c r="CB1360" s="394">
        <f t="shared" si="934"/>
        <v>0</v>
      </c>
      <c r="CC1360" s="394">
        <f t="shared" si="934"/>
        <v>0</v>
      </c>
      <c r="CD1360" s="394">
        <f t="shared" si="934"/>
        <v>0</v>
      </c>
      <c r="CE1360" s="394">
        <f t="shared" si="934"/>
        <v>0</v>
      </c>
      <c r="CF1360" s="394">
        <f t="shared" si="934"/>
        <v>0</v>
      </c>
      <c r="CG1360" s="394">
        <f t="shared" si="934"/>
        <v>0</v>
      </c>
      <c r="CH1360" s="394">
        <f t="shared" si="934"/>
        <v>0</v>
      </c>
      <c r="CI1360" s="394">
        <f t="shared" si="934"/>
        <v>0</v>
      </c>
      <c r="CJ1360" s="394">
        <f t="shared" si="934"/>
        <v>0</v>
      </c>
      <c r="CK1360" s="394">
        <f t="shared" si="934"/>
        <v>0</v>
      </c>
      <c r="CL1360" s="394">
        <f t="shared" si="934"/>
        <v>0</v>
      </c>
      <c r="CM1360" s="394">
        <f t="shared" si="934"/>
        <v>0</v>
      </c>
    </row>
    <row r="1361" spans="43:91" ht="15.75" thickBot="1" x14ac:dyDescent="0.3">
      <c r="AR1361" t="s">
        <v>2689</v>
      </c>
      <c r="AS1361" s="387">
        <f>SUMIFS(AS2:AS1334,G2:G1334,"EMLO",E2:E1334,"0302",F2:F1334,"00",AT2:AT1334,1)</f>
        <v>0</v>
      </c>
      <c r="AT1361" s="387">
        <f>SUMIFS(AS2:AS1334,G2:G1334,"EMLO",E2:E1334,"0302",F2:F1334,"00",AT2:AT1334,3)</f>
        <v>0</v>
      </c>
      <c r="AU1361" s="387">
        <f>SUMIFS(AU2:AU1334,G2:G1334,"EMLO",E2:E1334,"0302",F2:F1334,"00")</f>
        <v>0</v>
      </c>
      <c r="AV1361" s="387">
        <f>SUMIFS(AV2:AV1334,G2:G1334,"EMLO",E2:E1334,"0302",F2:F1334,"00")</f>
        <v>0</v>
      </c>
      <c r="AW1361" s="387">
        <f>SUMIFS(AW2:AW1334,G2:G1334,"EMLO",E2:E1334,"0302",F2:F1334,"00")</f>
        <v>30</v>
      </c>
      <c r="AX1361" s="387">
        <f>SUMIFS(AX2:AX1334,G2:G1334,"EMLO",E2:E1334,"0302",F2:F1334,"00")</f>
        <v>0</v>
      </c>
      <c r="AY1361" s="387">
        <f>SUMIFS(AY2:AY1334,G2:G1334,"EMLO",E2:E1334,"0302",F2:F1334,"00")</f>
        <v>0</v>
      </c>
      <c r="AZ1361" s="387">
        <f>SUMIFS(AZ2:AZ1334,G2:G1334,"EMLO",E2:E1334,"0302",F2:F1334,"00")</f>
        <v>0</v>
      </c>
      <c r="BA1361" s="387">
        <f>SUMIFS(BA2:BA1334,G2:G1334,"EMLO",E2:E1334,"0302",F2:F1334,"00")</f>
        <v>0</v>
      </c>
      <c r="BB1361" s="387">
        <f>SUMIFS(BB2:BB1334,G2:G1334,"EMLO",E2:E1334,"0302",F2:F1334,"00")</f>
        <v>0</v>
      </c>
      <c r="BC1361" s="387">
        <f>SUMIFS(BC2:BC1334,G2:G1334,"EMLO",E2:E1334,"0302",F2:F1334,"00")</f>
        <v>0</v>
      </c>
      <c r="BD1361" s="387">
        <f>SUMIFS(BD2:BD1334,G2:G1334,"EMLO",E2:E1334,"0302",F2:F1334,"00")</f>
        <v>0</v>
      </c>
      <c r="BE1361" s="387">
        <f>SUMIFS(BE2:BE1334,G2:G1334,"EMLO",E2:E1334,"0302",F2:F1334,"00")</f>
        <v>0</v>
      </c>
      <c r="BF1361" s="387">
        <f>SUMIFS(BF2:BF1334,G2:G1334,"EMLO",E2:E1334,"0302",F2:F1334,"00")</f>
        <v>0</v>
      </c>
      <c r="BG1361" s="387">
        <f>SUMIFS(BG2:BG1334,G2:G1334,"EMLO",E2:E1334,"0302",F2:F1334,"00")</f>
        <v>0</v>
      </c>
      <c r="BH1361" s="387">
        <f>SUMIFS(BH2:BH1334,G2:G1334,"EMLO",E2:E1334,"0302",F2:F1334,"00")</f>
        <v>0</v>
      </c>
      <c r="BI1361" s="387">
        <f>SUMIFS(BI2:BI1334,G2:G1334,"EMLO",E2:E1334,"0302",F2:F1334,"00")</f>
        <v>0</v>
      </c>
      <c r="BJ1361" s="387">
        <f>SUMIFS(BJ2:BJ1334,G2:G1334,"EMLO",E2:E1334,"0302",F2:F1334,"00")</f>
        <v>0</v>
      </c>
      <c r="BK1361" s="387">
        <f>SUMIFS(BK2:BK1334,G2:G1334,"EMLO",E2:E1334,"0302",F2:F1334,"00")</f>
        <v>0</v>
      </c>
      <c r="BL1361" s="387">
        <f>SUMIFS(BL2:BL1334,G2:G1334,"EMLO",E2:E1334,"0302",F2:F1334,"00")</f>
        <v>0</v>
      </c>
      <c r="BM1361" s="387">
        <f>SUMIFS(BM2:BM1334,G2:G1334,"EMLO",E2:E1334,"0302",F2:F1334,"00")</f>
        <v>0</v>
      </c>
      <c r="BN1361" s="387">
        <f>SUMIFS(BN2:BN1334,G2:G1334,"EMLO",E2:E1334,"0302",F2:F1334,"00")</f>
        <v>0</v>
      </c>
      <c r="BO1361" s="387">
        <f>SUMIFS(BO2:BO1334,G2:G1334,"EMLO",E2:E1334,"0302",F2:F1334,"00")</f>
        <v>0</v>
      </c>
      <c r="BP1361" s="387">
        <f>SUMIFS(BP2:BP1334,G2:G1334,"EMLO",E2:E1334,"0302",F2:F1334,"00")</f>
        <v>0</v>
      </c>
      <c r="BQ1361" s="387">
        <f>SUMIFS(BQ2:BQ1334,G2:G1334,"EMLO",E2:E1334,"0302",F2:F1334,"00")</f>
        <v>0</v>
      </c>
      <c r="BR1361" s="387">
        <f>SUMIFS(BR2:BR1334,G2:G1334,"EMLO",E2:E1334,"0302",F2:F1334,"00")</f>
        <v>0</v>
      </c>
      <c r="BS1361" s="387">
        <f>SUMIFS(BS2:BS1334,G2:G1334,"EMLO",E2:E1334,"0302",F2:F1334,"00")</f>
        <v>0</v>
      </c>
      <c r="BT1361" s="387">
        <f>SUMIFS(BT2:BT1334,G2:G1334,"EMLO",E2:E1334,"0302",F2:F1334,"00")</f>
        <v>0</v>
      </c>
      <c r="BU1361" s="387">
        <f>SUMIFS(BU2:BU1334,G2:G1334,"EMLO",E2:E1334,"0302",F2:F1334,"00")</f>
        <v>0</v>
      </c>
      <c r="BV1361" s="387">
        <f>SUMIFS(BV2:BV1334,G2:G1334,"EMLO",E2:E1334,"0302",F2:F1334,"00")</f>
        <v>0</v>
      </c>
      <c r="BW1361" s="387">
        <f>SUMIFS(BW2:BW1334,G2:G1334,"EMLO",E2:E1334,"0302",F2:F1334,"00")</f>
        <v>0</v>
      </c>
      <c r="BX1361" s="387">
        <f>SUMIFS(BX2:BX1334,G2:G1334,"EMLO",E2:E1334,"0302",F2:F1334,"00")</f>
        <v>0</v>
      </c>
      <c r="BY1361" s="387">
        <f>SUMIFS(BY2:BY1334,G2:G1334,"EMLO",E2:E1334,"0302",F2:F1334,"00")</f>
        <v>0</v>
      </c>
      <c r="BZ1361" s="387">
        <f>SUMIFS(BZ2:BZ1334,G2:G1334,"EMLO",E2:E1334,"0302",F2:F1334,"00")</f>
        <v>0</v>
      </c>
      <c r="CA1361" s="387">
        <f>SUMIFS(CA2:CA1334,G2:G1334,"EMLO",E2:E1334,"0302",F2:F1334,"00")</f>
        <v>0</v>
      </c>
      <c r="CB1361" s="387">
        <f>SUMIFS(CB2:CB1334,G2:G1334,"EMLO",E2:E1334,"0302",F2:F1334,"00")</f>
        <v>0</v>
      </c>
      <c r="CC1361" s="387">
        <f>SUMIFS(CC2:CC1334,G2:G1334,"EMLO",E2:E1334,"0302",F2:F1334,"00")</f>
        <v>0</v>
      </c>
      <c r="CD1361" s="387">
        <f>SUMIFS(CD2:CD1334,G2:G1334,"EMLO",E2:E1334,"0302",F2:F1334,"00")</f>
        <v>0</v>
      </c>
      <c r="CE1361" s="387">
        <f>SUMIFS(CE2:CE1334,G2:G1334,"EMLO",E2:E1334,"0302",F2:F1334,"00")</f>
        <v>0</v>
      </c>
      <c r="CF1361" s="387">
        <f>SUMIFS(CF2:CF1334,G2:G1334,"EMLO",E2:E1334,"0302",F2:F1334,"00")</f>
        <v>0</v>
      </c>
      <c r="CG1361" s="387">
        <f>SUMIFS(CG2:CG1334,G2:G1334,"EMLO",E2:E1334,"0302",F2:F1334,"00")</f>
        <v>0</v>
      </c>
      <c r="CH1361" s="387">
        <f>SUMIFS(CH2:CH1334,G2:G1334,"EMLO",E2:E1334,"0302",F2:F1334,"00")</f>
        <v>0</v>
      </c>
      <c r="CI1361" s="387">
        <f>SUMIFS(CI2:CI1334,G2:G1334,"EMLO",E2:E1334,"0302",F2:F1334,"00")</f>
        <v>0</v>
      </c>
      <c r="CJ1361" s="387">
        <f>SUMIFS(CJ2:CJ1334,G2:G1334,"EMLO",E2:E1334,"0302",F2:F1334,"00")</f>
        <v>0</v>
      </c>
      <c r="CK1361" s="387">
        <f>SUMIFS(CK2:CK1334,G2:G1334,"EMLO",E2:E1334,"0302",F2:F1334,"00")</f>
        <v>0</v>
      </c>
      <c r="CL1361" s="387">
        <f>SUMIFS(CL2:CL1334,G2:G1334,"EMLO",E2:E1334,"0302",F2:F1334,"00")</f>
        <v>0</v>
      </c>
      <c r="CM1361" s="387">
        <f>SUMIFS(CM2:CM1334,G2:G1334,"EMLO",E2:E1334,"0302",F2:F1334,"00")</f>
        <v>0</v>
      </c>
    </row>
    <row r="1362" spans="43:91" ht="18.75" x14ac:dyDescent="0.3">
      <c r="AQ1362" s="393" t="s">
        <v>2690</v>
      </c>
      <c r="AS1362" s="394">
        <f t="shared" ref="AS1362:CM1362" si="935">SUM(AS1361:AS1361)</f>
        <v>0</v>
      </c>
      <c r="AT1362" s="394">
        <f t="shared" si="935"/>
        <v>0</v>
      </c>
      <c r="AU1362" s="394">
        <f t="shared" si="935"/>
        <v>0</v>
      </c>
      <c r="AV1362" s="394">
        <f t="shared" si="935"/>
        <v>0</v>
      </c>
      <c r="AW1362" s="394">
        <f t="shared" si="935"/>
        <v>30</v>
      </c>
      <c r="AX1362" s="394">
        <f t="shared" si="935"/>
        <v>0</v>
      </c>
      <c r="AY1362" s="394">
        <f t="shared" si="935"/>
        <v>0</v>
      </c>
      <c r="AZ1362" s="394">
        <f t="shared" si="935"/>
        <v>0</v>
      </c>
      <c r="BA1362" s="394">
        <f t="shared" si="935"/>
        <v>0</v>
      </c>
      <c r="BB1362" s="394">
        <f t="shared" si="935"/>
        <v>0</v>
      </c>
      <c r="BC1362" s="394">
        <f t="shared" si="935"/>
        <v>0</v>
      </c>
      <c r="BD1362" s="394">
        <f t="shared" si="935"/>
        <v>0</v>
      </c>
      <c r="BE1362" s="394">
        <f t="shared" si="935"/>
        <v>0</v>
      </c>
      <c r="BF1362" s="394">
        <f t="shared" si="935"/>
        <v>0</v>
      </c>
      <c r="BG1362" s="394">
        <f t="shared" si="935"/>
        <v>0</v>
      </c>
      <c r="BH1362" s="394">
        <f t="shared" si="935"/>
        <v>0</v>
      </c>
      <c r="BI1362" s="394">
        <f t="shared" si="935"/>
        <v>0</v>
      </c>
      <c r="BJ1362" s="394">
        <f t="shared" si="935"/>
        <v>0</v>
      </c>
      <c r="BK1362" s="394">
        <f t="shared" si="935"/>
        <v>0</v>
      </c>
      <c r="BL1362" s="394">
        <f t="shared" si="935"/>
        <v>0</v>
      </c>
      <c r="BM1362" s="394">
        <f t="shared" si="935"/>
        <v>0</v>
      </c>
      <c r="BN1362" s="394">
        <f t="shared" si="935"/>
        <v>0</v>
      </c>
      <c r="BO1362" s="394">
        <f t="shared" si="935"/>
        <v>0</v>
      </c>
      <c r="BP1362" s="394">
        <f t="shared" si="935"/>
        <v>0</v>
      </c>
      <c r="BQ1362" s="394">
        <f t="shared" si="935"/>
        <v>0</v>
      </c>
      <c r="BR1362" s="394">
        <f t="shared" si="935"/>
        <v>0</v>
      </c>
      <c r="BS1362" s="394">
        <f t="shared" si="935"/>
        <v>0</v>
      </c>
      <c r="BT1362" s="394">
        <f t="shared" si="935"/>
        <v>0</v>
      </c>
      <c r="BU1362" s="394">
        <f t="shared" si="935"/>
        <v>0</v>
      </c>
      <c r="BV1362" s="394">
        <f t="shared" si="935"/>
        <v>0</v>
      </c>
      <c r="BW1362" s="394">
        <f t="shared" si="935"/>
        <v>0</v>
      </c>
      <c r="BX1362" s="394">
        <f t="shared" si="935"/>
        <v>0</v>
      </c>
      <c r="BY1362" s="394">
        <f t="shared" si="935"/>
        <v>0</v>
      </c>
      <c r="BZ1362" s="394">
        <f t="shared" si="935"/>
        <v>0</v>
      </c>
      <c r="CA1362" s="394">
        <f t="shared" si="935"/>
        <v>0</v>
      </c>
      <c r="CB1362" s="394">
        <f t="shared" si="935"/>
        <v>0</v>
      </c>
      <c r="CC1362" s="394">
        <f t="shared" si="935"/>
        <v>0</v>
      </c>
      <c r="CD1362" s="394">
        <f t="shared" si="935"/>
        <v>0</v>
      </c>
      <c r="CE1362" s="394">
        <f t="shared" si="935"/>
        <v>0</v>
      </c>
      <c r="CF1362" s="394">
        <f t="shared" si="935"/>
        <v>0</v>
      </c>
      <c r="CG1362" s="394">
        <f t="shared" si="935"/>
        <v>0</v>
      </c>
      <c r="CH1362" s="394">
        <f t="shared" si="935"/>
        <v>0</v>
      </c>
      <c r="CI1362" s="394">
        <f t="shared" si="935"/>
        <v>0</v>
      </c>
      <c r="CJ1362" s="394">
        <f t="shared" si="935"/>
        <v>0</v>
      </c>
      <c r="CK1362" s="394">
        <f t="shared" si="935"/>
        <v>0</v>
      </c>
      <c r="CL1362" s="394">
        <f t="shared" si="935"/>
        <v>0</v>
      </c>
      <c r="CM1362" s="394">
        <f t="shared" si="935"/>
        <v>0</v>
      </c>
    </row>
    <row r="1363" spans="43:91" ht="15.75" thickBot="1" x14ac:dyDescent="0.3">
      <c r="AR1363" t="s">
        <v>2692</v>
      </c>
      <c r="AS1363" s="387">
        <f>SUMIFS(AS2:AS1334,G2:G1334,"EMLO",E2:E1334,"0303",F2:F1334,"00",AT2:AT1334,1)</f>
        <v>8.25</v>
      </c>
      <c r="AT1363" s="387">
        <f>SUMIFS(AS2:AS1334,G2:G1334,"EMLO",E2:E1334,"0303",F2:F1334,"00",AT2:AT1334,3)</f>
        <v>0</v>
      </c>
      <c r="AU1363" s="387">
        <f>SUMIFS(AU2:AU1334,G2:G1334,"EMLO",E2:E1334,"0303",F2:F1334,"00")</f>
        <v>12</v>
      </c>
      <c r="AV1363" s="387">
        <f>SUMIFS(AV2:AV1334,G2:G1334,"EMLO",E2:E1334,"0303",F2:F1334,"00")</f>
        <v>0</v>
      </c>
      <c r="AW1363" s="387">
        <f>SUMIFS(AW2:AW1334,G2:G1334,"EMLO",E2:E1334,"0303",F2:F1334,"00")</f>
        <v>143</v>
      </c>
      <c r="AX1363" s="387">
        <f>SUMIFS(AX2:AX1334,G2:G1334,"EMLO",E2:E1334,"0303",F2:F1334,"00")</f>
        <v>787529.6</v>
      </c>
      <c r="AY1363" s="387">
        <f>SUMIFS(AY2:AY1334,G2:G1334,"EMLO",E2:E1334,"0303",F2:F1334,"00")</f>
        <v>516422.40000000002</v>
      </c>
      <c r="AZ1363" s="387">
        <f>SUMIFS(AZ2:AZ1334,G2:G1334,"EMLO",E2:E1334,"0303",F2:F1334,"00")</f>
        <v>0</v>
      </c>
      <c r="BA1363" s="387">
        <f>SUMIFS(BA2:BA1334,G2:G1334,"EMLO",E2:E1334,"0303",F2:F1334,"00")</f>
        <v>0</v>
      </c>
      <c r="BB1363" s="387">
        <f>SUMIFS(BB2:BB1334,G2:G1334,"EMLO",E2:E1334,"0303",F2:F1334,"00")</f>
        <v>96112.5</v>
      </c>
      <c r="BC1363" s="387">
        <f>SUMIFS(BC2:BC1334,G2:G1334,"EMLO",E2:E1334,"0303",F2:F1334,"00")</f>
        <v>0</v>
      </c>
      <c r="BD1363" s="387">
        <f>SUMIFS(BD2:BD1334,G2:G1334,"EMLO",E2:E1334,"0303",F2:F1334,"00")</f>
        <v>32018.1888</v>
      </c>
      <c r="BE1363" s="387">
        <f>SUMIFS(BE2:BE1334,G2:G1334,"EMLO",E2:E1334,"0303",F2:F1334,"00")</f>
        <v>7488.1248000000005</v>
      </c>
      <c r="BF1363" s="387">
        <f>SUMIFS(BF2:BF1334,G2:G1334,"EMLO",E2:E1334,"0303",F2:F1334,"00")</f>
        <v>61660.834560000003</v>
      </c>
      <c r="BG1363" s="387">
        <f>SUMIFS(BG2:BG1334,G2:G1334,"EMLO",E2:E1334,"0303",F2:F1334,"00")</f>
        <v>3723.4055040000003</v>
      </c>
      <c r="BH1363" s="387">
        <f>SUMIFS(BH2:BH1334,G2:G1334,"EMLO",E2:E1334,"0303",F2:F1334,"00")</f>
        <v>2530.46976</v>
      </c>
      <c r="BI1363" s="387">
        <f>SUMIFS(BI2:BI1334,G2:G1334,"EMLO",E2:E1334,"0303",F2:F1334,"00")</f>
        <v>2477.0940479999995</v>
      </c>
      <c r="BJ1363" s="387">
        <f>SUMIFS(BJ2:BJ1334,G2:G1334,"EMLO",E2:E1334,"0303",F2:F1334,"00")</f>
        <v>1394.3404800000001</v>
      </c>
      <c r="BK1363" s="387">
        <f>SUMIFS(BK2:BK1334,G2:G1334,"EMLO",E2:E1334,"0303",F2:F1334,"00")</f>
        <v>0</v>
      </c>
      <c r="BL1363" s="387">
        <f>SUMIFS(BL2:BL1334,G2:G1334,"EMLO",E2:E1334,"0303",F2:F1334,"00")</f>
        <v>111292.457952</v>
      </c>
      <c r="BM1363" s="387">
        <f>SUMIFS(BM2:BM1334,G2:G1334,"EMLO",E2:E1334,"0303",F2:F1334,"00")</f>
        <v>0</v>
      </c>
      <c r="BN1363" s="387">
        <f>SUMIFS(BN2:BN1334,G2:G1334,"EMLO",E2:E1334,"0303",F2:F1334,"00")</f>
        <v>96112.5</v>
      </c>
      <c r="BO1363" s="387">
        <f>SUMIFS(BO2:BO1334,G2:G1334,"EMLO",E2:E1334,"0303",F2:F1334,"00")</f>
        <v>0</v>
      </c>
      <c r="BP1363" s="387">
        <f>SUMIFS(BP2:BP1334,G2:G1334,"EMLO",E2:E1334,"0303",F2:F1334,"00")</f>
        <v>32018.1888</v>
      </c>
      <c r="BQ1363" s="387">
        <f>SUMIFS(BQ2:BQ1334,G2:G1334,"EMLO",E2:E1334,"0303",F2:F1334,"00")</f>
        <v>7488.1248000000005</v>
      </c>
      <c r="BR1363" s="387">
        <f>SUMIFS(BR2:BR1334,G2:G1334,"EMLO",E2:E1334,"0303",F2:F1334,"00")</f>
        <v>61660.834560000003</v>
      </c>
      <c r="BS1363" s="387">
        <f>SUMIFS(BS2:BS1334,G2:G1334,"EMLO",E2:E1334,"0303",F2:F1334,"00")</f>
        <v>3723.4055040000003</v>
      </c>
      <c r="BT1363" s="387">
        <f>SUMIFS(BT2:BT1334,G2:G1334,"EMLO",E2:E1334,"0303",F2:F1334,"00")</f>
        <v>0</v>
      </c>
      <c r="BU1363" s="387">
        <f>SUMIFS(BU2:BU1334,G2:G1334,"EMLO",E2:E1334,"0303",F2:F1334,"00")</f>
        <v>2477.0940479999995</v>
      </c>
      <c r="BV1363" s="387">
        <f>SUMIFS(BV2:BV1334,G2:G1334,"EMLO",E2:E1334,"0303",F2:F1334,"00")</f>
        <v>1755.8361600000001</v>
      </c>
      <c r="BW1363" s="387">
        <f>SUMIFS(BW2:BW1334,G2:G1334,"EMLO",E2:E1334,"0303",F2:F1334,"00")</f>
        <v>0</v>
      </c>
      <c r="BX1363" s="387">
        <f>SUMIFS(BX2:BX1334,G2:G1334,"EMLO",E2:E1334,"0303",F2:F1334,"00")</f>
        <v>109123.48387200001</v>
      </c>
      <c r="BY1363" s="387">
        <f>SUMIFS(BY2:BY1334,G2:G1334,"EMLO",E2:E1334,"0303",F2:F1334,"00")</f>
        <v>0</v>
      </c>
      <c r="BZ1363" s="387">
        <f>SUMIFS(BZ2:BZ1334,G2:G1334,"EMLO",E2:E1334,"0303",F2:F1334,"00")</f>
        <v>0</v>
      </c>
      <c r="CA1363" s="387">
        <f>SUMIFS(CA2:CA1334,G2:G1334,"EMLO",E2:E1334,"0303",F2:F1334,"00")</f>
        <v>0</v>
      </c>
      <c r="CB1363" s="387">
        <f>SUMIFS(CB2:CB1334,G2:G1334,"EMLO",E2:E1334,"0303",F2:F1334,"00")</f>
        <v>0</v>
      </c>
      <c r="CC1363" s="387">
        <f>SUMIFS(CC2:CC1334,G2:G1334,"EMLO",E2:E1334,"0303",F2:F1334,"00")</f>
        <v>0</v>
      </c>
      <c r="CD1363" s="387">
        <f>SUMIFS(CD2:CD1334,G2:G1334,"EMLO",E2:E1334,"0303",F2:F1334,"00")</f>
        <v>0</v>
      </c>
      <c r="CE1363" s="387">
        <f>SUMIFS(CE2:CE1334,G2:G1334,"EMLO",E2:E1334,"0303",F2:F1334,"00")</f>
        <v>0</v>
      </c>
      <c r="CF1363" s="387">
        <f>SUMIFS(CF2:CF1334,G2:G1334,"EMLO",E2:E1334,"0303",F2:F1334,"00")</f>
        <v>-2530.46976</v>
      </c>
      <c r="CG1363" s="387">
        <f>SUMIFS(CG2:CG1334,G2:G1334,"EMLO",E2:E1334,"0303",F2:F1334,"00")</f>
        <v>0</v>
      </c>
      <c r="CH1363" s="387">
        <f>SUMIFS(CH2:CH1334,G2:G1334,"EMLO",E2:E1334,"0303",F2:F1334,"00")</f>
        <v>361.49567999999982</v>
      </c>
      <c r="CI1363" s="387">
        <f>SUMIFS(CI2:CI1334,G2:G1334,"EMLO",E2:E1334,"0303",F2:F1334,"00")</f>
        <v>0</v>
      </c>
      <c r="CJ1363" s="387">
        <f>SUMIFS(CJ2:CJ1334,G2:G1334,"EMLO",E2:E1334,"0303",F2:F1334,"00")</f>
        <v>-2168.97408</v>
      </c>
      <c r="CK1363" s="387">
        <f>SUMIFS(CK2:CK1334,G2:G1334,"EMLO",E2:E1334,"0303",F2:F1334,"00")</f>
        <v>0</v>
      </c>
      <c r="CL1363" s="387">
        <f>SUMIFS(CL2:CL1334,G2:G1334,"EMLO",E2:E1334,"0303",F2:F1334,"00")</f>
        <v>0</v>
      </c>
      <c r="CM1363" s="387">
        <f>SUMIFS(CM2:CM1334,G2:G1334,"EMLO",E2:E1334,"0303",F2:F1334,"00")</f>
        <v>0</v>
      </c>
    </row>
    <row r="1364" spans="43:91" ht="18.75" x14ac:dyDescent="0.3">
      <c r="AQ1364" s="393" t="s">
        <v>2693</v>
      </c>
      <c r="AS1364" s="394">
        <f t="shared" ref="AS1364:CM1364" si="936">SUM(AS1363:AS1363)</f>
        <v>8.25</v>
      </c>
      <c r="AT1364" s="394">
        <f t="shared" si="936"/>
        <v>0</v>
      </c>
      <c r="AU1364" s="394">
        <f t="shared" si="936"/>
        <v>12</v>
      </c>
      <c r="AV1364" s="394">
        <f t="shared" si="936"/>
        <v>0</v>
      </c>
      <c r="AW1364" s="394">
        <f t="shared" si="936"/>
        <v>143</v>
      </c>
      <c r="AX1364" s="394">
        <f t="shared" si="936"/>
        <v>787529.6</v>
      </c>
      <c r="AY1364" s="394">
        <f t="shared" si="936"/>
        <v>516422.40000000002</v>
      </c>
      <c r="AZ1364" s="394">
        <f t="shared" si="936"/>
        <v>0</v>
      </c>
      <c r="BA1364" s="394">
        <f t="shared" si="936"/>
        <v>0</v>
      </c>
      <c r="BB1364" s="394">
        <f t="shared" si="936"/>
        <v>96112.5</v>
      </c>
      <c r="BC1364" s="394">
        <f t="shared" si="936"/>
        <v>0</v>
      </c>
      <c r="BD1364" s="394">
        <f t="shared" si="936"/>
        <v>32018.1888</v>
      </c>
      <c r="BE1364" s="394">
        <f t="shared" si="936"/>
        <v>7488.1248000000005</v>
      </c>
      <c r="BF1364" s="394">
        <f t="shared" si="936"/>
        <v>61660.834560000003</v>
      </c>
      <c r="BG1364" s="394">
        <f t="shared" si="936"/>
        <v>3723.4055040000003</v>
      </c>
      <c r="BH1364" s="394">
        <f t="shared" si="936"/>
        <v>2530.46976</v>
      </c>
      <c r="BI1364" s="394">
        <f t="shared" si="936"/>
        <v>2477.0940479999995</v>
      </c>
      <c r="BJ1364" s="394">
        <f t="shared" si="936"/>
        <v>1394.3404800000001</v>
      </c>
      <c r="BK1364" s="394">
        <f t="shared" si="936"/>
        <v>0</v>
      </c>
      <c r="BL1364" s="394">
        <f t="shared" si="936"/>
        <v>111292.457952</v>
      </c>
      <c r="BM1364" s="394">
        <f t="shared" si="936"/>
        <v>0</v>
      </c>
      <c r="BN1364" s="394">
        <f t="shared" si="936"/>
        <v>96112.5</v>
      </c>
      <c r="BO1364" s="394">
        <f t="shared" si="936"/>
        <v>0</v>
      </c>
      <c r="BP1364" s="394">
        <f t="shared" si="936"/>
        <v>32018.1888</v>
      </c>
      <c r="BQ1364" s="394">
        <f t="shared" si="936"/>
        <v>7488.1248000000005</v>
      </c>
      <c r="BR1364" s="394">
        <f t="shared" si="936"/>
        <v>61660.834560000003</v>
      </c>
      <c r="BS1364" s="394">
        <f t="shared" si="936"/>
        <v>3723.4055040000003</v>
      </c>
      <c r="BT1364" s="394">
        <f t="shared" si="936"/>
        <v>0</v>
      </c>
      <c r="BU1364" s="394">
        <f t="shared" si="936"/>
        <v>2477.0940479999995</v>
      </c>
      <c r="BV1364" s="394">
        <f t="shared" si="936"/>
        <v>1755.8361600000001</v>
      </c>
      <c r="BW1364" s="394">
        <f t="shared" si="936"/>
        <v>0</v>
      </c>
      <c r="BX1364" s="394">
        <f t="shared" si="936"/>
        <v>109123.48387200001</v>
      </c>
      <c r="BY1364" s="394">
        <f t="shared" si="936"/>
        <v>0</v>
      </c>
      <c r="BZ1364" s="394">
        <f t="shared" si="936"/>
        <v>0</v>
      </c>
      <c r="CA1364" s="394">
        <f t="shared" si="936"/>
        <v>0</v>
      </c>
      <c r="CB1364" s="394">
        <f t="shared" si="936"/>
        <v>0</v>
      </c>
      <c r="CC1364" s="394">
        <f t="shared" si="936"/>
        <v>0</v>
      </c>
      <c r="CD1364" s="394">
        <f t="shared" si="936"/>
        <v>0</v>
      </c>
      <c r="CE1364" s="394">
        <f t="shared" si="936"/>
        <v>0</v>
      </c>
      <c r="CF1364" s="394">
        <f t="shared" si="936"/>
        <v>-2530.46976</v>
      </c>
      <c r="CG1364" s="394">
        <f t="shared" si="936"/>
        <v>0</v>
      </c>
      <c r="CH1364" s="394">
        <f t="shared" si="936"/>
        <v>361.49567999999982</v>
      </c>
      <c r="CI1364" s="394">
        <f t="shared" si="936"/>
        <v>0</v>
      </c>
      <c r="CJ1364" s="394">
        <f t="shared" si="936"/>
        <v>-2168.97408</v>
      </c>
      <c r="CK1364" s="394">
        <f t="shared" si="936"/>
        <v>0</v>
      </c>
      <c r="CL1364" s="394">
        <f t="shared" si="936"/>
        <v>0</v>
      </c>
      <c r="CM1364" s="394">
        <f t="shared" si="936"/>
        <v>0</v>
      </c>
    </row>
    <row r="1365" spans="43:91" x14ac:dyDescent="0.25">
      <c r="AR1365" t="s">
        <v>2695</v>
      </c>
      <c r="AS1365" s="387">
        <f>SUMIFS(AS2:AS1334,G2:G1334,"EMLO",E2:E1334,"0348",F2:F1334,"00",AT2:AT1334,1)</f>
        <v>0</v>
      </c>
      <c r="AT1365" s="387">
        <f>SUMIFS(AS2:AS1334,G2:G1334,"EMLO",E2:E1334,"0348",F2:F1334,"00",AT2:AT1334,3)</f>
        <v>0</v>
      </c>
      <c r="AU1365" s="387">
        <f>SUMIFS(AU2:AU1334,G2:G1334,"EMLO",E2:E1334,"0348",F2:F1334,"00")</f>
        <v>0</v>
      </c>
      <c r="AV1365" s="387">
        <f>SUMIFS(AV2:AV1334,G2:G1334,"EMLO",E2:E1334,"0348",F2:F1334,"00")</f>
        <v>0</v>
      </c>
      <c r="AW1365" s="387">
        <f>SUMIFS(AW2:AW1334,G2:G1334,"EMLO",E2:E1334,"0348",F2:F1334,"00")</f>
        <v>0</v>
      </c>
      <c r="AX1365" s="387">
        <f>SUMIFS(AX2:AX1334,G2:G1334,"EMLO",E2:E1334,"0348",F2:F1334,"00")</f>
        <v>0</v>
      </c>
      <c r="AY1365" s="387">
        <f>SUMIFS(AY2:AY1334,G2:G1334,"EMLO",E2:E1334,"0348",F2:F1334,"00")</f>
        <v>0</v>
      </c>
      <c r="AZ1365" s="387">
        <f>SUMIFS(AZ2:AZ1334,G2:G1334,"EMLO",E2:E1334,"0348",F2:F1334,"00")</f>
        <v>0</v>
      </c>
      <c r="BA1365" s="387">
        <f>SUMIFS(BA2:BA1334,G2:G1334,"EMLO",E2:E1334,"0348",F2:F1334,"00")</f>
        <v>0</v>
      </c>
      <c r="BB1365" s="387">
        <f>SUMIFS(BB2:BB1334,G2:G1334,"EMLO",E2:E1334,"0348",F2:F1334,"00")</f>
        <v>0</v>
      </c>
      <c r="BC1365" s="387">
        <f>SUMIFS(BC2:BC1334,G2:G1334,"EMLO",E2:E1334,"0348",F2:F1334,"00")</f>
        <v>0</v>
      </c>
      <c r="BD1365" s="387">
        <f>SUMIFS(BD2:BD1334,G2:G1334,"EMLO",E2:E1334,"0348",F2:F1334,"00")</f>
        <v>0</v>
      </c>
      <c r="BE1365" s="387">
        <f>SUMIFS(BE2:BE1334,G2:G1334,"EMLO",E2:E1334,"0348",F2:F1334,"00")</f>
        <v>0</v>
      </c>
      <c r="BF1365" s="387">
        <f>SUMIFS(BF2:BF1334,G2:G1334,"EMLO",E2:E1334,"0348",F2:F1334,"00")</f>
        <v>0</v>
      </c>
      <c r="BG1365" s="387">
        <f>SUMIFS(BG2:BG1334,G2:G1334,"EMLO",E2:E1334,"0348",F2:F1334,"00")</f>
        <v>0</v>
      </c>
      <c r="BH1365" s="387">
        <f>SUMIFS(BH2:BH1334,G2:G1334,"EMLO",E2:E1334,"0348",F2:F1334,"00")</f>
        <v>0</v>
      </c>
      <c r="BI1365" s="387">
        <f>SUMIFS(BI2:BI1334,G2:G1334,"EMLO",E2:E1334,"0348",F2:F1334,"00")</f>
        <v>0</v>
      </c>
      <c r="BJ1365" s="387">
        <f>SUMIFS(BJ2:BJ1334,G2:G1334,"EMLO",E2:E1334,"0348",F2:F1334,"00")</f>
        <v>0</v>
      </c>
      <c r="BK1365" s="387">
        <f>SUMIFS(BK2:BK1334,G2:G1334,"EMLO",E2:E1334,"0348",F2:F1334,"00")</f>
        <v>0</v>
      </c>
      <c r="BL1365" s="387">
        <f>SUMIFS(BL2:BL1334,G2:G1334,"EMLO",E2:E1334,"0348",F2:F1334,"00")</f>
        <v>0</v>
      </c>
      <c r="BM1365" s="387">
        <f>SUMIFS(BM2:BM1334,G2:G1334,"EMLO",E2:E1334,"0348",F2:F1334,"00")</f>
        <v>0</v>
      </c>
      <c r="BN1365" s="387">
        <f>SUMIFS(BN2:BN1334,G2:G1334,"EMLO",E2:E1334,"0348",F2:F1334,"00")</f>
        <v>0</v>
      </c>
      <c r="BO1365" s="387">
        <f>SUMIFS(BO2:BO1334,G2:G1334,"EMLO",E2:E1334,"0348",F2:F1334,"00")</f>
        <v>0</v>
      </c>
      <c r="BP1365" s="387">
        <f>SUMIFS(BP2:BP1334,G2:G1334,"EMLO",E2:E1334,"0348",F2:F1334,"00")</f>
        <v>0</v>
      </c>
      <c r="BQ1365" s="387">
        <f>SUMIFS(BQ2:BQ1334,G2:G1334,"EMLO",E2:E1334,"0348",F2:F1334,"00")</f>
        <v>0</v>
      </c>
      <c r="BR1365" s="387">
        <f>SUMIFS(BR2:BR1334,G2:G1334,"EMLO",E2:E1334,"0348",F2:F1334,"00")</f>
        <v>0</v>
      </c>
      <c r="BS1365" s="387">
        <f>SUMIFS(BS2:BS1334,G2:G1334,"EMLO",E2:E1334,"0348",F2:F1334,"00")</f>
        <v>0</v>
      </c>
      <c r="BT1365" s="387">
        <f>SUMIFS(BT2:BT1334,G2:G1334,"EMLO",E2:E1334,"0348",F2:F1334,"00")</f>
        <v>0</v>
      </c>
      <c r="BU1365" s="387">
        <f>SUMIFS(BU2:BU1334,G2:G1334,"EMLO",E2:E1334,"0348",F2:F1334,"00")</f>
        <v>0</v>
      </c>
      <c r="BV1365" s="387">
        <f>SUMIFS(BV2:BV1334,G2:G1334,"EMLO",E2:E1334,"0348",F2:F1334,"00")</f>
        <v>0</v>
      </c>
      <c r="BW1365" s="387">
        <f>SUMIFS(BW2:BW1334,G2:G1334,"EMLO",E2:E1334,"0348",F2:F1334,"00")</f>
        <v>0</v>
      </c>
      <c r="BX1365" s="387">
        <f>SUMIFS(BX2:BX1334,G2:G1334,"EMLO",E2:E1334,"0348",F2:F1334,"00")</f>
        <v>0</v>
      </c>
      <c r="BY1365" s="387">
        <f>SUMIFS(BY2:BY1334,G2:G1334,"EMLO",E2:E1334,"0348",F2:F1334,"00")</f>
        <v>0</v>
      </c>
      <c r="BZ1365" s="387">
        <f>SUMIFS(BZ2:BZ1334,G2:G1334,"EMLO",E2:E1334,"0348",F2:F1334,"00")</f>
        <v>0</v>
      </c>
      <c r="CA1365" s="387">
        <f>SUMIFS(CA2:CA1334,G2:G1334,"EMLO",E2:E1334,"0348",F2:F1334,"00")</f>
        <v>0</v>
      </c>
      <c r="CB1365" s="387">
        <f>SUMIFS(CB2:CB1334,G2:G1334,"EMLO",E2:E1334,"0348",F2:F1334,"00")</f>
        <v>0</v>
      </c>
      <c r="CC1365" s="387">
        <f>SUMIFS(CC2:CC1334,G2:G1334,"EMLO",E2:E1334,"0348",F2:F1334,"00")</f>
        <v>0</v>
      </c>
      <c r="CD1365" s="387">
        <f>SUMIFS(CD2:CD1334,G2:G1334,"EMLO",E2:E1334,"0348",F2:F1334,"00")</f>
        <v>0</v>
      </c>
      <c r="CE1365" s="387">
        <f>SUMIFS(CE2:CE1334,G2:G1334,"EMLO",E2:E1334,"0348",F2:F1334,"00")</f>
        <v>0</v>
      </c>
      <c r="CF1365" s="387">
        <f>SUMIFS(CF2:CF1334,G2:G1334,"EMLO",E2:E1334,"0348",F2:F1334,"00")</f>
        <v>0</v>
      </c>
      <c r="CG1365" s="387">
        <f>SUMIFS(CG2:CG1334,G2:G1334,"EMLO",E2:E1334,"0348",F2:F1334,"00")</f>
        <v>0</v>
      </c>
      <c r="CH1365" s="387">
        <f>SUMIFS(CH2:CH1334,G2:G1334,"EMLO",E2:E1334,"0348",F2:F1334,"00")</f>
        <v>0</v>
      </c>
      <c r="CI1365" s="387">
        <f>SUMIFS(CI2:CI1334,G2:G1334,"EMLO",E2:E1334,"0348",F2:F1334,"00")</f>
        <v>0</v>
      </c>
      <c r="CJ1365" s="387">
        <f>SUMIFS(CJ2:CJ1334,G2:G1334,"EMLO",E2:E1334,"0348",F2:F1334,"00")</f>
        <v>0</v>
      </c>
      <c r="CK1365" s="387">
        <f>SUMIFS(CK2:CK1334,G2:G1334,"EMLO",E2:E1334,"0348",F2:F1334,"00")</f>
        <v>0</v>
      </c>
      <c r="CL1365" s="387">
        <f>SUMIFS(CL2:CL1334,G2:G1334,"EMLO",E2:E1334,"0348",F2:F1334,"00")</f>
        <v>0</v>
      </c>
      <c r="CM1365" s="387">
        <f>SUMIFS(CM2:CM1334,G2:G1334,"EMLO",E2:E1334,"0348",F2:F1334,"00")</f>
        <v>0</v>
      </c>
    </row>
    <row r="1366" spans="43:91" ht="15.75" thickBot="1" x14ac:dyDescent="0.3">
      <c r="AR1366" t="s">
        <v>2696</v>
      </c>
      <c r="AS1366" s="387">
        <f>SUMIFS(AS2:AS1334,G2:G1334,"EMLO",E2:E1334,"0348",F2:F1334,"31",AT2:AT1334,1)</f>
        <v>130.55000000000001</v>
      </c>
      <c r="AT1366" s="387">
        <f>SUMIFS(AS2:AS1334,G2:G1334,"EMLO",E2:E1334,"0348",F2:F1334,"31",AT2:AT1334,3)</f>
        <v>0</v>
      </c>
      <c r="AU1366" s="387">
        <f>SUMIFS(AU2:AU1334,G2:G1334,"EMLO",E2:E1334,"0348",F2:F1334,"31")</f>
        <v>172</v>
      </c>
      <c r="AV1366" s="387">
        <f>SUMIFS(AV2:AV1334,G2:G1334,"EMLO",E2:E1334,"0348",F2:F1334,"31")</f>
        <v>0</v>
      </c>
      <c r="AW1366" s="387">
        <f>SUMIFS(AW2:AW1334,G2:G1334,"EMLO",E2:E1334,"0348",F2:F1334,"31")</f>
        <v>967</v>
      </c>
      <c r="AX1366" s="387">
        <f>SUMIFS(AX2:AX1334,G2:G1334,"EMLO",E2:E1334,"0348",F2:F1334,"31")</f>
        <v>9078384.6400000006</v>
      </c>
      <c r="AY1366" s="387">
        <f>SUMIFS(AY2:AY1334,G2:G1334,"EMLO",E2:E1334,"0348",F2:F1334,"31")</f>
        <v>6743566.9599999981</v>
      </c>
      <c r="AZ1366" s="387">
        <f>SUMIFS(AZ2:AZ1334,G2:G1334,"EMLO",E2:E1334,"0348",F2:F1334,"31")</f>
        <v>0</v>
      </c>
      <c r="BA1366" s="387">
        <f>SUMIFS(BA2:BA1334,G2:G1334,"EMLO",E2:E1334,"0348",F2:F1334,"31")</f>
        <v>0</v>
      </c>
      <c r="BB1366" s="387">
        <f>SUMIFS(BB2:BB1334,G2:G1334,"EMLO",E2:E1334,"0348",F2:F1334,"31")</f>
        <v>1520907.5</v>
      </c>
      <c r="BC1366" s="387">
        <f>SUMIFS(BC2:BC1334,G2:G1334,"EMLO",E2:E1334,"0348",F2:F1334,"31")</f>
        <v>0</v>
      </c>
      <c r="BD1366" s="387">
        <f>SUMIFS(BD2:BD1334,G2:G1334,"EMLO",E2:E1334,"0348",F2:F1334,"31")</f>
        <v>418101.1515199999</v>
      </c>
      <c r="BE1366" s="387">
        <f>SUMIFS(BE2:BE1334,G2:G1334,"EMLO",E2:E1334,"0348",F2:F1334,"31")</f>
        <v>97781.720919999978</v>
      </c>
      <c r="BF1366" s="387">
        <f>SUMIFS(BF2:BF1334,G2:G1334,"EMLO",E2:E1334,"0348",F2:F1334,"31")</f>
        <v>805181.89502399962</v>
      </c>
      <c r="BG1366" s="387">
        <f>SUMIFS(BG2:BG1334,G2:G1334,"EMLO",E2:E1334,"0348",F2:F1334,"31")</f>
        <v>48621.117781599984</v>
      </c>
      <c r="BH1366" s="387">
        <f>SUMIFS(BH2:BH1334,G2:G1334,"EMLO",E2:E1334,"0348",F2:F1334,"31")</f>
        <v>33043.478104000009</v>
      </c>
      <c r="BI1366" s="387">
        <f>SUMIFS(BI2:BI1334,G2:G1334,"EMLO",E2:E1334,"0348",F2:F1334,"31")</f>
        <v>35356.182965999978</v>
      </c>
      <c r="BJ1366" s="387">
        <f>SUMIFS(BJ2:BJ1334,G2:G1334,"EMLO",E2:E1334,"0348",F2:F1334,"31")</f>
        <v>18207.630792</v>
      </c>
      <c r="BK1366" s="387">
        <f>SUMIFS(BK2:BK1334,G2:G1334,"EMLO",E2:E1334,"0348",F2:F1334,"31")</f>
        <v>0</v>
      </c>
      <c r="BL1366" s="387">
        <f>SUMIFS(BL2:BL1334,G2:G1334,"EMLO",E2:E1334,"0348",F2:F1334,"31")</f>
        <v>1456293.1771075993</v>
      </c>
      <c r="BM1366" s="387">
        <f>SUMIFS(BM2:BM1334,G2:G1334,"EMLO",E2:E1334,"0348",F2:F1334,"31")</f>
        <v>0</v>
      </c>
      <c r="BN1366" s="387">
        <f>SUMIFS(BN2:BN1334,G2:G1334,"EMLO",E2:E1334,"0348",F2:F1334,"31")</f>
        <v>1520907.5</v>
      </c>
      <c r="BO1366" s="387">
        <f>SUMIFS(BO2:BO1334,G2:G1334,"EMLO",E2:E1334,"0348",F2:F1334,"31")</f>
        <v>0</v>
      </c>
      <c r="BP1366" s="387">
        <f>SUMIFS(BP2:BP1334,G2:G1334,"EMLO",E2:E1334,"0348",F2:F1334,"31")</f>
        <v>418101.1515199999</v>
      </c>
      <c r="BQ1366" s="387">
        <f>SUMIFS(BQ2:BQ1334,G2:G1334,"EMLO",E2:E1334,"0348",F2:F1334,"31")</f>
        <v>97781.720919999978</v>
      </c>
      <c r="BR1366" s="387">
        <f>SUMIFS(BR2:BR1334,G2:G1334,"EMLO",E2:E1334,"0348",F2:F1334,"31")</f>
        <v>805181.89502399962</v>
      </c>
      <c r="BS1366" s="387">
        <f>SUMIFS(BS2:BS1334,G2:G1334,"EMLO",E2:E1334,"0348",F2:F1334,"31")</f>
        <v>48621.117781599984</v>
      </c>
      <c r="BT1366" s="387">
        <f>SUMIFS(BT2:BT1334,G2:G1334,"EMLO",E2:E1334,"0348",F2:F1334,"31")</f>
        <v>0</v>
      </c>
      <c r="BU1366" s="387">
        <f>SUMIFS(BU2:BU1334,G2:G1334,"EMLO",E2:E1334,"0348",F2:F1334,"31")</f>
        <v>35356.182965999978</v>
      </c>
      <c r="BV1366" s="387">
        <f>SUMIFS(BV2:BV1334,G2:G1334,"EMLO",E2:E1334,"0348",F2:F1334,"31")</f>
        <v>22928.127663999985</v>
      </c>
      <c r="BW1366" s="387">
        <f>SUMIFS(BW2:BW1334,G2:G1334,"EMLO",E2:E1334,"0348",F2:F1334,"31")</f>
        <v>0</v>
      </c>
      <c r="BX1366" s="387">
        <f>SUMIFS(BX2:BX1334,G2:G1334,"EMLO",E2:E1334,"0348",F2:F1334,"31")</f>
        <v>1427970.1958755997</v>
      </c>
      <c r="BY1366" s="387">
        <f>SUMIFS(BY2:BY1334,G2:G1334,"EMLO",E2:E1334,"0348",F2:F1334,"31")</f>
        <v>0</v>
      </c>
      <c r="BZ1366" s="387">
        <f>SUMIFS(BZ2:BZ1334,G2:G1334,"EMLO",E2:E1334,"0348",F2:F1334,"31")</f>
        <v>0</v>
      </c>
      <c r="CA1366" s="387">
        <f>SUMIFS(CA2:CA1334,G2:G1334,"EMLO",E2:E1334,"0348",F2:F1334,"31")</f>
        <v>0</v>
      </c>
      <c r="CB1366" s="387">
        <f>SUMIFS(CB2:CB1334,G2:G1334,"EMLO",E2:E1334,"0348",F2:F1334,"31")</f>
        <v>0</v>
      </c>
      <c r="CC1366" s="387">
        <f>SUMIFS(CC2:CC1334,G2:G1334,"EMLO",E2:E1334,"0348",F2:F1334,"31")</f>
        <v>0</v>
      </c>
      <c r="CD1366" s="387">
        <f>SUMIFS(CD2:CD1334,G2:G1334,"EMLO",E2:E1334,"0348",F2:F1334,"31")</f>
        <v>0</v>
      </c>
      <c r="CE1366" s="387">
        <f>SUMIFS(CE2:CE1334,G2:G1334,"EMLO",E2:E1334,"0348",F2:F1334,"31")</f>
        <v>0</v>
      </c>
      <c r="CF1366" s="387">
        <f>SUMIFS(CF2:CF1334,G2:G1334,"EMLO",E2:E1334,"0348",F2:F1334,"31")</f>
        <v>-33043.478104000009</v>
      </c>
      <c r="CG1366" s="387">
        <f>SUMIFS(CG2:CG1334,G2:G1334,"EMLO",E2:E1334,"0348",F2:F1334,"31")</f>
        <v>0</v>
      </c>
      <c r="CH1366" s="387">
        <f>SUMIFS(CH2:CH1334,G2:G1334,"EMLO",E2:E1334,"0348",F2:F1334,"31")</f>
        <v>4720.4968719999997</v>
      </c>
      <c r="CI1366" s="387">
        <f>SUMIFS(CI2:CI1334,G2:G1334,"EMLO",E2:E1334,"0348",F2:F1334,"31")</f>
        <v>0</v>
      </c>
      <c r="CJ1366" s="387">
        <f>SUMIFS(CJ2:CJ1334,G2:G1334,"EMLO",E2:E1334,"0348",F2:F1334,"31")</f>
        <v>-28322.981232000002</v>
      </c>
      <c r="CK1366" s="387">
        <f>SUMIFS(CK2:CK1334,G2:G1334,"EMLO",E2:E1334,"0348",F2:F1334,"31")</f>
        <v>0</v>
      </c>
      <c r="CL1366" s="387">
        <f>SUMIFS(CL2:CL1334,G2:G1334,"EMLO",E2:E1334,"0348",F2:F1334,"31")</f>
        <v>22764.28</v>
      </c>
      <c r="CM1366" s="387">
        <f>SUMIFS(CM2:CM1334,G2:G1334,"EMLO",E2:E1334,"0348",F2:F1334,"31")</f>
        <v>4727.95</v>
      </c>
    </row>
    <row r="1367" spans="43:91" ht="18.75" x14ac:dyDescent="0.3">
      <c r="AQ1367" s="393" t="s">
        <v>2697</v>
      </c>
      <c r="AS1367" s="394">
        <f t="shared" ref="AS1367:CM1367" si="937">SUM(AS1365:AS1366)</f>
        <v>130.55000000000001</v>
      </c>
      <c r="AT1367" s="394">
        <f t="shared" si="937"/>
        <v>0</v>
      </c>
      <c r="AU1367" s="394">
        <f t="shared" si="937"/>
        <v>172</v>
      </c>
      <c r="AV1367" s="394">
        <f t="shared" si="937"/>
        <v>0</v>
      </c>
      <c r="AW1367" s="394">
        <f t="shared" si="937"/>
        <v>967</v>
      </c>
      <c r="AX1367" s="394">
        <f t="shared" si="937"/>
        <v>9078384.6400000006</v>
      </c>
      <c r="AY1367" s="394">
        <f t="shared" si="937"/>
        <v>6743566.9599999981</v>
      </c>
      <c r="AZ1367" s="394">
        <f t="shared" si="937"/>
        <v>0</v>
      </c>
      <c r="BA1367" s="394">
        <f t="shared" si="937"/>
        <v>0</v>
      </c>
      <c r="BB1367" s="394">
        <f t="shared" si="937"/>
        <v>1520907.5</v>
      </c>
      <c r="BC1367" s="394">
        <f t="shared" si="937"/>
        <v>0</v>
      </c>
      <c r="BD1367" s="394">
        <f t="shared" si="937"/>
        <v>418101.1515199999</v>
      </c>
      <c r="BE1367" s="394">
        <f t="shared" si="937"/>
        <v>97781.720919999978</v>
      </c>
      <c r="BF1367" s="394">
        <f t="shared" si="937"/>
        <v>805181.89502399962</v>
      </c>
      <c r="BG1367" s="394">
        <f t="shared" si="937"/>
        <v>48621.117781599984</v>
      </c>
      <c r="BH1367" s="394">
        <f t="shared" si="937"/>
        <v>33043.478104000009</v>
      </c>
      <c r="BI1367" s="394">
        <f t="shared" si="937"/>
        <v>35356.182965999978</v>
      </c>
      <c r="BJ1367" s="394">
        <f t="shared" si="937"/>
        <v>18207.630792</v>
      </c>
      <c r="BK1367" s="394">
        <f t="shared" si="937"/>
        <v>0</v>
      </c>
      <c r="BL1367" s="394">
        <f t="shared" si="937"/>
        <v>1456293.1771075993</v>
      </c>
      <c r="BM1367" s="394">
        <f t="shared" si="937"/>
        <v>0</v>
      </c>
      <c r="BN1367" s="394">
        <f t="shared" si="937"/>
        <v>1520907.5</v>
      </c>
      <c r="BO1367" s="394">
        <f t="shared" si="937"/>
        <v>0</v>
      </c>
      <c r="BP1367" s="394">
        <f t="shared" si="937"/>
        <v>418101.1515199999</v>
      </c>
      <c r="BQ1367" s="394">
        <f t="shared" si="937"/>
        <v>97781.720919999978</v>
      </c>
      <c r="BR1367" s="394">
        <f t="shared" si="937"/>
        <v>805181.89502399962</v>
      </c>
      <c r="BS1367" s="394">
        <f t="shared" si="937"/>
        <v>48621.117781599984</v>
      </c>
      <c r="BT1367" s="394">
        <f t="shared" si="937"/>
        <v>0</v>
      </c>
      <c r="BU1367" s="394">
        <f t="shared" si="937"/>
        <v>35356.182965999978</v>
      </c>
      <c r="BV1367" s="394">
        <f t="shared" si="937"/>
        <v>22928.127663999985</v>
      </c>
      <c r="BW1367" s="394">
        <f t="shared" si="937"/>
        <v>0</v>
      </c>
      <c r="BX1367" s="394">
        <f t="shared" si="937"/>
        <v>1427970.1958755997</v>
      </c>
      <c r="BY1367" s="394">
        <f t="shared" si="937"/>
        <v>0</v>
      </c>
      <c r="BZ1367" s="394">
        <f t="shared" si="937"/>
        <v>0</v>
      </c>
      <c r="CA1367" s="394">
        <f t="shared" si="937"/>
        <v>0</v>
      </c>
      <c r="CB1367" s="394">
        <f t="shared" si="937"/>
        <v>0</v>
      </c>
      <c r="CC1367" s="394">
        <f t="shared" si="937"/>
        <v>0</v>
      </c>
      <c r="CD1367" s="394">
        <f t="shared" si="937"/>
        <v>0</v>
      </c>
      <c r="CE1367" s="394">
        <f t="shared" si="937"/>
        <v>0</v>
      </c>
      <c r="CF1367" s="394">
        <f t="shared" si="937"/>
        <v>-33043.478104000009</v>
      </c>
      <c r="CG1367" s="394">
        <f t="shared" si="937"/>
        <v>0</v>
      </c>
      <c r="CH1367" s="394">
        <f t="shared" si="937"/>
        <v>4720.4968719999997</v>
      </c>
      <c r="CI1367" s="394">
        <f t="shared" si="937"/>
        <v>0</v>
      </c>
      <c r="CJ1367" s="394">
        <f t="shared" si="937"/>
        <v>-28322.981232000002</v>
      </c>
      <c r="CK1367" s="394">
        <f t="shared" si="937"/>
        <v>0</v>
      </c>
      <c r="CL1367" s="394">
        <f t="shared" si="937"/>
        <v>22764.28</v>
      </c>
      <c r="CM1367" s="394">
        <f t="shared" si="937"/>
        <v>4727.95</v>
      </c>
    </row>
    <row r="1368" spans="43:91" x14ac:dyDescent="0.25">
      <c r="AR1368" t="s">
        <v>2699</v>
      </c>
      <c r="AS1368" s="387">
        <f>SUMIFS(AS2:AS1334,G2:G1334,"EMLO",E2:E1334,"0349",F2:F1334,"00",AT2:AT1334,1)</f>
        <v>0</v>
      </c>
      <c r="AT1368" s="387">
        <f>SUMIFS(AS2:AS1334,G2:G1334,"EMLO",E2:E1334,"0349",F2:F1334,"00",AT2:AT1334,3)</f>
        <v>0</v>
      </c>
      <c r="AU1368" s="387">
        <f>SUMIFS(AU2:AU1334,G2:G1334,"EMLO",E2:E1334,"0349",F2:F1334,"00")</f>
        <v>0</v>
      </c>
      <c r="AV1368" s="387">
        <f>SUMIFS(AV2:AV1334,G2:G1334,"EMLO",E2:E1334,"0349",F2:F1334,"00")</f>
        <v>0</v>
      </c>
      <c r="AW1368" s="387">
        <f>SUMIFS(AW2:AW1334,G2:G1334,"EMLO",E2:E1334,"0349",F2:F1334,"00")</f>
        <v>0</v>
      </c>
      <c r="AX1368" s="387">
        <f>SUMIFS(AX2:AX1334,G2:G1334,"EMLO",E2:E1334,"0349",F2:F1334,"00")</f>
        <v>0</v>
      </c>
      <c r="AY1368" s="387">
        <f>SUMIFS(AY2:AY1334,G2:G1334,"EMLO",E2:E1334,"0349",F2:F1334,"00")</f>
        <v>0</v>
      </c>
      <c r="AZ1368" s="387">
        <f>SUMIFS(AZ2:AZ1334,G2:G1334,"EMLO",E2:E1334,"0349",F2:F1334,"00")</f>
        <v>0</v>
      </c>
      <c r="BA1368" s="387">
        <f>SUMIFS(BA2:BA1334,G2:G1334,"EMLO",E2:E1334,"0349",F2:F1334,"00")</f>
        <v>0</v>
      </c>
      <c r="BB1368" s="387">
        <f>SUMIFS(BB2:BB1334,G2:G1334,"EMLO",E2:E1334,"0349",F2:F1334,"00")</f>
        <v>0</v>
      </c>
      <c r="BC1368" s="387">
        <f>SUMIFS(BC2:BC1334,G2:G1334,"EMLO",E2:E1334,"0349",F2:F1334,"00")</f>
        <v>0</v>
      </c>
      <c r="BD1368" s="387">
        <f>SUMIFS(BD2:BD1334,G2:G1334,"EMLO",E2:E1334,"0349",F2:F1334,"00")</f>
        <v>0</v>
      </c>
      <c r="BE1368" s="387">
        <f>SUMIFS(BE2:BE1334,G2:G1334,"EMLO",E2:E1334,"0349",F2:F1334,"00")</f>
        <v>0</v>
      </c>
      <c r="BF1368" s="387">
        <f>SUMIFS(BF2:BF1334,G2:G1334,"EMLO",E2:E1334,"0349",F2:F1334,"00")</f>
        <v>0</v>
      </c>
      <c r="BG1368" s="387">
        <f>SUMIFS(BG2:BG1334,G2:G1334,"EMLO",E2:E1334,"0349",F2:F1334,"00")</f>
        <v>0</v>
      </c>
      <c r="BH1368" s="387">
        <f>SUMIFS(BH2:BH1334,G2:G1334,"EMLO",E2:E1334,"0349",F2:F1334,"00")</f>
        <v>0</v>
      </c>
      <c r="BI1368" s="387">
        <f>SUMIFS(BI2:BI1334,G2:G1334,"EMLO",E2:E1334,"0349",F2:F1334,"00")</f>
        <v>0</v>
      </c>
      <c r="BJ1368" s="387">
        <f>SUMIFS(BJ2:BJ1334,G2:G1334,"EMLO",E2:E1334,"0349",F2:F1334,"00")</f>
        <v>0</v>
      </c>
      <c r="BK1368" s="387">
        <f>SUMIFS(BK2:BK1334,G2:G1334,"EMLO",E2:E1334,"0349",F2:F1334,"00")</f>
        <v>0</v>
      </c>
      <c r="BL1368" s="387">
        <f>SUMIFS(BL2:BL1334,G2:G1334,"EMLO",E2:E1334,"0349",F2:F1334,"00")</f>
        <v>0</v>
      </c>
      <c r="BM1368" s="387">
        <f>SUMIFS(BM2:BM1334,G2:G1334,"EMLO",E2:E1334,"0349",F2:F1334,"00")</f>
        <v>0</v>
      </c>
      <c r="BN1368" s="387">
        <f>SUMIFS(BN2:BN1334,G2:G1334,"EMLO",E2:E1334,"0349",F2:F1334,"00")</f>
        <v>0</v>
      </c>
      <c r="BO1368" s="387">
        <f>SUMIFS(BO2:BO1334,G2:G1334,"EMLO",E2:E1334,"0349",F2:F1334,"00")</f>
        <v>0</v>
      </c>
      <c r="BP1368" s="387">
        <f>SUMIFS(BP2:BP1334,G2:G1334,"EMLO",E2:E1334,"0349",F2:F1334,"00")</f>
        <v>0</v>
      </c>
      <c r="BQ1368" s="387">
        <f>SUMIFS(BQ2:BQ1334,G2:G1334,"EMLO",E2:E1334,"0349",F2:F1334,"00")</f>
        <v>0</v>
      </c>
      <c r="BR1368" s="387">
        <f>SUMIFS(BR2:BR1334,G2:G1334,"EMLO",E2:E1334,"0349",F2:F1334,"00")</f>
        <v>0</v>
      </c>
      <c r="BS1368" s="387">
        <f>SUMIFS(BS2:BS1334,G2:G1334,"EMLO",E2:E1334,"0349",F2:F1334,"00")</f>
        <v>0</v>
      </c>
      <c r="BT1368" s="387">
        <f>SUMIFS(BT2:BT1334,G2:G1334,"EMLO",E2:E1334,"0349",F2:F1334,"00")</f>
        <v>0</v>
      </c>
      <c r="BU1368" s="387">
        <f>SUMIFS(BU2:BU1334,G2:G1334,"EMLO",E2:E1334,"0349",F2:F1334,"00")</f>
        <v>0</v>
      </c>
      <c r="BV1368" s="387">
        <f>SUMIFS(BV2:BV1334,G2:G1334,"EMLO",E2:E1334,"0349",F2:F1334,"00")</f>
        <v>0</v>
      </c>
      <c r="BW1368" s="387">
        <f>SUMIFS(BW2:BW1334,G2:G1334,"EMLO",E2:E1334,"0349",F2:F1334,"00")</f>
        <v>0</v>
      </c>
      <c r="BX1368" s="387">
        <f>SUMIFS(BX2:BX1334,G2:G1334,"EMLO",E2:E1334,"0349",F2:F1334,"00")</f>
        <v>0</v>
      </c>
      <c r="BY1368" s="387">
        <f>SUMIFS(BY2:BY1334,G2:G1334,"EMLO",E2:E1334,"0349",F2:F1334,"00")</f>
        <v>0</v>
      </c>
      <c r="BZ1368" s="387">
        <f>SUMIFS(BZ2:BZ1334,G2:G1334,"EMLO",E2:E1334,"0349",F2:F1334,"00")</f>
        <v>0</v>
      </c>
      <c r="CA1368" s="387">
        <f>SUMIFS(CA2:CA1334,G2:G1334,"EMLO",E2:E1334,"0349",F2:F1334,"00")</f>
        <v>0</v>
      </c>
      <c r="CB1368" s="387">
        <f>SUMIFS(CB2:CB1334,G2:G1334,"EMLO",E2:E1334,"0349",F2:F1334,"00")</f>
        <v>0</v>
      </c>
      <c r="CC1368" s="387">
        <f>SUMIFS(CC2:CC1334,G2:G1334,"EMLO",E2:E1334,"0349",F2:F1334,"00")</f>
        <v>0</v>
      </c>
      <c r="CD1368" s="387">
        <f>SUMIFS(CD2:CD1334,G2:G1334,"EMLO",E2:E1334,"0349",F2:F1334,"00")</f>
        <v>0</v>
      </c>
      <c r="CE1368" s="387">
        <f>SUMIFS(CE2:CE1334,G2:G1334,"EMLO",E2:E1334,"0349",F2:F1334,"00")</f>
        <v>0</v>
      </c>
      <c r="CF1368" s="387">
        <f>SUMIFS(CF2:CF1334,G2:G1334,"EMLO",E2:E1334,"0349",F2:F1334,"00")</f>
        <v>0</v>
      </c>
      <c r="CG1368" s="387">
        <f>SUMIFS(CG2:CG1334,G2:G1334,"EMLO",E2:E1334,"0349",F2:F1334,"00")</f>
        <v>0</v>
      </c>
      <c r="CH1368" s="387">
        <f>SUMIFS(CH2:CH1334,G2:G1334,"EMLO",E2:E1334,"0349",F2:F1334,"00")</f>
        <v>0</v>
      </c>
      <c r="CI1368" s="387">
        <f>SUMIFS(CI2:CI1334,G2:G1334,"EMLO",E2:E1334,"0349",F2:F1334,"00")</f>
        <v>0</v>
      </c>
      <c r="CJ1368" s="387">
        <f>SUMIFS(CJ2:CJ1334,G2:G1334,"EMLO",E2:E1334,"0349",F2:F1334,"00")</f>
        <v>0</v>
      </c>
      <c r="CK1368" s="387">
        <f>SUMIFS(CK2:CK1334,G2:G1334,"EMLO",E2:E1334,"0349",F2:F1334,"00")</f>
        <v>0</v>
      </c>
      <c r="CL1368" s="387">
        <f>SUMIFS(CL2:CL1334,G2:G1334,"EMLO",E2:E1334,"0349",F2:F1334,"00")</f>
        <v>0</v>
      </c>
      <c r="CM1368" s="387">
        <f>SUMIFS(CM2:CM1334,G2:G1334,"EMLO",E2:E1334,"0349",F2:F1334,"00")</f>
        <v>0</v>
      </c>
    </row>
    <row r="1369" spans="43:91" ht="15.75" thickBot="1" x14ac:dyDescent="0.3">
      <c r="AR1369" t="s">
        <v>2700</v>
      </c>
      <c r="AS1369" s="387">
        <f>SUMIFS(AS2:AS1334,G2:G1334,"EMLO",E2:E1334,"0349",F2:F1334,"31",AT2:AT1334,1)</f>
        <v>0</v>
      </c>
      <c r="AT1369" s="387">
        <f>SUMIFS(AS2:AS1334,G2:G1334,"EMLO",E2:E1334,"0349",F2:F1334,"31",AT2:AT1334,3)</f>
        <v>0</v>
      </c>
      <c r="AU1369" s="387">
        <f>SUMIFS(AU2:AU1334,G2:G1334,"EMLO",E2:E1334,"0349",F2:F1334,"31")</f>
        <v>0</v>
      </c>
      <c r="AV1369" s="387">
        <f>SUMIFS(AV2:AV1334,G2:G1334,"EMLO",E2:E1334,"0349",F2:F1334,"31")</f>
        <v>0</v>
      </c>
      <c r="AW1369" s="387">
        <f>SUMIFS(AW2:AW1334,G2:G1334,"EMLO",E2:E1334,"0349",F2:F1334,"31")</f>
        <v>408</v>
      </c>
      <c r="AX1369" s="387">
        <f>SUMIFS(AX2:AX1334,G2:G1334,"EMLO",E2:E1334,"0349",F2:F1334,"31")</f>
        <v>0</v>
      </c>
      <c r="AY1369" s="387">
        <f>SUMIFS(AY2:AY1334,G2:G1334,"EMLO",E2:E1334,"0349",F2:F1334,"31")</f>
        <v>0</v>
      </c>
      <c r="AZ1369" s="387">
        <f>SUMIFS(AZ2:AZ1334,G2:G1334,"EMLO",E2:E1334,"0349",F2:F1334,"31")</f>
        <v>0</v>
      </c>
      <c r="BA1369" s="387">
        <f>SUMIFS(BA2:BA1334,G2:G1334,"EMLO",E2:E1334,"0349",F2:F1334,"31")</f>
        <v>0</v>
      </c>
      <c r="BB1369" s="387">
        <f>SUMIFS(BB2:BB1334,G2:G1334,"EMLO",E2:E1334,"0349",F2:F1334,"31")</f>
        <v>0</v>
      </c>
      <c r="BC1369" s="387">
        <f>SUMIFS(BC2:BC1334,G2:G1334,"EMLO",E2:E1334,"0349",F2:F1334,"31")</f>
        <v>0</v>
      </c>
      <c r="BD1369" s="387">
        <f>SUMIFS(BD2:BD1334,G2:G1334,"EMLO",E2:E1334,"0349",F2:F1334,"31")</f>
        <v>0</v>
      </c>
      <c r="BE1369" s="387">
        <f>SUMIFS(BE2:BE1334,G2:G1334,"EMLO",E2:E1334,"0349",F2:F1334,"31")</f>
        <v>0</v>
      </c>
      <c r="BF1369" s="387">
        <f>SUMIFS(BF2:BF1334,G2:G1334,"EMLO",E2:E1334,"0349",F2:F1334,"31")</f>
        <v>0</v>
      </c>
      <c r="BG1369" s="387">
        <f>SUMIFS(BG2:BG1334,G2:G1334,"EMLO",E2:E1334,"0349",F2:F1334,"31")</f>
        <v>0</v>
      </c>
      <c r="BH1369" s="387">
        <f>SUMIFS(BH2:BH1334,G2:G1334,"EMLO",E2:E1334,"0349",F2:F1334,"31")</f>
        <v>0</v>
      </c>
      <c r="BI1369" s="387">
        <f>SUMIFS(BI2:BI1334,G2:G1334,"EMLO",E2:E1334,"0349",F2:F1334,"31")</f>
        <v>0</v>
      </c>
      <c r="BJ1369" s="387">
        <f>SUMIFS(BJ2:BJ1334,G2:G1334,"EMLO",E2:E1334,"0349",F2:F1334,"31")</f>
        <v>0</v>
      </c>
      <c r="BK1369" s="387">
        <f>SUMIFS(BK2:BK1334,G2:G1334,"EMLO",E2:E1334,"0349",F2:F1334,"31")</f>
        <v>0</v>
      </c>
      <c r="BL1369" s="387">
        <f>SUMIFS(BL2:BL1334,G2:G1334,"EMLO",E2:E1334,"0349",F2:F1334,"31")</f>
        <v>0</v>
      </c>
      <c r="BM1369" s="387">
        <f>SUMIFS(BM2:BM1334,G2:G1334,"EMLO",E2:E1334,"0349",F2:F1334,"31")</f>
        <v>0</v>
      </c>
      <c r="BN1369" s="387">
        <f>SUMIFS(BN2:BN1334,G2:G1334,"EMLO",E2:E1334,"0349",F2:F1334,"31")</f>
        <v>0</v>
      </c>
      <c r="BO1369" s="387">
        <f>SUMIFS(BO2:BO1334,G2:G1334,"EMLO",E2:E1334,"0349",F2:F1334,"31")</f>
        <v>0</v>
      </c>
      <c r="BP1369" s="387">
        <f>SUMIFS(BP2:BP1334,G2:G1334,"EMLO",E2:E1334,"0349",F2:F1334,"31")</f>
        <v>0</v>
      </c>
      <c r="BQ1369" s="387">
        <f>SUMIFS(BQ2:BQ1334,G2:G1334,"EMLO",E2:E1334,"0349",F2:F1334,"31")</f>
        <v>0</v>
      </c>
      <c r="BR1369" s="387">
        <f>SUMIFS(BR2:BR1334,G2:G1334,"EMLO",E2:E1334,"0349",F2:F1334,"31")</f>
        <v>0</v>
      </c>
      <c r="BS1369" s="387">
        <f>SUMIFS(BS2:BS1334,G2:G1334,"EMLO",E2:E1334,"0349",F2:F1334,"31")</f>
        <v>0</v>
      </c>
      <c r="BT1369" s="387">
        <f>SUMIFS(BT2:BT1334,G2:G1334,"EMLO",E2:E1334,"0349",F2:F1334,"31")</f>
        <v>0</v>
      </c>
      <c r="BU1369" s="387">
        <f>SUMIFS(BU2:BU1334,G2:G1334,"EMLO",E2:E1334,"0349",F2:F1334,"31")</f>
        <v>0</v>
      </c>
      <c r="BV1369" s="387">
        <f>SUMIFS(BV2:BV1334,G2:G1334,"EMLO",E2:E1334,"0349",F2:F1334,"31")</f>
        <v>0</v>
      </c>
      <c r="BW1369" s="387">
        <f>SUMIFS(BW2:BW1334,G2:G1334,"EMLO",E2:E1334,"0349",F2:F1334,"31")</f>
        <v>0</v>
      </c>
      <c r="BX1369" s="387">
        <f>SUMIFS(BX2:BX1334,G2:G1334,"EMLO",E2:E1334,"0349",F2:F1334,"31")</f>
        <v>0</v>
      </c>
      <c r="BY1369" s="387">
        <f>SUMIFS(BY2:BY1334,G2:G1334,"EMLO",E2:E1334,"0349",F2:F1334,"31")</f>
        <v>0</v>
      </c>
      <c r="BZ1369" s="387">
        <f>SUMIFS(BZ2:BZ1334,G2:G1334,"EMLO",E2:E1334,"0349",F2:F1334,"31")</f>
        <v>0</v>
      </c>
      <c r="CA1369" s="387">
        <f>SUMIFS(CA2:CA1334,G2:G1334,"EMLO",E2:E1334,"0349",F2:F1334,"31")</f>
        <v>0</v>
      </c>
      <c r="CB1369" s="387">
        <f>SUMIFS(CB2:CB1334,G2:G1334,"EMLO",E2:E1334,"0349",F2:F1334,"31")</f>
        <v>0</v>
      </c>
      <c r="CC1369" s="387">
        <f>SUMIFS(CC2:CC1334,G2:G1334,"EMLO",E2:E1334,"0349",F2:F1334,"31")</f>
        <v>0</v>
      </c>
      <c r="CD1369" s="387">
        <f>SUMIFS(CD2:CD1334,G2:G1334,"EMLO",E2:E1334,"0349",F2:F1334,"31")</f>
        <v>0</v>
      </c>
      <c r="CE1369" s="387">
        <f>SUMIFS(CE2:CE1334,G2:G1334,"EMLO",E2:E1334,"0349",F2:F1334,"31")</f>
        <v>0</v>
      </c>
      <c r="CF1369" s="387">
        <f>SUMIFS(CF2:CF1334,G2:G1334,"EMLO",E2:E1334,"0349",F2:F1334,"31")</f>
        <v>0</v>
      </c>
      <c r="CG1369" s="387">
        <f>SUMIFS(CG2:CG1334,G2:G1334,"EMLO",E2:E1334,"0349",F2:F1334,"31")</f>
        <v>0</v>
      </c>
      <c r="CH1369" s="387">
        <f>SUMIFS(CH2:CH1334,G2:G1334,"EMLO",E2:E1334,"0349",F2:F1334,"31")</f>
        <v>0</v>
      </c>
      <c r="CI1369" s="387">
        <f>SUMIFS(CI2:CI1334,G2:G1334,"EMLO",E2:E1334,"0349",F2:F1334,"31")</f>
        <v>0</v>
      </c>
      <c r="CJ1369" s="387">
        <f>SUMIFS(CJ2:CJ1334,G2:G1334,"EMLO",E2:E1334,"0349",F2:F1334,"31")</f>
        <v>0</v>
      </c>
      <c r="CK1369" s="387">
        <f>SUMIFS(CK2:CK1334,G2:G1334,"EMLO",E2:E1334,"0349",F2:F1334,"31")</f>
        <v>0</v>
      </c>
      <c r="CL1369" s="387">
        <f>SUMIFS(CL2:CL1334,G2:G1334,"EMLO",E2:E1334,"0349",F2:F1334,"31")</f>
        <v>0</v>
      </c>
      <c r="CM1369" s="387">
        <f>SUMIFS(CM2:CM1334,G2:G1334,"EMLO",E2:E1334,"0349",F2:F1334,"31")</f>
        <v>0</v>
      </c>
    </row>
    <row r="1370" spans="43:91" ht="18.75" x14ac:dyDescent="0.3">
      <c r="AQ1370" s="393" t="s">
        <v>2701</v>
      </c>
      <c r="AS1370" s="394">
        <f t="shared" ref="AS1370:CM1370" si="938">SUM(AS1368:AS1369)</f>
        <v>0</v>
      </c>
      <c r="AT1370" s="394">
        <f t="shared" si="938"/>
        <v>0</v>
      </c>
      <c r="AU1370" s="394">
        <f t="shared" si="938"/>
        <v>0</v>
      </c>
      <c r="AV1370" s="394">
        <f t="shared" si="938"/>
        <v>0</v>
      </c>
      <c r="AW1370" s="394">
        <f t="shared" si="938"/>
        <v>408</v>
      </c>
      <c r="AX1370" s="394">
        <f t="shared" si="938"/>
        <v>0</v>
      </c>
      <c r="AY1370" s="394">
        <f t="shared" si="938"/>
        <v>0</v>
      </c>
      <c r="AZ1370" s="394">
        <f t="shared" si="938"/>
        <v>0</v>
      </c>
      <c r="BA1370" s="394">
        <f t="shared" si="938"/>
        <v>0</v>
      </c>
      <c r="BB1370" s="394">
        <f t="shared" si="938"/>
        <v>0</v>
      </c>
      <c r="BC1370" s="394">
        <f t="shared" si="938"/>
        <v>0</v>
      </c>
      <c r="BD1370" s="394">
        <f t="shared" si="938"/>
        <v>0</v>
      </c>
      <c r="BE1370" s="394">
        <f t="shared" si="938"/>
        <v>0</v>
      </c>
      <c r="BF1370" s="394">
        <f t="shared" si="938"/>
        <v>0</v>
      </c>
      <c r="BG1370" s="394">
        <f t="shared" si="938"/>
        <v>0</v>
      </c>
      <c r="BH1370" s="394">
        <f t="shared" si="938"/>
        <v>0</v>
      </c>
      <c r="BI1370" s="394">
        <f t="shared" si="938"/>
        <v>0</v>
      </c>
      <c r="BJ1370" s="394">
        <f t="shared" si="938"/>
        <v>0</v>
      </c>
      <c r="BK1370" s="394">
        <f t="shared" si="938"/>
        <v>0</v>
      </c>
      <c r="BL1370" s="394">
        <f t="shared" si="938"/>
        <v>0</v>
      </c>
      <c r="BM1370" s="394">
        <f t="shared" si="938"/>
        <v>0</v>
      </c>
      <c r="BN1370" s="394">
        <f t="shared" si="938"/>
        <v>0</v>
      </c>
      <c r="BO1370" s="394">
        <f t="shared" si="938"/>
        <v>0</v>
      </c>
      <c r="BP1370" s="394">
        <f t="shared" si="938"/>
        <v>0</v>
      </c>
      <c r="BQ1370" s="394">
        <f t="shared" si="938"/>
        <v>0</v>
      </c>
      <c r="BR1370" s="394">
        <f t="shared" si="938"/>
        <v>0</v>
      </c>
      <c r="BS1370" s="394">
        <f t="shared" si="938"/>
        <v>0</v>
      </c>
      <c r="BT1370" s="394">
        <f t="shared" si="938"/>
        <v>0</v>
      </c>
      <c r="BU1370" s="394">
        <f t="shared" si="938"/>
        <v>0</v>
      </c>
      <c r="BV1370" s="394">
        <f t="shared" si="938"/>
        <v>0</v>
      </c>
      <c r="BW1370" s="394">
        <f t="shared" si="938"/>
        <v>0</v>
      </c>
      <c r="BX1370" s="394">
        <f t="shared" si="938"/>
        <v>0</v>
      </c>
      <c r="BY1370" s="394">
        <f t="shared" si="938"/>
        <v>0</v>
      </c>
      <c r="BZ1370" s="394">
        <f t="shared" si="938"/>
        <v>0</v>
      </c>
      <c r="CA1370" s="394">
        <f t="shared" si="938"/>
        <v>0</v>
      </c>
      <c r="CB1370" s="394">
        <f t="shared" si="938"/>
        <v>0</v>
      </c>
      <c r="CC1370" s="394">
        <f t="shared" si="938"/>
        <v>0</v>
      </c>
      <c r="CD1370" s="394">
        <f t="shared" si="938"/>
        <v>0</v>
      </c>
      <c r="CE1370" s="394">
        <f t="shared" si="938"/>
        <v>0</v>
      </c>
      <c r="CF1370" s="394">
        <f t="shared" si="938"/>
        <v>0</v>
      </c>
      <c r="CG1370" s="394">
        <f t="shared" si="938"/>
        <v>0</v>
      </c>
      <c r="CH1370" s="394">
        <f t="shared" si="938"/>
        <v>0</v>
      </c>
      <c r="CI1370" s="394">
        <f t="shared" si="938"/>
        <v>0</v>
      </c>
      <c r="CJ1370" s="394">
        <f t="shared" si="938"/>
        <v>0</v>
      </c>
      <c r="CK1370" s="394">
        <f t="shared" si="938"/>
        <v>0</v>
      </c>
      <c r="CL1370" s="394">
        <f t="shared" si="938"/>
        <v>0</v>
      </c>
      <c r="CM1370" s="394">
        <f t="shared" si="938"/>
        <v>0</v>
      </c>
    </row>
    <row r="1371" spans="43:91" ht="15.75" thickBot="1" x14ac:dyDescent="0.3">
      <c r="AR1371" t="s">
        <v>2703</v>
      </c>
      <c r="AS1371" s="387">
        <f>SUMIFS(AS2:AS1334,G2:G1334,"EMUI",E2:E1334,"0001",F2:F1334,"00",AT2:AT1334,1)</f>
        <v>5.9</v>
      </c>
      <c r="AT1371" s="387">
        <f>SUMIFS(AS2:AS1334,G2:G1334,"EMUI",E2:E1334,"0001",F2:F1334,"00",AT2:AT1334,3)</f>
        <v>0</v>
      </c>
      <c r="AU1371" s="387">
        <f>SUMIFS(AU2:AU1334,G2:G1334,"EMUI",E2:E1334,"0001",F2:F1334,"00")</f>
        <v>6</v>
      </c>
      <c r="AV1371" s="387">
        <f>SUMIFS(AV2:AV1334,G2:G1334,"EMUI",E2:E1334,"0001",F2:F1334,"00")</f>
        <v>0</v>
      </c>
      <c r="AW1371" s="387">
        <f>SUMIFS(AW2:AW1334,G2:G1334,"EMUI",E2:E1334,"0001",F2:F1334,"00")</f>
        <v>15</v>
      </c>
      <c r="AX1371" s="387">
        <f>SUMIFS(AX2:AX1334,G2:G1334,"EMUI",E2:E1334,"0001",F2:F1334,"00")</f>
        <v>291740.80000000005</v>
      </c>
      <c r="AY1371" s="387">
        <f>SUMIFS(AY2:AY1334,G2:G1334,"EMUI",E2:E1334,"0001",F2:F1334,"00")</f>
        <v>287260.48</v>
      </c>
      <c r="AZ1371" s="387">
        <f>SUMIFS(AZ2:AZ1334,G2:G1334,"EMUI",E2:E1334,"0001",F2:F1334,"00")</f>
        <v>0</v>
      </c>
      <c r="BA1371" s="387">
        <f>SUMIFS(BA2:BA1334,G2:G1334,"EMUI",E2:E1334,"0001",F2:F1334,"00")</f>
        <v>0</v>
      </c>
      <c r="BB1371" s="387">
        <f>SUMIFS(BB2:BB1334,G2:G1334,"EMUI",E2:E1334,"0001",F2:F1334,"00")</f>
        <v>68735</v>
      </c>
      <c r="BC1371" s="387">
        <f>SUMIFS(BC2:BC1334,G2:G1334,"EMUI",E2:E1334,"0001",F2:F1334,"00")</f>
        <v>0</v>
      </c>
      <c r="BD1371" s="387">
        <f>SUMIFS(BD2:BD1334,G2:G1334,"EMUI",E2:E1334,"0001",F2:F1334,"00")</f>
        <v>17810.14976</v>
      </c>
      <c r="BE1371" s="387">
        <f>SUMIFS(BE2:BE1334,G2:G1334,"EMUI",E2:E1334,"0001",F2:F1334,"00")</f>
        <v>4165.2769600000001</v>
      </c>
      <c r="BF1371" s="387">
        <f>SUMIFS(BF2:BF1334,G2:G1334,"EMUI",E2:E1334,"0001",F2:F1334,"00")</f>
        <v>34298.901312000002</v>
      </c>
      <c r="BG1371" s="387">
        <f>SUMIFS(BG2:BG1334,G2:G1334,"EMUI",E2:E1334,"0001",F2:F1334,"00")</f>
        <v>2071.1480607999997</v>
      </c>
      <c r="BH1371" s="387">
        <f>SUMIFS(BH2:BH1334,G2:G1334,"EMUI",E2:E1334,"0001",F2:F1334,"00")</f>
        <v>1407.576352</v>
      </c>
      <c r="BI1371" s="387">
        <f>SUMIFS(BI2:BI1334,G2:G1334,"EMUI",E2:E1334,"0001",F2:F1334,"00")</f>
        <v>1589.9867568000002</v>
      </c>
      <c r="BJ1371" s="387">
        <f>SUMIFS(BJ2:BJ1334,G2:G1334,"EMUI",E2:E1334,"0001",F2:F1334,"00")</f>
        <v>775.603296</v>
      </c>
      <c r="BK1371" s="387">
        <f>SUMIFS(BK2:BK1334,G2:G1334,"EMUI",E2:E1334,"0001",F2:F1334,"00")</f>
        <v>0</v>
      </c>
      <c r="BL1371" s="387">
        <f>SUMIFS(BL2:BL1334,G2:G1334,"EMUI",E2:E1334,"0001",F2:F1334,"00")</f>
        <v>62118.642497600005</v>
      </c>
      <c r="BM1371" s="387">
        <f>SUMIFS(BM2:BM1334,G2:G1334,"EMUI",E2:E1334,"0001",F2:F1334,"00")</f>
        <v>0</v>
      </c>
      <c r="BN1371" s="387">
        <f>SUMIFS(BN2:BN1334,G2:G1334,"EMUI",E2:E1334,"0001",F2:F1334,"00")</f>
        <v>68735</v>
      </c>
      <c r="BO1371" s="387">
        <f>SUMIFS(BO2:BO1334,G2:G1334,"EMUI",E2:E1334,"0001",F2:F1334,"00")</f>
        <v>0</v>
      </c>
      <c r="BP1371" s="387">
        <f>SUMIFS(BP2:BP1334,G2:G1334,"EMUI",E2:E1334,"0001",F2:F1334,"00")</f>
        <v>17810.14976</v>
      </c>
      <c r="BQ1371" s="387">
        <f>SUMIFS(BQ2:BQ1334,G2:G1334,"EMUI",E2:E1334,"0001",F2:F1334,"00")</f>
        <v>4165.2769600000001</v>
      </c>
      <c r="BR1371" s="387">
        <f>SUMIFS(BR2:BR1334,G2:G1334,"EMUI",E2:E1334,"0001",F2:F1334,"00")</f>
        <v>34298.901312000002</v>
      </c>
      <c r="BS1371" s="387">
        <f>SUMIFS(BS2:BS1334,G2:G1334,"EMUI",E2:E1334,"0001",F2:F1334,"00")</f>
        <v>2071.1480607999997</v>
      </c>
      <c r="BT1371" s="387">
        <f>SUMIFS(BT2:BT1334,G2:G1334,"EMUI",E2:E1334,"0001",F2:F1334,"00")</f>
        <v>0</v>
      </c>
      <c r="BU1371" s="387">
        <f>SUMIFS(BU2:BU1334,G2:G1334,"EMUI",E2:E1334,"0001",F2:F1334,"00")</f>
        <v>1589.9867568000002</v>
      </c>
      <c r="BV1371" s="387">
        <f>SUMIFS(BV2:BV1334,G2:G1334,"EMUI",E2:E1334,"0001",F2:F1334,"00")</f>
        <v>976.68563200000006</v>
      </c>
      <c r="BW1371" s="387">
        <f>SUMIFS(BW2:BW1334,G2:G1334,"EMUI",E2:E1334,"0001",F2:F1334,"00")</f>
        <v>0</v>
      </c>
      <c r="BX1371" s="387">
        <f>SUMIFS(BX2:BX1334,G2:G1334,"EMUI",E2:E1334,"0001",F2:F1334,"00")</f>
        <v>60912.148481600001</v>
      </c>
      <c r="BY1371" s="387">
        <f>SUMIFS(BY2:BY1334,G2:G1334,"EMUI",E2:E1334,"0001",F2:F1334,"00")</f>
        <v>0</v>
      </c>
      <c r="BZ1371" s="387">
        <f>SUMIFS(BZ2:BZ1334,G2:G1334,"EMUI",E2:E1334,"0001",F2:F1334,"00")</f>
        <v>0</v>
      </c>
      <c r="CA1371" s="387">
        <f>SUMIFS(CA2:CA1334,G2:G1334,"EMUI",E2:E1334,"0001",F2:F1334,"00")</f>
        <v>0</v>
      </c>
      <c r="CB1371" s="387">
        <f>SUMIFS(CB2:CB1334,G2:G1334,"EMUI",E2:E1334,"0001",F2:F1334,"00")</f>
        <v>0</v>
      </c>
      <c r="CC1371" s="387">
        <f>SUMIFS(CC2:CC1334,G2:G1334,"EMUI",E2:E1334,"0001",F2:F1334,"00")</f>
        <v>0</v>
      </c>
      <c r="CD1371" s="387">
        <f>SUMIFS(CD2:CD1334,G2:G1334,"EMUI",E2:E1334,"0001",F2:F1334,"00")</f>
        <v>0</v>
      </c>
      <c r="CE1371" s="387">
        <f>SUMIFS(CE2:CE1334,G2:G1334,"EMUI",E2:E1334,"0001",F2:F1334,"00")</f>
        <v>0</v>
      </c>
      <c r="CF1371" s="387">
        <f>SUMIFS(CF2:CF1334,G2:G1334,"EMUI",E2:E1334,"0001",F2:F1334,"00")</f>
        <v>-1407.576352</v>
      </c>
      <c r="CG1371" s="387">
        <f>SUMIFS(CG2:CG1334,G2:G1334,"EMUI",E2:E1334,"0001",F2:F1334,"00")</f>
        <v>0</v>
      </c>
      <c r="CH1371" s="387">
        <f>SUMIFS(CH2:CH1334,G2:G1334,"EMUI",E2:E1334,"0001",F2:F1334,"00")</f>
        <v>201.08233599999991</v>
      </c>
      <c r="CI1371" s="387">
        <f>SUMIFS(CI2:CI1334,G2:G1334,"EMUI",E2:E1334,"0001",F2:F1334,"00")</f>
        <v>0</v>
      </c>
      <c r="CJ1371" s="387">
        <f>SUMIFS(CJ2:CJ1334,G2:G1334,"EMUI",E2:E1334,"0001",F2:F1334,"00")</f>
        <v>-1206.4940160000001</v>
      </c>
      <c r="CK1371" s="387">
        <f>SUMIFS(CK2:CK1334,G2:G1334,"EMUI",E2:E1334,"0001",F2:F1334,"00")</f>
        <v>0</v>
      </c>
      <c r="CL1371" s="387">
        <f>SUMIFS(CL2:CL1334,G2:G1334,"EMUI",E2:E1334,"0001",F2:F1334,"00")</f>
        <v>0</v>
      </c>
      <c r="CM1371" s="387">
        <f>SUMIFS(CM2:CM1334,G2:G1334,"EMUI",E2:E1334,"0001",F2:F1334,"00")</f>
        <v>0</v>
      </c>
    </row>
    <row r="1372" spans="43:91" ht="18.75" x14ac:dyDescent="0.3">
      <c r="AQ1372" s="393" t="s">
        <v>2704</v>
      </c>
      <c r="AS1372" s="394">
        <f t="shared" ref="AS1372:CM1372" si="939">SUM(AS1371:AS1371)</f>
        <v>5.9</v>
      </c>
      <c r="AT1372" s="394">
        <f t="shared" si="939"/>
        <v>0</v>
      </c>
      <c r="AU1372" s="394">
        <f t="shared" si="939"/>
        <v>6</v>
      </c>
      <c r="AV1372" s="394">
        <f t="shared" si="939"/>
        <v>0</v>
      </c>
      <c r="AW1372" s="394">
        <f t="shared" si="939"/>
        <v>15</v>
      </c>
      <c r="AX1372" s="394">
        <f t="shared" si="939"/>
        <v>291740.80000000005</v>
      </c>
      <c r="AY1372" s="394">
        <f t="shared" si="939"/>
        <v>287260.48</v>
      </c>
      <c r="AZ1372" s="394">
        <f t="shared" si="939"/>
        <v>0</v>
      </c>
      <c r="BA1372" s="394">
        <f t="shared" si="939"/>
        <v>0</v>
      </c>
      <c r="BB1372" s="394">
        <f t="shared" si="939"/>
        <v>68735</v>
      </c>
      <c r="BC1372" s="394">
        <f t="shared" si="939"/>
        <v>0</v>
      </c>
      <c r="BD1372" s="394">
        <f t="shared" si="939"/>
        <v>17810.14976</v>
      </c>
      <c r="BE1372" s="394">
        <f t="shared" si="939"/>
        <v>4165.2769600000001</v>
      </c>
      <c r="BF1372" s="394">
        <f t="shared" si="939"/>
        <v>34298.901312000002</v>
      </c>
      <c r="BG1372" s="394">
        <f t="shared" si="939"/>
        <v>2071.1480607999997</v>
      </c>
      <c r="BH1372" s="394">
        <f t="shared" si="939"/>
        <v>1407.576352</v>
      </c>
      <c r="BI1372" s="394">
        <f t="shared" si="939"/>
        <v>1589.9867568000002</v>
      </c>
      <c r="BJ1372" s="394">
        <f t="shared" si="939"/>
        <v>775.603296</v>
      </c>
      <c r="BK1372" s="394">
        <f t="shared" si="939"/>
        <v>0</v>
      </c>
      <c r="BL1372" s="394">
        <f t="shared" si="939"/>
        <v>62118.642497600005</v>
      </c>
      <c r="BM1372" s="394">
        <f t="shared" si="939"/>
        <v>0</v>
      </c>
      <c r="BN1372" s="394">
        <f t="shared" si="939"/>
        <v>68735</v>
      </c>
      <c r="BO1372" s="394">
        <f t="shared" si="939"/>
        <v>0</v>
      </c>
      <c r="BP1372" s="394">
        <f t="shared" si="939"/>
        <v>17810.14976</v>
      </c>
      <c r="BQ1372" s="394">
        <f t="shared" si="939"/>
        <v>4165.2769600000001</v>
      </c>
      <c r="BR1372" s="394">
        <f t="shared" si="939"/>
        <v>34298.901312000002</v>
      </c>
      <c r="BS1372" s="394">
        <f t="shared" si="939"/>
        <v>2071.1480607999997</v>
      </c>
      <c r="BT1372" s="394">
        <f t="shared" si="939"/>
        <v>0</v>
      </c>
      <c r="BU1372" s="394">
        <f t="shared" si="939"/>
        <v>1589.9867568000002</v>
      </c>
      <c r="BV1372" s="394">
        <f t="shared" si="939"/>
        <v>976.68563200000006</v>
      </c>
      <c r="BW1372" s="394">
        <f t="shared" si="939"/>
        <v>0</v>
      </c>
      <c r="BX1372" s="394">
        <f t="shared" si="939"/>
        <v>60912.148481600001</v>
      </c>
      <c r="BY1372" s="394">
        <f t="shared" si="939"/>
        <v>0</v>
      </c>
      <c r="BZ1372" s="394">
        <f t="shared" si="939"/>
        <v>0</v>
      </c>
      <c r="CA1372" s="394">
        <f t="shared" si="939"/>
        <v>0</v>
      </c>
      <c r="CB1372" s="394">
        <f t="shared" si="939"/>
        <v>0</v>
      </c>
      <c r="CC1372" s="394">
        <f t="shared" si="939"/>
        <v>0</v>
      </c>
      <c r="CD1372" s="394">
        <f t="shared" si="939"/>
        <v>0</v>
      </c>
      <c r="CE1372" s="394">
        <f t="shared" si="939"/>
        <v>0</v>
      </c>
      <c r="CF1372" s="394">
        <f t="shared" si="939"/>
        <v>-1407.576352</v>
      </c>
      <c r="CG1372" s="394">
        <f t="shared" si="939"/>
        <v>0</v>
      </c>
      <c r="CH1372" s="394">
        <f t="shared" si="939"/>
        <v>201.08233599999991</v>
      </c>
      <c r="CI1372" s="394">
        <f t="shared" si="939"/>
        <v>0</v>
      </c>
      <c r="CJ1372" s="394">
        <f t="shared" si="939"/>
        <v>-1206.4940160000001</v>
      </c>
      <c r="CK1372" s="394">
        <f t="shared" si="939"/>
        <v>0</v>
      </c>
      <c r="CL1372" s="394">
        <f t="shared" si="939"/>
        <v>0</v>
      </c>
      <c r="CM1372" s="394">
        <f t="shared" si="939"/>
        <v>0</v>
      </c>
    </row>
    <row r="1373" spans="43:91" ht="15.75" thickBot="1" x14ac:dyDescent="0.3">
      <c r="AR1373" t="s">
        <v>2707</v>
      </c>
      <c r="AS1373" s="387">
        <f>SUMIFS(AS2:AS1334,G2:G1334,"EMUI",E2:E1334,"0302",F2:F1334,"00",AT2:AT1334,1)</f>
        <v>0</v>
      </c>
      <c r="AT1373" s="387">
        <f>SUMIFS(AS2:AS1334,G2:G1334,"EMUI",E2:E1334,"0302",F2:F1334,"00",AT2:AT1334,3)</f>
        <v>0</v>
      </c>
      <c r="AU1373" s="387">
        <f>SUMIFS(AU2:AU1334,G2:G1334,"EMUI",E2:E1334,"0302",F2:F1334,"00")</f>
        <v>0</v>
      </c>
      <c r="AV1373" s="387">
        <f>SUMIFS(AV2:AV1334,G2:G1334,"EMUI",E2:E1334,"0302",F2:F1334,"00")</f>
        <v>0</v>
      </c>
      <c r="AW1373" s="387">
        <f>SUMIFS(AW2:AW1334,G2:G1334,"EMUI",E2:E1334,"0302",F2:F1334,"00")</f>
        <v>83</v>
      </c>
      <c r="AX1373" s="387">
        <f>SUMIFS(AX2:AX1334,G2:G1334,"EMUI",E2:E1334,"0302",F2:F1334,"00")</f>
        <v>0</v>
      </c>
      <c r="AY1373" s="387">
        <f>SUMIFS(AY2:AY1334,G2:G1334,"EMUI",E2:E1334,"0302",F2:F1334,"00")</f>
        <v>0</v>
      </c>
      <c r="AZ1373" s="387">
        <f>SUMIFS(AZ2:AZ1334,G2:G1334,"EMUI",E2:E1334,"0302",F2:F1334,"00")</f>
        <v>0</v>
      </c>
      <c r="BA1373" s="387">
        <f>SUMIFS(BA2:BA1334,G2:G1334,"EMUI",E2:E1334,"0302",F2:F1334,"00")</f>
        <v>0</v>
      </c>
      <c r="BB1373" s="387">
        <f>SUMIFS(BB2:BB1334,G2:G1334,"EMUI",E2:E1334,"0302",F2:F1334,"00")</f>
        <v>0</v>
      </c>
      <c r="BC1373" s="387">
        <f>SUMIFS(BC2:BC1334,G2:G1334,"EMUI",E2:E1334,"0302",F2:F1334,"00")</f>
        <v>0</v>
      </c>
      <c r="BD1373" s="387">
        <f>SUMIFS(BD2:BD1334,G2:G1334,"EMUI",E2:E1334,"0302",F2:F1334,"00")</f>
        <v>0</v>
      </c>
      <c r="BE1373" s="387">
        <f>SUMIFS(BE2:BE1334,G2:G1334,"EMUI",E2:E1334,"0302",F2:F1334,"00")</f>
        <v>0</v>
      </c>
      <c r="BF1373" s="387">
        <f>SUMIFS(BF2:BF1334,G2:G1334,"EMUI",E2:E1334,"0302",F2:F1334,"00")</f>
        <v>0</v>
      </c>
      <c r="BG1373" s="387">
        <f>SUMIFS(BG2:BG1334,G2:G1334,"EMUI",E2:E1334,"0302",F2:F1334,"00")</f>
        <v>0</v>
      </c>
      <c r="BH1373" s="387">
        <f>SUMIFS(BH2:BH1334,G2:G1334,"EMUI",E2:E1334,"0302",F2:F1334,"00")</f>
        <v>0</v>
      </c>
      <c r="BI1373" s="387">
        <f>SUMIFS(BI2:BI1334,G2:G1334,"EMUI",E2:E1334,"0302",F2:F1334,"00")</f>
        <v>0</v>
      </c>
      <c r="BJ1373" s="387">
        <f>SUMIFS(BJ2:BJ1334,G2:G1334,"EMUI",E2:E1334,"0302",F2:F1334,"00")</f>
        <v>0</v>
      </c>
      <c r="BK1373" s="387">
        <f>SUMIFS(BK2:BK1334,G2:G1334,"EMUI",E2:E1334,"0302",F2:F1334,"00")</f>
        <v>0</v>
      </c>
      <c r="BL1373" s="387">
        <f>SUMIFS(BL2:BL1334,G2:G1334,"EMUI",E2:E1334,"0302",F2:F1334,"00")</f>
        <v>0</v>
      </c>
      <c r="BM1373" s="387">
        <f>SUMIFS(BM2:BM1334,G2:G1334,"EMUI",E2:E1334,"0302",F2:F1334,"00")</f>
        <v>0</v>
      </c>
      <c r="BN1373" s="387">
        <f>SUMIFS(BN2:BN1334,G2:G1334,"EMUI",E2:E1334,"0302",F2:F1334,"00")</f>
        <v>0</v>
      </c>
      <c r="BO1373" s="387">
        <f>SUMIFS(BO2:BO1334,G2:G1334,"EMUI",E2:E1334,"0302",F2:F1334,"00")</f>
        <v>0</v>
      </c>
      <c r="BP1373" s="387">
        <f>SUMIFS(BP2:BP1334,G2:G1334,"EMUI",E2:E1334,"0302",F2:F1334,"00")</f>
        <v>0</v>
      </c>
      <c r="BQ1373" s="387">
        <f>SUMIFS(BQ2:BQ1334,G2:G1334,"EMUI",E2:E1334,"0302",F2:F1334,"00")</f>
        <v>0</v>
      </c>
      <c r="BR1373" s="387">
        <f>SUMIFS(BR2:BR1334,G2:G1334,"EMUI",E2:E1334,"0302",F2:F1334,"00")</f>
        <v>0</v>
      </c>
      <c r="BS1373" s="387">
        <f>SUMIFS(BS2:BS1334,G2:G1334,"EMUI",E2:E1334,"0302",F2:F1334,"00")</f>
        <v>0</v>
      </c>
      <c r="BT1373" s="387">
        <f>SUMIFS(BT2:BT1334,G2:G1334,"EMUI",E2:E1334,"0302",F2:F1334,"00")</f>
        <v>0</v>
      </c>
      <c r="BU1373" s="387">
        <f>SUMIFS(BU2:BU1334,G2:G1334,"EMUI",E2:E1334,"0302",F2:F1334,"00")</f>
        <v>0</v>
      </c>
      <c r="BV1373" s="387">
        <f>SUMIFS(BV2:BV1334,G2:G1334,"EMUI",E2:E1334,"0302",F2:F1334,"00")</f>
        <v>0</v>
      </c>
      <c r="BW1373" s="387">
        <f>SUMIFS(BW2:BW1334,G2:G1334,"EMUI",E2:E1334,"0302",F2:F1334,"00")</f>
        <v>0</v>
      </c>
      <c r="BX1373" s="387">
        <f>SUMIFS(BX2:BX1334,G2:G1334,"EMUI",E2:E1334,"0302",F2:F1334,"00")</f>
        <v>0</v>
      </c>
      <c r="BY1373" s="387">
        <f>SUMIFS(BY2:BY1334,G2:G1334,"EMUI",E2:E1334,"0302",F2:F1334,"00")</f>
        <v>0</v>
      </c>
      <c r="BZ1373" s="387">
        <f>SUMIFS(BZ2:BZ1334,G2:G1334,"EMUI",E2:E1334,"0302",F2:F1334,"00")</f>
        <v>0</v>
      </c>
      <c r="CA1373" s="387">
        <f>SUMIFS(CA2:CA1334,G2:G1334,"EMUI",E2:E1334,"0302",F2:F1334,"00")</f>
        <v>0</v>
      </c>
      <c r="CB1373" s="387">
        <f>SUMIFS(CB2:CB1334,G2:G1334,"EMUI",E2:E1334,"0302",F2:F1334,"00")</f>
        <v>0</v>
      </c>
      <c r="CC1373" s="387">
        <f>SUMIFS(CC2:CC1334,G2:G1334,"EMUI",E2:E1334,"0302",F2:F1334,"00")</f>
        <v>0</v>
      </c>
      <c r="CD1373" s="387">
        <f>SUMIFS(CD2:CD1334,G2:G1334,"EMUI",E2:E1334,"0302",F2:F1334,"00")</f>
        <v>0</v>
      </c>
      <c r="CE1373" s="387">
        <f>SUMIFS(CE2:CE1334,G2:G1334,"EMUI",E2:E1334,"0302",F2:F1334,"00")</f>
        <v>0</v>
      </c>
      <c r="CF1373" s="387">
        <f>SUMIFS(CF2:CF1334,G2:G1334,"EMUI",E2:E1334,"0302",F2:F1334,"00")</f>
        <v>0</v>
      </c>
      <c r="CG1373" s="387">
        <f>SUMIFS(CG2:CG1334,G2:G1334,"EMUI",E2:E1334,"0302",F2:F1334,"00")</f>
        <v>0</v>
      </c>
      <c r="CH1373" s="387">
        <f>SUMIFS(CH2:CH1334,G2:G1334,"EMUI",E2:E1334,"0302",F2:F1334,"00")</f>
        <v>0</v>
      </c>
      <c r="CI1373" s="387">
        <f>SUMIFS(CI2:CI1334,G2:G1334,"EMUI",E2:E1334,"0302",F2:F1334,"00")</f>
        <v>0</v>
      </c>
      <c r="CJ1373" s="387">
        <f>SUMIFS(CJ2:CJ1334,G2:G1334,"EMUI",E2:E1334,"0302",F2:F1334,"00")</f>
        <v>0</v>
      </c>
      <c r="CK1373" s="387">
        <f>SUMIFS(CK2:CK1334,G2:G1334,"EMUI",E2:E1334,"0302",F2:F1334,"00")</f>
        <v>0</v>
      </c>
      <c r="CL1373" s="387">
        <f>SUMIFS(CL2:CL1334,G2:G1334,"EMUI",E2:E1334,"0302",F2:F1334,"00")</f>
        <v>0</v>
      </c>
      <c r="CM1373" s="387">
        <f>SUMIFS(CM2:CM1334,G2:G1334,"EMUI",E2:E1334,"0302",F2:F1334,"00")</f>
        <v>0</v>
      </c>
    </row>
    <row r="1374" spans="43:91" ht="18.75" x14ac:dyDescent="0.3">
      <c r="AQ1374" s="393" t="s">
        <v>2708</v>
      </c>
      <c r="AS1374" s="394">
        <f t="shared" ref="AS1374:CM1374" si="940">SUM(AS1373:AS1373)</f>
        <v>0</v>
      </c>
      <c r="AT1374" s="394">
        <f t="shared" si="940"/>
        <v>0</v>
      </c>
      <c r="AU1374" s="394">
        <f t="shared" si="940"/>
        <v>0</v>
      </c>
      <c r="AV1374" s="394">
        <f t="shared" si="940"/>
        <v>0</v>
      </c>
      <c r="AW1374" s="394">
        <f t="shared" si="940"/>
        <v>83</v>
      </c>
      <c r="AX1374" s="394">
        <f t="shared" si="940"/>
        <v>0</v>
      </c>
      <c r="AY1374" s="394">
        <f t="shared" si="940"/>
        <v>0</v>
      </c>
      <c r="AZ1374" s="394">
        <f t="shared" si="940"/>
        <v>0</v>
      </c>
      <c r="BA1374" s="394">
        <f t="shared" si="940"/>
        <v>0</v>
      </c>
      <c r="BB1374" s="394">
        <f t="shared" si="940"/>
        <v>0</v>
      </c>
      <c r="BC1374" s="394">
        <f t="shared" si="940"/>
        <v>0</v>
      </c>
      <c r="BD1374" s="394">
        <f t="shared" si="940"/>
        <v>0</v>
      </c>
      <c r="BE1374" s="394">
        <f t="shared" si="940"/>
        <v>0</v>
      </c>
      <c r="BF1374" s="394">
        <f t="shared" si="940"/>
        <v>0</v>
      </c>
      <c r="BG1374" s="394">
        <f t="shared" si="940"/>
        <v>0</v>
      </c>
      <c r="BH1374" s="394">
        <f t="shared" si="940"/>
        <v>0</v>
      </c>
      <c r="BI1374" s="394">
        <f t="shared" si="940"/>
        <v>0</v>
      </c>
      <c r="BJ1374" s="394">
        <f t="shared" si="940"/>
        <v>0</v>
      </c>
      <c r="BK1374" s="394">
        <f t="shared" si="940"/>
        <v>0</v>
      </c>
      <c r="BL1374" s="394">
        <f t="shared" si="940"/>
        <v>0</v>
      </c>
      <c r="BM1374" s="394">
        <f t="shared" si="940"/>
        <v>0</v>
      </c>
      <c r="BN1374" s="394">
        <f t="shared" si="940"/>
        <v>0</v>
      </c>
      <c r="BO1374" s="394">
        <f t="shared" si="940"/>
        <v>0</v>
      </c>
      <c r="BP1374" s="394">
        <f t="shared" si="940"/>
        <v>0</v>
      </c>
      <c r="BQ1374" s="394">
        <f t="shared" si="940"/>
        <v>0</v>
      </c>
      <c r="BR1374" s="394">
        <f t="shared" si="940"/>
        <v>0</v>
      </c>
      <c r="BS1374" s="394">
        <f t="shared" si="940"/>
        <v>0</v>
      </c>
      <c r="BT1374" s="394">
        <f t="shared" si="940"/>
        <v>0</v>
      </c>
      <c r="BU1374" s="394">
        <f t="shared" si="940"/>
        <v>0</v>
      </c>
      <c r="BV1374" s="394">
        <f t="shared" si="940"/>
        <v>0</v>
      </c>
      <c r="BW1374" s="394">
        <f t="shared" si="940"/>
        <v>0</v>
      </c>
      <c r="BX1374" s="394">
        <f t="shared" si="940"/>
        <v>0</v>
      </c>
      <c r="BY1374" s="394">
        <f t="shared" si="940"/>
        <v>0</v>
      </c>
      <c r="BZ1374" s="394">
        <f t="shared" si="940"/>
        <v>0</v>
      </c>
      <c r="CA1374" s="394">
        <f t="shared" si="940"/>
        <v>0</v>
      </c>
      <c r="CB1374" s="394">
        <f t="shared" si="940"/>
        <v>0</v>
      </c>
      <c r="CC1374" s="394">
        <f t="shared" si="940"/>
        <v>0</v>
      </c>
      <c r="CD1374" s="394">
        <f t="shared" si="940"/>
        <v>0</v>
      </c>
      <c r="CE1374" s="394">
        <f t="shared" si="940"/>
        <v>0</v>
      </c>
      <c r="CF1374" s="394">
        <f t="shared" si="940"/>
        <v>0</v>
      </c>
      <c r="CG1374" s="394">
        <f t="shared" si="940"/>
        <v>0</v>
      </c>
      <c r="CH1374" s="394">
        <f t="shared" si="940"/>
        <v>0</v>
      </c>
      <c r="CI1374" s="394">
        <f t="shared" si="940"/>
        <v>0</v>
      </c>
      <c r="CJ1374" s="394">
        <f t="shared" si="940"/>
        <v>0</v>
      </c>
      <c r="CK1374" s="394">
        <f t="shared" si="940"/>
        <v>0</v>
      </c>
      <c r="CL1374" s="394">
        <f t="shared" si="940"/>
        <v>0</v>
      </c>
      <c r="CM1374" s="394">
        <f t="shared" si="940"/>
        <v>0</v>
      </c>
    </row>
    <row r="1375" spans="43:91" x14ac:dyDescent="0.25">
      <c r="AR1375" t="s">
        <v>2710</v>
      </c>
      <c r="AS1375" s="387">
        <f>SUMIFS(AS2:AS1334,G2:G1334,"EMUI",E2:E1334,"0348",F2:F1334,"00",AT2:AT1334,1)</f>
        <v>0</v>
      </c>
      <c r="AT1375" s="387">
        <f>SUMIFS(AS2:AS1334,G2:G1334,"EMUI",E2:E1334,"0348",F2:F1334,"00",AT2:AT1334,3)</f>
        <v>0</v>
      </c>
      <c r="AU1375" s="387">
        <f>SUMIFS(AU2:AU1334,G2:G1334,"EMUI",E2:E1334,"0348",F2:F1334,"00")</f>
        <v>0</v>
      </c>
      <c r="AV1375" s="387">
        <f>SUMIFS(AV2:AV1334,G2:G1334,"EMUI",E2:E1334,"0348",F2:F1334,"00")</f>
        <v>0</v>
      </c>
      <c r="AW1375" s="387">
        <f>SUMIFS(AW2:AW1334,G2:G1334,"EMUI",E2:E1334,"0348",F2:F1334,"00")</f>
        <v>0</v>
      </c>
      <c r="AX1375" s="387">
        <f>SUMIFS(AX2:AX1334,G2:G1334,"EMUI",E2:E1334,"0348",F2:F1334,"00")</f>
        <v>0</v>
      </c>
      <c r="AY1375" s="387">
        <f>SUMIFS(AY2:AY1334,G2:G1334,"EMUI",E2:E1334,"0348",F2:F1334,"00")</f>
        <v>0</v>
      </c>
      <c r="AZ1375" s="387">
        <f>SUMIFS(AZ2:AZ1334,G2:G1334,"EMUI",E2:E1334,"0348",F2:F1334,"00")</f>
        <v>0</v>
      </c>
      <c r="BA1375" s="387">
        <f>SUMIFS(BA2:BA1334,G2:G1334,"EMUI",E2:E1334,"0348",F2:F1334,"00")</f>
        <v>0</v>
      </c>
      <c r="BB1375" s="387">
        <f>SUMIFS(BB2:BB1334,G2:G1334,"EMUI",E2:E1334,"0348",F2:F1334,"00")</f>
        <v>0</v>
      </c>
      <c r="BC1375" s="387">
        <f>SUMIFS(BC2:BC1334,G2:G1334,"EMUI",E2:E1334,"0348",F2:F1334,"00")</f>
        <v>0</v>
      </c>
      <c r="BD1375" s="387">
        <f>SUMIFS(BD2:BD1334,G2:G1334,"EMUI",E2:E1334,"0348",F2:F1334,"00")</f>
        <v>0</v>
      </c>
      <c r="BE1375" s="387">
        <f>SUMIFS(BE2:BE1334,G2:G1334,"EMUI",E2:E1334,"0348",F2:F1334,"00")</f>
        <v>0</v>
      </c>
      <c r="BF1375" s="387">
        <f>SUMIFS(BF2:BF1334,G2:G1334,"EMUI",E2:E1334,"0348",F2:F1334,"00")</f>
        <v>0</v>
      </c>
      <c r="BG1375" s="387">
        <f>SUMIFS(BG2:BG1334,G2:G1334,"EMUI",E2:E1334,"0348",F2:F1334,"00")</f>
        <v>0</v>
      </c>
      <c r="BH1375" s="387">
        <f>SUMIFS(BH2:BH1334,G2:G1334,"EMUI",E2:E1334,"0348",F2:F1334,"00")</f>
        <v>0</v>
      </c>
      <c r="BI1375" s="387">
        <f>SUMIFS(BI2:BI1334,G2:G1334,"EMUI",E2:E1334,"0348",F2:F1334,"00")</f>
        <v>0</v>
      </c>
      <c r="BJ1375" s="387">
        <f>SUMIFS(BJ2:BJ1334,G2:G1334,"EMUI",E2:E1334,"0348",F2:F1334,"00")</f>
        <v>0</v>
      </c>
      <c r="BK1375" s="387">
        <f>SUMIFS(BK2:BK1334,G2:G1334,"EMUI",E2:E1334,"0348",F2:F1334,"00")</f>
        <v>0</v>
      </c>
      <c r="BL1375" s="387">
        <f>SUMIFS(BL2:BL1334,G2:G1334,"EMUI",E2:E1334,"0348",F2:F1334,"00")</f>
        <v>0</v>
      </c>
      <c r="BM1375" s="387">
        <f>SUMIFS(BM2:BM1334,G2:G1334,"EMUI",E2:E1334,"0348",F2:F1334,"00")</f>
        <v>0</v>
      </c>
      <c r="BN1375" s="387">
        <f>SUMIFS(BN2:BN1334,G2:G1334,"EMUI",E2:E1334,"0348",F2:F1334,"00")</f>
        <v>0</v>
      </c>
      <c r="BO1375" s="387">
        <f>SUMIFS(BO2:BO1334,G2:G1334,"EMUI",E2:E1334,"0348",F2:F1334,"00")</f>
        <v>0</v>
      </c>
      <c r="BP1375" s="387">
        <f>SUMIFS(BP2:BP1334,G2:G1334,"EMUI",E2:E1334,"0348",F2:F1334,"00")</f>
        <v>0</v>
      </c>
      <c r="BQ1375" s="387">
        <f>SUMIFS(BQ2:BQ1334,G2:G1334,"EMUI",E2:E1334,"0348",F2:F1334,"00")</f>
        <v>0</v>
      </c>
      <c r="BR1375" s="387">
        <f>SUMIFS(BR2:BR1334,G2:G1334,"EMUI",E2:E1334,"0348",F2:F1334,"00")</f>
        <v>0</v>
      </c>
      <c r="BS1375" s="387">
        <f>SUMIFS(BS2:BS1334,G2:G1334,"EMUI",E2:E1334,"0348",F2:F1334,"00")</f>
        <v>0</v>
      </c>
      <c r="BT1375" s="387">
        <f>SUMIFS(BT2:BT1334,G2:G1334,"EMUI",E2:E1334,"0348",F2:F1334,"00")</f>
        <v>0</v>
      </c>
      <c r="BU1375" s="387">
        <f>SUMIFS(BU2:BU1334,G2:G1334,"EMUI",E2:E1334,"0348",F2:F1334,"00")</f>
        <v>0</v>
      </c>
      <c r="BV1375" s="387">
        <f>SUMIFS(BV2:BV1334,G2:G1334,"EMUI",E2:E1334,"0348",F2:F1334,"00")</f>
        <v>0</v>
      </c>
      <c r="BW1375" s="387">
        <f>SUMIFS(BW2:BW1334,G2:G1334,"EMUI",E2:E1334,"0348",F2:F1334,"00")</f>
        <v>0</v>
      </c>
      <c r="BX1375" s="387">
        <f>SUMIFS(BX2:BX1334,G2:G1334,"EMUI",E2:E1334,"0348",F2:F1334,"00")</f>
        <v>0</v>
      </c>
      <c r="BY1375" s="387">
        <f>SUMIFS(BY2:BY1334,G2:G1334,"EMUI",E2:E1334,"0348",F2:F1334,"00")</f>
        <v>0</v>
      </c>
      <c r="BZ1375" s="387">
        <f>SUMIFS(BZ2:BZ1334,G2:G1334,"EMUI",E2:E1334,"0348",F2:F1334,"00")</f>
        <v>0</v>
      </c>
      <c r="CA1375" s="387">
        <f>SUMIFS(CA2:CA1334,G2:G1334,"EMUI",E2:E1334,"0348",F2:F1334,"00")</f>
        <v>0</v>
      </c>
      <c r="CB1375" s="387">
        <f>SUMIFS(CB2:CB1334,G2:G1334,"EMUI",E2:E1334,"0348",F2:F1334,"00")</f>
        <v>0</v>
      </c>
      <c r="CC1375" s="387">
        <f>SUMIFS(CC2:CC1334,G2:G1334,"EMUI",E2:E1334,"0348",F2:F1334,"00")</f>
        <v>0</v>
      </c>
      <c r="CD1375" s="387">
        <f>SUMIFS(CD2:CD1334,G2:G1334,"EMUI",E2:E1334,"0348",F2:F1334,"00")</f>
        <v>0</v>
      </c>
      <c r="CE1375" s="387">
        <f>SUMIFS(CE2:CE1334,G2:G1334,"EMUI",E2:E1334,"0348",F2:F1334,"00")</f>
        <v>0</v>
      </c>
      <c r="CF1375" s="387">
        <f>SUMIFS(CF2:CF1334,G2:G1334,"EMUI",E2:E1334,"0348",F2:F1334,"00")</f>
        <v>0</v>
      </c>
      <c r="CG1375" s="387">
        <f>SUMIFS(CG2:CG1334,G2:G1334,"EMUI",E2:E1334,"0348",F2:F1334,"00")</f>
        <v>0</v>
      </c>
      <c r="CH1375" s="387">
        <f>SUMIFS(CH2:CH1334,G2:G1334,"EMUI",E2:E1334,"0348",F2:F1334,"00")</f>
        <v>0</v>
      </c>
      <c r="CI1375" s="387">
        <f>SUMIFS(CI2:CI1334,G2:G1334,"EMUI",E2:E1334,"0348",F2:F1334,"00")</f>
        <v>0</v>
      </c>
      <c r="CJ1375" s="387">
        <f>SUMIFS(CJ2:CJ1334,G2:G1334,"EMUI",E2:E1334,"0348",F2:F1334,"00")</f>
        <v>0</v>
      </c>
      <c r="CK1375" s="387">
        <f>SUMIFS(CK2:CK1334,G2:G1334,"EMUI",E2:E1334,"0348",F2:F1334,"00")</f>
        <v>0</v>
      </c>
      <c r="CL1375" s="387">
        <f>SUMIFS(CL2:CL1334,G2:G1334,"EMUI",E2:E1334,"0348",F2:F1334,"00")</f>
        <v>0</v>
      </c>
      <c r="CM1375" s="387">
        <f>SUMIFS(CM2:CM1334,G2:G1334,"EMUI",E2:E1334,"0348",F2:F1334,"00")</f>
        <v>0</v>
      </c>
    </row>
    <row r="1376" spans="43:91" ht="15.75" thickBot="1" x14ac:dyDescent="0.3">
      <c r="AR1376" t="s">
        <v>2711</v>
      </c>
      <c r="AS1376" s="387">
        <f>SUMIFS(AS2:AS1334,G2:G1334,"EMUI",E2:E1334,"0348",F2:F1334,"31",AT2:AT1334,1)</f>
        <v>325.18000000000012</v>
      </c>
      <c r="AT1376" s="387">
        <f>SUMIFS(AS2:AS1334,G2:G1334,"EMUI",E2:E1334,"0348",F2:F1334,"31",AT2:AT1334,3)</f>
        <v>0</v>
      </c>
      <c r="AU1376" s="387">
        <f>SUMIFS(AU2:AU1334,G2:G1334,"EMUI",E2:E1334,"0348",F2:F1334,"31")</f>
        <v>394.62</v>
      </c>
      <c r="AV1376" s="387">
        <f>SUMIFS(AV2:AV1334,G2:G1334,"EMUI",E2:E1334,"0348",F2:F1334,"31")</f>
        <v>0</v>
      </c>
      <c r="AW1376" s="387">
        <f>SUMIFS(AW2:AW1334,G2:G1334,"EMUI",E2:E1334,"0348",F2:F1334,"31")</f>
        <v>941</v>
      </c>
      <c r="AX1376" s="387">
        <f>SUMIFS(AX2:AX1334,G2:G1334,"EMUI",E2:E1334,"0348",F2:F1334,"31")</f>
        <v>20607496.820000019</v>
      </c>
      <c r="AY1376" s="387">
        <f>SUMIFS(AY2:AY1334,G2:G1334,"EMUI",E2:E1334,"0348",F2:F1334,"31")</f>
        <v>16498508.820000008</v>
      </c>
      <c r="AZ1376" s="387">
        <f>SUMIFS(AZ2:AZ1334,G2:G1334,"EMUI",E2:E1334,"0348",F2:F1334,"31")</f>
        <v>0</v>
      </c>
      <c r="BA1376" s="387">
        <f>SUMIFS(BA2:BA1334,G2:G1334,"EMUI",E2:E1334,"0348",F2:F1334,"31")</f>
        <v>0</v>
      </c>
      <c r="BB1376" s="387">
        <f>SUMIFS(BB2:BB1334,G2:G1334,"EMUI",E2:E1334,"0348",F2:F1334,"31")</f>
        <v>3792774</v>
      </c>
      <c r="BC1376" s="387">
        <f>SUMIFS(BC2:BC1334,G2:G1334,"EMUI",E2:E1334,"0348",F2:F1334,"31")</f>
        <v>0</v>
      </c>
      <c r="BD1376" s="387">
        <f>SUMIFS(BD2:BD1334,G2:G1334,"EMUI",E2:E1334,"0348",F2:F1334,"31")</f>
        <v>1022937.2746000004</v>
      </c>
      <c r="BE1376" s="387">
        <f>SUMIFS(BE2:BE1334,G2:G1334,"EMUI",E2:E1334,"0348",F2:F1334,"31")</f>
        <v>239228.37789</v>
      </c>
      <c r="BF1376" s="387">
        <f>SUMIFS(BF2:BF1334,G2:G1334,"EMUI",E2:E1334,"0348",F2:F1334,"31")</f>
        <v>1969921.9531079996</v>
      </c>
      <c r="BG1376" s="387">
        <f>SUMIFS(BG2:BG1334,G2:G1334,"EMUI",E2:E1334,"0348",F2:F1334,"31")</f>
        <v>118954.24859219992</v>
      </c>
      <c r="BH1376" s="387">
        <f>SUMIFS(BH2:BH1334,G2:G1334,"EMUI",E2:E1334,"0348",F2:F1334,"31")</f>
        <v>80842.693217999971</v>
      </c>
      <c r="BI1376" s="387">
        <f>SUMIFS(BI2:BI1334,G2:G1334,"EMUI",E2:E1334,"0348",F2:F1334,"31")</f>
        <v>89241.329884049992</v>
      </c>
      <c r="BJ1376" s="387">
        <f>SUMIFS(BJ2:BJ1334,G2:G1334,"EMUI",E2:E1334,"0348",F2:F1334,"31")</f>
        <v>44545.973813999983</v>
      </c>
      <c r="BK1376" s="387">
        <f>SUMIFS(BK2:BK1334,G2:G1334,"EMUI",E2:E1334,"0348",F2:F1334,"31")</f>
        <v>0</v>
      </c>
      <c r="BL1376" s="387">
        <f>SUMIFS(BL2:BL1334,G2:G1334,"EMUI",E2:E1334,"0348",F2:F1334,"31")</f>
        <v>3565671.8511062479</v>
      </c>
      <c r="BM1376" s="387">
        <f>SUMIFS(BM2:BM1334,G2:G1334,"EMUI",E2:E1334,"0348",F2:F1334,"31")</f>
        <v>0</v>
      </c>
      <c r="BN1376" s="387">
        <f>SUMIFS(BN2:BN1334,G2:G1334,"EMUI",E2:E1334,"0348",F2:F1334,"31")</f>
        <v>3792774</v>
      </c>
      <c r="BO1376" s="387">
        <f>SUMIFS(BO2:BO1334,G2:G1334,"EMUI",E2:E1334,"0348",F2:F1334,"31")</f>
        <v>0</v>
      </c>
      <c r="BP1376" s="387">
        <f>SUMIFS(BP2:BP1334,G2:G1334,"EMUI",E2:E1334,"0348",F2:F1334,"31")</f>
        <v>1022940.4366000004</v>
      </c>
      <c r="BQ1376" s="387">
        <f>SUMIFS(BQ2:BQ1334,G2:G1334,"EMUI",E2:E1334,"0348",F2:F1334,"31")</f>
        <v>239228.37789</v>
      </c>
      <c r="BR1376" s="387">
        <f>SUMIFS(BR2:BR1334,G2:G1334,"EMUI",E2:E1334,"0348",F2:F1334,"31")</f>
        <v>1969921.9531079996</v>
      </c>
      <c r="BS1376" s="387">
        <f>SUMIFS(BS2:BS1334,G2:G1334,"EMUI",E2:E1334,"0348",F2:F1334,"31")</f>
        <v>118954.24859219992</v>
      </c>
      <c r="BT1376" s="387">
        <f>SUMIFS(BT2:BT1334,G2:G1334,"EMUI",E2:E1334,"0348",F2:F1334,"31")</f>
        <v>0</v>
      </c>
      <c r="BU1376" s="387">
        <f>SUMIFS(BU2:BU1334,G2:G1334,"EMUI",E2:E1334,"0348",F2:F1334,"31")</f>
        <v>89241.329884049992</v>
      </c>
      <c r="BV1376" s="387">
        <f>SUMIFS(BV2:BV1334,G2:G1334,"EMUI",E2:E1334,"0348",F2:F1334,"31")</f>
        <v>56094.929987999989</v>
      </c>
      <c r="BW1376" s="387">
        <f>SUMIFS(BW2:BW1334,G2:G1334,"EMUI",E2:E1334,"0348",F2:F1334,"31")</f>
        <v>0</v>
      </c>
      <c r="BX1376" s="387">
        <f>SUMIFS(BX2:BX1334,G2:G1334,"EMUI",E2:E1334,"0348",F2:F1334,"31")</f>
        <v>3496381.2760622511</v>
      </c>
      <c r="BY1376" s="387">
        <f>SUMIFS(BY2:BY1334,G2:G1334,"EMUI",E2:E1334,"0348",F2:F1334,"31")</f>
        <v>0</v>
      </c>
      <c r="BZ1376" s="387">
        <f>SUMIFS(BZ2:BZ1334,G2:G1334,"EMUI",E2:E1334,"0348",F2:F1334,"31")</f>
        <v>0</v>
      </c>
      <c r="CA1376" s="387">
        <f>SUMIFS(CA2:CA1334,G2:G1334,"EMUI",E2:E1334,"0348",F2:F1334,"31")</f>
        <v>0</v>
      </c>
      <c r="CB1376" s="387">
        <f>SUMIFS(CB2:CB1334,G2:G1334,"EMUI",E2:E1334,"0348",F2:F1334,"31")</f>
        <v>3.1620000000000061</v>
      </c>
      <c r="CC1376" s="387">
        <f>SUMIFS(CC2:CC1334,G2:G1334,"EMUI",E2:E1334,"0348",F2:F1334,"31")</f>
        <v>0</v>
      </c>
      <c r="CD1376" s="387">
        <f>SUMIFS(CD2:CD1334,G2:G1334,"EMUI",E2:E1334,"0348",F2:F1334,"31")</f>
        <v>0</v>
      </c>
      <c r="CE1376" s="387">
        <f>SUMIFS(CE2:CE1334,G2:G1334,"EMUI",E2:E1334,"0348",F2:F1334,"31")</f>
        <v>0</v>
      </c>
      <c r="CF1376" s="387">
        <f>SUMIFS(CF2:CF1334,G2:G1334,"EMUI",E2:E1334,"0348",F2:F1334,"31")</f>
        <v>-80842.693217999971</v>
      </c>
      <c r="CG1376" s="387">
        <f>SUMIFS(CG2:CG1334,G2:G1334,"EMUI",E2:E1334,"0348",F2:F1334,"31")</f>
        <v>0</v>
      </c>
      <c r="CH1376" s="387">
        <f>SUMIFS(CH2:CH1334,G2:G1334,"EMUI",E2:E1334,"0348",F2:F1334,"31")</f>
        <v>11548.956173999994</v>
      </c>
      <c r="CI1376" s="387">
        <f>SUMIFS(CI2:CI1334,G2:G1334,"EMUI",E2:E1334,"0348",F2:F1334,"31")</f>
        <v>0</v>
      </c>
      <c r="CJ1376" s="387">
        <f>SUMIFS(CJ2:CJ1334,G2:G1334,"EMUI",E2:E1334,"0348",F2:F1334,"31")</f>
        <v>-69290.575043999997</v>
      </c>
      <c r="CK1376" s="387">
        <f>SUMIFS(CK2:CK1334,G2:G1334,"EMUI",E2:E1334,"0348",F2:F1334,"31")</f>
        <v>0</v>
      </c>
      <c r="CL1376" s="387">
        <f>SUMIFS(CL2:CL1334,G2:G1334,"EMUI",E2:E1334,"0348",F2:F1334,"31")</f>
        <v>145845.62999999998</v>
      </c>
      <c r="CM1376" s="387">
        <f>SUMIFS(CM2:CM1334,G2:G1334,"EMUI",E2:E1334,"0348",F2:F1334,"31")</f>
        <v>41062.789999999994</v>
      </c>
    </row>
    <row r="1377" spans="41:91" ht="18.75" x14ac:dyDescent="0.3">
      <c r="AQ1377" s="393" t="s">
        <v>2712</v>
      </c>
      <c r="AS1377" s="394">
        <f t="shared" ref="AS1377:CM1377" si="941">SUM(AS1375:AS1376)</f>
        <v>325.18000000000012</v>
      </c>
      <c r="AT1377" s="394">
        <f t="shared" si="941"/>
        <v>0</v>
      </c>
      <c r="AU1377" s="394">
        <f t="shared" si="941"/>
        <v>394.62</v>
      </c>
      <c r="AV1377" s="394">
        <f t="shared" si="941"/>
        <v>0</v>
      </c>
      <c r="AW1377" s="394">
        <f t="shared" si="941"/>
        <v>941</v>
      </c>
      <c r="AX1377" s="394">
        <f t="shared" si="941"/>
        <v>20607496.820000019</v>
      </c>
      <c r="AY1377" s="394">
        <f t="shared" si="941"/>
        <v>16498508.820000008</v>
      </c>
      <c r="AZ1377" s="394">
        <f t="shared" si="941"/>
        <v>0</v>
      </c>
      <c r="BA1377" s="394">
        <f t="shared" si="941"/>
        <v>0</v>
      </c>
      <c r="BB1377" s="394">
        <f t="shared" si="941"/>
        <v>3792774</v>
      </c>
      <c r="BC1377" s="394">
        <f t="shared" si="941"/>
        <v>0</v>
      </c>
      <c r="BD1377" s="394">
        <f t="shared" si="941"/>
        <v>1022937.2746000004</v>
      </c>
      <c r="BE1377" s="394">
        <f t="shared" si="941"/>
        <v>239228.37789</v>
      </c>
      <c r="BF1377" s="394">
        <f t="shared" si="941"/>
        <v>1969921.9531079996</v>
      </c>
      <c r="BG1377" s="394">
        <f t="shared" si="941"/>
        <v>118954.24859219992</v>
      </c>
      <c r="BH1377" s="394">
        <f t="shared" si="941"/>
        <v>80842.693217999971</v>
      </c>
      <c r="BI1377" s="394">
        <f t="shared" si="941"/>
        <v>89241.329884049992</v>
      </c>
      <c r="BJ1377" s="394">
        <f t="shared" si="941"/>
        <v>44545.973813999983</v>
      </c>
      <c r="BK1377" s="394">
        <f t="shared" si="941"/>
        <v>0</v>
      </c>
      <c r="BL1377" s="394">
        <f t="shared" si="941"/>
        <v>3565671.8511062479</v>
      </c>
      <c r="BM1377" s="394">
        <f t="shared" si="941"/>
        <v>0</v>
      </c>
      <c r="BN1377" s="394">
        <f t="shared" si="941"/>
        <v>3792774</v>
      </c>
      <c r="BO1377" s="394">
        <f t="shared" si="941"/>
        <v>0</v>
      </c>
      <c r="BP1377" s="394">
        <f t="shared" si="941"/>
        <v>1022940.4366000004</v>
      </c>
      <c r="BQ1377" s="394">
        <f t="shared" si="941"/>
        <v>239228.37789</v>
      </c>
      <c r="BR1377" s="394">
        <f t="shared" si="941"/>
        <v>1969921.9531079996</v>
      </c>
      <c r="BS1377" s="394">
        <f t="shared" si="941"/>
        <v>118954.24859219992</v>
      </c>
      <c r="BT1377" s="394">
        <f t="shared" si="941"/>
        <v>0</v>
      </c>
      <c r="BU1377" s="394">
        <f t="shared" si="941"/>
        <v>89241.329884049992</v>
      </c>
      <c r="BV1377" s="394">
        <f t="shared" si="941"/>
        <v>56094.929987999989</v>
      </c>
      <c r="BW1377" s="394">
        <f t="shared" si="941"/>
        <v>0</v>
      </c>
      <c r="BX1377" s="394">
        <f t="shared" si="941"/>
        <v>3496381.2760622511</v>
      </c>
      <c r="BY1377" s="394">
        <f t="shared" si="941"/>
        <v>0</v>
      </c>
      <c r="BZ1377" s="394">
        <f t="shared" si="941"/>
        <v>0</v>
      </c>
      <c r="CA1377" s="394">
        <f t="shared" si="941"/>
        <v>0</v>
      </c>
      <c r="CB1377" s="394">
        <f t="shared" si="941"/>
        <v>3.1620000000000061</v>
      </c>
      <c r="CC1377" s="394">
        <f t="shared" si="941"/>
        <v>0</v>
      </c>
      <c r="CD1377" s="394">
        <f t="shared" si="941"/>
        <v>0</v>
      </c>
      <c r="CE1377" s="394">
        <f t="shared" si="941"/>
        <v>0</v>
      </c>
      <c r="CF1377" s="394">
        <f t="shared" si="941"/>
        <v>-80842.693217999971</v>
      </c>
      <c r="CG1377" s="394">
        <f t="shared" si="941"/>
        <v>0</v>
      </c>
      <c r="CH1377" s="394">
        <f t="shared" si="941"/>
        <v>11548.956173999994</v>
      </c>
      <c r="CI1377" s="394">
        <f t="shared" si="941"/>
        <v>0</v>
      </c>
      <c r="CJ1377" s="394">
        <f t="shared" si="941"/>
        <v>-69290.575043999997</v>
      </c>
      <c r="CK1377" s="394">
        <f t="shared" si="941"/>
        <v>0</v>
      </c>
      <c r="CL1377" s="394">
        <f t="shared" si="941"/>
        <v>145845.62999999998</v>
      </c>
      <c r="CM1377" s="394">
        <f t="shared" si="941"/>
        <v>41062.789999999994</v>
      </c>
    </row>
    <row r="1378" spans="41:91" x14ac:dyDescent="0.25">
      <c r="AR1378" t="s">
        <v>2714</v>
      </c>
      <c r="AS1378" s="387">
        <f>SUMIFS(AS2:AS1334,G2:G1334,"EMUI",E2:E1334,"0349",F2:F1334,"00",AT2:AT1334,1)</f>
        <v>0</v>
      </c>
      <c r="AT1378" s="387">
        <f>SUMIFS(AS2:AS1334,G2:G1334,"EMUI",E2:E1334,"0349",F2:F1334,"00",AT2:AT1334,3)</f>
        <v>0</v>
      </c>
      <c r="AU1378" s="387">
        <f>SUMIFS(AU2:AU1334,G2:G1334,"EMUI",E2:E1334,"0349",F2:F1334,"00")</f>
        <v>0</v>
      </c>
      <c r="AV1378" s="387">
        <f>SUMIFS(AV2:AV1334,G2:G1334,"EMUI",E2:E1334,"0349",F2:F1334,"00")</f>
        <v>0</v>
      </c>
      <c r="AW1378" s="387">
        <f>SUMIFS(AW2:AW1334,G2:G1334,"EMUI",E2:E1334,"0349",F2:F1334,"00")</f>
        <v>0</v>
      </c>
      <c r="AX1378" s="387">
        <f>SUMIFS(AX2:AX1334,G2:G1334,"EMUI",E2:E1334,"0349",F2:F1334,"00")</f>
        <v>0</v>
      </c>
      <c r="AY1378" s="387">
        <f>SUMIFS(AY2:AY1334,G2:G1334,"EMUI",E2:E1334,"0349",F2:F1334,"00")</f>
        <v>0</v>
      </c>
      <c r="AZ1378" s="387">
        <f>SUMIFS(AZ2:AZ1334,G2:G1334,"EMUI",E2:E1334,"0349",F2:F1334,"00")</f>
        <v>0</v>
      </c>
      <c r="BA1378" s="387">
        <f>SUMIFS(BA2:BA1334,G2:G1334,"EMUI",E2:E1334,"0349",F2:F1334,"00")</f>
        <v>0</v>
      </c>
      <c r="BB1378" s="387">
        <f>SUMIFS(BB2:BB1334,G2:G1334,"EMUI",E2:E1334,"0349",F2:F1334,"00")</f>
        <v>0</v>
      </c>
      <c r="BC1378" s="387">
        <f>SUMIFS(BC2:BC1334,G2:G1334,"EMUI",E2:E1334,"0349",F2:F1334,"00")</f>
        <v>0</v>
      </c>
      <c r="BD1378" s="387">
        <f>SUMIFS(BD2:BD1334,G2:G1334,"EMUI",E2:E1334,"0349",F2:F1334,"00")</f>
        <v>0</v>
      </c>
      <c r="BE1378" s="387">
        <f>SUMIFS(BE2:BE1334,G2:G1334,"EMUI",E2:E1334,"0349",F2:F1334,"00")</f>
        <v>0</v>
      </c>
      <c r="BF1378" s="387">
        <f>SUMIFS(BF2:BF1334,G2:G1334,"EMUI",E2:E1334,"0349",F2:F1334,"00")</f>
        <v>0</v>
      </c>
      <c r="BG1378" s="387">
        <f>SUMIFS(BG2:BG1334,G2:G1334,"EMUI",E2:E1334,"0349",F2:F1334,"00")</f>
        <v>0</v>
      </c>
      <c r="BH1378" s="387">
        <f>SUMIFS(BH2:BH1334,G2:G1334,"EMUI",E2:E1334,"0349",F2:F1334,"00")</f>
        <v>0</v>
      </c>
      <c r="BI1378" s="387">
        <f>SUMIFS(BI2:BI1334,G2:G1334,"EMUI",E2:E1334,"0349",F2:F1334,"00")</f>
        <v>0</v>
      </c>
      <c r="BJ1378" s="387">
        <f>SUMIFS(BJ2:BJ1334,G2:G1334,"EMUI",E2:E1334,"0349",F2:F1334,"00")</f>
        <v>0</v>
      </c>
      <c r="BK1378" s="387">
        <f>SUMIFS(BK2:BK1334,G2:G1334,"EMUI",E2:E1334,"0349",F2:F1334,"00")</f>
        <v>0</v>
      </c>
      <c r="BL1378" s="387">
        <f>SUMIFS(BL2:BL1334,G2:G1334,"EMUI",E2:E1334,"0349",F2:F1334,"00")</f>
        <v>0</v>
      </c>
      <c r="BM1378" s="387">
        <f>SUMIFS(BM2:BM1334,G2:G1334,"EMUI",E2:E1334,"0349",F2:F1334,"00")</f>
        <v>0</v>
      </c>
      <c r="BN1378" s="387">
        <f>SUMIFS(BN2:BN1334,G2:G1334,"EMUI",E2:E1334,"0349",F2:F1334,"00")</f>
        <v>0</v>
      </c>
      <c r="BO1378" s="387">
        <f>SUMIFS(BO2:BO1334,G2:G1334,"EMUI",E2:E1334,"0349",F2:F1334,"00")</f>
        <v>0</v>
      </c>
      <c r="BP1378" s="387">
        <f>SUMIFS(BP2:BP1334,G2:G1334,"EMUI",E2:E1334,"0349",F2:F1334,"00")</f>
        <v>0</v>
      </c>
      <c r="BQ1378" s="387">
        <f>SUMIFS(BQ2:BQ1334,G2:G1334,"EMUI",E2:E1334,"0349",F2:F1334,"00")</f>
        <v>0</v>
      </c>
      <c r="BR1378" s="387">
        <f>SUMIFS(BR2:BR1334,G2:G1334,"EMUI",E2:E1334,"0349",F2:F1334,"00")</f>
        <v>0</v>
      </c>
      <c r="BS1378" s="387">
        <f>SUMIFS(BS2:BS1334,G2:G1334,"EMUI",E2:E1334,"0349",F2:F1334,"00")</f>
        <v>0</v>
      </c>
      <c r="BT1378" s="387">
        <f>SUMIFS(BT2:BT1334,G2:G1334,"EMUI",E2:E1334,"0349",F2:F1334,"00")</f>
        <v>0</v>
      </c>
      <c r="BU1378" s="387">
        <f>SUMIFS(BU2:BU1334,G2:G1334,"EMUI",E2:E1334,"0349",F2:F1334,"00")</f>
        <v>0</v>
      </c>
      <c r="BV1378" s="387">
        <f>SUMIFS(BV2:BV1334,G2:G1334,"EMUI",E2:E1334,"0349",F2:F1334,"00")</f>
        <v>0</v>
      </c>
      <c r="BW1378" s="387">
        <f>SUMIFS(BW2:BW1334,G2:G1334,"EMUI",E2:E1334,"0349",F2:F1334,"00")</f>
        <v>0</v>
      </c>
      <c r="BX1378" s="387">
        <f>SUMIFS(BX2:BX1334,G2:G1334,"EMUI",E2:E1334,"0349",F2:F1334,"00")</f>
        <v>0</v>
      </c>
      <c r="BY1378" s="387">
        <f>SUMIFS(BY2:BY1334,G2:G1334,"EMUI",E2:E1334,"0349",F2:F1334,"00")</f>
        <v>0</v>
      </c>
      <c r="BZ1378" s="387">
        <f>SUMIFS(BZ2:BZ1334,G2:G1334,"EMUI",E2:E1334,"0349",F2:F1334,"00")</f>
        <v>0</v>
      </c>
      <c r="CA1378" s="387">
        <f>SUMIFS(CA2:CA1334,G2:G1334,"EMUI",E2:E1334,"0349",F2:F1334,"00")</f>
        <v>0</v>
      </c>
      <c r="CB1378" s="387">
        <f>SUMIFS(CB2:CB1334,G2:G1334,"EMUI",E2:E1334,"0349",F2:F1334,"00")</f>
        <v>0</v>
      </c>
      <c r="CC1378" s="387">
        <f>SUMIFS(CC2:CC1334,G2:G1334,"EMUI",E2:E1334,"0349",F2:F1334,"00")</f>
        <v>0</v>
      </c>
      <c r="CD1378" s="387">
        <f>SUMIFS(CD2:CD1334,G2:G1334,"EMUI",E2:E1334,"0349",F2:F1334,"00")</f>
        <v>0</v>
      </c>
      <c r="CE1378" s="387">
        <f>SUMIFS(CE2:CE1334,G2:G1334,"EMUI",E2:E1334,"0349",F2:F1334,"00")</f>
        <v>0</v>
      </c>
      <c r="CF1378" s="387">
        <f>SUMIFS(CF2:CF1334,G2:G1334,"EMUI",E2:E1334,"0349",F2:F1334,"00")</f>
        <v>0</v>
      </c>
      <c r="CG1378" s="387">
        <f>SUMIFS(CG2:CG1334,G2:G1334,"EMUI",E2:E1334,"0349",F2:F1334,"00")</f>
        <v>0</v>
      </c>
      <c r="CH1378" s="387">
        <f>SUMIFS(CH2:CH1334,G2:G1334,"EMUI",E2:E1334,"0349",F2:F1334,"00")</f>
        <v>0</v>
      </c>
      <c r="CI1378" s="387">
        <f>SUMIFS(CI2:CI1334,G2:G1334,"EMUI",E2:E1334,"0349",F2:F1334,"00")</f>
        <v>0</v>
      </c>
      <c r="CJ1378" s="387">
        <f>SUMIFS(CJ2:CJ1334,G2:G1334,"EMUI",E2:E1334,"0349",F2:F1334,"00")</f>
        <v>0</v>
      </c>
      <c r="CK1378" s="387">
        <f>SUMIFS(CK2:CK1334,G2:G1334,"EMUI",E2:E1334,"0349",F2:F1334,"00")</f>
        <v>0</v>
      </c>
      <c r="CL1378" s="387">
        <f>SUMIFS(CL2:CL1334,G2:G1334,"EMUI",E2:E1334,"0349",F2:F1334,"00")</f>
        <v>0</v>
      </c>
      <c r="CM1378" s="387">
        <f>SUMIFS(CM2:CM1334,G2:G1334,"EMUI",E2:E1334,"0349",F2:F1334,"00")</f>
        <v>0</v>
      </c>
    </row>
    <row r="1379" spans="41:91" ht="15.75" thickBot="1" x14ac:dyDescent="0.3">
      <c r="AR1379" t="s">
        <v>2715</v>
      </c>
      <c r="AS1379" s="387">
        <f>SUMIFS(AS2:AS1334,G2:G1334,"EMUI",E2:E1334,"0349",F2:F1334,"31",AT2:AT1334,1)</f>
        <v>1.5</v>
      </c>
      <c r="AT1379" s="387">
        <f>SUMIFS(AS2:AS1334,G2:G1334,"EMUI",E2:E1334,"0349",F2:F1334,"31",AT2:AT1334,3)</f>
        <v>0</v>
      </c>
      <c r="AU1379" s="387">
        <f>SUMIFS(AU2:AU1334,G2:G1334,"EMUI",E2:E1334,"0349",F2:F1334,"31")</f>
        <v>2</v>
      </c>
      <c r="AV1379" s="387">
        <f>SUMIFS(AV2:AV1334,G2:G1334,"EMUI",E2:E1334,"0349",F2:F1334,"31")</f>
        <v>0</v>
      </c>
      <c r="AW1379" s="387">
        <f>SUMIFS(AW2:AW1334,G2:G1334,"EMUI",E2:E1334,"0349",F2:F1334,"31")</f>
        <v>11</v>
      </c>
      <c r="AX1379" s="387">
        <f>SUMIFS(AX2:AX1334,G2:G1334,"EMUI",E2:E1334,"0349",F2:F1334,"31")</f>
        <v>69409.600000000006</v>
      </c>
      <c r="AY1379" s="387">
        <f>SUMIFS(AY2:AY1334,G2:G1334,"EMUI",E2:E1334,"0349",F2:F1334,"31")</f>
        <v>53996.800000000003</v>
      </c>
      <c r="AZ1379" s="387">
        <f>SUMIFS(AZ2:AZ1334,G2:G1334,"EMUI",E2:E1334,"0349",F2:F1334,"31")</f>
        <v>0</v>
      </c>
      <c r="BA1379" s="387">
        <f>SUMIFS(BA2:BA1334,G2:G1334,"EMUI",E2:E1334,"0349",F2:F1334,"31")</f>
        <v>0</v>
      </c>
      <c r="BB1379" s="387">
        <f>SUMIFS(BB2:BB1334,G2:G1334,"EMUI",E2:E1334,"0349",F2:F1334,"31")</f>
        <v>17475</v>
      </c>
      <c r="BC1379" s="387">
        <f>SUMIFS(BC2:BC1334,G2:G1334,"EMUI",E2:E1334,"0349",F2:F1334,"31")</f>
        <v>0</v>
      </c>
      <c r="BD1379" s="387">
        <f>SUMIFS(BD2:BD1334,G2:G1334,"EMUI",E2:E1334,"0349",F2:F1334,"31")</f>
        <v>3347.8015999999998</v>
      </c>
      <c r="BE1379" s="387">
        <f>SUMIFS(BE2:BE1334,G2:G1334,"EMUI",E2:E1334,"0349",F2:F1334,"31")</f>
        <v>782.95360000000005</v>
      </c>
      <c r="BF1379" s="387">
        <f>SUMIFS(BF2:BF1334,G2:G1334,"EMUI",E2:E1334,"0349",F2:F1334,"31")</f>
        <v>6447.217920000001</v>
      </c>
      <c r="BG1379" s="387">
        <f>SUMIFS(BG2:BG1334,G2:G1334,"EMUI",E2:E1334,"0349",F2:F1334,"31")</f>
        <v>389.31692800000002</v>
      </c>
      <c r="BH1379" s="387">
        <f>SUMIFS(BH2:BH1334,G2:G1334,"EMUI",E2:E1334,"0349",F2:F1334,"31")</f>
        <v>264.58431999999999</v>
      </c>
      <c r="BI1379" s="387">
        <f>SUMIFS(BI2:BI1334,G2:G1334,"EMUI",E2:E1334,"0349",F2:F1334,"31")</f>
        <v>298.87228800000003</v>
      </c>
      <c r="BJ1379" s="387">
        <f>SUMIFS(BJ2:BJ1334,G2:G1334,"EMUI",E2:E1334,"0349",F2:F1334,"31")</f>
        <v>145.79136</v>
      </c>
      <c r="BK1379" s="387">
        <f>SUMIFS(BK2:BK1334,G2:G1334,"EMUI",E2:E1334,"0349",F2:F1334,"31")</f>
        <v>0</v>
      </c>
      <c r="BL1379" s="387">
        <f>SUMIFS(BL2:BL1334,G2:G1334,"EMUI",E2:E1334,"0349",F2:F1334,"31")</f>
        <v>11676.538015999999</v>
      </c>
      <c r="BM1379" s="387">
        <f>SUMIFS(BM2:BM1334,G2:G1334,"EMUI",E2:E1334,"0349",F2:F1334,"31")</f>
        <v>0</v>
      </c>
      <c r="BN1379" s="387">
        <f>SUMIFS(BN2:BN1334,G2:G1334,"EMUI",E2:E1334,"0349",F2:F1334,"31")</f>
        <v>17475</v>
      </c>
      <c r="BO1379" s="387">
        <f>SUMIFS(BO2:BO1334,G2:G1334,"EMUI",E2:E1334,"0349",F2:F1334,"31")</f>
        <v>0</v>
      </c>
      <c r="BP1379" s="387">
        <f>SUMIFS(BP2:BP1334,G2:G1334,"EMUI",E2:E1334,"0349",F2:F1334,"31")</f>
        <v>3347.8015999999998</v>
      </c>
      <c r="BQ1379" s="387">
        <f>SUMIFS(BQ2:BQ1334,G2:G1334,"EMUI",E2:E1334,"0349",F2:F1334,"31")</f>
        <v>782.95360000000005</v>
      </c>
      <c r="BR1379" s="387">
        <f>SUMIFS(BR2:BR1334,G2:G1334,"EMUI",E2:E1334,"0349",F2:F1334,"31")</f>
        <v>6447.217920000001</v>
      </c>
      <c r="BS1379" s="387">
        <f>SUMIFS(BS2:BS1334,G2:G1334,"EMUI",E2:E1334,"0349",F2:F1334,"31")</f>
        <v>389.31692800000002</v>
      </c>
      <c r="BT1379" s="387">
        <f>SUMIFS(BT2:BT1334,G2:G1334,"EMUI",E2:E1334,"0349",F2:F1334,"31")</f>
        <v>0</v>
      </c>
      <c r="BU1379" s="387">
        <f>SUMIFS(BU2:BU1334,G2:G1334,"EMUI",E2:E1334,"0349",F2:F1334,"31")</f>
        <v>298.87228800000003</v>
      </c>
      <c r="BV1379" s="387">
        <f>SUMIFS(BV2:BV1334,G2:G1334,"EMUI",E2:E1334,"0349",F2:F1334,"31")</f>
        <v>183.58911999999998</v>
      </c>
      <c r="BW1379" s="387">
        <f>SUMIFS(BW2:BW1334,G2:G1334,"EMUI",E2:E1334,"0349",F2:F1334,"31")</f>
        <v>0</v>
      </c>
      <c r="BX1379" s="387">
        <f>SUMIFS(BX2:BX1334,G2:G1334,"EMUI",E2:E1334,"0349",F2:F1334,"31")</f>
        <v>11449.751456</v>
      </c>
      <c r="BY1379" s="387">
        <f>SUMIFS(BY2:BY1334,G2:G1334,"EMUI",E2:E1334,"0349",F2:F1334,"31")</f>
        <v>0</v>
      </c>
      <c r="BZ1379" s="387">
        <f>SUMIFS(BZ2:BZ1334,G2:G1334,"EMUI",E2:E1334,"0349",F2:F1334,"31")</f>
        <v>0</v>
      </c>
      <c r="CA1379" s="387">
        <f>SUMIFS(CA2:CA1334,G2:G1334,"EMUI",E2:E1334,"0349",F2:F1334,"31")</f>
        <v>0</v>
      </c>
      <c r="CB1379" s="387">
        <f>SUMIFS(CB2:CB1334,G2:G1334,"EMUI",E2:E1334,"0349",F2:F1334,"31")</f>
        <v>0</v>
      </c>
      <c r="CC1379" s="387">
        <f>SUMIFS(CC2:CC1334,G2:G1334,"EMUI",E2:E1334,"0349",F2:F1334,"31")</f>
        <v>0</v>
      </c>
      <c r="CD1379" s="387">
        <f>SUMIFS(CD2:CD1334,G2:G1334,"EMUI",E2:E1334,"0349",F2:F1334,"31")</f>
        <v>0</v>
      </c>
      <c r="CE1379" s="387">
        <f>SUMIFS(CE2:CE1334,G2:G1334,"EMUI",E2:E1334,"0349",F2:F1334,"31")</f>
        <v>0</v>
      </c>
      <c r="CF1379" s="387">
        <f>SUMIFS(CF2:CF1334,G2:G1334,"EMUI",E2:E1334,"0349",F2:F1334,"31")</f>
        <v>-264.58431999999999</v>
      </c>
      <c r="CG1379" s="387">
        <f>SUMIFS(CG2:CG1334,G2:G1334,"EMUI",E2:E1334,"0349",F2:F1334,"31")</f>
        <v>0</v>
      </c>
      <c r="CH1379" s="387">
        <f>SUMIFS(CH2:CH1334,G2:G1334,"EMUI",E2:E1334,"0349",F2:F1334,"31")</f>
        <v>37.797759999999982</v>
      </c>
      <c r="CI1379" s="387">
        <f>SUMIFS(CI2:CI1334,G2:G1334,"EMUI",E2:E1334,"0349",F2:F1334,"31")</f>
        <v>0</v>
      </c>
      <c r="CJ1379" s="387">
        <f>SUMIFS(CJ2:CJ1334,G2:G1334,"EMUI",E2:E1334,"0349",F2:F1334,"31")</f>
        <v>-226.78656000000001</v>
      </c>
      <c r="CK1379" s="387">
        <f>SUMIFS(CK2:CK1334,G2:G1334,"EMUI",E2:E1334,"0349",F2:F1334,"31")</f>
        <v>0</v>
      </c>
      <c r="CL1379" s="387">
        <f>SUMIFS(CL2:CL1334,G2:G1334,"EMUI",E2:E1334,"0349",F2:F1334,"31")</f>
        <v>0</v>
      </c>
      <c r="CM1379" s="387">
        <f>SUMIFS(CM2:CM1334,G2:G1334,"EMUI",E2:E1334,"0349",F2:F1334,"31")</f>
        <v>0</v>
      </c>
    </row>
    <row r="1380" spans="41:91" ht="18.75" x14ac:dyDescent="0.3">
      <c r="AQ1380" s="393" t="s">
        <v>2716</v>
      </c>
      <c r="AS1380" s="394">
        <f t="shared" ref="AS1380:CM1380" si="942">SUM(AS1378:AS1379)</f>
        <v>1.5</v>
      </c>
      <c r="AT1380" s="394">
        <f t="shared" si="942"/>
        <v>0</v>
      </c>
      <c r="AU1380" s="394">
        <f t="shared" si="942"/>
        <v>2</v>
      </c>
      <c r="AV1380" s="394">
        <f t="shared" si="942"/>
        <v>0</v>
      </c>
      <c r="AW1380" s="394">
        <f t="shared" si="942"/>
        <v>11</v>
      </c>
      <c r="AX1380" s="394">
        <f t="shared" si="942"/>
        <v>69409.600000000006</v>
      </c>
      <c r="AY1380" s="394">
        <f t="shared" si="942"/>
        <v>53996.800000000003</v>
      </c>
      <c r="AZ1380" s="394">
        <f t="shared" si="942"/>
        <v>0</v>
      </c>
      <c r="BA1380" s="394">
        <f t="shared" si="942"/>
        <v>0</v>
      </c>
      <c r="BB1380" s="394">
        <f t="shared" si="942"/>
        <v>17475</v>
      </c>
      <c r="BC1380" s="394">
        <f t="shared" si="942"/>
        <v>0</v>
      </c>
      <c r="BD1380" s="394">
        <f t="shared" si="942"/>
        <v>3347.8015999999998</v>
      </c>
      <c r="BE1380" s="394">
        <f t="shared" si="942"/>
        <v>782.95360000000005</v>
      </c>
      <c r="BF1380" s="394">
        <f t="shared" si="942"/>
        <v>6447.217920000001</v>
      </c>
      <c r="BG1380" s="394">
        <f t="shared" si="942"/>
        <v>389.31692800000002</v>
      </c>
      <c r="BH1380" s="394">
        <f t="shared" si="942"/>
        <v>264.58431999999999</v>
      </c>
      <c r="BI1380" s="394">
        <f t="shared" si="942"/>
        <v>298.87228800000003</v>
      </c>
      <c r="BJ1380" s="394">
        <f t="shared" si="942"/>
        <v>145.79136</v>
      </c>
      <c r="BK1380" s="394">
        <f t="shared" si="942"/>
        <v>0</v>
      </c>
      <c r="BL1380" s="394">
        <f t="shared" si="942"/>
        <v>11676.538015999999</v>
      </c>
      <c r="BM1380" s="394">
        <f t="shared" si="942"/>
        <v>0</v>
      </c>
      <c r="BN1380" s="394">
        <f t="shared" si="942"/>
        <v>17475</v>
      </c>
      <c r="BO1380" s="394">
        <f t="shared" si="942"/>
        <v>0</v>
      </c>
      <c r="BP1380" s="394">
        <f t="shared" si="942"/>
        <v>3347.8015999999998</v>
      </c>
      <c r="BQ1380" s="394">
        <f t="shared" si="942"/>
        <v>782.95360000000005</v>
      </c>
      <c r="BR1380" s="394">
        <f t="shared" si="942"/>
        <v>6447.217920000001</v>
      </c>
      <c r="BS1380" s="394">
        <f t="shared" si="942"/>
        <v>389.31692800000002</v>
      </c>
      <c r="BT1380" s="394">
        <f t="shared" si="942"/>
        <v>0</v>
      </c>
      <c r="BU1380" s="394">
        <f t="shared" si="942"/>
        <v>298.87228800000003</v>
      </c>
      <c r="BV1380" s="394">
        <f t="shared" si="942"/>
        <v>183.58911999999998</v>
      </c>
      <c r="BW1380" s="394">
        <f t="shared" si="942"/>
        <v>0</v>
      </c>
      <c r="BX1380" s="394">
        <f t="shared" si="942"/>
        <v>11449.751456</v>
      </c>
      <c r="BY1380" s="394">
        <f t="shared" si="942"/>
        <v>0</v>
      </c>
      <c r="BZ1380" s="394">
        <f t="shared" si="942"/>
        <v>0</v>
      </c>
      <c r="CA1380" s="394">
        <f t="shared" si="942"/>
        <v>0</v>
      </c>
      <c r="CB1380" s="394">
        <f t="shared" si="942"/>
        <v>0</v>
      </c>
      <c r="CC1380" s="394">
        <f t="shared" si="942"/>
        <v>0</v>
      </c>
      <c r="CD1380" s="394">
        <f t="shared" si="942"/>
        <v>0</v>
      </c>
      <c r="CE1380" s="394">
        <f t="shared" si="942"/>
        <v>0</v>
      </c>
      <c r="CF1380" s="394">
        <f t="shared" si="942"/>
        <v>-264.58431999999999</v>
      </c>
      <c r="CG1380" s="394">
        <f t="shared" si="942"/>
        <v>0</v>
      </c>
      <c r="CH1380" s="394">
        <f t="shared" si="942"/>
        <v>37.797759999999982</v>
      </c>
      <c r="CI1380" s="394">
        <f t="shared" si="942"/>
        <v>0</v>
      </c>
      <c r="CJ1380" s="394">
        <f t="shared" si="942"/>
        <v>-226.78656000000001</v>
      </c>
      <c r="CK1380" s="394">
        <f t="shared" si="942"/>
        <v>0</v>
      </c>
      <c r="CL1380" s="394">
        <f t="shared" si="942"/>
        <v>0</v>
      </c>
      <c r="CM1380" s="394">
        <f t="shared" si="942"/>
        <v>0</v>
      </c>
    </row>
    <row r="1382" spans="41:91" ht="21" x14ac:dyDescent="0.35">
      <c r="AO1382" s="251" t="s">
        <v>97</v>
      </c>
      <c r="AP1382" s="251"/>
      <c r="AQ1382" s="251"/>
    </row>
    <row r="1384" spans="41:91" ht="21" x14ac:dyDescent="0.35">
      <c r="AO1384" s="252"/>
      <c r="AP1384" s="252"/>
      <c r="AQ1384" s="252"/>
    </row>
    <row r="1385" spans="41:91" ht="15.75" x14ac:dyDescent="0.25">
      <c r="AS1385" s="373" t="s">
        <v>83</v>
      </c>
      <c r="AT1385" s="475" t="s">
        <v>2721</v>
      </c>
      <c r="AU1385" s="475"/>
      <c r="AV1385" s="476" t="s">
        <v>2719</v>
      </c>
      <c r="AW1385" s="475" t="s">
        <v>2722</v>
      </c>
      <c r="AX1385" s="475"/>
      <c r="AY1385" s="476" t="s">
        <v>2720</v>
      </c>
      <c r="AZ1385" s="475" t="s">
        <v>2723</v>
      </c>
      <c r="BA1385" s="475"/>
    </row>
    <row r="1386" spans="41:91" ht="15.75" x14ac:dyDescent="0.25">
      <c r="AS1386" s="249"/>
      <c r="AT1386" s="373" t="s">
        <v>94</v>
      </c>
      <c r="AU1386" s="372" t="s">
        <v>96</v>
      </c>
      <c r="AV1386" s="477"/>
      <c r="AW1386" s="373" t="s">
        <v>98</v>
      </c>
      <c r="AX1386" s="372" t="s">
        <v>95</v>
      </c>
      <c r="AY1386" s="477"/>
      <c r="AZ1386" s="373" t="s">
        <v>98</v>
      </c>
      <c r="BA1386" s="372" t="s">
        <v>95</v>
      </c>
    </row>
    <row r="1387" spans="41:91" x14ac:dyDescent="0.25">
      <c r="AO1387" s="392" t="s">
        <v>2724</v>
      </c>
    </row>
    <row r="1388" spans="41:91" x14ac:dyDescent="0.25">
      <c r="AQ1388" t="s">
        <v>2646</v>
      </c>
      <c r="AS1388" s="387">
        <f>SUM(SUMIFS(AS2:AS1334,CN2:CN1334,AQ1388,E2:E1334,"0001",F2:F1334,"00",AT2:AT1334,{1,3}))</f>
        <v>5.9</v>
      </c>
      <c r="AT1388" s="387">
        <f>SUMPRODUCT(--(CN2:CN1334=AQ1388),--(N2:N1334&lt;&gt;"NG"),--(AG2:AG1334&lt;&gt;"D"),--(AR2:AR1334&lt;&gt;6),--(AR2:AR1334&lt;&gt;36),--(AR2:AR1334&lt;&gt;56),T2:T1334)+SUMPRODUCT(--(CN2:CN1334=AQ1388),--(N2:N1334&lt;&gt;"NG"),--(AG2:AG1334&lt;&gt;"D"),--(AR2:AR1334&lt;&gt;6),--(AR2:AR1334&lt;&gt;36),--(AR2:AR1334&lt;&gt;56),U2:U1334)</f>
        <v>278203.57</v>
      </c>
      <c r="AU1388" s="387">
        <f>SUMPRODUCT(--(CN2:CN1334=AQ1388),--(N2:N1334&lt;&gt;"NG"),--(AG2:AG1334&lt;&gt;"D"),--(AR2:AR1334&lt;&gt;6),--(AR2:AR1334&lt;&gt;36),--(AR2:AR1334&lt;&gt;56),V2:V1334)</f>
        <v>126717.50000000001</v>
      </c>
      <c r="AV1388" s="387">
        <f>SUMPRODUCT(--(CN2:CN1334=AQ1388),AY2:AY1334)+SUMPRODUCT(--(CN2:CN1334=AQ1388),AZ2:AZ1334)</f>
        <v>287260.48</v>
      </c>
      <c r="AW1388" s="387">
        <f>SUMPRODUCT(--(CN2:CN1334=AQ1388),BB2:BB1334)+SUMPRODUCT(--(CN2:CN1334=AQ1388),BC2:BC1334)</f>
        <v>68735</v>
      </c>
      <c r="AX1388" s="387">
        <f>SUMPRODUCT(--(CN2:CN1334=AQ1388),BL2:BL1334)+SUMPRODUCT(--(CN2:CN1334=AQ1388),BM2:BM1334)</f>
        <v>62118.642497600005</v>
      </c>
      <c r="AY1388" s="387">
        <f>SUMPRODUCT(--(CN2:CN1334=AQ1388),AY2:AY1334)+SUMPRODUCT(--(CN2:CN1334=AQ1388),AZ2:AZ1334)+SUMPRODUCT(--(CN2:CN1334=AQ1388),BA2:BA1334)</f>
        <v>287260.48</v>
      </c>
      <c r="AZ1388" s="387">
        <f>SUMPRODUCT(--(CN2:CN1334=AQ1388),BN2:BN1334)+SUMPRODUCT(--(CN2:CN1334=AQ1388),BO2:BO1334)</f>
        <v>68735</v>
      </c>
      <c r="BA1388" s="387">
        <f>SUMPRODUCT(--(CN2:CN1334=AQ1388),BX2:BX1334)+SUMPRODUCT(--(CN2:CN1334=AQ1388),BY2:BY1334)</f>
        <v>60912.148481600001</v>
      </c>
    </row>
    <row r="1389" spans="41:91" x14ac:dyDescent="0.25">
      <c r="AP1389" t="s">
        <v>2725</v>
      </c>
      <c r="AS1389" s="398">
        <f t="shared" ref="AS1389:BA1389" si="943">SUM(AS1388:AS1388)</f>
        <v>5.9</v>
      </c>
      <c r="AT1389" s="398">
        <f t="shared" si="943"/>
        <v>278203.57</v>
      </c>
      <c r="AU1389" s="398">
        <f t="shared" si="943"/>
        <v>126717.50000000001</v>
      </c>
      <c r="AV1389" s="398">
        <f t="shared" si="943"/>
        <v>287260.48</v>
      </c>
      <c r="AW1389" s="398">
        <f t="shared" si="943"/>
        <v>68735</v>
      </c>
      <c r="AX1389" s="398">
        <f t="shared" si="943"/>
        <v>62118.642497600005</v>
      </c>
      <c r="AY1389" s="398">
        <f t="shared" si="943"/>
        <v>287260.48</v>
      </c>
      <c r="AZ1389" s="398">
        <f t="shared" si="943"/>
        <v>68735</v>
      </c>
      <c r="BA1389" s="398">
        <f t="shared" si="943"/>
        <v>60912.148481600001</v>
      </c>
    </row>
    <row r="1390" spans="41:91" x14ac:dyDescent="0.25">
      <c r="AQ1390" t="s">
        <v>2652</v>
      </c>
      <c r="AS1390" s="387">
        <f>SUM(SUMIFS(AS2:AS1334,CN2:CN1334,AQ1390,E2:E1334,"0302",F2:F1334,"00",AT2:AT1334,{1,3}))</f>
        <v>2.2000000000000002</v>
      </c>
      <c r="AT1390" s="387">
        <f>SUMPRODUCT(--(CN2:CN1334=AQ1390),--(N2:N1334&lt;&gt;"NG"),--(AG2:AG1334&lt;&gt;"D"),--(AR2:AR1334&lt;&gt;6),--(AR2:AR1334&lt;&gt;36),--(AR2:AR1334&lt;&gt;56),T2:T1334)+SUMPRODUCT(--(CN2:CN1334=AQ1390),--(N2:N1334&lt;&gt;"NG"),--(AG2:AG1334&lt;&gt;"D"),--(AR2:AR1334&lt;&gt;6),--(AR2:AR1334&lt;&gt;36),--(AR2:AR1334&lt;&gt;56),U2:U1334)</f>
        <v>278458.87999999995</v>
      </c>
      <c r="AU1390" s="387">
        <f>SUMPRODUCT(--(CN2:CN1334=AQ1390),--(N2:N1334&lt;&gt;"NG"),--(AG2:AG1334&lt;&gt;"D"),--(AR2:AR1334&lt;&gt;6),--(AR2:AR1334&lt;&gt;36),--(AR2:AR1334&lt;&gt;56),V2:V1334)</f>
        <v>93144.15</v>
      </c>
      <c r="AV1390" s="387">
        <f>SUMPRODUCT(--(CN2:CN1334=AQ1390),AY2:AY1334)+SUMPRODUCT(--(CN2:CN1334=AQ1390),AZ2:AZ1334)</f>
        <v>145163.20000000001</v>
      </c>
      <c r="AW1390" s="387">
        <f>SUMPRODUCT(--(CN2:CN1334=AQ1390),BB2:BB1334)+SUMPRODUCT(--(CN2:CN1334=AQ1390),BC2:BC1334)</f>
        <v>25630</v>
      </c>
      <c r="AX1390" s="387">
        <f>SUMPRODUCT(--(CN2:CN1334=AQ1390),BL2:BL1334)+SUMPRODUCT(--(CN2:CN1334=AQ1390),BM2:BM1334)</f>
        <v>31390.816183999999</v>
      </c>
      <c r="AY1390" s="387">
        <f>SUMPRODUCT(--(CN2:CN1334=AQ1390),AY2:AY1334)+SUMPRODUCT(--(CN2:CN1334=AQ1390),AZ2:AZ1334)+SUMPRODUCT(--(CN2:CN1334=AQ1390),BA2:BA1334)</f>
        <v>145163.20000000001</v>
      </c>
      <c r="AZ1390" s="387">
        <f>SUMPRODUCT(--(CN2:CN1334=AQ1390),BN2:BN1334)+SUMPRODUCT(--(CN2:CN1334=AQ1390),BO2:BO1334)</f>
        <v>25630</v>
      </c>
      <c r="BA1390" s="387">
        <f>SUMPRODUCT(--(CN2:CN1334=AQ1390),BX2:BX1334)+SUMPRODUCT(--(CN2:CN1334=AQ1390),BY2:BY1334)</f>
        <v>30781.130744000002</v>
      </c>
    </row>
    <row r="1391" spans="41:91" x14ac:dyDescent="0.25">
      <c r="AP1391" t="s">
        <v>2726</v>
      </c>
      <c r="AS1391" s="398">
        <f t="shared" ref="AS1391:BA1391" si="944">SUM(AS1390:AS1390)</f>
        <v>2.2000000000000002</v>
      </c>
      <c r="AT1391" s="398">
        <f t="shared" si="944"/>
        <v>278458.87999999995</v>
      </c>
      <c r="AU1391" s="398">
        <f t="shared" si="944"/>
        <v>93144.15</v>
      </c>
      <c r="AV1391" s="398">
        <f t="shared" si="944"/>
        <v>145163.20000000001</v>
      </c>
      <c r="AW1391" s="398">
        <f t="shared" si="944"/>
        <v>25630</v>
      </c>
      <c r="AX1391" s="398">
        <f t="shared" si="944"/>
        <v>31390.816183999999</v>
      </c>
      <c r="AY1391" s="398">
        <f t="shared" si="944"/>
        <v>145163.20000000001</v>
      </c>
      <c r="AZ1391" s="398">
        <f t="shared" si="944"/>
        <v>25630</v>
      </c>
      <c r="BA1391" s="398">
        <f t="shared" si="944"/>
        <v>30781.130744000002</v>
      </c>
    </row>
    <row r="1392" spans="41:91" x14ac:dyDescent="0.25">
      <c r="AQ1392" t="s">
        <v>2658</v>
      </c>
      <c r="AS1392" s="387">
        <f>SUM(SUMIFS(AS2:AS1334,CN2:CN1334,AQ1392,E2:E1334,"0303",F2:F1334,"00",AT2:AT1334,{1,3}))</f>
        <v>9.25</v>
      </c>
      <c r="AT1392" s="387">
        <f>SUMPRODUCT(--(CN2:CN1334=AQ1392),--(N2:N1334&lt;&gt;"NG"),--(AG2:AG1334&lt;&gt;"D"),--(AR2:AR1334&lt;&gt;6),--(AR2:AR1334&lt;&gt;36),--(AR2:AR1334&lt;&gt;56),T2:T1334)+SUMPRODUCT(--(CN2:CN1334=AQ1392),--(N2:N1334&lt;&gt;"NG"),--(AG2:AG1334&lt;&gt;"D"),--(AR2:AR1334&lt;&gt;6),--(AR2:AR1334&lt;&gt;36),--(AR2:AR1334&lt;&gt;56),U2:U1334)</f>
        <v>573607.18999999994</v>
      </c>
      <c r="AU1392" s="387">
        <f>SUMPRODUCT(--(CN2:CN1334=AQ1392),--(N2:N1334&lt;&gt;"NG"),--(AG2:AG1334&lt;&gt;"D"),--(AR2:AR1334&lt;&gt;6),--(AR2:AR1334&lt;&gt;36),--(AR2:AR1334&lt;&gt;56),V2:V1334)</f>
        <v>230603.53</v>
      </c>
      <c r="AV1392" s="387">
        <f>SUMPRODUCT(--(CN2:CN1334=AQ1392),AY2:AY1334)+SUMPRODUCT(--(CN2:CN1334=AQ1392),AZ2:AZ1334)</f>
        <v>554798.4</v>
      </c>
      <c r="AW1392" s="387">
        <f>SUMPRODUCT(--(CN2:CN1334=AQ1392),BB2:BB1334)+SUMPRODUCT(--(CN2:CN1334=AQ1392),BC2:BC1334)</f>
        <v>107762.5</v>
      </c>
      <c r="AX1392" s="387">
        <f>SUMPRODUCT(--(CN2:CN1334=AQ1392),BL2:BL1334)+SUMPRODUCT(--(CN2:CN1334=AQ1392),BM2:BM1334)</f>
        <v>119591.076072</v>
      </c>
      <c r="AY1392" s="387">
        <f>SUMPRODUCT(--(CN2:CN1334=AQ1392),AY2:AY1334)+SUMPRODUCT(--(CN2:CN1334=AQ1392),AZ2:AZ1334)+SUMPRODUCT(--(CN2:CN1334=AQ1392),BA2:BA1334)</f>
        <v>554798.4</v>
      </c>
      <c r="AZ1392" s="387">
        <f>SUMPRODUCT(--(CN2:CN1334=AQ1392),BN2:BN1334)+SUMPRODUCT(--(CN2:CN1334=AQ1392),BO2:BO1334)</f>
        <v>107762.5</v>
      </c>
      <c r="BA1392" s="387">
        <f>SUMPRODUCT(--(CN2:CN1334=AQ1392),BX2:BX1334)+SUMPRODUCT(--(CN2:CN1334=AQ1392),BY2:BY1334)</f>
        <v>117260.922792</v>
      </c>
    </row>
    <row r="1393" spans="41:53 1444:1452" x14ac:dyDescent="0.25">
      <c r="AP1393" t="s">
        <v>2727</v>
      </c>
      <c r="AS1393" s="398">
        <f>SUM(AS1392:AS1392)</f>
        <v>9.25</v>
      </c>
      <c r="AT1393" s="398">
        <f>SUM(AT1392:AT1392)</f>
        <v>573607.18999999994</v>
      </c>
      <c r="AU1393" s="398">
        <f>SUM(AU1392:AU1392)</f>
        <v>230603.53</v>
      </c>
      <c r="AV1393" s="398">
        <f>SUM(AV1392:AV1392)</f>
        <v>554798.4</v>
      </c>
      <c r="AW1393" s="398">
        <f>SUM(AW1392:AW1392)</f>
        <v>107762.5</v>
      </c>
      <c r="AX1393" s="398">
        <f>SUM(AX1392:AX1392)</f>
        <v>119591.076072</v>
      </c>
      <c r="AY1393" s="398">
        <f>SUM(AY1392:AY1392)</f>
        <v>554798.4</v>
      </c>
      <c r="AZ1393" s="398">
        <f>SUM(AZ1392:AZ1392)</f>
        <v>107762.5</v>
      </c>
      <c r="BA1393" s="398">
        <f>SUM(BA1392:BA1392)</f>
        <v>117260.922792</v>
      </c>
    </row>
    <row r="1394" spans="41:53 1444:1452" x14ac:dyDescent="0.25">
      <c r="AQ1394" t="s">
        <v>2728</v>
      </c>
      <c r="AS1394" s="387">
        <f>SUM(SUMIFS(AS2:AS1334,CN2:CN1334,AQ1394,E2:E1334,"0348",F2:F1334,"31",AT2:AT1334,{1,3}))</f>
        <v>522.22000000000014</v>
      </c>
      <c r="AT1394" s="387">
        <f>SUMPRODUCT(--(CN2:CN1334=AQ1394),--(N2:N1334&lt;&gt;"NG"),--(AG2:AG1334&lt;&gt;"D"),--(AR2:AR1334&lt;&gt;6),--(AR2:AR1334&lt;&gt;36),--(AR2:AR1334&lt;&gt;56),T2:T1334)+SUMPRODUCT(--(CN2:CN1334=AQ1394),--(N2:N1334&lt;&gt;"NG"),--(AG2:AG1334&lt;&gt;"D"),--(AR2:AR1334&lt;&gt;6),--(AR2:AR1334&lt;&gt;36),--(AR2:AR1334&lt;&gt;56),U2:U1334)</f>
        <v>27014991.129999995</v>
      </c>
      <c r="AU1394" s="387">
        <f>SUMPRODUCT(--(CN2:CN1334=AQ1394),--(N2:N1334&lt;&gt;"NG"),--(AG2:AG1334&lt;&gt;"D"),--(AR2:AR1334&lt;&gt;6),--(AR2:AR1334&lt;&gt;36),--(AR2:AR1334&lt;&gt;56),V2:V1334)</f>
        <v>11713328.760000011</v>
      </c>
      <c r="AV1394" s="387">
        <f>SUMPRODUCT(--(CN2:CN1334=AQ1394),AY2:AY1334)+SUMPRODUCT(--(CN2:CN1334=AQ1394),AZ2:AZ1334)</f>
        <v>27656085.380000029</v>
      </c>
      <c r="AW1394" s="387">
        <f>SUMPRODUCT(--(CN2:CN1334=AQ1394),BB2:BB1334)+SUMPRODUCT(--(CN2:CN1334=AQ1394),BC2:BC1334)</f>
        <v>6092367.5</v>
      </c>
      <c r="AX1394" s="387">
        <f>SUMPRODUCT(--(CN2:CN1334=AQ1394),BL2:BL1334)+SUMPRODUCT(--(CN2:CN1334=AQ1394),BM2:BM1334)</f>
        <v>5974644.2090214491</v>
      </c>
      <c r="AY1394" s="387">
        <f>SUMPRODUCT(--(CN2:CN1334=AQ1394),AY2:AY1334)+SUMPRODUCT(--(CN2:CN1334=AQ1394),AZ2:AZ1334)+SUMPRODUCT(--(CN2:CN1334=AQ1394),BA2:BA1334)</f>
        <v>27656085.380000029</v>
      </c>
      <c r="AZ1394" s="387">
        <f>SUMPRODUCT(--(CN2:CN1334=AQ1394),BN2:BN1334)+SUMPRODUCT(--(CN2:CN1334=AQ1394),BO2:BO1334)</f>
        <v>6092367.5</v>
      </c>
      <c r="BA1394" s="387">
        <f>SUMPRODUCT(--(CN2:CN1334=AQ1394),BX2:BX1334)+SUMPRODUCT(--(CN2:CN1334=AQ1394),BY2:BY1334)</f>
        <v>5859898.1904254491</v>
      </c>
    </row>
    <row r="1395" spans="41:53 1444:1452" x14ac:dyDescent="0.25">
      <c r="AP1395" t="s">
        <v>2729</v>
      </c>
      <c r="AS1395" s="398">
        <f>SUM(AS1394:AS1394)</f>
        <v>522.22000000000014</v>
      </c>
      <c r="AT1395" s="398">
        <f>SUM(AT1394:AT1394)</f>
        <v>27014991.129999995</v>
      </c>
      <c r="AU1395" s="398">
        <f>SUM(AU1394:AU1394)</f>
        <v>11713328.760000011</v>
      </c>
      <c r="AV1395" s="398">
        <f>SUM(AV1394:AV1394)</f>
        <v>27656085.380000029</v>
      </c>
      <c r="AW1395" s="398">
        <f>SUM(AW1394:AW1394)</f>
        <v>6092367.5</v>
      </c>
      <c r="AX1395" s="398">
        <f>SUM(AX1394:AX1394)</f>
        <v>5974644.2090214491</v>
      </c>
      <c r="AY1395" s="398">
        <f>SUM(AY1394:AY1394)</f>
        <v>27656085.380000029</v>
      </c>
      <c r="AZ1395" s="398">
        <f>SUM(AZ1394:AZ1394)</f>
        <v>6092367.5</v>
      </c>
      <c r="BA1395" s="398">
        <f>SUM(BA1394:BA1394)</f>
        <v>5859898.1904254491</v>
      </c>
    </row>
    <row r="1396" spans="41:53 1444:1452" x14ac:dyDescent="0.25">
      <c r="AQ1396" t="s">
        <v>2730</v>
      </c>
      <c r="AS1396" s="387">
        <f>SUM(SUMIFS(AS2:AS1334,CN2:CN1334,AQ1396,E2:E1334,"0349",F2:F1334,"31",AT2:AT1334,{1,3}))</f>
        <v>2.2999999999999998</v>
      </c>
      <c r="AT1396" s="387">
        <f>SUMPRODUCT(--(CN2:CN1334=AQ1396),--(N2:N1334&lt;&gt;"NG"),--(AG2:AG1334&lt;&gt;"D"),--(AR2:AR1334&lt;&gt;6),--(AR2:AR1334&lt;&gt;36),--(AR2:AR1334&lt;&gt;56),T2:T1334)+SUMPRODUCT(--(CN2:CN1334=AQ1396),--(N2:N1334&lt;&gt;"NG"),--(AG2:AG1334&lt;&gt;"D"),--(AR2:AR1334&lt;&gt;6),--(AR2:AR1334&lt;&gt;36),--(AR2:AR1334&lt;&gt;56),U2:U1334)</f>
        <v>121602.57999999996</v>
      </c>
      <c r="AU1396" s="387">
        <f>SUMPRODUCT(--(CN2:CN1334=AQ1396),--(N2:N1334&lt;&gt;"NG"),--(AG2:AG1334&lt;&gt;"D"),--(AR2:AR1334&lt;&gt;6),--(AR2:AR1334&lt;&gt;36),--(AR2:AR1334&lt;&gt;56),V2:V1334)</f>
        <v>58563.370000000039</v>
      </c>
      <c r="AV1396" s="387">
        <f>SUMPRODUCT(--(CN2:CN1334=AQ1396),AY2:AY1334)+SUMPRODUCT(--(CN2:CN1334=AQ1396),AZ2:AZ1334)</f>
        <v>100053.2</v>
      </c>
      <c r="AW1396" s="387">
        <f>SUMPRODUCT(--(CN2:CN1334=AQ1396),BB2:BB1334)+SUMPRODUCT(--(CN2:CN1334=AQ1396),BC2:BC1334)</f>
        <v>26795</v>
      </c>
      <c r="AX1396" s="387">
        <f>SUMPRODUCT(--(CN2:CN1334=AQ1396),BL2:BL1334)+SUMPRODUCT(--(CN2:CN1334=AQ1396),BM2:BM1334)</f>
        <v>21636.004234</v>
      </c>
      <c r="AY1396" s="387">
        <f>SUMPRODUCT(--(CN2:CN1334=AQ1396),AY2:AY1334)+SUMPRODUCT(--(CN2:CN1334=AQ1396),AZ2:AZ1334)+SUMPRODUCT(--(CN2:CN1334=AQ1396),BA2:BA1334)</f>
        <v>100053.2</v>
      </c>
      <c r="AZ1396" s="387">
        <f>SUMPRODUCT(--(CN2:CN1334=AQ1396),BN2:BN1334)+SUMPRODUCT(--(CN2:CN1334=AQ1396),BO2:BO1334)</f>
        <v>26795</v>
      </c>
      <c r="BA1396" s="387">
        <f>SUMPRODUCT(--(CN2:CN1334=AQ1396),BX2:BX1334)+SUMPRODUCT(--(CN2:CN1334=AQ1396),BY2:BY1334)</f>
        <v>21215.780794000002</v>
      </c>
    </row>
    <row r="1397" spans="41:53 1444:1452" x14ac:dyDescent="0.25">
      <c r="AP1397" t="s">
        <v>2731</v>
      </c>
      <c r="AS1397" s="398">
        <f>SUM(AS1396:AS1396)</f>
        <v>2.2999999999999998</v>
      </c>
      <c r="AT1397" s="398">
        <f>SUM(AT1396:AT1396)</f>
        <v>121602.57999999996</v>
      </c>
      <c r="AU1397" s="398">
        <f>SUM(AU1396:AU1396)</f>
        <v>58563.370000000039</v>
      </c>
      <c r="AV1397" s="398">
        <f>SUM(AV1396:AV1396)</f>
        <v>100053.2</v>
      </c>
      <c r="AW1397" s="398">
        <f>SUM(AW1396:AW1396)</f>
        <v>26795</v>
      </c>
      <c r="AX1397" s="398">
        <f>SUM(AX1396:AX1396)</f>
        <v>21636.004234</v>
      </c>
      <c r="AY1397" s="398">
        <f>SUM(AY1396:AY1396)</f>
        <v>100053.2</v>
      </c>
      <c r="AZ1397" s="398">
        <f>SUM(AZ1396:AZ1396)</f>
        <v>26795</v>
      </c>
      <c r="BA1397" s="398">
        <f>SUM(BA1396:BA1396)</f>
        <v>21215.780794000002</v>
      </c>
    </row>
    <row r="1398" spans="41:53 1444:1452" x14ac:dyDescent="0.25">
      <c r="AS1398" s="387"/>
      <c r="AT1398" s="387"/>
      <c r="AU1398" s="387"/>
      <c r="AV1398" s="387"/>
      <c r="AW1398" s="387"/>
      <c r="AX1398" s="387"/>
      <c r="AY1398" s="387"/>
      <c r="AZ1398" s="387"/>
      <c r="BA1398" s="387"/>
    </row>
    <row r="1399" spans="41:53 1444:1452" x14ac:dyDescent="0.25">
      <c r="AO1399" s="396" t="s">
        <v>2732</v>
      </c>
      <c r="AS1399" s="399">
        <f>SUM(AS1389,AS1391,AS1393,AS1395,AS1397)</f>
        <v>541.87000000000012</v>
      </c>
      <c r="AT1399" s="399">
        <f>SUM(AT1389,AT1391,AT1393,AT1395,AT1397)</f>
        <v>28266863.349999994</v>
      </c>
      <c r="AU1399" s="399">
        <f>SUM(AU1389,AU1391,AU1393,AU1395,AU1397)</f>
        <v>12222357.31000001</v>
      </c>
      <c r="AV1399" s="399">
        <f>SUM(AV1389,AV1391,AV1393,AV1395,AV1397)</f>
        <v>28743360.66000003</v>
      </c>
      <c r="AW1399" s="399">
        <f>SUM(AW1389,AW1391,AW1393,AW1395,AW1397)</f>
        <v>6321290</v>
      </c>
      <c r="AX1399" s="399">
        <f>SUM(AX1389,AX1391,AX1393,AX1395,AX1397)</f>
        <v>6209380.7480090493</v>
      </c>
      <c r="AY1399" s="399">
        <f>SUM(AY1389,AY1391,AY1393,AY1395,AY1397)</f>
        <v>28743360.66000003</v>
      </c>
      <c r="AZ1399" s="399">
        <f>SUM(AZ1389,AZ1391,AZ1393,AZ1395,AZ1397)</f>
        <v>6321290</v>
      </c>
      <c r="BA1399" s="399">
        <f>SUM(BA1389,BA1391,BA1393,BA1395,BA1397)</f>
        <v>6090068.173237049</v>
      </c>
    </row>
    <row r="1400" spans="41:53 1444:1452" x14ac:dyDescent="0.25">
      <c r="AS1400" s="387"/>
      <c r="AT1400" s="387"/>
      <c r="AU1400" s="387"/>
      <c r="AV1400" s="387"/>
      <c r="AW1400" s="387"/>
      <c r="AX1400" s="387"/>
      <c r="AY1400" s="387"/>
      <c r="AZ1400" s="387"/>
      <c r="BA1400" s="387"/>
    </row>
    <row r="1401" spans="41:53 1444:1452" x14ac:dyDescent="0.25">
      <c r="AO1401" s="392" t="s">
        <v>2733</v>
      </c>
      <c r="AS1401" s="387"/>
      <c r="AT1401" s="387"/>
      <c r="AU1401" s="387"/>
      <c r="AV1401" s="387"/>
      <c r="AW1401" s="387"/>
      <c r="AX1401" s="387"/>
      <c r="AY1401" s="387"/>
      <c r="AZ1401" s="387"/>
      <c r="BA1401" s="387"/>
    </row>
    <row r="1402" spans="41:53 1444:1452" x14ac:dyDescent="0.25">
      <c r="AQ1402" t="s">
        <v>2658</v>
      </c>
      <c r="AS1402" s="387"/>
      <c r="AT1402" s="387">
        <f>SUMIF(CN2:CN1334,AQ1402,CL2:CL1334)</f>
        <v>2650</v>
      </c>
      <c r="AU1402" s="387">
        <f>SUMIF(CN2:CN1334,AQ1402,CM2:CM1334)</f>
        <v>442.87</v>
      </c>
      <c r="AV1402" s="387">
        <f>SUMIF(CN2:CN1334,AQ1402,CL2:CL1334)</f>
        <v>2650</v>
      </c>
      <c r="AW1402" s="387">
        <v>0</v>
      </c>
      <c r="AX1402" s="387">
        <f>SUMIF(CN2:CN1334,AQ1402,CM2:CM1334)</f>
        <v>442.87</v>
      </c>
      <c r="AY1402" s="387">
        <f>SUMIF(CN2:CN1334,AQ1402,CL2:CL1334)</f>
        <v>2650</v>
      </c>
      <c r="AZ1402" s="387">
        <v>0</v>
      </c>
      <c r="BA1402" s="387">
        <f>SUMIF(CN2:CN1334,AQ1402,CM2:CM1334)</f>
        <v>442.87</v>
      </c>
    </row>
    <row r="1403" spans="41:53 1444:1452" x14ac:dyDescent="0.25">
      <c r="AP1403" t="s">
        <v>2727</v>
      </c>
      <c r="AS1403" s="398"/>
      <c r="AT1403" s="398">
        <f>SUM(AT1402:AT1402)</f>
        <v>2650</v>
      </c>
      <c r="AU1403" s="398">
        <f>SUM(AU1402:AU1402)</f>
        <v>442.87</v>
      </c>
      <c r="AV1403" s="398">
        <f>SUM(AV1402:AV1402)</f>
        <v>2650</v>
      </c>
      <c r="AW1403" s="398">
        <f>SUM(AW1402:AW1402)</f>
        <v>0</v>
      </c>
      <c r="AX1403" s="398">
        <f>SUM(AX1402:AX1402)</f>
        <v>442.87</v>
      </c>
      <c r="AY1403" s="398">
        <f>SUM(AY1402:AY1402)</f>
        <v>2650</v>
      </c>
      <c r="AZ1403" s="398">
        <f>SUM(AZ1402:AZ1402)</f>
        <v>0</v>
      </c>
      <c r="BA1403" s="398">
        <f>SUM(BA1402:BA1402)</f>
        <v>442.87</v>
      </c>
    </row>
    <row r="1404" spans="41:53 1444:1452" x14ac:dyDescent="0.25">
      <c r="AQ1404" t="s">
        <v>2728</v>
      </c>
      <c r="AS1404" s="387"/>
      <c r="AT1404" s="387">
        <f>SUMIF(CN2:CN1334,AQ1404,CL2:CL1334)</f>
        <v>168609.90999999997</v>
      </c>
      <c r="AU1404" s="387">
        <f>SUMIF(CN2:CN1334,AQ1404,CM2:CM1334)</f>
        <v>45790.74</v>
      </c>
      <c r="AV1404" s="387">
        <f>SUMIF(CN2:CN1334,AQ1404,CL2:CL1334)</f>
        <v>168609.90999999997</v>
      </c>
      <c r="AW1404" s="387">
        <v>0</v>
      </c>
      <c r="AX1404" s="387">
        <f>SUMIF(CN2:CN1334,AQ1404,CM2:CM1334)</f>
        <v>45790.74</v>
      </c>
      <c r="AY1404" s="387">
        <f>SUMIF(CN2:CN1334,AQ1404,CL2:CL1334)</f>
        <v>168609.90999999997</v>
      </c>
      <c r="AZ1404" s="387">
        <v>0</v>
      </c>
      <c r="BA1404" s="387">
        <f>SUMIF(CN2:CN1334,AQ1404,CM2:CM1334)</f>
        <v>45790.74</v>
      </c>
    </row>
    <row r="1405" spans="41:53 1444:1452" x14ac:dyDescent="0.25">
      <c r="AP1405" t="s">
        <v>2729</v>
      </c>
      <c r="AS1405" s="398"/>
      <c r="AT1405" s="398">
        <f>SUM(AT1404:AT1404)</f>
        <v>168609.90999999997</v>
      </c>
      <c r="AU1405" s="398">
        <f>SUM(AU1404:AU1404)</f>
        <v>45790.74</v>
      </c>
      <c r="AV1405" s="398">
        <f>SUM(AV1404:AV1404)</f>
        <v>168609.90999999997</v>
      </c>
      <c r="AW1405" s="398">
        <f>SUM(AW1404:AW1404)</f>
        <v>0</v>
      </c>
      <c r="AX1405" s="398">
        <f>SUM(AX1404:AX1404)</f>
        <v>45790.74</v>
      </c>
      <c r="AY1405" s="398">
        <f>SUM(AY1404:AY1404)</f>
        <v>168609.90999999997</v>
      </c>
      <c r="AZ1405" s="398">
        <f>SUM(AZ1404:AZ1404)</f>
        <v>0</v>
      </c>
      <c r="BA1405" s="398">
        <f>SUM(BA1404:BA1404)</f>
        <v>45790.74</v>
      </c>
    </row>
    <row r="1406" spans="41:53 1444:1452" x14ac:dyDescent="0.25">
      <c r="AS1406" s="387"/>
      <c r="AT1406" s="387"/>
      <c r="AU1406" s="387"/>
      <c r="AV1406" s="387"/>
      <c r="AW1406" s="387"/>
      <c r="AX1406" s="387"/>
      <c r="AY1406" s="387"/>
      <c r="AZ1406" s="387"/>
      <c r="BA1406" s="387"/>
    </row>
    <row r="1407" spans="41:53 1444:1452" x14ac:dyDescent="0.25">
      <c r="AO1407" s="396" t="s">
        <v>2734</v>
      </c>
      <c r="AS1407" s="399">
        <f>SUM(AS1403,AS1405)</f>
        <v>0</v>
      </c>
      <c r="AT1407" s="399">
        <f>SUM(AT1403,AT1405)</f>
        <v>171259.90999999997</v>
      </c>
      <c r="AU1407" s="399">
        <f>SUM(AU1403,AU1405)</f>
        <v>46233.61</v>
      </c>
      <c r="AV1407" s="399">
        <f>SUM(AV1403,AV1405)</f>
        <v>171259.90999999997</v>
      </c>
      <c r="AW1407" s="399">
        <f>SUM(AW1403,AW1405)</f>
        <v>0</v>
      </c>
      <c r="AX1407" s="399">
        <f>SUM(AX1403,AX1405)</f>
        <v>46233.61</v>
      </c>
      <c r="AY1407" s="399">
        <f>SUM(AY1403,AY1405)</f>
        <v>171259.90999999997</v>
      </c>
      <c r="AZ1407" s="399">
        <f>SUM(AZ1403,AZ1405)</f>
        <v>0</v>
      </c>
      <c r="BA1407" s="399">
        <f>SUM(BA1403,BA1405)</f>
        <v>46233.61</v>
      </c>
      <c r="BCN1407" s="392"/>
      <c r="BCV1407" s="392"/>
    </row>
    <row r="1408" spans="41:53 1444:1452" x14ac:dyDescent="0.25">
      <c r="AS1408" s="387"/>
      <c r="AT1408" s="387"/>
      <c r="AU1408" s="387"/>
      <c r="AV1408" s="387"/>
      <c r="AW1408" s="387"/>
      <c r="AX1408" s="387"/>
      <c r="AY1408" s="387"/>
      <c r="AZ1408" s="387"/>
      <c r="BA1408" s="387"/>
    </row>
    <row r="1409" spans="41:53" x14ac:dyDescent="0.25">
      <c r="AO1409" s="397" t="s">
        <v>2735</v>
      </c>
      <c r="AS1409" s="400">
        <f t="shared" ref="AS1409:BA1409" si="945">SUM(AS1399,AS1407)</f>
        <v>541.87000000000012</v>
      </c>
      <c r="AT1409" s="401">
        <f t="shared" si="945"/>
        <v>28438123.259999994</v>
      </c>
      <c r="AU1409" s="401">
        <f t="shared" si="945"/>
        <v>12268590.920000009</v>
      </c>
      <c r="AV1409" s="401">
        <f t="shared" si="945"/>
        <v>28914620.57000003</v>
      </c>
      <c r="AW1409" s="401">
        <f t="shared" si="945"/>
        <v>6321290</v>
      </c>
      <c r="AX1409" s="401">
        <f t="shared" si="945"/>
        <v>6255614.3580090497</v>
      </c>
      <c r="AY1409" s="401">
        <f t="shared" si="945"/>
        <v>28914620.57000003</v>
      </c>
      <c r="AZ1409" s="401">
        <f t="shared" si="945"/>
        <v>6321290</v>
      </c>
      <c r="BA1409" s="401">
        <f t="shared" si="945"/>
        <v>6136301.7832370494</v>
      </c>
    </row>
  </sheetData>
  <mergeCells count="5">
    <mergeCell ref="AT1385:AU1385"/>
    <mergeCell ref="AV1385:AV1386"/>
    <mergeCell ref="AW1385:AX1385"/>
    <mergeCell ref="AY1385:AY1386"/>
    <mergeCell ref="AZ1385:BA1385"/>
  </mergeCells>
  <pageMargins left="0.7" right="0.7" top="0.75" bottom="0.75" header="0.3" footer="0.3"/>
  <pageSetup orientation="portrait" horizontalDpi="1200" verticalDpi="120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5">
    <pageSetUpPr fitToPage="1"/>
  </sheetPr>
  <dimension ref="A1:O40"/>
  <sheetViews>
    <sheetView zoomScaleNormal="100" workbookViewId="0">
      <selection activeCell="H17" sqref="H17"/>
    </sheetView>
  </sheetViews>
  <sheetFormatPr defaultColWidth="9.140625" defaultRowHeight="19.5" x14ac:dyDescent="0.3"/>
  <cols>
    <col min="1" max="1" width="4" style="1" customWidth="1"/>
    <col min="2" max="2" width="42" style="1" bestFit="1" customWidth="1"/>
    <col min="3" max="3" width="20.28515625" style="1" customWidth="1"/>
    <col min="4" max="4" width="21.42578125" style="1" bestFit="1" customWidth="1"/>
    <col min="5" max="5" width="20.5703125" style="1" customWidth="1"/>
    <col min="6" max="6" width="14.28515625" style="1" bestFit="1" customWidth="1"/>
    <col min="7" max="7" width="12" style="1" bestFit="1" customWidth="1"/>
    <col min="8" max="8" width="15" style="1" bestFit="1" customWidth="1"/>
    <col min="9" max="10" width="9.140625" style="1"/>
    <col min="11" max="11" width="9.85546875" style="1" bestFit="1" customWidth="1"/>
    <col min="12" max="12" width="16.42578125" style="1" bestFit="1" customWidth="1"/>
    <col min="13" max="14" width="15.85546875" style="1" bestFit="1" customWidth="1"/>
    <col min="15" max="15" width="16.42578125" style="1" bestFit="1" customWidth="1"/>
    <col min="16" max="16384" width="9.140625" style="1"/>
  </cols>
  <sheetData>
    <row r="1" spans="1:15" x14ac:dyDescent="0.3">
      <c r="A1" s="478"/>
      <c r="B1" s="478"/>
      <c r="C1" s="478"/>
      <c r="D1" s="478"/>
      <c r="E1" s="478"/>
    </row>
    <row r="2" spans="1:15" ht="28.5" customHeight="1" x14ac:dyDescent="0.3">
      <c r="A2" s="2" t="s">
        <v>10</v>
      </c>
      <c r="B2" s="2"/>
      <c r="C2" s="2"/>
      <c r="D2" s="2"/>
      <c r="E2" s="2"/>
    </row>
    <row r="3" spans="1:15" x14ac:dyDescent="0.3">
      <c r="A3" s="3"/>
      <c r="B3" s="3"/>
      <c r="C3" s="4" t="s">
        <v>0</v>
      </c>
      <c r="D3" s="4" t="s">
        <v>1</v>
      </c>
      <c r="E3" s="3"/>
    </row>
    <row r="4" spans="1:15" ht="39" x14ac:dyDescent="0.3">
      <c r="A4" s="3"/>
      <c r="B4" s="225"/>
      <c r="C4" s="5">
        <f>D4-1</f>
        <v>2022</v>
      </c>
      <c r="D4" s="6">
        <f>FiscalYear</f>
        <v>2023</v>
      </c>
      <c r="E4" s="7" t="str">
        <f>"DIFFERENCE "&amp;D4&amp;" - "&amp;C4</f>
        <v>DIFFERENCE 2023 - 2022</v>
      </c>
      <c r="F4" s="247" t="str">
        <f>"MAX "&amp;C4</f>
        <v>MAX 2022</v>
      </c>
      <c r="G4" s="247" t="str">
        <f>"MAX "&amp;D4</f>
        <v>MAX 2023</v>
      </c>
    </row>
    <row r="5" spans="1:15" x14ac:dyDescent="0.3">
      <c r="A5" s="3"/>
      <c r="B5" s="130" t="s">
        <v>2</v>
      </c>
      <c r="C5" s="226">
        <v>6.2E-2</v>
      </c>
      <c r="D5" s="226">
        <v>6.2E-2</v>
      </c>
      <c r="E5" s="313">
        <f>D5-C5</f>
        <v>0</v>
      </c>
      <c r="F5" s="248">
        <v>137700</v>
      </c>
      <c r="G5" s="248">
        <v>142800</v>
      </c>
    </row>
    <row r="6" spans="1:15" x14ac:dyDescent="0.3">
      <c r="A6" s="3"/>
      <c r="B6" s="130" t="s">
        <v>3</v>
      </c>
      <c r="C6" s="226">
        <v>1.4500000000000001E-2</v>
      </c>
      <c r="D6" s="226">
        <v>1.4500000000000001E-2</v>
      </c>
      <c r="E6" s="313">
        <f t="shared" ref="E6:E15" si="0">D6-C6</f>
        <v>0</v>
      </c>
    </row>
    <row r="7" spans="1:15" x14ac:dyDescent="0.3">
      <c r="A7" s="3"/>
      <c r="B7" s="130" t="s">
        <v>4</v>
      </c>
      <c r="C7" s="226">
        <v>4.8999999999999998E-3</v>
      </c>
      <c r="D7" s="226">
        <v>0</v>
      </c>
      <c r="E7" s="313">
        <f t="shared" si="0"/>
        <v>-4.8999999999999998E-3</v>
      </c>
    </row>
    <row r="8" spans="1:15" x14ac:dyDescent="0.3">
      <c r="A8" s="3"/>
      <c r="B8" s="130" t="s">
        <v>5</v>
      </c>
      <c r="C8" s="235">
        <v>2.7000000000000001E-3</v>
      </c>
      <c r="D8" s="234">
        <v>3.3999999999999998E-3</v>
      </c>
      <c r="E8" s="314">
        <f t="shared" si="0"/>
        <v>6.9999999999999967E-4</v>
      </c>
    </row>
    <row r="9" spans="1:15" x14ac:dyDescent="0.3">
      <c r="A9" s="3"/>
      <c r="B9" s="130" t="s">
        <v>6</v>
      </c>
      <c r="C9" s="226">
        <v>7.2100000000000003E-3</v>
      </c>
      <c r="D9" s="226">
        <v>7.2100000000000003E-3</v>
      </c>
      <c r="E9" s="313">
        <f t="shared" si="0"/>
        <v>0</v>
      </c>
    </row>
    <row r="10" spans="1:15" x14ac:dyDescent="0.3">
      <c r="A10" s="3"/>
      <c r="B10" s="130" t="s">
        <v>7</v>
      </c>
      <c r="C10" s="226">
        <v>0</v>
      </c>
      <c r="D10" s="226">
        <v>0</v>
      </c>
      <c r="E10" s="313">
        <f t="shared" si="0"/>
        <v>0</v>
      </c>
    </row>
    <row r="11" spans="1:15" x14ac:dyDescent="0.3">
      <c r="A11" s="3"/>
      <c r="B11" s="130" t="s">
        <v>8</v>
      </c>
      <c r="C11" s="348">
        <v>5.535E-3</v>
      </c>
      <c r="D11" s="348">
        <v>5.535E-3</v>
      </c>
      <c r="E11" s="313">
        <f t="shared" si="0"/>
        <v>0</v>
      </c>
    </row>
    <row r="12" spans="1:15" x14ac:dyDescent="0.3">
      <c r="A12" s="3"/>
      <c r="B12" s="233" t="s">
        <v>11</v>
      </c>
      <c r="C12" s="234">
        <f>SUM(C5:C11)</f>
        <v>9.6844999999999987E-2</v>
      </c>
      <c r="D12" s="234">
        <f>SUM(D5:D11)</f>
        <v>9.2644999999999991E-2</v>
      </c>
      <c r="E12" s="315">
        <f>D12-C12</f>
        <v>-4.1999999999999954E-3</v>
      </c>
      <c r="M12" s="320"/>
    </row>
    <row r="13" spans="1:15" x14ac:dyDescent="0.3">
      <c r="A13" s="3"/>
      <c r="B13" s="231" t="s">
        <v>9</v>
      </c>
      <c r="C13" s="226">
        <f>SUM(C5:C8)</f>
        <v>8.4099999999999994E-2</v>
      </c>
      <c r="D13" s="226">
        <f>SUM(D5:D8)</f>
        <v>7.9899999999999999E-2</v>
      </c>
      <c r="E13" s="313">
        <f t="shared" si="0"/>
        <v>-4.1999999999999954E-3</v>
      </c>
      <c r="F13" s="8"/>
    </row>
    <row r="14" spans="1:15" x14ac:dyDescent="0.3">
      <c r="A14" s="230"/>
      <c r="B14" s="232" t="s">
        <v>102</v>
      </c>
      <c r="C14" s="226">
        <f>SUM(C5:C6,C8:C9)</f>
        <v>8.6409999999999987E-2</v>
      </c>
      <c r="D14" s="226">
        <f>SUM(D5:D6,D8:D9)</f>
        <v>8.7109999999999993E-2</v>
      </c>
      <c r="E14" s="313">
        <f>D14-C14</f>
        <v>7.0000000000000617E-4</v>
      </c>
      <c r="M14" s="320"/>
    </row>
    <row r="15" spans="1:15" x14ac:dyDescent="0.3">
      <c r="A15" s="3"/>
      <c r="B15" s="231" t="s">
        <v>12</v>
      </c>
      <c r="C15" s="228">
        <v>11650</v>
      </c>
      <c r="D15" s="228">
        <v>11650</v>
      </c>
      <c r="E15" s="311">
        <f t="shared" si="0"/>
        <v>0</v>
      </c>
      <c r="L15" s="8"/>
      <c r="O15" s="9"/>
    </row>
    <row r="16" spans="1:15" x14ac:dyDescent="0.3">
      <c r="A16" s="3"/>
      <c r="B16" s="231" t="s">
        <v>82</v>
      </c>
      <c r="C16" s="229">
        <v>9320</v>
      </c>
      <c r="D16" s="229">
        <v>9320</v>
      </c>
      <c r="E16" s="312">
        <f>PTHealthBY-PTHealth</f>
        <v>0</v>
      </c>
      <c r="H16" s="319"/>
      <c r="L16" s="8"/>
      <c r="O16" s="9"/>
    </row>
    <row r="17" spans="1:11" x14ac:dyDescent="0.3">
      <c r="B17" s="130"/>
      <c r="D17" s="1" t="s">
        <v>45</v>
      </c>
      <c r="K17" s="319"/>
    </row>
    <row r="18" spans="1:11" ht="12" customHeight="1" x14ac:dyDescent="0.3">
      <c r="C18" s="1" t="s">
        <v>45</v>
      </c>
    </row>
    <row r="19" spans="1:11" ht="39" x14ac:dyDescent="0.3">
      <c r="B19" s="10" t="s">
        <v>81</v>
      </c>
      <c r="C19" s="227">
        <f>C4</f>
        <v>2022</v>
      </c>
      <c r="D19" s="227">
        <f>BudgetYear</f>
        <v>2023</v>
      </c>
      <c r="E19" s="11" t="str">
        <f>E4</f>
        <v>DIFFERENCE 2023 - 2022</v>
      </c>
    </row>
    <row r="20" spans="1:11" x14ac:dyDescent="0.3">
      <c r="A20" s="1" t="s">
        <v>68</v>
      </c>
      <c r="B20" s="216" t="s">
        <v>75</v>
      </c>
      <c r="C20" s="362">
        <v>0.11940000000000001</v>
      </c>
      <c r="D20" s="362">
        <v>0.11940000000000001</v>
      </c>
      <c r="E20" s="363">
        <f>D20-C20</f>
        <v>0</v>
      </c>
    </row>
    <row r="21" spans="1:11" x14ac:dyDescent="0.3">
      <c r="A21" s="1" t="s">
        <v>70</v>
      </c>
      <c r="B21" s="1" t="s">
        <v>76</v>
      </c>
      <c r="C21" s="362">
        <v>0.12280000000000001</v>
      </c>
      <c r="D21" s="362">
        <v>0.12280000000000001</v>
      </c>
      <c r="E21" s="363">
        <f t="shared" ref="E21" si="1">D21-C21</f>
        <v>0</v>
      </c>
    </row>
    <row r="22" spans="1:11" x14ac:dyDescent="0.3">
      <c r="A22" s="1" t="s">
        <v>71</v>
      </c>
      <c r="B22" s="1" t="s">
        <v>77</v>
      </c>
      <c r="C22" s="362">
        <v>0.11940000000000001</v>
      </c>
      <c r="D22" s="362">
        <v>0.11940000000000001</v>
      </c>
      <c r="E22" s="363">
        <f>D22-C22</f>
        <v>0</v>
      </c>
    </row>
    <row r="23" spans="1:11" hidden="1" x14ac:dyDescent="0.3">
      <c r="A23" s="1" t="s">
        <v>72</v>
      </c>
      <c r="B23" s="1" t="s">
        <v>78</v>
      </c>
      <c r="C23" s="362">
        <v>0</v>
      </c>
      <c r="D23" s="362">
        <v>0</v>
      </c>
      <c r="E23" s="363">
        <v>0</v>
      </c>
    </row>
    <row r="24" spans="1:11" x14ac:dyDescent="0.3">
      <c r="A24" s="1" t="s">
        <v>69</v>
      </c>
      <c r="B24" s="1" t="s">
        <v>79</v>
      </c>
      <c r="C24" s="362">
        <v>0.62529999999999997</v>
      </c>
      <c r="D24" s="362">
        <v>0.62529999999999997</v>
      </c>
      <c r="E24" s="363">
        <f>D24-C24</f>
        <v>0</v>
      </c>
    </row>
    <row r="25" spans="1:11" x14ac:dyDescent="0.3">
      <c r="A25" s="1" t="s">
        <v>74</v>
      </c>
      <c r="B25" s="1" t="s">
        <v>80</v>
      </c>
      <c r="C25" s="362">
        <v>0.1084</v>
      </c>
      <c r="D25" s="362">
        <v>0.1084</v>
      </c>
      <c r="E25" s="363">
        <f>D25-C25</f>
        <v>0</v>
      </c>
    </row>
    <row r="26" spans="1:11" x14ac:dyDescent="0.3">
      <c r="A26" s="1" t="s">
        <v>73</v>
      </c>
      <c r="B26" s="1" t="s">
        <v>80</v>
      </c>
      <c r="C26" s="362">
        <v>0.1084</v>
      </c>
      <c r="D26" s="362">
        <v>0.1084</v>
      </c>
      <c r="E26" s="363">
        <f>D26-C26</f>
        <v>0</v>
      </c>
    </row>
    <row r="28" spans="1:11" x14ac:dyDescent="0.3">
      <c r="A28" s="479" t="s">
        <v>110</v>
      </c>
      <c r="B28" s="479"/>
      <c r="C28" s="479"/>
      <c r="D28" s="479"/>
      <c r="E28" s="479"/>
    </row>
    <row r="29" spans="1:11" x14ac:dyDescent="0.3">
      <c r="A29" s="479" t="s">
        <v>111</v>
      </c>
      <c r="B29" s="479"/>
      <c r="C29" s="479"/>
      <c r="D29" s="479"/>
      <c r="E29" s="479"/>
    </row>
    <row r="30" spans="1:11" ht="12.75" customHeight="1" x14ac:dyDescent="0.3">
      <c r="A30" s="247"/>
      <c r="B30" s="247"/>
      <c r="C30" s="247"/>
      <c r="D30" s="247"/>
      <c r="E30" s="247"/>
    </row>
    <row r="31" spans="1:11" x14ac:dyDescent="0.3">
      <c r="A31" s="316" t="s">
        <v>88</v>
      </c>
      <c r="B31" s="316"/>
      <c r="C31" s="247"/>
      <c r="D31" s="247"/>
      <c r="E31" s="247"/>
    </row>
    <row r="32" spans="1:11" x14ac:dyDescent="0.3">
      <c r="A32" s="316"/>
      <c r="B32" s="316" t="s">
        <v>89</v>
      </c>
      <c r="C32" s="247"/>
      <c r="D32" s="247"/>
      <c r="E32" s="247"/>
    </row>
    <row r="33" spans="1:5" x14ac:dyDescent="0.3">
      <c r="A33" s="316"/>
      <c r="B33" s="316" t="s">
        <v>90</v>
      </c>
      <c r="C33" s="247"/>
      <c r="D33" s="247"/>
      <c r="E33" s="247"/>
    </row>
    <row r="34" spans="1:5" x14ac:dyDescent="0.3">
      <c r="A34" s="316"/>
      <c r="B34" s="316" t="s">
        <v>91</v>
      </c>
      <c r="C34" s="247"/>
      <c r="D34" s="247"/>
      <c r="E34" s="247"/>
    </row>
    <row r="35" spans="1:5" x14ac:dyDescent="0.3">
      <c r="A35" s="316"/>
      <c r="B35" s="316" t="s">
        <v>92</v>
      </c>
      <c r="C35" s="247"/>
      <c r="D35" s="247"/>
      <c r="E35" s="247"/>
    </row>
    <row r="36" spans="1:5" x14ac:dyDescent="0.3">
      <c r="A36" s="316"/>
      <c r="B36" s="316" t="s">
        <v>93</v>
      </c>
      <c r="C36" s="247"/>
      <c r="D36" s="247"/>
      <c r="E36" s="247"/>
    </row>
    <row r="38" spans="1:5" x14ac:dyDescent="0.3">
      <c r="B38" s="317" t="s">
        <v>103</v>
      </c>
      <c r="C38" s="318">
        <v>0.01</v>
      </c>
    </row>
    <row r="39" spans="1:5" x14ac:dyDescent="0.3">
      <c r="B39" s="341" t="s">
        <v>104</v>
      </c>
      <c r="C39" s="340">
        <v>0.01</v>
      </c>
    </row>
    <row r="40" spans="1:5" x14ac:dyDescent="0.3">
      <c r="B40" s="342" t="s">
        <v>109</v>
      </c>
      <c r="C40" s="343">
        <v>1</v>
      </c>
    </row>
  </sheetData>
  <mergeCells count="3">
    <mergeCell ref="A1:E1"/>
    <mergeCell ref="A28:E28"/>
    <mergeCell ref="A29:E29"/>
  </mergeCells>
  <pageMargins left="0.7" right="0.7" top="0.75" bottom="0.75" header="0.3" footer="0.3"/>
  <pageSetup scale="71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">
    <pageSetUpPr fitToPage="1"/>
  </sheetPr>
  <dimension ref="A1:CP80"/>
  <sheetViews>
    <sheetView showGridLines="0" zoomScaleNormal="100" workbookViewId="0">
      <selection sqref="A1:XFD1048576"/>
    </sheetView>
  </sheetViews>
  <sheetFormatPr defaultColWidth="9.140625" defaultRowHeight="15.75" x14ac:dyDescent="0.25"/>
  <cols>
    <col min="1" max="1" width="7.85546875" style="124" customWidth="1"/>
    <col min="2" max="2" width="7.7109375" style="125" customWidth="1"/>
    <col min="3" max="3" width="9" style="125" customWidth="1"/>
    <col min="4" max="4" width="39.28515625" style="53" customWidth="1"/>
    <col min="5" max="5" width="13" style="126" customWidth="1"/>
    <col min="6" max="6" width="12.28515625" style="127" customWidth="1"/>
    <col min="7" max="7" width="12.140625" style="127" bestFit="1" customWidth="1"/>
    <col min="8" max="8" width="14.5703125" style="127" customWidth="1"/>
    <col min="9" max="9" width="19.5703125" style="128" bestFit="1" customWidth="1"/>
    <col min="10" max="10" width="13.7109375" style="129" customWidth="1"/>
    <col min="11" max="11" width="13.7109375" style="129" hidden="1" customWidth="1"/>
    <col min="12" max="12" width="18.42578125" style="129" customWidth="1"/>
    <col min="13" max="13" width="16.42578125" style="129" customWidth="1"/>
    <col min="14" max="14" width="16.140625" style="128" customWidth="1"/>
    <col min="15" max="25" width="16.140625" customWidth="1"/>
    <col min="26" max="26" width="16.140625" style="344" customWidth="1"/>
    <col min="27" max="27" width="22.140625" style="334" bestFit="1" customWidth="1"/>
    <col min="28" max="28" width="31.140625" style="334" bestFit="1" customWidth="1"/>
    <col min="29" max="29" width="7.85546875" style="334" bestFit="1" customWidth="1"/>
    <col min="30" max="30" width="9.140625" style="110" customWidth="1"/>
    <col min="31" max="94" width="9.140625" style="17"/>
    <col min="95" max="16384" width="9.140625" style="18"/>
  </cols>
  <sheetData>
    <row r="1" spans="1:94" x14ac:dyDescent="0.25">
      <c r="A1" s="12" t="s">
        <v>13</v>
      </c>
      <c r="B1" s="13"/>
      <c r="C1" s="13"/>
      <c r="D1" s="14"/>
      <c r="E1" s="15"/>
      <c r="F1" s="15"/>
      <c r="G1" s="15"/>
      <c r="H1" s="15"/>
      <c r="I1" s="15"/>
      <c r="J1" s="15"/>
      <c r="K1" s="15"/>
      <c r="L1" s="16" t="s">
        <v>14</v>
      </c>
      <c r="M1" s="468"/>
      <c r="N1" s="469"/>
      <c r="AA1" s="337"/>
      <c r="AB1" s="333"/>
      <c r="AC1" s="333"/>
      <c r="AD1" s="325"/>
    </row>
    <row r="2" spans="1:94" ht="20.25" x14ac:dyDescent="0.25">
      <c r="A2" s="19" t="s">
        <v>116</v>
      </c>
      <c r="B2" s="20"/>
      <c r="C2" s="20"/>
      <c r="D2" s="14"/>
      <c r="E2" s="21"/>
      <c r="F2" s="21"/>
      <c r="G2" s="21"/>
      <c r="H2" s="21"/>
      <c r="I2" s="21"/>
      <c r="J2" s="20"/>
      <c r="K2" s="20"/>
      <c r="L2" s="22" t="s">
        <v>113</v>
      </c>
      <c r="M2" s="470"/>
      <c r="N2" s="471"/>
      <c r="AA2" s="333"/>
      <c r="AB2" s="333"/>
      <c r="AC2" s="333"/>
      <c r="AD2" s="325"/>
    </row>
    <row r="3" spans="1:94" x14ac:dyDescent="0.25">
      <c r="A3" s="19" t="s">
        <v>117</v>
      </c>
      <c r="B3" s="20"/>
      <c r="C3" s="20"/>
      <c r="D3" s="23"/>
      <c r="E3" s="24"/>
      <c r="F3" s="25"/>
      <c r="G3" s="25"/>
      <c r="H3" s="25"/>
      <c r="I3" s="26"/>
      <c r="J3" s="20"/>
      <c r="K3" s="20"/>
      <c r="L3" s="22" t="s">
        <v>114</v>
      </c>
      <c r="M3" s="468"/>
      <c r="N3" s="469"/>
      <c r="AA3" s="337"/>
      <c r="AB3" s="333"/>
      <c r="AC3" s="333"/>
      <c r="AD3" s="325"/>
    </row>
    <row r="4" spans="1:94" x14ac:dyDescent="0.25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68">
        <v>2023</v>
      </c>
      <c r="N4" s="469"/>
      <c r="AA4" s="337"/>
      <c r="AB4" s="333"/>
      <c r="AC4" s="333"/>
      <c r="AD4" s="325"/>
    </row>
    <row r="5" spans="1:94" s="34" customFormat="1" ht="18" customHeight="1" x14ac:dyDescent="0.25">
      <c r="A5" s="19" t="s">
        <v>16</v>
      </c>
      <c r="B5" s="20"/>
      <c r="C5" s="20"/>
      <c r="D5" s="351">
        <v>44440</v>
      </c>
      <c r="E5" s="27"/>
      <c r="F5" s="30"/>
      <c r="G5" s="31"/>
      <c r="H5" s="31" t="s">
        <v>17</v>
      </c>
      <c r="I5" s="470"/>
      <c r="J5" s="472"/>
      <c r="K5" s="472"/>
      <c r="L5" s="471"/>
      <c r="M5" s="352" t="s">
        <v>115</v>
      </c>
      <c r="N5" s="32"/>
      <c r="O5"/>
      <c r="P5"/>
      <c r="Q5"/>
      <c r="R5"/>
      <c r="S5"/>
      <c r="T5"/>
      <c r="U5"/>
      <c r="V5"/>
      <c r="W5"/>
      <c r="X5"/>
      <c r="Y5"/>
      <c r="Z5" s="344"/>
      <c r="AA5" s="337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25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84</v>
      </c>
      <c r="K6" s="31"/>
      <c r="L6" s="353"/>
      <c r="M6" s="354" t="s">
        <v>85</v>
      </c>
      <c r="N6" s="306"/>
      <c r="AA6" s="337"/>
      <c r="AB6" s="333"/>
      <c r="AC6" s="333"/>
      <c r="AD6" s="325"/>
    </row>
    <row r="7" spans="1:94" x14ac:dyDescent="0.25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25">
      <c r="A8" s="48" t="s">
        <v>20</v>
      </c>
      <c r="B8" s="256" t="s">
        <v>21</v>
      </c>
      <c r="C8" s="473" t="s">
        <v>22</v>
      </c>
      <c r="D8" s="474"/>
      <c r="E8" s="332" t="s">
        <v>23</v>
      </c>
      <c r="F8" s="49" t="s">
        <v>24</v>
      </c>
      <c r="G8" s="50" t="str">
        <f>"FY "&amp;[0]!FiscalYear-1&amp;" SALARY"</f>
        <v>FY 2022 SALARY</v>
      </c>
      <c r="H8" s="50" t="str">
        <f>"FY "&amp;[0]!FiscalYear-1&amp;" HEALTH BENEFITS"</f>
        <v>FY 2022 HEALTH BENEFITS</v>
      </c>
      <c r="I8" s="50" t="str">
        <f>"FY "&amp;[0]!FiscalYear-1&amp;" VAR BENEFITS"</f>
        <v>FY 2022 VAR BENEFITS</v>
      </c>
      <c r="J8" s="50" t="str">
        <f>"FY "&amp;[0]!FiscalYear-1&amp;" TOTAL"</f>
        <v>FY 2022 TOTAL</v>
      </c>
      <c r="K8" s="50" t="str">
        <f>"FY "&amp;[0]!FiscalYear&amp;" SALARY CHANGE"</f>
        <v>FY 2023 SALARY CHANGE</v>
      </c>
      <c r="L8" s="50" t="str">
        <f>"FY "&amp;[0]!FiscalYear&amp;" CHG HEALTH BENEFITS"</f>
        <v>FY 2023 CHG HEALTH BENEFITS</v>
      </c>
      <c r="M8" s="50" t="str">
        <f>"FY "&amp;[0]!FiscalYear&amp;" CHG VAR BENEFITS"</f>
        <v>FY 2023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64" t="s">
        <v>105</v>
      </c>
      <c r="AB8" s="464"/>
      <c r="AC8" s="464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25">
      <c r="A9" s="139"/>
      <c r="B9" s="140"/>
      <c r="C9" s="465" t="s">
        <v>26</v>
      </c>
      <c r="D9" s="466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37" t="s">
        <v>94</v>
      </c>
      <c r="AB9" s="333" t="s">
        <v>95</v>
      </c>
      <c r="AC9" s="333" t="s">
        <v>106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25">
      <c r="A10" s="139"/>
      <c r="B10" s="139"/>
      <c r="C10" s="444" t="s">
        <v>27</v>
      </c>
      <c r="D10" s="467"/>
      <c r="E10" s="217">
        <v>1</v>
      </c>
      <c r="F10" s="288">
        <v>0</v>
      </c>
      <c r="G10" s="218">
        <v>0</v>
      </c>
      <c r="H10" s="218">
        <v>0</v>
      </c>
      <c r="I10" s="218">
        <v>0</v>
      </c>
      <c r="J10" s="219">
        <f>SUM(G10:I10)</f>
        <v>0</v>
      </c>
      <c r="K10" s="219">
        <v>0</v>
      </c>
      <c r="L10" s="218">
        <v>0</v>
      </c>
      <c r="M10" s="218">
        <v>0</v>
      </c>
      <c r="N10" s="218">
        <f>SUM(L10:M10)</f>
        <v>0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0</v>
      </c>
      <c r="AB10" s="335">
        <f>ROUND(PermVarBen*CECPerm+(CECPerm*PermVarBenChg),-2)</f>
        <v>0</v>
      </c>
      <c r="AC10" s="335">
        <f>SUM(AA10:AB10)</f>
        <v>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25">
      <c r="A11" s="139"/>
      <c r="B11" s="139"/>
      <c r="C11" s="444" t="s">
        <v>28</v>
      </c>
      <c r="D11" s="467"/>
      <c r="E11" s="217">
        <v>2</v>
      </c>
      <c r="F11" s="288"/>
      <c r="G11" s="218">
        <v>0</v>
      </c>
      <c r="H11" s="218">
        <v>0</v>
      </c>
      <c r="I11" s="218">
        <v>0</v>
      </c>
      <c r="J11" s="219">
        <f>SUM(G11:I11)</f>
        <v>0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0</v>
      </c>
      <c r="AB11" s="335">
        <f>ROUND((GroupSalary*GroupVBBY)*CECGroup,-2)</f>
        <v>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25">
      <c r="A12" s="139"/>
      <c r="B12" s="139"/>
      <c r="C12" s="444" t="s">
        <v>29</v>
      </c>
      <c r="D12" s="445"/>
      <c r="E12" s="217">
        <v>3</v>
      </c>
      <c r="F12" s="288">
        <v>0</v>
      </c>
      <c r="G12" s="218">
        <v>0</v>
      </c>
      <c r="H12" s="218">
        <v>0</v>
      </c>
      <c r="I12" s="218">
        <v>0</v>
      </c>
      <c r="J12" s="219">
        <f>SUM(G12:I12)</f>
        <v>0</v>
      </c>
      <c r="K12" s="268"/>
      <c r="L12" s="218">
        <v>0</v>
      </c>
      <c r="M12" s="218"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25">
      <c r="A13" s="139"/>
      <c r="B13" s="139"/>
      <c r="C13" s="444" t="s">
        <v>30</v>
      </c>
      <c r="D13" s="467"/>
      <c r="E13" s="217"/>
      <c r="F13" s="220">
        <f>SUM(F10:F12)</f>
        <v>0</v>
      </c>
      <c r="G13" s="221">
        <f>SUM(G10:G12)</f>
        <v>0</v>
      </c>
      <c r="H13" s="221">
        <f>SUM(H10:H12)</f>
        <v>0</v>
      </c>
      <c r="I13" s="221">
        <f>SUM(I10:I12)</f>
        <v>0</v>
      </c>
      <c r="J13" s="219">
        <f>SUM(G13:I13)</f>
        <v>0</v>
      </c>
      <c r="K13" s="268"/>
      <c r="L13" s="219">
        <f>SUM(L10:L12)</f>
        <v>0</v>
      </c>
      <c r="M13" s="219">
        <f>SUM(M10:M12)</f>
        <v>0</v>
      </c>
      <c r="N13" s="219">
        <f>SUM(N10:N12)</f>
        <v>0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5" customHeight="1" x14ac:dyDescent="0.25">
      <c r="A14" s="139"/>
      <c r="B14" s="139"/>
      <c r="C14" s="154"/>
      <c r="D14" s="155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25">
      <c r="A15" s="139"/>
      <c r="B15" s="156"/>
      <c r="C15" s="157" t="str">
        <f>"FY "&amp;[0]!FiscalYear-1</f>
        <v>FY 2022</v>
      </c>
      <c r="D15" s="158" t="s">
        <v>31</v>
      </c>
      <c r="E15" s="355">
        <v>0</v>
      </c>
      <c r="F15" s="55">
        <v>0</v>
      </c>
      <c r="G15" s="223">
        <f>IF(OrigApprop=0,0,(G13/$J$13)*OrigApprop)</f>
        <v>0</v>
      </c>
      <c r="H15" s="223">
        <f>IF(OrigApprop=0,0,(H13/$J$13)*OrigApprop)</f>
        <v>0</v>
      </c>
      <c r="I15" s="223">
        <f>IF(G15=0,0,(I13/$J$13)*OrigApprop)</f>
        <v>0</v>
      </c>
      <c r="J15" s="223">
        <f>SUM(G15:I15)</f>
        <v>0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25">
      <c r="A16" s="139"/>
      <c r="B16" s="139"/>
      <c r="C16" s="454" t="s">
        <v>32</v>
      </c>
      <c r="D16" s="455"/>
      <c r="E16" s="160" t="s">
        <v>33</v>
      </c>
      <c r="F16" s="161">
        <f>F15-F13</f>
        <v>0</v>
      </c>
      <c r="G16" s="162">
        <f>G15-G13</f>
        <v>0</v>
      </c>
      <c r="H16" s="162">
        <f>H15-H13</f>
        <v>0</v>
      </c>
      <c r="I16" s="162">
        <f>I15-I13</f>
        <v>0</v>
      </c>
      <c r="J16" s="162">
        <f>J15-J13</f>
        <v>0</v>
      </c>
      <c r="K16" s="269"/>
      <c r="L16" s="56" t="str">
        <f>IF([0]!OrigApprop=0,"ERROR! Enter Original Appropriation amount in DU 3.00!","Calculated "&amp;IF([0]!AdjustedTotal&gt;0,"overfunding ","underfunding ")&amp;"is "&amp;TEXT([0]!AdjustedTotal/[0]!AppropTotal,"#.0%;(#.0% );0% ;")&amp;" of Original Appropriation")</f>
        <v>ERROR! Enter Original Appropriation amount in DU 3.00!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25">
      <c r="A17" s="139"/>
      <c r="B17" s="139"/>
      <c r="C17" s="456" t="s">
        <v>34</v>
      </c>
      <c r="D17" s="457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25">
      <c r="A18" s="139"/>
      <c r="B18" s="168"/>
      <c r="C18" s="458" t="s">
        <v>35</v>
      </c>
      <c r="D18" s="459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5.5" x14ac:dyDescent="0.25">
      <c r="A19" s="238"/>
      <c r="B19" s="202"/>
      <c r="C19" s="239" t="s">
        <v>86</v>
      </c>
      <c r="D19" s="240" t="s">
        <v>87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37"/>
      <c r="AB19" s="337"/>
      <c r="AC19" s="337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5" x14ac:dyDescent="0.25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37"/>
      <c r="AB20" s="337"/>
      <c r="AC20" s="337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5" x14ac:dyDescent="0.25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37"/>
      <c r="AB21" s="337"/>
      <c r="AC21" s="337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5" x14ac:dyDescent="0.25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37"/>
      <c r="AB22" s="337"/>
      <c r="AC22" s="337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5" x14ac:dyDescent="0.25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37"/>
      <c r="AB23" s="337"/>
      <c r="AC23" s="337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5" x14ac:dyDescent="0.25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37"/>
      <c r="AC24" s="337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5" x14ac:dyDescent="0.25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37"/>
      <c r="AC25" s="337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5" x14ac:dyDescent="0.25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37"/>
      <c r="AC26" s="337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5" x14ac:dyDescent="0.25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37"/>
      <c r="AB27" s="337"/>
      <c r="AC27" s="337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5" x14ac:dyDescent="0.25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37"/>
      <c r="AB28" s="337"/>
      <c r="AC28" s="337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5" x14ac:dyDescent="0.25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37"/>
      <c r="AB29" s="337"/>
      <c r="AC29" s="337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5" x14ac:dyDescent="0.25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37"/>
      <c r="AB30" s="337"/>
      <c r="AC30" s="337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5" x14ac:dyDescent="0.25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37"/>
      <c r="AB31" s="337"/>
      <c r="AC31" s="337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5" x14ac:dyDescent="0.25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37"/>
      <c r="AB32" s="337"/>
      <c r="AC32" s="337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5" x14ac:dyDescent="0.25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37"/>
      <c r="AB33" s="337"/>
      <c r="AC33" s="337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5" x14ac:dyDescent="0.25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37"/>
      <c r="AB34" s="337"/>
      <c r="AC34" s="337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5" x14ac:dyDescent="0.25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37"/>
      <c r="AB35" s="337"/>
      <c r="AC35" s="337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5" x14ac:dyDescent="0.25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37" t="s">
        <v>94</v>
      </c>
      <c r="AB36" s="333" t="s">
        <v>95</v>
      </c>
      <c r="AC36" s="333" t="s">
        <v>106</v>
      </c>
      <c r="AD36" s="330"/>
    </row>
    <row r="37" spans="1:94" s="153" customFormat="1" ht="17.25" customHeight="1" x14ac:dyDescent="0.25">
      <c r="A37" s="139"/>
      <c r="B37" s="188"/>
      <c r="C37" s="460" t="s">
        <v>37</v>
      </c>
      <c r="D37" s="461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62" t="s">
        <v>107</v>
      </c>
      <c r="AB37" s="463"/>
      <c r="AC37" s="463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5" x14ac:dyDescent="0.25">
      <c r="A38" s="139"/>
      <c r="B38" s="188"/>
      <c r="C38" s="444" t="str">
        <f>perm_name</f>
        <v>Permanent Positions</v>
      </c>
      <c r="D38" s="445"/>
      <c r="E38" s="189">
        <v>1</v>
      </c>
      <c r="F38" s="190">
        <f>SUMIF($E9:$E35,$E38,$F9:$F35)</f>
        <v>0</v>
      </c>
      <c r="G38" s="191">
        <f>SUMIF($E10:$E35,$E38,$G10:$G35)</f>
        <v>0</v>
      </c>
      <c r="H38" s="192">
        <f>SUMIF($E10:$E35,$E38,$H10:$H35)</f>
        <v>0</v>
      </c>
      <c r="I38" s="192">
        <f>SUMIF($E10:$E35,$E38,$I10:$I35)</f>
        <v>0</v>
      </c>
      <c r="J38" s="192">
        <f>SUM(G38:I38)</f>
        <v>0</v>
      </c>
      <c r="K38" s="166"/>
      <c r="L38" s="191">
        <f>SUMIF($E10:$E35,$E38,$L10:$L35)</f>
        <v>0</v>
      </c>
      <c r="M38" s="192">
        <f>SUMIF($E10:$E35,$E38,$M10:$M35)</f>
        <v>0</v>
      </c>
      <c r="N38" s="192">
        <f>SUM(L38:M38)</f>
        <v>0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0</v>
      </c>
      <c r="AB38" s="338">
        <f>ROUND((AdjPermVB*CECPerm+AdjPermVBBY*CECPerm),-2)</f>
        <v>0</v>
      </c>
      <c r="AC38" s="338">
        <f>SUM(AA38:AB38)</f>
        <v>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5" x14ac:dyDescent="0.25">
      <c r="A39" s="139"/>
      <c r="B39" s="188"/>
      <c r="C39" s="444" t="str">
        <f>Group_name</f>
        <v>Board &amp; Group Positions</v>
      </c>
      <c r="D39" s="445"/>
      <c r="E39" s="189">
        <v>2</v>
      </c>
      <c r="F39" s="151">
        <f>SUMIF($E9:$E35,$E39,$F9:$F35)</f>
        <v>0</v>
      </c>
      <c r="G39" s="193">
        <f>SUMIF($E10:$E35,$E39,$G10:$G35)</f>
        <v>0</v>
      </c>
      <c r="H39" s="152">
        <f>SUMIF($E10:$E35,$E39,$H10:$H35)</f>
        <v>0</v>
      </c>
      <c r="I39" s="152">
        <f>SUMIF($E10:$E35,$E39,$I10:$I35)</f>
        <v>0</v>
      </c>
      <c r="J39" s="152">
        <f>SUM(G39:I39)</f>
        <v>0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0</v>
      </c>
      <c r="AB39" s="338">
        <f>ROUND(AdjGroupVB*CECGroup,-2)</f>
        <v>0</v>
      </c>
      <c r="AC39" s="338">
        <f>SUM(AA39:AB39)</f>
        <v>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5" x14ac:dyDescent="0.25">
      <c r="A40" s="139"/>
      <c r="B40" s="188"/>
      <c r="C40" s="154" t="str">
        <f>Elect_name</f>
        <v>Elected Officials &amp; Full Time Commissioners</v>
      </c>
      <c r="D40" s="194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37"/>
      <c r="AB40" s="337"/>
      <c r="AC40" s="337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5" x14ac:dyDescent="0.25">
      <c r="A41" s="139"/>
      <c r="B41" s="188"/>
      <c r="C41" s="444" t="s">
        <v>38</v>
      </c>
      <c r="D41" s="445"/>
      <c r="E41" s="189"/>
      <c r="F41" s="161">
        <f>SUM(F38:F40)</f>
        <v>0</v>
      </c>
      <c r="G41" s="195">
        <f>SUM($G$38:$G$40)</f>
        <v>0</v>
      </c>
      <c r="H41" s="162">
        <f>SUM($H$38:$H$40)</f>
        <v>0</v>
      </c>
      <c r="I41" s="162">
        <f>SUM($I$38:$I$40)</f>
        <v>0</v>
      </c>
      <c r="J41" s="162">
        <f>SUM($J$38:$J$40)</f>
        <v>0</v>
      </c>
      <c r="K41" s="259"/>
      <c r="L41" s="195">
        <f>SUM($L$38:$L$40)</f>
        <v>0</v>
      </c>
      <c r="M41" s="162">
        <f>SUM($M$38:$M$40)</f>
        <v>0</v>
      </c>
      <c r="N41" s="162">
        <f>SUM(L41:M41)</f>
        <v>0</v>
      </c>
      <c r="O41"/>
      <c r="P41"/>
      <c r="Q41"/>
      <c r="R41"/>
      <c r="S41"/>
      <c r="T41"/>
      <c r="U41"/>
      <c r="V41"/>
      <c r="W41"/>
      <c r="X41"/>
      <c r="Y41"/>
      <c r="Z41" s="344"/>
      <c r="AA41" s="337" t="s">
        <v>94</v>
      </c>
      <c r="AB41" s="333" t="s">
        <v>95</v>
      </c>
      <c r="AC41" s="333" t="s">
        <v>106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25">
      <c r="A42" s="139"/>
      <c r="B42" s="188"/>
      <c r="C42" s="446"/>
      <c r="D42" s="447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37"/>
      <c r="AB42" s="337"/>
      <c r="AC42" s="337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25">
      <c r="A43" s="139"/>
      <c r="B43" s="202"/>
      <c r="C43" s="448" t="s">
        <v>39</v>
      </c>
      <c r="D43" s="449"/>
      <c r="E43" s="203" t="s">
        <v>40</v>
      </c>
      <c r="F43" s="205">
        <f>ROUND(F51-F41,2)</f>
        <v>0</v>
      </c>
      <c r="G43" s="206">
        <f>ROUND(G51-G41,-2)</f>
        <v>0</v>
      </c>
      <c r="H43" s="159">
        <f>ROUND(H51-H41,-2)</f>
        <v>0</v>
      </c>
      <c r="I43" s="159">
        <f>ROUND(I51-I41,-2)</f>
        <v>0</v>
      </c>
      <c r="J43" s="159">
        <f>SUM(G43:I43)</f>
        <v>0</v>
      </c>
      <c r="K43" s="425" t="str">
        <f>IF(E51=0,"ERROR! Enter Original Appropriation amount in DU 3.00!","Calculated "&amp;IF(J43&gt;0,"overfunding ","underfunding ")&amp;"is "&amp;TEXT(J43/J51,"#.0%;(#.0% );0% ;")&amp;" of Original Appropriation")</f>
        <v>ERROR! Enter Original Appropriation amount in DU 3.00!</v>
      </c>
      <c r="L43" s="426"/>
      <c r="M43" s="426"/>
      <c r="N43" s="427"/>
      <c r="O43"/>
      <c r="P43"/>
      <c r="Q43"/>
      <c r="R43"/>
      <c r="S43"/>
      <c r="T43"/>
      <c r="U43"/>
      <c r="V43"/>
      <c r="W43"/>
      <c r="X43"/>
      <c r="Y43"/>
      <c r="Z43" s="344"/>
      <c r="AA43" s="452" t="s">
        <v>108</v>
      </c>
      <c r="AB43" s="453"/>
      <c r="AC43" s="453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25">
      <c r="A44" s="139"/>
      <c r="B44" s="202"/>
      <c r="C44" s="450"/>
      <c r="D44" s="451"/>
      <c r="E44" s="204" t="s">
        <v>41</v>
      </c>
      <c r="F44" s="205">
        <f>ROUND(F60-F41,2)</f>
        <v>0</v>
      </c>
      <c r="G44" s="206">
        <f>ROUND(G60-G41,-2)</f>
        <v>0</v>
      </c>
      <c r="H44" s="159">
        <f>ROUND(H60-H41,-2)</f>
        <v>0</v>
      </c>
      <c r="I44" s="159">
        <f>ROUND(I60-I41,-2)</f>
        <v>0</v>
      </c>
      <c r="J44" s="159">
        <f>SUM(G44:I44)</f>
        <v>0</v>
      </c>
      <c r="K44" s="425" t="str">
        <f>IF(E51=0,"ERROR! Enter Original Appropriation amount in DU 3.00!","Calculated "&amp;IF(J44&gt;0,"overfunding ","underfunding ")&amp;"is "&amp;TEXT(J44/J60,"#.0%;(#.0% );0% ;")&amp;" of Estimated Expenditures")</f>
        <v>ERROR! Enter Original Appropriation amount in DU 3.00!</v>
      </c>
      <c r="L44" s="426"/>
      <c r="M44" s="426"/>
      <c r="N44" s="427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25">
      <c r="A45" s="139"/>
      <c r="B45" s="202"/>
      <c r="C45" s="215"/>
      <c r="D45" s="215"/>
      <c r="E45" s="204" t="s">
        <v>99</v>
      </c>
      <c r="F45" s="205">
        <f>ROUND(F67-F41-F63,2)</f>
        <v>0</v>
      </c>
      <c r="G45" s="206">
        <f>ROUND(G67-G41-G63,-2)</f>
        <v>0</v>
      </c>
      <c r="H45" s="206">
        <f>ROUND(H67-H41-H63,-2)</f>
        <v>0</v>
      </c>
      <c r="I45" s="206">
        <f>ROUND(I67-I41-I63,-2)</f>
        <v>0</v>
      </c>
      <c r="J45" s="159">
        <f>SUM(G45:I45)</f>
        <v>0</v>
      </c>
      <c r="K45" s="425" t="str">
        <f>IF(J67=0,"Program has a zero base",IF(E51=0,"ERROR! Enter Original Appropriation amount in DU 3.00!","Calculated "&amp;IF(J45&gt;0,"overfunding ","underfunding ")&amp;"is "&amp;TEXT(J45/J67,"#.0%;(#.0% );0% ;")&amp;" of the Base"))</f>
        <v>Program has a zero base</v>
      </c>
      <c r="L45" s="426"/>
      <c r="M45" s="426"/>
      <c r="N45" s="427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0</v>
      </c>
      <c r="AC45" s="338">
        <f>SUM(AA45:AB45)</f>
        <v>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25">
      <c r="A46" s="139"/>
      <c r="B46" s="202"/>
      <c r="C46" s="215"/>
      <c r="D46" s="215"/>
      <c r="E46" s="428" t="s">
        <v>100</v>
      </c>
      <c r="F46" s="429"/>
      <c r="G46" s="429"/>
      <c r="H46" s="429"/>
      <c r="I46" s="429"/>
      <c r="J46" s="430"/>
      <c r="K46" s="434" t="str">
        <f>IF(OR(J45&lt;0,F45&lt;0),"You may not have sufficient funding or authorized FTP, and may need to make additional adjustments to finalize this form.  Please contact both your DFM and LSO analysts.","")</f>
        <v/>
      </c>
      <c r="L46" s="435"/>
      <c r="M46" s="435"/>
      <c r="N46" s="436"/>
      <c r="O46"/>
      <c r="P46"/>
      <c r="Q46"/>
      <c r="R46"/>
      <c r="S46"/>
      <c r="T46"/>
      <c r="U46"/>
      <c r="V46"/>
      <c r="W46"/>
      <c r="X46"/>
      <c r="Y46"/>
      <c r="Z46" s="344"/>
      <c r="AA46" s="337"/>
      <c r="AB46" s="337"/>
      <c r="AC46" s="337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25">
      <c r="A47" s="139"/>
      <c r="B47" s="202"/>
      <c r="C47" s="215"/>
      <c r="D47" s="215"/>
      <c r="E47" s="431"/>
      <c r="F47" s="432"/>
      <c r="G47" s="432"/>
      <c r="H47" s="432"/>
      <c r="I47" s="432"/>
      <c r="J47" s="433"/>
      <c r="K47" s="437"/>
      <c r="L47" s="438"/>
      <c r="M47" s="438"/>
      <c r="N47" s="439"/>
      <c r="O47"/>
      <c r="P47"/>
      <c r="Q47"/>
      <c r="R47"/>
      <c r="S47"/>
      <c r="T47"/>
      <c r="U47"/>
      <c r="V47"/>
      <c r="W47"/>
      <c r="X47"/>
      <c r="Y47"/>
      <c r="Z47" s="344"/>
      <c r="AA47" s="337"/>
      <c r="AB47" s="337"/>
      <c r="AC47" s="337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25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25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37"/>
      <c r="AB49" s="337"/>
      <c r="AC49" s="337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25">
      <c r="A50" s="257" t="s">
        <v>42</v>
      </c>
      <c r="B50" s="71"/>
      <c r="C50" s="440"/>
      <c r="D50" s="441"/>
      <c r="E50" s="72" t="s">
        <v>43</v>
      </c>
      <c r="F50" s="73" t="s">
        <v>24</v>
      </c>
      <c r="G50" s="72" t="str">
        <f>"FY "&amp;M4-2001&amp;" Salary"</f>
        <v>FY 22 Salary</v>
      </c>
      <c r="H50" s="72" t="str">
        <f>"FY "&amp;M4-2001&amp;" Health Ben"</f>
        <v>FY 22 Health Ben</v>
      </c>
      <c r="I50" s="72" t="str">
        <f>"FY "&amp;M4-2001&amp;" Var Ben"</f>
        <v>FY 22 Var Ben</v>
      </c>
      <c r="J50" s="72" t="str">
        <f>"FY "&amp;M4-1&amp;" Total"</f>
        <v>FY 2022 Total</v>
      </c>
      <c r="K50" s="307" t="str">
        <f>"FY "&amp;FiscalYear&amp;" SALARY CHG"</f>
        <v>FY 2023 SALARY CHG</v>
      </c>
      <c r="L50" s="74" t="str">
        <f>"FY "&amp;M4-2000&amp;" Chg Health Bens"</f>
        <v>FY 23 Chg Health Bens</v>
      </c>
      <c r="M50" s="74" t="str">
        <f>"FY "&amp;M4-2000&amp;" Chg Var Bens"</f>
        <v>FY 23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37"/>
      <c r="AB50" s="337"/>
      <c r="AC50" s="337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25">
      <c r="A51" s="75">
        <v>3</v>
      </c>
      <c r="B51" s="76" t="s">
        <v>45</v>
      </c>
      <c r="C51" s="54" t="str">
        <f>"FY "&amp;M4-1</f>
        <v>FY 2022</v>
      </c>
      <c r="D51" s="77" t="s">
        <v>31</v>
      </c>
      <c r="E51" s="78">
        <f>OrigApprop</f>
        <v>0</v>
      </c>
      <c r="F51" s="272">
        <f>AppropFTP</f>
        <v>0</v>
      </c>
      <c r="G51" s="274">
        <f>IF(E51=0,0,(G41/$J$41)*$E$51)</f>
        <v>0</v>
      </c>
      <c r="H51" s="274">
        <f>IF(E51=0,0,(H41/$J$41)*$E$51)</f>
        <v>0</v>
      </c>
      <c r="I51" s="275">
        <f>IF(E51=0,0,(I41/$J$41)*$E$51)</f>
        <v>0</v>
      </c>
      <c r="J51" s="90">
        <f>SUM(G51:I51)</f>
        <v>0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37"/>
      <c r="AC51" s="337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25">
      <c r="A52" s="82"/>
      <c r="B52" s="83"/>
      <c r="C52" s="84"/>
      <c r="D52" s="132" t="s">
        <v>46</v>
      </c>
      <c r="E52" s="133"/>
      <c r="F52" s="55">
        <f>F51</f>
        <v>0</v>
      </c>
      <c r="G52" s="79">
        <f>ROUND(G51,-2)</f>
        <v>0</v>
      </c>
      <c r="H52" s="79">
        <f>ROUND(H51,-2)</f>
        <v>0</v>
      </c>
      <c r="I52" s="266">
        <f>ROUND(I51,-2)</f>
        <v>0</v>
      </c>
      <c r="J52" s="80">
        <f>ROUND(J51,-2)</f>
        <v>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37"/>
      <c r="AC52" s="337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5" x14ac:dyDescent="0.25">
      <c r="A53" s="85"/>
      <c r="B53" s="83"/>
      <c r="C53" s="442" t="s">
        <v>47</v>
      </c>
      <c r="D53" s="443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37"/>
      <c r="AB53" s="337"/>
      <c r="AC53" s="337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25">
      <c r="A54" s="85">
        <v>4.1100000000000003</v>
      </c>
      <c r="B54" s="83"/>
      <c r="C54" s="409" t="s">
        <v>48</v>
      </c>
      <c r="D54" s="410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37"/>
      <c r="AB54" s="337"/>
      <c r="AC54" s="337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25">
      <c r="A55" s="85">
        <v>4.3099999999999996</v>
      </c>
      <c r="B55" s="83"/>
      <c r="C55" s="422" t="s">
        <v>49</v>
      </c>
      <c r="D55" s="423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37"/>
      <c r="AB55" s="337"/>
      <c r="AC55" s="337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25">
      <c r="A56" s="75">
        <v>5</v>
      </c>
      <c r="B56" s="76"/>
      <c r="C56" s="54" t="str">
        <f>"FY "&amp;M4-1</f>
        <v>FY 2022</v>
      </c>
      <c r="D56" s="131" t="s">
        <v>50</v>
      </c>
      <c r="E56" s="135"/>
      <c r="F56" s="55">
        <f>SUM(F52:F55)</f>
        <v>0</v>
      </c>
      <c r="G56" s="80">
        <f>SUM(G52:G55)</f>
        <v>0</v>
      </c>
      <c r="H56" s="80">
        <f>SUM(H52:H55)</f>
        <v>0</v>
      </c>
      <c r="I56" s="260">
        <f>SUM(I52:I55)</f>
        <v>0</v>
      </c>
      <c r="J56" s="80">
        <f>SUM(J52:J55)</f>
        <v>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37"/>
      <c r="AB56" s="337"/>
      <c r="AC56" s="337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25">
      <c r="A57" s="85"/>
      <c r="B57" s="83"/>
      <c r="C57" s="420" t="s">
        <v>51</v>
      </c>
      <c r="D57" s="424"/>
      <c r="E57" s="331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37"/>
      <c r="AB57" s="337"/>
      <c r="AC57" s="337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25">
      <c r="A58" s="85">
        <v>6.31</v>
      </c>
      <c r="B58" s="83"/>
      <c r="C58" s="409" t="s">
        <v>52</v>
      </c>
      <c r="D58" s="410"/>
      <c r="E58" s="102"/>
      <c r="F58" s="58">
        <v>0</v>
      </c>
      <c r="G58" s="88">
        <v>0</v>
      </c>
      <c r="H58" s="88">
        <v>0</v>
      </c>
      <c r="I58" s="265">
        <v>0</v>
      </c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37"/>
      <c r="AB58" s="337"/>
      <c r="AC58" s="337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25">
      <c r="A59" s="85">
        <v>6.51</v>
      </c>
      <c r="B59" s="83"/>
      <c r="C59" s="422" t="s">
        <v>66</v>
      </c>
      <c r="D59" s="423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37"/>
      <c r="AB59" s="337"/>
      <c r="AC59" s="337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25">
      <c r="A60" s="75">
        <v>7</v>
      </c>
      <c r="B60" s="76"/>
      <c r="C60" s="54" t="str">
        <f>"FY "&amp;M4-1</f>
        <v>FY 2022</v>
      </c>
      <c r="D60" s="131" t="s">
        <v>53</v>
      </c>
      <c r="E60" s="135"/>
      <c r="F60" s="55">
        <f>SUM(F56:F59)</f>
        <v>0</v>
      </c>
      <c r="G60" s="80">
        <f>SUM(G56:G59)</f>
        <v>0</v>
      </c>
      <c r="H60" s="80">
        <f>SUM(H56:H59)</f>
        <v>0</v>
      </c>
      <c r="I60" s="260">
        <f>SUM(I56:I59)</f>
        <v>0</v>
      </c>
      <c r="J60" s="80">
        <f>SUM(J56:J59)</f>
        <v>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37"/>
      <c r="AB60" s="337"/>
      <c r="AC60" s="337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25">
      <c r="A61" s="85"/>
      <c r="B61" s="83"/>
      <c r="C61" s="420" t="s">
        <v>54</v>
      </c>
      <c r="D61" s="424"/>
      <c r="E61" s="331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37"/>
      <c r="AB61" s="337"/>
      <c r="AC61" s="337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25">
      <c r="A62" s="85">
        <v>8.31</v>
      </c>
      <c r="B62" s="83"/>
      <c r="C62" s="409" t="s">
        <v>67</v>
      </c>
      <c r="D62" s="410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37"/>
      <c r="AB62" s="337"/>
      <c r="AC62" s="337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25">
      <c r="A63" s="85">
        <v>8.41</v>
      </c>
      <c r="B63" s="83"/>
      <c r="C63" s="409" t="s">
        <v>55</v>
      </c>
      <c r="D63" s="410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/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37"/>
      <c r="AB63" s="337"/>
      <c r="AC63" s="337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">
      <c r="A64" s="93">
        <v>8.51</v>
      </c>
      <c r="B64" s="93"/>
      <c r="C64" s="414" t="s">
        <v>56</v>
      </c>
      <c r="D64" s="415"/>
      <c r="E64" s="134"/>
      <c r="F64" s="58">
        <v>0</v>
      </c>
      <c r="G64" s="88"/>
      <c r="H64" s="88">
        <v>0</v>
      </c>
      <c r="I64" s="265"/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37"/>
      <c r="AB64" s="337"/>
      <c r="AC64" s="337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25">
      <c r="A65" s="94"/>
      <c r="B65" s="95"/>
      <c r="C65" s="416"/>
      <c r="D65" s="417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37"/>
      <c r="AB65" s="337"/>
      <c r="AC65" s="337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5" x14ac:dyDescent="0.25">
      <c r="A66" s="100"/>
      <c r="B66" s="101"/>
      <c r="C66" s="418"/>
      <c r="D66" s="419"/>
      <c r="E66" s="102"/>
      <c r="F66" s="103" t="s">
        <v>24</v>
      </c>
      <c r="G66" s="104" t="str">
        <f>"FY "&amp;M4-2000&amp;" Salary"</f>
        <v>FY 23 Salary</v>
      </c>
      <c r="H66" s="104" t="str">
        <f>"FY"&amp;M4-2000&amp;" Health Ben"</f>
        <v>FY23 Health Ben</v>
      </c>
      <c r="I66" s="104" t="str">
        <f>"FY "&amp;M4-2000&amp;" Var Ben"</f>
        <v>FY 23 Var Ben</v>
      </c>
      <c r="J66" s="104" t="str">
        <f>"FY "&amp;M4&amp;" Total"</f>
        <v>FY 2023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5" x14ac:dyDescent="0.25">
      <c r="A67" s="82">
        <v>9</v>
      </c>
      <c r="B67" s="83"/>
      <c r="C67" s="84" t="str">
        <f>"FY "&amp;M4</f>
        <v>FY 2023</v>
      </c>
      <c r="D67" s="108" t="s">
        <v>57</v>
      </c>
      <c r="E67" s="109"/>
      <c r="F67" s="55">
        <f>SUM(F60:F64)</f>
        <v>0</v>
      </c>
      <c r="G67" s="80">
        <f>SUM(G60:G64)</f>
        <v>0</v>
      </c>
      <c r="H67" s="80">
        <f>SUM(H60:H64)</f>
        <v>0</v>
      </c>
      <c r="I67" s="80">
        <f>SUM(I60:I64)</f>
        <v>0</v>
      </c>
      <c r="J67" s="80">
        <f>SUM(J60:J64)</f>
        <v>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37"/>
      <c r="AB67" s="337"/>
      <c r="AC67" s="337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25">
      <c r="A68" s="85">
        <v>10.11</v>
      </c>
      <c r="B68" s="83"/>
      <c r="C68" s="420" t="s">
        <v>58</v>
      </c>
      <c r="D68" s="421"/>
      <c r="E68" s="112"/>
      <c r="F68" s="288"/>
      <c r="G68" s="287"/>
      <c r="H68" s="113">
        <f>IF(DUNine=0,0,ROUND(SUM(L41:L65),-2))</f>
        <v>0</v>
      </c>
      <c r="I68" s="113"/>
      <c r="J68" s="287">
        <f>SUM(G68:I68)</f>
        <v>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37"/>
      <c r="AB68" s="337"/>
      <c r="AC68" s="337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5" x14ac:dyDescent="0.25">
      <c r="A69" s="85">
        <v>10.119999999999999</v>
      </c>
      <c r="B69" s="83"/>
      <c r="C69" s="420" t="s">
        <v>59</v>
      </c>
      <c r="D69" s="421"/>
      <c r="E69" s="112"/>
      <c r="F69" s="288"/>
      <c r="G69" s="113"/>
      <c r="H69" s="113"/>
      <c r="I69" s="113">
        <f>IF(DUNine=0,0,ROUND(SUM(M41:M64),-2))</f>
        <v>0</v>
      </c>
      <c r="J69" s="287">
        <f>SUM(G69:I69)</f>
        <v>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37"/>
      <c r="AB69" s="337"/>
      <c r="AC69" s="337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5" x14ac:dyDescent="0.25">
      <c r="A70" s="85"/>
      <c r="B70" s="83"/>
      <c r="C70" s="407"/>
      <c r="D70" s="408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37"/>
      <c r="AB70" s="337"/>
      <c r="AC70" s="337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25">
      <c r="A71" s="85">
        <v>10.51</v>
      </c>
      <c r="B71" s="83"/>
      <c r="C71" s="409" t="s">
        <v>60</v>
      </c>
      <c r="D71" s="410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112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37"/>
      <c r="AB71" s="337"/>
      <c r="AC71" s="337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25">
      <c r="A72" s="85">
        <v>10.61</v>
      </c>
      <c r="B72" s="83"/>
      <c r="C72" s="409" t="s">
        <v>101</v>
      </c>
      <c r="D72" s="411"/>
      <c r="E72" s="290">
        <f>CECPerm</f>
        <v>0.01</v>
      </c>
      <c r="F72" s="288"/>
      <c r="G72" s="356">
        <f>IF(DUNine=0,0,IF(DUNine&lt;0,0,ROUND(AdjPermSalary*CECPerm,-2)))</f>
        <v>0</v>
      </c>
      <c r="H72" s="287"/>
      <c r="I72" s="287">
        <f>ROUND(($G72*PermVBBY+$G72*Retire1BY),-2)</f>
        <v>0</v>
      </c>
      <c r="J72" s="113">
        <f>SUM(G72:I72)</f>
        <v>0</v>
      </c>
      <c r="K72" s="296"/>
      <c r="L72" s="298"/>
      <c r="M72" s="350">
        <f>IF(DUNine=0,0,IF(((#REF!-G39-G40)*E72)&lt;0,0,ROUND(((#REF!-G39-G40)*E72),-2)))</f>
        <v>0</v>
      </c>
      <c r="N72" s="359"/>
      <c r="O72" s="358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0</v>
      </c>
      <c r="P72" s="358"/>
      <c r="Q72"/>
      <c r="R72"/>
      <c r="S72"/>
      <c r="T72"/>
      <c r="U72"/>
      <c r="V72"/>
      <c r="W72"/>
      <c r="X72"/>
      <c r="Y72"/>
      <c r="Z72" s="344"/>
      <c r="AA72" s="337"/>
      <c r="AB72" s="337"/>
      <c r="AC72" s="337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25">
      <c r="A73" s="85">
        <v>10.62</v>
      </c>
      <c r="B73" s="83"/>
      <c r="C73" s="409" t="s">
        <v>61</v>
      </c>
      <c r="D73" s="411"/>
      <c r="E73" s="289">
        <f>CECGroup</f>
        <v>0.01</v>
      </c>
      <c r="F73" s="288"/>
      <c r="G73" s="356">
        <f>IF(DUNine=0,0,IF(DUNine&lt;0,0,ROUND(AdjGroupSalary*CECGroup,-2)))</f>
        <v>0</v>
      </c>
      <c r="H73" s="287"/>
      <c r="I73" s="287">
        <f>ROUND(($G73*GroupVBBY),-2)</f>
        <v>0</v>
      </c>
      <c r="J73" s="113">
        <f t="shared" si="11"/>
        <v>0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37"/>
      <c r="AB73" s="337"/>
      <c r="AC73" s="337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25">
      <c r="A74" s="85">
        <v>10.63</v>
      </c>
      <c r="B74" s="83"/>
      <c r="C74" s="114" t="s">
        <v>62</v>
      </c>
      <c r="D74" s="115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37"/>
      <c r="AB74" s="337"/>
      <c r="AC74" s="337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25">
      <c r="A75" s="75">
        <v>11</v>
      </c>
      <c r="B75" s="76"/>
      <c r="C75" s="54" t="str">
        <f>"FY "&amp;M4</f>
        <v>FY 2023</v>
      </c>
      <c r="D75" s="77" t="s">
        <v>63</v>
      </c>
      <c r="E75" s="112"/>
      <c r="F75" s="55">
        <f>SUM(F67:F74)</f>
        <v>0</v>
      </c>
      <c r="G75" s="80">
        <f>SUM(G67:G74)</f>
        <v>0</v>
      </c>
      <c r="H75" s="80">
        <f>SUM(H67:H74)</f>
        <v>0</v>
      </c>
      <c r="I75" s="80">
        <f>SUM(I67:I74)</f>
        <v>0</v>
      </c>
      <c r="J75" s="80">
        <f>SUM(J67:K74)</f>
        <v>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37"/>
      <c r="AB75" s="337"/>
      <c r="AC75" s="337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25">
      <c r="A76" s="85"/>
      <c r="B76" s="83"/>
      <c r="C76" s="412" t="s">
        <v>64</v>
      </c>
      <c r="D76" s="413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37"/>
      <c r="AB76" s="337"/>
      <c r="AC76" s="337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5" x14ac:dyDescent="0.25">
      <c r="A77" s="116">
        <v>12.01</v>
      </c>
      <c r="B77" s="57"/>
      <c r="C77" s="405"/>
      <c r="D77" s="406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37"/>
      <c r="AB77" s="337"/>
      <c r="AC77" s="337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5" x14ac:dyDescent="0.25">
      <c r="A78" s="116">
        <v>12.02</v>
      </c>
      <c r="B78" s="57"/>
      <c r="C78" s="405"/>
      <c r="D78" s="406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37"/>
      <c r="AB78" s="337"/>
      <c r="AC78" s="337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5" x14ac:dyDescent="0.25">
      <c r="A79" s="116">
        <v>12.03</v>
      </c>
      <c r="B79" s="57" t="s">
        <v>45</v>
      </c>
      <c r="C79" s="405"/>
      <c r="D79" s="406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37"/>
      <c r="AB79" s="337"/>
      <c r="AC79" s="337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25">
      <c r="A80" s="117">
        <v>13</v>
      </c>
      <c r="B80" s="118"/>
      <c r="C80" s="119" t="str">
        <f>"FY "&amp;M4</f>
        <v>FY 2023</v>
      </c>
      <c r="D80" s="120" t="s">
        <v>65</v>
      </c>
      <c r="E80" s="121"/>
      <c r="F80" s="55">
        <f>SUM(F75:F79)</f>
        <v>0</v>
      </c>
      <c r="G80" s="80">
        <f>SUM(G75:G79)</f>
        <v>0</v>
      </c>
      <c r="H80" s="80">
        <f>SUM(H75:H79)</f>
        <v>0</v>
      </c>
      <c r="I80" s="80">
        <f>SUM(I75:I79)</f>
        <v>0</v>
      </c>
      <c r="J80" s="80">
        <f>SUM(J75:J79)</f>
        <v>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37"/>
      <c r="AB80" s="337"/>
      <c r="AC80" s="337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39:D39"/>
    <mergeCell ref="C8:D8"/>
    <mergeCell ref="C9:D9"/>
    <mergeCell ref="C10:D10"/>
    <mergeCell ref="C11:D11"/>
    <mergeCell ref="C12:D12"/>
    <mergeCell ref="C13:D13"/>
    <mergeCell ref="C16:D16"/>
    <mergeCell ref="C17:D17"/>
    <mergeCell ref="C18:D18"/>
    <mergeCell ref="C38:D38"/>
    <mergeCell ref="C37:D37"/>
    <mergeCell ref="M1:N1"/>
    <mergeCell ref="M2:N2"/>
    <mergeCell ref="M3:N3"/>
    <mergeCell ref="M4:N4"/>
    <mergeCell ref="I5:L5"/>
    <mergeCell ref="C64:D64"/>
    <mergeCell ref="C57:D57"/>
    <mergeCell ref="C58:D58"/>
    <mergeCell ref="C59:D59"/>
    <mergeCell ref="K45:N45"/>
    <mergeCell ref="K46:N47"/>
    <mergeCell ref="E46:J47"/>
    <mergeCell ref="C79:D79"/>
    <mergeCell ref="C78:D78"/>
    <mergeCell ref="C66:D66"/>
    <mergeCell ref="C68:D68"/>
    <mergeCell ref="C69:D69"/>
    <mergeCell ref="C70:D70"/>
    <mergeCell ref="C77:D77"/>
    <mergeCell ref="C71:D71"/>
    <mergeCell ref="C73:D73"/>
    <mergeCell ref="C76:D76"/>
    <mergeCell ref="C72:D72"/>
    <mergeCell ref="AA8:AC8"/>
    <mergeCell ref="AA37:AC37"/>
    <mergeCell ref="AA43:AC43"/>
    <mergeCell ref="C65:D65"/>
    <mergeCell ref="C53:D53"/>
    <mergeCell ref="C61:D61"/>
    <mergeCell ref="C41:D41"/>
    <mergeCell ref="C42:D42"/>
    <mergeCell ref="C43:D44"/>
    <mergeCell ref="C54:D54"/>
    <mergeCell ref="C55:D55"/>
    <mergeCell ref="C50:D50"/>
    <mergeCell ref="K43:N43"/>
    <mergeCell ref="K44:N44"/>
    <mergeCell ref="C62:D62"/>
    <mergeCell ref="C63:D63"/>
  </mergeCells>
  <conditionalFormatting sqref="K44">
    <cfRule type="expression" dxfId="18" priority="5">
      <formula>$J$44&lt;0</formula>
    </cfRule>
  </conditionalFormatting>
  <conditionalFormatting sqref="K43">
    <cfRule type="expression" dxfId="17" priority="4">
      <formula>$J$43&lt;0</formula>
    </cfRule>
  </conditionalFormatting>
  <conditionalFormatting sqref="L16">
    <cfRule type="expression" dxfId="16" priority="3">
      <formula>$J$16&lt;0</formula>
    </cfRule>
  </conditionalFormatting>
  <conditionalFormatting sqref="K45">
    <cfRule type="expression" dxfId="15" priority="2">
      <formula>$J$44&lt;0</formula>
    </cfRule>
  </conditionalFormatting>
  <conditionalFormatting sqref="K43:N45">
    <cfRule type="containsText" dxfId="14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>
    <pageSetUpPr fitToPage="1"/>
  </sheetPr>
  <dimension ref="A1:L153"/>
  <sheetViews>
    <sheetView workbookViewId="0">
      <selection activeCell="P21" sqref="P21"/>
    </sheetView>
  </sheetViews>
  <sheetFormatPr defaultRowHeight="15" x14ac:dyDescent="0.25"/>
  <cols>
    <col min="1" max="1" width="9" customWidth="1"/>
    <col min="2" max="2" width="39.28515625" customWidth="1"/>
    <col min="3" max="3" width="13" customWidth="1"/>
    <col min="4" max="4" width="12.28515625" customWidth="1"/>
    <col min="5" max="5" width="12.140625" customWidth="1"/>
    <col min="6" max="6" width="14.5703125" customWidth="1"/>
    <col min="7" max="7" width="19.5703125" customWidth="1"/>
    <col min="8" max="8" width="13.7109375" customWidth="1"/>
    <col min="9" max="9" width="0" hidden="1" customWidth="1"/>
    <col min="10" max="10" width="18.42578125" customWidth="1"/>
    <col min="11" max="11" width="16.42578125" customWidth="1"/>
    <col min="12" max="12" width="16.140625" customWidth="1"/>
  </cols>
  <sheetData>
    <row r="1" spans="1:12" x14ac:dyDescent="0.25">
      <c r="A1" s="395" t="s">
        <v>2648</v>
      </c>
      <c r="B1" s="395"/>
      <c r="C1" s="395"/>
      <c r="D1" s="395"/>
      <c r="E1" s="395"/>
      <c r="F1" s="395"/>
      <c r="G1" s="395"/>
      <c r="H1" s="395"/>
      <c r="I1" s="395"/>
      <c r="J1" s="395"/>
      <c r="K1" s="395"/>
      <c r="L1" s="395"/>
    </row>
    <row r="2" spans="1:12" ht="39" x14ac:dyDescent="0.25">
      <c r="A2" s="473" t="s">
        <v>22</v>
      </c>
      <c r="B2" s="474"/>
      <c r="C2" s="370" t="s">
        <v>23</v>
      </c>
      <c r="D2" s="49" t="s">
        <v>24</v>
      </c>
      <c r="E2" s="50" t="str">
        <f>"FY "&amp;'EMAA|0001-00'!FiscalYear-1&amp;" SALARY"</f>
        <v>FY 2022 SALARY</v>
      </c>
      <c r="F2" s="50" t="str">
        <f>"FY "&amp;'EMAA|0001-00'!FiscalYear-1&amp;" HEALTH BENEFITS"</f>
        <v>FY 2022 HEALTH BENEFITS</v>
      </c>
      <c r="G2" s="50" t="str">
        <f>"FY "&amp;'EMAA|0001-00'!FiscalYear-1&amp;" VAR BENEFITS"</f>
        <v>FY 2022 VAR BENEFITS</v>
      </c>
      <c r="H2" s="50" t="str">
        <f>"FY "&amp;'EMAA|0001-00'!FiscalYear-1&amp;" TOTAL"</f>
        <v>FY 2022 TOTAL</v>
      </c>
      <c r="I2" s="50" t="str">
        <f>"FY "&amp;'EMAA|0001-00'!FiscalYear&amp;" SALARY CHANGE"</f>
        <v>FY 2023 SALARY CHANGE</v>
      </c>
      <c r="J2" s="50" t="str">
        <f>"FY "&amp;'EMAA|0001-00'!FiscalYear&amp;" CHG HEALTH BENEFITS"</f>
        <v>FY 2023 CHG HEALTH BENEFITS</v>
      </c>
      <c r="K2" s="50" t="str">
        <f>"FY "&amp;'EMAA|0001-00'!FiscalYear&amp;" CHG VAR BENEFITS"</f>
        <v>FY 2023 CHG VAR BENEFITS</v>
      </c>
      <c r="L2" s="50" t="s">
        <v>25</v>
      </c>
    </row>
    <row r="3" spans="1:12" x14ac:dyDescent="0.25">
      <c r="A3" s="465" t="s">
        <v>26</v>
      </c>
      <c r="B3" s="466"/>
      <c r="C3" s="141"/>
      <c r="D3" s="142"/>
      <c r="E3" s="143"/>
      <c r="F3" s="143"/>
      <c r="G3" s="143"/>
      <c r="H3" s="144"/>
      <c r="I3" s="144"/>
      <c r="J3" s="145"/>
      <c r="K3" s="146"/>
      <c r="L3" s="144"/>
    </row>
    <row r="4" spans="1:12" x14ac:dyDescent="0.25">
      <c r="A4" s="444" t="s">
        <v>27</v>
      </c>
      <c r="B4" s="467"/>
      <c r="C4" s="217">
        <v>1</v>
      </c>
      <c r="D4" s="288">
        <f>[0]!EMAA000100col_INC_FTI</f>
        <v>0</v>
      </c>
      <c r="E4" s="218">
        <f>[0]!EMAA000100col_FTI_SALARY_PERM</f>
        <v>0</v>
      </c>
      <c r="F4" s="218">
        <f>[0]!EMAA000100col_HEALTH_PERM</f>
        <v>0</v>
      </c>
      <c r="G4" s="218">
        <f>[0]!EMAA000100col_TOT_VB_PERM</f>
        <v>0</v>
      </c>
      <c r="H4" s="219">
        <f>SUM(E4:G4)</f>
        <v>0</v>
      </c>
      <c r="I4" s="219">
        <f>[0]!EMAA000100col_1_27TH_PP</f>
        <v>0</v>
      </c>
      <c r="J4" s="218">
        <f>[0]!EMAA000100col_HEALTH_PERM_CHG</f>
        <v>0</v>
      </c>
      <c r="K4" s="218">
        <f>[0]!EMAA000100col_TOT_VB_PERM_CHG</f>
        <v>0</v>
      </c>
      <c r="L4" s="218">
        <f>SUM(J4:K4)</f>
        <v>0</v>
      </c>
    </row>
    <row r="5" spans="1:12" x14ac:dyDescent="0.25">
      <c r="A5" s="444" t="s">
        <v>28</v>
      </c>
      <c r="B5" s="467"/>
      <c r="C5" s="217">
        <v>2</v>
      </c>
      <c r="D5" s="288"/>
      <c r="E5" s="218">
        <f>[0]!EMAA000100col_Group_Salary</f>
        <v>0</v>
      </c>
      <c r="F5" s="218">
        <v>0</v>
      </c>
      <c r="G5" s="218">
        <f>[0]!EMAA000100col_Group_Ben</f>
        <v>0</v>
      </c>
      <c r="H5" s="219">
        <f>SUM(E5:G5)</f>
        <v>0</v>
      </c>
      <c r="I5" s="268"/>
      <c r="J5" s="218"/>
      <c r="K5" s="218"/>
      <c r="L5" s="218"/>
    </row>
    <row r="6" spans="1:12" x14ac:dyDescent="0.25">
      <c r="A6" s="444" t="s">
        <v>29</v>
      </c>
      <c r="B6" s="445"/>
      <c r="C6" s="217">
        <v>3</v>
      </c>
      <c r="D6" s="288">
        <f>[0]!EMAA000100col_TOTAL_ELECT_PCN_FTI</f>
        <v>0</v>
      </c>
      <c r="E6" s="218">
        <f>[0]!EMAA000100col_FTI_SALARY_ELECT</f>
        <v>0</v>
      </c>
      <c r="F6" s="218">
        <f>[0]!EMAA000100col_HEALTH_ELECT</f>
        <v>0</v>
      </c>
      <c r="G6" s="218">
        <f>[0]!EMAA000100col_TOT_VB_ELECT</f>
        <v>0</v>
      </c>
      <c r="H6" s="219">
        <f>SUM(E6:G6)</f>
        <v>0</v>
      </c>
      <c r="I6" s="268"/>
      <c r="J6" s="218">
        <f>[0]!EMAA000100col_HEALTH_ELECT_CHG</f>
        <v>0</v>
      </c>
      <c r="K6" s="218">
        <f>[0]!EMAA000100col_TOT_VB_ELECT_CHG</f>
        <v>0</v>
      </c>
      <c r="L6" s="219">
        <f>SUM(J6:K6)</f>
        <v>0</v>
      </c>
    </row>
    <row r="7" spans="1:12" x14ac:dyDescent="0.25">
      <c r="A7" s="444" t="s">
        <v>30</v>
      </c>
      <c r="B7" s="467"/>
      <c r="C7" s="217"/>
      <c r="D7" s="220">
        <f>SUM(D4:D6)</f>
        <v>0</v>
      </c>
      <c r="E7" s="221">
        <f>SUM(E4:E6)</f>
        <v>0</v>
      </c>
      <c r="F7" s="221">
        <f>SUM(F4:F6)</f>
        <v>0</v>
      </c>
      <c r="G7" s="221">
        <f>SUM(G4:G6)</f>
        <v>0</v>
      </c>
      <c r="H7" s="219">
        <f>SUM(E7:G7)</f>
        <v>0</v>
      </c>
      <c r="I7" s="268"/>
      <c r="J7" s="219">
        <f>SUM(J4:J6)</f>
        <v>0</v>
      </c>
      <c r="K7" s="219">
        <f>SUM(K4:K6)</f>
        <v>0</v>
      </c>
      <c r="L7" s="219">
        <f>SUM(L4:L6)</f>
        <v>0</v>
      </c>
    </row>
    <row r="8" spans="1:12" x14ac:dyDescent="0.25">
      <c r="A8" s="365"/>
      <c r="B8" s="371"/>
      <c r="C8" s="217"/>
      <c r="D8" s="220"/>
      <c r="E8" s="219"/>
      <c r="F8" s="219"/>
      <c r="G8" s="219"/>
      <c r="H8" s="219"/>
      <c r="I8" s="268"/>
      <c r="J8" s="219"/>
      <c r="K8" s="222"/>
      <c r="L8" s="222"/>
    </row>
    <row r="9" spans="1:12" x14ac:dyDescent="0.25">
      <c r="A9" s="157" t="str">
        <f>"FY "&amp;'EMAA|0001-00'!FiscalYear-1</f>
        <v>FY 2022</v>
      </c>
      <c r="B9" s="158" t="s">
        <v>31</v>
      </c>
      <c r="C9" s="355">
        <v>85000</v>
      </c>
      <c r="D9" s="55">
        <v>0</v>
      </c>
      <c r="E9" s="223" t="e">
        <f>IF('EMAA|0001-00'!OrigApprop=0,0,(E7/H7)*'EMAA|0001-00'!OrigApprop)</f>
        <v>#DIV/0!</v>
      </c>
      <c r="F9" s="223" t="e">
        <f>IF('EMAA|0001-00'!OrigApprop=0,0,(F7/H7)*'EMAA|0001-00'!OrigApprop)</f>
        <v>#DIV/0!</v>
      </c>
      <c r="G9" s="223" t="e">
        <f>IF(E9=0,0,(G7/H7)*'EMAA|0001-00'!OrigApprop)</f>
        <v>#DIV/0!</v>
      </c>
      <c r="H9" s="223" t="e">
        <f>SUM(E9:G9)</f>
        <v>#DIV/0!</v>
      </c>
      <c r="I9" s="268"/>
      <c r="J9" s="224"/>
      <c r="K9" s="224"/>
      <c r="L9" s="224"/>
    </row>
    <row r="10" spans="1:12" x14ac:dyDescent="0.25">
      <c r="A10" s="454" t="s">
        <v>32</v>
      </c>
      <c r="B10" s="455"/>
      <c r="C10" s="160" t="s">
        <v>33</v>
      </c>
      <c r="D10" s="161">
        <f>D9-D7</f>
        <v>0</v>
      </c>
      <c r="E10" s="162" t="e">
        <f>E9-E7</f>
        <v>#DIV/0!</v>
      </c>
      <c r="F10" s="162" t="e">
        <f>F9-F7</f>
        <v>#DIV/0!</v>
      </c>
      <c r="G10" s="162" t="e">
        <f>G9-G7</f>
        <v>#DIV/0!</v>
      </c>
      <c r="H10" s="162" t="e">
        <f>H9-H7</f>
        <v>#DIV/0!</v>
      </c>
      <c r="I10" s="269"/>
      <c r="J10" s="56" t="e">
        <f>IF('EMAA|0001-00'!OrigApprop=0,"ERROR! Enter Original Appropriation amount in DU 3.00!","Calculated "&amp;IF('EMAA|0001-00'!AdjustedTotal&gt;0,"overfunding ","underfunding ")&amp;"is "&amp;TEXT('EMAA|0001-00'!AdjustedTotal/'EMAA|0001-00'!AppropTotal,"#.0%;(#.0% );0% ;")&amp;" of Original Appropriation")</f>
        <v>#DIV/0!</v>
      </c>
      <c r="K10" s="163"/>
      <c r="L10" s="164"/>
    </row>
    <row r="12" spans="1:12" x14ac:dyDescent="0.25">
      <c r="A12" s="395" t="s">
        <v>2654</v>
      </c>
      <c r="B12" s="395"/>
      <c r="C12" s="395"/>
      <c r="D12" s="395"/>
      <c r="E12" s="395"/>
      <c r="F12" s="395"/>
      <c r="G12" s="395"/>
      <c r="H12" s="395"/>
      <c r="I12" s="395"/>
      <c r="J12" s="395"/>
      <c r="K12" s="395"/>
      <c r="L12" s="395"/>
    </row>
    <row r="13" spans="1:12" ht="39" x14ac:dyDescent="0.25">
      <c r="A13" s="473" t="s">
        <v>22</v>
      </c>
      <c r="B13" s="474"/>
      <c r="C13" s="370" t="s">
        <v>23</v>
      </c>
      <c r="D13" s="49" t="s">
        <v>24</v>
      </c>
      <c r="E13" s="50" t="str">
        <f>"FY "&amp;'EMAA|0302-00'!FiscalYear-1&amp;" SALARY"</f>
        <v>FY 2022 SALARY</v>
      </c>
      <c r="F13" s="50" t="str">
        <f>"FY "&amp;'EMAA|0302-00'!FiscalYear-1&amp;" HEALTH BENEFITS"</f>
        <v>FY 2022 HEALTH BENEFITS</v>
      </c>
      <c r="G13" s="50" t="str">
        <f>"FY "&amp;'EMAA|0302-00'!FiscalYear-1&amp;" VAR BENEFITS"</f>
        <v>FY 2022 VAR BENEFITS</v>
      </c>
      <c r="H13" s="50" t="str">
        <f>"FY "&amp;'EMAA|0302-00'!FiscalYear-1&amp;" TOTAL"</f>
        <v>FY 2022 TOTAL</v>
      </c>
      <c r="I13" s="50" t="str">
        <f>"FY "&amp;'EMAA|0302-00'!FiscalYear&amp;" SALARY CHANGE"</f>
        <v>FY 2023 SALARY CHANGE</v>
      </c>
      <c r="J13" s="50" t="str">
        <f>"FY "&amp;'EMAA|0302-00'!FiscalYear&amp;" CHG HEALTH BENEFITS"</f>
        <v>FY 2023 CHG HEALTH BENEFITS</v>
      </c>
      <c r="K13" s="50" t="str">
        <f>"FY "&amp;'EMAA|0302-00'!FiscalYear&amp;" CHG VAR BENEFITS"</f>
        <v>FY 2023 CHG VAR BENEFITS</v>
      </c>
      <c r="L13" s="50" t="s">
        <v>25</v>
      </c>
    </row>
    <row r="14" spans="1:12" x14ac:dyDescent="0.25">
      <c r="A14" s="465" t="s">
        <v>26</v>
      </c>
      <c r="B14" s="466"/>
      <c r="C14" s="141"/>
      <c r="D14" s="142"/>
      <c r="E14" s="143"/>
      <c r="F14" s="143"/>
      <c r="G14" s="143"/>
      <c r="H14" s="144"/>
      <c r="I14" s="144"/>
      <c r="J14" s="145"/>
      <c r="K14" s="146"/>
      <c r="L14" s="144"/>
    </row>
    <row r="15" spans="1:12" x14ac:dyDescent="0.25">
      <c r="A15" s="444" t="s">
        <v>27</v>
      </c>
      <c r="B15" s="467"/>
      <c r="C15" s="217">
        <v>1</v>
      </c>
      <c r="D15" s="288">
        <f>[0]!EMAA030200col_INC_FTI</f>
        <v>2.2000000000000002</v>
      </c>
      <c r="E15" s="218">
        <f>[0]!EMAA030200col_FTI_SALARY_PERM</f>
        <v>145163.20000000001</v>
      </c>
      <c r="F15" s="218">
        <f>[0]!EMAA030200col_HEALTH_PERM</f>
        <v>25630</v>
      </c>
      <c r="G15" s="218">
        <f>[0]!EMAA030200col_TOT_VB_PERM</f>
        <v>31390.816183999999</v>
      </c>
      <c r="H15" s="219">
        <f>SUM(E15:G15)</f>
        <v>202184.01618400001</v>
      </c>
      <c r="I15" s="219">
        <f>[0]!EMAA030200col_1_27TH_PP</f>
        <v>0</v>
      </c>
      <c r="J15" s="218">
        <f>[0]!EMAA030200col_HEALTH_PERM_CHG</f>
        <v>0</v>
      </c>
      <c r="K15" s="218">
        <f>[0]!EMAA030200col_TOT_VB_PERM_CHG</f>
        <v>-609.68543999999997</v>
      </c>
      <c r="L15" s="218">
        <f>SUM(J15:K15)</f>
        <v>-609.68543999999997</v>
      </c>
    </row>
    <row r="16" spans="1:12" x14ac:dyDescent="0.25">
      <c r="A16" s="444" t="s">
        <v>28</v>
      </c>
      <c r="B16" s="467"/>
      <c r="C16" s="217">
        <v>2</v>
      </c>
      <c r="D16" s="288"/>
      <c r="E16" s="218">
        <f>[0]!EMAA030200col_Group_Salary</f>
        <v>0</v>
      </c>
      <c r="F16" s="218">
        <v>0</v>
      </c>
      <c r="G16" s="218">
        <f>[0]!EMAA030200col_Group_Ben</f>
        <v>0</v>
      </c>
      <c r="H16" s="219">
        <f>SUM(E16:G16)</f>
        <v>0</v>
      </c>
      <c r="I16" s="268"/>
      <c r="J16" s="218"/>
      <c r="K16" s="218"/>
      <c r="L16" s="218"/>
    </row>
    <row r="17" spans="1:12" x14ac:dyDescent="0.25">
      <c r="A17" s="444" t="s">
        <v>29</v>
      </c>
      <c r="B17" s="445"/>
      <c r="C17" s="217">
        <v>3</v>
      </c>
      <c r="D17" s="288">
        <f>[0]!EMAA030200col_TOTAL_ELECT_PCN_FTI</f>
        <v>0</v>
      </c>
      <c r="E17" s="218">
        <f>[0]!EMAA030200col_FTI_SALARY_ELECT</f>
        <v>0</v>
      </c>
      <c r="F17" s="218">
        <f>[0]!EMAA030200col_HEALTH_ELECT</f>
        <v>0</v>
      </c>
      <c r="G17" s="218">
        <f>[0]!EMAA030200col_TOT_VB_ELECT</f>
        <v>0</v>
      </c>
      <c r="H17" s="219">
        <f>SUM(E17:G17)</f>
        <v>0</v>
      </c>
      <c r="I17" s="268"/>
      <c r="J17" s="218">
        <f>[0]!EMAA030200col_HEALTH_ELECT_CHG</f>
        <v>0</v>
      </c>
      <c r="K17" s="218">
        <f>[0]!EMAA030200col_TOT_VB_ELECT_CHG</f>
        <v>0</v>
      </c>
      <c r="L17" s="219">
        <f>SUM(J17:K17)</f>
        <v>0</v>
      </c>
    </row>
    <row r="18" spans="1:12" x14ac:dyDescent="0.25">
      <c r="A18" s="444" t="s">
        <v>30</v>
      </c>
      <c r="B18" s="467"/>
      <c r="C18" s="217"/>
      <c r="D18" s="220">
        <f>SUM(D15:D17)</f>
        <v>2.2000000000000002</v>
      </c>
      <c r="E18" s="221">
        <f>SUM(E15:E17)</f>
        <v>145163.20000000001</v>
      </c>
      <c r="F18" s="221">
        <f>SUM(F15:F17)</f>
        <v>25630</v>
      </c>
      <c r="G18" s="221">
        <f>SUM(G15:G17)</f>
        <v>31390.816183999999</v>
      </c>
      <c r="H18" s="219">
        <f>SUM(E18:G18)</f>
        <v>202184.01618400001</v>
      </c>
      <c r="I18" s="268"/>
      <c r="J18" s="219">
        <f>SUM(J15:J17)</f>
        <v>0</v>
      </c>
      <c r="K18" s="219">
        <f>SUM(K15:K17)</f>
        <v>-609.68543999999997</v>
      </c>
      <c r="L18" s="219">
        <f>SUM(L15:L17)</f>
        <v>-609.68543999999997</v>
      </c>
    </row>
    <row r="19" spans="1:12" x14ac:dyDescent="0.25">
      <c r="A19" s="365"/>
      <c r="B19" s="371"/>
      <c r="C19" s="217"/>
      <c r="D19" s="220"/>
      <c r="E19" s="219"/>
      <c r="F19" s="219"/>
      <c r="G19" s="219"/>
      <c r="H19" s="219"/>
      <c r="I19" s="268"/>
      <c r="J19" s="219"/>
      <c r="K19" s="222"/>
      <c r="L19" s="222"/>
    </row>
    <row r="20" spans="1:12" x14ac:dyDescent="0.25">
      <c r="A20" s="157" t="str">
        <f>"FY "&amp;'EMAA|0302-00'!FiscalYear-1</f>
        <v>FY 2022</v>
      </c>
      <c r="B20" s="158" t="s">
        <v>31</v>
      </c>
      <c r="C20" s="355">
        <v>418000</v>
      </c>
      <c r="D20" s="55">
        <v>3.5</v>
      </c>
      <c r="E20" s="223">
        <f>IF('EMAA|0302-00'!OrigApprop=0,0,(E18/H18)*'EMAA|0302-00'!OrigApprop)</f>
        <v>300113.82079174381</v>
      </c>
      <c r="F20" s="223">
        <f>IF('EMAA|0302-00'!OrigApprop=0,0,(F18/H18)*'EMAA|0302-00'!OrigApprop)</f>
        <v>52988.066031145587</v>
      </c>
      <c r="G20" s="223">
        <f>IF(E20=0,0,(G18/H18)*'EMAA|0302-00'!OrigApprop)</f>
        <v>64898.11317711063</v>
      </c>
      <c r="H20" s="223">
        <f>SUM(E20:G20)</f>
        <v>418000</v>
      </c>
      <c r="I20" s="268"/>
      <c r="J20" s="224"/>
      <c r="K20" s="224"/>
      <c r="L20" s="224"/>
    </row>
    <row r="21" spans="1:12" x14ac:dyDescent="0.25">
      <c r="A21" s="454" t="s">
        <v>32</v>
      </c>
      <c r="B21" s="455"/>
      <c r="C21" s="160" t="s">
        <v>33</v>
      </c>
      <c r="D21" s="161">
        <f>D20-D18</f>
        <v>1.2999999999999998</v>
      </c>
      <c r="E21" s="162">
        <f>E20-E18</f>
        <v>154950.6207917438</v>
      </c>
      <c r="F21" s="162">
        <f>F20-F18</f>
        <v>27358.066031145587</v>
      </c>
      <c r="G21" s="162">
        <f>G20-G18</f>
        <v>33507.296993110635</v>
      </c>
      <c r="H21" s="162">
        <f>H20-H18</f>
        <v>215815.98381599999</v>
      </c>
      <c r="I21" s="269"/>
      <c r="J21" s="56" t="str">
        <f>IF('EMAA|0302-00'!OrigApprop=0,"ERROR! Enter Original Appropriation amount in DU 3.00!","Calculated "&amp;IF('EMAA|0302-00'!AdjustedTotal&gt;0,"overfunding ","underfunding ")&amp;"is "&amp;TEXT('EMAA|0302-00'!AdjustedTotal/'EMAA|0302-00'!AppropTotal,"#.0%;(#.0% );0% ;")&amp;" of Original Appropriation")</f>
        <v>Calculated overfunding is 51.6% of Original Appropriation</v>
      </c>
      <c r="K21" s="163"/>
      <c r="L21" s="164"/>
    </row>
    <row r="23" spans="1:12" x14ac:dyDescent="0.25">
      <c r="A23" s="395" t="s">
        <v>2660</v>
      </c>
      <c r="B23" s="395"/>
      <c r="C23" s="395"/>
      <c r="D23" s="395"/>
      <c r="E23" s="395"/>
      <c r="F23" s="395"/>
      <c r="G23" s="395"/>
      <c r="H23" s="395"/>
      <c r="I23" s="395"/>
      <c r="J23" s="395"/>
      <c r="K23" s="395"/>
      <c r="L23" s="395"/>
    </row>
    <row r="24" spans="1:12" ht="39" x14ac:dyDescent="0.25">
      <c r="A24" s="473" t="s">
        <v>22</v>
      </c>
      <c r="B24" s="474"/>
      <c r="C24" s="370" t="s">
        <v>23</v>
      </c>
      <c r="D24" s="49" t="s">
        <v>24</v>
      </c>
      <c r="E24" s="50" t="str">
        <f>"FY "&amp;'EMAA|0303-00'!FiscalYear-1&amp;" SALARY"</f>
        <v>FY 2022 SALARY</v>
      </c>
      <c r="F24" s="50" t="str">
        <f>"FY "&amp;'EMAA|0303-00'!FiscalYear-1&amp;" HEALTH BENEFITS"</f>
        <v>FY 2022 HEALTH BENEFITS</v>
      </c>
      <c r="G24" s="50" t="str">
        <f>"FY "&amp;'EMAA|0303-00'!FiscalYear-1&amp;" VAR BENEFITS"</f>
        <v>FY 2022 VAR BENEFITS</v>
      </c>
      <c r="H24" s="50" t="str">
        <f>"FY "&amp;'EMAA|0303-00'!FiscalYear-1&amp;" TOTAL"</f>
        <v>FY 2022 TOTAL</v>
      </c>
      <c r="I24" s="50" t="str">
        <f>"FY "&amp;'EMAA|0303-00'!FiscalYear&amp;" SALARY CHANGE"</f>
        <v>FY 2023 SALARY CHANGE</v>
      </c>
      <c r="J24" s="50" t="str">
        <f>"FY "&amp;'EMAA|0303-00'!FiscalYear&amp;" CHG HEALTH BENEFITS"</f>
        <v>FY 2023 CHG HEALTH BENEFITS</v>
      </c>
      <c r="K24" s="50" t="str">
        <f>"FY "&amp;'EMAA|0303-00'!FiscalYear&amp;" CHG VAR BENEFITS"</f>
        <v>FY 2023 CHG VAR BENEFITS</v>
      </c>
      <c r="L24" s="50" t="s">
        <v>25</v>
      </c>
    </row>
    <row r="25" spans="1:12" x14ac:dyDescent="0.25">
      <c r="A25" s="465" t="s">
        <v>26</v>
      </c>
      <c r="B25" s="466"/>
      <c r="C25" s="141"/>
      <c r="D25" s="142"/>
      <c r="E25" s="143"/>
      <c r="F25" s="143"/>
      <c r="G25" s="143"/>
      <c r="H25" s="144"/>
      <c r="I25" s="144"/>
      <c r="J25" s="145"/>
      <c r="K25" s="146"/>
      <c r="L25" s="144"/>
    </row>
    <row r="26" spans="1:12" x14ac:dyDescent="0.25">
      <c r="A26" s="444" t="s">
        <v>27</v>
      </c>
      <c r="B26" s="467"/>
      <c r="C26" s="217">
        <v>1</v>
      </c>
      <c r="D26" s="288">
        <f>[0]!EMAA030300col_INC_FTI</f>
        <v>1</v>
      </c>
      <c r="E26" s="218">
        <f>[0]!EMAA030300col_FTI_SALARY_PERM</f>
        <v>38376</v>
      </c>
      <c r="F26" s="218">
        <f>[0]!EMAA030300col_HEALTH_PERM</f>
        <v>11650</v>
      </c>
      <c r="G26" s="218">
        <f>[0]!EMAA030300col_TOT_VB_PERM</f>
        <v>8298.618120000001</v>
      </c>
      <c r="H26" s="219">
        <f>SUM(E26:G26)</f>
        <v>58324.618119999999</v>
      </c>
      <c r="I26" s="219">
        <f>[0]!EMAA030300col_1_27TH_PP</f>
        <v>0</v>
      </c>
      <c r="J26" s="218">
        <f>[0]!EMAA030300col_HEALTH_PERM_CHG</f>
        <v>0</v>
      </c>
      <c r="K26" s="218">
        <f>[0]!EMAA030300col_TOT_VB_PERM_CHG</f>
        <v>-161.17920000000001</v>
      </c>
      <c r="L26" s="218">
        <f>SUM(J26:K26)</f>
        <v>-161.17920000000001</v>
      </c>
    </row>
    <row r="27" spans="1:12" x14ac:dyDescent="0.25">
      <c r="A27" s="444" t="s">
        <v>28</v>
      </c>
      <c r="B27" s="467"/>
      <c r="C27" s="217">
        <v>2</v>
      </c>
      <c r="D27" s="288"/>
      <c r="E27" s="218">
        <f>[0]!EMAA030300col_Group_Salary</f>
        <v>0</v>
      </c>
      <c r="F27" s="218">
        <v>0</v>
      </c>
      <c r="G27" s="218">
        <f>[0]!EMAA030300col_Group_Ben</f>
        <v>0</v>
      </c>
      <c r="H27" s="219">
        <f>SUM(E27:G27)</f>
        <v>0</v>
      </c>
      <c r="I27" s="268"/>
      <c r="J27" s="218"/>
      <c r="K27" s="218"/>
      <c r="L27" s="218"/>
    </row>
    <row r="28" spans="1:12" x14ac:dyDescent="0.25">
      <c r="A28" s="444" t="s">
        <v>29</v>
      </c>
      <c r="B28" s="445"/>
      <c r="C28" s="217">
        <v>3</v>
      </c>
      <c r="D28" s="288">
        <f>[0]!EMAA030300col_TOTAL_ELECT_PCN_FTI</f>
        <v>0</v>
      </c>
      <c r="E28" s="218">
        <f>[0]!EMAA030300col_FTI_SALARY_ELECT</f>
        <v>0</v>
      </c>
      <c r="F28" s="218">
        <f>[0]!EMAA030300col_HEALTH_ELECT</f>
        <v>0</v>
      </c>
      <c r="G28" s="218">
        <f>[0]!EMAA030300col_TOT_VB_ELECT</f>
        <v>0</v>
      </c>
      <c r="H28" s="219">
        <f>SUM(E28:G28)</f>
        <v>0</v>
      </c>
      <c r="I28" s="268"/>
      <c r="J28" s="218">
        <f>[0]!EMAA030300col_HEALTH_ELECT_CHG</f>
        <v>0</v>
      </c>
      <c r="K28" s="218">
        <f>[0]!EMAA030300col_TOT_VB_ELECT_CHG</f>
        <v>0</v>
      </c>
      <c r="L28" s="219">
        <f>SUM(J28:K28)</f>
        <v>0</v>
      </c>
    </row>
    <row r="29" spans="1:12" x14ac:dyDescent="0.25">
      <c r="A29" s="444" t="s">
        <v>30</v>
      </c>
      <c r="B29" s="467"/>
      <c r="C29" s="217"/>
      <c r="D29" s="220">
        <f>SUM(D26:D28)</f>
        <v>1</v>
      </c>
      <c r="E29" s="221">
        <f>SUM(E26:E28)</f>
        <v>38376</v>
      </c>
      <c r="F29" s="221">
        <f>SUM(F26:F28)</f>
        <v>11650</v>
      </c>
      <c r="G29" s="221">
        <f>SUM(G26:G28)</f>
        <v>8298.618120000001</v>
      </c>
      <c r="H29" s="219">
        <f>SUM(E29:G29)</f>
        <v>58324.618119999999</v>
      </c>
      <c r="I29" s="268"/>
      <c r="J29" s="219">
        <f>SUM(J26:J28)</f>
        <v>0</v>
      </c>
      <c r="K29" s="219">
        <f>SUM(K26:K28)</f>
        <v>-161.17920000000001</v>
      </c>
      <c r="L29" s="219">
        <f>SUM(L26:L28)</f>
        <v>-161.17920000000001</v>
      </c>
    </row>
    <row r="30" spans="1:12" x14ac:dyDescent="0.25">
      <c r="A30" s="365"/>
      <c r="B30" s="371"/>
      <c r="C30" s="217"/>
      <c r="D30" s="220"/>
      <c r="E30" s="219"/>
      <c r="F30" s="219"/>
      <c r="G30" s="219"/>
      <c r="H30" s="219"/>
      <c r="I30" s="268"/>
      <c r="J30" s="219"/>
      <c r="K30" s="222"/>
      <c r="L30" s="222"/>
    </row>
    <row r="31" spans="1:12" x14ac:dyDescent="0.25">
      <c r="A31" s="157" t="str">
        <f>"FY "&amp;'EMAA|0303-00'!FiscalYear-1</f>
        <v>FY 2022</v>
      </c>
      <c r="B31" s="158" t="s">
        <v>31</v>
      </c>
      <c r="C31" s="355">
        <v>91700</v>
      </c>
      <c r="D31" s="55">
        <v>1</v>
      </c>
      <c r="E31" s="223">
        <f>IF('EMAA|0303-00'!OrigApprop=0,0,(E29/H29)*'EMAA|0303-00'!OrigApprop)</f>
        <v>60336.086431970631</v>
      </c>
      <c r="F31" s="223">
        <f>IF('EMAA|0303-00'!OrigApprop=0,0,(F29/H29)*'EMAA|0303-00'!OrigApprop)</f>
        <v>18316.53655754789</v>
      </c>
      <c r="G31" s="223">
        <f>IF(E31=0,0,(G29/H29)*'EMAA|0303-00'!OrigApprop)</f>
        <v>13047.37701048149</v>
      </c>
      <c r="H31" s="223">
        <f>SUM(E31:G31)</f>
        <v>91700.000000000015</v>
      </c>
      <c r="I31" s="268"/>
      <c r="J31" s="224"/>
      <c r="K31" s="224"/>
      <c r="L31" s="224"/>
    </row>
    <row r="32" spans="1:12" x14ac:dyDescent="0.25">
      <c r="A32" s="454" t="s">
        <v>32</v>
      </c>
      <c r="B32" s="455"/>
      <c r="C32" s="160" t="s">
        <v>33</v>
      </c>
      <c r="D32" s="161">
        <f>D31-D29</f>
        <v>0</v>
      </c>
      <c r="E32" s="162">
        <f>E31-E29</f>
        <v>21960.086431970631</v>
      </c>
      <c r="F32" s="162">
        <f>F31-F29</f>
        <v>6666.53655754789</v>
      </c>
      <c r="G32" s="162">
        <f>G31-G29</f>
        <v>4748.7588904814893</v>
      </c>
      <c r="H32" s="162">
        <f>H31-H29</f>
        <v>33375.381880000015</v>
      </c>
      <c r="I32" s="269"/>
      <c r="J32" s="56" t="str">
        <f>IF('EMAA|0303-00'!OrigApprop=0,"ERROR! Enter Original Appropriation amount in DU 3.00!","Calculated "&amp;IF('EMAA|0303-00'!AdjustedTotal&gt;0,"overfunding ","underfunding ")&amp;"is "&amp;TEXT('EMAA|0303-00'!AdjustedTotal/'EMAA|0303-00'!AppropTotal,"#.0%;(#.0% );0% ;")&amp;" of Original Appropriation")</f>
        <v>Calculated overfunding is 36.4% of Original Appropriation</v>
      </c>
      <c r="K32" s="163"/>
      <c r="L32" s="164"/>
    </row>
    <row r="34" spans="1:12" x14ac:dyDescent="0.25">
      <c r="A34" s="395" t="s">
        <v>2667</v>
      </c>
      <c r="B34" s="395"/>
      <c r="C34" s="395"/>
      <c r="D34" s="395"/>
      <c r="E34" s="395"/>
      <c r="F34" s="395"/>
      <c r="G34" s="395"/>
      <c r="H34" s="395"/>
      <c r="I34" s="395"/>
      <c r="J34" s="395"/>
      <c r="K34" s="395"/>
      <c r="L34" s="395"/>
    </row>
    <row r="35" spans="1:12" ht="39" x14ac:dyDescent="0.25">
      <c r="A35" s="473" t="s">
        <v>22</v>
      </c>
      <c r="B35" s="474"/>
      <c r="C35" s="370" t="s">
        <v>23</v>
      </c>
      <c r="D35" s="49" t="s">
        <v>24</v>
      </c>
      <c r="E35" s="50" t="str">
        <f>"FY "&amp;'EMAA|0348-00'!FiscalYear-1&amp;" SALARY"</f>
        <v>FY 2022 SALARY</v>
      </c>
      <c r="F35" s="50" t="str">
        <f>"FY "&amp;'EMAA|0348-00'!FiscalYear-1&amp;" HEALTH BENEFITS"</f>
        <v>FY 2022 HEALTH BENEFITS</v>
      </c>
      <c r="G35" s="50" t="str">
        <f>"FY "&amp;'EMAA|0348-00'!FiscalYear-1&amp;" VAR BENEFITS"</f>
        <v>FY 2022 VAR BENEFITS</v>
      </c>
      <c r="H35" s="50" t="str">
        <f>"FY "&amp;'EMAA|0348-00'!FiscalYear-1&amp;" TOTAL"</f>
        <v>FY 2022 TOTAL</v>
      </c>
      <c r="I35" s="50" t="str">
        <f>"FY "&amp;'EMAA|0348-00'!FiscalYear&amp;" SALARY CHANGE"</f>
        <v>FY 2023 SALARY CHANGE</v>
      </c>
      <c r="J35" s="50" t="str">
        <f>"FY "&amp;'EMAA|0348-00'!FiscalYear&amp;" CHG HEALTH BENEFITS"</f>
        <v>FY 2023 CHG HEALTH BENEFITS</v>
      </c>
      <c r="K35" s="50" t="str">
        <f>"FY "&amp;'EMAA|0348-00'!FiscalYear&amp;" CHG VAR BENEFITS"</f>
        <v>FY 2023 CHG VAR BENEFITS</v>
      </c>
      <c r="L35" s="50" t="s">
        <v>25</v>
      </c>
    </row>
    <row r="36" spans="1:12" x14ac:dyDescent="0.25">
      <c r="A36" s="465" t="s">
        <v>26</v>
      </c>
      <c r="B36" s="466"/>
      <c r="C36" s="141"/>
      <c r="D36" s="142"/>
      <c r="E36" s="143"/>
      <c r="F36" s="143"/>
      <c r="G36" s="143"/>
      <c r="H36" s="144"/>
      <c r="I36" s="144"/>
      <c r="J36" s="145"/>
      <c r="K36" s="146"/>
      <c r="L36" s="144"/>
    </row>
    <row r="37" spans="1:12" x14ac:dyDescent="0.25">
      <c r="A37" s="444" t="s">
        <v>27</v>
      </c>
      <c r="B37" s="467"/>
      <c r="C37" s="217">
        <v>1</v>
      </c>
      <c r="D37" s="288">
        <f>[0]!EMAA034800col_INC_FTI</f>
        <v>66.489999999999995</v>
      </c>
      <c r="E37" s="218">
        <f>[0]!EMAA034800col_FTI_SALARY_PERM</f>
        <v>4414009.5999999996</v>
      </c>
      <c r="F37" s="218">
        <f>[0]!EMAA034800col_HEALTH_PERM</f>
        <v>778686</v>
      </c>
      <c r="G37" s="218">
        <f>[0]!EMAA034800col_TOT_VB_PERM</f>
        <v>952679.18080760026</v>
      </c>
      <c r="H37" s="219">
        <f>SUM(E37:G37)</f>
        <v>6145374.7808075994</v>
      </c>
      <c r="I37" s="219">
        <f>[0]!EMAA034800col_1_27TH_PP</f>
        <v>0</v>
      </c>
      <c r="J37" s="218">
        <f>[0]!EMAA034800col_HEALTH_PERM_CHG</f>
        <v>0</v>
      </c>
      <c r="K37" s="218">
        <f>[0]!EMAA034800col_TOT_VB_PERM_CHG</f>
        <v>-17132.462319999995</v>
      </c>
      <c r="L37" s="218">
        <f>SUM(J37:K37)</f>
        <v>-17132.462319999995</v>
      </c>
    </row>
    <row r="38" spans="1:12" x14ac:dyDescent="0.25">
      <c r="A38" s="444" t="s">
        <v>28</v>
      </c>
      <c r="B38" s="467"/>
      <c r="C38" s="217">
        <v>2</v>
      </c>
      <c r="D38" s="288"/>
      <c r="E38" s="218">
        <f>[0]!EMAA034800col_Group_Salary</f>
        <v>0</v>
      </c>
      <c r="F38" s="218">
        <v>0</v>
      </c>
      <c r="G38" s="218">
        <f>[0]!EMAA034800col_Group_Ben</f>
        <v>0</v>
      </c>
      <c r="H38" s="219">
        <f>SUM(E38:G38)</f>
        <v>0</v>
      </c>
      <c r="I38" s="268"/>
      <c r="J38" s="218"/>
      <c r="K38" s="218"/>
      <c r="L38" s="218"/>
    </row>
    <row r="39" spans="1:12" x14ac:dyDescent="0.25">
      <c r="A39" s="444" t="s">
        <v>29</v>
      </c>
      <c r="B39" s="445"/>
      <c r="C39" s="217">
        <v>3</v>
      </c>
      <c r="D39" s="288">
        <f>[0]!EMAA034800col_TOTAL_ELECT_PCN_FTI</f>
        <v>0</v>
      </c>
      <c r="E39" s="218">
        <f>[0]!EMAA034800col_FTI_SALARY_ELECT</f>
        <v>0</v>
      </c>
      <c r="F39" s="218">
        <f>[0]!EMAA034800col_HEALTH_ELECT</f>
        <v>0</v>
      </c>
      <c r="G39" s="218">
        <f>[0]!EMAA034800col_TOT_VB_ELECT</f>
        <v>0</v>
      </c>
      <c r="H39" s="219">
        <f>SUM(E39:G39)</f>
        <v>0</v>
      </c>
      <c r="I39" s="268"/>
      <c r="J39" s="218">
        <f>[0]!EMAA034800col_HEALTH_ELECT_CHG</f>
        <v>0</v>
      </c>
      <c r="K39" s="218">
        <f>[0]!EMAA034800col_TOT_VB_ELECT_CHG</f>
        <v>0</v>
      </c>
      <c r="L39" s="219">
        <f>SUM(J39:K39)</f>
        <v>0</v>
      </c>
    </row>
    <row r="40" spans="1:12" x14ac:dyDescent="0.25">
      <c r="A40" s="444" t="s">
        <v>30</v>
      </c>
      <c r="B40" s="467"/>
      <c r="C40" s="217"/>
      <c r="D40" s="220">
        <f>SUM(D37:D39)</f>
        <v>66.489999999999995</v>
      </c>
      <c r="E40" s="221">
        <f>SUM(E37:E39)</f>
        <v>4414009.5999999996</v>
      </c>
      <c r="F40" s="221">
        <f>SUM(F37:F39)</f>
        <v>778686</v>
      </c>
      <c r="G40" s="221">
        <f>SUM(G37:G39)</f>
        <v>952679.18080760026</v>
      </c>
      <c r="H40" s="219">
        <f>SUM(E40:G40)</f>
        <v>6145374.7808075994</v>
      </c>
      <c r="I40" s="268"/>
      <c r="J40" s="219">
        <f>SUM(J37:J39)</f>
        <v>0</v>
      </c>
      <c r="K40" s="219">
        <f>SUM(K37:K39)</f>
        <v>-17132.462319999995</v>
      </c>
      <c r="L40" s="219">
        <f>SUM(L37:L39)</f>
        <v>-17132.462319999995</v>
      </c>
    </row>
    <row r="41" spans="1:12" x14ac:dyDescent="0.25">
      <c r="A41" s="365"/>
      <c r="B41" s="371"/>
      <c r="C41" s="217"/>
      <c r="D41" s="220"/>
      <c r="E41" s="219"/>
      <c r="F41" s="219"/>
      <c r="G41" s="219"/>
      <c r="H41" s="219"/>
      <c r="I41" s="268"/>
      <c r="J41" s="219"/>
      <c r="K41" s="222"/>
      <c r="L41" s="222"/>
    </row>
    <row r="42" spans="1:12" x14ac:dyDescent="0.25">
      <c r="A42" s="157" t="str">
        <f>"FY "&amp;'EMAA|0348-00'!FiscalYear-1</f>
        <v>FY 2022</v>
      </c>
      <c r="B42" s="158" t="s">
        <v>31</v>
      </c>
      <c r="C42" s="355">
        <v>8364600</v>
      </c>
      <c r="D42" s="55">
        <v>89.5</v>
      </c>
      <c r="E42" s="223">
        <f>IF('EMAA|0348-00'!OrigApprop=0,0,(E40/H40)*'EMAA|0348-00'!OrigApprop)</f>
        <v>6008002.1181894355</v>
      </c>
      <c r="F42" s="223">
        <f>IF('EMAA|0348-00'!OrigApprop=0,0,(F40/H40)*'EMAA|0348-00'!OrigApprop)</f>
        <v>1059886.0359081365</v>
      </c>
      <c r="G42" s="223">
        <f>IF(E42=0,0,(G40/H40)*'EMAA|0348-00'!OrigApprop)</f>
        <v>1296711.8459024285</v>
      </c>
      <c r="H42" s="223">
        <f>SUM(E42:G42)</f>
        <v>8364600</v>
      </c>
      <c r="I42" s="268"/>
      <c r="J42" s="224"/>
      <c r="K42" s="224"/>
      <c r="L42" s="224"/>
    </row>
    <row r="43" spans="1:12" x14ac:dyDescent="0.25">
      <c r="A43" s="454" t="s">
        <v>32</v>
      </c>
      <c r="B43" s="455"/>
      <c r="C43" s="160" t="s">
        <v>33</v>
      </c>
      <c r="D43" s="161">
        <f>D42-D40</f>
        <v>23.010000000000005</v>
      </c>
      <c r="E43" s="162">
        <f>E42-E40</f>
        <v>1593992.5181894358</v>
      </c>
      <c r="F43" s="162">
        <f>F42-F40</f>
        <v>281200.03590813652</v>
      </c>
      <c r="G43" s="162">
        <f>G42-G40</f>
        <v>344032.66509482823</v>
      </c>
      <c r="H43" s="162">
        <f>H42-H40</f>
        <v>2219225.2191924006</v>
      </c>
      <c r="I43" s="269"/>
      <c r="J43" s="56" t="str">
        <f>IF('EMAA|0348-00'!OrigApprop=0,"ERROR! Enter Original Appropriation amount in DU 3.00!","Calculated "&amp;IF('EMAA|0348-00'!AdjustedTotal&gt;0,"overfunding ","underfunding ")&amp;"is "&amp;TEXT('EMAA|0348-00'!AdjustedTotal/'EMAA|0348-00'!AppropTotal,"#.0%;(#.0% );0% ;")&amp;" of Original Appropriation")</f>
        <v>Calculated overfunding is 26.5% of Original Appropriation</v>
      </c>
      <c r="K43" s="163"/>
      <c r="L43" s="164"/>
    </row>
    <row r="45" spans="1:12" x14ac:dyDescent="0.25">
      <c r="A45" s="395" t="s">
        <v>2674</v>
      </c>
      <c r="B45" s="395"/>
      <c r="C45" s="395"/>
      <c r="D45" s="395"/>
      <c r="E45" s="395"/>
      <c r="F45" s="395"/>
      <c r="G45" s="395"/>
      <c r="H45" s="395"/>
      <c r="I45" s="395"/>
      <c r="J45" s="395"/>
      <c r="K45" s="395"/>
      <c r="L45" s="395"/>
    </row>
    <row r="46" spans="1:12" ht="39" x14ac:dyDescent="0.25">
      <c r="A46" s="473" t="s">
        <v>22</v>
      </c>
      <c r="B46" s="474"/>
      <c r="C46" s="370" t="s">
        <v>23</v>
      </c>
      <c r="D46" s="49" t="s">
        <v>24</v>
      </c>
      <c r="E46" s="50" t="str">
        <f>"FY "&amp;'EMAA|0349-00'!FiscalYear-1&amp;" SALARY"</f>
        <v>FY 2022 SALARY</v>
      </c>
      <c r="F46" s="50" t="str">
        <f>"FY "&amp;'EMAA|0349-00'!FiscalYear-1&amp;" HEALTH BENEFITS"</f>
        <v>FY 2022 HEALTH BENEFITS</v>
      </c>
      <c r="G46" s="50" t="str">
        <f>"FY "&amp;'EMAA|0349-00'!FiscalYear-1&amp;" VAR BENEFITS"</f>
        <v>FY 2022 VAR BENEFITS</v>
      </c>
      <c r="H46" s="50" t="str">
        <f>"FY "&amp;'EMAA|0349-00'!FiscalYear-1&amp;" TOTAL"</f>
        <v>FY 2022 TOTAL</v>
      </c>
      <c r="I46" s="50" t="str">
        <f>"FY "&amp;'EMAA|0349-00'!FiscalYear&amp;" SALARY CHANGE"</f>
        <v>FY 2023 SALARY CHANGE</v>
      </c>
      <c r="J46" s="50" t="str">
        <f>"FY "&amp;'EMAA|0349-00'!FiscalYear&amp;" CHG HEALTH BENEFITS"</f>
        <v>FY 2023 CHG HEALTH BENEFITS</v>
      </c>
      <c r="K46" s="50" t="str">
        <f>"FY "&amp;'EMAA|0349-00'!FiscalYear&amp;" CHG VAR BENEFITS"</f>
        <v>FY 2023 CHG VAR BENEFITS</v>
      </c>
      <c r="L46" s="50" t="s">
        <v>25</v>
      </c>
    </row>
    <row r="47" spans="1:12" x14ac:dyDescent="0.25">
      <c r="A47" s="465" t="s">
        <v>26</v>
      </c>
      <c r="B47" s="466"/>
      <c r="C47" s="141"/>
      <c r="D47" s="142"/>
      <c r="E47" s="143"/>
      <c r="F47" s="143"/>
      <c r="G47" s="143"/>
      <c r="H47" s="144"/>
      <c r="I47" s="144"/>
      <c r="J47" s="145"/>
      <c r="K47" s="146"/>
      <c r="L47" s="144"/>
    </row>
    <row r="48" spans="1:12" x14ac:dyDescent="0.25">
      <c r="A48" s="444" t="s">
        <v>27</v>
      </c>
      <c r="B48" s="467"/>
      <c r="C48" s="217">
        <v>1</v>
      </c>
      <c r="D48" s="288">
        <f>[0]!EMAA034900col_INC_FTI</f>
        <v>0.8</v>
      </c>
      <c r="E48" s="218">
        <f>[0]!EMAA034900col_FTI_SALARY_PERM</f>
        <v>46056.4</v>
      </c>
      <c r="F48" s="218">
        <f>[0]!EMAA034900col_HEALTH_PERM</f>
        <v>9320</v>
      </c>
      <c r="G48" s="218">
        <f>[0]!EMAA034900col_TOT_VB_PERM</f>
        <v>9959.4662180000014</v>
      </c>
      <c r="H48" s="219">
        <f>SUM(E48:G48)</f>
        <v>65335.866218000003</v>
      </c>
      <c r="I48" s="219">
        <f>[0]!EMAA034900col_1_27TH_PP</f>
        <v>0</v>
      </c>
      <c r="J48" s="218">
        <f>[0]!EMAA034900col_HEALTH_PERM_CHG</f>
        <v>0</v>
      </c>
      <c r="K48" s="218">
        <f>[0]!EMAA034900col_TOT_VB_PERM_CHG</f>
        <v>-193.43688</v>
      </c>
      <c r="L48" s="218">
        <f>SUM(J48:K48)</f>
        <v>-193.43688</v>
      </c>
    </row>
    <row r="49" spans="1:12" x14ac:dyDescent="0.25">
      <c r="A49" s="444" t="s">
        <v>28</v>
      </c>
      <c r="B49" s="467"/>
      <c r="C49" s="217">
        <v>2</v>
      </c>
      <c r="D49" s="288"/>
      <c r="E49" s="218">
        <f>[0]!EMAA034900col_Group_Salary</f>
        <v>0</v>
      </c>
      <c r="F49" s="218">
        <v>0</v>
      </c>
      <c r="G49" s="218">
        <f>[0]!EMAA034900col_Group_Ben</f>
        <v>0</v>
      </c>
      <c r="H49" s="219">
        <f>SUM(E49:G49)</f>
        <v>0</v>
      </c>
      <c r="I49" s="268"/>
      <c r="J49" s="218"/>
      <c r="K49" s="218"/>
      <c r="L49" s="218"/>
    </row>
    <row r="50" spans="1:12" x14ac:dyDescent="0.25">
      <c r="A50" s="444" t="s">
        <v>29</v>
      </c>
      <c r="B50" s="445"/>
      <c r="C50" s="217">
        <v>3</v>
      </c>
      <c r="D50" s="288">
        <f>[0]!EMAA034900col_TOTAL_ELECT_PCN_FTI</f>
        <v>0</v>
      </c>
      <c r="E50" s="218">
        <f>[0]!EMAA034900col_FTI_SALARY_ELECT</f>
        <v>0</v>
      </c>
      <c r="F50" s="218">
        <f>[0]!EMAA034900col_HEALTH_ELECT</f>
        <v>0</v>
      </c>
      <c r="G50" s="218">
        <f>[0]!EMAA034900col_TOT_VB_ELECT</f>
        <v>0</v>
      </c>
      <c r="H50" s="219">
        <f>SUM(E50:G50)</f>
        <v>0</v>
      </c>
      <c r="I50" s="268"/>
      <c r="J50" s="218">
        <f>[0]!EMAA034900col_HEALTH_ELECT_CHG</f>
        <v>0</v>
      </c>
      <c r="K50" s="218">
        <f>[0]!EMAA034900col_TOT_VB_ELECT_CHG</f>
        <v>0</v>
      </c>
      <c r="L50" s="219">
        <f>SUM(J50:K50)</f>
        <v>0</v>
      </c>
    </row>
    <row r="51" spans="1:12" x14ac:dyDescent="0.25">
      <c r="A51" s="444" t="s">
        <v>30</v>
      </c>
      <c r="B51" s="467"/>
      <c r="C51" s="217"/>
      <c r="D51" s="220">
        <f>SUM(D48:D50)</f>
        <v>0.8</v>
      </c>
      <c r="E51" s="221">
        <f>SUM(E48:E50)</f>
        <v>46056.4</v>
      </c>
      <c r="F51" s="221">
        <f>SUM(F48:F50)</f>
        <v>9320</v>
      </c>
      <c r="G51" s="221">
        <f>SUM(G48:G50)</f>
        <v>9959.4662180000014</v>
      </c>
      <c r="H51" s="219">
        <f>SUM(E51:G51)</f>
        <v>65335.866218000003</v>
      </c>
      <c r="I51" s="268"/>
      <c r="J51" s="219">
        <f>SUM(J48:J50)</f>
        <v>0</v>
      </c>
      <c r="K51" s="219">
        <f>SUM(K48:K50)</f>
        <v>-193.43688</v>
      </c>
      <c r="L51" s="219">
        <f>SUM(L48:L50)</f>
        <v>-193.43688</v>
      </c>
    </row>
    <row r="52" spans="1:12" x14ac:dyDescent="0.25">
      <c r="A52" s="365"/>
      <c r="B52" s="371"/>
      <c r="C52" s="217"/>
      <c r="D52" s="220"/>
      <c r="E52" s="219"/>
      <c r="F52" s="219"/>
      <c r="G52" s="219"/>
      <c r="H52" s="219"/>
      <c r="I52" s="268"/>
      <c r="J52" s="219"/>
      <c r="K52" s="222"/>
      <c r="L52" s="222"/>
    </row>
    <row r="53" spans="1:12" x14ac:dyDescent="0.25">
      <c r="A53" s="157" t="str">
        <f>"FY "&amp;'EMAA|0349-00'!FiscalYear-1</f>
        <v>FY 2022</v>
      </c>
      <c r="B53" s="158" t="s">
        <v>31</v>
      </c>
      <c r="C53" s="355">
        <v>181100</v>
      </c>
      <c r="D53" s="55">
        <v>3.5</v>
      </c>
      <c r="E53" s="223">
        <f>IF('EMAA|0349-00'!OrigApprop=0,0,(E51/H51)*'EMAA|0349-00'!OrigApprop)</f>
        <v>127660.57179329338</v>
      </c>
      <c r="F53" s="223">
        <f>IF('EMAA|0349-00'!OrigApprop=0,0,(F51/H51)*'EMAA|0349-00'!OrigApprop)</f>
        <v>25833.467859265904</v>
      </c>
      <c r="G53" s="223">
        <f>IF(E53=0,0,(G51/H51)*'EMAA|0349-00'!OrigApprop)</f>
        <v>27605.96034744073</v>
      </c>
      <c r="H53" s="223">
        <f>SUM(E53:G53)</f>
        <v>181100</v>
      </c>
      <c r="I53" s="268"/>
      <c r="J53" s="224"/>
      <c r="K53" s="224"/>
      <c r="L53" s="224"/>
    </row>
    <row r="54" spans="1:12" x14ac:dyDescent="0.25">
      <c r="A54" s="454" t="s">
        <v>32</v>
      </c>
      <c r="B54" s="455"/>
      <c r="C54" s="160" t="s">
        <v>33</v>
      </c>
      <c r="D54" s="161">
        <f>D53-D51</f>
        <v>2.7</v>
      </c>
      <c r="E54" s="162">
        <f>E53-E51</f>
        <v>81604.171793293383</v>
      </c>
      <c r="F54" s="162">
        <f>F53-F51</f>
        <v>16513.467859265904</v>
      </c>
      <c r="G54" s="162">
        <f>G53-G51</f>
        <v>17646.494129440729</v>
      </c>
      <c r="H54" s="162">
        <f>H53-H51</f>
        <v>115764.13378199999</v>
      </c>
      <c r="I54" s="269"/>
      <c r="J54" s="56" t="str">
        <f>IF('EMAA|0349-00'!OrigApprop=0,"ERROR! Enter Original Appropriation amount in DU 3.00!","Calculated "&amp;IF('EMAA|0349-00'!AdjustedTotal&gt;0,"overfunding ","underfunding ")&amp;"is "&amp;TEXT('EMAA|0349-00'!AdjustedTotal/'EMAA|0349-00'!AppropTotal,"#.0%;(#.0% );0% ;")&amp;" of Original Appropriation")</f>
        <v>Calculated overfunding is 63.9% of Original Appropriation</v>
      </c>
      <c r="K54" s="163"/>
      <c r="L54" s="164"/>
    </row>
    <row r="56" spans="1:12" x14ac:dyDescent="0.25">
      <c r="A56" s="395" t="s">
        <v>2688</v>
      </c>
      <c r="B56" s="395"/>
      <c r="C56" s="395"/>
      <c r="D56" s="395"/>
      <c r="E56" s="395"/>
      <c r="F56" s="395"/>
      <c r="G56" s="395"/>
      <c r="H56" s="395"/>
      <c r="I56" s="395"/>
      <c r="J56" s="395"/>
      <c r="K56" s="395"/>
      <c r="L56" s="395"/>
    </row>
    <row r="57" spans="1:12" ht="39" x14ac:dyDescent="0.25">
      <c r="A57" s="473" t="s">
        <v>22</v>
      </c>
      <c r="B57" s="474"/>
      <c r="C57" s="370" t="s">
        <v>23</v>
      </c>
      <c r="D57" s="49" t="s">
        <v>24</v>
      </c>
      <c r="E57" s="50" t="str">
        <f>"FY "&amp;'EMLO|0001-00'!FiscalYear-1&amp;" SALARY"</f>
        <v>FY 2022 SALARY</v>
      </c>
      <c r="F57" s="50" t="str">
        <f>"FY "&amp;'EMLO|0001-00'!FiscalYear-1&amp;" HEALTH BENEFITS"</f>
        <v>FY 2022 HEALTH BENEFITS</v>
      </c>
      <c r="G57" s="50" t="str">
        <f>"FY "&amp;'EMLO|0001-00'!FiscalYear-1&amp;" VAR BENEFITS"</f>
        <v>FY 2022 VAR BENEFITS</v>
      </c>
      <c r="H57" s="50" t="str">
        <f>"FY "&amp;'EMLO|0001-00'!FiscalYear-1&amp;" TOTAL"</f>
        <v>FY 2022 TOTAL</v>
      </c>
      <c r="I57" s="50" t="str">
        <f>"FY "&amp;'EMLO|0001-00'!FiscalYear&amp;" SALARY CHANGE"</f>
        <v>FY 2023 SALARY CHANGE</v>
      </c>
      <c r="J57" s="50" t="str">
        <f>"FY "&amp;'EMLO|0001-00'!FiscalYear&amp;" CHG HEALTH BENEFITS"</f>
        <v>FY 2023 CHG HEALTH BENEFITS</v>
      </c>
      <c r="K57" s="50" t="str">
        <f>"FY "&amp;'EMLO|0001-00'!FiscalYear&amp;" CHG VAR BENEFITS"</f>
        <v>FY 2023 CHG VAR BENEFITS</v>
      </c>
      <c r="L57" s="50" t="s">
        <v>25</v>
      </c>
    </row>
    <row r="58" spans="1:12" x14ac:dyDescent="0.25">
      <c r="A58" s="465" t="s">
        <v>26</v>
      </c>
      <c r="B58" s="466"/>
      <c r="C58" s="141"/>
      <c r="D58" s="142"/>
      <c r="E58" s="143"/>
      <c r="F58" s="143"/>
      <c r="G58" s="143"/>
      <c r="H58" s="144"/>
      <c r="I58" s="144"/>
      <c r="J58" s="145"/>
      <c r="K58" s="146"/>
      <c r="L58" s="144"/>
    </row>
    <row r="59" spans="1:12" x14ac:dyDescent="0.25">
      <c r="A59" s="444" t="s">
        <v>27</v>
      </c>
      <c r="B59" s="467"/>
      <c r="C59" s="217">
        <v>1</v>
      </c>
      <c r="D59" s="288">
        <f>[0]!EMLO000100col_INC_FTI</f>
        <v>0</v>
      </c>
      <c r="E59" s="218">
        <f>[0]!EMLO000100col_FTI_SALARY_PERM</f>
        <v>0</v>
      </c>
      <c r="F59" s="218">
        <f>[0]!EMLO000100col_HEALTH_PERM</f>
        <v>0</v>
      </c>
      <c r="G59" s="218">
        <f>[0]!EMLO000100col_TOT_VB_PERM</f>
        <v>0</v>
      </c>
      <c r="H59" s="219">
        <f>SUM(E59:G59)</f>
        <v>0</v>
      </c>
      <c r="I59" s="219">
        <f>[0]!EMLO000100col_1_27TH_PP</f>
        <v>0</v>
      </c>
      <c r="J59" s="218">
        <f>[0]!EMLO000100col_HEALTH_PERM_CHG</f>
        <v>0</v>
      </c>
      <c r="K59" s="218">
        <f>[0]!EMLO000100col_TOT_VB_PERM_CHG</f>
        <v>0</v>
      </c>
      <c r="L59" s="218">
        <f>SUM(J59:K59)</f>
        <v>0</v>
      </c>
    </row>
    <row r="60" spans="1:12" x14ac:dyDescent="0.25">
      <c r="A60" s="444" t="s">
        <v>28</v>
      </c>
      <c r="B60" s="467"/>
      <c r="C60" s="217">
        <v>2</v>
      </c>
      <c r="D60" s="288"/>
      <c r="E60" s="218">
        <f>[0]!EMLO000100col_Group_Salary</f>
        <v>0</v>
      </c>
      <c r="F60" s="218">
        <v>0</v>
      </c>
      <c r="G60" s="218">
        <f>[0]!EMLO000100col_Group_Ben</f>
        <v>0</v>
      </c>
      <c r="H60" s="219">
        <f>SUM(E60:G60)</f>
        <v>0</v>
      </c>
      <c r="I60" s="268"/>
      <c r="J60" s="218"/>
      <c r="K60" s="218"/>
      <c r="L60" s="218"/>
    </row>
    <row r="61" spans="1:12" x14ac:dyDescent="0.25">
      <c r="A61" s="444" t="s">
        <v>29</v>
      </c>
      <c r="B61" s="445"/>
      <c r="C61" s="217">
        <v>3</v>
      </c>
      <c r="D61" s="288">
        <f>[0]!EMLO000100col_TOTAL_ELECT_PCN_FTI</f>
        <v>0</v>
      </c>
      <c r="E61" s="218">
        <f>[0]!EMLO000100col_FTI_SALARY_ELECT</f>
        <v>0</v>
      </c>
      <c r="F61" s="218">
        <f>[0]!EMLO000100col_HEALTH_ELECT</f>
        <v>0</v>
      </c>
      <c r="G61" s="218">
        <f>[0]!EMLO000100col_TOT_VB_ELECT</f>
        <v>0</v>
      </c>
      <c r="H61" s="219">
        <f>SUM(E61:G61)</f>
        <v>0</v>
      </c>
      <c r="I61" s="268"/>
      <c r="J61" s="218">
        <f>[0]!EMLO000100col_HEALTH_ELECT_CHG</f>
        <v>0</v>
      </c>
      <c r="K61" s="218">
        <f>[0]!EMLO000100col_TOT_VB_ELECT_CHG</f>
        <v>0</v>
      </c>
      <c r="L61" s="219">
        <f>SUM(J61:K61)</f>
        <v>0</v>
      </c>
    </row>
    <row r="62" spans="1:12" x14ac:dyDescent="0.25">
      <c r="A62" s="444" t="s">
        <v>30</v>
      </c>
      <c r="B62" s="467"/>
      <c r="C62" s="217"/>
      <c r="D62" s="220">
        <f>SUM(D59:D61)</f>
        <v>0</v>
      </c>
      <c r="E62" s="221">
        <f>SUM(E59:E61)</f>
        <v>0</v>
      </c>
      <c r="F62" s="221">
        <f>SUM(F59:F61)</f>
        <v>0</v>
      </c>
      <c r="G62" s="221">
        <f>SUM(G59:G61)</f>
        <v>0</v>
      </c>
      <c r="H62" s="219">
        <f>SUM(E62:G62)</f>
        <v>0</v>
      </c>
      <c r="I62" s="268"/>
      <c r="J62" s="219">
        <f>SUM(J59:J61)</f>
        <v>0</v>
      </c>
      <c r="K62" s="219">
        <f>SUM(K59:K61)</f>
        <v>0</v>
      </c>
      <c r="L62" s="219">
        <f>SUM(L59:L61)</f>
        <v>0</v>
      </c>
    </row>
    <row r="63" spans="1:12" x14ac:dyDescent="0.25">
      <c r="A63" s="365"/>
      <c r="B63" s="371"/>
      <c r="C63" s="217"/>
      <c r="D63" s="220"/>
      <c r="E63" s="219"/>
      <c r="F63" s="219"/>
      <c r="G63" s="219"/>
      <c r="H63" s="219"/>
      <c r="I63" s="268"/>
      <c r="J63" s="219"/>
      <c r="K63" s="222"/>
      <c r="L63" s="222"/>
    </row>
    <row r="64" spans="1:12" x14ac:dyDescent="0.25">
      <c r="A64" s="157" t="str">
        <f>"FY "&amp;'EMLO|0001-00'!FiscalYear-1</f>
        <v>FY 2022</v>
      </c>
      <c r="B64" s="158" t="s">
        <v>31</v>
      </c>
      <c r="C64" s="355">
        <v>5400</v>
      </c>
      <c r="D64" s="55">
        <v>0</v>
      </c>
      <c r="E64" s="223" t="e">
        <f>IF('EMLO|0001-00'!OrigApprop=0,0,(E62/H62)*'EMLO|0001-00'!OrigApprop)</f>
        <v>#DIV/0!</v>
      </c>
      <c r="F64" s="223" t="e">
        <f>IF('EMLO|0001-00'!OrigApprop=0,0,(F62/H62)*'EMLO|0001-00'!OrigApprop)</f>
        <v>#DIV/0!</v>
      </c>
      <c r="G64" s="223" t="e">
        <f>IF(E64=0,0,(G62/H62)*'EMLO|0001-00'!OrigApprop)</f>
        <v>#DIV/0!</v>
      </c>
      <c r="H64" s="223" t="e">
        <f>SUM(E64:G64)</f>
        <v>#DIV/0!</v>
      </c>
      <c r="I64" s="268"/>
      <c r="J64" s="224"/>
      <c r="K64" s="224"/>
      <c r="L64" s="224"/>
    </row>
    <row r="65" spans="1:12" x14ac:dyDescent="0.25">
      <c r="A65" s="454" t="s">
        <v>32</v>
      </c>
      <c r="B65" s="455"/>
      <c r="C65" s="160" t="s">
        <v>33</v>
      </c>
      <c r="D65" s="161">
        <f>D64-D62</f>
        <v>0</v>
      </c>
      <c r="E65" s="162" t="e">
        <f>E64-E62</f>
        <v>#DIV/0!</v>
      </c>
      <c r="F65" s="162" t="e">
        <f>F64-F62</f>
        <v>#DIV/0!</v>
      </c>
      <c r="G65" s="162" t="e">
        <f>G64-G62</f>
        <v>#DIV/0!</v>
      </c>
      <c r="H65" s="162" t="e">
        <f>H64-H62</f>
        <v>#DIV/0!</v>
      </c>
      <c r="I65" s="269"/>
      <c r="J65" s="56" t="e">
        <f>IF('EMLO|0001-00'!OrigApprop=0,"ERROR! Enter Original Appropriation amount in DU 3.00!","Calculated "&amp;IF('EMLO|0001-00'!AdjustedTotal&gt;0,"overfunding ","underfunding ")&amp;"is "&amp;TEXT('EMLO|0001-00'!AdjustedTotal/'EMLO|0001-00'!AppropTotal,"#.0%;(#.0% );0% ;")&amp;" of Original Appropriation")</f>
        <v>#DIV/0!</v>
      </c>
      <c r="K65" s="163"/>
      <c r="L65" s="164"/>
    </row>
    <row r="67" spans="1:12" x14ac:dyDescent="0.25">
      <c r="A67" s="395" t="s">
        <v>2691</v>
      </c>
      <c r="B67" s="395"/>
      <c r="C67" s="395"/>
      <c r="D67" s="395"/>
      <c r="E67" s="395"/>
      <c r="F67" s="395"/>
      <c r="G67" s="395"/>
      <c r="H67" s="395"/>
      <c r="I67" s="395"/>
      <c r="J67" s="395"/>
      <c r="K67" s="395"/>
      <c r="L67" s="395"/>
    </row>
    <row r="68" spans="1:12" ht="39" x14ac:dyDescent="0.25">
      <c r="A68" s="473" t="s">
        <v>22</v>
      </c>
      <c r="B68" s="474"/>
      <c r="C68" s="370" t="s">
        <v>23</v>
      </c>
      <c r="D68" s="49" t="s">
        <v>24</v>
      </c>
      <c r="E68" s="50" t="str">
        <f>"FY "&amp;'EMLO|0302-00'!FiscalYear-1&amp;" SALARY"</f>
        <v>FY 2022 SALARY</v>
      </c>
      <c r="F68" s="50" t="str">
        <f>"FY "&amp;'EMLO|0302-00'!FiscalYear-1&amp;" HEALTH BENEFITS"</f>
        <v>FY 2022 HEALTH BENEFITS</v>
      </c>
      <c r="G68" s="50" t="str">
        <f>"FY "&amp;'EMLO|0302-00'!FiscalYear-1&amp;" VAR BENEFITS"</f>
        <v>FY 2022 VAR BENEFITS</v>
      </c>
      <c r="H68" s="50" t="str">
        <f>"FY "&amp;'EMLO|0302-00'!FiscalYear-1&amp;" TOTAL"</f>
        <v>FY 2022 TOTAL</v>
      </c>
      <c r="I68" s="50" t="str">
        <f>"FY "&amp;'EMLO|0302-00'!FiscalYear&amp;" SALARY CHANGE"</f>
        <v>FY 2023 SALARY CHANGE</v>
      </c>
      <c r="J68" s="50" t="str">
        <f>"FY "&amp;'EMLO|0302-00'!FiscalYear&amp;" CHG HEALTH BENEFITS"</f>
        <v>FY 2023 CHG HEALTH BENEFITS</v>
      </c>
      <c r="K68" s="50" t="str">
        <f>"FY "&amp;'EMLO|0302-00'!FiscalYear&amp;" CHG VAR BENEFITS"</f>
        <v>FY 2023 CHG VAR BENEFITS</v>
      </c>
      <c r="L68" s="50" t="s">
        <v>25</v>
      </c>
    </row>
    <row r="69" spans="1:12" x14ac:dyDescent="0.25">
      <c r="A69" s="465" t="s">
        <v>26</v>
      </c>
      <c r="B69" s="466"/>
      <c r="C69" s="141"/>
      <c r="D69" s="142"/>
      <c r="E69" s="143"/>
      <c r="F69" s="143"/>
      <c r="G69" s="143"/>
      <c r="H69" s="144"/>
      <c r="I69" s="144"/>
      <c r="J69" s="145"/>
      <c r="K69" s="146"/>
      <c r="L69" s="144"/>
    </row>
    <row r="70" spans="1:12" x14ac:dyDescent="0.25">
      <c r="A70" s="444" t="s">
        <v>27</v>
      </c>
      <c r="B70" s="467"/>
      <c r="C70" s="217">
        <v>1</v>
      </c>
      <c r="D70" s="288">
        <f>[0]!EMLO030200col_INC_FTI</f>
        <v>0</v>
      </c>
      <c r="E70" s="218">
        <f>[0]!EMLO030200col_FTI_SALARY_PERM</f>
        <v>0</v>
      </c>
      <c r="F70" s="218">
        <f>[0]!EMLO030200col_HEALTH_PERM</f>
        <v>0</v>
      </c>
      <c r="G70" s="218">
        <f>[0]!EMLO030200col_TOT_VB_PERM</f>
        <v>0</v>
      </c>
      <c r="H70" s="219">
        <f>SUM(E70:G70)</f>
        <v>0</v>
      </c>
      <c r="I70" s="219">
        <f>[0]!EMLO030200col_1_27TH_PP</f>
        <v>0</v>
      </c>
      <c r="J70" s="218">
        <f>[0]!EMLO030200col_HEALTH_PERM_CHG</f>
        <v>0</v>
      </c>
      <c r="K70" s="218">
        <f>[0]!EMLO030200col_TOT_VB_PERM_CHG</f>
        <v>0</v>
      </c>
      <c r="L70" s="218">
        <f>SUM(J70:K70)</f>
        <v>0</v>
      </c>
    </row>
    <row r="71" spans="1:12" x14ac:dyDescent="0.25">
      <c r="A71" s="444" t="s">
        <v>28</v>
      </c>
      <c r="B71" s="467"/>
      <c r="C71" s="217">
        <v>2</v>
      </c>
      <c r="D71" s="288"/>
      <c r="E71" s="218">
        <f>[0]!EMLO030200col_Group_Salary</f>
        <v>0</v>
      </c>
      <c r="F71" s="218">
        <v>0</v>
      </c>
      <c r="G71" s="218">
        <f>[0]!EMLO030200col_Group_Ben</f>
        <v>0</v>
      </c>
      <c r="H71" s="219">
        <f>SUM(E71:G71)</f>
        <v>0</v>
      </c>
      <c r="I71" s="268"/>
      <c r="J71" s="218"/>
      <c r="K71" s="218"/>
      <c r="L71" s="218"/>
    </row>
    <row r="72" spans="1:12" x14ac:dyDescent="0.25">
      <c r="A72" s="444" t="s">
        <v>29</v>
      </c>
      <c r="B72" s="445"/>
      <c r="C72" s="217">
        <v>3</v>
      </c>
      <c r="D72" s="288">
        <f>[0]!EMLO030200col_TOTAL_ELECT_PCN_FTI</f>
        <v>0</v>
      </c>
      <c r="E72" s="218">
        <f>[0]!EMLO030200col_FTI_SALARY_ELECT</f>
        <v>0</v>
      </c>
      <c r="F72" s="218">
        <f>[0]!EMLO030200col_HEALTH_ELECT</f>
        <v>0</v>
      </c>
      <c r="G72" s="218">
        <f>[0]!EMLO030200col_TOT_VB_ELECT</f>
        <v>0</v>
      </c>
      <c r="H72" s="219">
        <f>SUM(E72:G72)</f>
        <v>0</v>
      </c>
      <c r="I72" s="268"/>
      <c r="J72" s="218">
        <f>[0]!EMLO030200col_HEALTH_ELECT_CHG</f>
        <v>0</v>
      </c>
      <c r="K72" s="218">
        <f>[0]!EMLO030200col_TOT_VB_ELECT_CHG</f>
        <v>0</v>
      </c>
      <c r="L72" s="219">
        <f>SUM(J72:K72)</f>
        <v>0</v>
      </c>
    </row>
    <row r="73" spans="1:12" x14ac:dyDescent="0.25">
      <c r="A73" s="444" t="s">
        <v>30</v>
      </c>
      <c r="B73" s="467"/>
      <c r="C73" s="217"/>
      <c r="D73" s="220">
        <f>SUM(D70:D72)</f>
        <v>0</v>
      </c>
      <c r="E73" s="221">
        <f>SUM(E70:E72)</f>
        <v>0</v>
      </c>
      <c r="F73" s="221">
        <f>SUM(F70:F72)</f>
        <v>0</v>
      </c>
      <c r="G73" s="221">
        <f>SUM(G70:G72)</f>
        <v>0</v>
      </c>
      <c r="H73" s="219">
        <f>SUM(E73:G73)</f>
        <v>0</v>
      </c>
      <c r="I73" s="268"/>
      <c r="J73" s="219">
        <f>SUM(J70:J72)</f>
        <v>0</v>
      </c>
      <c r="K73" s="219">
        <f>SUM(K70:K72)</f>
        <v>0</v>
      </c>
      <c r="L73" s="219">
        <f>SUM(L70:L72)</f>
        <v>0</v>
      </c>
    </row>
    <row r="74" spans="1:12" x14ac:dyDescent="0.25">
      <c r="A74" s="365"/>
      <c r="B74" s="371"/>
      <c r="C74" s="217"/>
      <c r="D74" s="220"/>
      <c r="E74" s="219"/>
      <c r="F74" s="219"/>
      <c r="G74" s="219"/>
      <c r="H74" s="219"/>
      <c r="I74" s="268"/>
      <c r="J74" s="219"/>
      <c r="K74" s="222"/>
      <c r="L74" s="222"/>
    </row>
    <row r="75" spans="1:12" x14ac:dyDescent="0.25">
      <c r="A75" s="157" t="str">
        <f>"FY "&amp;'EMLO|0302-00'!FiscalYear-1</f>
        <v>FY 2022</v>
      </c>
      <c r="B75" s="158" t="s">
        <v>31</v>
      </c>
      <c r="C75" s="355">
        <v>1046900</v>
      </c>
      <c r="D75" s="55">
        <v>13.02</v>
      </c>
      <c r="E75" s="223" t="e">
        <f>IF('EMLO|0302-00'!OrigApprop=0,0,(E73/H73)*'EMLO|0302-00'!OrigApprop)</f>
        <v>#DIV/0!</v>
      </c>
      <c r="F75" s="223" t="e">
        <f>IF('EMLO|0302-00'!OrigApprop=0,0,(F73/H73)*'EMLO|0302-00'!OrigApprop)</f>
        <v>#DIV/0!</v>
      </c>
      <c r="G75" s="223" t="e">
        <f>IF(E75=0,0,(G73/H73)*'EMLO|0302-00'!OrigApprop)</f>
        <v>#DIV/0!</v>
      </c>
      <c r="H75" s="223" t="e">
        <f>SUM(E75:G75)</f>
        <v>#DIV/0!</v>
      </c>
      <c r="I75" s="268"/>
      <c r="J75" s="224"/>
      <c r="K75" s="224"/>
      <c r="L75" s="224"/>
    </row>
    <row r="76" spans="1:12" x14ac:dyDescent="0.25">
      <c r="A76" s="454" t="s">
        <v>32</v>
      </c>
      <c r="B76" s="455"/>
      <c r="C76" s="160" t="s">
        <v>33</v>
      </c>
      <c r="D76" s="161">
        <f>D75-D73</f>
        <v>13.02</v>
      </c>
      <c r="E76" s="162" t="e">
        <f>E75-E73</f>
        <v>#DIV/0!</v>
      </c>
      <c r="F76" s="162" t="e">
        <f>F75-F73</f>
        <v>#DIV/0!</v>
      </c>
      <c r="G76" s="162" t="e">
        <f>G75-G73</f>
        <v>#DIV/0!</v>
      </c>
      <c r="H76" s="162" t="e">
        <f>H75-H73</f>
        <v>#DIV/0!</v>
      </c>
      <c r="I76" s="269"/>
      <c r="J76" s="56" t="e">
        <f>IF('EMLO|0302-00'!OrigApprop=0,"ERROR! Enter Original Appropriation amount in DU 3.00!","Calculated "&amp;IF('EMLO|0302-00'!AdjustedTotal&gt;0,"overfunding ","underfunding ")&amp;"is "&amp;TEXT('EMLO|0302-00'!AdjustedTotal/'EMLO|0302-00'!AppropTotal,"#.0%;(#.0% );0% ;")&amp;" of Original Appropriation")</f>
        <v>#DIV/0!</v>
      </c>
      <c r="K76" s="163"/>
      <c r="L76" s="164"/>
    </row>
    <row r="78" spans="1:12" x14ac:dyDescent="0.25">
      <c r="A78" s="395" t="s">
        <v>2694</v>
      </c>
      <c r="B78" s="395"/>
      <c r="C78" s="395"/>
      <c r="D78" s="395"/>
      <c r="E78" s="395"/>
      <c r="F78" s="395"/>
      <c r="G78" s="395"/>
      <c r="H78" s="395"/>
      <c r="I78" s="395"/>
      <c r="J78" s="395"/>
      <c r="K78" s="395"/>
      <c r="L78" s="395"/>
    </row>
    <row r="79" spans="1:12" ht="39" x14ac:dyDescent="0.25">
      <c r="A79" s="473" t="s">
        <v>22</v>
      </c>
      <c r="B79" s="474"/>
      <c r="C79" s="370" t="s">
        <v>23</v>
      </c>
      <c r="D79" s="49" t="s">
        <v>24</v>
      </c>
      <c r="E79" s="50" t="str">
        <f>"FY "&amp;'EMLO|0303-00'!FiscalYear-1&amp;" SALARY"</f>
        <v>FY 2022 SALARY</v>
      </c>
      <c r="F79" s="50" t="str">
        <f>"FY "&amp;'EMLO|0303-00'!FiscalYear-1&amp;" HEALTH BENEFITS"</f>
        <v>FY 2022 HEALTH BENEFITS</v>
      </c>
      <c r="G79" s="50" t="str">
        <f>"FY "&amp;'EMLO|0303-00'!FiscalYear-1&amp;" VAR BENEFITS"</f>
        <v>FY 2022 VAR BENEFITS</v>
      </c>
      <c r="H79" s="50" t="str">
        <f>"FY "&amp;'EMLO|0303-00'!FiscalYear-1&amp;" TOTAL"</f>
        <v>FY 2022 TOTAL</v>
      </c>
      <c r="I79" s="50" t="str">
        <f>"FY "&amp;'EMLO|0303-00'!FiscalYear&amp;" SALARY CHANGE"</f>
        <v>FY 2023 SALARY CHANGE</v>
      </c>
      <c r="J79" s="50" t="str">
        <f>"FY "&amp;'EMLO|0303-00'!FiscalYear&amp;" CHG HEALTH BENEFITS"</f>
        <v>FY 2023 CHG HEALTH BENEFITS</v>
      </c>
      <c r="K79" s="50" t="str">
        <f>"FY "&amp;'EMLO|0303-00'!FiscalYear&amp;" CHG VAR BENEFITS"</f>
        <v>FY 2023 CHG VAR BENEFITS</v>
      </c>
      <c r="L79" s="50" t="s">
        <v>25</v>
      </c>
    </row>
    <row r="80" spans="1:12" x14ac:dyDescent="0.25">
      <c r="A80" s="465" t="s">
        <v>26</v>
      </c>
      <c r="B80" s="466"/>
      <c r="C80" s="141"/>
      <c r="D80" s="142"/>
      <c r="E80" s="143"/>
      <c r="F80" s="143"/>
      <c r="G80" s="143"/>
      <c r="H80" s="144"/>
      <c r="I80" s="144"/>
      <c r="J80" s="145"/>
      <c r="K80" s="146"/>
      <c r="L80" s="144"/>
    </row>
    <row r="81" spans="1:12" x14ac:dyDescent="0.25">
      <c r="A81" s="444" t="s">
        <v>27</v>
      </c>
      <c r="B81" s="467"/>
      <c r="C81" s="217">
        <v>1</v>
      </c>
      <c r="D81" s="288">
        <f>[0]!EMLO030300col_INC_FTI</f>
        <v>8.25</v>
      </c>
      <c r="E81" s="218">
        <f>[0]!EMLO030300col_FTI_SALARY_PERM</f>
        <v>516422.40000000002</v>
      </c>
      <c r="F81" s="218">
        <f>[0]!EMLO030300col_HEALTH_PERM</f>
        <v>96112.5</v>
      </c>
      <c r="G81" s="218">
        <f>[0]!EMLO030300col_TOT_VB_PERM</f>
        <v>111292.457952</v>
      </c>
      <c r="H81" s="219">
        <f>SUM(E81:G81)</f>
        <v>723827.35795199999</v>
      </c>
      <c r="I81" s="219">
        <f>[0]!EMLO030300col_1_27TH_PP</f>
        <v>0</v>
      </c>
      <c r="J81" s="218">
        <f>[0]!EMLO030300col_HEALTH_PERM_CHG</f>
        <v>0</v>
      </c>
      <c r="K81" s="218">
        <f>[0]!EMLO030300col_TOT_VB_PERM_CHG</f>
        <v>-2168.97408</v>
      </c>
      <c r="L81" s="218">
        <f>SUM(J81:K81)</f>
        <v>-2168.97408</v>
      </c>
    </row>
    <row r="82" spans="1:12" x14ac:dyDescent="0.25">
      <c r="A82" s="444" t="s">
        <v>28</v>
      </c>
      <c r="B82" s="467"/>
      <c r="C82" s="217">
        <v>2</v>
      </c>
      <c r="D82" s="288"/>
      <c r="E82" s="218">
        <f>[0]!EMLO030300col_Group_Salary</f>
        <v>0</v>
      </c>
      <c r="F82" s="218">
        <v>0</v>
      </c>
      <c r="G82" s="218">
        <f>[0]!EMLO030300col_Group_Ben</f>
        <v>0</v>
      </c>
      <c r="H82" s="219">
        <f>SUM(E82:G82)</f>
        <v>0</v>
      </c>
      <c r="I82" s="268"/>
      <c r="J82" s="218"/>
      <c r="K82" s="218"/>
      <c r="L82" s="218"/>
    </row>
    <row r="83" spans="1:12" x14ac:dyDescent="0.25">
      <c r="A83" s="444" t="s">
        <v>29</v>
      </c>
      <c r="B83" s="445"/>
      <c r="C83" s="217">
        <v>3</v>
      </c>
      <c r="D83" s="288">
        <f>[0]!EMLO030300col_TOTAL_ELECT_PCN_FTI</f>
        <v>0</v>
      </c>
      <c r="E83" s="218">
        <f>[0]!EMLO030300col_FTI_SALARY_ELECT</f>
        <v>0</v>
      </c>
      <c r="F83" s="218">
        <f>[0]!EMLO030300col_HEALTH_ELECT</f>
        <v>0</v>
      </c>
      <c r="G83" s="218">
        <f>[0]!EMLO030300col_TOT_VB_ELECT</f>
        <v>0</v>
      </c>
      <c r="H83" s="219">
        <f>SUM(E83:G83)</f>
        <v>0</v>
      </c>
      <c r="I83" s="268"/>
      <c r="J83" s="218">
        <f>[0]!EMLO030300col_HEALTH_ELECT_CHG</f>
        <v>0</v>
      </c>
      <c r="K83" s="218">
        <f>[0]!EMLO030300col_TOT_VB_ELECT_CHG</f>
        <v>0</v>
      </c>
      <c r="L83" s="219">
        <f>SUM(J83:K83)</f>
        <v>0</v>
      </c>
    </row>
    <row r="84" spans="1:12" x14ac:dyDescent="0.25">
      <c r="A84" s="444" t="s">
        <v>30</v>
      </c>
      <c r="B84" s="467"/>
      <c r="C84" s="217"/>
      <c r="D84" s="220">
        <f>SUM(D81:D83)</f>
        <v>8.25</v>
      </c>
      <c r="E84" s="221">
        <f>SUM(E81:E83)</f>
        <v>516422.40000000002</v>
      </c>
      <c r="F84" s="221">
        <f>SUM(F81:F83)</f>
        <v>96112.5</v>
      </c>
      <c r="G84" s="221">
        <f>SUM(G81:G83)</f>
        <v>111292.457952</v>
      </c>
      <c r="H84" s="219">
        <f>SUM(E84:G84)</f>
        <v>723827.35795199999</v>
      </c>
      <c r="I84" s="268"/>
      <c r="J84" s="219">
        <f>SUM(J81:J83)</f>
        <v>0</v>
      </c>
      <c r="K84" s="219">
        <f>SUM(K81:K83)</f>
        <v>-2168.97408</v>
      </c>
      <c r="L84" s="219">
        <f>SUM(L81:L83)</f>
        <v>-2168.97408</v>
      </c>
    </row>
    <row r="85" spans="1:12" x14ac:dyDescent="0.25">
      <c r="A85" s="365"/>
      <c r="B85" s="371"/>
      <c r="C85" s="217"/>
      <c r="D85" s="220"/>
      <c r="E85" s="219"/>
      <c r="F85" s="219"/>
      <c r="G85" s="219"/>
      <c r="H85" s="219"/>
      <c r="I85" s="268"/>
      <c r="J85" s="219"/>
      <c r="K85" s="222"/>
      <c r="L85" s="222"/>
    </row>
    <row r="86" spans="1:12" x14ac:dyDescent="0.25">
      <c r="A86" s="157" t="str">
        <f>"FY "&amp;'EMLO|0303-00'!FiscalYear-1</f>
        <v>FY 2022</v>
      </c>
      <c r="B86" s="158" t="s">
        <v>31</v>
      </c>
      <c r="C86" s="355">
        <v>961800</v>
      </c>
      <c r="D86" s="55">
        <v>10.28</v>
      </c>
      <c r="E86" s="223">
        <f>IF('EMLO|0303-00'!OrigApprop=0,0,(E84/H84)*'EMLO|0303-00'!OrigApprop)</f>
        <v>686206.53649421467</v>
      </c>
      <c r="F86" s="223">
        <f>IF('EMLO|0303-00'!OrigApprop=0,0,(F84/H84)*'EMLO|0303-00'!OrigApprop)</f>
        <v>127711.39621131886</v>
      </c>
      <c r="G86" s="223">
        <f>IF(E86=0,0,(G84/H84)*'EMLO|0303-00'!OrigApprop)</f>
        <v>147882.06729446657</v>
      </c>
      <c r="H86" s="223">
        <f>SUM(E86:G86)</f>
        <v>961800.00000000012</v>
      </c>
      <c r="I86" s="268"/>
      <c r="J86" s="224"/>
      <c r="K86" s="224"/>
      <c r="L86" s="224"/>
    </row>
    <row r="87" spans="1:12" x14ac:dyDescent="0.25">
      <c r="A87" s="454" t="s">
        <v>32</v>
      </c>
      <c r="B87" s="455"/>
      <c r="C87" s="160" t="s">
        <v>33</v>
      </c>
      <c r="D87" s="161">
        <f>D86-D84</f>
        <v>2.0299999999999994</v>
      </c>
      <c r="E87" s="162">
        <f>E86-E84</f>
        <v>169784.13649421465</v>
      </c>
      <c r="F87" s="162">
        <f>F86-F84</f>
        <v>31598.896211318861</v>
      </c>
      <c r="G87" s="162">
        <f>G86-G84</f>
        <v>36589.609342466574</v>
      </c>
      <c r="H87" s="162">
        <f>H86-H84</f>
        <v>237972.64204800013</v>
      </c>
      <c r="I87" s="269"/>
      <c r="J87" s="56" t="str">
        <f>IF('EMLO|0303-00'!OrigApprop=0,"ERROR! Enter Original Appropriation amount in DU 3.00!","Calculated "&amp;IF('EMLO|0303-00'!AdjustedTotal&gt;0,"overfunding ","underfunding ")&amp;"is "&amp;TEXT('EMLO|0303-00'!AdjustedTotal/'EMLO|0303-00'!AppropTotal,"#.0%;(#.0% );0% ;")&amp;" of Original Appropriation")</f>
        <v>Calculated overfunding is 24.7% of Original Appropriation</v>
      </c>
      <c r="K87" s="163"/>
      <c r="L87" s="164"/>
    </row>
    <row r="89" spans="1:12" x14ac:dyDescent="0.25">
      <c r="A89" s="395" t="s">
        <v>2698</v>
      </c>
      <c r="B89" s="395"/>
      <c r="C89" s="395"/>
      <c r="D89" s="395"/>
      <c r="E89" s="395"/>
      <c r="F89" s="395"/>
      <c r="G89" s="395"/>
      <c r="H89" s="395"/>
      <c r="I89" s="395"/>
      <c r="J89" s="395"/>
      <c r="K89" s="395"/>
      <c r="L89" s="395"/>
    </row>
    <row r="90" spans="1:12" ht="39" x14ac:dyDescent="0.25">
      <c r="A90" s="473" t="s">
        <v>22</v>
      </c>
      <c r="B90" s="474"/>
      <c r="C90" s="370" t="s">
        <v>23</v>
      </c>
      <c r="D90" s="49" t="s">
        <v>24</v>
      </c>
      <c r="E90" s="50" t="str">
        <f>"FY "&amp;'EMLO|0348-00'!FiscalYear-1&amp;" SALARY"</f>
        <v>FY 2022 SALARY</v>
      </c>
      <c r="F90" s="50" t="str">
        <f>"FY "&amp;'EMLO|0348-00'!FiscalYear-1&amp;" HEALTH BENEFITS"</f>
        <v>FY 2022 HEALTH BENEFITS</v>
      </c>
      <c r="G90" s="50" t="str">
        <f>"FY "&amp;'EMLO|0348-00'!FiscalYear-1&amp;" VAR BENEFITS"</f>
        <v>FY 2022 VAR BENEFITS</v>
      </c>
      <c r="H90" s="50" t="str">
        <f>"FY "&amp;'EMLO|0348-00'!FiscalYear-1&amp;" TOTAL"</f>
        <v>FY 2022 TOTAL</v>
      </c>
      <c r="I90" s="50" t="str">
        <f>"FY "&amp;'EMLO|0348-00'!FiscalYear&amp;" SALARY CHANGE"</f>
        <v>FY 2023 SALARY CHANGE</v>
      </c>
      <c r="J90" s="50" t="str">
        <f>"FY "&amp;'EMLO|0348-00'!FiscalYear&amp;" CHG HEALTH BENEFITS"</f>
        <v>FY 2023 CHG HEALTH BENEFITS</v>
      </c>
      <c r="K90" s="50" t="str">
        <f>"FY "&amp;'EMLO|0348-00'!FiscalYear&amp;" CHG VAR BENEFITS"</f>
        <v>FY 2023 CHG VAR BENEFITS</v>
      </c>
      <c r="L90" s="50" t="s">
        <v>25</v>
      </c>
    </row>
    <row r="91" spans="1:12" x14ac:dyDescent="0.25">
      <c r="A91" s="465" t="s">
        <v>26</v>
      </c>
      <c r="B91" s="466"/>
      <c r="C91" s="141"/>
      <c r="D91" s="142"/>
      <c r="E91" s="143"/>
      <c r="F91" s="143"/>
      <c r="G91" s="143"/>
      <c r="H91" s="144"/>
      <c r="I91" s="144"/>
      <c r="J91" s="145"/>
      <c r="K91" s="146"/>
      <c r="L91" s="144"/>
    </row>
    <row r="92" spans="1:12" x14ac:dyDescent="0.25">
      <c r="A92" s="444" t="s">
        <v>27</v>
      </c>
      <c r="B92" s="467"/>
      <c r="C92" s="217">
        <v>1</v>
      </c>
      <c r="D92" s="288">
        <f>[0]!EMLO034800col_INC_FTI</f>
        <v>130.55000000000001</v>
      </c>
      <c r="E92" s="218">
        <f>[0]!EMLO034800col_FTI_SALARY_PERM</f>
        <v>6743566.9599999981</v>
      </c>
      <c r="F92" s="218">
        <f>[0]!EMLO034800col_HEALTH_PERM</f>
        <v>1520907.5</v>
      </c>
      <c r="G92" s="218">
        <f>[0]!EMLO034800col_TOT_VB_PERM</f>
        <v>1456293.1771075993</v>
      </c>
      <c r="H92" s="219">
        <f>SUM(E92:G92)</f>
        <v>9720767.6371075977</v>
      </c>
      <c r="I92" s="219">
        <f>[0]!EMLO034800col_1_27TH_PP</f>
        <v>0</v>
      </c>
      <c r="J92" s="218">
        <f>[0]!EMLO034800col_HEALTH_PERM_CHG</f>
        <v>0</v>
      </c>
      <c r="K92" s="218">
        <f>[0]!EMLO034800col_TOT_VB_PERM_CHG</f>
        <v>-28322.981232000002</v>
      </c>
      <c r="L92" s="218">
        <f>SUM(J92:K92)</f>
        <v>-28322.981232000002</v>
      </c>
    </row>
    <row r="93" spans="1:12" x14ac:dyDescent="0.25">
      <c r="A93" s="444" t="s">
        <v>28</v>
      </c>
      <c r="B93" s="467"/>
      <c r="C93" s="217">
        <v>2</v>
      </c>
      <c r="D93" s="288"/>
      <c r="E93" s="218">
        <f>[0]!EMLO034800col_Group_Salary</f>
        <v>22764.28</v>
      </c>
      <c r="F93" s="218">
        <v>0</v>
      </c>
      <c r="G93" s="218">
        <f>[0]!EMLO034800col_Group_Ben</f>
        <v>4727.95</v>
      </c>
      <c r="H93" s="219">
        <f>SUM(E93:G93)</f>
        <v>27492.23</v>
      </c>
      <c r="I93" s="268"/>
      <c r="J93" s="218"/>
      <c r="K93" s="218"/>
      <c r="L93" s="218"/>
    </row>
    <row r="94" spans="1:12" x14ac:dyDescent="0.25">
      <c r="A94" s="444" t="s">
        <v>29</v>
      </c>
      <c r="B94" s="445"/>
      <c r="C94" s="217">
        <v>3</v>
      </c>
      <c r="D94" s="288">
        <f>[0]!EMLO034800col_TOTAL_ELECT_PCN_FTI</f>
        <v>0</v>
      </c>
      <c r="E94" s="218">
        <f>[0]!EMLO034800col_FTI_SALARY_ELECT</f>
        <v>0</v>
      </c>
      <c r="F94" s="218">
        <f>[0]!EMLO034800col_HEALTH_ELECT</f>
        <v>0</v>
      </c>
      <c r="G94" s="218">
        <f>[0]!EMLO034800col_TOT_VB_ELECT</f>
        <v>0</v>
      </c>
      <c r="H94" s="219">
        <f>SUM(E94:G94)</f>
        <v>0</v>
      </c>
      <c r="I94" s="268"/>
      <c r="J94" s="218">
        <f>[0]!EMLO034800col_HEALTH_ELECT_CHG</f>
        <v>0</v>
      </c>
      <c r="K94" s="218">
        <f>[0]!EMLO034800col_TOT_VB_ELECT_CHG</f>
        <v>0</v>
      </c>
      <c r="L94" s="219">
        <f>SUM(J94:K94)</f>
        <v>0</v>
      </c>
    </row>
    <row r="95" spans="1:12" x14ac:dyDescent="0.25">
      <c r="A95" s="444" t="s">
        <v>30</v>
      </c>
      <c r="B95" s="467"/>
      <c r="C95" s="217"/>
      <c r="D95" s="220">
        <f>SUM(D92:D94)</f>
        <v>130.55000000000001</v>
      </c>
      <c r="E95" s="221">
        <f>SUM(E92:E94)</f>
        <v>6766331.2399999984</v>
      </c>
      <c r="F95" s="221">
        <f>SUM(F92:F94)</f>
        <v>1520907.5</v>
      </c>
      <c r="G95" s="221">
        <f>SUM(G92:G94)</f>
        <v>1461021.1271075993</v>
      </c>
      <c r="H95" s="219">
        <f>SUM(E95:G95)</f>
        <v>9748259.8671075981</v>
      </c>
      <c r="I95" s="268"/>
      <c r="J95" s="219">
        <f>SUM(J92:J94)</f>
        <v>0</v>
      </c>
      <c r="K95" s="219">
        <f>SUM(K92:K94)</f>
        <v>-28322.981232000002</v>
      </c>
      <c r="L95" s="219">
        <f>SUM(L92:L94)</f>
        <v>-28322.981232000002</v>
      </c>
    </row>
    <row r="96" spans="1:12" x14ac:dyDescent="0.25">
      <c r="A96" s="365"/>
      <c r="B96" s="371"/>
      <c r="C96" s="217"/>
      <c r="D96" s="220"/>
      <c r="E96" s="219"/>
      <c r="F96" s="219"/>
      <c r="G96" s="219"/>
      <c r="H96" s="219"/>
      <c r="I96" s="268"/>
      <c r="J96" s="219"/>
      <c r="K96" s="222"/>
      <c r="L96" s="222"/>
    </row>
    <row r="97" spans="1:12" x14ac:dyDescent="0.25">
      <c r="A97" s="157" t="str">
        <f>"FY "&amp;'EMLO|0348-00'!FiscalYear-1</f>
        <v>FY 2022</v>
      </c>
      <c r="B97" s="158" t="s">
        <v>31</v>
      </c>
      <c r="C97" s="355">
        <v>14316200</v>
      </c>
      <c r="D97" s="55">
        <v>201.88</v>
      </c>
      <c r="E97" s="223">
        <f>IF('EMLO|0348-00'!OrigApprop=0,0,(E95/H95)*'EMLO|0348-00'!OrigApprop)</f>
        <v>9936968.507060295</v>
      </c>
      <c r="F97" s="223">
        <f>IF('EMLO|0348-00'!OrigApprop=0,0,(F95/H95)*'EMLO|0348-00'!OrigApprop)</f>
        <v>2233590.0199960959</v>
      </c>
      <c r="G97" s="223">
        <f>IF(E97=0,0,(G95/H95)*'EMLO|0348-00'!OrigApprop)</f>
        <v>2145641.4729436086</v>
      </c>
      <c r="H97" s="223">
        <f>SUM(E97:G97)</f>
        <v>14316200</v>
      </c>
      <c r="I97" s="268"/>
      <c r="J97" s="224"/>
      <c r="K97" s="224"/>
      <c r="L97" s="224"/>
    </row>
    <row r="98" spans="1:12" x14ac:dyDescent="0.25">
      <c r="A98" s="454" t="s">
        <v>32</v>
      </c>
      <c r="B98" s="455"/>
      <c r="C98" s="160" t="s">
        <v>33</v>
      </c>
      <c r="D98" s="161">
        <f>D97-D95</f>
        <v>71.329999999999984</v>
      </c>
      <c r="E98" s="162">
        <f>E97-E95</f>
        <v>3170637.2670602966</v>
      </c>
      <c r="F98" s="162">
        <f>F97-F95</f>
        <v>712682.51999609591</v>
      </c>
      <c r="G98" s="162">
        <f>G97-G95</f>
        <v>684620.34583600936</v>
      </c>
      <c r="H98" s="162">
        <f>H97-H95</f>
        <v>4567940.1328924019</v>
      </c>
      <c r="I98" s="269"/>
      <c r="J98" s="56" t="str">
        <f>IF('EMLO|0348-00'!OrigApprop=0,"ERROR! Enter Original Appropriation amount in DU 3.00!","Calculated "&amp;IF('EMLO|0348-00'!AdjustedTotal&gt;0,"overfunding ","underfunding ")&amp;"is "&amp;TEXT('EMLO|0348-00'!AdjustedTotal/'EMLO|0348-00'!AppropTotal,"#.0%;(#.0% );0% ;")&amp;" of Original Appropriation")</f>
        <v>Calculated overfunding is 31.9% of Original Appropriation</v>
      </c>
      <c r="K98" s="163"/>
      <c r="L98" s="164"/>
    </row>
    <row r="100" spans="1:12" x14ac:dyDescent="0.25">
      <c r="A100" s="395" t="s">
        <v>2702</v>
      </c>
      <c r="B100" s="395"/>
      <c r="C100" s="395"/>
      <c r="D100" s="395"/>
      <c r="E100" s="395"/>
      <c r="F100" s="395"/>
      <c r="G100" s="395"/>
      <c r="H100" s="395"/>
      <c r="I100" s="395"/>
      <c r="J100" s="395"/>
      <c r="K100" s="395"/>
      <c r="L100" s="395"/>
    </row>
    <row r="101" spans="1:12" ht="39" x14ac:dyDescent="0.25">
      <c r="A101" s="473" t="s">
        <v>22</v>
      </c>
      <c r="B101" s="474"/>
      <c r="C101" s="370" t="s">
        <v>23</v>
      </c>
      <c r="D101" s="49" t="s">
        <v>24</v>
      </c>
      <c r="E101" s="50" t="str">
        <f>"FY "&amp;'EMLO|0349-00'!FiscalYear-1&amp;" SALARY"</f>
        <v>FY 2022 SALARY</v>
      </c>
      <c r="F101" s="50" t="str">
        <f>"FY "&amp;'EMLO|0349-00'!FiscalYear-1&amp;" HEALTH BENEFITS"</f>
        <v>FY 2022 HEALTH BENEFITS</v>
      </c>
      <c r="G101" s="50" t="str">
        <f>"FY "&amp;'EMLO|0349-00'!FiscalYear-1&amp;" VAR BENEFITS"</f>
        <v>FY 2022 VAR BENEFITS</v>
      </c>
      <c r="H101" s="50" t="str">
        <f>"FY "&amp;'EMLO|0349-00'!FiscalYear-1&amp;" TOTAL"</f>
        <v>FY 2022 TOTAL</v>
      </c>
      <c r="I101" s="50" t="str">
        <f>"FY "&amp;'EMLO|0349-00'!FiscalYear&amp;" SALARY CHANGE"</f>
        <v>FY 2023 SALARY CHANGE</v>
      </c>
      <c r="J101" s="50" t="str">
        <f>"FY "&amp;'EMLO|0349-00'!FiscalYear&amp;" CHG HEALTH BENEFITS"</f>
        <v>FY 2023 CHG HEALTH BENEFITS</v>
      </c>
      <c r="K101" s="50" t="str">
        <f>"FY "&amp;'EMLO|0349-00'!FiscalYear&amp;" CHG VAR BENEFITS"</f>
        <v>FY 2023 CHG VAR BENEFITS</v>
      </c>
      <c r="L101" s="50" t="s">
        <v>25</v>
      </c>
    </row>
    <row r="102" spans="1:12" x14ac:dyDescent="0.25">
      <c r="A102" s="465" t="s">
        <v>26</v>
      </c>
      <c r="B102" s="466"/>
      <c r="C102" s="141"/>
      <c r="D102" s="142"/>
      <c r="E102" s="143"/>
      <c r="F102" s="143"/>
      <c r="G102" s="143"/>
      <c r="H102" s="144"/>
      <c r="I102" s="144"/>
      <c r="J102" s="145"/>
      <c r="K102" s="146"/>
      <c r="L102" s="144"/>
    </row>
    <row r="103" spans="1:12" x14ac:dyDescent="0.25">
      <c r="A103" s="444" t="s">
        <v>27</v>
      </c>
      <c r="B103" s="467"/>
      <c r="C103" s="217">
        <v>1</v>
      </c>
      <c r="D103" s="288">
        <f>[0]!EMLO034900col_INC_FTI</f>
        <v>0</v>
      </c>
      <c r="E103" s="218">
        <f>[0]!EMLO034900col_FTI_SALARY_PERM</f>
        <v>0</v>
      </c>
      <c r="F103" s="218">
        <f>[0]!EMLO034900col_HEALTH_PERM</f>
        <v>0</v>
      </c>
      <c r="G103" s="218">
        <f>[0]!EMLO034900col_TOT_VB_PERM</f>
        <v>0</v>
      </c>
      <c r="H103" s="219">
        <f>SUM(E103:G103)</f>
        <v>0</v>
      </c>
      <c r="I103" s="219">
        <f>[0]!EMLO034900col_1_27TH_PP</f>
        <v>0</v>
      </c>
      <c r="J103" s="218">
        <f>[0]!EMLO034900col_HEALTH_PERM_CHG</f>
        <v>0</v>
      </c>
      <c r="K103" s="218">
        <f>[0]!EMLO034900col_TOT_VB_PERM_CHG</f>
        <v>0</v>
      </c>
      <c r="L103" s="218">
        <f>SUM(J103:K103)</f>
        <v>0</v>
      </c>
    </row>
    <row r="104" spans="1:12" x14ac:dyDescent="0.25">
      <c r="A104" s="444" t="s">
        <v>28</v>
      </c>
      <c r="B104" s="467"/>
      <c r="C104" s="217">
        <v>2</v>
      </c>
      <c r="D104" s="288"/>
      <c r="E104" s="218">
        <f>[0]!EMLO034900col_Group_Salary</f>
        <v>0</v>
      </c>
      <c r="F104" s="218">
        <v>0</v>
      </c>
      <c r="G104" s="218">
        <f>[0]!EMLO034900col_Group_Ben</f>
        <v>0</v>
      </c>
      <c r="H104" s="219">
        <f>SUM(E104:G104)</f>
        <v>0</v>
      </c>
      <c r="I104" s="268"/>
      <c r="J104" s="218"/>
      <c r="K104" s="218"/>
      <c r="L104" s="218"/>
    </row>
    <row r="105" spans="1:12" x14ac:dyDescent="0.25">
      <c r="A105" s="444" t="s">
        <v>29</v>
      </c>
      <c r="B105" s="445"/>
      <c r="C105" s="217">
        <v>3</v>
      </c>
      <c r="D105" s="288">
        <f>[0]!EMLO034900col_TOTAL_ELECT_PCN_FTI</f>
        <v>0</v>
      </c>
      <c r="E105" s="218">
        <f>[0]!EMLO034900col_FTI_SALARY_ELECT</f>
        <v>0</v>
      </c>
      <c r="F105" s="218">
        <f>[0]!EMLO034900col_HEALTH_ELECT</f>
        <v>0</v>
      </c>
      <c r="G105" s="218">
        <f>[0]!EMLO034900col_TOT_VB_ELECT</f>
        <v>0</v>
      </c>
      <c r="H105" s="219">
        <f>SUM(E105:G105)</f>
        <v>0</v>
      </c>
      <c r="I105" s="268"/>
      <c r="J105" s="218">
        <f>[0]!EMLO034900col_HEALTH_ELECT_CHG</f>
        <v>0</v>
      </c>
      <c r="K105" s="218">
        <f>[0]!EMLO034900col_TOT_VB_ELECT_CHG</f>
        <v>0</v>
      </c>
      <c r="L105" s="219">
        <f>SUM(J105:K105)</f>
        <v>0</v>
      </c>
    </row>
    <row r="106" spans="1:12" x14ac:dyDescent="0.25">
      <c r="A106" s="444" t="s">
        <v>30</v>
      </c>
      <c r="B106" s="467"/>
      <c r="C106" s="217"/>
      <c r="D106" s="220">
        <f>SUM(D103:D105)</f>
        <v>0</v>
      </c>
      <c r="E106" s="221">
        <f>SUM(E103:E105)</f>
        <v>0</v>
      </c>
      <c r="F106" s="221">
        <f>SUM(F103:F105)</f>
        <v>0</v>
      </c>
      <c r="G106" s="221">
        <f>SUM(G103:G105)</f>
        <v>0</v>
      </c>
      <c r="H106" s="219">
        <f>SUM(E106:G106)</f>
        <v>0</v>
      </c>
      <c r="I106" s="268"/>
      <c r="J106" s="219">
        <f>SUM(J103:J105)</f>
        <v>0</v>
      </c>
      <c r="K106" s="219">
        <f>SUM(K103:K105)</f>
        <v>0</v>
      </c>
      <c r="L106" s="219">
        <f>SUM(L103:L105)</f>
        <v>0</v>
      </c>
    </row>
    <row r="107" spans="1:12" x14ac:dyDescent="0.25">
      <c r="A107" s="365"/>
      <c r="B107" s="371"/>
      <c r="C107" s="217"/>
      <c r="D107" s="220"/>
      <c r="E107" s="219"/>
      <c r="F107" s="219"/>
      <c r="G107" s="219"/>
      <c r="H107" s="219"/>
      <c r="I107" s="268"/>
      <c r="J107" s="219"/>
      <c r="K107" s="222"/>
      <c r="L107" s="222"/>
    </row>
    <row r="108" spans="1:12" x14ac:dyDescent="0.25">
      <c r="A108" s="157" t="str">
        <f>"FY "&amp;'EMLO|0349-00'!FiscalYear-1</f>
        <v>FY 2022</v>
      </c>
      <c r="B108" s="158" t="s">
        <v>31</v>
      </c>
      <c r="C108" s="355">
        <v>220100</v>
      </c>
      <c r="D108" s="55">
        <v>7.98</v>
      </c>
      <c r="E108" s="223" t="e">
        <f>IF('EMLO|0349-00'!OrigApprop=0,0,(E106/H106)*'EMLO|0349-00'!OrigApprop)</f>
        <v>#DIV/0!</v>
      </c>
      <c r="F108" s="223" t="e">
        <f>IF('EMLO|0349-00'!OrigApprop=0,0,(F106/H106)*'EMLO|0349-00'!OrigApprop)</f>
        <v>#DIV/0!</v>
      </c>
      <c r="G108" s="223" t="e">
        <f>IF(E108=0,0,(G106/H106)*'EMLO|0349-00'!OrigApprop)</f>
        <v>#DIV/0!</v>
      </c>
      <c r="H108" s="223" t="e">
        <f>SUM(E108:G108)</f>
        <v>#DIV/0!</v>
      </c>
      <c r="I108" s="268"/>
      <c r="J108" s="224"/>
      <c r="K108" s="224"/>
      <c r="L108" s="224"/>
    </row>
    <row r="109" spans="1:12" x14ac:dyDescent="0.25">
      <c r="A109" s="454" t="s">
        <v>32</v>
      </c>
      <c r="B109" s="455"/>
      <c r="C109" s="160" t="s">
        <v>33</v>
      </c>
      <c r="D109" s="161">
        <f>D108-D106</f>
        <v>7.98</v>
      </c>
      <c r="E109" s="162" t="e">
        <f>E108-E106</f>
        <v>#DIV/0!</v>
      </c>
      <c r="F109" s="162" t="e">
        <f>F108-F106</f>
        <v>#DIV/0!</v>
      </c>
      <c r="G109" s="162" t="e">
        <f>G108-G106</f>
        <v>#DIV/0!</v>
      </c>
      <c r="H109" s="162" t="e">
        <f>H108-H106</f>
        <v>#DIV/0!</v>
      </c>
      <c r="I109" s="269"/>
      <c r="J109" s="56" t="e">
        <f>IF('EMLO|0349-00'!OrigApprop=0,"ERROR! Enter Original Appropriation amount in DU 3.00!","Calculated "&amp;IF('EMLO|0349-00'!AdjustedTotal&gt;0,"overfunding ","underfunding ")&amp;"is "&amp;TEXT('EMLO|0349-00'!AdjustedTotal/'EMLO|0349-00'!AppropTotal,"#.0%;(#.0% );0% ;")&amp;" of Original Appropriation")</f>
        <v>#DIV/0!</v>
      </c>
      <c r="K109" s="163"/>
      <c r="L109" s="164"/>
    </row>
    <row r="111" spans="1:12" x14ac:dyDescent="0.25">
      <c r="A111" s="395" t="s">
        <v>2706</v>
      </c>
      <c r="B111" s="395"/>
      <c r="C111" s="395"/>
      <c r="D111" s="395"/>
      <c r="E111" s="395"/>
      <c r="F111" s="395"/>
      <c r="G111" s="395"/>
      <c r="H111" s="395"/>
      <c r="I111" s="395"/>
      <c r="J111" s="395"/>
      <c r="K111" s="395"/>
      <c r="L111" s="395"/>
    </row>
    <row r="112" spans="1:12" ht="39" x14ac:dyDescent="0.25">
      <c r="A112" s="473" t="s">
        <v>22</v>
      </c>
      <c r="B112" s="474"/>
      <c r="C112" s="370" t="s">
        <v>23</v>
      </c>
      <c r="D112" s="49" t="s">
        <v>24</v>
      </c>
      <c r="E112" s="50" t="str">
        <f>"FY "&amp;'EMUI|0001-00'!FiscalYear-1&amp;" SALARY"</f>
        <v>FY 2022 SALARY</v>
      </c>
      <c r="F112" s="50" t="str">
        <f>"FY "&amp;'EMUI|0001-00'!FiscalYear-1&amp;" HEALTH BENEFITS"</f>
        <v>FY 2022 HEALTH BENEFITS</v>
      </c>
      <c r="G112" s="50" t="str">
        <f>"FY "&amp;'EMUI|0001-00'!FiscalYear-1&amp;" VAR BENEFITS"</f>
        <v>FY 2022 VAR BENEFITS</v>
      </c>
      <c r="H112" s="50" t="str">
        <f>"FY "&amp;'EMUI|0001-00'!FiscalYear-1&amp;" TOTAL"</f>
        <v>FY 2022 TOTAL</v>
      </c>
      <c r="I112" s="50" t="str">
        <f>"FY "&amp;'EMUI|0001-00'!FiscalYear&amp;" SALARY CHANGE"</f>
        <v>FY 2023 SALARY CHANGE</v>
      </c>
      <c r="J112" s="50" t="str">
        <f>"FY "&amp;'EMUI|0001-00'!FiscalYear&amp;" CHG HEALTH BENEFITS"</f>
        <v>FY 2023 CHG HEALTH BENEFITS</v>
      </c>
      <c r="K112" s="50" t="str">
        <f>"FY "&amp;'EMUI|0001-00'!FiscalYear&amp;" CHG VAR BENEFITS"</f>
        <v>FY 2023 CHG VAR BENEFITS</v>
      </c>
      <c r="L112" s="50" t="s">
        <v>25</v>
      </c>
    </row>
    <row r="113" spans="1:12" x14ac:dyDescent="0.25">
      <c r="A113" s="465" t="s">
        <v>26</v>
      </c>
      <c r="B113" s="466"/>
      <c r="C113" s="141"/>
      <c r="D113" s="142"/>
      <c r="E113" s="143"/>
      <c r="F113" s="143"/>
      <c r="G113" s="143"/>
      <c r="H113" s="144"/>
      <c r="I113" s="144"/>
      <c r="J113" s="145"/>
      <c r="K113" s="146"/>
      <c r="L113" s="144"/>
    </row>
    <row r="114" spans="1:12" x14ac:dyDescent="0.25">
      <c r="A114" s="444" t="s">
        <v>27</v>
      </c>
      <c r="B114" s="467"/>
      <c r="C114" s="217">
        <v>1</v>
      </c>
      <c r="D114" s="288">
        <f>[0]!EMUI000100col_INC_FTI</f>
        <v>5.9</v>
      </c>
      <c r="E114" s="218">
        <f>[0]!EMUI000100col_FTI_SALARY_PERM</f>
        <v>287260.48</v>
      </c>
      <c r="F114" s="218">
        <f>[0]!EMUI000100col_HEALTH_PERM</f>
        <v>68735</v>
      </c>
      <c r="G114" s="218">
        <f>[0]!EMUI000100col_TOT_VB_PERM</f>
        <v>62118.642497600005</v>
      </c>
      <c r="H114" s="219">
        <f>SUM(E114:G114)</f>
        <v>418114.12249759998</v>
      </c>
      <c r="I114" s="219">
        <f>[0]!EMUI000100col_1_27TH_PP</f>
        <v>0</v>
      </c>
      <c r="J114" s="218">
        <f>[0]!EMUI000100col_HEALTH_PERM_CHG</f>
        <v>0</v>
      </c>
      <c r="K114" s="218">
        <f>[0]!EMUI000100col_TOT_VB_PERM_CHG</f>
        <v>-1206.4940160000001</v>
      </c>
      <c r="L114" s="218">
        <f>SUM(J114:K114)</f>
        <v>-1206.4940160000001</v>
      </c>
    </row>
    <row r="115" spans="1:12" x14ac:dyDescent="0.25">
      <c r="A115" s="444" t="s">
        <v>28</v>
      </c>
      <c r="B115" s="467"/>
      <c r="C115" s="217">
        <v>2</v>
      </c>
      <c r="D115" s="288"/>
      <c r="E115" s="218">
        <f>[0]!EMUI000100col_Group_Salary</f>
        <v>0</v>
      </c>
      <c r="F115" s="218">
        <v>0</v>
      </c>
      <c r="G115" s="218">
        <f>[0]!EMUI000100col_Group_Ben</f>
        <v>0</v>
      </c>
      <c r="H115" s="219">
        <f>SUM(E115:G115)</f>
        <v>0</v>
      </c>
      <c r="I115" s="268"/>
      <c r="J115" s="218"/>
      <c r="K115" s="218"/>
      <c r="L115" s="218"/>
    </row>
    <row r="116" spans="1:12" x14ac:dyDescent="0.25">
      <c r="A116" s="444" t="s">
        <v>29</v>
      </c>
      <c r="B116" s="445"/>
      <c r="C116" s="217">
        <v>3</v>
      </c>
      <c r="D116" s="288">
        <f>[0]!EMUI000100col_TOTAL_ELECT_PCN_FTI</f>
        <v>0</v>
      </c>
      <c r="E116" s="218">
        <f>[0]!EMUI000100col_FTI_SALARY_ELECT</f>
        <v>0</v>
      </c>
      <c r="F116" s="218">
        <f>[0]!EMUI000100col_HEALTH_ELECT</f>
        <v>0</v>
      </c>
      <c r="G116" s="218">
        <f>[0]!EMUI000100col_TOT_VB_ELECT</f>
        <v>0</v>
      </c>
      <c r="H116" s="219">
        <f>SUM(E116:G116)</f>
        <v>0</v>
      </c>
      <c r="I116" s="268"/>
      <c r="J116" s="218">
        <f>[0]!EMUI000100col_HEALTH_ELECT_CHG</f>
        <v>0</v>
      </c>
      <c r="K116" s="218">
        <f>[0]!EMUI000100col_TOT_VB_ELECT_CHG</f>
        <v>0</v>
      </c>
      <c r="L116" s="219">
        <f>SUM(J116:K116)</f>
        <v>0</v>
      </c>
    </row>
    <row r="117" spans="1:12" x14ac:dyDescent="0.25">
      <c r="A117" s="444" t="s">
        <v>30</v>
      </c>
      <c r="B117" s="467"/>
      <c r="C117" s="217"/>
      <c r="D117" s="220">
        <f>SUM(D114:D116)</f>
        <v>5.9</v>
      </c>
      <c r="E117" s="221">
        <f>SUM(E114:E116)</f>
        <v>287260.48</v>
      </c>
      <c r="F117" s="221">
        <f>SUM(F114:F116)</f>
        <v>68735</v>
      </c>
      <c r="G117" s="221">
        <f>SUM(G114:G116)</f>
        <v>62118.642497600005</v>
      </c>
      <c r="H117" s="219">
        <f>SUM(E117:G117)</f>
        <v>418114.12249759998</v>
      </c>
      <c r="I117" s="268"/>
      <c r="J117" s="219">
        <f>SUM(J114:J116)</f>
        <v>0</v>
      </c>
      <c r="K117" s="219">
        <f>SUM(K114:K116)</f>
        <v>-1206.4940160000001</v>
      </c>
      <c r="L117" s="219">
        <f>SUM(L114:L116)</f>
        <v>-1206.4940160000001</v>
      </c>
    </row>
    <row r="118" spans="1:12" x14ac:dyDescent="0.25">
      <c r="A118" s="365"/>
      <c r="B118" s="371"/>
      <c r="C118" s="217"/>
      <c r="D118" s="220"/>
      <c r="E118" s="219"/>
      <c r="F118" s="219"/>
      <c r="G118" s="219"/>
      <c r="H118" s="219"/>
      <c r="I118" s="268"/>
      <c r="J118" s="219"/>
      <c r="K118" s="222"/>
      <c r="L118" s="222"/>
    </row>
    <row r="119" spans="1:12" x14ac:dyDescent="0.25">
      <c r="A119" s="157" t="str">
        <f>"FY "&amp;'EMUI|0001-00'!FiscalYear-1</f>
        <v>FY 2022</v>
      </c>
      <c r="B119" s="158" t="s">
        <v>31</v>
      </c>
      <c r="C119" s="355">
        <v>334400</v>
      </c>
      <c r="D119" s="55">
        <v>6</v>
      </c>
      <c r="E119" s="223">
        <f>IF('EMUI|0001-00'!OrigApprop=0,0,(E117/H117)*'EMUI|0001-00'!OrigApprop)</f>
        <v>229745.6587646149</v>
      </c>
      <c r="F119" s="223">
        <f>IF('EMUI|0001-00'!OrigApprop=0,0,(F117/H117)*'EMUI|0001-00'!OrigApprop)</f>
        <v>54972.991255830959</v>
      </c>
      <c r="G119" s="223">
        <f>IF(E119=0,0,(G117/H117)*'EMUI|0001-00'!OrigApprop)</f>
        <v>49681.34997955415</v>
      </c>
      <c r="H119" s="223">
        <f>SUM(E119:G119)</f>
        <v>334400</v>
      </c>
      <c r="I119" s="268"/>
      <c r="J119" s="224"/>
      <c r="K119" s="224"/>
      <c r="L119" s="224"/>
    </row>
    <row r="120" spans="1:12" x14ac:dyDescent="0.25">
      <c r="A120" s="454" t="s">
        <v>32</v>
      </c>
      <c r="B120" s="455"/>
      <c r="C120" s="160" t="s">
        <v>33</v>
      </c>
      <c r="D120" s="161">
        <f>D119-D117</f>
        <v>9.9999999999999645E-2</v>
      </c>
      <c r="E120" s="162">
        <f>E119-E117</f>
        <v>-57514.821235385083</v>
      </c>
      <c r="F120" s="162">
        <f>F119-F117</f>
        <v>-13762.008744169041</v>
      </c>
      <c r="G120" s="162">
        <f>G119-G117</f>
        <v>-12437.292518045855</v>
      </c>
      <c r="H120" s="162">
        <f>H119-H117</f>
        <v>-83714.122497599979</v>
      </c>
      <c r="I120" s="269"/>
      <c r="J120" s="56" t="str">
        <f>IF('EMUI|0001-00'!OrigApprop=0,"ERROR! Enter Original Appropriation amount in DU 3.00!","Calculated "&amp;IF('EMUI|0001-00'!AdjustedTotal&gt;0,"overfunding ","underfunding ")&amp;"is "&amp;TEXT('EMUI|0001-00'!AdjustedTotal/'EMUI|0001-00'!AppropTotal,"#.0%;(#.0% );0% ;")&amp;" of Original Appropriation")</f>
        <v>Calculated underfunding is (25.0% ) of Original Appropriation</v>
      </c>
      <c r="K120" s="163"/>
      <c r="L120" s="164"/>
    </row>
    <row r="122" spans="1:12" x14ac:dyDescent="0.25">
      <c r="A122" s="395" t="s">
        <v>2709</v>
      </c>
      <c r="B122" s="395"/>
      <c r="C122" s="395"/>
      <c r="D122" s="395"/>
      <c r="E122" s="395"/>
      <c r="F122" s="395"/>
      <c r="G122" s="395"/>
      <c r="H122" s="395"/>
      <c r="I122" s="395"/>
      <c r="J122" s="395"/>
      <c r="K122" s="395"/>
      <c r="L122" s="395"/>
    </row>
    <row r="123" spans="1:12" ht="39" x14ac:dyDescent="0.25">
      <c r="A123" s="473" t="s">
        <v>22</v>
      </c>
      <c r="B123" s="474"/>
      <c r="C123" s="370" t="s">
        <v>23</v>
      </c>
      <c r="D123" s="49" t="s">
        <v>24</v>
      </c>
      <c r="E123" s="50" t="str">
        <f>"FY "&amp;'EMUI|0302-00'!FiscalYear-1&amp;" SALARY"</f>
        <v>FY 2022 SALARY</v>
      </c>
      <c r="F123" s="50" t="str">
        <f>"FY "&amp;'EMUI|0302-00'!FiscalYear-1&amp;" HEALTH BENEFITS"</f>
        <v>FY 2022 HEALTH BENEFITS</v>
      </c>
      <c r="G123" s="50" t="str">
        <f>"FY "&amp;'EMUI|0302-00'!FiscalYear-1&amp;" VAR BENEFITS"</f>
        <v>FY 2022 VAR BENEFITS</v>
      </c>
      <c r="H123" s="50" t="str">
        <f>"FY "&amp;'EMUI|0302-00'!FiscalYear-1&amp;" TOTAL"</f>
        <v>FY 2022 TOTAL</v>
      </c>
      <c r="I123" s="50" t="str">
        <f>"FY "&amp;'EMUI|0302-00'!FiscalYear&amp;" SALARY CHANGE"</f>
        <v>FY 2023 SALARY CHANGE</v>
      </c>
      <c r="J123" s="50" t="str">
        <f>"FY "&amp;'EMUI|0302-00'!FiscalYear&amp;" CHG HEALTH BENEFITS"</f>
        <v>FY 2023 CHG HEALTH BENEFITS</v>
      </c>
      <c r="K123" s="50" t="str">
        <f>"FY "&amp;'EMUI|0302-00'!FiscalYear&amp;" CHG VAR BENEFITS"</f>
        <v>FY 2023 CHG VAR BENEFITS</v>
      </c>
      <c r="L123" s="50" t="s">
        <v>25</v>
      </c>
    </row>
    <row r="124" spans="1:12" x14ac:dyDescent="0.25">
      <c r="A124" s="465" t="s">
        <v>26</v>
      </c>
      <c r="B124" s="466"/>
      <c r="C124" s="141"/>
      <c r="D124" s="142"/>
      <c r="E124" s="143"/>
      <c r="F124" s="143"/>
      <c r="G124" s="143"/>
      <c r="H124" s="144"/>
      <c r="I124" s="144"/>
      <c r="J124" s="145"/>
      <c r="K124" s="146"/>
      <c r="L124" s="144"/>
    </row>
    <row r="125" spans="1:12" x14ac:dyDescent="0.25">
      <c r="A125" s="444" t="s">
        <v>27</v>
      </c>
      <c r="B125" s="467"/>
      <c r="C125" s="217">
        <v>1</v>
      </c>
      <c r="D125" s="288">
        <f>[0]!EMUI030200col_INC_FTI</f>
        <v>0</v>
      </c>
      <c r="E125" s="218">
        <f>[0]!EMUI030200col_FTI_SALARY_PERM</f>
        <v>0</v>
      </c>
      <c r="F125" s="218">
        <f>[0]!EMUI030200col_HEALTH_PERM</f>
        <v>0</v>
      </c>
      <c r="G125" s="218">
        <f>[0]!EMUI030200col_TOT_VB_PERM</f>
        <v>0</v>
      </c>
      <c r="H125" s="219">
        <f>SUM(E125:G125)</f>
        <v>0</v>
      </c>
      <c r="I125" s="219">
        <f>[0]!EMUI030200col_1_27TH_PP</f>
        <v>0</v>
      </c>
      <c r="J125" s="218">
        <f>[0]!EMUI030200col_HEALTH_PERM_CHG</f>
        <v>0</v>
      </c>
      <c r="K125" s="218">
        <f>[0]!EMUI030200col_TOT_VB_PERM_CHG</f>
        <v>0</v>
      </c>
      <c r="L125" s="218">
        <f>SUM(J125:K125)</f>
        <v>0</v>
      </c>
    </row>
    <row r="126" spans="1:12" x14ac:dyDescent="0.25">
      <c r="A126" s="444" t="s">
        <v>28</v>
      </c>
      <c r="B126" s="467"/>
      <c r="C126" s="217">
        <v>2</v>
      </c>
      <c r="D126" s="288"/>
      <c r="E126" s="218">
        <f>[0]!EMUI030200col_Group_Salary</f>
        <v>0</v>
      </c>
      <c r="F126" s="218">
        <v>0</v>
      </c>
      <c r="G126" s="218">
        <f>[0]!EMUI030200col_Group_Ben</f>
        <v>0</v>
      </c>
      <c r="H126" s="219">
        <f>SUM(E126:G126)</f>
        <v>0</v>
      </c>
      <c r="I126" s="268"/>
      <c r="J126" s="218"/>
      <c r="K126" s="218"/>
      <c r="L126" s="218"/>
    </row>
    <row r="127" spans="1:12" x14ac:dyDescent="0.25">
      <c r="A127" s="444" t="s">
        <v>29</v>
      </c>
      <c r="B127" s="445"/>
      <c r="C127" s="217">
        <v>3</v>
      </c>
      <c r="D127" s="288">
        <f>[0]!EMUI030200col_TOTAL_ELECT_PCN_FTI</f>
        <v>0</v>
      </c>
      <c r="E127" s="218">
        <f>[0]!EMUI030200col_FTI_SALARY_ELECT</f>
        <v>0</v>
      </c>
      <c r="F127" s="218">
        <f>[0]!EMUI030200col_HEALTH_ELECT</f>
        <v>0</v>
      </c>
      <c r="G127" s="218">
        <f>[0]!EMUI030200col_TOT_VB_ELECT</f>
        <v>0</v>
      </c>
      <c r="H127" s="219">
        <f>SUM(E127:G127)</f>
        <v>0</v>
      </c>
      <c r="I127" s="268"/>
      <c r="J127" s="218">
        <f>[0]!EMUI030200col_HEALTH_ELECT_CHG</f>
        <v>0</v>
      </c>
      <c r="K127" s="218">
        <f>[0]!EMUI030200col_TOT_VB_ELECT_CHG</f>
        <v>0</v>
      </c>
      <c r="L127" s="219">
        <f>SUM(J127:K127)</f>
        <v>0</v>
      </c>
    </row>
    <row r="128" spans="1:12" x14ac:dyDescent="0.25">
      <c r="A128" s="444" t="s">
        <v>30</v>
      </c>
      <c r="B128" s="467"/>
      <c r="C128" s="217"/>
      <c r="D128" s="220">
        <f>SUM(D125:D127)</f>
        <v>0</v>
      </c>
      <c r="E128" s="221">
        <f>SUM(E125:E127)</f>
        <v>0</v>
      </c>
      <c r="F128" s="221">
        <f>SUM(F125:F127)</f>
        <v>0</v>
      </c>
      <c r="G128" s="221">
        <f>SUM(G125:G127)</f>
        <v>0</v>
      </c>
      <c r="H128" s="219">
        <f>SUM(E128:G128)</f>
        <v>0</v>
      </c>
      <c r="I128" s="268"/>
      <c r="J128" s="219">
        <f>SUM(J125:J127)</f>
        <v>0</v>
      </c>
      <c r="K128" s="219">
        <f>SUM(K125:K127)</f>
        <v>0</v>
      </c>
      <c r="L128" s="219">
        <f>SUM(L125:L127)</f>
        <v>0</v>
      </c>
    </row>
    <row r="129" spans="1:12" x14ac:dyDescent="0.25">
      <c r="A129" s="365"/>
      <c r="B129" s="371"/>
      <c r="C129" s="217"/>
      <c r="D129" s="220"/>
      <c r="E129" s="219"/>
      <c r="F129" s="219"/>
      <c r="G129" s="219"/>
      <c r="H129" s="219"/>
      <c r="I129" s="268"/>
      <c r="J129" s="219"/>
      <c r="K129" s="222"/>
      <c r="L129" s="222"/>
    </row>
    <row r="130" spans="1:12" x14ac:dyDescent="0.25">
      <c r="A130" s="157" t="str">
        <f>"FY "&amp;'EMUI|0302-00'!FiscalYear-1</f>
        <v>FY 2022</v>
      </c>
      <c r="B130" s="158" t="s">
        <v>31</v>
      </c>
      <c r="C130" s="355">
        <v>2280800</v>
      </c>
      <c r="D130" s="55">
        <v>19.73</v>
      </c>
      <c r="E130" s="223" t="e">
        <f>IF('EMUI|0302-00'!OrigApprop=0,0,(E128/H128)*'EMUI|0302-00'!OrigApprop)</f>
        <v>#DIV/0!</v>
      </c>
      <c r="F130" s="223" t="e">
        <f>IF('EMUI|0302-00'!OrigApprop=0,0,(F128/H128)*'EMUI|0302-00'!OrigApprop)</f>
        <v>#DIV/0!</v>
      </c>
      <c r="G130" s="223" t="e">
        <f>IF(E130=0,0,(G128/H128)*'EMUI|0302-00'!OrigApprop)</f>
        <v>#DIV/0!</v>
      </c>
      <c r="H130" s="223" t="e">
        <f>SUM(E130:G130)</f>
        <v>#DIV/0!</v>
      </c>
      <c r="I130" s="268"/>
      <c r="J130" s="224"/>
      <c r="K130" s="224"/>
      <c r="L130" s="224"/>
    </row>
    <row r="131" spans="1:12" x14ac:dyDescent="0.25">
      <c r="A131" s="454" t="s">
        <v>32</v>
      </c>
      <c r="B131" s="455"/>
      <c r="C131" s="160" t="s">
        <v>33</v>
      </c>
      <c r="D131" s="161">
        <f>D130-D128</f>
        <v>19.73</v>
      </c>
      <c r="E131" s="162" t="e">
        <f>E130-E128</f>
        <v>#DIV/0!</v>
      </c>
      <c r="F131" s="162" t="e">
        <f>F130-F128</f>
        <v>#DIV/0!</v>
      </c>
      <c r="G131" s="162" t="e">
        <f>G130-G128</f>
        <v>#DIV/0!</v>
      </c>
      <c r="H131" s="162" t="e">
        <f>H130-H128</f>
        <v>#DIV/0!</v>
      </c>
      <c r="I131" s="269"/>
      <c r="J131" s="56" t="e">
        <f>IF('EMUI|0302-00'!OrigApprop=0,"ERROR! Enter Original Appropriation amount in DU 3.00!","Calculated "&amp;IF('EMUI|0302-00'!AdjustedTotal&gt;0,"overfunding ","underfunding ")&amp;"is "&amp;TEXT('EMUI|0302-00'!AdjustedTotal/'EMUI|0302-00'!AppropTotal,"#.0%;(#.0% );0% ;")&amp;" of Original Appropriation")</f>
        <v>#DIV/0!</v>
      </c>
      <c r="K131" s="163"/>
      <c r="L131" s="164"/>
    </row>
    <row r="133" spans="1:12" x14ac:dyDescent="0.25">
      <c r="A133" s="395" t="s">
        <v>2713</v>
      </c>
      <c r="B133" s="395"/>
      <c r="C133" s="395"/>
      <c r="D133" s="395"/>
      <c r="E133" s="395"/>
      <c r="F133" s="395"/>
      <c r="G133" s="395"/>
      <c r="H133" s="395"/>
      <c r="I133" s="395"/>
      <c r="J133" s="395"/>
      <c r="K133" s="395"/>
      <c r="L133" s="395"/>
    </row>
    <row r="134" spans="1:12" ht="39" x14ac:dyDescent="0.25">
      <c r="A134" s="473" t="s">
        <v>22</v>
      </c>
      <c r="B134" s="474"/>
      <c r="C134" s="370" t="s">
        <v>23</v>
      </c>
      <c r="D134" s="49" t="s">
        <v>24</v>
      </c>
      <c r="E134" s="50" t="str">
        <f>"FY "&amp;'EMUI|0348-00'!FiscalYear-1&amp;" SALARY"</f>
        <v>FY 2022 SALARY</v>
      </c>
      <c r="F134" s="50" t="str">
        <f>"FY "&amp;'EMUI|0348-00'!FiscalYear-1&amp;" HEALTH BENEFITS"</f>
        <v>FY 2022 HEALTH BENEFITS</v>
      </c>
      <c r="G134" s="50" t="str">
        <f>"FY "&amp;'EMUI|0348-00'!FiscalYear-1&amp;" VAR BENEFITS"</f>
        <v>FY 2022 VAR BENEFITS</v>
      </c>
      <c r="H134" s="50" t="str">
        <f>"FY "&amp;'EMUI|0348-00'!FiscalYear-1&amp;" TOTAL"</f>
        <v>FY 2022 TOTAL</v>
      </c>
      <c r="I134" s="50" t="str">
        <f>"FY "&amp;'EMUI|0348-00'!FiscalYear&amp;" SALARY CHANGE"</f>
        <v>FY 2023 SALARY CHANGE</v>
      </c>
      <c r="J134" s="50" t="str">
        <f>"FY "&amp;'EMUI|0348-00'!FiscalYear&amp;" CHG HEALTH BENEFITS"</f>
        <v>FY 2023 CHG HEALTH BENEFITS</v>
      </c>
      <c r="K134" s="50" t="str">
        <f>"FY "&amp;'EMUI|0348-00'!FiscalYear&amp;" CHG VAR BENEFITS"</f>
        <v>FY 2023 CHG VAR BENEFITS</v>
      </c>
      <c r="L134" s="50" t="s">
        <v>25</v>
      </c>
    </row>
    <row r="135" spans="1:12" x14ac:dyDescent="0.25">
      <c r="A135" s="465" t="s">
        <v>26</v>
      </c>
      <c r="B135" s="466"/>
      <c r="C135" s="141"/>
      <c r="D135" s="142"/>
      <c r="E135" s="143"/>
      <c r="F135" s="143"/>
      <c r="G135" s="143"/>
      <c r="H135" s="144"/>
      <c r="I135" s="144"/>
      <c r="J135" s="145"/>
      <c r="K135" s="146"/>
      <c r="L135" s="144"/>
    </row>
    <row r="136" spans="1:12" x14ac:dyDescent="0.25">
      <c r="A136" s="444" t="s">
        <v>27</v>
      </c>
      <c r="B136" s="467"/>
      <c r="C136" s="217">
        <v>1</v>
      </c>
      <c r="D136" s="288">
        <f>[0]!EMUI034800col_INC_FTI</f>
        <v>325.18000000000012</v>
      </c>
      <c r="E136" s="218">
        <f>[0]!EMUI034800col_FTI_SALARY_PERM</f>
        <v>16498508.820000008</v>
      </c>
      <c r="F136" s="218">
        <f>[0]!EMUI034800col_HEALTH_PERM</f>
        <v>3792774</v>
      </c>
      <c r="G136" s="218">
        <f>[0]!EMUI034800col_TOT_VB_PERM</f>
        <v>3565671.8511062479</v>
      </c>
      <c r="H136" s="219">
        <f>SUM(E136:G136)</f>
        <v>23856954.671106257</v>
      </c>
      <c r="I136" s="219">
        <f>[0]!EMUI034800col_1_27TH_PP</f>
        <v>0</v>
      </c>
      <c r="J136" s="218">
        <f>[0]!EMUI034800col_HEALTH_PERM_CHG</f>
        <v>0</v>
      </c>
      <c r="K136" s="218">
        <f>[0]!EMUI034800col_TOT_VB_PERM_CHG</f>
        <v>-69290.575043999997</v>
      </c>
      <c r="L136" s="218">
        <f>SUM(J136:K136)</f>
        <v>-69290.575043999997</v>
      </c>
    </row>
    <row r="137" spans="1:12" x14ac:dyDescent="0.25">
      <c r="A137" s="444" t="s">
        <v>28</v>
      </c>
      <c r="B137" s="467"/>
      <c r="C137" s="217">
        <v>2</v>
      </c>
      <c r="D137" s="288"/>
      <c r="E137" s="218">
        <f>[0]!EMUI034800col_Group_Salary</f>
        <v>145845.62999999998</v>
      </c>
      <c r="F137" s="218">
        <v>0</v>
      </c>
      <c r="G137" s="218">
        <f>[0]!EMUI034800col_Group_Ben</f>
        <v>41062.789999999994</v>
      </c>
      <c r="H137" s="219">
        <f>SUM(E137:G137)</f>
        <v>186908.41999999998</v>
      </c>
      <c r="I137" s="268"/>
      <c r="J137" s="218"/>
      <c r="K137" s="218"/>
      <c r="L137" s="218"/>
    </row>
    <row r="138" spans="1:12" x14ac:dyDescent="0.25">
      <c r="A138" s="444" t="s">
        <v>29</v>
      </c>
      <c r="B138" s="445"/>
      <c r="C138" s="217">
        <v>3</v>
      </c>
      <c r="D138" s="288">
        <f>[0]!EMUI034800col_TOTAL_ELECT_PCN_FTI</f>
        <v>0</v>
      </c>
      <c r="E138" s="218">
        <f>[0]!EMUI034800col_FTI_SALARY_ELECT</f>
        <v>0</v>
      </c>
      <c r="F138" s="218">
        <f>[0]!EMUI034800col_HEALTH_ELECT</f>
        <v>0</v>
      </c>
      <c r="G138" s="218">
        <f>[0]!EMUI034800col_TOT_VB_ELECT</f>
        <v>0</v>
      </c>
      <c r="H138" s="219">
        <f>SUM(E138:G138)</f>
        <v>0</v>
      </c>
      <c r="I138" s="268"/>
      <c r="J138" s="218">
        <f>[0]!EMUI034800col_HEALTH_ELECT_CHG</f>
        <v>0</v>
      </c>
      <c r="K138" s="218">
        <f>[0]!EMUI034800col_TOT_VB_ELECT_CHG</f>
        <v>0</v>
      </c>
      <c r="L138" s="219">
        <f>SUM(J138:K138)</f>
        <v>0</v>
      </c>
    </row>
    <row r="139" spans="1:12" x14ac:dyDescent="0.25">
      <c r="A139" s="444" t="s">
        <v>30</v>
      </c>
      <c r="B139" s="467"/>
      <c r="C139" s="217"/>
      <c r="D139" s="220">
        <f>SUM(D136:D138)</f>
        <v>325.18000000000012</v>
      </c>
      <c r="E139" s="221">
        <f>SUM(E136:E138)</f>
        <v>16644354.450000009</v>
      </c>
      <c r="F139" s="221">
        <f>SUM(F136:F138)</f>
        <v>3792774</v>
      </c>
      <c r="G139" s="221">
        <f>SUM(G136:G138)</f>
        <v>3606734.6411062479</v>
      </c>
      <c r="H139" s="219">
        <f>SUM(E139:G139)</f>
        <v>24043863.091106258</v>
      </c>
      <c r="I139" s="268"/>
      <c r="J139" s="219">
        <f>SUM(J136:J138)</f>
        <v>0</v>
      </c>
      <c r="K139" s="219">
        <f>SUM(K136:K138)</f>
        <v>-69290.575043999997</v>
      </c>
      <c r="L139" s="219">
        <f>SUM(L136:L138)</f>
        <v>-69290.575043999997</v>
      </c>
    </row>
    <row r="140" spans="1:12" x14ac:dyDescent="0.25">
      <c r="A140" s="365"/>
      <c r="B140" s="371"/>
      <c r="C140" s="217"/>
      <c r="D140" s="220"/>
      <c r="E140" s="219"/>
      <c r="F140" s="219"/>
      <c r="G140" s="219"/>
      <c r="H140" s="219"/>
      <c r="I140" s="268"/>
      <c r="J140" s="219"/>
      <c r="K140" s="222"/>
      <c r="L140" s="222"/>
    </row>
    <row r="141" spans="1:12" x14ac:dyDescent="0.25">
      <c r="A141" s="157" t="str">
        <f>"FY "&amp;'EMUI|0348-00'!FiscalYear-1</f>
        <v>FY 2022</v>
      </c>
      <c r="B141" s="158" t="s">
        <v>31</v>
      </c>
      <c r="C141" s="355">
        <v>25691900</v>
      </c>
      <c r="D141" s="55">
        <v>336.19</v>
      </c>
      <c r="E141" s="223">
        <f>IF('EMUI|0348-00'!OrigApprop=0,0,(E139/H139)*'EMUI|0348-00'!OrigApprop)</f>
        <v>17785207.330186982</v>
      </c>
      <c r="F141" s="223">
        <f>IF('EMUI|0348-00'!OrigApprop=0,0,(F139/H139)*'EMUI|0348-00'!OrigApprop)</f>
        <v>4052741.8560557365</v>
      </c>
      <c r="G141" s="223">
        <f>IF(E141=0,0,(G139/H139)*'EMUI|0348-00'!OrigApprop)</f>
        <v>3853950.8137572804</v>
      </c>
      <c r="H141" s="223">
        <f>SUM(E141:G141)</f>
        <v>25691900</v>
      </c>
      <c r="I141" s="268"/>
      <c r="J141" s="224"/>
      <c r="K141" s="224"/>
      <c r="L141" s="224"/>
    </row>
    <row r="142" spans="1:12" x14ac:dyDescent="0.25">
      <c r="A142" s="454" t="s">
        <v>32</v>
      </c>
      <c r="B142" s="455"/>
      <c r="C142" s="160" t="s">
        <v>33</v>
      </c>
      <c r="D142" s="161">
        <f>D141-D139</f>
        <v>11.009999999999877</v>
      </c>
      <c r="E142" s="162">
        <f>E141-E139</f>
        <v>1140852.8801869731</v>
      </c>
      <c r="F142" s="162">
        <f>F141-F139</f>
        <v>259967.85605573654</v>
      </c>
      <c r="G142" s="162">
        <f>G141-G139</f>
        <v>247216.17265103245</v>
      </c>
      <c r="H142" s="162">
        <f>H141-H139</f>
        <v>1648036.9088937417</v>
      </c>
      <c r="I142" s="269"/>
      <c r="J142" s="56" t="str">
        <f>IF('EMUI|0348-00'!OrigApprop=0,"ERROR! Enter Original Appropriation amount in DU 3.00!","Calculated "&amp;IF('EMUI|0348-00'!AdjustedTotal&gt;0,"overfunding ","underfunding ")&amp;"is "&amp;TEXT('EMUI|0348-00'!AdjustedTotal/'EMUI|0348-00'!AppropTotal,"#.0%;(#.0% );0% ;")&amp;" of Original Appropriation")</f>
        <v>Calculated overfunding is 6.4% of Original Appropriation</v>
      </c>
      <c r="K142" s="163"/>
      <c r="L142" s="164"/>
    </row>
    <row r="144" spans="1:12" x14ac:dyDescent="0.25">
      <c r="A144" s="395" t="s">
        <v>2717</v>
      </c>
      <c r="B144" s="395"/>
      <c r="C144" s="395"/>
      <c r="D144" s="395"/>
      <c r="E144" s="395"/>
      <c r="F144" s="395"/>
      <c r="G144" s="395"/>
      <c r="H144" s="395"/>
      <c r="I144" s="395"/>
      <c r="J144" s="395"/>
      <c r="K144" s="395"/>
      <c r="L144" s="395"/>
    </row>
    <row r="145" spans="1:12" ht="39" x14ac:dyDescent="0.25">
      <c r="A145" s="473" t="s">
        <v>22</v>
      </c>
      <c r="B145" s="474"/>
      <c r="C145" s="370" t="s">
        <v>23</v>
      </c>
      <c r="D145" s="49" t="s">
        <v>24</v>
      </c>
      <c r="E145" s="50" t="str">
        <f>"FY "&amp;'EMUI|0349-00'!FiscalYear-1&amp;" SALARY"</f>
        <v>FY 2022 SALARY</v>
      </c>
      <c r="F145" s="50" t="str">
        <f>"FY "&amp;'EMUI|0349-00'!FiscalYear-1&amp;" HEALTH BENEFITS"</f>
        <v>FY 2022 HEALTH BENEFITS</v>
      </c>
      <c r="G145" s="50" t="str">
        <f>"FY "&amp;'EMUI|0349-00'!FiscalYear-1&amp;" VAR BENEFITS"</f>
        <v>FY 2022 VAR BENEFITS</v>
      </c>
      <c r="H145" s="50" t="str">
        <f>"FY "&amp;'EMUI|0349-00'!FiscalYear-1&amp;" TOTAL"</f>
        <v>FY 2022 TOTAL</v>
      </c>
      <c r="I145" s="50" t="str">
        <f>"FY "&amp;'EMUI|0349-00'!FiscalYear&amp;" SALARY CHANGE"</f>
        <v>FY 2023 SALARY CHANGE</v>
      </c>
      <c r="J145" s="50" t="str">
        <f>"FY "&amp;'EMUI|0349-00'!FiscalYear&amp;" CHG HEALTH BENEFITS"</f>
        <v>FY 2023 CHG HEALTH BENEFITS</v>
      </c>
      <c r="K145" s="50" t="str">
        <f>"FY "&amp;'EMUI|0349-00'!FiscalYear&amp;" CHG VAR BENEFITS"</f>
        <v>FY 2023 CHG VAR BENEFITS</v>
      </c>
      <c r="L145" s="50" t="s">
        <v>25</v>
      </c>
    </row>
    <row r="146" spans="1:12" x14ac:dyDescent="0.25">
      <c r="A146" s="465" t="s">
        <v>26</v>
      </c>
      <c r="B146" s="466"/>
      <c r="C146" s="141"/>
      <c r="D146" s="142"/>
      <c r="E146" s="143"/>
      <c r="F146" s="143"/>
      <c r="G146" s="143"/>
      <c r="H146" s="144"/>
      <c r="I146" s="144"/>
      <c r="J146" s="145"/>
      <c r="K146" s="146"/>
      <c r="L146" s="144"/>
    </row>
    <row r="147" spans="1:12" x14ac:dyDescent="0.25">
      <c r="A147" s="444" t="s">
        <v>27</v>
      </c>
      <c r="B147" s="467"/>
      <c r="C147" s="217">
        <v>1</v>
      </c>
      <c r="D147" s="288">
        <f>[0]!EMUI034900col_INC_FTI</f>
        <v>1.5</v>
      </c>
      <c r="E147" s="218">
        <f>[0]!EMUI034900col_FTI_SALARY_PERM</f>
        <v>53996.800000000003</v>
      </c>
      <c r="F147" s="218">
        <f>[0]!EMUI034900col_HEALTH_PERM</f>
        <v>17475</v>
      </c>
      <c r="G147" s="218">
        <f>[0]!EMUI034900col_TOT_VB_PERM</f>
        <v>11676.538015999999</v>
      </c>
      <c r="H147" s="219">
        <f>SUM(E147:G147)</f>
        <v>83148.338015999994</v>
      </c>
      <c r="I147" s="219">
        <f>[0]!EMUI034900col_1_27TH_PP</f>
        <v>0</v>
      </c>
      <c r="J147" s="218">
        <f>[0]!EMUI034900col_HEALTH_PERM_CHG</f>
        <v>0</v>
      </c>
      <c r="K147" s="218">
        <f>[0]!EMUI034900col_TOT_VB_PERM_CHG</f>
        <v>-226.78656000000001</v>
      </c>
      <c r="L147" s="218">
        <f>SUM(J147:K147)</f>
        <v>-226.78656000000001</v>
      </c>
    </row>
    <row r="148" spans="1:12" x14ac:dyDescent="0.25">
      <c r="A148" s="444" t="s">
        <v>28</v>
      </c>
      <c r="B148" s="467"/>
      <c r="C148" s="217">
        <v>2</v>
      </c>
      <c r="D148" s="288"/>
      <c r="E148" s="218">
        <f>[0]!EMUI034900col_Group_Salary</f>
        <v>0</v>
      </c>
      <c r="F148" s="218">
        <v>0</v>
      </c>
      <c r="G148" s="218">
        <f>[0]!EMUI034900col_Group_Ben</f>
        <v>0</v>
      </c>
      <c r="H148" s="219">
        <f>SUM(E148:G148)</f>
        <v>0</v>
      </c>
      <c r="I148" s="268"/>
      <c r="J148" s="218"/>
      <c r="K148" s="218"/>
      <c r="L148" s="218"/>
    </row>
    <row r="149" spans="1:12" x14ac:dyDescent="0.25">
      <c r="A149" s="444" t="s">
        <v>29</v>
      </c>
      <c r="B149" s="445"/>
      <c r="C149" s="217">
        <v>3</v>
      </c>
      <c r="D149" s="288">
        <f>[0]!EMUI034900col_TOTAL_ELECT_PCN_FTI</f>
        <v>0</v>
      </c>
      <c r="E149" s="218">
        <f>[0]!EMUI034900col_FTI_SALARY_ELECT</f>
        <v>0</v>
      </c>
      <c r="F149" s="218">
        <f>[0]!EMUI034900col_HEALTH_ELECT</f>
        <v>0</v>
      </c>
      <c r="G149" s="218">
        <f>[0]!EMUI034900col_TOT_VB_ELECT</f>
        <v>0</v>
      </c>
      <c r="H149" s="219">
        <f>SUM(E149:G149)</f>
        <v>0</v>
      </c>
      <c r="I149" s="268"/>
      <c r="J149" s="218">
        <f>[0]!EMUI034900col_HEALTH_ELECT_CHG</f>
        <v>0</v>
      </c>
      <c r="K149" s="218">
        <f>[0]!EMUI034900col_TOT_VB_ELECT_CHG</f>
        <v>0</v>
      </c>
      <c r="L149" s="219">
        <f>SUM(J149:K149)</f>
        <v>0</v>
      </c>
    </row>
    <row r="150" spans="1:12" x14ac:dyDescent="0.25">
      <c r="A150" s="444" t="s">
        <v>30</v>
      </c>
      <c r="B150" s="467"/>
      <c r="C150" s="217"/>
      <c r="D150" s="220">
        <f>SUM(D147:D149)</f>
        <v>1.5</v>
      </c>
      <c r="E150" s="221">
        <f>SUM(E147:E149)</f>
        <v>53996.800000000003</v>
      </c>
      <c r="F150" s="221">
        <f>SUM(F147:F149)</f>
        <v>17475</v>
      </c>
      <c r="G150" s="221">
        <f>SUM(G147:G149)</f>
        <v>11676.538015999999</v>
      </c>
      <c r="H150" s="219">
        <f>SUM(E150:G150)</f>
        <v>83148.338015999994</v>
      </c>
      <c r="I150" s="268"/>
      <c r="J150" s="219">
        <f>SUM(J147:J149)</f>
        <v>0</v>
      </c>
      <c r="K150" s="219">
        <f>SUM(K147:K149)</f>
        <v>-226.78656000000001</v>
      </c>
      <c r="L150" s="219">
        <f>SUM(L147:L149)</f>
        <v>-226.78656000000001</v>
      </c>
    </row>
    <row r="151" spans="1:12" x14ac:dyDescent="0.25">
      <c r="A151" s="365"/>
      <c r="B151" s="371"/>
      <c r="C151" s="217"/>
      <c r="D151" s="220"/>
      <c r="E151" s="219"/>
      <c r="F151" s="219"/>
      <c r="G151" s="219"/>
      <c r="H151" s="219"/>
      <c r="I151" s="268"/>
      <c r="J151" s="219"/>
      <c r="K151" s="222"/>
      <c r="L151" s="222"/>
    </row>
    <row r="152" spans="1:12" x14ac:dyDescent="0.25">
      <c r="A152" s="157" t="str">
        <f>"FY "&amp;'EMUI|0349-00'!FiscalYear-1</f>
        <v>FY 2022</v>
      </c>
      <c r="B152" s="158" t="s">
        <v>31</v>
      </c>
      <c r="C152" s="355">
        <v>2365500</v>
      </c>
      <c r="D152" s="55">
        <v>16</v>
      </c>
      <c r="E152" s="223">
        <f>IF('EMUI|0349-00'!OrigApprop=0,0,(E150/H150)*'EMUI|0349-00'!OrigApprop)</f>
        <v>1536163.361141643</v>
      </c>
      <c r="F152" s="223">
        <f>IF('EMUI|0349-00'!OrigApprop=0,0,(F150/H150)*'EMUI|0349-00'!OrigApprop)</f>
        <v>497148.99282828259</v>
      </c>
      <c r="G152" s="223">
        <f>IF(E152=0,0,(G150/H150)*'EMUI|0349-00'!OrigApprop)</f>
        <v>332187.64603007457</v>
      </c>
      <c r="H152" s="223">
        <f>SUM(E152:G152)</f>
        <v>2365500</v>
      </c>
      <c r="I152" s="268"/>
      <c r="J152" s="224"/>
      <c r="K152" s="224"/>
      <c r="L152" s="224"/>
    </row>
    <row r="153" spans="1:12" x14ac:dyDescent="0.25">
      <c r="A153" s="454" t="s">
        <v>32</v>
      </c>
      <c r="B153" s="455"/>
      <c r="C153" s="160" t="s">
        <v>33</v>
      </c>
      <c r="D153" s="161">
        <f>D152-D150</f>
        <v>14.5</v>
      </c>
      <c r="E153" s="162">
        <f>E152-E150</f>
        <v>1482166.561141643</v>
      </c>
      <c r="F153" s="162">
        <f>F152-F150</f>
        <v>479673.99282828259</v>
      </c>
      <c r="G153" s="162">
        <f>G152-G150</f>
        <v>320511.10801407456</v>
      </c>
      <c r="H153" s="162">
        <f>H152-H150</f>
        <v>2282351.6619839999</v>
      </c>
      <c r="I153" s="269"/>
      <c r="J153" s="56" t="str">
        <f>IF('EMUI|0349-00'!OrigApprop=0,"ERROR! Enter Original Appropriation amount in DU 3.00!","Calculated "&amp;IF('EMUI|0349-00'!AdjustedTotal&gt;0,"overfunding ","underfunding ")&amp;"is "&amp;TEXT('EMUI|0349-00'!AdjustedTotal/'EMUI|0349-00'!AppropTotal,"#.0%;(#.0% );0% ;")&amp;" of Original Appropriation")</f>
        <v>Calculated overfunding is 96.5% of Original Appropriation</v>
      </c>
      <c r="K153" s="163"/>
      <c r="L153" s="164"/>
    </row>
  </sheetData>
  <mergeCells count="98">
    <mergeCell ref="A7:B7"/>
    <mergeCell ref="A2:B2"/>
    <mergeCell ref="A3:B3"/>
    <mergeCell ref="A4:B4"/>
    <mergeCell ref="A5:B5"/>
    <mergeCell ref="A6:B6"/>
    <mergeCell ref="A27:B27"/>
    <mergeCell ref="A10:B10"/>
    <mergeCell ref="A13:B13"/>
    <mergeCell ref="A14:B14"/>
    <mergeCell ref="A15:B15"/>
    <mergeCell ref="A16:B16"/>
    <mergeCell ref="A17:B17"/>
    <mergeCell ref="A18:B18"/>
    <mergeCell ref="A21:B21"/>
    <mergeCell ref="A24:B24"/>
    <mergeCell ref="A25:B25"/>
    <mergeCell ref="A26:B26"/>
    <mergeCell ref="A47:B47"/>
    <mergeCell ref="A28:B28"/>
    <mergeCell ref="A29:B29"/>
    <mergeCell ref="A32:B32"/>
    <mergeCell ref="A35:B35"/>
    <mergeCell ref="A36:B36"/>
    <mergeCell ref="A37:B37"/>
    <mergeCell ref="A38:B38"/>
    <mergeCell ref="A39:B39"/>
    <mergeCell ref="A40:B40"/>
    <mergeCell ref="A43:B43"/>
    <mergeCell ref="A46:B46"/>
    <mergeCell ref="A65:B65"/>
    <mergeCell ref="A48:B48"/>
    <mergeCell ref="A49:B49"/>
    <mergeCell ref="A50:B50"/>
    <mergeCell ref="A51:B51"/>
    <mergeCell ref="A54:B54"/>
    <mergeCell ref="A57:B57"/>
    <mergeCell ref="A58:B58"/>
    <mergeCell ref="A59:B59"/>
    <mergeCell ref="A60:B60"/>
    <mergeCell ref="A61:B61"/>
    <mergeCell ref="A62:B62"/>
    <mergeCell ref="A83:B83"/>
    <mergeCell ref="A68:B68"/>
    <mergeCell ref="A69:B69"/>
    <mergeCell ref="A70:B70"/>
    <mergeCell ref="A71:B71"/>
    <mergeCell ref="A72:B72"/>
    <mergeCell ref="A73:B73"/>
    <mergeCell ref="A76:B76"/>
    <mergeCell ref="A79:B79"/>
    <mergeCell ref="A80:B80"/>
    <mergeCell ref="A81:B81"/>
    <mergeCell ref="A82:B82"/>
    <mergeCell ref="A103:B103"/>
    <mergeCell ref="A84:B84"/>
    <mergeCell ref="A87:B87"/>
    <mergeCell ref="A90:B90"/>
    <mergeCell ref="A91:B91"/>
    <mergeCell ref="A92:B92"/>
    <mergeCell ref="A93:B93"/>
    <mergeCell ref="A94:B94"/>
    <mergeCell ref="A95:B95"/>
    <mergeCell ref="A98:B98"/>
    <mergeCell ref="A101:B101"/>
    <mergeCell ref="A102:B102"/>
    <mergeCell ref="A123:B123"/>
    <mergeCell ref="A104:B104"/>
    <mergeCell ref="A105:B105"/>
    <mergeCell ref="A106:B106"/>
    <mergeCell ref="A109:B109"/>
    <mergeCell ref="A112:B112"/>
    <mergeCell ref="A113:B113"/>
    <mergeCell ref="A114:B114"/>
    <mergeCell ref="A115:B115"/>
    <mergeCell ref="A116:B116"/>
    <mergeCell ref="A117:B117"/>
    <mergeCell ref="A120:B120"/>
    <mergeCell ref="A139:B139"/>
    <mergeCell ref="A124:B124"/>
    <mergeCell ref="A125:B125"/>
    <mergeCell ref="A126:B126"/>
    <mergeCell ref="A127:B127"/>
    <mergeCell ref="A128:B128"/>
    <mergeCell ref="A131:B131"/>
    <mergeCell ref="A134:B134"/>
    <mergeCell ref="A135:B135"/>
    <mergeCell ref="A136:B136"/>
    <mergeCell ref="A137:B137"/>
    <mergeCell ref="A138:B138"/>
    <mergeCell ref="A150:B150"/>
    <mergeCell ref="A153:B153"/>
    <mergeCell ref="A142:B142"/>
    <mergeCell ref="A145:B145"/>
    <mergeCell ref="A146:B146"/>
    <mergeCell ref="A147:B147"/>
    <mergeCell ref="A148:B148"/>
    <mergeCell ref="A149:B149"/>
  </mergeCells>
  <conditionalFormatting sqref="J10">
    <cfRule type="expression" dxfId="13" priority="14">
      <formula>$J$16&lt;0</formula>
    </cfRule>
  </conditionalFormatting>
  <conditionalFormatting sqref="J21">
    <cfRule type="expression" dxfId="12" priority="13">
      <formula>$J$16&lt;0</formula>
    </cfRule>
  </conditionalFormatting>
  <conditionalFormatting sqref="J32">
    <cfRule type="expression" dxfId="11" priority="12">
      <formula>$J$16&lt;0</formula>
    </cfRule>
  </conditionalFormatting>
  <conditionalFormatting sqref="J43">
    <cfRule type="expression" dxfId="10" priority="11">
      <formula>$J$16&lt;0</formula>
    </cfRule>
  </conditionalFormatting>
  <conditionalFormatting sqref="J54">
    <cfRule type="expression" dxfId="9" priority="10">
      <formula>$J$16&lt;0</formula>
    </cfRule>
  </conditionalFormatting>
  <conditionalFormatting sqref="J65">
    <cfRule type="expression" dxfId="8" priority="9">
      <formula>$J$16&lt;0</formula>
    </cfRule>
  </conditionalFormatting>
  <conditionalFormatting sqref="J76">
    <cfRule type="expression" dxfId="7" priority="8">
      <formula>$J$16&lt;0</formula>
    </cfRule>
  </conditionalFormatting>
  <conditionalFormatting sqref="J87">
    <cfRule type="expression" dxfId="6" priority="7">
      <formula>$J$16&lt;0</formula>
    </cfRule>
  </conditionalFormatting>
  <conditionalFormatting sqref="J98">
    <cfRule type="expression" dxfId="5" priority="6">
      <formula>$J$16&lt;0</formula>
    </cfRule>
  </conditionalFormatting>
  <conditionalFormatting sqref="J109">
    <cfRule type="expression" dxfId="4" priority="5">
      <formula>$J$16&lt;0</formula>
    </cfRule>
  </conditionalFormatting>
  <conditionalFormatting sqref="J120">
    <cfRule type="expression" dxfId="3" priority="4">
      <formula>$J$16&lt;0</formula>
    </cfRule>
  </conditionalFormatting>
  <conditionalFormatting sqref="J131">
    <cfRule type="expression" dxfId="2" priority="3">
      <formula>$J$16&lt;0</formula>
    </cfRule>
  </conditionalFormatting>
  <conditionalFormatting sqref="J142">
    <cfRule type="expression" dxfId="1" priority="2">
      <formula>$J$16&lt;0</formula>
    </cfRule>
  </conditionalFormatting>
  <conditionalFormatting sqref="J153">
    <cfRule type="expression" dxfId="0" priority="1">
      <formula>$J$16&lt;0</formula>
    </cfRule>
  </conditionalFormatting>
  <pageMargins left="0.7" right="0.7" top="0.75" bottom="0.75" header="0.3" footer="0.3"/>
  <pageSetup scale="19" orientation="landscape" r:id="rId1"/>
  <headerFooter>
    <oddHeader>&amp;L&amp;"Arial"&amp;14 Department of Labor&amp;R&amp;"Arial"&amp;10 Agency 240</oddHeader>
    <oddFooter>&amp;L&amp;"Arial"&amp;10 B6:Summary by Program, by Fund&amp;R&amp;"Arial"&amp;10 FY 2022 Request</oddFooter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>
    <pageSetUpPr fitToPage="1"/>
  </sheetPr>
  <dimension ref="A2:M29"/>
  <sheetViews>
    <sheetView workbookViewId="0">
      <selection activeCell="E8" sqref="E8:M29"/>
    </sheetView>
  </sheetViews>
  <sheetFormatPr defaultRowHeight="15" x14ac:dyDescent="0.25"/>
  <cols>
    <col min="1" max="1" width="2.7109375" customWidth="1"/>
    <col min="2" max="2" width="9.5703125" bestFit="1" customWidth="1"/>
    <col min="3" max="3" width="7.7109375" bestFit="1" customWidth="1"/>
    <col min="4" max="4" width="5.7109375" customWidth="1"/>
    <col min="5" max="5" width="7.7109375" bestFit="1" customWidth="1"/>
    <col min="6" max="8" width="14.42578125" bestFit="1" customWidth="1"/>
    <col min="9" max="9" width="15.42578125" bestFit="1" customWidth="1"/>
    <col min="10" max="10" width="17" bestFit="1" customWidth="1"/>
    <col min="11" max="11" width="14.42578125" bestFit="1" customWidth="1"/>
    <col min="12" max="12" width="15.42578125" bestFit="1" customWidth="1"/>
    <col min="13" max="13" width="17" bestFit="1" customWidth="1"/>
  </cols>
  <sheetData>
    <row r="2" spans="1:13" ht="21" x14ac:dyDescent="0.35">
      <c r="A2" s="251" t="s">
        <v>97</v>
      </c>
      <c r="B2" s="251"/>
      <c r="C2" s="251"/>
    </row>
    <row r="4" spans="1:13" ht="21" x14ac:dyDescent="0.35">
      <c r="A4" s="252"/>
      <c r="B4" s="252"/>
      <c r="C4" s="252"/>
    </row>
    <row r="5" spans="1:13" ht="15.75" customHeight="1" x14ac:dyDescent="0.25">
      <c r="E5" s="255" t="s">
        <v>83</v>
      </c>
      <c r="F5" s="475" t="s">
        <v>2721</v>
      </c>
      <c r="G5" s="475"/>
      <c r="H5" s="476" t="s">
        <v>2719</v>
      </c>
      <c r="I5" s="475" t="s">
        <v>2722</v>
      </c>
      <c r="J5" s="475"/>
      <c r="K5" s="476" t="s">
        <v>2720</v>
      </c>
      <c r="L5" s="475" t="s">
        <v>2723</v>
      </c>
      <c r="M5" s="475"/>
    </row>
    <row r="6" spans="1:13" ht="15.75" x14ac:dyDescent="0.25">
      <c r="E6" s="249"/>
      <c r="F6" s="253" t="s">
        <v>94</v>
      </c>
      <c r="G6" s="254" t="s">
        <v>96</v>
      </c>
      <c r="H6" s="477"/>
      <c r="I6" s="253" t="s">
        <v>98</v>
      </c>
      <c r="J6" s="254" t="s">
        <v>95</v>
      </c>
      <c r="K6" s="477"/>
      <c r="L6" s="278" t="s">
        <v>98</v>
      </c>
      <c r="M6" s="254" t="s">
        <v>95</v>
      </c>
    </row>
    <row r="7" spans="1:13" x14ac:dyDescent="0.25">
      <c r="A7" s="392" t="s">
        <v>2724</v>
      </c>
      <c r="D7" s="250"/>
    </row>
    <row r="8" spans="1:13" x14ac:dyDescent="0.25">
      <c r="C8" t="s">
        <v>2646</v>
      </c>
      <c r="D8" s="250"/>
      <c r="E8" s="402">
        <f>Data!AS1388</f>
        <v>5.9</v>
      </c>
      <c r="F8" s="402">
        <f>Data!AT1388</f>
        <v>278203.57</v>
      </c>
      <c r="G8" s="402">
        <f>Data!AU1388</f>
        <v>126717.50000000001</v>
      </c>
      <c r="H8" s="402">
        <f>Data!AV1388</f>
        <v>287260.48</v>
      </c>
      <c r="I8" s="402">
        <f>Data!AW1388</f>
        <v>68735</v>
      </c>
      <c r="J8" s="402">
        <f>Data!AX1388</f>
        <v>62118.642497600005</v>
      </c>
      <c r="K8" s="402">
        <f>Data!AY1388</f>
        <v>287260.48</v>
      </c>
      <c r="L8" s="402">
        <f>Data!AZ1388</f>
        <v>68735</v>
      </c>
      <c r="M8" s="402">
        <f>Data!BA1388</f>
        <v>60912.148481600001</v>
      </c>
    </row>
    <row r="9" spans="1:13" x14ac:dyDescent="0.25">
      <c r="B9" t="s">
        <v>2725</v>
      </c>
      <c r="D9" s="250"/>
      <c r="E9" s="403">
        <f>Data!AS1389</f>
        <v>5.9</v>
      </c>
      <c r="F9" s="403">
        <f>Data!AT1389</f>
        <v>278203.57</v>
      </c>
      <c r="G9" s="403">
        <f>Data!AU1389</f>
        <v>126717.50000000001</v>
      </c>
      <c r="H9" s="403">
        <f>Data!AV1389</f>
        <v>287260.48</v>
      </c>
      <c r="I9" s="403">
        <f>Data!AW1389</f>
        <v>68735</v>
      </c>
      <c r="J9" s="403">
        <f>Data!AX1389</f>
        <v>62118.642497600005</v>
      </c>
      <c r="K9" s="403">
        <f>Data!AY1389</f>
        <v>287260.48</v>
      </c>
      <c r="L9" s="403">
        <f>Data!AZ1389</f>
        <v>68735</v>
      </c>
      <c r="M9" s="403">
        <f>Data!BA1389</f>
        <v>60912.148481600001</v>
      </c>
    </row>
    <row r="10" spans="1:13" x14ac:dyDescent="0.25">
      <c r="C10" t="s">
        <v>2652</v>
      </c>
      <c r="D10" s="250"/>
      <c r="E10" s="402">
        <f>Data!AS1390</f>
        <v>2.2000000000000002</v>
      </c>
      <c r="F10" s="402">
        <f>Data!AT1390</f>
        <v>278458.87999999995</v>
      </c>
      <c r="G10" s="402">
        <f>Data!AU1390</f>
        <v>93144.15</v>
      </c>
      <c r="H10" s="402">
        <f>Data!AV1390</f>
        <v>145163.20000000001</v>
      </c>
      <c r="I10" s="402">
        <f>Data!AW1390</f>
        <v>25630</v>
      </c>
      <c r="J10" s="402">
        <f>Data!AX1390</f>
        <v>31390.816183999999</v>
      </c>
      <c r="K10" s="402">
        <f>Data!AY1390</f>
        <v>145163.20000000001</v>
      </c>
      <c r="L10" s="402">
        <f>Data!AZ1390</f>
        <v>25630</v>
      </c>
      <c r="M10" s="402">
        <f>Data!BA1390</f>
        <v>30781.130744000002</v>
      </c>
    </row>
    <row r="11" spans="1:13" x14ac:dyDescent="0.25">
      <c r="B11" t="s">
        <v>2726</v>
      </c>
      <c r="D11" s="250"/>
      <c r="E11" s="403">
        <f>Data!AS1391</f>
        <v>2.2000000000000002</v>
      </c>
      <c r="F11" s="403">
        <f>Data!AT1391</f>
        <v>278458.87999999995</v>
      </c>
      <c r="G11" s="403">
        <f>Data!AU1391</f>
        <v>93144.15</v>
      </c>
      <c r="H11" s="403">
        <f>Data!AV1391</f>
        <v>145163.20000000001</v>
      </c>
      <c r="I11" s="403">
        <f>Data!AW1391</f>
        <v>25630</v>
      </c>
      <c r="J11" s="403">
        <f>Data!AX1391</f>
        <v>31390.816183999999</v>
      </c>
      <c r="K11" s="403">
        <f>Data!AY1391</f>
        <v>145163.20000000001</v>
      </c>
      <c r="L11" s="403">
        <f>Data!AZ1391</f>
        <v>25630</v>
      </c>
      <c r="M11" s="403">
        <f>Data!BA1391</f>
        <v>30781.130744000002</v>
      </c>
    </row>
    <row r="12" spans="1:13" x14ac:dyDescent="0.25">
      <c r="C12" t="s">
        <v>2658</v>
      </c>
      <c r="D12" s="250"/>
      <c r="E12" s="402">
        <f>Data!AS1392</f>
        <v>9.25</v>
      </c>
      <c r="F12" s="402">
        <f>Data!AT1392</f>
        <v>573607.18999999994</v>
      </c>
      <c r="G12" s="402">
        <f>Data!AU1392</f>
        <v>230603.53</v>
      </c>
      <c r="H12" s="402">
        <f>Data!AV1392</f>
        <v>554798.4</v>
      </c>
      <c r="I12" s="402">
        <f>Data!AW1392</f>
        <v>107762.5</v>
      </c>
      <c r="J12" s="402">
        <f>Data!AX1392</f>
        <v>119591.076072</v>
      </c>
      <c r="K12" s="402">
        <f>Data!AY1392</f>
        <v>554798.4</v>
      </c>
      <c r="L12" s="402">
        <f>Data!AZ1392</f>
        <v>107762.5</v>
      </c>
      <c r="M12" s="402">
        <f>Data!BA1392</f>
        <v>117260.922792</v>
      </c>
    </row>
    <row r="13" spans="1:13" x14ac:dyDescent="0.25">
      <c r="B13" t="s">
        <v>2727</v>
      </c>
      <c r="D13" s="250"/>
      <c r="E13" s="403">
        <f>Data!AS1393</f>
        <v>9.25</v>
      </c>
      <c r="F13" s="403">
        <f>Data!AT1393</f>
        <v>573607.18999999994</v>
      </c>
      <c r="G13" s="403">
        <f>Data!AU1393</f>
        <v>230603.53</v>
      </c>
      <c r="H13" s="403">
        <f>Data!AV1393</f>
        <v>554798.4</v>
      </c>
      <c r="I13" s="403">
        <f>Data!AW1393</f>
        <v>107762.5</v>
      </c>
      <c r="J13" s="403">
        <f>Data!AX1393</f>
        <v>119591.076072</v>
      </c>
      <c r="K13" s="403">
        <f>Data!AY1393</f>
        <v>554798.4</v>
      </c>
      <c r="L13" s="403">
        <f>Data!AZ1393</f>
        <v>107762.5</v>
      </c>
      <c r="M13" s="403">
        <f>Data!BA1393</f>
        <v>117260.922792</v>
      </c>
    </row>
    <row r="14" spans="1:13" x14ac:dyDescent="0.25">
      <c r="C14" t="s">
        <v>2728</v>
      </c>
      <c r="E14" s="402">
        <f>Data!AS1394</f>
        <v>522.22000000000014</v>
      </c>
      <c r="F14" s="402">
        <f>Data!AT1394</f>
        <v>27014991.129999995</v>
      </c>
      <c r="G14" s="402">
        <f>Data!AU1394</f>
        <v>11713328.760000011</v>
      </c>
      <c r="H14" s="402">
        <f>Data!AV1394</f>
        <v>27656085.380000029</v>
      </c>
      <c r="I14" s="402">
        <f>Data!AW1394</f>
        <v>6092367.5</v>
      </c>
      <c r="J14" s="402">
        <f>Data!AX1394</f>
        <v>5974644.2090214491</v>
      </c>
      <c r="K14" s="402">
        <f>Data!AY1394</f>
        <v>27656085.380000029</v>
      </c>
      <c r="L14" s="402">
        <f>Data!AZ1394</f>
        <v>6092367.5</v>
      </c>
      <c r="M14" s="402">
        <f>Data!BA1394</f>
        <v>5859898.1904254491</v>
      </c>
    </row>
    <row r="15" spans="1:13" x14ac:dyDescent="0.25">
      <c r="B15" t="s">
        <v>2729</v>
      </c>
      <c r="E15" s="403">
        <f>Data!AS1395</f>
        <v>522.22000000000014</v>
      </c>
      <c r="F15" s="403">
        <f>Data!AT1395</f>
        <v>27014991.129999995</v>
      </c>
      <c r="G15" s="403">
        <f>Data!AU1395</f>
        <v>11713328.760000011</v>
      </c>
      <c r="H15" s="403">
        <f>Data!AV1395</f>
        <v>27656085.380000029</v>
      </c>
      <c r="I15" s="403">
        <f>Data!AW1395</f>
        <v>6092367.5</v>
      </c>
      <c r="J15" s="403">
        <f>Data!AX1395</f>
        <v>5974644.2090214491</v>
      </c>
      <c r="K15" s="403">
        <f>Data!AY1395</f>
        <v>27656085.380000029</v>
      </c>
      <c r="L15" s="403">
        <f>Data!AZ1395</f>
        <v>6092367.5</v>
      </c>
      <c r="M15" s="403">
        <f>Data!BA1395</f>
        <v>5859898.1904254491</v>
      </c>
    </row>
    <row r="16" spans="1:13" x14ac:dyDescent="0.25">
      <c r="C16" t="s">
        <v>2730</v>
      </c>
      <c r="E16" s="402">
        <f>Data!AS1396</f>
        <v>2.2999999999999998</v>
      </c>
      <c r="F16" s="402">
        <f>Data!AT1396</f>
        <v>121602.57999999996</v>
      </c>
      <c r="G16" s="402">
        <f>Data!AU1396</f>
        <v>58563.370000000039</v>
      </c>
      <c r="H16" s="402">
        <f>Data!AV1396</f>
        <v>100053.2</v>
      </c>
      <c r="I16" s="402">
        <f>Data!AW1396</f>
        <v>26795</v>
      </c>
      <c r="J16" s="402">
        <f>Data!AX1396</f>
        <v>21636.004234</v>
      </c>
      <c r="K16" s="402">
        <f>Data!AY1396</f>
        <v>100053.2</v>
      </c>
      <c r="L16" s="402">
        <f>Data!AZ1396</f>
        <v>26795</v>
      </c>
      <c r="M16" s="402">
        <f>Data!BA1396</f>
        <v>21215.780794000002</v>
      </c>
    </row>
    <row r="17" spans="1:13" x14ac:dyDescent="0.25">
      <c r="B17" t="s">
        <v>2731</v>
      </c>
      <c r="E17" s="403">
        <f>Data!AS1397</f>
        <v>2.2999999999999998</v>
      </c>
      <c r="F17" s="403">
        <f>Data!AT1397</f>
        <v>121602.57999999996</v>
      </c>
      <c r="G17" s="403">
        <f>Data!AU1397</f>
        <v>58563.370000000039</v>
      </c>
      <c r="H17" s="403">
        <f>Data!AV1397</f>
        <v>100053.2</v>
      </c>
      <c r="I17" s="403">
        <f>Data!AW1397</f>
        <v>26795</v>
      </c>
      <c r="J17" s="403">
        <f>Data!AX1397</f>
        <v>21636.004234</v>
      </c>
      <c r="K17" s="403">
        <f>Data!AY1397</f>
        <v>100053.2</v>
      </c>
      <c r="L17" s="403">
        <f>Data!AZ1397</f>
        <v>26795</v>
      </c>
      <c r="M17" s="403">
        <f>Data!BA1397</f>
        <v>21215.780794000002</v>
      </c>
    </row>
    <row r="18" spans="1:13" x14ac:dyDescent="0.25">
      <c r="E18" s="402">
        <f>Data!AS1398</f>
        <v>0</v>
      </c>
      <c r="F18" s="402">
        <f>Data!AT1398</f>
        <v>0</v>
      </c>
      <c r="G18" s="402">
        <f>Data!AU1398</f>
        <v>0</v>
      </c>
      <c r="H18" s="402">
        <f>Data!AV1398</f>
        <v>0</v>
      </c>
      <c r="I18" s="402">
        <f>Data!AW1398</f>
        <v>0</v>
      </c>
      <c r="J18" s="402">
        <f>Data!AX1398</f>
        <v>0</v>
      </c>
      <c r="K18" s="402">
        <f>Data!AY1398</f>
        <v>0</v>
      </c>
      <c r="L18" s="402">
        <f>Data!AZ1398</f>
        <v>0</v>
      </c>
      <c r="M18" s="402">
        <f>Data!BA1398</f>
        <v>0</v>
      </c>
    </row>
    <row r="19" spans="1:13" x14ac:dyDescent="0.25">
      <c r="A19" s="396" t="s">
        <v>2732</v>
      </c>
      <c r="E19" s="404">
        <f>Data!AS1399</f>
        <v>541.87000000000012</v>
      </c>
      <c r="F19" s="404">
        <f>Data!AT1399</f>
        <v>28266863.349999994</v>
      </c>
      <c r="G19" s="404">
        <f>Data!AU1399</f>
        <v>12222357.31000001</v>
      </c>
      <c r="H19" s="404">
        <f>Data!AV1399</f>
        <v>28743360.66000003</v>
      </c>
      <c r="I19" s="404">
        <f>Data!AW1399</f>
        <v>6321290</v>
      </c>
      <c r="J19" s="404">
        <f>Data!AX1399</f>
        <v>6209380.7480090493</v>
      </c>
      <c r="K19" s="404">
        <f>Data!AY1399</f>
        <v>28743360.66000003</v>
      </c>
      <c r="L19" s="404">
        <f>Data!AZ1399</f>
        <v>6321290</v>
      </c>
      <c r="M19" s="404">
        <f>Data!BA1399</f>
        <v>6090068.173237049</v>
      </c>
    </row>
    <row r="20" spans="1:13" x14ac:dyDescent="0.25">
      <c r="E20" s="402">
        <f>Data!AS1400</f>
        <v>0</v>
      </c>
      <c r="F20" s="402">
        <f>Data!AT1400</f>
        <v>0</v>
      </c>
      <c r="G20" s="402">
        <f>Data!AU1400</f>
        <v>0</v>
      </c>
      <c r="H20" s="402">
        <f>Data!AV1400</f>
        <v>0</v>
      </c>
      <c r="I20" s="402">
        <f>Data!AW1400</f>
        <v>0</v>
      </c>
      <c r="J20" s="402">
        <f>Data!AX1400</f>
        <v>0</v>
      </c>
      <c r="K20" s="402">
        <f>Data!AY1400</f>
        <v>0</v>
      </c>
      <c r="L20" s="402">
        <f>Data!AZ1400</f>
        <v>0</v>
      </c>
      <c r="M20" s="402">
        <f>Data!BA1400</f>
        <v>0</v>
      </c>
    </row>
    <row r="21" spans="1:13" x14ac:dyDescent="0.25">
      <c r="A21" s="392" t="s">
        <v>2733</v>
      </c>
      <c r="E21" s="402">
        <f>Data!AS1401</f>
        <v>0</v>
      </c>
      <c r="F21" s="402">
        <f>Data!AT1401</f>
        <v>0</v>
      </c>
      <c r="G21" s="402">
        <f>Data!AU1401</f>
        <v>0</v>
      </c>
      <c r="H21" s="402">
        <f>Data!AV1401</f>
        <v>0</v>
      </c>
      <c r="I21" s="402">
        <f>Data!AW1401</f>
        <v>0</v>
      </c>
      <c r="J21" s="402">
        <f>Data!AX1401</f>
        <v>0</v>
      </c>
      <c r="K21" s="402">
        <f>Data!AY1401</f>
        <v>0</v>
      </c>
      <c r="L21" s="402">
        <f>Data!AZ1401</f>
        <v>0</v>
      </c>
      <c r="M21" s="402">
        <f>Data!BA1401</f>
        <v>0</v>
      </c>
    </row>
    <row r="22" spans="1:13" x14ac:dyDescent="0.25">
      <c r="C22" t="s">
        <v>2658</v>
      </c>
      <c r="E22" s="402">
        <f>Data!AS1402</f>
        <v>0</v>
      </c>
      <c r="F22" s="402">
        <f>Data!AT1402</f>
        <v>2650</v>
      </c>
      <c r="G22" s="402">
        <f>Data!AU1402</f>
        <v>442.87</v>
      </c>
      <c r="H22" s="402">
        <f>Data!AV1402</f>
        <v>2650</v>
      </c>
      <c r="I22" s="402">
        <f>Data!AW1402</f>
        <v>0</v>
      </c>
      <c r="J22" s="402">
        <f>Data!AX1402</f>
        <v>442.87</v>
      </c>
      <c r="K22" s="402">
        <f>Data!AY1402</f>
        <v>2650</v>
      </c>
      <c r="L22" s="402">
        <f>Data!AZ1402</f>
        <v>0</v>
      </c>
      <c r="M22" s="402">
        <f>Data!BA1402</f>
        <v>442.87</v>
      </c>
    </row>
    <row r="23" spans="1:13" x14ac:dyDescent="0.25">
      <c r="B23" t="s">
        <v>2727</v>
      </c>
      <c r="E23" s="403">
        <f>Data!AS1403</f>
        <v>0</v>
      </c>
      <c r="F23" s="403">
        <f>Data!AT1403</f>
        <v>2650</v>
      </c>
      <c r="G23" s="403">
        <f>Data!AU1403</f>
        <v>442.87</v>
      </c>
      <c r="H23" s="403">
        <f>Data!AV1403</f>
        <v>2650</v>
      </c>
      <c r="I23" s="403">
        <f>Data!AW1403</f>
        <v>0</v>
      </c>
      <c r="J23" s="403">
        <f>Data!AX1403</f>
        <v>442.87</v>
      </c>
      <c r="K23" s="403">
        <f>Data!AY1403</f>
        <v>2650</v>
      </c>
      <c r="L23" s="403">
        <f>Data!AZ1403</f>
        <v>0</v>
      </c>
      <c r="M23" s="403">
        <f>Data!BA1403</f>
        <v>442.87</v>
      </c>
    </row>
    <row r="24" spans="1:13" x14ac:dyDescent="0.25">
      <c r="C24" t="s">
        <v>2728</v>
      </c>
      <c r="E24" s="402">
        <f>Data!AS1404</f>
        <v>0</v>
      </c>
      <c r="F24" s="402">
        <f>Data!AT1404</f>
        <v>168609.90999999997</v>
      </c>
      <c r="G24" s="402">
        <f>Data!AU1404</f>
        <v>45790.74</v>
      </c>
      <c r="H24" s="402">
        <f>Data!AV1404</f>
        <v>168609.90999999997</v>
      </c>
      <c r="I24" s="402">
        <f>Data!AW1404</f>
        <v>0</v>
      </c>
      <c r="J24" s="402">
        <f>Data!AX1404</f>
        <v>45790.74</v>
      </c>
      <c r="K24" s="402">
        <f>Data!AY1404</f>
        <v>168609.90999999997</v>
      </c>
      <c r="L24" s="402">
        <f>Data!AZ1404</f>
        <v>0</v>
      </c>
      <c r="M24" s="402">
        <f>Data!BA1404</f>
        <v>45790.74</v>
      </c>
    </row>
    <row r="25" spans="1:13" x14ac:dyDescent="0.25">
      <c r="B25" t="s">
        <v>2729</v>
      </c>
      <c r="E25" s="403">
        <f>Data!AS1405</f>
        <v>0</v>
      </c>
      <c r="F25" s="403">
        <f>Data!AT1405</f>
        <v>168609.90999999997</v>
      </c>
      <c r="G25" s="403">
        <f>Data!AU1405</f>
        <v>45790.74</v>
      </c>
      <c r="H25" s="403">
        <f>Data!AV1405</f>
        <v>168609.90999999997</v>
      </c>
      <c r="I25" s="403">
        <f>Data!AW1405</f>
        <v>0</v>
      </c>
      <c r="J25" s="403">
        <f>Data!AX1405</f>
        <v>45790.74</v>
      </c>
      <c r="K25" s="403">
        <f>Data!AY1405</f>
        <v>168609.90999999997</v>
      </c>
      <c r="L25" s="403">
        <f>Data!AZ1405</f>
        <v>0</v>
      </c>
      <c r="M25" s="403">
        <f>Data!BA1405</f>
        <v>45790.74</v>
      </c>
    </row>
    <row r="26" spans="1:13" x14ac:dyDescent="0.25">
      <c r="E26" s="402">
        <f>Data!AS1406</f>
        <v>0</v>
      </c>
      <c r="F26" s="402">
        <f>Data!AT1406</f>
        <v>0</v>
      </c>
      <c r="G26" s="402">
        <f>Data!AU1406</f>
        <v>0</v>
      </c>
      <c r="H26" s="402">
        <f>Data!AV1406</f>
        <v>0</v>
      </c>
      <c r="I26" s="402">
        <f>Data!AW1406</f>
        <v>0</v>
      </c>
      <c r="J26" s="402">
        <f>Data!AX1406</f>
        <v>0</v>
      </c>
      <c r="K26" s="402">
        <f>Data!AY1406</f>
        <v>0</v>
      </c>
      <c r="L26" s="402">
        <f>Data!AZ1406</f>
        <v>0</v>
      </c>
      <c r="M26" s="402">
        <f>Data!BA1406</f>
        <v>0</v>
      </c>
    </row>
    <row r="27" spans="1:13" x14ac:dyDescent="0.25">
      <c r="A27" s="396" t="s">
        <v>2734</v>
      </c>
      <c r="E27" s="404">
        <f>Data!AS1407</f>
        <v>0</v>
      </c>
      <c r="F27" s="404">
        <f>Data!AT1407</f>
        <v>171259.90999999997</v>
      </c>
      <c r="G27" s="404">
        <f>Data!AU1407</f>
        <v>46233.61</v>
      </c>
      <c r="H27" s="404">
        <f>Data!AV1407</f>
        <v>171259.90999999997</v>
      </c>
      <c r="I27" s="404">
        <f>Data!AW1407</f>
        <v>0</v>
      </c>
      <c r="J27" s="404">
        <f>Data!AX1407</f>
        <v>46233.61</v>
      </c>
      <c r="K27" s="404">
        <f>Data!AY1407</f>
        <v>171259.90999999997</v>
      </c>
      <c r="L27" s="404">
        <f>Data!AZ1407</f>
        <v>0</v>
      </c>
      <c r="M27" s="404">
        <f>Data!BA1407</f>
        <v>46233.61</v>
      </c>
    </row>
    <row r="28" spans="1:13" x14ac:dyDescent="0.25">
      <c r="E28" s="402">
        <f>Data!AS1408</f>
        <v>0</v>
      </c>
      <c r="F28" s="402">
        <f>Data!AT1408</f>
        <v>0</v>
      </c>
      <c r="G28" s="402">
        <f>Data!AU1408</f>
        <v>0</v>
      </c>
      <c r="H28" s="402">
        <f>Data!AV1408</f>
        <v>0</v>
      </c>
      <c r="I28" s="402">
        <f>Data!AW1408</f>
        <v>0</v>
      </c>
      <c r="J28" s="402">
        <f>Data!AX1408</f>
        <v>0</v>
      </c>
      <c r="K28" s="402">
        <f>Data!AY1408</f>
        <v>0</v>
      </c>
      <c r="L28" s="402">
        <f>Data!AZ1408</f>
        <v>0</v>
      </c>
      <c r="M28" s="402">
        <f>Data!BA1408</f>
        <v>0</v>
      </c>
    </row>
    <row r="29" spans="1:13" x14ac:dyDescent="0.25">
      <c r="A29" s="397" t="s">
        <v>2735</v>
      </c>
      <c r="E29" s="400">
        <f>Data!AS1409</f>
        <v>541.87000000000012</v>
      </c>
      <c r="F29" s="401">
        <f>Data!AT1409</f>
        <v>28438123.259999994</v>
      </c>
      <c r="G29" s="401">
        <f>Data!AU1409</f>
        <v>12268590.920000009</v>
      </c>
      <c r="H29" s="401">
        <f>Data!AV1409</f>
        <v>28914620.57000003</v>
      </c>
      <c r="I29" s="401">
        <f>Data!AW1409</f>
        <v>6321290</v>
      </c>
      <c r="J29" s="401">
        <f>Data!AX1409</f>
        <v>6255614.3580090497</v>
      </c>
      <c r="K29" s="401">
        <f>Data!AY1409</f>
        <v>28914620.57000003</v>
      </c>
      <c r="L29" s="401">
        <f>Data!AZ1409</f>
        <v>6321290</v>
      </c>
      <c r="M29" s="401">
        <f>Data!BA1409</f>
        <v>6136301.7832370494</v>
      </c>
    </row>
  </sheetData>
  <mergeCells count="5">
    <mergeCell ref="F5:G5"/>
    <mergeCell ref="I5:J5"/>
    <mergeCell ref="L5:M5"/>
    <mergeCell ref="H5:H6"/>
    <mergeCell ref="K5:K6"/>
  </mergeCells>
  <pageMargins left="0.7" right="0.7" top="0.75" bottom="0.75" header="0.3" footer="0.3"/>
  <pageSetup scale="79" orientation="landscape" horizontalDpi="1200" verticalDpi="1200" r:id="rId1"/>
  <headerFooter>
    <oddHeader>&amp;L&amp;"Arial"&amp;14 Department of Labor&amp;R&amp;"Arial"&amp;10 Agency 240</oddHeader>
    <oddFooter>&amp;L&amp;"Arial"&amp;10 B6:Summary by Fund&amp;R&amp;"Arial"&amp;10 FY 2022 Request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B33C01-6E75-4AE8-BBFC-8F0B42118AC4}">
  <sheetPr>
    <tabColor rgb="FF92D050"/>
    <pageSetUpPr fitToPage="1"/>
  </sheetPr>
  <dimension ref="A1:CP80"/>
  <sheetViews>
    <sheetView showGridLines="0" zoomScaleNormal="100" workbookViewId="0">
      <selection activeCell="C8" sqref="C8:N16"/>
    </sheetView>
  </sheetViews>
  <sheetFormatPr defaultColWidth="9.140625" defaultRowHeight="15.75" x14ac:dyDescent="0.25"/>
  <cols>
    <col min="1" max="1" width="7.85546875" style="124" customWidth="1"/>
    <col min="2" max="2" width="7.7109375" style="125" customWidth="1"/>
    <col min="3" max="3" width="9" style="125" customWidth="1"/>
    <col min="4" max="4" width="39.28515625" style="53" customWidth="1"/>
    <col min="5" max="5" width="13" style="126" customWidth="1"/>
    <col min="6" max="6" width="12.28515625" style="127" customWidth="1"/>
    <col min="7" max="7" width="12.140625" style="127" bestFit="1" customWidth="1"/>
    <col min="8" max="8" width="14.5703125" style="127" customWidth="1"/>
    <col min="9" max="9" width="19.5703125" style="128" bestFit="1" customWidth="1"/>
    <col min="10" max="10" width="13.7109375" style="129" customWidth="1"/>
    <col min="11" max="11" width="13.7109375" style="129" hidden="1" customWidth="1"/>
    <col min="12" max="12" width="18.42578125" style="129" customWidth="1"/>
    <col min="13" max="13" width="16.42578125" style="129" customWidth="1"/>
    <col min="14" max="14" width="16.140625" style="128" customWidth="1"/>
    <col min="15" max="25" width="16.140625" customWidth="1"/>
    <col min="26" max="26" width="16.140625" style="344" customWidth="1"/>
    <col min="27" max="27" width="22.140625" style="334" bestFit="1" customWidth="1"/>
    <col min="28" max="28" width="31.140625" style="334" bestFit="1" customWidth="1"/>
    <col min="29" max="29" width="7.85546875" style="334" bestFit="1" customWidth="1"/>
    <col min="30" max="30" width="9.140625" style="110" customWidth="1"/>
    <col min="31" max="94" width="9.140625" style="17"/>
    <col min="95" max="16384" width="9.140625" style="18"/>
  </cols>
  <sheetData>
    <row r="1" spans="1:94" x14ac:dyDescent="0.25">
      <c r="A1" s="12" t="s">
        <v>13</v>
      </c>
      <c r="B1" s="13"/>
      <c r="C1" s="13"/>
      <c r="D1" s="14" t="s">
        <v>2643</v>
      </c>
      <c r="E1" s="15"/>
      <c r="F1" s="15"/>
      <c r="G1" s="15"/>
      <c r="H1" s="15"/>
      <c r="I1" s="15"/>
      <c r="J1" s="15"/>
      <c r="K1" s="15"/>
      <c r="L1" s="16" t="s">
        <v>14</v>
      </c>
      <c r="M1" s="468">
        <v>240</v>
      </c>
      <c r="N1" s="469"/>
      <c r="AA1" s="364"/>
      <c r="AB1" s="333"/>
      <c r="AC1" s="333"/>
      <c r="AD1" s="325"/>
    </row>
    <row r="2" spans="1:94" ht="20.25" x14ac:dyDescent="0.25">
      <c r="A2" s="19" t="s">
        <v>116</v>
      </c>
      <c r="B2" s="20"/>
      <c r="C2" s="20"/>
      <c r="D2" s="14" t="s">
        <v>2643</v>
      </c>
      <c r="E2" s="21"/>
      <c r="F2" s="21"/>
      <c r="G2" s="21"/>
      <c r="H2" s="21"/>
      <c r="I2" s="21"/>
      <c r="J2" s="20"/>
      <c r="K2" s="20"/>
      <c r="L2" s="22" t="s">
        <v>113</v>
      </c>
      <c r="M2" s="470" t="s">
        <v>2653</v>
      </c>
      <c r="N2" s="471"/>
      <c r="AA2" s="333"/>
      <c r="AB2" s="333"/>
      <c r="AC2" s="333"/>
      <c r="AD2" s="325"/>
    </row>
    <row r="3" spans="1:94" x14ac:dyDescent="0.25">
      <c r="A3" s="19" t="s">
        <v>117</v>
      </c>
      <c r="B3" s="20"/>
      <c r="C3" s="20"/>
      <c r="D3" s="23" t="s">
        <v>2644</v>
      </c>
      <c r="E3" s="24"/>
      <c r="F3" s="25"/>
      <c r="G3" s="25"/>
      <c r="H3" s="25"/>
      <c r="I3" s="26"/>
      <c r="J3" s="20"/>
      <c r="K3" s="20"/>
      <c r="L3" s="22" t="s">
        <v>114</v>
      </c>
      <c r="M3" s="468" t="s">
        <v>167</v>
      </c>
      <c r="N3" s="469"/>
      <c r="AA3" s="364"/>
      <c r="AB3" s="333"/>
      <c r="AC3" s="333"/>
      <c r="AD3" s="325"/>
    </row>
    <row r="4" spans="1:94" x14ac:dyDescent="0.25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68">
        <v>2023</v>
      </c>
      <c r="N4" s="469"/>
      <c r="AA4" s="364"/>
      <c r="AB4" s="333"/>
      <c r="AC4" s="333"/>
      <c r="AD4" s="325"/>
    </row>
    <row r="5" spans="1:94" s="34" customFormat="1" ht="18" customHeight="1" x14ac:dyDescent="0.25">
      <c r="A5" s="19" t="s">
        <v>16</v>
      </c>
      <c r="B5" s="20"/>
      <c r="C5" s="20"/>
      <c r="D5" s="351">
        <v>44440</v>
      </c>
      <c r="E5" s="27"/>
      <c r="F5" s="30"/>
      <c r="G5" s="31"/>
      <c r="H5" s="31" t="s">
        <v>17</v>
      </c>
      <c r="I5" s="470" t="s">
        <v>2651</v>
      </c>
      <c r="J5" s="472"/>
      <c r="K5" s="472"/>
      <c r="L5" s="471"/>
      <c r="M5" s="352" t="s">
        <v>115</v>
      </c>
      <c r="N5" s="32" t="s">
        <v>2652</v>
      </c>
      <c r="O5"/>
      <c r="P5"/>
      <c r="Q5"/>
      <c r="R5"/>
      <c r="S5"/>
      <c r="T5"/>
      <c r="U5"/>
      <c r="V5"/>
      <c r="W5"/>
      <c r="X5"/>
      <c r="Y5"/>
      <c r="Z5" s="344"/>
      <c r="AA5" s="364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25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84</v>
      </c>
      <c r="K6" s="31"/>
      <c r="L6" s="353"/>
      <c r="M6" s="354" t="s">
        <v>85</v>
      </c>
      <c r="N6" s="306"/>
      <c r="AA6" s="364"/>
      <c r="AB6" s="333"/>
      <c r="AC6" s="333"/>
      <c r="AD6" s="325"/>
    </row>
    <row r="7" spans="1:94" x14ac:dyDescent="0.25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25">
      <c r="A8" s="48" t="s">
        <v>20</v>
      </c>
      <c r="B8" s="370" t="s">
        <v>21</v>
      </c>
      <c r="C8" s="473" t="s">
        <v>22</v>
      </c>
      <c r="D8" s="474"/>
      <c r="E8" s="370" t="s">
        <v>23</v>
      </c>
      <c r="F8" s="49" t="s">
        <v>24</v>
      </c>
      <c r="G8" s="50" t="str">
        <f>"FY "&amp;'EMAA|0302-00'!FiscalYear-1&amp;" SALARY"</f>
        <v>FY 2022 SALARY</v>
      </c>
      <c r="H8" s="50" t="str">
        <f>"FY "&amp;'EMAA|0302-00'!FiscalYear-1&amp;" HEALTH BENEFITS"</f>
        <v>FY 2022 HEALTH BENEFITS</v>
      </c>
      <c r="I8" s="50" t="str">
        <f>"FY "&amp;'EMAA|0302-00'!FiscalYear-1&amp;" VAR BENEFITS"</f>
        <v>FY 2022 VAR BENEFITS</v>
      </c>
      <c r="J8" s="50" t="str">
        <f>"FY "&amp;'EMAA|0302-00'!FiscalYear-1&amp;" TOTAL"</f>
        <v>FY 2022 TOTAL</v>
      </c>
      <c r="K8" s="50" t="str">
        <f>"FY "&amp;'EMAA|0302-00'!FiscalYear&amp;" SALARY CHANGE"</f>
        <v>FY 2023 SALARY CHANGE</v>
      </c>
      <c r="L8" s="50" t="str">
        <f>"FY "&amp;'EMAA|0302-00'!FiscalYear&amp;" CHG HEALTH BENEFITS"</f>
        <v>FY 2023 CHG HEALTH BENEFITS</v>
      </c>
      <c r="M8" s="50" t="str">
        <f>"FY "&amp;'EMAA|0302-00'!FiscalYear&amp;" CHG VAR BENEFITS"</f>
        <v>FY 2023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64" t="s">
        <v>105</v>
      </c>
      <c r="AB8" s="464"/>
      <c r="AC8" s="464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25">
      <c r="A9" s="139"/>
      <c r="B9" s="140"/>
      <c r="C9" s="465" t="s">
        <v>26</v>
      </c>
      <c r="D9" s="466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4" t="s">
        <v>94</v>
      </c>
      <c r="AB9" s="333" t="s">
        <v>95</v>
      </c>
      <c r="AC9" s="333" t="s">
        <v>106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25">
      <c r="A10" s="139"/>
      <c r="B10" s="139"/>
      <c r="C10" s="444" t="s">
        <v>27</v>
      </c>
      <c r="D10" s="467"/>
      <c r="E10" s="217">
        <v>1</v>
      </c>
      <c r="F10" s="288">
        <f>[0]!EMAA030200col_INC_FTI</f>
        <v>2.2000000000000002</v>
      </c>
      <c r="G10" s="218">
        <f>[0]!EMAA030200col_FTI_SALARY_PERM</f>
        <v>145163.20000000001</v>
      </c>
      <c r="H10" s="218">
        <f>[0]!EMAA030200col_HEALTH_PERM</f>
        <v>25630</v>
      </c>
      <c r="I10" s="218">
        <f>[0]!EMAA030200col_TOT_VB_PERM</f>
        <v>31390.816183999999</v>
      </c>
      <c r="J10" s="219">
        <f>SUM(G10:I10)</f>
        <v>202184.01618400001</v>
      </c>
      <c r="K10" s="219">
        <f>[0]!EMAA030200col_1_27TH_PP</f>
        <v>0</v>
      </c>
      <c r="L10" s="218">
        <f>[0]!EMAA030200col_HEALTH_PERM_CHG</f>
        <v>0</v>
      </c>
      <c r="M10" s="218">
        <f>[0]!EMAA030200col_TOT_VB_PERM_CHG</f>
        <v>-609.68543999999997</v>
      </c>
      <c r="N10" s="218">
        <f>SUM(L10:M10)</f>
        <v>-609.68543999999997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1500</v>
      </c>
      <c r="AB10" s="335">
        <f>ROUND(PermVarBen*CECPerm+(CECPerm*PermVarBenChg),-2)</f>
        <v>300</v>
      </c>
      <c r="AC10" s="335">
        <f>SUM(AA10:AB10)</f>
        <v>1800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25">
      <c r="A11" s="139"/>
      <c r="B11" s="139"/>
      <c r="C11" s="444" t="s">
        <v>28</v>
      </c>
      <c r="D11" s="467"/>
      <c r="E11" s="217">
        <v>2</v>
      </c>
      <c r="F11" s="288"/>
      <c r="G11" s="218">
        <f>[0]!EMAA030200col_Group_Salary</f>
        <v>0</v>
      </c>
      <c r="H11" s="218">
        <v>0</v>
      </c>
      <c r="I11" s="218">
        <f>[0]!EMAA030200col_Group_Ben</f>
        <v>0</v>
      </c>
      <c r="J11" s="219">
        <f>SUM(G11:I11)</f>
        <v>0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0</v>
      </c>
      <c r="AB11" s="335">
        <f>ROUND((GroupSalary*GroupVBBY)*CECGroup,-2)</f>
        <v>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25">
      <c r="A12" s="139"/>
      <c r="B12" s="139"/>
      <c r="C12" s="444" t="s">
        <v>29</v>
      </c>
      <c r="D12" s="445"/>
      <c r="E12" s="217">
        <v>3</v>
      </c>
      <c r="F12" s="288">
        <f>[0]!EMAA030200col_TOTAL_ELECT_PCN_FTI</f>
        <v>0</v>
      </c>
      <c r="G12" s="218">
        <f>[0]!EMAA030200col_FTI_SALARY_ELECT</f>
        <v>0</v>
      </c>
      <c r="H12" s="218">
        <f>[0]!EMAA030200col_HEALTH_ELECT</f>
        <v>0</v>
      </c>
      <c r="I12" s="218">
        <f>[0]!EMAA030200col_TOT_VB_ELECT</f>
        <v>0</v>
      </c>
      <c r="J12" s="219">
        <f>SUM(G12:I12)</f>
        <v>0</v>
      </c>
      <c r="K12" s="268"/>
      <c r="L12" s="218">
        <f>[0]!EMAA030200col_HEALTH_ELECT_CHG</f>
        <v>0</v>
      </c>
      <c r="M12" s="218">
        <f>[0]!EMAA030200col_TOT_VB_ELECT_CHG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25">
      <c r="A13" s="139"/>
      <c r="B13" s="139"/>
      <c r="C13" s="444" t="s">
        <v>30</v>
      </c>
      <c r="D13" s="467"/>
      <c r="E13" s="217"/>
      <c r="F13" s="220">
        <f>SUM(F10:F12)</f>
        <v>2.2000000000000002</v>
      </c>
      <c r="G13" s="221">
        <f>SUM(G10:G12)</f>
        <v>145163.20000000001</v>
      </c>
      <c r="H13" s="221">
        <f>SUM(H10:H12)</f>
        <v>25630</v>
      </c>
      <c r="I13" s="221">
        <f>SUM(I10:I12)</f>
        <v>31390.816183999999</v>
      </c>
      <c r="J13" s="219">
        <f>SUM(G13:I13)</f>
        <v>202184.01618400001</v>
      </c>
      <c r="K13" s="268"/>
      <c r="L13" s="219">
        <f>SUM(L10:L12)</f>
        <v>0</v>
      </c>
      <c r="M13" s="219">
        <f>SUM(M10:M12)</f>
        <v>-609.68543999999997</v>
      </c>
      <c r="N13" s="219">
        <f>SUM(N10:N12)</f>
        <v>-609.68543999999997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5" customHeight="1" x14ac:dyDescent="0.25">
      <c r="A14" s="139"/>
      <c r="B14" s="139"/>
      <c r="C14" s="365"/>
      <c r="D14" s="371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25">
      <c r="A15" s="139"/>
      <c r="B15" s="156"/>
      <c r="C15" s="157" t="str">
        <f>"FY "&amp;'EMAA|0302-00'!FiscalYear-1</f>
        <v>FY 2022</v>
      </c>
      <c r="D15" s="158" t="s">
        <v>31</v>
      </c>
      <c r="E15" s="355">
        <v>418000</v>
      </c>
      <c r="F15" s="55">
        <v>3.5</v>
      </c>
      <c r="G15" s="223">
        <f>IF(OrigApprop=0,0,(G13/$J$13)*OrigApprop)</f>
        <v>300113.82079174381</v>
      </c>
      <c r="H15" s="223">
        <f>IF(OrigApprop=0,0,(H13/$J$13)*OrigApprop)</f>
        <v>52988.066031145587</v>
      </c>
      <c r="I15" s="223">
        <f>IF(G15=0,0,(I13/$J$13)*OrigApprop)</f>
        <v>64898.11317711063</v>
      </c>
      <c r="J15" s="223">
        <f>SUM(G15:I15)</f>
        <v>418000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25">
      <c r="A16" s="139"/>
      <c r="B16" s="139"/>
      <c r="C16" s="454" t="s">
        <v>32</v>
      </c>
      <c r="D16" s="455"/>
      <c r="E16" s="160" t="s">
        <v>33</v>
      </c>
      <c r="F16" s="161">
        <f>F15-F13</f>
        <v>1.2999999999999998</v>
      </c>
      <c r="G16" s="162">
        <f>G15-G13</f>
        <v>154950.6207917438</v>
      </c>
      <c r="H16" s="162">
        <f>H15-H13</f>
        <v>27358.066031145587</v>
      </c>
      <c r="I16" s="162">
        <f>I15-I13</f>
        <v>33507.296993110635</v>
      </c>
      <c r="J16" s="162">
        <f>J15-J13</f>
        <v>215815.98381599999</v>
      </c>
      <c r="K16" s="269"/>
      <c r="L16" s="56" t="str">
        <f>IF('EMAA|0302-00'!OrigApprop=0,"ERROR! Enter Original Appropriation amount in DU 3.00!","Calculated "&amp;IF('EMAA|0302-00'!AdjustedTotal&gt;0,"overfunding ","underfunding ")&amp;"is "&amp;TEXT('EMAA|0302-00'!AdjustedTotal/'EMAA|0302-00'!AppropTotal,"#.0%;(#.0% );0% ;")&amp;" of Original Appropriation")</f>
        <v>Calculated overfunding is 51.6% of Original Appropriation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25">
      <c r="A17" s="139"/>
      <c r="B17" s="139"/>
      <c r="C17" s="456" t="s">
        <v>34</v>
      </c>
      <c r="D17" s="457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25">
      <c r="A18" s="139"/>
      <c r="B18" s="168"/>
      <c r="C18" s="458" t="s">
        <v>35</v>
      </c>
      <c r="D18" s="459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5.5" x14ac:dyDescent="0.25">
      <c r="A19" s="238"/>
      <c r="B19" s="202"/>
      <c r="C19" s="239" t="s">
        <v>86</v>
      </c>
      <c r="D19" s="240" t="s">
        <v>87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4"/>
      <c r="AB19" s="364"/>
      <c r="AC19" s="364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5" x14ac:dyDescent="0.25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4"/>
      <c r="AB20" s="364"/>
      <c r="AC20" s="364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5" x14ac:dyDescent="0.25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4"/>
      <c r="AB21" s="364"/>
      <c r="AC21" s="364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5" x14ac:dyDescent="0.25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4"/>
      <c r="AB22" s="364"/>
      <c r="AC22" s="364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5" x14ac:dyDescent="0.25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4"/>
      <c r="AB23" s="364"/>
      <c r="AC23" s="364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5" x14ac:dyDescent="0.25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4"/>
      <c r="AC24" s="364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5" x14ac:dyDescent="0.25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4"/>
      <c r="AC25" s="364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5" x14ac:dyDescent="0.25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4"/>
      <c r="AC26" s="364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5" x14ac:dyDescent="0.25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4"/>
      <c r="AB27" s="364"/>
      <c r="AC27" s="364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5" x14ac:dyDescent="0.25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4"/>
      <c r="AB28" s="364"/>
      <c r="AC28" s="364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5" x14ac:dyDescent="0.25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4"/>
      <c r="AB29" s="364"/>
      <c r="AC29" s="364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5" x14ac:dyDescent="0.25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4"/>
      <c r="AB30" s="364"/>
      <c r="AC30" s="364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5" x14ac:dyDescent="0.25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4"/>
      <c r="AB31" s="364"/>
      <c r="AC31" s="364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5" x14ac:dyDescent="0.25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4"/>
      <c r="AB32" s="364"/>
      <c r="AC32" s="364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5" x14ac:dyDescent="0.25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4"/>
      <c r="AB33" s="364"/>
      <c r="AC33" s="364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5" x14ac:dyDescent="0.25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4"/>
      <c r="AB34" s="364"/>
      <c r="AC34" s="364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5" x14ac:dyDescent="0.25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4"/>
      <c r="AB35" s="364"/>
      <c r="AC35" s="364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5" x14ac:dyDescent="0.25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4" t="s">
        <v>94</v>
      </c>
      <c r="AB36" s="333" t="s">
        <v>95</v>
      </c>
      <c r="AC36" s="333" t="s">
        <v>106</v>
      </c>
      <c r="AD36" s="330"/>
    </row>
    <row r="37" spans="1:94" s="153" customFormat="1" ht="17.25" customHeight="1" x14ac:dyDescent="0.25">
      <c r="A37" s="139"/>
      <c r="B37" s="188"/>
      <c r="C37" s="460" t="s">
        <v>37</v>
      </c>
      <c r="D37" s="461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62" t="s">
        <v>107</v>
      </c>
      <c r="AB37" s="463"/>
      <c r="AC37" s="463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5" x14ac:dyDescent="0.25">
      <c r="A38" s="139"/>
      <c r="B38" s="188"/>
      <c r="C38" s="444" t="str">
        <f>perm_name</f>
        <v>Permanent Positions</v>
      </c>
      <c r="D38" s="445"/>
      <c r="E38" s="189">
        <v>1</v>
      </c>
      <c r="F38" s="190">
        <f>SUMIF($E9:$E35,$E38,$F9:$F35)</f>
        <v>2.2000000000000002</v>
      </c>
      <c r="G38" s="191">
        <f>SUMIF($E10:$E35,$E38,$G10:$G35)</f>
        <v>145163.20000000001</v>
      </c>
      <c r="H38" s="192">
        <f>SUMIF($E10:$E35,$E38,$H10:$H35)</f>
        <v>25630</v>
      </c>
      <c r="I38" s="192">
        <f>SUMIF($E10:$E35,$E38,$I10:$I35)</f>
        <v>31390.816183999999</v>
      </c>
      <c r="J38" s="192">
        <f>SUM(G38:I38)</f>
        <v>202184.01618400001</v>
      </c>
      <c r="K38" s="166"/>
      <c r="L38" s="191">
        <f>SUMIF($E10:$E35,$E38,$L10:$L35)</f>
        <v>0</v>
      </c>
      <c r="M38" s="192">
        <f>SUMIF($E10:$E35,$E38,$M10:$M35)</f>
        <v>-609.68543999999997</v>
      </c>
      <c r="N38" s="192">
        <f>SUM(L38:M38)</f>
        <v>-609.68543999999997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1500</v>
      </c>
      <c r="AB38" s="338">
        <f>ROUND((AdjPermVB*CECPerm+AdjPermVBBY*CECPerm),-2)</f>
        <v>300</v>
      </c>
      <c r="AC38" s="338">
        <f>SUM(AA38:AB38)</f>
        <v>1800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5" x14ac:dyDescent="0.25">
      <c r="A39" s="139"/>
      <c r="B39" s="188"/>
      <c r="C39" s="444" t="str">
        <f>Group_name</f>
        <v>Board &amp; Group Positions</v>
      </c>
      <c r="D39" s="445"/>
      <c r="E39" s="189">
        <v>2</v>
      </c>
      <c r="F39" s="151">
        <f>SUMIF($E9:$E35,$E39,$F9:$F35)</f>
        <v>0</v>
      </c>
      <c r="G39" s="193">
        <f>SUMIF($E10:$E35,$E39,$G10:$G35)</f>
        <v>0</v>
      </c>
      <c r="H39" s="152">
        <f>SUMIF($E10:$E35,$E39,$H10:$H35)</f>
        <v>0</v>
      </c>
      <c r="I39" s="152">
        <f>SUMIF($E10:$E35,$E39,$I10:$I35)</f>
        <v>0</v>
      </c>
      <c r="J39" s="152">
        <f>SUM(G39:I39)</f>
        <v>0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0</v>
      </c>
      <c r="AB39" s="338">
        <f>ROUND(AdjGroupVB*CECGroup,-2)</f>
        <v>0</v>
      </c>
      <c r="AC39" s="338">
        <f>SUM(AA39:AB39)</f>
        <v>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5" x14ac:dyDescent="0.25">
      <c r="A40" s="139"/>
      <c r="B40" s="188"/>
      <c r="C40" s="365" t="str">
        <f>Elect_name</f>
        <v>Elected Officials &amp; Full Time Commissioners</v>
      </c>
      <c r="D40" s="366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4"/>
      <c r="AB40" s="364"/>
      <c r="AC40" s="364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5" x14ac:dyDescent="0.25">
      <c r="A41" s="139"/>
      <c r="B41" s="188"/>
      <c r="C41" s="444" t="s">
        <v>38</v>
      </c>
      <c r="D41" s="445"/>
      <c r="E41" s="189"/>
      <c r="F41" s="161">
        <f>SUM(F38:F40)</f>
        <v>2.2000000000000002</v>
      </c>
      <c r="G41" s="195">
        <f>SUM($G$38:$G$40)</f>
        <v>145163.20000000001</v>
      </c>
      <c r="H41" s="162">
        <f>SUM($H$38:$H$40)</f>
        <v>25630</v>
      </c>
      <c r="I41" s="162">
        <f>SUM($I$38:$I$40)</f>
        <v>31390.816183999999</v>
      </c>
      <c r="J41" s="162">
        <f>SUM($J$38:$J$40)</f>
        <v>202184.01618400001</v>
      </c>
      <c r="K41" s="259"/>
      <c r="L41" s="195">
        <f>SUM($L$38:$L$40)</f>
        <v>0</v>
      </c>
      <c r="M41" s="162">
        <f>SUM($M$38:$M$40)</f>
        <v>-609.68543999999997</v>
      </c>
      <c r="N41" s="162">
        <f>SUM(L41:M41)</f>
        <v>-609.68543999999997</v>
      </c>
      <c r="O41"/>
      <c r="P41"/>
      <c r="Q41"/>
      <c r="R41"/>
      <c r="S41"/>
      <c r="T41"/>
      <c r="U41"/>
      <c r="V41"/>
      <c r="W41"/>
      <c r="X41"/>
      <c r="Y41"/>
      <c r="Z41" s="344"/>
      <c r="AA41" s="364" t="s">
        <v>94</v>
      </c>
      <c r="AB41" s="333" t="s">
        <v>95</v>
      </c>
      <c r="AC41" s="333" t="s">
        <v>106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25">
      <c r="A42" s="139"/>
      <c r="B42" s="188"/>
      <c r="C42" s="446"/>
      <c r="D42" s="447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4"/>
      <c r="AB42" s="364"/>
      <c r="AC42" s="364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25">
      <c r="A43" s="139"/>
      <c r="B43" s="202"/>
      <c r="C43" s="448" t="s">
        <v>39</v>
      </c>
      <c r="D43" s="449"/>
      <c r="E43" s="203" t="s">
        <v>40</v>
      </c>
      <c r="F43" s="205">
        <f>ROUND(F51-F41,2)</f>
        <v>1.3</v>
      </c>
      <c r="G43" s="206">
        <f>ROUND(G51-G41,-2)</f>
        <v>155000</v>
      </c>
      <c r="H43" s="159">
        <f>ROUND(H51-H41,-2)</f>
        <v>27400</v>
      </c>
      <c r="I43" s="159">
        <f>ROUND(I51-I41,-2)</f>
        <v>33500</v>
      </c>
      <c r="J43" s="159">
        <f>SUM(G43:I43)</f>
        <v>215900</v>
      </c>
      <c r="K43" s="425" t="str">
        <f>IF(E51=0,"ERROR! Enter Original Appropriation amount in DU 3.00!","Calculated "&amp;IF(J43&gt;0,"overfunding ","underfunding ")&amp;"is "&amp;TEXT(J43/J51,"#.0%;(#.0% );0% ;")&amp;" of Original Appropriation")</f>
        <v>Calculated overfunding is 51.7% of Original Appropriation</v>
      </c>
      <c r="L43" s="426"/>
      <c r="M43" s="426"/>
      <c r="N43" s="427"/>
      <c r="O43"/>
      <c r="P43"/>
      <c r="Q43"/>
      <c r="R43"/>
      <c r="S43"/>
      <c r="T43"/>
      <c r="U43"/>
      <c r="V43"/>
      <c r="W43"/>
      <c r="X43"/>
      <c r="Y43"/>
      <c r="Z43" s="344"/>
      <c r="AA43" s="452" t="s">
        <v>108</v>
      </c>
      <c r="AB43" s="453"/>
      <c r="AC43" s="453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25">
      <c r="A44" s="139"/>
      <c r="B44" s="202"/>
      <c r="C44" s="450"/>
      <c r="D44" s="451"/>
      <c r="E44" s="204" t="s">
        <v>41</v>
      </c>
      <c r="F44" s="205">
        <f>ROUND(F60-F41,2)</f>
        <v>1.3</v>
      </c>
      <c r="G44" s="206">
        <f>ROUND(G60-G41,-2)</f>
        <v>154900</v>
      </c>
      <c r="H44" s="159">
        <f>ROUND(H60-H41,-2)</f>
        <v>27400</v>
      </c>
      <c r="I44" s="159">
        <f>ROUND(I60-I41,-2)</f>
        <v>33500</v>
      </c>
      <c r="J44" s="159">
        <f>SUM(G44:I44)</f>
        <v>215800</v>
      </c>
      <c r="K44" s="425" t="str">
        <f>IF(E51=0,"ERROR! Enter Original Appropriation amount in DU 3.00!","Calculated "&amp;IF(J44&gt;0,"overfunding ","underfunding ")&amp;"is "&amp;TEXT(J44/J60,"#.0%;(#.0% );0% ;")&amp;" of Estimated Expenditures")</f>
        <v>Calculated overfunding is 51.6% of Estimated Expenditures</v>
      </c>
      <c r="L44" s="426"/>
      <c r="M44" s="426"/>
      <c r="N44" s="427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25">
      <c r="A45" s="139"/>
      <c r="B45" s="202"/>
      <c r="C45" s="215"/>
      <c r="D45" s="215"/>
      <c r="E45" s="204" t="s">
        <v>99</v>
      </c>
      <c r="F45" s="205">
        <f>ROUND(F67-F41-F63,2)</f>
        <v>1.3</v>
      </c>
      <c r="G45" s="206">
        <f>ROUND(G67-G41-G63,-2)</f>
        <v>154900</v>
      </c>
      <c r="H45" s="206">
        <f>ROUND(H67-H41-H63,-2)</f>
        <v>27400</v>
      </c>
      <c r="I45" s="206">
        <f>ROUND(I67-I41-I63,-2)</f>
        <v>33500</v>
      </c>
      <c r="J45" s="159">
        <f>SUM(G45:I45)</f>
        <v>215800</v>
      </c>
      <c r="K45" s="425" t="str">
        <f>IF(J67=0,"Program has a zero base",IF(E51=0,"ERROR! Enter Original Appropriation amount in DU 3.00!","Calculated "&amp;IF(J45&gt;0,"overfunding ","underfunding ")&amp;"is "&amp;TEXT(J45/J67,"#.0%;(#.0% );0% ;")&amp;" of the Base"))</f>
        <v>Calculated overfunding is 51.6% of the Base</v>
      </c>
      <c r="L45" s="426"/>
      <c r="M45" s="426"/>
      <c r="N45" s="427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0</v>
      </c>
      <c r="AC45" s="338">
        <f>SUM(AA45:AB45)</f>
        <v>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25">
      <c r="A46" s="139"/>
      <c r="B46" s="202"/>
      <c r="C46" s="215"/>
      <c r="D46" s="215"/>
      <c r="E46" s="428" t="s">
        <v>100</v>
      </c>
      <c r="F46" s="429"/>
      <c r="G46" s="429"/>
      <c r="H46" s="429"/>
      <c r="I46" s="429"/>
      <c r="J46" s="430"/>
      <c r="K46" s="434" t="str">
        <f>IF(OR(J45&lt;0,F45&lt;0),"You may not have sufficient funding or authorized FTP, and may need to make additional adjustments to finalize this form.  Please contact both your DFM and LSO analysts.","")</f>
        <v/>
      </c>
      <c r="L46" s="435"/>
      <c r="M46" s="435"/>
      <c r="N46" s="436"/>
      <c r="O46"/>
      <c r="P46"/>
      <c r="Q46"/>
      <c r="R46"/>
      <c r="S46"/>
      <c r="T46"/>
      <c r="U46"/>
      <c r="V46"/>
      <c r="W46"/>
      <c r="X46"/>
      <c r="Y46"/>
      <c r="Z46" s="344"/>
      <c r="AA46" s="364"/>
      <c r="AB46" s="364"/>
      <c r="AC46" s="364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25">
      <c r="A47" s="139"/>
      <c r="B47" s="202"/>
      <c r="C47" s="215"/>
      <c r="D47" s="215"/>
      <c r="E47" s="431"/>
      <c r="F47" s="432"/>
      <c r="G47" s="432"/>
      <c r="H47" s="432"/>
      <c r="I47" s="432"/>
      <c r="J47" s="433"/>
      <c r="K47" s="437"/>
      <c r="L47" s="438"/>
      <c r="M47" s="438"/>
      <c r="N47" s="439"/>
      <c r="O47"/>
      <c r="P47"/>
      <c r="Q47"/>
      <c r="R47"/>
      <c r="S47"/>
      <c r="T47"/>
      <c r="U47"/>
      <c r="V47"/>
      <c r="W47"/>
      <c r="X47"/>
      <c r="Y47"/>
      <c r="Z47" s="344"/>
      <c r="AA47" s="364"/>
      <c r="AB47" s="364"/>
      <c r="AC47" s="364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25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25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4"/>
      <c r="AB49" s="364"/>
      <c r="AC49" s="364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25">
      <c r="A50" s="257" t="s">
        <v>42</v>
      </c>
      <c r="B50" s="71"/>
      <c r="C50" s="440"/>
      <c r="D50" s="441"/>
      <c r="E50" s="72" t="s">
        <v>43</v>
      </c>
      <c r="F50" s="73" t="s">
        <v>24</v>
      </c>
      <c r="G50" s="72" t="str">
        <f>"FY "&amp;M4-2001&amp;" Salary"</f>
        <v>FY 22 Salary</v>
      </c>
      <c r="H50" s="72" t="str">
        <f>"FY "&amp;M4-2001&amp;" Health Ben"</f>
        <v>FY 22 Health Ben</v>
      </c>
      <c r="I50" s="72" t="str">
        <f>"FY "&amp;M4-2001&amp;" Var Ben"</f>
        <v>FY 22 Var Ben</v>
      </c>
      <c r="J50" s="72" t="str">
        <f>"FY "&amp;M4-1&amp;" Total"</f>
        <v>FY 2022 Total</v>
      </c>
      <c r="K50" s="307" t="str">
        <f>"FY "&amp;FiscalYear&amp;" SALARY CHG"</f>
        <v>FY 2023 SALARY CHG</v>
      </c>
      <c r="L50" s="74" t="str">
        <f>"FY "&amp;M4-2000&amp;" Chg Health Bens"</f>
        <v>FY 23 Chg Health Bens</v>
      </c>
      <c r="M50" s="74" t="str">
        <f>"FY "&amp;M4-2000&amp;" Chg Var Bens"</f>
        <v>FY 23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4"/>
      <c r="AB50" s="364"/>
      <c r="AC50" s="364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25">
      <c r="A51" s="75">
        <v>3</v>
      </c>
      <c r="B51" s="76" t="s">
        <v>45</v>
      </c>
      <c r="C51" s="54" t="str">
        <f>"FY "&amp;M4-1</f>
        <v>FY 2022</v>
      </c>
      <c r="D51" s="77" t="s">
        <v>31</v>
      </c>
      <c r="E51" s="78">
        <f>OrigApprop</f>
        <v>418000</v>
      </c>
      <c r="F51" s="272">
        <f>AppropFTP</f>
        <v>3.5</v>
      </c>
      <c r="G51" s="274">
        <f>IF(E51=0,0,(G41/$J$41)*$E$51)</f>
        <v>300113.82079174381</v>
      </c>
      <c r="H51" s="274">
        <f>IF(E51=0,0,(H41/$J$41)*$E$51)</f>
        <v>52988.066031145587</v>
      </c>
      <c r="I51" s="275">
        <f>IF(E51=0,0,(I41/$J$41)*$E$51)</f>
        <v>64898.11317711063</v>
      </c>
      <c r="J51" s="90">
        <f>SUM(G51:I51)</f>
        <v>418000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4"/>
      <c r="AC51" s="364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25">
      <c r="A52" s="82"/>
      <c r="B52" s="83"/>
      <c r="C52" s="84"/>
      <c r="D52" s="132" t="s">
        <v>46</v>
      </c>
      <c r="E52" s="133"/>
      <c r="F52" s="55">
        <f>F51</f>
        <v>3.5</v>
      </c>
      <c r="G52" s="79">
        <f>ROUND(G51,-2)</f>
        <v>300100</v>
      </c>
      <c r="H52" s="79">
        <f>ROUND(H51,-2)</f>
        <v>53000</v>
      </c>
      <c r="I52" s="266">
        <f>ROUND(I51,-2)</f>
        <v>64900</v>
      </c>
      <c r="J52" s="80">
        <f>ROUND(J51,-2)</f>
        <v>418000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4"/>
      <c r="AC52" s="364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5" x14ac:dyDescent="0.25">
      <c r="A53" s="85"/>
      <c r="B53" s="83"/>
      <c r="C53" s="442" t="s">
        <v>47</v>
      </c>
      <c r="D53" s="443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4"/>
      <c r="AB53" s="364"/>
      <c r="AC53" s="364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25">
      <c r="A54" s="85">
        <v>4.1100000000000003</v>
      </c>
      <c r="B54" s="83"/>
      <c r="C54" s="409" t="s">
        <v>48</v>
      </c>
      <c r="D54" s="410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4"/>
      <c r="AB54" s="364"/>
      <c r="AC54" s="364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25">
      <c r="A55" s="85">
        <v>4.3099999999999996</v>
      </c>
      <c r="B55" s="83"/>
      <c r="C55" s="422" t="s">
        <v>49</v>
      </c>
      <c r="D55" s="423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4"/>
      <c r="AB55" s="364"/>
      <c r="AC55" s="364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25">
      <c r="A56" s="75">
        <v>5</v>
      </c>
      <c r="B56" s="76"/>
      <c r="C56" s="54" t="str">
        <f>"FY "&amp;M4-1</f>
        <v>FY 2022</v>
      </c>
      <c r="D56" s="131" t="s">
        <v>50</v>
      </c>
      <c r="E56" s="135"/>
      <c r="F56" s="55">
        <f>SUM(F52:F55)</f>
        <v>3.5</v>
      </c>
      <c r="G56" s="80">
        <f>SUM(G52:G55)</f>
        <v>300100</v>
      </c>
      <c r="H56" s="80">
        <f>SUM(H52:H55)</f>
        <v>53000</v>
      </c>
      <c r="I56" s="260">
        <f>SUM(I52:I55)</f>
        <v>64900</v>
      </c>
      <c r="J56" s="80">
        <f>SUM(J52:J55)</f>
        <v>418000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4"/>
      <c r="AB56" s="364"/>
      <c r="AC56" s="364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25">
      <c r="A57" s="85"/>
      <c r="B57" s="83"/>
      <c r="C57" s="420" t="s">
        <v>51</v>
      </c>
      <c r="D57" s="424"/>
      <c r="E57" s="368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4"/>
      <c r="AB57" s="364"/>
      <c r="AC57" s="364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25">
      <c r="A58" s="85">
        <v>6.31</v>
      </c>
      <c r="B58" s="83"/>
      <c r="C58" s="409" t="s">
        <v>52</v>
      </c>
      <c r="D58" s="410"/>
      <c r="E58" s="102"/>
      <c r="F58" s="58">
        <v>0</v>
      </c>
      <c r="G58" s="88">
        <v>0</v>
      </c>
      <c r="H58" s="88">
        <v>0</v>
      </c>
      <c r="I58" s="265">
        <v>0</v>
      </c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4"/>
      <c r="AB58" s="364"/>
      <c r="AC58" s="364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25">
      <c r="A59" s="85">
        <v>6.51</v>
      </c>
      <c r="B59" s="83"/>
      <c r="C59" s="422" t="s">
        <v>66</v>
      </c>
      <c r="D59" s="423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4"/>
      <c r="AB59" s="364"/>
      <c r="AC59" s="364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25">
      <c r="A60" s="75">
        <v>7</v>
      </c>
      <c r="B60" s="76"/>
      <c r="C60" s="54" t="str">
        <f>"FY "&amp;M4-1</f>
        <v>FY 2022</v>
      </c>
      <c r="D60" s="131" t="s">
        <v>53</v>
      </c>
      <c r="E60" s="135"/>
      <c r="F60" s="55">
        <f>SUM(F56:F59)</f>
        <v>3.5</v>
      </c>
      <c r="G60" s="80">
        <f>SUM(G56:G59)</f>
        <v>300100</v>
      </c>
      <c r="H60" s="80">
        <f>SUM(H56:H59)</f>
        <v>53000</v>
      </c>
      <c r="I60" s="260">
        <f>SUM(I56:I59)</f>
        <v>64900</v>
      </c>
      <c r="J60" s="80">
        <f>SUM(J56:J59)</f>
        <v>418000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4"/>
      <c r="AB60" s="364"/>
      <c r="AC60" s="364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25">
      <c r="A61" s="85"/>
      <c r="B61" s="83"/>
      <c r="C61" s="420" t="s">
        <v>54</v>
      </c>
      <c r="D61" s="424"/>
      <c r="E61" s="368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4"/>
      <c r="AB61" s="364"/>
      <c r="AC61" s="364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25">
      <c r="A62" s="85">
        <v>8.31</v>
      </c>
      <c r="B62" s="83"/>
      <c r="C62" s="409" t="s">
        <v>67</v>
      </c>
      <c r="D62" s="410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4"/>
      <c r="AB62" s="364"/>
      <c r="AC62" s="364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25">
      <c r="A63" s="85">
        <v>8.41</v>
      </c>
      <c r="B63" s="83"/>
      <c r="C63" s="409" t="s">
        <v>55</v>
      </c>
      <c r="D63" s="410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4"/>
      <c r="AB63" s="364"/>
      <c r="AC63" s="364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">
      <c r="A64" s="93">
        <v>8.51</v>
      </c>
      <c r="B64" s="93"/>
      <c r="C64" s="414" t="s">
        <v>56</v>
      </c>
      <c r="D64" s="415"/>
      <c r="E64" s="134"/>
      <c r="F64" s="58">
        <v>0</v>
      </c>
      <c r="G64" s="88"/>
      <c r="H64" s="88">
        <v>0</v>
      </c>
      <c r="I64" s="265"/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4"/>
      <c r="AB64" s="364"/>
      <c r="AC64" s="364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25">
      <c r="A65" s="94"/>
      <c r="B65" s="95"/>
      <c r="C65" s="416"/>
      <c r="D65" s="417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4"/>
      <c r="AB65" s="364"/>
      <c r="AC65" s="364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5" x14ac:dyDescent="0.25">
      <c r="A66" s="100"/>
      <c r="B66" s="101"/>
      <c r="C66" s="418"/>
      <c r="D66" s="419"/>
      <c r="E66" s="102"/>
      <c r="F66" s="103" t="s">
        <v>24</v>
      </c>
      <c r="G66" s="104" t="str">
        <f>"FY "&amp;M4-2000&amp;" Salary"</f>
        <v>FY 23 Salary</v>
      </c>
      <c r="H66" s="104" t="str">
        <f>"FY"&amp;M4-2000&amp;" Health Ben"</f>
        <v>FY23 Health Ben</v>
      </c>
      <c r="I66" s="104" t="str">
        <f>"FY "&amp;M4-2000&amp;" Var Ben"</f>
        <v>FY 23 Var Ben</v>
      </c>
      <c r="J66" s="104" t="str">
        <f>"FY "&amp;M4&amp;" Total"</f>
        <v>FY 2023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5" x14ac:dyDescent="0.25">
      <c r="A67" s="82">
        <v>9</v>
      </c>
      <c r="B67" s="83"/>
      <c r="C67" s="84" t="str">
        <f>"FY "&amp;M4</f>
        <v>FY 2023</v>
      </c>
      <c r="D67" s="108" t="s">
        <v>57</v>
      </c>
      <c r="E67" s="109"/>
      <c r="F67" s="55">
        <f>SUM(F60:F64)</f>
        <v>3.5</v>
      </c>
      <c r="G67" s="80">
        <f>SUM(G60:G64)</f>
        <v>300100</v>
      </c>
      <c r="H67" s="80">
        <f>SUM(H60:H64)</f>
        <v>53000</v>
      </c>
      <c r="I67" s="80">
        <f>SUM(I60:I64)</f>
        <v>64900</v>
      </c>
      <c r="J67" s="80">
        <f>SUM(J60:J64)</f>
        <v>418000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4"/>
      <c r="AB67" s="364"/>
      <c r="AC67" s="364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25">
      <c r="A68" s="85">
        <v>10.11</v>
      </c>
      <c r="B68" s="83"/>
      <c r="C68" s="420" t="s">
        <v>58</v>
      </c>
      <c r="D68" s="421"/>
      <c r="E68" s="112"/>
      <c r="F68" s="288"/>
      <c r="G68" s="287"/>
      <c r="H68" s="113">
        <f>IF(DUNine=0,0,ROUND(SUM(L41:L65),-2))</f>
        <v>0</v>
      </c>
      <c r="I68" s="113"/>
      <c r="J68" s="287">
        <f>SUM(G68:I68)</f>
        <v>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4"/>
      <c r="AB68" s="364"/>
      <c r="AC68" s="364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5" x14ac:dyDescent="0.25">
      <c r="A69" s="85">
        <v>10.119999999999999</v>
      </c>
      <c r="B69" s="83"/>
      <c r="C69" s="420" t="s">
        <v>59</v>
      </c>
      <c r="D69" s="421"/>
      <c r="E69" s="112"/>
      <c r="F69" s="288"/>
      <c r="G69" s="113"/>
      <c r="H69" s="113"/>
      <c r="I69" s="113">
        <f>IF(DUNine=0,0,ROUND(SUM(M41:M64),-2))</f>
        <v>-600</v>
      </c>
      <c r="J69" s="287">
        <f>SUM(G69:I69)</f>
        <v>-600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4"/>
      <c r="AB69" s="364"/>
      <c r="AC69" s="364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5" x14ac:dyDescent="0.25">
      <c r="A70" s="85"/>
      <c r="B70" s="83"/>
      <c r="C70" s="407"/>
      <c r="D70" s="408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4"/>
      <c r="AB70" s="364"/>
      <c r="AC70" s="364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25">
      <c r="A71" s="85">
        <v>10.51</v>
      </c>
      <c r="B71" s="83"/>
      <c r="C71" s="409" t="s">
        <v>60</v>
      </c>
      <c r="D71" s="410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112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64"/>
      <c r="AB71" s="364"/>
      <c r="AC71" s="364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25">
      <c r="A72" s="85">
        <v>10.61</v>
      </c>
      <c r="B72" s="83"/>
      <c r="C72" s="409" t="s">
        <v>101</v>
      </c>
      <c r="D72" s="411"/>
      <c r="E72" s="290">
        <f>CECPerm</f>
        <v>0.01</v>
      </c>
      <c r="F72" s="288"/>
      <c r="G72" s="356">
        <f>IF(DUNine=0,0,IF(DUNine&lt;0,0,ROUND(AdjPermSalary*CECPerm,-2)))</f>
        <v>1500</v>
      </c>
      <c r="H72" s="287"/>
      <c r="I72" s="287">
        <f>ROUND(($G72*PermVBBY+$G72*Retire1BY),-2)</f>
        <v>300</v>
      </c>
      <c r="J72" s="113">
        <f>SUM(G72:I72)</f>
        <v>1800</v>
      </c>
      <c r="K72" s="296"/>
      <c r="L72" s="298"/>
      <c r="M72" s="350" t="e">
        <f>IF(DUNine=0,0,IF(((#REF!-G39-G40)*E72)&lt;0,0,ROUND(((#REF!-G39-G40)*E72),-2)))</f>
        <v>#REF!</v>
      </c>
      <c r="N72" s="359"/>
      <c r="O72" s="358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#REF!</v>
      </c>
      <c r="P72" s="358"/>
      <c r="Q72"/>
      <c r="R72"/>
      <c r="S72"/>
      <c r="T72"/>
      <c r="U72"/>
      <c r="V72"/>
      <c r="W72"/>
      <c r="X72"/>
      <c r="Y72"/>
      <c r="Z72" s="344"/>
      <c r="AA72" s="364"/>
      <c r="AB72" s="364"/>
      <c r="AC72" s="364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25">
      <c r="A73" s="85">
        <v>10.62</v>
      </c>
      <c r="B73" s="83"/>
      <c r="C73" s="409" t="s">
        <v>61</v>
      </c>
      <c r="D73" s="411"/>
      <c r="E73" s="289">
        <f>CECGroup</f>
        <v>0.01</v>
      </c>
      <c r="F73" s="288"/>
      <c r="G73" s="356">
        <f>IF(DUNine=0,0,IF(DUNine&lt;0,0,ROUND(AdjGroupSalary*CECGroup,-2)))</f>
        <v>0</v>
      </c>
      <c r="H73" s="287"/>
      <c r="I73" s="287">
        <f>ROUND(($G73*GroupVBBY),-2)</f>
        <v>0</v>
      </c>
      <c r="J73" s="113">
        <f t="shared" si="11"/>
        <v>0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64"/>
      <c r="AB73" s="364"/>
      <c r="AC73" s="364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25">
      <c r="A74" s="85">
        <v>10.63</v>
      </c>
      <c r="B74" s="83"/>
      <c r="C74" s="367" t="s">
        <v>62</v>
      </c>
      <c r="D74" s="369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4"/>
      <c r="AB74" s="364"/>
      <c r="AC74" s="364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25">
      <c r="A75" s="75">
        <v>11</v>
      </c>
      <c r="B75" s="76"/>
      <c r="C75" s="54" t="str">
        <f>"FY "&amp;M4</f>
        <v>FY 2023</v>
      </c>
      <c r="D75" s="77" t="s">
        <v>63</v>
      </c>
      <c r="E75" s="112"/>
      <c r="F75" s="55">
        <f>SUM(F67:F74)</f>
        <v>3.5</v>
      </c>
      <c r="G75" s="80">
        <f>SUM(G67:G74)</f>
        <v>301600</v>
      </c>
      <c r="H75" s="80">
        <f>SUM(H67:H74)</f>
        <v>53000</v>
      </c>
      <c r="I75" s="80">
        <f>SUM(I67:I74)</f>
        <v>64600</v>
      </c>
      <c r="J75" s="80">
        <f>SUM(J67:K74)</f>
        <v>419200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4"/>
      <c r="AB75" s="364"/>
      <c r="AC75" s="364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25">
      <c r="A76" s="85"/>
      <c r="B76" s="83"/>
      <c r="C76" s="412" t="s">
        <v>64</v>
      </c>
      <c r="D76" s="413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4"/>
      <c r="AB76" s="364"/>
      <c r="AC76" s="364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5" x14ac:dyDescent="0.25">
      <c r="A77" s="116">
        <v>12.01</v>
      </c>
      <c r="B77" s="57"/>
      <c r="C77" s="405"/>
      <c r="D77" s="406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4"/>
      <c r="AB77" s="364"/>
      <c r="AC77" s="364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5" x14ac:dyDescent="0.25">
      <c r="A78" s="116">
        <v>12.02</v>
      </c>
      <c r="B78" s="57"/>
      <c r="C78" s="405"/>
      <c r="D78" s="406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4"/>
      <c r="AB78" s="364"/>
      <c r="AC78" s="364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5" x14ac:dyDescent="0.25">
      <c r="A79" s="116">
        <v>12.03</v>
      </c>
      <c r="B79" s="57" t="s">
        <v>45</v>
      </c>
      <c r="C79" s="405"/>
      <c r="D79" s="406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4"/>
      <c r="AB79" s="364"/>
      <c r="AC79" s="364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25">
      <c r="A80" s="117">
        <v>13</v>
      </c>
      <c r="B80" s="118"/>
      <c r="C80" s="119" t="str">
        <f>"FY "&amp;M4</f>
        <v>FY 2023</v>
      </c>
      <c r="D80" s="120" t="s">
        <v>65</v>
      </c>
      <c r="E80" s="121"/>
      <c r="F80" s="55">
        <f>SUM(F75:F79)</f>
        <v>3.5</v>
      </c>
      <c r="G80" s="80">
        <f>SUM(G75:G79)</f>
        <v>301600</v>
      </c>
      <c r="H80" s="80">
        <f>SUM(H75:H79)</f>
        <v>53000</v>
      </c>
      <c r="I80" s="80">
        <f>SUM(I75:I79)</f>
        <v>64600</v>
      </c>
      <c r="J80" s="80">
        <f>SUM(J75:J79)</f>
        <v>419200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4"/>
      <c r="AB80" s="364"/>
      <c r="AC80" s="364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13:D13"/>
    <mergeCell ref="M1:N1"/>
    <mergeCell ref="M2:N2"/>
    <mergeCell ref="M3:N3"/>
    <mergeCell ref="M4:N4"/>
    <mergeCell ref="I5:L5"/>
    <mergeCell ref="C8:D8"/>
    <mergeCell ref="AA8:AC8"/>
    <mergeCell ref="C9:D9"/>
    <mergeCell ref="C10:D10"/>
    <mergeCell ref="C11:D11"/>
    <mergeCell ref="C12:D12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C54:D54"/>
    <mergeCell ref="C39:D39"/>
    <mergeCell ref="C41:D41"/>
    <mergeCell ref="C42:D42"/>
    <mergeCell ref="C43:D44"/>
    <mergeCell ref="K45:N45"/>
    <mergeCell ref="E46:J47"/>
    <mergeCell ref="K46:N47"/>
    <mergeCell ref="C50:D50"/>
    <mergeCell ref="C53:D53"/>
    <mergeCell ref="C69:D69"/>
    <mergeCell ref="C55:D55"/>
    <mergeCell ref="C57:D57"/>
    <mergeCell ref="C58:D58"/>
    <mergeCell ref="C59:D59"/>
    <mergeCell ref="C61:D61"/>
    <mergeCell ref="C62:D62"/>
    <mergeCell ref="C63:D63"/>
    <mergeCell ref="C64:D64"/>
    <mergeCell ref="C65:D65"/>
    <mergeCell ref="C66:D66"/>
    <mergeCell ref="C68:D68"/>
    <mergeCell ref="C78:D78"/>
    <mergeCell ref="C79:D79"/>
    <mergeCell ref="C70:D70"/>
    <mergeCell ref="C71:D71"/>
    <mergeCell ref="C72:D72"/>
    <mergeCell ref="C73:D73"/>
    <mergeCell ref="C76:D76"/>
    <mergeCell ref="C77:D77"/>
  </mergeCells>
  <conditionalFormatting sqref="K44">
    <cfRule type="expression" dxfId="83" priority="5">
      <formula>$J$44&lt;0</formula>
    </cfRule>
  </conditionalFormatting>
  <conditionalFormatting sqref="K43">
    <cfRule type="expression" dxfId="82" priority="4">
      <formula>$J$43&lt;0</formula>
    </cfRule>
  </conditionalFormatting>
  <conditionalFormatting sqref="L16">
    <cfRule type="expression" dxfId="81" priority="3">
      <formula>$J$16&lt;0</formula>
    </cfRule>
  </conditionalFormatting>
  <conditionalFormatting sqref="K45">
    <cfRule type="expression" dxfId="80" priority="2">
      <formula>$J$44&lt;0</formula>
    </cfRule>
  </conditionalFormatting>
  <conditionalFormatting sqref="K43:N45">
    <cfRule type="containsText" dxfId="79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829630F-69CD-4F9E-A2B7-C207F5744060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22053-9183-4B4C-86D6-992DFC9969F1}">
  <sheetPr>
    <tabColor rgb="FF92D050"/>
    <pageSetUpPr fitToPage="1"/>
  </sheetPr>
  <dimension ref="A1:CP80"/>
  <sheetViews>
    <sheetView showGridLines="0" zoomScaleNormal="100" workbookViewId="0">
      <selection activeCell="C8" sqref="C8:N16"/>
    </sheetView>
  </sheetViews>
  <sheetFormatPr defaultColWidth="9.140625" defaultRowHeight="15.75" x14ac:dyDescent="0.25"/>
  <cols>
    <col min="1" max="1" width="7.85546875" style="124" customWidth="1"/>
    <col min="2" max="2" width="7.7109375" style="125" customWidth="1"/>
    <col min="3" max="3" width="9" style="125" customWidth="1"/>
    <col min="4" max="4" width="39.28515625" style="53" customWidth="1"/>
    <col min="5" max="5" width="13" style="126" customWidth="1"/>
    <col min="6" max="6" width="12.28515625" style="127" customWidth="1"/>
    <col min="7" max="7" width="12.140625" style="127" bestFit="1" customWidth="1"/>
    <col min="8" max="8" width="14.5703125" style="127" customWidth="1"/>
    <col min="9" max="9" width="19.5703125" style="128" bestFit="1" customWidth="1"/>
    <col min="10" max="10" width="13.7109375" style="129" customWidth="1"/>
    <col min="11" max="11" width="13.7109375" style="129" hidden="1" customWidth="1"/>
    <col min="12" max="12" width="18.42578125" style="129" customWidth="1"/>
    <col min="13" max="13" width="16.42578125" style="129" customWidth="1"/>
    <col min="14" max="14" width="16.140625" style="128" customWidth="1"/>
    <col min="15" max="25" width="16.140625" customWidth="1"/>
    <col min="26" max="26" width="16.140625" style="344" customWidth="1"/>
    <col min="27" max="27" width="22.140625" style="334" bestFit="1" customWidth="1"/>
    <col min="28" max="28" width="31.140625" style="334" bestFit="1" customWidth="1"/>
    <col min="29" max="29" width="7.85546875" style="334" bestFit="1" customWidth="1"/>
    <col min="30" max="30" width="9.140625" style="110" customWidth="1"/>
    <col min="31" max="94" width="9.140625" style="17"/>
    <col min="95" max="16384" width="9.140625" style="18"/>
  </cols>
  <sheetData>
    <row r="1" spans="1:94" x14ac:dyDescent="0.25">
      <c r="A1" s="12" t="s">
        <v>13</v>
      </c>
      <c r="B1" s="13"/>
      <c r="C1" s="13"/>
      <c r="D1" s="14" t="s">
        <v>2643</v>
      </c>
      <c r="E1" s="15"/>
      <c r="F1" s="15"/>
      <c r="G1" s="15"/>
      <c r="H1" s="15"/>
      <c r="I1" s="15"/>
      <c r="J1" s="15"/>
      <c r="K1" s="15"/>
      <c r="L1" s="16" t="s">
        <v>14</v>
      </c>
      <c r="M1" s="468">
        <v>240</v>
      </c>
      <c r="N1" s="469"/>
      <c r="AA1" s="364"/>
      <c r="AB1" s="333"/>
      <c r="AC1" s="333"/>
      <c r="AD1" s="325"/>
    </row>
    <row r="2" spans="1:94" ht="20.25" x14ac:dyDescent="0.25">
      <c r="A2" s="19" t="s">
        <v>116</v>
      </c>
      <c r="B2" s="20"/>
      <c r="C2" s="20"/>
      <c r="D2" s="14" t="s">
        <v>2643</v>
      </c>
      <c r="E2" s="21"/>
      <c r="F2" s="21"/>
      <c r="G2" s="21"/>
      <c r="H2" s="21"/>
      <c r="I2" s="21"/>
      <c r="J2" s="20"/>
      <c r="K2" s="20"/>
      <c r="L2" s="22" t="s">
        <v>113</v>
      </c>
      <c r="M2" s="470" t="s">
        <v>2659</v>
      </c>
      <c r="N2" s="471"/>
      <c r="AA2" s="333"/>
      <c r="AB2" s="333"/>
      <c r="AC2" s="333"/>
      <c r="AD2" s="325"/>
    </row>
    <row r="3" spans="1:94" x14ac:dyDescent="0.25">
      <c r="A3" s="19" t="s">
        <v>117</v>
      </c>
      <c r="B3" s="20"/>
      <c r="C3" s="20"/>
      <c r="D3" s="23" t="s">
        <v>2644</v>
      </c>
      <c r="E3" s="24"/>
      <c r="F3" s="25"/>
      <c r="G3" s="25"/>
      <c r="H3" s="25"/>
      <c r="I3" s="26"/>
      <c r="J3" s="20"/>
      <c r="K3" s="20"/>
      <c r="L3" s="22" t="s">
        <v>114</v>
      </c>
      <c r="M3" s="468" t="s">
        <v>167</v>
      </c>
      <c r="N3" s="469"/>
      <c r="AA3" s="364"/>
      <c r="AB3" s="333"/>
      <c r="AC3" s="333"/>
      <c r="AD3" s="325"/>
    </row>
    <row r="4" spans="1:94" x14ac:dyDescent="0.25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68">
        <v>2023</v>
      </c>
      <c r="N4" s="469"/>
      <c r="AA4" s="364"/>
      <c r="AB4" s="333"/>
      <c r="AC4" s="333"/>
      <c r="AD4" s="325"/>
    </row>
    <row r="5" spans="1:94" s="34" customFormat="1" ht="18" customHeight="1" x14ac:dyDescent="0.25">
      <c r="A5" s="19" t="s">
        <v>16</v>
      </c>
      <c r="B5" s="20"/>
      <c r="C5" s="20"/>
      <c r="D5" s="351">
        <v>44440</v>
      </c>
      <c r="E5" s="27"/>
      <c r="F5" s="30"/>
      <c r="G5" s="31"/>
      <c r="H5" s="31" t="s">
        <v>17</v>
      </c>
      <c r="I5" s="470" t="s">
        <v>2657</v>
      </c>
      <c r="J5" s="472"/>
      <c r="K5" s="472"/>
      <c r="L5" s="471"/>
      <c r="M5" s="352" t="s">
        <v>115</v>
      </c>
      <c r="N5" s="32" t="s">
        <v>2658</v>
      </c>
      <c r="O5"/>
      <c r="P5"/>
      <c r="Q5"/>
      <c r="R5"/>
      <c r="S5"/>
      <c r="T5"/>
      <c r="U5"/>
      <c r="V5"/>
      <c r="W5"/>
      <c r="X5"/>
      <c r="Y5"/>
      <c r="Z5" s="344"/>
      <c r="AA5" s="364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25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84</v>
      </c>
      <c r="K6" s="31"/>
      <c r="L6" s="353"/>
      <c r="M6" s="354" t="s">
        <v>85</v>
      </c>
      <c r="N6" s="306"/>
      <c r="AA6" s="364"/>
      <c r="AB6" s="333"/>
      <c r="AC6" s="333"/>
      <c r="AD6" s="325"/>
    </row>
    <row r="7" spans="1:94" x14ac:dyDescent="0.25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25">
      <c r="A8" s="48" t="s">
        <v>20</v>
      </c>
      <c r="B8" s="370" t="s">
        <v>21</v>
      </c>
      <c r="C8" s="473" t="s">
        <v>22</v>
      </c>
      <c r="D8" s="474"/>
      <c r="E8" s="370" t="s">
        <v>23</v>
      </c>
      <c r="F8" s="49" t="s">
        <v>24</v>
      </c>
      <c r="G8" s="50" t="str">
        <f>"FY "&amp;'EMAA|0303-00'!FiscalYear-1&amp;" SALARY"</f>
        <v>FY 2022 SALARY</v>
      </c>
      <c r="H8" s="50" t="str">
        <f>"FY "&amp;'EMAA|0303-00'!FiscalYear-1&amp;" HEALTH BENEFITS"</f>
        <v>FY 2022 HEALTH BENEFITS</v>
      </c>
      <c r="I8" s="50" t="str">
        <f>"FY "&amp;'EMAA|0303-00'!FiscalYear-1&amp;" VAR BENEFITS"</f>
        <v>FY 2022 VAR BENEFITS</v>
      </c>
      <c r="J8" s="50" t="str">
        <f>"FY "&amp;'EMAA|0303-00'!FiscalYear-1&amp;" TOTAL"</f>
        <v>FY 2022 TOTAL</v>
      </c>
      <c r="K8" s="50" t="str">
        <f>"FY "&amp;'EMAA|0303-00'!FiscalYear&amp;" SALARY CHANGE"</f>
        <v>FY 2023 SALARY CHANGE</v>
      </c>
      <c r="L8" s="50" t="str">
        <f>"FY "&amp;'EMAA|0303-00'!FiscalYear&amp;" CHG HEALTH BENEFITS"</f>
        <v>FY 2023 CHG HEALTH BENEFITS</v>
      </c>
      <c r="M8" s="50" t="str">
        <f>"FY "&amp;'EMAA|0303-00'!FiscalYear&amp;" CHG VAR BENEFITS"</f>
        <v>FY 2023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64" t="s">
        <v>105</v>
      </c>
      <c r="AB8" s="464"/>
      <c r="AC8" s="464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25">
      <c r="A9" s="139"/>
      <c r="B9" s="140"/>
      <c r="C9" s="465" t="s">
        <v>26</v>
      </c>
      <c r="D9" s="466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4" t="s">
        <v>94</v>
      </c>
      <c r="AB9" s="333" t="s">
        <v>95</v>
      </c>
      <c r="AC9" s="333" t="s">
        <v>106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25">
      <c r="A10" s="139"/>
      <c r="B10" s="139"/>
      <c r="C10" s="444" t="s">
        <v>27</v>
      </c>
      <c r="D10" s="467"/>
      <c r="E10" s="217">
        <v>1</v>
      </c>
      <c r="F10" s="288">
        <f>[0]!EMAA030300col_INC_FTI</f>
        <v>1</v>
      </c>
      <c r="G10" s="218">
        <f>[0]!EMAA030300col_FTI_SALARY_PERM</f>
        <v>38376</v>
      </c>
      <c r="H10" s="218">
        <f>[0]!EMAA030300col_HEALTH_PERM</f>
        <v>11650</v>
      </c>
      <c r="I10" s="218">
        <f>[0]!EMAA030300col_TOT_VB_PERM</f>
        <v>8298.618120000001</v>
      </c>
      <c r="J10" s="219">
        <f>SUM(G10:I10)</f>
        <v>58324.618119999999</v>
      </c>
      <c r="K10" s="219">
        <f>[0]!EMAA030300col_1_27TH_PP</f>
        <v>0</v>
      </c>
      <c r="L10" s="218">
        <f>[0]!EMAA030300col_HEALTH_PERM_CHG</f>
        <v>0</v>
      </c>
      <c r="M10" s="218">
        <f>[0]!EMAA030300col_TOT_VB_PERM_CHG</f>
        <v>-161.17920000000001</v>
      </c>
      <c r="N10" s="218">
        <f>SUM(L10:M10)</f>
        <v>-161.17920000000001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400</v>
      </c>
      <c r="AB10" s="335">
        <f>ROUND(PermVarBen*CECPerm+(CECPerm*PermVarBenChg),-2)</f>
        <v>100</v>
      </c>
      <c r="AC10" s="335">
        <f>SUM(AA10:AB10)</f>
        <v>500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25">
      <c r="A11" s="139"/>
      <c r="B11" s="139"/>
      <c r="C11" s="444" t="s">
        <v>28</v>
      </c>
      <c r="D11" s="467"/>
      <c r="E11" s="217">
        <v>2</v>
      </c>
      <c r="F11" s="288"/>
      <c r="G11" s="218">
        <f>[0]!EMAA030300col_Group_Salary</f>
        <v>0</v>
      </c>
      <c r="H11" s="218">
        <v>0</v>
      </c>
      <c r="I11" s="218">
        <f>[0]!EMAA030300col_Group_Ben</f>
        <v>0</v>
      </c>
      <c r="J11" s="219">
        <f>SUM(G11:I11)</f>
        <v>0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0</v>
      </c>
      <c r="AB11" s="335">
        <f>ROUND((GroupSalary*GroupVBBY)*CECGroup,-2)</f>
        <v>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25">
      <c r="A12" s="139"/>
      <c r="B12" s="139"/>
      <c r="C12" s="444" t="s">
        <v>29</v>
      </c>
      <c r="D12" s="445"/>
      <c r="E12" s="217">
        <v>3</v>
      </c>
      <c r="F12" s="288">
        <f>[0]!EMAA030300col_TOTAL_ELECT_PCN_FTI</f>
        <v>0</v>
      </c>
      <c r="G12" s="218">
        <f>[0]!EMAA030300col_FTI_SALARY_ELECT</f>
        <v>0</v>
      </c>
      <c r="H12" s="218">
        <f>[0]!EMAA030300col_HEALTH_ELECT</f>
        <v>0</v>
      </c>
      <c r="I12" s="218">
        <f>[0]!EMAA030300col_TOT_VB_ELECT</f>
        <v>0</v>
      </c>
      <c r="J12" s="219">
        <f>SUM(G12:I12)</f>
        <v>0</v>
      </c>
      <c r="K12" s="268"/>
      <c r="L12" s="218">
        <f>[0]!EMAA030300col_HEALTH_ELECT_CHG</f>
        <v>0</v>
      </c>
      <c r="M12" s="218">
        <f>[0]!EMAA030300col_TOT_VB_ELECT_CHG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25">
      <c r="A13" s="139"/>
      <c r="B13" s="139"/>
      <c r="C13" s="444" t="s">
        <v>30</v>
      </c>
      <c r="D13" s="467"/>
      <c r="E13" s="217"/>
      <c r="F13" s="220">
        <f>SUM(F10:F12)</f>
        <v>1</v>
      </c>
      <c r="G13" s="221">
        <f>SUM(G10:G12)</f>
        <v>38376</v>
      </c>
      <c r="H13" s="221">
        <f>SUM(H10:H12)</f>
        <v>11650</v>
      </c>
      <c r="I13" s="221">
        <f>SUM(I10:I12)</f>
        <v>8298.618120000001</v>
      </c>
      <c r="J13" s="219">
        <f>SUM(G13:I13)</f>
        <v>58324.618119999999</v>
      </c>
      <c r="K13" s="268"/>
      <c r="L13" s="219">
        <f>SUM(L10:L12)</f>
        <v>0</v>
      </c>
      <c r="M13" s="219">
        <f>SUM(M10:M12)</f>
        <v>-161.17920000000001</v>
      </c>
      <c r="N13" s="219">
        <f>SUM(N10:N12)</f>
        <v>-161.17920000000001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5" customHeight="1" x14ac:dyDescent="0.25">
      <c r="A14" s="139"/>
      <c r="B14" s="139"/>
      <c r="C14" s="365"/>
      <c r="D14" s="371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25">
      <c r="A15" s="139"/>
      <c r="B15" s="156"/>
      <c r="C15" s="157" t="str">
        <f>"FY "&amp;'EMAA|0303-00'!FiscalYear-1</f>
        <v>FY 2022</v>
      </c>
      <c r="D15" s="158" t="s">
        <v>31</v>
      </c>
      <c r="E15" s="355">
        <v>91700</v>
      </c>
      <c r="F15" s="55">
        <v>1</v>
      </c>
      <c r="G15" s="223">
        <f>IF(OrigApprop=0,0,(G13/$J$13)*OrigApprop)</f>
        <v>60336.086431970631</v>
      </c>
      <c r="H15" s="223">
        <f>IF(OrigApprop=0,0,(H13/$J$13)*OrigApprop)</f>
        <v>18316.53655754789</v>
      </c>
      <c r="I15" s="223">
        <f>IF(G15=0,0,(I13/$J$13)*OrigApprop)</f>
        <v>13047.37701048149</v>
      </c>
      <c r="J15" s="223">
        <f>SUM(G15:I15)</f>
        <v>91700.000000000015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25">
      <c r="A16" s="139"/>
      <c r="B16" s="139"/>
      <c r="C16" s="454" t="s">
        <v>32</v>
      </c>
      <c r="D16" s="455"/>
      <c r="E16" s="160" t="s">
        <v>33</v>
      </c>
      <c r="F16" s="161">
        <f>F15-F13</f>
        <v>0</v>
      </c>
      <c r="G16" s="162">
        <f>G15-G13</f>
        <v>21960.086431970631</v>
      </c>
      <c r="H16" s="162">
        <f>H15-H13</f>
        <v>6666.53655754789</v>
      </c>
      <c r="I16" s="162">
        <f>I15-I13</f>
        <v>4748.7588904814893</v>
      </c>
      <c r="J16" s="162">
        <f>J15-J13</f>
        <v>33375.381880000015</v>
      </c>
      <c r="K16" s="269"/>
      <c r="L16" s="56" t="str">
        <f>IF('EMAA|0303-00'!OrigApprop=0,"ERROR! Enter Original Appropriation amount in DU 3.00!","Calculated "&amp;IF('EMAA|0303-00'!AdjustedTotal&gt;0,"overfunding ","underfunding ")&amp;"is "&amp;TEXT('EMAA|0303-00'!AdjustedTotal/'EMAA|0303-00'!AppropTotal,"#.0%;(#.0% );0% ;")&amp;" of Original Appropriation")</f>
        <v>Calculated overfunding is 36.4% of Original Appropriation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25">
      <c r="A17" s="139"/>
      <c r="B17" s="139"/>
      <c r="C17" s="456" t="s">
        <v>34</v>
      </c>
      <c r="D17" s="457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25">
      <c r="A18" s="139"/>
      <c r="B18" s="168"/>
      <c r="C18" s="458" t="s">
        <v>35</v>
      </c>
      <c r="D18" s="459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5.5" x14ac:dyDescent="0.25">
      <c r="A19" s="238"/>
      <c r="B19" s="202"/>
      <c r="C19" s="239" t="s">
        <v>86</v>
      </c>
      <c r="D19" s="240" t="s">
        <v>87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4"/>
      <c r="AB19" s="364"/>
      <c r="AC19" s="364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5" x14ac:dyDescent="0.25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4"/>
      <c r="AB20" s="364"/>
      <c r="AC20" s="364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5" x14ac:dyDescent="0.25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4"/>
      <c r="AB21" s="364"/>
      <c r="AC21" s="364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5" x14ac:dyDescent="0.25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4"/>
      <c r="AB22" s="364"/>
      <c r="AC22" s="364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5" x14ac:dyDescent="0.25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4"/>
      <c r="AB23" s="364"/>
      <c r="AC23" s="364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5" x14ac:dyDescent="0.25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4"/>
      <c r="AC24" s="364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5" x14ac:dyDescent="0.25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4"/>
      <c r="AC25" s="364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5" x14ac:dyDescent="0.25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4"/>
      <c r="AC26" s="364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5" x14ac:dyDescent="0.25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4"/>
      <c r="AB27" s="364"/>
      <c r="AC27" s="364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5" x14ac:dyDescent="0.25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4"/>
      <c r="AB28" s="364"/>
      <c r="AC28" s="364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5" x14ac:dyDescent="0.25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4"/>
      <c r="AB29" s="364"/>
      <c r="AC29" s="364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5" x14ac:dyDescent="0.25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4"/>
      <c r="AB30" s="364"/>
      <c r="AC30" s="364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5" x14ac:dyDescent="0.25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4"/>
      <c r="AB31" s="364"/>
      <c r="AC31" s="364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5" x14ac:dyDescent="0.25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4"/>
      <c r="AB32" s="364"/>
      <c r="AC32" s="364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5" x14ac:dyDescent="0.25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4"/>
      <c r="AB33" s="364"/>
      <c r="AC33" s="364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5" x14ac:dyDescent="0.25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4"/>
      <c r="AB34" s="364"/>
      <c r="AC34" s="364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5" x14ac:dyDescent="0.25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4"/>
      <c r="AB35" s="364"/>
      <c r="AC35" s="364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5" x14ac:dyDescent="0.25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4" t="s">
        <v>94</v>
      </c>
      <c r="AB36" s="333" t="s">
        <v>95</v>
      </c>
      <c r="AC36" s="333" t="s">
        <v>106</v>
      </c>
      <c r="AD36" s="330"/>
    </row>
    <row r="37" spans="1:94" s="153" customFormat="1" ht="17.25" customHeight="1" x14ac:dyDescent="0.25">
      <c r="A37" s="139"/>
      <c r="B37" s="188"/>
      <c r="C37" s="460" t="s">
        <v>37</v>
      </c>
      <c r="D37" s="461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62" t="s">
        <v>107</v>
      </c>
      <c r="AB37" s="463"/>
      <c r="AC37" s="463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5" x14ac:dyDescent="0.25">
      <c r="A38" s="139"/>
      <c r="B38" s="188"/>
      <c r="C38" s="444" t="str">
        <f>perm_name</f>
        <v>Permanent Positions</v>
      </c>
      <c r="D38" s="445"/>
      <c r="E38" s="189">
        <v>1</v>
      </c>
      <c r="F38" s="190">
        <f>SUMIF($E9:$E35,$E38,$F9:$F35)</f>
        <v>1</v>
      </c>
      <c r="G38" s="191">
        <f>SUMIF($E10:$E35,$E38,$G10:$G35)</f>
        <v>38376</v>
      </c>
      <c r="H38" s="192">
        <f>SUMIF($E10:$E35,$E38,$H10:$H35)</f>
        <v>11650</v>
      </c>
      <c r="I38" s="192">
        <f>SUMIF($E10:$E35,$E38,$I10:$I35)</f>
        <v>8298.618120000001</v>
      </c>
      <c r="J38" s="192">
        <f>SUM(G38:I38)</f>
        <v>58324.618119999999</v>
      </c>
      <c r="K38" s="166"/>
      <c r="L38" s="191">
        <f>SUMIF($E10:$E35,$E38,$L10:$L35)</f>
        <v>0</v>
      </c>
      <c r="M38" s="192">
        <f>SUMIF($E10:$E35,$E38,$M10:$M35)</f>
        <v>-161.17920000000001</v>
      </c>
      <c r="N38" s="192">
        <f>SUM(L38:M38)</f>
        <v>-161.17920000000001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400</v>
      </c>
      <c r="AB38" s="338">
        <f>ROUND((AdjPermVB*CECPerm+AdjPermVBBY*CECPerm),-2)</f>
        <v>100</v>
      </c>
      <c r="AC38" s="338">
        <f>SUM(AA38:AB38)</f>
        <v>500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5" x14ac:dyDescent="0.25">
      <c r="A39" s="139"/>
      <c r="B39" s="188"/>
      <c r="C39" s="444" t="str">
        <f>Group_name</f>
        <v>Board &amp; Group Positions</v>
      </c>
      <c r="D39" s="445"/>
      <c r="E39" s="189">
        <v>2</v>
      </c>
      <c r="F39" s="151">
        <f>SUMIF($E9:$E35,$E39,$F9:$F35)</f>
        <v>0</v>
      </c>
      <c r="G39" s="193">
        <f>SUMIF($E10:$E35,$E39,$G10:$G35)</f>
        <v>0</v>
      </c>
      <c r="H39" s="152">
        <f>SUMIF($E10:$E35,$E39,$H10:$H35)</f>
        <v>0</v>
      </c>
      <c r="I39" s="152">
        <f>SUMIF($E10:$E35,$E39,$I10:$I35)</f>
        <v>0</v>
      </c>
      <c r="J39" s="152">
        <f>SUM(G39:I39)</f>
        <v>0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0</v>
      </c>
      <c r="AB39" s="338">
        <f>ROUND(AdjGroupVB*CECGroup,-2)</f>
        <v>0</v>
      </c>
      <c r="AC39" s="338">
        <f>SUM(AA39:AB39)</f>
        <v>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5" x14ac:dyDescent="0.25">
      <c r="A40" s="139"/>
      <c r="B40" s="188"/>
      <c r="C40" s="365" t="str">
        <f>Elect_name</f>
        <v>Elected Officials &amp; Full Time Commissioners</v>
      </c>
      <c r="D40" s="366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4"/>
      <c r="AB40" s="364"/>
      <c r="AC40" s="364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5" x14ac:dyDescent="0.25">
      <c r="A41" s="139"/>
      <c r="B41" s="188"/>
      <c r="C41" s="444" t="s">
        <v>38</v>
      </c>
      <c r="D41" s="445"/>
      <c r="E41" s="189"/>
      <c r="F41" s="161">
        <f>SUM(F38:F40)</f>
        <v>1</v>
      </c>
      <c r="G41" s="195">
        <f>SUM($G$38:$G$40)</f>
        <v>38376</v>
      </c>
      <c r="H41" s="162">
        <f>SUM($H$38:$H$40)</f>
        <v>11650</v>
      </c>
      <c r="I41" s="162">
        <f>SUM($I$38:$I$40)</f>
        <v>8298.618120000001</v>
      </c>
      <c r="J41" s="162">
        <f>SUM($J$38:$J$40)</f>
        <v>58324.618119999999</v>
      </c>
      <c r="K41" s="259"/>
      <c r="L41" s="195">
        <f>SUM($L$38:$L$40)</f>
        <v>0</v>
      </c>
      <c r="M41" s="162">
        <f>SUM($M$38:$M$40)</f>
        <v>-161.17920000000001</v>
      </c>
      <c r="N41" s="162">
        <f>SUM(L41:M41)</f>
        <v>-161.17920000000001</v>
      </c>
      <c r="O41"/>
      <c r="P41"/>
      <c r="Q41"/>
      <c r="R41"/>
      <c r="S41"/>
      <c r="T41"/>
      <c r="U41"/>
      <c r="V41"/>
      <c r="W41"/>
      <c r="X41"/>
      <c r="Y41"/>
      <c r="Z41" s="344"/>
      <c r="AA41" s="364" t="s">
        <v>94</v>
      </c>
      <c r="AB41" s="333" t="s">
        <v>95</v>
      </c>
      <c r="AC41" s="333" t="s">
        <v>106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25">
      <c r="A42" s="139"/>
      <c r="B42" s="188"/>
      <c r="C42" s="446"/>
      <c r="D42" s="447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4"/>
      <c r="AB42" s="364"/>
      <c r="AC42" s="364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25">
      <c r="A43" s="139"/>
      <c r="B43" s="202"/>
      <c r="C43" s="448" t="s">
        <v>39</v>
      </c>
      <c r="D43" s="449"/>
      <c r="E43" s="203" t="s">
        <v>40</v>
      </c>
      <c r="F43" s="205">
        <f>ROUND(F51-F41,2)</f>
        <v>0</v>
      </c>
      <c r="G43" s="206">
        <f>ROUND(G51-G41,-2)</f>
        <v>22000</v>
      </c>
      <c r="H43" s="159">
        <f>ROUND(H51-H41,-2)</f>
        <v>6700</v>
      </c>
      <c r="I43" s="159">
        <f>ROUND(I51-I41,-2)</f>
        <v>4700</v>
      </c>
      <c r="J43" s="159">
        <f>SUM(G43:I43)</f>
        <v>33400</v>
      </c>
      <c r="K43" s="425" t="str">
        <f>IF(E51=0,"ERROR! Enter Original Appropriation amount in DU 3.00!","Calculated "&amp;IF(J43&gt;0,"overfunding ","underfunding ")&amp;"is "&amp;TEXT(J43/J51,"#.0%;(#.0% );0% ;")&amp;" of Original Appropriation")</f>
        <v>Calculated overfunding is 36.4% of Original Appropriation</v>
      </c>
      <c r="L43" s="426"/>
      <c r="M43" s="426"/>
      <c r="N43" s="427"/>
      <c r="O43"/>
      <c r="P43"/>
      <c r="Q43"/>
      <c r="R43"/>
      <c r="S43"/>
      <c r="T43"/>
      <c r="U43"/>
      <c r="V43"/>
      <c r="W43"/>
      <c r="X43"/>
      <c r="Y43"/>
      <c r="Z43" s="344"/>
      <c r="AA43" s="452" t="s">
        <v>108</v>
      </c>
      <c r="AB43" s="453"/>
      <c r="AC43" s="453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25">
      <c r="A44" s="139"/>
      <c r="B44" s="202"/>
      <c r="C44" s="450"/>
      <c r="D44" s="451"/>
      <c r="E44" s="204" t="s">
        <v>41</v>
      </c>
      <c r="F44" s="205">
        <f>ROUND(F60-F41,2)</f>
        <v>0</v>
      </c>
      <c r="G44" s="206">
        <f>ROUND(G60-G41,-2)</f>
        <v>21900</v>
      </c>
      <c r="H44" s="159">
        <f>ROUND(H60-H41,-2)</f>
        <v>6700</v>
      </c>
      <c r="I44" s="159">
        <f>ROUND(I60-I41,-2)</f>
        <v>4700</v>
      </c>
      <c r="J44" s="159">
        <f>SUM(G44:I44)</f>
        <v>33300</v>
      </c>
      <c r="K44" s="425" t="str">
        <f>IF(E51=0,"ERROR! Enter Original Appropriation amount in DU 3.00!","Calculated "&amp;IF(J44&gt;0,"overfunding ","underfunding ")&amp;"is "&amp;TEXT(J44/J60,"#.0%;(#.0% );0% ;")&amp;" of Estimated Expenditures")</f>
        <v>Calculated overfunding is 36.3% of Estimated Expenditures</v>
      </c>
      <c r="L44" s="426"/>
      <c r="M44" s="426"/>
      <c r="N44" s="427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25">
      <c r="A45" s="139"/>
      <c r="B45" s="202"/>
      <c r="C45" s="215"/>
      <c r="D45" s="215"/>
      <c r="E45" s="204" t="s">
        <v>99</v>
      </c>
      <c r="F45" s="205">
        <f>ROUND(F67-F41-F63,2)</f>
        <v>0</v>
      </c>
      <c r="G45" s="206">
        <f>ROUND(G67-G41-G63,-2)</f>
        <v>21900</v>
      </c>
      <c r="H45" s="206">
        <f>ROUND(H67-H41-H63,-2)</f>
        <v>6700</v>
      </c>
      <c r="I45" s="206">
        <f>ROUND(I67-I41-I63,-2)</f>
        <v>4700</v>
      </c>
      <c r="J45" s="159">
        <f>SUM(G45:I45)</f>
        <v>33300</v>
      </c>
      <c r="K45" s="425" t="str">
        <f>IF(J67=0,"Program has a zero base",IF(E51=0,"ERROR! Enter Original Appropriation amount in DU 3.00!","Calculated "&amp;IF(J45&gt;0,"overfunding ","underfunding ")&amp;"is "&amp;TEXT(J45/J67,"#.0%;(#.0% );0% ;")&amp;" of the Base"))</f>
        <v>Calculated overfunding is 36.3% of the Base</v>
      </c>
      <c r="L45" s="426"/>
      <c r="M45" s="426"/>
      <c r="N45" s="427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0</v>
      </c>
      <c r="AC45" s="338">
        <f>SUM(AA45:AB45)</f>
        <v>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25">
      <c r="A46" s="139"/>
      <c r="B46" s="202"/>
      <c r="C46" s="215"/>
      <c r="D46" s="215"/>
      <c r="E46" s="428" t="s">
        <v>100</v>
      </c>
      <c r="F46" s="429"/>
      <c r="G46" s="429"/>
      <c r="H46" s="429"/>
      <c r="I46" s="429"/>
      <c r="J46" s="430"/>
      <c r="K46" s="434" t="str">
        <f>IF(OR(J45&lt;0,F45&lt;0),"You may not have sufficient funding or authorized FTP, and may need to make additional adjustments to finalize this form.  Please contact both your DFM and LSO analysts.","")</f>
        <v/>
      </c>
      <c r="L46" s="435"/>
      <c r="M46" s="435"/>
      <c r="N46" s="436"/>
      <c r="O46"/>
      <c r="P46"/>
      <c r="Q46"/>
      <c r="R46"/>
      <c r="S46"/>
      <c r="T46"/>
      <c r="U46"/>
      <c r="V46"/>
      <c r="W46"/>
      <c r="X46"/>
      <c r="Y46"/>
      <c r="Z46" s="344"/>
      <c r="AA46" s="364"/>
      <c r="AB46" s="364"/>
      <c r="AC46" s="364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25">
      <c r="A47" s="139"/>
      <c r="B47" s="202"/>
      <c r="C47" s="215"/>
      <c r="D47" s="215"/>
      <c r="E47" s="431"/>
      <c r="F47" s="432"/>
      <c r="G47" s="432"/>
      <c r="H47" s="432"/>
      <c r="I47" s="432"/>
      <c r="J47" s="433"/>
      <c r="K47" s="437"/>
      <c r="L47" s="438"/>
      <c r="M47" s="438"/>
      <c r="N47" s="439"/>
      <c r="O47"/>
      <c r="P47"/>
      <c r="Q47"/>
      <c r="R47"/>
      <c r="S47"/>
      <c r="T47"/>
      <c r="U47"/>
      <c r="V47"/>
      <c r="W47"/>
      <c r="X47"/>
      <c r="Y47"/>
      <c r="Z47" s="344"/>
      <c r="AA47" s="364"/>
      <c r="AB47" s="364"/>
      <c r="AC47" s="364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25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25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4"/>
      <c r="AB49" s="364"/>
      <c r="AC49" s="364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25">
      <c r="A50" s="257" t="s">
        <v>42</v>
      </c>
      <c r="B50" s="71"/>
      <c r="C50" s="440"/>
      <c r="D50" s="441"/>
      <c r="E50" s="72" t="s">
        <v>43</v>
      </c>
      <c r="F50" s="73" t="s">
        <v>24</v>
      </c>
      <c r="G50" s="72" t="str">
        <f>"FY "&amp;M4-2001&amp;" Salary"</f>
        <v>FY 22 Salary</v>
      </c>
      <c r="H50" s="72" t="str">
        <f>"FY "&amp;M4-2001&amp;" Health Ben"</f>
        <v>FY 22 Health Ben</v>
      </c>
      <c r="I50" s="72" t="str">
        <f>"FY "&amp;M4-2001&amp;" Var Ben"</f>
        <v>FY 22 Var Ben</v>
      </c>
      <c r="J50" s="72" t="str">
        <f>"FY "&amp;M4-1&amp;" Total"</f>
        <v>FY 2022 Total</v>
      </c>
      <c r="K50" s="307" t="str">
        <f>"FY "&amp;FiscalYear&amp;" SALARY CHG"</f>
        <v>FY 2023 SALARY CHG</v>
      </c>
      <c r="L50" s="74" t="str">
        <f>"FY "&amp;M4-2000&amp;" Chg Health Bens"</f>
        <v>FY 23 Chg Health Bens</v>
      </c>
      <c r="M50" s="74" t="str">
        <f>"FY "&amp;M4-2000&amp;" Chg Var Bens"</f>
        <v>FY 23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4"/>
      <c r="AB50" s="364"/>
      <c r="AC50" s="364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25">
      <c r="A51" s="75">
        <v>3</v>
      </c>
      <c r="B51" s="76" t="s">
        <v>45</v>
      </c>
      <c r="C51" s="54" t="str">
        <f>"FY "&amp;M4-1</f>
        <v>FY 2022</v>
      </c>
      <c r="D51" s="77" t="s">
        <v>31</v>
      </c>
      <c r="E51" s="78">
        <f>OrigApprop</f>
        <v>91700</v>
      </c>
      <c r="F51" s="272">
        <f>AppropFTP</f>
        <v>1</v>
      </c>
      <c r="G51" s="274">
        <f>IF(E51=0,0,(G41/$J$41)*$E$51)</f>
        <v>60336.086431970631</v>
      </c>
      <c r="H51" s="274">
        <f>IF(E51=0,0,(H41/$J$41)*$E$51)</f>
        <v>18316.53655754789</v>
      </c>
      <c r="I51" s="275">
        <f>IF(E51=0,0,(I41/$J$41)*$E$51)</f>
        <v>13047.37701048149</v>
      </c>
      <c r="J51" s="90">
        <f>SUM(G51:I51)</f>
        <v>91700.000000000015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4"/>
      <c r="AC51" s="364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25">
      <c r="A52" s="82"/>
      <c r="B52" s="83"/>
      <c r="C52" s="84"/>
      <c r="D52" s="132" t="s">
        <v>46</v>
      </c>
      <c r="E52" s="133"/>
      <c r="F52" s="55">
        <f>F51</f>
        <v>1</v>
      </c>
      <c r="G52" s="79">
        <f>ROUND(G51,-2)</f>
        <v>60300</v>
      </c>
      <c r="H52" s="79">
        <f>ROUND(H51,-2)</f>
        <v>18300</v>
      </c>
      <c r="I52" s="266">
        <f>ROUND(I51,-2)</f>
        <v>13000</v>
      </c>
      <c r="J52" s="80">
        <f>ROUND(J51,-2)</f>
        <v>91700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4"/>
      <c r="AC52" s="364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5" x14ac:dyDescent="0.25">
      <c r="A53" s="85"/>
      <c r="B53" s="83"/>
      <c r="C53" s="442" t="s">
        <v>47</v>
      </c>
      <c r="D53" s="443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4"/>
      <c r="AB53" s="364"/>
      <c r="AC53" s="364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25">
      <c r="A54" s="85">
        <v>4.1100000000000003</v>
      </c>
      <c r="B54" s="83"/>
      <c r="C54" s="409" t="s">
        <v>48</v>
      </c>
      <c r="D54" s="410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4"/>
      <c r="AB54" s="364"/>
      <c r="AC54" s="364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25">
      <c r="A55" s="85">
        <v>4.3099999999999996</v>
      </c>
      <c r="B55" s="83"/>
      <c r="C55" s="422" t="s">
        <v>49</v>
      </c>
      <c r="D55" s="423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4"/>
      <c r="AB55" s="364"/>
      <c r="AC55" s="364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25">
      <c r="A56" s="75">
        <v>5</v>
      </c>
      <c r="B56" s="76"/>
      <c r="C56" s="54" t="str">
        <f>"FY "&amp;M4-1</f>
        <v>FY 2022</v>
      </c>
      <c r="D56" s="131" t="s">
        <v>50</v>
      </c>
      <c r="E56" s="135"/>
      <c r="F56" s="55">
        <f>SUM(F52:F55)</f>
        <v>1</v>
      </c>
      <c r="G56" s="80">
        <f>SUM(G52:G55)</f>
        <v>60300</v>
      </c>
      <c r="H56" s="80">
        <f>SUM(H52:H55)</f>
        <v>18300</v>
      </c>
      <c r="I56" s="260">
        <f>SUM(I52:I55)</f>
        <v>13000</v>
      </c>
      <c r="J56" s="80">
        <f>SUM(J52:J55)</f>
        <v>91700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4"/>
      <c r="AB56" s="364"/>
      <c r="AC56" s="364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25">
      <c r="A57" s="85"/>
      <c r="B57" s="83"/>
      <c r="C57" s="420" t="s">
        <v>51</v>
      </c>
      <c r="D57" s="424"/>
      <c r="E57" s="368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4"/>
      <c r="AB57" s="364"/>
      <c r="AC57" s="364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25">
      <c r="A58" s="85">
        <v>6.31</v>
      </c>
      <c r="B58" s="83"/>
      <c r="C58" s="409" t="s">
        <v>52</v>
      </c>
      <c r="D58" s="410"/>
      <c r="E58" s="102"/>
      <c r="F58" s="58">
        <v>0</v>
      </c>
      <c r="G58" s="88">
        <v>0</v>
      </c>
      <c r="H58" s="88">
        <v>0</v>
      </c>
      <c r="I58" s="265">
        <v>0</v>
      </c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4"/>
      <c r="AB58" s="364"/>
      <c r="AC58" s="364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25">
      <c r="A59" s="85">
        <v>6.51</v>
      </c>
      <c r="B59" s="83"/>
      <c r="C59" s="422" t="s">
        <v>66</v>
      </c>
      <c r="D59" s="423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4"/>
      <c r="AB59" s="364"/>
      <c r="AC59" s="364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25">
      <c r="A60" s="75">
        <v>7</v>
      </c>
      <c r="B60" s="76"/>
      <c r="C60" s="54" t="str">
        <f>"FY "&amp;M4-1</f>
        <v>FY 2022</v>
      </c>
      <c r="D60" s="131" t="s">
        <v>53</v>
      </c>
      <c r="E60" s="135"/>
      <c r="F60" s="55">
        <f>SUM(F56:F59)</f>
        <v>1</v>
      </c>
      <c r="G60" s="80">
        <f>SUM(G56:G59)</f>
        <v>60300</v>
      </c>
      <c r="H60" s="80">
        <f>SUM(H56:H59)</f>
        <v>18300</v>
      </c>
      <c r="I60" s="260">
        <f>SUM(I56:I59)</f>
        <v>13000</v>
      </c>
      <c r="J60" s="80">
        <f>SUM(J56:J59)</f>
        <v>91700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4"/>
      <c r="AB60" s="364"/>
      <c r="AC60" s="364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25">
      <c r="A61" s="85"/>
      <c r="B61" s="83"/>
      <c r="C61" s="420" t="s">
        <v>54</v>
      </c>
      <c r="D61" s="424"/>
      <c r="E61" s="368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4"/>
      <c r="AB61" s="364"/>
      <c r="AC61" s="364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25">
      <c r="A62" s="85">
        <v>8.31</v>
      </c>
      <c r="B62" s="83"/>
      <c r="C62" s="409" t="s">
        <v>67</v>
      </c>
      <c r="D62" s="410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4"/>
      <c r="AB62" s="364"/>
      <c r="AC62" s="364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25">
      <c r="A63" s="85">
        <v>8.41</v>
      </c>
      <c r="B63" s="83"/>
      <c r="C63" s="409" t="s">
        <v>55</v>
      </c>
      <c r="D63" s="410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4"/>
      <c r="AB63" s="364"/>
      <c r="AC63" s="364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">
      <c r="A64" s="93">
        <v>8.51</v>
      </c>
      <c r="B64" s="93"/>
      <c r="C64" s="414" t="s">
        <v>56</v>
      </c>
      <c r="D64" s="415"/>
      <c r="E64" s="134"/>
      <c r="F64" s="58">
        <v>0</v>
      </c>
      <c r="G64" s="88"/>
      <c r="H64" s="88">
        <v>0</v>
      </c>
      <c r="I64" s="265"/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4"/>
      <c r="AB64" s="364"/>
      <c r="AC64" s="364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25">
      <c r="A65" s="94"/>
      <c r="B65" s="95"/>
      <c r="C65" s="416"/>
      <c r="D65" s="417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4"/>
      <c r="AB65" s="364"/>
      <c r="AC65" s="364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5" x14ac:dyDescent="0.25">
      <c r="A66" s="100"/>
      <c r="B66" s="101"/>
      <c r="C66" s="418"/>
      <c r="D66" s="419"/>
      <c r="E66" s="102"/>
      <c r="F66" s="103" t="s">
        <v>24</v>
      </c>
      <c r="G66" s="104" t="str">
        <f>"FY "&amp;M4-2000&amp;" Salary"</f>
        <v>FY 23 Salary</v>
      </c>
      <c r="H66" s="104" t="str">
        <f>"FY"&amp;M4-2000&amp;" Health Ben"</f>
        <v>FY23 Health Ben</v>
      </c>
      <c r="I66" s="104" t="str">
        <f>"FY "&amp;M4-2000&amp;" Var Ben"</f>
        <v>FY 23 Var Ben</v>
      </c>
      <c r="J66" s="104" t="str">
        <f>"FY "&amp;M4&amp;" Total"</f>
        <v>FY 2023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5" x14ac:dyDescent="0.25">
      <c r="A67" s="82">
        <v>9</v>
      </c>
      <c r="B67" s="83"/>
      <c r="C67" s="84" t="str">
        <f>"FY "&amp;M4</f>
        <v>FY 2023</v>
      </c>
      <c r="D67" s="108" t="s">
        <v>57</v>
      </c>
      <c r="E67" s="109"/>
      <c r="F67" s="55">
        <f>SUM(F60:F64)</f>
        <v>1</v>
      </c>
      <c r="G67" s="80">
        <f>SUM(G60:G64)</f>
        <v>60300</v>
      </c>
      <c r="H67" s="80">
        <f>SUM(H60:H64)</f>
        <v>18300</v>
      </c>
      <c r="I67" s="80">
        <f>SUM(I60:I64)</f>
        <v>13000</v>
      </c>
      <c r="J67" s="80">
        <f>SUM(J60:J64)</f>
        <v>91700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4"/>
      <c r="AB67" s="364"/>
      <c r="AC67" s="364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25">
      <c r="A68" s="85">
        <v>10.11</v>
      </c>
      <c r="B68" s="83"/>
      <c r="C68" s="420" t="s">
        <v>58</v>
      </c>
      <c r="D68" s="421"/>
      <c r="E68" s="112"/>
      <c r="F68" s="288"/>
      <c r="G68" s="287"/>
      <c r="H68" s="113">
        <f>IF(DUNine=0,0,ROUND(SUM(L41:L65),-2))</f>
        <v>0</v>
      </c>
      <c r="I68" s="113"/>
      <c r="J68" s="287">
        <f>SUM(G68:I68)</f>
        <v>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4"/>
      <c r="AB68" s="364"/>
      <c r="AC68" s="364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5" x14ac:dyDescent="0.25">
      <c r="A69" s="85">
        <v>10.119999999999999</v>
      </c>
      <c r="B69" s="83"/>
      <c r="C69" s="420" t="s">
        <v>59</v>
      </c>
      <c r="D69" s="421"/>
      <c r="E69" s="112"/>
      <c r="F69" s="288"/>
      <c r="G69" s="113"/>
      <c r="H69" s="113"/>
      <c r="I69" s="113">
        <f>IF(DUNine=0,0,ROUND(SUM(M41:M64),-2))</f>
        <v>-200</v>
      </c>
      <c r="J69" s="287">
        <f>SUM(G69:I69)</f>
        <v>-200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4"/>
      <c r="AB69" s="364"/>
      <c r="AC69" s="364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5" x14ac:dyDescent="0.25">
      <c r="A70" s="85"/>
      <c r="B70" s="83"/>
      <c r="C70" s="407"/>
      <c r="D70" s="408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4"/>
      <c r="AB70" s="364"/>
      <c r="AC70" s="364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25">
      <c r="A71" s="85">
        <v>10.51</v>
      </c>
      <c r="B71" s="83"/>
      <c r="C71" s="409" t="s">
        <v>60</v>
      </c>
      <c r="D71" s="410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112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64"/>
      <c r="AB71" s="364"/>
      <c r="AC71" s="364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25">
      <c r="A72" s="85">
        <v>10.61</v>
      </c>
      <c r="B72" s="83"/>
      <c r="C72" s="409" t="s">
        <v>101</v>
      </c>
      <c r="D72" s="411"/>
      <c r="E72" s="290">
        <f>CECPerm</f>
        <v>0.01</v>
      </c>
      <c r="F72" s="288"/>
      <c r="G72" s="356">
        <f>IF(DUNine=0,0,IF(DUNine&lt;0,0,ROUND(AdjPermSalary*CECPerm,-2)))</f>
        <v>400</v>
      </c>
      <c r="H72" s="287"/>
      <c r="I72" s="287">
        <f>ROUND(($G72*PermVBBY+$G72*Retire1BY),-2)</f>
        <v>100</v>
      </c>
      <c r="J72" s="113">
        <f>SUM(G72:I72)</f>
        <v>500</v>
      </c>
      <c r="K72" s="296"/>
      <c r="L72" s="298"/>
      <c r="M72" s="350" t="e">
        <f>IF(DUNine=0,0,IF(((#REF!-G39-G40)*E72)&lt;0,0,ROUND(((#REF!-G39-G40)*E72),-2)))</f>
        <v>#REF!</v>
      </c>
      <c r="N72" s="359"/>
      <c r="O72" s="358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#REF!</v>
      </c>
      <c r="P72" s="358"/>
      <c r="Q72"/>
      <c r="R72"/>
      <c r="S72"/>
      <c r="T72"/>
      <c r="U72"/>
      <c r="V72"/>
      <c r="W72"/>
      <c r="X72"/>
      <c r="Y72"/>
      <c r="Z72" s="344"/>
      <c r="AA72" s="364"/>
      <c r="AB72" s="364"/>
      <c r="AC72" s="364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25">
      <c r="A73" s="85">
        <v>10.62</v>
      </c>
      <c r="B73" s="83"/>
      <c r="C73" s="409" t="s">
        <v>61</v>
      </c>
      <c r="D73" s="411"/>
      <c r="E73" s="289">
        <f>CECGroup</f>
        <v>0.01</v>
      </c>
      <c r="F73" s="288"/>
      <c r="G73" s="356">
        <f>IF(DUNine=0,0,IF(DUNine&lt;0,0,ROUND(AdjGroupSalary*CECGroup,-2)))</f>
        <v>0</v>
      </c>
      <c r="H73" s="287"/>
      <c r="I73" s="287">
        <f>ROUND(($G73*GroupVBBY),-2)</f>
        <v>0</v>
      </c>
      <c r="J73" s="113">
        <f t="shared" si="11"/>
        <v>0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64"/>
      <c r="AB73" s="364"/>
      <c r="AC73" s="364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25">
      <c r="A74" s="85">
        <v>10.63</v>
      </c>
      <c r="B74" s="83"/>
      <c r="C74" s="367" t="s">
        <v>62</v>
      </c>
      <c r="D74" s="369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4"/>
      <c r="AB74" s="364"/>
      <c r="AC74" s="364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25">
      <c r="A75" s="75">
        <v>11</v>
      </c>
      <c r="B75" s="76"/>
      <c r="C75" s="54" t="str">
        <f>"FY "&amp;M4</f>
        <v>FY 2023</v>
      </c>
      <c r="D75" s="77" t="s">
        <v>63</v>
      </c>
      <c r="E75" s="112"/>
      <c r="F75" s="55">
        <f>SUM(F67:F74)</f>
        <v>1</v>
      </c>
      <c r="G75" s="80">
        <f>SUM(G67:G74)</f>
        <v>60700</v>
      </c>
      <c r="H75" s="80">
        <f>SUM(H67:H74)</f>
        <v>18300</v>
      </c>
      <c r="I75" s="80">
        <f>SUM(I67:I74)</f>
        <v>12900</v>
      </c>
      <c r="J75" s="80">
        <f>SUM(J67:K74)</f>
        <v>92000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4"/>
      <c r="AB75" s="364"/>
      <c r="AC75" s="364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25">
      <c r="A76" s="85"/>
      <c r="B76" s="83"/>
      <c r="C76" s="412" t="s">
        <v>64</v>
      </c>
      <c r="D76" s="413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4"/>
      <c r="AB76" s="364"/>
      <c r="AC76" s="364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5" x14ac:dyDescent="0.25">
      <c r="A77" s="116">
        <v>12.01</v>
      </c>
      <c r="B77" s="57"/>
      <c r="C77" s="405"/>
      <c r="D77" s="406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4"/>
      <c r="AB77" s="364"/>
      <c r="AC77" s="364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5" x14ac:dyDescent="0.25">
      <c r="A78" s="116">
        <v>12.02</v>
      </c>
      <c r="B78" s="57"/>
      <c r="C78" s="405"/>
      <c r="D78" s="406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4"/>
      <c r="AB78" s="364"/>
      <c r="AC78" s="364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5" x14ac:dyDescent="0.25">
      <c r="A79" s="116">
        <v>12.03</v>
      </c>
      <c r="B79" s="57" t="s">
        <v>45</v>
      </c>
      <c r="C79" s="405"/>
      <c r="D79" s="406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4"/>
      <c r="AB79" s="364"/>
      <c r="AC79" s="364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25">
      <c r="A80" s="117">
        <v>13</v>
      </c>
      <c r="B80" s="118"/>
      <c r="C80" s="119" t="str">
        <f>"FY "&amp;M4</f>
        <v>FY 2023</v>
      </c>
      <c r="D80" s="120" t="s">
        <v>65</v>
      </c>
      <c r="E80" s="121"/>
      <c r="F80" s="55">
        <f>SUM(F75:F79)</f>
        <v>1</v>
      </c>
      <c r="G80" s="80">
        <f>SUM(G75:G79)</f>
        <v>60700</v>
      </c>
      <c r="H80" s="80">
        <f>SUM(H75:H79)</f>
        <v>18300</v>
      </c>
      <c r="I80" s="80">
        <f>SUM(I75:I79)</f>
        <v>12900</v>
      </c>
      <c r="J80" s="80">
        <f>SUM(J75:J79)</f>
        <v>92000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4"/>
      <c r="AB80" s="364"/>
      <c r="AC80" s="364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13:D13"/>
    <mergeCell ref="M1:N1"/>
    <mergeCell ref="M2:N2"/>
    <mergeCell ref="M3:N3"/>
    <mergeCell ref="M4:N4"/>
    <mergeCell ref="I5:L5"/>
    <mergeCell ref="C8:D8"/>
    <mergeCell ref="AA8:AC8"/>
    <mergeCell ref="C9:D9"/>
    <mergeCell ref="C10:D10"/>
    <mergeCell ref="C11:D11"/>
    <mergeCell ref="C12:D12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C54:D54"/>
    <mergeCell ref="C39:D39"/>
    <mergeCell ref="C41:D41"/>
    <mergeCell ref="C42:D42"/>
    <mergeCell ref="C43:D44"/>
    <mergeCell ref="K45:N45"/>
    <mergeCell ref="E46:J47"/>
    <mergeCell ref="K46:N47"/>
    <mergeCell ref="C50:D50"/>
    <mergeCell ref="C53:D53"/>
    <mergeCell ref="C69:D69"/>
    <mergeCell ref="C55:D55"/>
    <mergeCell ref="C57:D57"/>
    <mergeCell ref="C58:D58"/>
    <mergeCell ref="C59:D59"/>
    <mergeCell ref="C61:D61"/>
    <mergeCell ref="C62:D62"/>
    <mergeCell ref="C63:D63"/>
    <mergeCell ref="C64:D64"/>
    <mergeCell ref="C65:D65"/>
    <mergeCell ref="C66:D66"/>
    <mergeCell ref="C68:D68"/>
    <mergeCell ref="C78:D78"/>
    <mergeCell ref="C79:D79"/>
    <mergeCell ref="C70:D70"/>
    <mergeCell ref="C71:D71"/>
    <mergeCell ref="C72:D72"/>
    <mergeCell ref="C73:D73"/>
    <mergeCell ref="C76:D76"/>
    <mergeCell ref="C77:D77"/>
  </mergeCells>
  <conditionalFormatting sqref="K44">
    <cfRule type="expression" dxfId="78" priority="5">
      <formula>$J$44&lt;0</formula>
    </cfRule>
  </conditionalFormatting>
  <conditionalFormatting sqref="K43">
    <cfRule type="expression" dxfId="77" priority="4">
      <formula>$J$43&lt;0</formula>
    </cfRule>
  </conditionalFormatting>
  <conditionalFormatting sqref="L16">
    <cfRule type="expression" dxfId="76" priority="3">
      <formula>$J$16&lt;0</formula>
    </cfRule>
  </conditionalFormatting>
  <conditionalFormatting sqref="K45">
    <cfRule type="expression" dxfId="75" priority="2">
      <formula>$J$44&lt;0</formula>
    </cfRule>
  </conditionalFormatting>
  <conditionalFormatting sqref="K43:N45">
    <cfRule type="containsText" dxfId="74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CC05845-A894-40E1-8060-728A7C50C4A0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8A39B0-A85F-4BF1-9171-A6F0FB367E62}">
  <sheetPr>
    <tabColor rgb="FF92D050"/>
    <pageSetUpPr fitToPage="1"/>
  </sheetPr>
  <dimension ref="A1:CP80"/>
  <sheetViews>
    <sheetView showGridLines="0" zoomScaleNormal="100" workbookViewId="0">
      <selection activeCell="C8" sqref="C8:N16"/>
    </sheetView>
  </sheetViews>
  <sheetFormatPr defaultColWidth="9.140625" defaultRowHeight="15.75" x14ac:dyDescent="0.25"/>
  <cols>
    <col min="1" max="1" width="7.85546875" style="124" customWidth="1"/>
    <col min="2" max="2" width="7.7109375" style="125" customWidth="1"/>
    <col min="3" max="3" width="9" style="125" customWidth="1"/>
    <col min="4" max="4" width="39.28515625" style="53" customWidth="1"/>
    <col min="5" max="5" width="13" style="126" customWidth="1"/>
    <col min="6" max="6" width="12.28515625" style="127" customWidth="1"/>
    <col min="7" max="7" width="12.140625" style="127" bestFit="1" customWidth="1"/>
    <col min="8" max="8" width="14.5703125" style="127" customWidth="1"/>
    <col min="9" max="9" width="19.5703125" style="128" bestFit="1" customWidth="1"/>
    <col min="10" max="10" width="13.7109375" style="129" customWidth="1"/>
    <col min="11" max="11" width="13.7109375" style="129" hidden="1" customWidth="1"/>
    <col min="12" max="12" width="18.42578125" style="129" customWidth="1"/>
    <col min="13" max="13" width="16.42578125" style="129" customWidth="1"/>
    <col min="14" max="14" width="16.140625" style="128" customWidth="1"/>
    <col min="15" max="25" width="16.140625" customWidth="1"/>
    <col min="26" max="26" width="16.140625" style="344" customWidth="1"/>
    <col min="27" max="27" width="22.140625" style="334" bestFit="1" customWidth="1"/>
    <col min="28" max="28" width="31.140625" style="334" bestFit="1" customWidth="1"/>
    <col min="29" max="29" width="7.85546875" style="334" bestFit="1" customWidth="1"/>
    <col min="30" max="30" width="9.140625" style="110" customWidth="1"/>
    <col min="31" max="94" width="9.140625" style="17"/>
    <col min="95" max="16384" width="9.140625" style="18"/>
  </cols>
  <sheetData>
    <row r="1" spans="1:94" x14ac:dyDescent="0.25">
      <c r="A1" s="12" t="s">
        <v>13</v>
      </c>
      <c r="B1" s="13"/>
      <c r="C1" s="13"/>
      <c r="D1" s="14" t="s">
        <v>2643</v>
      </c>
      <c r="E1" s="15"/>
      <c r="F1" s="15"/>
      <c r="G1" s="15"/>
      <c r="H1" s="15"/>
      <c r="I1" s="15"/>
      <c r="J1" s="15"/>
      <c r="K1" s="15"/>
      <c r="L1" s="16" t="s">
        <v>14</v>
      </c>
      <c r="M1" s="468">
        <v>240</v>
      </c>
      <c r="N1" s="469"/>
      <c r="AA1" s="364"/>
      <c r="AB1" s="333"/>
      <c r="AC1" s="333"/>
      <c r="AD1" s="325"/>
    </row>
    <row r="2" spans="1:94" ht="20.25" x14ac:dyDescent="0.25">
      <c r="A2" s="19" t="s">
        <v>116</v>
      </c>
      <c r="B2" s="20"/>
      <c r="C2" s="20"/>
      <c r="D2" s="14" t="s">
        <v>2643</v>
      </c>
      <c r="E2" s="21"/>
      <c r="F2" s="21"/>
      <c r="G2" s="21"/>
      <c r="H2" s="21"/>
      <c r="I2" s="21"/>
      <c r="J2" s="20"/>
      <c r="K2" s="20"/>
      <c r="L2" s="22" t="s">
        <v>113</v>
      </c>
      <c r="M2" s="470" t="s">
        <v>2673</v>
      </c>
      <c r="N2" s="471"/>
      <c r="AA2" s="333"/>
      <c r="AB2" s="333"/>
      <c r="AC2" s="333"/>
      <c r="AD2" s="325"/>
    </row>
    <row r="3" spans="1:94" x14ac:dyDescent="0.25">
      <c r="A3" s="19" t="s">
        <v>117</v>
      </c>
      <c r="B3" s="20"/>
      <c r="C3" s="20"/>
      <c r="D3" s="23" t="s">
        <v>2644</v>
      </c>
      <c r="E3" s="24"/>
      <c r="F3" s="25"/>
      <c r="G3" s="25"/>
      <c r="H3" s="25"/>
      <c r="I3" s="26"/>
      <c r="J3" s="20"/>
      <c r="K3" s="20"/>
      <c r="L3" s="22" t="s">
        <v>114</v>
      </c>
      <c r="M3" s="468" t="s">
        <v>167</v>
      </c>
      <c r="N3" s="469"/>
      <c r="AA3" s="364"/>
      <c r="AB3" s="333"/>
      <c r="AC3" s="333"/>
      <c r="AD3" s="325"/>
    </row>
    <row r="4" spans="1:94" x14ac:dyDescent="0.25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68">
        <v>2023</v>
      </c>
      <c r="N4" s="469"/>
      <c r="AA4" s="364"/>
      <c r="AB4" s="333"/>
      <c r="AC4" s="333"/>
      <c r="AD4" s="325"/>
    </row>
    <row r="5" spans="1:94" s="34" customFormat="1" ht="18" customHeight="1" x14ac:dyDescent="0.25">
      <c r="A5" s="19" t="s">
        <v>16</v>
      </c>
      <c r="B5" s="20"/>
      <c r="C5" s="20"/>
      <c r="D5" s="351">
        <v>44440</v>
      </c>
      <c r="E5" s="27"/>
      <c r="F5" s="30"/>
      <c r="G5" s="31"/>
      <c r="H5" s="31" t="s">
        <v>17</v>
      </c>
      <c r="I5" s="470" t="s">
        <v>2671</v>
      </c>
      <c r="J5" s="472"/>
      <c r="K5" s="472"/>
      <c r="L5" s="471"/>
      <c r="M5" s="352" t="s">
        <v>115</v>
      </c>
      <c r="N5" s="32" t="s">
        <v>2672</v>
      </c>
      <c r="O5"/>
      <c r="P5"/>
      <c r="Q5"/>
      <c r="R5"/>
      <c r="S5"/>
      <c r="T5"/>
      <c r="U5"/>
      <c r="V5"/>
      <c r="W5"/>
      <c r="X5"/>
      <c r="Y5"/>
      <c r="Z5" s="344"/>
      <c r="AA5" s="364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25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84</v>
      </c>
      <c r="K6" s="31"/>
      <c r="L6" s="353"/>
      <c r="M6" s="354" t="s">
        <v>85</v>
      </c>
      <c r="N6" s="306"/>
      <c r="AA6" s="364"/>
      <c r="AB6" s="333"/>
      <c r="AC6" s="333"/>
      <c r="AD6" s="325"/>
    </row>
    <row r="7" spans="1:94" x14ac:dyDescent="0.25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25">
      <c r="A8" s="48" t="s">
        <v>20</v>
      </c>
      <c r="B8" s="370" t="s">
        <v>21</v>
      </c>
      <c r="C8" s="473" t="s">
        <v>22</v>
      </c>
      <c r="D8" s="474"/>
      <c r="E8" s="370" t="s">
        <v>23</v>
      </c>
      <c r="F8" s="49" t="s">
        <v>24</v>
      </c>
      <c r="G8" s="50" t="str">
        <f>"FY "&amp;'EMAA|0349-00'!FiscalYear-1&amp;" SALARY"</f>
        <v>FY 2022 SALARY</v>
      </c>
      <c r="H8" s="50" t="str">
        <f>"FY "&amp;'EMAA|0349-00'!FiscalYear-1&amp;" HEALTH BENEFITS"</f>
        <v>FY 2022 HEALTH BENEFITS</v>
      </c>
      <c r="I8" s="50" t="str">
        <f>"FY "&amp;'EMAA|0349-00'!FiscalYear-1&amp;" VAR BENEFITS"</f>
        <v>FY 2022 VAR BENEFITS</v>
      </c>
      <c r="J8" s="50" t="str">
        <f>"FY "&amp;'EMAA|0349-00'!FiscalYear-1&amp;" TOTAL"</f>
        <v>FY 2022 TOTAL</v>
      </c>
      <c r="K8" s="50" t="str">
        <f>"FY "&amp;'EMAA|0349-00'!FiscalYear&amp;" SALARY CHANGE"</f>
        <v>FY 2023 SALARY CHANGE</v>
      </c>
      <c r="L8" s="50" t="str">
        <f>"FY "&amp;'EMAA|0349-00'!FiscalYear&amp;" CHG HEALTH BENEFITS"</f>
        <v>FY 2023 CHG HEALTH BENEFITS</v>
      </c>
      <c r="M8" s="50" t="str">
        <f>"FY "&amp;'EMAA|0349-00'!FiscalYear&amp;" CHG VAR BENEFITS"</f>
        <v>FY 2023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64" t="s">
        <v>105</v>
      </c>
      <c r="AB8" s="464"/>
      <c r="AC8" s="464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25">
      <c r="A9" s="139"/>
      <c r="B9" s="140"/>
      <c r="C9" s="465" t="s">
        <v>26</v>
      </c>
      <c r="D9" s="466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4" t="s">
        <v>94</v>
      </c>
      <c r="AB9" s="333" t="s">
        <v>95</v>
      </c>
      <c r="AC9" s="333" t="s">
        <v>106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25">
      <c r="A10" s="139"/>
      <c r="B10" s="139"/>
      <c r="C10" s="444" t="s">
        <v>27</v>
      </c>
      <c r="D10" s="467"/>
      <c r="E10" s="217">
        <v>1</v>
      </c>
      <c r="F10" s="288">
        <f>[0]!EMAA034900col_INC_FTI</f>
        <v>0.8</v>
      </c>
      <c r="G10" s="218">
        <f>[0]!EMAA034900col_FTI_SALARY_PERM</f>
        <v>46056.4</v>
      </c>
      <c r="H10" s="218">
        <f>[0]!EMAA034900col_HEALTH_PERM</f>
        <v>9320</v>
      </c>
      <c r="I10" s="218">
        <f>[0]!EMAA034900col_TOT_VB_PERM</f>
        <v>9959.4662180000014</v>
      </c>
      <c r="J10" s="219">
        <f>SUM(G10:I10)</f>
        <v>65335.866218000003</v>
      </c>
      <c r="K10" s="219">
        <f>[0]!EMAA034900col_1_27TH_PP</f>
        <v>0</v>
      </c>
      <c r="L10" s="218">
        <f>[0]!EMAA034900col_HEALTH_PERM_CHG</f>
        <v>0</v>
      </c>
      <c r="M10" s="218">
        <f>[0]!EMAA034900col_TOT_VB_PERM_CHG</f>
        <v>-193.43688</v>
      </c>
      <c r="N10" s="218">
        <f>SUM(L10:M10)</f>
        <v>-193.43688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500</v>
      </c>
      <c r="AB10" s="335">
        <f>ROUND(PermVarBen*CECPerm+(CECPerm*PermVarBenChg),-2)</f>
        <v>100</v>
      </c>
      <c r="AC10" s="335">
        <f>SUM(AA10:AB10)</f>
        <v>600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25">
      <c r="A11" s="139"/>
      <c r="B11" s="139"/>
      <c r="C11" s="444" t="s">
        <v>28</v>
      </c>
      <c r="D11" s="467"/>
      <c r="E11" s="217">
        <v>2</v>
      </c>
      <c r="F11" s="288"/>
      <c r="G11" s="218">
        <f>[0]!EMAA034900col_Group_Salary</f>
        <v>0</v>
      </c>
      <c r="H11" s="218">
        <v>0</v>
      </c>
      <c r="I11" s="218">
        <f>[0]!EMAA034900col_Group_Ben</f>
        <v>0</v>
      </c>
      <c r="J11" s="219">
        <f>SUM(G11:I11)</f>
        <v>0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0</v>
      </c>
      <c r="AB11" s="335">
        <f>ROUND((GroupSalary*GroupVBBY)*CECGroup,-2)</f>
        <v>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25">
      <c r="A12" s="139"/>
      <c r="B12" s="139"/>
      <c r="C12" s="444" t="s">
        <v>29</v>
      </c>
      <c r="D12" s="445"/>
      <c r="E12" s="217">
        <v>3</v>
      </c>
      <c r="F12" s="288">
        <f>[0]!EMAA034900col_TOTAL_ELECT_PCN_FTI</f>
        <v>0</v>
      </c>
      <c r="G12" s="218">
        <f>[0]!EMAA034900col_FTI_SALARY_ELECT</f>
        <v>0</v>
      </c>
      <c r="H12" s="218">
        <f>[0]!EMAA034900col_HEALTH_ELECT</f>
        <v>0</v>
      </c>
      <c r="I12" s="218">
        <f>[0]!EMAA034900col_TOT_VB_ELECT</f>
        <v>0</v>
      </c>
      <c r="J12" s="219">
        <f>SUM(G12:I12)</f>
        <v>0</v>
      </c>
      <c r="K12" s="268"/>
      <c r="L12" s="218">
        <f>[0]!EMAA034900col_HEALTH_ELECT_CHG</f>
        <v>0</v>
      </c>
      <c r="M12" s="218">
        <f>[0]!EMAA034900col_TOT_VB_ELECT_CHG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25">
      <c r="A13" s="139"/>
      <c r="B13" s="139"/>
      <c r="C13" s="444" t="s">
        <v>30</v>
      </c>
      <c r="D13" s="467"/>
      <c r="E13" s="217"/>
      <c r="F13" s="220">
        <f>SUM(F10:F12)</f>
        <v>0.8</v>
      </c>
      <c r="G13" s="221">
        <f>SUM(G10:G12)</f>
        <v>46056.4</v>
      </c>
      <c r="H13" s="221">
        <f>SUM(H10:H12)</f>
        <v>9320</v>
      </c>
      <c r="I13" s="221">
        <f>SUM(I10:I12)</f>
        <v>9959.4662180000014</v>
      </c>
      <c r="J13" s="219">
        <f>SUM(G13:I13)</f>
        <v>65335.866218000003</v>
      </c>
      <c r="K13" s="268"/>
      <c r="L13" s="219">
        <f>SUM(L10:L12)</f>
        <v>0</v>
      </c>
      <c r="M13" s="219">
        <f>SUM(M10:M12)</f>
        <v>-193.43688</v>
      </c>
      <c r="N13" s="219">
        <f>SUM(N10:N12)</f>
        <v>-193.43688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5" customHeight="1" x14ac:dyDescent="0.25">
      <c r="A14" s="139"/>
      <c r="B14" s="139"/>
      <c r="C14" s="365"/>
      <c r="D14" s="371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25">
      <c r="A15" s="139"/>
      <c r="B15" s="156"/>
      <c r="C15" s="157" t="str">
        <f>"FY "&amp;'EMAA|0349-00'!FiscalYear-1</f>
        <v>FY 2022</v>
      </c>
      <c r="D15" s="158" t="s">
        <v>31</v>
      </c>
      <c r="E15" s="355">
        <v>181100</v>
      </c>
      <c r="F15" s="55">
        <v>3.5</v>
      </c>
      <c r="G15" s="223">
        <f>IF(OrigApprop=0,0,(G13/$J$13)*OrigApprop)</f>
        <v>127660.57179329338</v>
      </c>
      <c r="H15" s="223">
        <f>IF(OrigApprop=0,0,(H13/$J$13)*OrigApprop)</f>
        <v>25833.467859265904</v>
      </c>
      <c r="I15" s="223">
        <f>IF(G15=0,0,(I13/$J$13)*OrigApprop)</f>
        <v>27605.96034744073</v>
      </c>
      <c r="J15" s="223">
        <f>SUM(G15:I15)</f>
        <v>181100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25">
      <c r="A16" s="139"/>
      <c r="B16" s="139"/>
      <c r="C16" s="454" t="s">
        <v>32</v>
      </c>
      <c r="D16" s="455"/>
      <c r="E16" s="160" t="s">
        <v>33</v>
      </c>
      <c r="F16" s="161">
        <f>F15-F13</f>
        <v>2.7</v>
      </c>
      <c r="G16" s="162">
        <f>G15-G13</f>
        <v>81604.171793293383</v>
      </c>
      <c r="H16" s="162">
        <f>H15-H13</f>
        <v>16513.467859265904</v>
      </c>
      <c r="I16" s="162">
        <f>I15-I13</f>
        <v>17646.494129440729</v>
      </c>
      <c r="J16" s="162">
        <f>J15-J13</f>
        <v>115764.13378199999</v>
      </c>
      <c r="K16" s="269"/>
      <c r="L16" s="56" t="str">
        <f>IF('EMAA|0349-00'!OrigApprop=0,"ERROR! Enter Original Appropriation amount in DU 3.00!","Calculated "&amp;IF('EMAA|0349-00'!AdjustedTotal&gt;0,"overfunding ","underfunding ")&amp;"is "&amp;TEXT('EMAA|0349-00'!AdjustedTotal/'EMAA|0349-00'!AppropTotal,"#.0%;(#.0% );0% ;")&amp;" of Original Appropriation")</f>
        <v>Calculated overfunding is 63.9% of Original Appropriation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25">
      <c r="A17" s="139"/>
      <c r="B17" s="139"/>
      <c r="C17" s="456" t="s">
        <v>34</v>
      </c>
      <c r="D17" s="457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25">
      <c r="A18" s="139"/>
      <c r="B18" s="168"/>
      <c r="C18" s="458" t="s">
        <v>35</v>
      </c>
      <c r="D18" s="459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5.5" x14ac:dyDescent="0.25">
      <c r="A19" s="238"/>
      <c r="B19" s="202"/>
      <c r="C19" s="239" t="s">
        <v>86</v>
      </c>
      <c r="D19" s="240" t="s">
        <v>87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4"/>
      <c r="AB19" s="364"/>
      <c r="AC19" s="364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5" x14ac:dyDescent="0.25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4"/>
      <c r="AB20" s="364"/>
      <c r="AC20" s="364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5" x14ac:dyDescent="0.25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4"/>
      <c r="AB21" s="364"/>
      <c r="AC21" s="364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5" x14ac:dyDescent="0.25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4"/>
      <c r="AB22" s="364"/>
      <c r="AC22" s="364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5" x14ac:dyDescent="0.25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4"/>
      <c r="AB23" s="364"/>
      <c r="AC23" s="364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5" x14ac:dyDescent="0.25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4"/>
      <c r="AC24" s="364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5" x14ac:dyDescent="0.25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4"/>
      <c r="AC25" s="364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5" x14ac:dyDescent="0.25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4"/>
      <c r="AC26" s="364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5" x14ac:dyDescent="0.25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4"/>
      <c r="AB27" s="364"/>
      <c r="AC27" s="364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5" x14ac:dyDescent="0.25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4"/>
      <c r="AB28" s="364"/>
      <c r="AC28" s="364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5" x14ac:dyDescent="0.25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4"/>
      <c r="AB29" s="364"/>
      <c r="AC29" s="364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5" x14ac:dyDescent="0.25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4"/>
      <c r="AB30" s="364"/>
      <c r="AC30" s="364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5" x14ac:dyDescent="0.25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4"/>
      <c r="AB31" s="364"/>
      <c r="AC31" s="364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5" x14ac:dyDescent="0.25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4"/>
      <c r="AB32" s="364"/>
      <c r="AC32" s="364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5" x14ac:dyDescent="0.25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4"/>
      <c r="AB33" s="364"/>
      <c r="AC33" s="364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5" x14ac:dyDescent="0.25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4"/>
      <c r="AB34" s="364"/>
      <c r="AC34" s="364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5" x14ac:dyDescent="0.25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4"/>
      <c r="AB35" s="364"/>
      <c r="AC35" s="364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5" x14ac:dyDescent="0.25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4" t="s">
        <v>94</v>
      </c>
      <c r="AB36" s="333" t="s">
        <v>95</v>
      </c>
      <c r="AC36" s="333" t="s">
        <v>106</v>
      </c>
      <c r="AD36" s="330"/>
    </row>
    <row r="37" spans="1:94" s="153" customFormat="1" ht="17.25" customHeight="1" x14ac:dyDescent="0.25">
      <c r="A37" s="139"/>
      <c r="B37" s="188"/>
      <c r="C37" s="460" t="s">
        <v>37</v>
      </c>
      <c r="D37" s="461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62" t="s">
        <v>107</v>
      </c>
      <c r="AB37" s="463"/>
      <c r="AC37" s="463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5" x14ac:dyDescent="0.25">
      <c r="A38" s="139"/>
      <c r="B38" s="188"/>
      <c r="C38" s="444" t="str">
        <f>perm_name</f>
        <v>Permanent Positions</v>
      </c>
      <c r="D38" s="445"/>
      <c r="E38" s="189">
        <v>1</v>
      </c>
      <c r="F38" s="190">
        <f>SUMIF($E9:$E35,$E38,$F9:$F35)</f>
        <v>0.8</v>
      </c>
      <c r="G38" s="191">
        <f>SUMIF($E10:$E35,$E38,$G10:$G35)</f>
        <v>46056.4</v>
      </c>
      <c r="H38" s="192">
        <f>SUMIF($E10:$E35,$E38,$H10:$H35)</f>
        <v>9320</v>
      </c>
      <c r="I38" s="192">
        <f>SUMIF($E10:$E35,$E38,$I10:$I35)</f>
        <v>9959.4662180000014</v>
      </c>
      <c r="J38" s="192">
        <f>SUM(G38:I38)</f>
        <v>65335.866218000003</v>
      </c>
      <c r="K38" s="166"/>
      <c r="L38" s="191">
        <f>SUMIF($E10:$E35,$E38,$L10:$L35)</f>
        <v>0</v>
      </c>
      <c r="M38" s="192">
        <f>SUMIF($E10:$E35,$E38,$M10:$M35)</f>
        <v>-193.43688</v>
      </c>
      <c r="N38" s="192">
        <f>SUM(L38:M38)</f>
        <v>-193.43688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500</v>
      </c>
      <c r="AB38" s="338">
        <f>ROUND((AdjPermVB*CECPerm+AdjPermVBBY*CECPerm),-2)</f>
        <v>100</v>
      </c>
      <c r="AC38" s="338">
        <f>SUM(AA38:AB38)</f>
        <v>600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5" x14ac:dyDescent="0.25">
      <c r="A39" s="139"/>
      <c r="B39" s="188"/>
      <c r="C39" s="444" t="str">
        <f>Group_name</f>
        <v>Board &amp; Group Positions</v>
      </c>
      <c r="D39" s="445"/>
      <c r="E39" s="189">
        <v>2</v>
      </c>
      <c r="F39" s="151">
        <f>SUMIF($E9:$E35,$E39,$F9:$F35)</f>
        <v>0</v>
      </c>
      <c r="G39" s="193">
        <f>SUMIF($E10:$E35,$E39,$G10:$G35)</f>
        <v>0</v>
      </c>
      <c r="H39" s="152">
        <f>SUMIF($E10:$E35,$E39,$H10:$H35)</f>
        <v>0</v>
      </c>
      <c r="I39" s="152">
        <f>SUMIF($E10:$E35,$E39,$I10:$I35)</f>
        <v>0</v>
      </c>
      <c r="J39" s="152">
        <f>SUM(G39:I39)</f>
        <v>0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0</v>
      </c>
      <c r="AB39" s="338">
        <f>ROUND(AdjGroupVB*CECGroup,-2)</f>
        <v>0</v>
      </c>
      <c r="AC39" s="338">
        <f>SUM(AA39:AB39)</f>
        <v>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5" x14ac:dyDescent="0.25">
      <c r="A40" s="139"/>
      <c r="B40" s="188"/>
      <c r="C40" s="365" t="str">
        <f>Elect_name</f>
        <v>Elected Officials &amp; Full Time Commissioners</v>
      </c>
      <c r="D40" s="366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4"/>
      <c r="AB40" s="364"/>
      <c r="AC40" s="364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5" x14ac:dyDescent="0.25">
      <c r="A41" s="139"/>
      <c r="B41" s="188"/>
      <c r="C41" s="444" t="s">
        <v>38</v>
      </c>
      <c r="D41" s="445"/>
      <c r="E41" s="189"/>
      <c r="F41" s="161">
        <f>SUM(F38:F40)</f>
        <v>0.8</v>
      </c>
      <c r="G41" s="195">
        <f>SUM($G$38:$G$40)</f>
        <v>46056.4</v>
      </c>
      <c r="H41" s="162">
        <f>SUM($H$38:$H$40)</f>
        <v>9320</v>
      </c>
      <c r="I41" s="162">
        <f>SUM($I$38:$I$40)</f>
        <v>9959.4662180000014</v>
      </c>
      <c r="J41" s="162">
        <f>SUM($J$38:$J$40)</f>
        <v>65335.866218000003</v>
      </c>
      <c r="K41" s="259"/>
      <c r="L41" s="195">
        <f>SUM($L$38:$L$40)</f>
        <v>0</v>
      </c>
      <c r="M41" s="162">
        <f>SUM($M$38:$M$40)</f>
        <v>-193.43688</v>
      </c>
      <c r="N41" s="162">
        <f>SUM(L41:M41)</f>
        <v>-193.43688</v>
      </c>
      <c r="O41"/>
      <c r="P41"/>
      <c r="Q41"/>
      <c r="R41"/>
      <c r="S41"/>
      <c r="T41"/>
      <c r="U41"/>
      <c r="V41"/>
      <c r="W41"/>
      <c r="X41"/>
      <c r="Y41"/>
      <c r="Z41" s="344"/>
      <c r="AA41" s="364" t="s">
        <v>94</v>
      </c>
      <c r="AB41" s="333" t="s">
        <v>95</v>
      </c>
      <c r="AC41" s="333" t="s">
        <v>106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25">
      <c r="A42" s="139"/>
      <c r="B42" s="188"/>
      <c r="C42" s="446"/>
      <c r="D42" s="447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4"/>
      <c r="AB42" s="364"/>
      <c r="AC42" s="364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25">
      <c r="A43" s="139"/>
      <c r="B43" s="202"/>
      <c r="C43" s="448" t="s">
        <v>39</v>
      </c>
      <c r="D43" s="449"/>
      <c r="E43" s="203" t="s">
        <v>40</v>
      </c>
      <c r="F43" s="205">
        <f>ROUND(F51-F41,2)</f>
        <v>2.7</v>
      </c>
      <c r="G43" s="206">
        <f>ROUND(G51-G41,-2)</f>
        <v>81600</v>
      </c>
      <c r="H43" s="159">
        <f>ROUND(H51-H41,-2)</f>
        <v>16500</v>
      </c>
      <c r="I43" s="159">
        <f>ROUND(I51-I41,-2)</f>
        <v>17600</v>
      </c>
      <c r="J43" s="159">
        <f>SUM(G43:I43)</f>
        <v>115700</v>
      </c>
      <c r="K43" s="425" t="str">
        <f>IF(E51=0,"ERROR! Enter Original Appropriation amount in DU 3.00!","Calculated "&amp;IF(J43&gt;0,"overfunding ","underfunding ")&amp;"is "&amp;TEXT(J43/J51,"#.0%;(#.0% );0% ;")&amp;" of Original Appropriation")</f>
        <v>Calculated overfunding is 63.9% of Original Appropriation</v>
      </c>
      <c r="L43" s="426"/>
      <c r="M43" s="426"/>
      <c r="N43" s="427"/>
      <c r="O43"/>
      <c r="P43"/>
      <c r="Q43"/>
      <c r="R43"/>
      <c r="S43"/>
      <c r="T43"/>
      <c r="U43"/>
      <c r="V43"/>
      <c r="W43"/>
      <c r="X43"/>
      <c r="Y43"/>
      <c r="Z43" s="344"/>
      <c r="AA43" s="452" t="s">
        <v>108</v>
      </c>
      <c r="AB43" s="453"/>
      <c r="AC43" s="453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25">
      <c r="A44" s="139"/>
      <c r="B44" s="202"/>
      <c r="C44" s="450"/>
      <c r="D44" s="451"/>
      <c r="E44" s="204" t="s">
        <v>41</v>
      </c>
      <c r="F44" s="205">
        <f>ROUND(F60-F41,2)</f>
        <v>2.7</v>
      </c>
      <c r="G44" s="206">
        <f>ROUND(G60-G41,-2)</f>
        <v>81600</v>
      </c>
      <c r="H44" s="159">
        <f>ROUND(H60-H41,-2)</f>
        <v>16500</v>
      </c>
      <c r="I44" s="159">
        <f>ROUND(I60-I41,-2)</f>
        <v>17600</v>
      </c>
      <c r="J44" s="159">
        <f>SUM(G44:I44)</f>
        <v>115700</v>
      </c>
      <c r="K44" s="425" t="str">
        <f>IF(E51=0,"ERROR! Enter Original Appropriation amount in DU 3.00!","Calculated "&amp;IF(J44&gt;0,"overfunding ","underfunding ")&amp;"is "&amp;TEXT(J44/J60,"#.0%;(#.0% );0% ;")&amp;" of Estimated Expenditures")</f>
        <v>Calculated overfunding is 63.9% of Estimated Expenditures</v>
      </c>
      <c r="L44" s="426"/>
      <c r="M44" s="426"/>
      <c r="N44" s="427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25">
      <c r="A45" s="139"/>
      <c r="B45" s="202"/>
      <c r="C45" s="215"/>
      <c r="D45" s="215"/>
      <c r="E45" s="204" t="s">
        <v>99</v>
      </c>
      <c r="F45" s="205">
        <f>ROUND(F67-F41-F63,2)</f>
        <v>2.7</v>
      </c>
      <c r="G45" s="206">
        <f>ROUND(G67-G41-G63,-2)</f>
        <v>81600</v>
      </c>
      <c r="H45" s="206">
        <f>ROUND(H67-H41-H63,-2)</f>
        <v>16500</v>
      </c>
      <c r="I45" s="206">
        <f>ROUND(I67-I41-I63,-2)</f>
        <v>17600</v>
      </c>
      <c r="J45" s="159">
        <f>SUM(G45:I45)</f>
        <v>115700</v>
      </c>
      <c r="K45" s="425" t="str">
        <f>IF(J67=0,"Program has a zero base",IF(E51=0,"ERROR! Enter Original Appropriation amount in DU 3.00!","Calculated "&amp;IF(J45&gt;0,"overfunding ","underfunding ")&amp;"is "&amp;TEXT(J45/J67,"#.0%;(#.0% );0% ;")&amp;" of the Base"))</f>
        <v>Calculated overfunding is 63.9% of the Base</v>
      </c>
      <c r="L45" s="426"/>
      <c r="M45" s="426"/>
      <c r="N45" s="427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0</v>
      </c>
      <c r="AC45" s="338">
        <f>SUM(AA45:AB45)</f>
        <v>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25">
      <c r="A46" s="139"/>
      <c r="B46" s="202"/>
      <c r="C46" s="215"/>
      <c r="D46" s="215"/>
      <c r="E46" s="428" t="s">
        <v>100</v>
      </c>
      <c r="F46" s="429"/>
      <c r="G46" s="429"/>
      <c r="H46" s="429"/>
      <c r="I46" s="429"/>
      <c r="J46" s="430"/>
      <c r="K46" s="434" t="str">
        <f>IF(OR(J45&lt;0,F45&lt;0),"You may not have sufficient funding or authorized FTP, and may need to make additional adjustments to finalize this form.  Please contact both your DFM and LSO analysts.","")</f>
        <v/>
      </c>
      <c r="L46" s="435"/>
      <c r="M46" s="435"/>
      <c r="N46" s="436"/>
      <c r="O46"/>
      <c r="P46"/>
      <c r="Q46"/>
      <c r="R46"/>
      <c r="S46"/>
      <c r="T46"/>
      <c r="U46"/>
      <c r="V46"/>
      <c r="W46"/>
      <c r="X46"/>
      <c r="Y46"/>
      <c r="Z46" s="344"/>
      <c r="AA46" s="364"/>
      <c r="AB46" s="364"/>
      <c r="AC46" s="364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25">
      <c r="A47" s="139"/>
      <c r="B47" s="202"/>
      <c r="C47" s="215"/>
      <c r="D47" s="215"/>
      <c r="E47" s="431"/>
      <c r="F47" s="432"/>
      <c r="G47" s="432"/>
      <c r="H47" s="432"/>
      <c r="I47" s="432"/>
      <c r="J47" s="433"/>
      <c r="K47" s="437"/>
      <c r="L47" s="438"/>
      <c r="M47" s="438"/>
      <c r="N47" s="439"/>
      <c r="O47"/>
      <c r="P47"/>
      <c r="Q47"/>
      <c r="R47"/>
      <c r="S47"/>
      <c r="T47"/>
      <c r="U47"/>
      <c r="V47"/>
      <c r="W47"/>
      <c r="X47"/>
      <c r="Y47"/>
      <c r="Z47" s="344"/>
      <c r="AA47" s="364"/>
      <c r="AB47" s="364"/>
      <c r="AC47" s="364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25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25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4"/>
      <c r="AB49" s="364"/>
      <c r="AC49" s="364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25">
      <c r="A50" s="257" t="s">
        <v>42</v>
      </c>
      <c r="B50" s="71"/>
      <c r="C50" s="440"/>
      <c r="D50" s="441"/>
      <c r="E50" s="72" t="s">
        <v>43</v>
      </c>
      <c r="F50" s="73" t="s">
        <v>24</v>
      </c>
      <c r="G50" s="72" t="str">
        <f>"FY "&amp;M4-2001&amp;" Salary"</f>
        <v>FY 22 Salary</v>
      </c>
      <c r="H50" s="72" t="str">
        <f>"FY "&amp;M4-2001&amp;" Health Ben"</f>
        <v>FY 22 Health Ben</v>
      </c>
      <c r="I50" s="72" t="str">
        <f>"FY "&amp;M4-2001&amp;" Var Ben"</f>
        <v>FY 22 Var Ben</v>
      </c>
      <c r="J50" s="72" t="str">
        <f>"FY "&amp;M4-1&amp;" Total"</f>
        <v>FY 2022 Total</v>
      </c>
      <c r="K50" s="307" t="str">
        <f>"FY "&amp;FiscalYear&amp;" SALARY CHG"</f>
        <v>FY 2023 SALARY CHG</v>
      </c>
      <c r="L50" s="74" t="str">
        <f>"FY "&amp;M4-2000&amp;" Chg Health Bens"</f>
        <v>FY 23 Chg Health Bens</v>
      </c>
      <c r="M50" s="74" t="str">
        <f>"FY "&amp;M4-2000&amp;" Chg Var Bens"</f>
        <v>FY 23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4"/>
      <c r="AB50" s="364"/>
      <c r="AC50" s="364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25">
      <c r="A51" s="75">
        <v>3</v>
      </c>
      <c r="B51" s="76" t="s">
        <v>45</v>
      </c>
      <c r="C51" s="54" t="str">
        <f>"FY "&amp;M4-1</f>
        <v>FY 2022</v>
      </c>
      <c r="D51" s="77" t="s">
        <v>31</v>
      </c>
      <c r="E51" s="78">
        <f>OrigApprop</f>
        <v>181100</v>
      </c>
      <c r="F51" s="272">
        <f>AppropFTP</f>
        <v>3.5</v>
      </c>
      <c r="G51" s="274">
        <f>IF(E51=0,0,(G41/$J$41)*$E$51)</f>
        <v>127660.57179329338</v>
      </c>
      <c r="H51" s="274">
        <f>IF(E51=0,0,(H41/$J$41)*$E$51)</f>
        <v>25833.467859265904</v>
      </c>
      <c r="I51" s="275">
        <f>IF(E51=0,0,(I41/$J$41)*$E$51)</f>
        <v>27605.96034744073</v>
      </c>
      <c r="J51" s="90">
        <f>SUM(G51:I51)</f>
        <v>181100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4"/>
      <c r="AC51" s="364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25">
      <c r="A52" s="82"/>
      <c r="B52" s="83"/>
      <c r="C52" s="84"/>
      <c r="D52" s="132" t="s">
        <v>46</v>
      </c>
      <c r="E52" s="133"/>
      <c r="F52" s="55">
        <f>F51</f>
        <v>3.5</v>
      </c>
      <c r="G52" s="79">
        <f>ROUND(G51,-2)</f>
        <v>127700</v>
      </c>
      <c r="H52" s="79">
        <f>ROUND(H51,-2)</f>
        <v>25800</v>
      </c>
      <c r="I52" s="266">
        <f>ROUND(I51,-2)</f>
        <v>27600</v>
      </c>
      <c r="J52" s="80">
        <f>ROUND(J51,-2)</f>
        <v>181100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4"/>
      <c r="AC52" s="364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5" x14ac:dyDescent="0.25">
      <c r="A53" s="85"/>
      <c r="B53" s="83"/>
      <c r="C53" s="442" t="s">
        <v>47</v>
      </c>
      <c r="D53" s="443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4"/>
      <c r="AB53" s="364"/>
      <c r="AC53" s="364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25">
      <c r="A54" s="85">
        <v>4.1100000000000003</v>
      </c>
      <c r="B54" s="83"/>
      <c r="C54" s="409" t="s">
        <v>48</v>
      </c>
      <c r="D54" s="410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4"/>
      <c r="AB54" s="364"/>
      <c r="AC54" s="364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25">
      <c r="A55" s="85">
        <v>4.3099999999999996</v>
      </c>
      <c r="B55" s="83"/>
      <c r="C55" s="422" t="s">
        <v>49</v>
      </c>
      <c r="D55" s="423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4"/>
      <c r="AB55" s="364"/>
      <c r="AC55" s="364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25">
      <c r="A56" s="75">
        <v>5</v>
      </c>
      <c r="B56" s="76"/>
      <c r="C56" s="54" t="str">
        <f>"FY "&amp;M4-1</f>
        <v>FY 2022</v>
      </c>
      <c r="D56" s="131" t="s">
        <v>50</v>
      </c>
      <c r="E56" s="135"/>
      <c r="F56" s="55">
        <f>SUM(F52:F55)</f>
        <v>3.5</v>
      </c>
      <c r="G56" s="80">
        <f>SUM(G52:G55)</f>
        <v>127700</v>
      </c>
      <c r="H56" s="80">
        <f>SUM(H52:H55)</f>
        <v>25800</v>
      </c>
      <c r="I56" s="260">
        <f>SUM(I52:I55)</f>
        <v>27600</v>
      </c>
      <c r="J56" s="80">
        <f>SUM(J52:J55)</f>
        <v>181100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4"/>
      <c r="AB56" s="364"/>
      <c r="AC56" s="364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25">
      <c r="A57" s="85"/>
      <c r="B57" s="83"/>
      <c r="C57" s="420" t="s">
        <v>51</v>
      </c>
      <c r="D57" s="424"/>
      <c r="E57" s="368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4"/>
      <c r="AB57" s="364"/>
      <c r="AC57" s="364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25">
      <c r="A58" s="85">
        <v>6.31</v>
      </c>
      <c r="B58" s="83"/>
      <c r="C58" s="409" t="s">
        <v>52</v>
      </c>
      <c r="D58" s="410"/>
      <c r="E58" s="102"/>
      <c r="F58" s="58">
        <v>0</v>
      </c>
      <c r="G58" s="88">
        <v>0</v>
      </c>
      <c r="H58" s="88">
        <v>0</v>
      </c>
      <c r="I58" s="265">
        <v>0</v>
      </c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4"/>
      <c r="AB58" s="364"/>
      <c r="AC58" s="364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25">
      <c r="A59" s="85">
        <v>6.51</v>
      </c>
      <c r="B59" s="83"/>
      <c r="C59" s="422" t="s">
        <v>66</v>
      </c>
      <c r="D59" s="423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4"/>
      <c r="AB59" s="364"/>
      <c r="AC59" s="364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25">
      <c r="A60" s="75">
        <v>7</v>
      </c>
      <c r="B60" s="76"/>
      <c r="C60" s="54" t="str">
        <f>"FY "&amp;M4-1</f>
        <v>FY 2022</v>
      </c>
      <c r="D60" s="131" t="s">
        <v>53</v>
      </c>
      <c r="E60" s="135"/>
      <c r="F60" s="55">
        <f>SUM(F56:F59)</f>
        <v>3.5</v>
      </c>
      <c r="G60" s="80">
        <f>SUM(G56:G59)</f>
        <v>127700</v>
      </c>
      <c r="H60" s="80">
        <f>SUM(H56:H59)</f>
        <v>25800</v>
      </c>
      <c r="I60" s="260">
        <f>SUM(I56:I59)</f>
        <v>27600</v>
      </c>
      <c r="J60" s="80">
        <f>SUM(J56:J59)</f>
        <v>181100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4"/>
      <c r="AB60" s="364"/>
      <c r="AC60" s="364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25">
      <c r="A61" s="85"/>
      <c r="B61" s="83"/>
      <c r="C61" s="420" t="s">
        <v>54</v>
      </c>
      <c r="D61" s="424"/>
      <c r="E61" s="368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4"/>
      <c r="AB61" s="364"/>
      <c r="AC61" s="364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25">
      <c r="A62" s="85">
        <v>8.31</v>
      </c>
      <c r="B62" s="83"/>
      <c r="C62" s="409" t="s">
        <v>67</v>
      </c>
      <c r="D62" s="410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4"/>
      <c r="AB62" s="364"/>
      <c r="AC62" s="364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25">
      <c r="A63" s="85">
        <v>8.41</v>
      </c>
      <c r="B63" s="83"/>
      <c r="C63" s="409" t="s">
        <v>55</v>
      </c>
      <c r="D63" s="410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4"/>
      <c r="AB63" s="364"/>
      <c r="AC63" s="364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">
      <c r="A64" s="93">
        <v>8.51</v>
      </c>
      <c r="B64" s="93"/>
      <c r="C64" s="414" t="s">
        <v>56</v>
      </c>
      <c r="D64" s="415"/>
      <c r="E64" s="134"/>
      <c r="F64" s="58">
        <v>0</v>
      </c>
      <c r="G64" s="88"/>
      <c r="H64" s="88">
        <v>0</v>
      </c>
      <c r="I64" s="265"/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4"/>
      <c r="AB64" s="364"/>
      <c r="AC64" s="364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25">
      <c r="A65" s="94"/>
      <c r="B65" s="95"/>
      <c r="C65" s="416"/>
      <c r="D65" s="417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4"/>
      <c r="AB65" s="364"/>
      <c r="AC65" s="364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5" x14ac:dyDescent="0.25">
      <c r="A66" s="100"/>
      <c r="B66" s="101"/>
      <c r="C66" s="418"/>
      <c r="D66" s="419"/>
      <c r="E66" s="102"/>
      <c r="F66" s="103" t="s">
        <v>24</v>
      </c>
      <c r="G66" s="104" t="str">
        <f>"FY "&amp;M4-2000&amp;" Salary"</f>
        <v>FY 23 Salary</v>
      </c>
      <c r="H66" s="104" t="str">
        <f>"FY"&amp;M4-2000&amp;" Health Ben"</f>
        <v>FY23 Health Ben</v>
      </c>
      <c r="I66" s="104" t="str">
        <f>"FY "&amp;M4-2000&amp;" Var Ben"</f>
        <v>FY 23 Var Ben</v>
      </c>
      <c r="J66" s="104" t="str">
        <f>"FY "&amp;M4&amp;" Total"</f>
        <v>FY 2023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5" x14ac:dyDescent="0.25">
      <c r="A67" s="82">
        <v>9</v>
      </c>
      <c r="B67" s="83"/>
      <c r="C67" s="84" t="str">
        <f>"FY "&amp;M4</f>
        <v>FY 2023</v>
      </c>
      <c r="D67" s="108" t="s">
        <v>57</v>
      </c>
      <c r="E67" s="109"/>
      <c r="F67" s="55">
        <f>SUM(F60:F64)</f>
        <v>3.5</v>
      </c>
      <c r="G67" s="80">
        <f>SUM(G60:G64)</f>
        <v>127700</v>
      </c>
      <c r="H67" s="80">
        <f>SUM(H60:H64)</f>
        <v>25800</v>
      </c>
      <c r="I67" s="80">
        <f>SUM(I60:I64)</f>
        <v>27600</v>
      </c>
      <c r="J67" s="80">
        <f>SUM(J60:J64)</f>
        <v>181100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4"/>
      <c r="AB67" s="364"/>
      <c r="AC67" s="364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25">
      <c r="A68" s="85">
        <v>10.11</v>
      </c>
      <c r="B68" s="83"/>
      <c r="C68" s="420" t="s">
        <v>58</v>
      </c>
      <c r="D68" s="421"/>
      <c r="E68" s="112"/>
      <c r="F68" s="288"/>
      <c r="G68" s="287"/>
      <c r="H68" s="113">
        <f>IF(DUNine=0,0,ROUND(SUM(L41:L65),-2))</f>
        <v>0</v>
      </c>
      <c r="I68" s="113"/>
      <c r="J68" s="287">
        <f>SUM(G68:I68)</f>
        <v>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4"/>
      <c r="AB68" s="364"/>
      <c r="AC68" s="364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5" x14ac:dyDescent="0.25">
      <c r="A69" s="85">
        <v>10.119999999999999</v>
      </c>
      <c r="B69" s="83"/>
      <c r="C69" s="420" t="s">
        <v>59</v>
      </c>
      <c r="D69" s="421"/>
      <c r="E69" s="112"/>
      <c r="F69" s="288"/>
      <c r="G69" s="113"/>
      <c r="H69" s="113"/>
      <c r="I69" s="113">
        <f>IF(DUNine=0,0,ROUND(SUM(M41:M64),-2))</f>
        <v>-200</v>
      </c>
      <c r="J69" s="287">
        <f>SUM(G69:I69)</f>
        <v>-200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4"/>
      <c r="AB69" s="364"/>
      <c r="AC69" s="364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5" x14ac:dyDescent="0.25">
      <c r="A70" s="85"/>
      <c r="B70" s="83"/>
      <c r="C70" s="407"/>
      <c r="D70" s="408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4"/>
      <c r="AB70" s="364"/>
      <c r="AC70" s="364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25">
      <c r="A71" s="85">
        <v>10.51</v>
      </c>
      <c r="B71" s="83"/>
      <c r="C71" s="409" t="s">
        <v>60</v>
      </c>
      <c r="D71" s="410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112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64"/>
      <c r="AB71" s="364"/>
      <c r="AC71" s="364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25">
      <c r="A72" s="85">
        <v>10.61</v>
      </c>
      <c r="B72" s="83"/>
      <c r="C72" s="409" t="s">
        <v>101</v>
      </c>
      <c r="D72" s="411"/>
      <c r="E72" s="290">
        <f>CECPerm</f>
        <v>0.01</v>
      </c>
      <c r="F72" s="288"/>
      <c r="G72" s="356">
        <f>IF(DUNine=0,0,IF(DUNine&lt;0,0,ROUND(AdjPermSalary*CECPerm,-2)))</f>
        <v>500</v>
      </c>
      <c r="H72" s="287"/>
      <c r="I72" s="287">
        <f>ROUND(($G72*PermVBBY+$G72*Retire1BY),-2)</f>
        <v>100</v>
      </c>
      <c r="J72" s="113">
        <f>SUM(G72:I72)</f>
        <v>600</v>
      </c>
      <c r="K72" s="296"/>
      <c r="L72" s="298"/>
      <c r="M72" s="350" t="e">
        <f>IF(DUNine=0,0,IF(((#REF!-G39-G40)*E72)&lt;0,0,ROUND(((#REF!-G39-G40)*E72),-2)))</f>
        <v>#REF!</v>
      </c>
      <c r="N72" s="359"/>
      <c r="O72" s="358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#REF!</v>
      </c>
      <c r="P72" s="358"/>
      <c r="Q72"/>
      <c r="R72"/>
      <c r="S72"/>
      <c r="T72"/>
      <c r="U72"/>
      <c r="V72"/>
      <c r="W72"/>
      <c r="X72"/>
      <c r="Y72"/>
      <c r="Z72" s="344"/>
      <c r="AA72" s="364"/>
      <c r="AB72" s="364"/>
      <c r="AC72" s="364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25">
      <c r="A73" s="85">
        <v>10.62</v>
      </c>
      <c r="B73" s="83"/>
      <c r="C73" s="409" t="s">
        <v>61</v>
      </c>
      <c r="D73" s="411"/>
      <c r="E73" s="289">
        <f>CECGroup</f>
        <v>0.01</v>
      </c>
      <c r="F73" s="288"/>
      <c r="G73" s="356">
        <f>IF(DUNine=0,0,IF(DUNine&lt;0,0,ROUND(AdjGroupSalary*CECGroup,-2)))</f>
        <v>0</v>
      </c>
      <c r="H73" s="287"/>
      <c r="I73" s="287">
        <f>ROUND(($G73*GroupVBBY),-2)</f>
        <v>0</v>
      </c>
      <c r="J73" s="113">
        <f t="shared" si="11"/>
        <v>0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64"/>
      <c r="AB73" s="364"/>
      <c r="AC73" s="364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25">
      <c r="A74" s="85">
        <v>10.63</v>
      </c>
      <c r="B74" s="83"/>
      <c r="C74" s="367" t="s">
        <v>62</v>
      </c>
      <c r="D74" s="369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4"/>
      <c r="AB74" s="364"/>
      <c r="AC74" s="364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25">
      <c r="A75" s="75">
        <v>11</v>
      </c>
      <c r="B75" s="76"/>
      <c r="C75" s="54" t="str">
        <f>"FY "&amp;M4</f>
        <v>FY 2023</v>
      </c>
      <c r="D75" s="77" t="s">
        <v>63</v>
      </c>
      <c r="E75" s="112"/>
      <c r="F75" s="55">
        <f>SUM(F67:F74)</f>
        <v>3.5</v>
      </c>
      <c r="G75" s="80">
        <f>SUM(G67:G74)</f>
        <v>128200</v>
      </c>
      <c r="H75" s="80">
        <f>SUM(H67:H74)</f>
        <v>25800</v>
      </c>
      <c r="I75" s="80">
        <f>SUM(I67:I74)</f>
        <v>27500</v>
      </c>
      <c r="J75" s="80">
        <f>SUM(J67:K74)</f>
        <v>181500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4"/>
      <c r="AB75" s="364"/>
      <c r="AC75" s="364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25">
      <c r="A76" s="85"/>
      <c r="B76" s="83"/>
      <c r="C76" s="412" t="s">
        <v>64</v>
      </c>
      <c r="D76" s="413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4"/>
      <c r="AB76" s="364"/>
      <c r="AC76" s="364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5" x14ac:dyDescent="0.25">
      <c r="A77" s="116">
        <v>12.01</v>
      </c>
      <c r="B77" s="57"/>
      <c r="C77" s="405"/>
      <c r="D77" s="406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4"/>
      <c r="AB77" s="364"/>
      <c r="AC77" s="364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5" x14ac:dyDescent="0.25">
      <c r="A78" s="116">
        <v>12.02</v>
      </c>
      <c r="B78" s="57"/>
      <c r="C78" s="405"/>
      <c r="D78" s="406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4"/>
      <c r="AB78" s="364"/>
      <c r="AC78" s="364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5" x14ac:dyDescent="0.25">
      <c r="A79" s="116">
        <v>12.03</v>
      </c>
      <c r="B79" s="57" t="s">
        <v>45</v>
      </c>
      <c r="C79" s="405"/>
      <c r="D79" s="406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4"/>
      <c r="AB79" s="364"/>
      <c r="AC79" s="364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25">
      <c r="A80" s="117">
        <v>13</v>
      </c>
      <c r="B80" s="118"/>
      <c r="C80" s="119" t="str">
        <f>"FY "&amp;M4</f>
        <v>FY 2023</v>
      </c>
      <c r="D80" s="120" t="s">
        <v>65</v>
      </c>
      <c r="E80" s="121"/>
      <c r="F80" s="55">
        <f>SUM(F75:F79)</f>
        <v>3.5</v>
      </c>
      <c r="G80" s="80">
        <f>SUM(G75:G79)</f>
        <v>128200</v>
      </c>
      <c r="H80" s="80">
        <f>SUM(H75:H79)</f>
        <v>25800</v>
      </c>
      <c r="I80" s="80">
        <f>SUM(I75:I79)</f>
        <v>27500</v>
      </c>
      <c r="J80" s="80">
        <f>SUM(J75:J79)</f>
        <v>181500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4"/>
      <c r="AB80" s="364"/>
      <c r="AC80" s="364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13:D13"/>
    <mergeCell ref="M1:N1"/>
    <mergeCell ref="M2:N2"/>
    <mergeCell ref="M3:N3"/>
    <mergeCell ref="M4:N4"/>
    <mergeCell ref="I5:L5"/>
    <mergeCell ref="C8:D8"/>
    <mergeCell ref="AA8:AC8"/>
    <mergeCell ref="C9:D9"/>
    <mergeCell ref="C10:D10"/>
    <mergeCell ref="C11:D11"/>
    <mergeCell ref="C12:D12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C54:D54"/>
    <mergeCell ref="C39:D39"/>
    <mergeCell ref="C41:D41"/>
    <mergeCell ref="C42:D42"/>
    <mergeCell ref="C43:D44"/>
    <mergeCell ref="K45:N45"/>
    <mergeCell ref="E46:J47"/>
    <mergeCell ref="K46:N47"/>
    <mergeCell ref="C50:D50"/>
    <mergeCell ref="C53:D53"/>
    <mergeCell ref="C69:D69"/>
    <mergeCell ref="C55:D55"/>
    <mergeCell ref="C57:D57"/>
    <mergeCell ref="C58:D58"/>
    <mergeCell ref="C59:D59"/>
    <mergeCell ref="C61:D61"/>
    <mergeCell ref="C62:D62"/>
    <mergeCell ref="C63:D63"/>
    <mergeCell ref="C64:D64"/>
    <mergeCell ref="C65:D65"/>
    <mergeCell ref="C66:D66"/>
    <mergeCell ref="C68:D68"/>
    <mergeCell ref="C78:D78"/>
    <mergeCell ref="C79:D79"/>
    <mergeCell ref="C70:D70"/>
    <mergeCell ref="C71:D71"/>
    <mergeCell ref="C72:D72"/>
    <mergeCell ref="C73:D73"/>
    <mergeCell ref="C76:D76"/>
    <mergeCell ref="C77:D77"/>
  </mergeCells>
  <conditionalFormatting sqref="K44">
    <cfRule type="expression" dxfId="68" priority="5">
      <formula>$J$44&lt;0</formula>
    </cfRule>
  </conditionalFormatting>
  <conditionalFormatting sqref="K43">
    <cfRule type="expression" dxfId="67" priority="4">
      <formula>$J$43&lt;0</formula>
    </cfRule>
  </conditionalFormatting>
  <conditionalFormatting sqref="L16">
    <cfRule type="expression" dxfId="66" priority="3">
      <formula>$J$16&lt;0</formula>
    </cfRule>
  </conditionalFormatting>
  <conditionalFormatting sqref="K45">
    <cfRule type="expression" dxfId="65" priority="2">
      <formula>$J$44&lt;0</formula>
    </cfRule>
  </conditionalFormatting>
  <conditionalFormatting sqref="K43:N45">
    <cfRule type="containsText" dxfId="64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4AFAC16-4A24-46F1-894B-D5D6E14F19C7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8DD34E-103B-4BC5-8C6D-91D109F3F7F9}">
  <sheetPr>
    <tabColor rgb="FF92D050"/>
    <pageSetUpPr fitToPage="1"/>
  </sheetPr>
  <dimension ref="A1:CP80"/>
  <sheetViews>
    <sheetView showGridLines="0" zoomScaleNormal="100" workbookViewId="0">
      <selection activeCell="C8" sqref="C8:N16"/>
    </sheetView>
  </sheetViews>
  <sheetFormatPr defaultColWidth="9.140625" defaultRowHeight="15.75" x14ac:dyDescent="0.25"/>
  <cols>
    <col min="1" max="1" width="7.85546875" style="124" customWidth="1"/>
    <col min="2" max="2" width="7.7109375" style="125" customWidth="1"/>
    <col min="3" max="3" width="9" style="125" customWidth="1"/>
    <col min="4" max="4" width="39.28515625" style="53" customWidth="1"/>
    <col min="5" max="5" width="13" style="126" customWidth="1"/>
    <col min="6" max="6" width="12.28515625" style="127" customWidth="1"/>
    <col min="7" max="7" width="12.140625" style="127" bestFit="1" customWidth="1"/>
    <col min="8" max="8" width="14.5703125" style="127" customWidth="1"/>
    <col min="9" max="9" width="19.5703125" style="128" bestFit="1" customWidth="1"/>
    <col min="10" max="10" width="13.7109375" style="129" customWidth="1"/>
    <col min="11" max="11" width="13.7109375" style="129" hidden="1" customWidth="1"/>
    <col min="12" max="12" width="18.42578125" style="129" customWidth="1"/>
    <col min="13" max="13" width="16.42578125" style="129" customWidth="1"/>
    <col min="14" max="14" width="16.140625" style="128" customWidth="1"/>
    <col min="15" max="25" width="16.140625" customWidth="1"/>
    <col min="26" max="26" width="16.140625" style="344" customWidth="1"/>
    <col min="27" max="27" width="22.140625" style="334" bestFit="1" customWidth="1"/>
    <col min="28" max="28" width="31.140625" style="334" bestFit="1" customWidth="1"/>
    <col min="29" max="29" width="7.85546875" style="334" bestFit="1" customWidth="1"/>
    <col min="30" max="30" width="9.140625" style="110" customWidth="1"/>
    <col min="31" max="94" width="9.140625" style="17"/>
    <col min="95" max="16384" width="9.140625" style="18"/>
  </cols>
  <sheetData>
    <row r="1" spans="1:94" x14ac:dyDescent="0.25">
      <c r="A1" s="12" t="s">
        <v>13</v>
      </c>
      <c r="B1" s="13"/>
      <c r="C1" s="13"/>
      <c r="D1" s="14" t="s">
        <v>2643</v>
      </c>
      <c r="E1" s="15"/>
      <c r="F1" s="15"/>
      <c r="G1" s="15"/>
      <c r="H1" s="15"/>
      <c r="I1" s="15"/>
      <c r="J1" s="15"/>
      <c r="K1" s="15"/>
      <c r="L1" s="16" t="s">
        <v>14</v>
      </c>
      <c r="M1" s="468">
        <v>240</v>
      </c>
      <c r="N1" s="469"/>
      <c r="AA1" s="364"/>
      <c r="AB1" s="333"/>
      <c r="AC1" s="333"/>
      <c r="AD1" s="325"/>
    </row>
    <row r="2" spans="1:94" ht="20.25" x14ac:dyDescent="0.25">
      <c r="A2" s="19" t="s">
        <v>116</v>
      </c>
      <c r="B2" s="20"/>
      <c r="C2" s="20"/>
      <c r="D2" s="14" t="s">
        <v>2643</v>
      </c>
      <c r="E2" s="21"/>
      <c r="F2" s="21"/>
      <c r="G2" s="21"/>
      <c r="H2" s="21"/>
      <c r="I2" s="21"/>
      <c r="J2" s="20"/>
      <c r="K2" s="20"/>
      <c r="L2" s="22" t="s">
        <v>113</v>
      </c>
      <c r="M2" s="470" t="s">
        <v>2666</v>
      </c>
      <c r="N2" s="471"/>
      <c r="AA2" s="333"/>
      <c r="AB2" s="333"/>
      <c r="AC2" s="333"/>
      <c r="AD2" s="325"/>
    </row>
    <row r="3" spans="1:94" x14ac:dyDescent="0.25">
      <c r="A3" s="19" t="s">
        <v>117</v>
      </c>
      <c r="B3" s="20"/>
      <c r="C3" s="20"/>
      <c r="D3" s="23" t="s">
        <v>2644</v>
      </c>
      <c r="E3" s="24"/>
      <c r="F3" s="25"/>
      <c r="G3" s="25"/>
      <c r="H3" s="25"/>
      <c r="I3" s="26"/>
      <c r="J3" s="20"/>
      <c r="K3" s="20"/>
      <c r="L3" s="22" t="s">
        <v>114</v>
      </c>
      <c r="M3" s="468" t="s">
        <v>167</v>
      </c>
      <c r="N3" s="469"/>
      <c r="AA3" s="364"/>
      <c r="AB3" s="333"/>
      <c r="AC3" s="333"/>
      <c r="AD3" s="325"/>
    </row>
    <row r="4" spans="1:94" x14ac:dyDescent="0.25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68">
        <v>2023</v>
      </c>
      <c r="N4" s="469"/>
      <c r="AA4" s="364"/>
      <c r="AB4" s="333"/>
      <c r="AC4" s="333"/>
      <c r="AD4" s="325"/>
    </row>
    <row r="5" spans="1:94" s="34" customFormat="1" ht="18" customHeight="1" x14ac:dyDescent="0.25">
      <c r="A5" s="19" t="s">
        <v>16</v>
      </c>
      <c r="B5" s="20"/>
      <c r="C5" s="20"/>
      <c r="D5" s="351">
        <v>44440</v>
      </c>
      <c r="E5" s="27"/>
      <c r="F5" s="30"/>
      <c r="G5" s="31"/>
      <c r="H5" s="31" t="s">
        <v>17</v>
      </c>
      <c r="I5" s="470" t="s">
        <v>2664</v>
      </c>
      <c r="J5" s="472"/>
      <c r="K5" s="472"/>
      <c r="L5" s="471"/>
      <c r="M5" s="352" t="s">
        <v>115</v>
      </c>
      <c r="N5" s="32" t="s">
        <v>2665</v>
      </c>
      <c r="O5"/>
      <c r="P5"/>
      <c r="Q5"/>
      <c r="R5"/>
      <c r="S5"/>
      <c r="T5"/>
      <c r="U5"/>
      <c r="V5"/>
      <c r="W5"/>
      <c r="X5"/>
      <c r="Y5"/>
      <c r="Z5" s="344"/>
      <c r="AA5" s="364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25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84</v>
      </c>
      <c r="K6" s="31"/>
      <c r="L6" s="353"/>
      <c r="M6" s="354" t="s">
        <v>85</v>
      </c>
      <c r="N6" s="306"/>
      <c r="AA6" s="364"/>
      <c r="AB6" s="333"/>
      <c r="AC6" s="333"/>
      <c r="AD6" s="325"/>
    </row>
    <row r="7" spans="1:94" x14ac:dyDescent="0.25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25">
      <c r="A8" s="48" t="s">
        <v>20</v>
      </c>
      <c r="B8" s="370" t="s">
        <v>21</v>
      </c>
      <c r="C8" s="473" t="s">
        <v>22</v>
      </c>
      <c r="D8" s="474"/>
      <c r="E8" s="370" t="s">
        <v>23</v>
      </c>
      <c r="F8" s="49" t="s">
        <v>24</v>
      </c>
      <c r="G8" s="50" t="str">
        <f>"FY "&amp;'EMAA|0348-00'!FiscalYear-1&amp;" SALARY"</f>
        <v>FY 2022 SALARY</v>
      </c>
      <c r="H8" s="50" t="str">
        <f>"FY "&amp;'EMAA|0348-00'!FiscalYear-1&amp;" HEALTH BENEFITS"</f>
        <v>FY 2022 HEALTH BENEFITS</v>
      </c>
      <c r="I8" s="50" t="str">
        <f>"FY "&amp;'EMAA|0348-00'!FiscalYear-1&amp;" VAR BENEFITS"</f>
        <v>FY 2022 VAR BENEFITS</v>
      </c>
      <c r="J8" s="50" t="str">
        <f>"FY "&amp;'EMAA|0348-00'!FiscalYear-1&amp;" TOTAL"</f>
        <v>FY 2022 TOTAL</v>
      </c>
      <c r="K8" s="50" t="str">
        <f>"FY "&amp;'EMAA|0348-00'!FiscalYear&amp;" SALARY CHANGE"</f>
        <v>FY 2023 SALARY CHANGE</v>
      </c>
      <c r="L8" s="50" t="str">
        <f>"FY "&amp;'EMAA|0348-00'!FiscalYear&amp;" CHG HEALTH BENEFITS"</f>
        <v>FY 2023 CHG HEALTH BENEFITS</v>
      </c>
      <c r="M8" s="50" t="str">
        <f>"FY "&amp;'EMAA|0348-00'!FiscalYear&amp;" CHG VAR BENEFITS"</f>
        <v>FY 2023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64" t="s">
        <v>105</v>
      </c>
      <c r="AB8" s="464"/>
      <c r="AC8" s="464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25">
      <c r="A9" s="139"/>
      <c r="B9" s="140"/>
      <c r="C9" s="465" t="s">
        <v>26</v>
      </c>
      <c r="D9" s="466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4" t="s">
        <v>94</v>
      </c>
      <c r="AB9" s="333" t="s">
        <v>95</v>
      </c>
      <c r="AC9" s="333" t="s">
        <v>106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25">
      <c r="A10" s="139"/>
      <c r="B10" s="139"/>
      <c r="C10" s="444" t="s">
        <v>27</v>
      </c>
      <c r="D10" s="467"/>
      <c r="E10" s="217">
        <v>1</v>
      </c>
      <c r="F10" s="288">
        <f>[0]!EMAA034800col_INC_FTI</f>
        <v>66.489999999999995</v>
      </c>
      <c r="G10" s="218">
        <f>[0]!EMAA034800col_FTI_SALARY_PERM</f>
        <v>4414009.5999999996</v>
      </c>
      <c r="H10" s="218">
        <f>[0]!EMAA034800col_HEALTH_PERM</f>
        <v>778686</v>
      </c>
      <c r="I10" s="218">
        <f>[0]!EMAA034800col_TOT_VB_PERM</f>
        <v>952679.18080760026</v>
      </c>
      <c r="J10" s="219">
        <f>SUM(G10:I10)</f>
        <v>6145374.7808075994</v>
      </c>
      <c r="K10" s="219">
        <f>[0]!EMAA034800col_1_27TH_PP</f>
        <v>0</v>
      </c>
      <c r="L10" s="218">
        <f>[0]!EMAA034800col_HEALTH_PERM_CHG</f>
        <v>0</v>
      </c>
      <c r="M10" s="218">
        <f>[0]!EMAA034800col_TOT_VB_PERM_CHG</f>
        <v>-17132.462319999995</v>
      </c>
      <c r="N10" s="218">
        <f>SUM(L10:M10)</f>
        <v>-17132.462319999995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44100</v>
      </c>
      <c r="AB10" s="335">
        <f>ROUND(PermVarBen*CECPerm+(CECPerm*PermVarBenChg),-2)</f>
        <v>9400</v>
      </c>
      <c r="AC10" s="335">
        <f>SUM(AA10:AB10)</f>
        <v>53500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25">
      <c r="A11" s="139"/>
      <c r="B11" s="139"/>
      <c r="C11" s="444" t="s">
        <v>28</v>
      </c>
      <c r="D11" s="467"/>
      <c r="E11" s="217">
        <v>2</v>
      </c>
      <c r="F11" s="288"/>
      <c r="G11" s="218">
        <f>[0]!EMAA034800col_Group_Salary</f>
        <v>0</v>
      </c>
      <c r="H11" s="218">
        <v>0</v>
      </c>
      <c r="I11" s="218">
        <f>[0]!EMAA034800col_Group_Ben</f>
        <v>0</v>
      </c>
      <c r="J11" s="219">
        <f>SUM(G11:I11)</f>
        <v>0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0</v>
      </c>
      <c r="AB11" s="335">
        <f>ROUND((GroupSalary*GroupVBBY)*CECGroup,-2)</f>
        <v>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25">
      <c r="A12" s="139"/>
      <c r="B12" s="139"/>
      <c r="C12" s="444" t="s">
        <v>29</v>
      </c>
      <c r="D12" s="445"/>
      <c r="E12" s="217">
        <v>3</v>
      </c>
      <c r="F12" s="288">
        <f>[0]!EMAA034800col_TOTAL_ELECT_PCN_FTI</f>
        <v>0</v>
      </c>
      <c r="G12" s="218">
        <f>[0]!EMAA034800col_FTI_SALARY_ELECT</f>
        <v>0</v>
      </c>
      <c r="H12" s="218">
        <f>[0]!EMAA034800col_HEALTH_ELECT</f>
        <v>0</v>
      </c>
      <c r="I12" s="218">
        <f>[0]!EMAA034800col_TOT_VB_ELECT</f>
        <v>0</v>
      </c>
      <c r="J12" s="219">
        <f>SUM(G12:I12)</f>
        <v>0</v>
      </c>
      <c r="K12" s="268"/>
      <c r="L12" s="218">
        <f>[0]!EMAA034800col_HEALTH_ELECT_CHG</f>
        <v>0</v>
      </c>
      <c r="M12" s="218">
        <f>[0]!EMAA034800col_TOT_VB_ELECT_CHG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25">
      <c r="A13" s="139"/>
      <c r="B13" s="139"/>
      <c r="C13" s="444" t="s">
        <v>30</v>
      </c>
      <c r="D13" s="467"/>
      <c r="E13" s="217"/>
      <c r="F13" s="220">
        <f>SUM(F10:F12)</f>
        <v>66.489999999999995</v>
      </c>
      <c r="G13" s="221">
        <f>SUM(G10:G12)</f>
        <v>4414009.5999999996</v>
      </c>
      <c r="H13" s="221">
        <f>SUM(H10:H12)</f>
        <v>778686</v>
      </c>
      <c r="I13" s="221">
        <f>SUM(I10:I12)</f>
        <v>952679.18080760026</v>
      </c>
      <c r="J13" s="219">
        <f>SUM(G13:I13)</f>
        <v>6145374.7808075994</v>
      </c>
      <c r="K13" s="268"/>
      <c r="L13" s="219">
        <f>SUM(L10:L12)</f>
        <v>0</v>
      </c>
      <c r="M13" s="219">
        <f>SUM(M10:M12)</f>
        <v>-17132.462319999995</v>
      </c>
      <c r="N13" s="219">
        <f>SUM(N10:N12)</f>
        <v>-17132.462319999995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5" customHeight="1" x14ac:dyDescent="0.25">
      <c r="A14" s="139"/>
      <c r="B14" s="139"/>
      <c r="C14" s="365"/>
      <c r="D14" s="371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25">
      <c r="A15" s="139"/>
      <c r="B15" s="156"/>
      <c r="C15" s="157" t="str">
        <f>"FY "&amp;'EMAA|0348-00'!FiscalYear-1</f>
        <v>FY 2022</v>
      </c>
      <c r="D15" s="158" t="s">
        <v>31</v>
      </c>
      <c r="E15" s="355">
        <v>8364600</v>
      </c>
      <c r="F15" s="55">
        <v>89.5</v>
      </c>
      <c r="G15" s="223">
        <f>IF(OrigApprop=0,0,(G13/$J$13)*OrigApprop)</f>
        <v>6008002.1181894355</v>
      </c>
      <c r="H15" s="223">
        <f>IF(OrigApprop=0,0,(H13/$J$13)*OrigApprop)</f>
        <v>1059886.0359081365</v>
      </c>
      <c r="I15" s="223">
        <f>IF(G15=0,0,(I13/$J$13)*OrigApprop)</f>
        <v>1296711.8459024285</v>
      </c>
      <c r="J15" s="223">
        <f>SUM(G15:I15)</f>
        <v>8364600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25">
      <c r="A16" s="139"/>
      <c r="B16" s="139"/>
      <c r="C16" s="454" t="s">
        <v>32</v>
      </c>
      <c r="D16" s="455"/>
      <c r="E16" s="160" t="s">
        <v>33</v>
      </c>
      <c r="F16" s="161">
        <f>F15-F13</f>
        <v>23.010000000000005</v>
      </c>
      <c r="G16" s="162">
        <f>G15-G13</f>
        <v>1593992.5181894358</v>
      </c>
      <c r="H16" s="162">
        <f>H15-H13</f>
        <v>281200.03590813652</v>
      </c>
      <c r="I16" s="162">
        <f>I15-I13</f>
        <v>344032.66509482823</v>
      </c>
      <c r="J16" s="162">
        <f>J15-J13</f>
        <v>2219225.2191924006</v>
      </c>
      <c r="K16" s="269"/>
      <c r="L16" s="56" t="str">
        <f>IF('EMAA|0348-00'!OrigApprop=0,"ERROR! Enter Original Appropriation amount in DU 3.00!","Calculated "&amp;IF('EMAA|0348-00'!AdjustedTotal&gt;0,"overfunding ","underfunding ")&amp;"is "&amp;TEXT('EMAA|0348-00'!AdjustedTotal/'EMAA|0348-00'!AppropTotal,"#.0%;(#.0% );0% ;")&amp;" of Original Appropriation")</f>
        <v>Calculated overfunding is 26.5% of Original Appropriation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25">
      <c r="A17" s="139"/>
      <c r="B17" s="139"/>
      <c r="C17" s="456" t="s">
        <v>34</v>
      </c>
      <c r="D17" s="457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25">
      <c r="A18" s="139"/>
      <c r="B18" s="168"/>
      <c r="C18" s="458" t="s">
        <v>35</v>
      </c>
      <c r="D18" s="459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5.5" x14ac:dyDescent="0.25">
      <c r="A19" s="238"/>
      <c r="B19" s="202"/>
      <c r="C19" s="239" t="s">
        <v>86</v>
      </c>
      <c r="D19" s="240" t="s">
        <v>87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4"/>
      <c r="AB19" s="364"/>
      <c r="AC19" s="364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5" x14ac:dyDescent="0.25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4"/>
      <c r="AB20" s="364"/>
      <c r="AC20" s="364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5" x14ac:dyDescent="0.25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4"/>
      <c r="AB21" s="364"/>
      <c r="AC21" s="364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5" x14ac:dyDescent="0.25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4"/>
      <c r="AB22" s="364"/>
      <c r="AC22" s="364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5" x14ac:dyDescent="0.25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4"/>
      <c r="AB23" s="364"/>
      <c r="AC23" s="364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5" x14ac:dyDescent="0.25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4"/>
      <c r="AC24" s="364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5" x14ac:dyDescent="0.25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4"/>
      <c r="AC25" s="364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5" x14ac:dyDescent="0.25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4"/>
      <c r="AC26" s="364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5" x14ac:dyDescent="0.25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4"/>
      <c r="AB27" s="364"/>
      <c r="AC27" s="364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5" x14ac:dyDescent="0.25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4"/>
      <c r="AB28" s="364"/>
      <c r="AC28" s="364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5" x14ac:dyDescent="0.25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4"/>
      <c r="AB29" s="364"/>
      <c r="AC29" s="364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5" x14ac:dyDescent="0.25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4"/>
      <c r="AB30" s="364"/>
      <c r="AC30" s="364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5" x14ac:dyDescent="0.25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4"/>
      <c r="AB31" s="364"/>
      <c r="AC31" s="364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5" x14ac:dyDescent="0.25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4"/>
      <c r="AB32" s="364"/>
      <c r="AC32" s="364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5" x14ac:dyDescent="0.25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4"/>
      <c r="AB33" s="364"/>
      <c r="AC33" s="364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5" x14ac:dyDescent="0.25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4"/>
      <c r="AB34" s="364"/>
      <c r="AC34" s="364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5" x14ac:dyDescent="0.25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4"/>
      <c r="AB35" s="364"/>
      <c r="AC35" s="364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5" x14ac:dyDescent="0.25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4" t="s">
        <v>94</v>
      </c>
      <c r="AB36" s="333" t="s">
        <v>95</v>
      </c>
      <c r="AC36" s="333" t="s">
        <v>106</v>
      </c>
      <c r="AD36" s="330"/>
    </row>
    <row r="37" spans="1:94" s="153" customFormat="1" ht="17.25" customHeight="1" x14ac:dyDescent="0.25">
      <c r="A37" s="139"/>
      <c r="B37" s="188"/>
      <c r="C37" s="460" t="s">
        <v>37</v>
      </c>
      <c r="D37" s="461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62" t="s">
        <v>107</v>
      </c>
      <c r="AB37" s="463"/>
      <c r="AC37" s="463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5" x14ac:dyDescent="0.25">
      <c r="A38" s="139"/>
      <c r="B38" s="188"/>
      <c r="C38" s="444" t="str">
        <f>perm_name</f>
        <v>Permanent Positions</v>
      </c>
      <c r="D38" s="445"/>
      <c r="E38" s="189">
        <v>1</v>
      </c>
      <c r="F38" s="190">
        <f>SUMIF($E9:$E35,$E38,$F9:$F35)</f>
        <v>66.489999999999995</v>
      </c>
      <c r="G38" s="191">
        <f>SUMIF($E10:$E35,$E38,$G10:$G35)</f>
        <v>4414009.5999999996</v>
      </c>
      <c r="H38" s="192">
        <f>SUMIF($E10:$E35,$E38,$H10:$H35)</f>
        <v>778686</v>
      </c>
      <c r="I38" s="192">
        <f>SUMIF($E10:$E35,$E38,$I10:$I35)</f>
        <v>952679.18080760026</v>
      </c>
      <c r="J38" s="192">
        <f>SUM(G38:I38)</f>
        <v>6145374.7808075994</v>
      </c>
      <c r="K38" s="166"/>
      <c r="L38" s="191">
        <f>SUMIF($E10:$E35,$E38,$L10:$L35)</f>
        <v>0</v>
      </c>
      <c r="M38" s="192">
        <f>SUMIF($E10:$E35,$E38,$M10:$M35)</f>
        <v>-17132.462319999995</v>
      </c>
      <c r="N38" s="192">
        <f>SUM(L38:M38)</f>
        <v>-17132.462319999995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44100</v>
      </c>
      <c r="AB38" s="338">
        <f>ROUND((AdjPermVB*CECPerm+AdjPermVBBY*CECPerm),-2)</f>
        <v>9400</v>
      </c>
      <c r="AC38" s="338">
        <f>SUM(AA38:AB38)</f>
        <v>53500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5" x14ac:dyDescent="0.25">
      <c r="A39" s="139"/>
      <c r="B39" s="188"/>
      <c r="C39" s="444" t="str">
        <f>Group_name</f>
        <v>Board &amp; Group Positions</v>
      </c>
      <c r="D39" s="445"/>
      <c r="E39" s="189">
        <v>2</v>
      </c>
      <c r="F39" s="151">
        <f>SUMIF($E9:$E35,$E39,$F9:$F35)</f>
        <v>0</v>
      </c>
      <c r="G39" s="193">
        <f>SUMIF($E10:$E35,$E39,$G10:$G35)</f>
        <v>0</v>
      </c>
      <c r="H39" s="152">
        <f>SUMIF($E10:$E35,$E39,$H10:$H35)</f>
        <v>0</v>
      </c>
      <c r="I39" s="152">
        <f>SUMIF($E10:$E35,$E39,$I10:$I35)</f>
        <v>0</v>
      </c>
      <c r="J39" s="152">
        <f>SUM(G39:I39)</f>
        <v>0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0</v>
      </c>
      <c r="AB39" s="338">
        <f>ROUND(AdjGroupVB*CECGroup,-2)</f>
        <v>0</v>
      </c>
      <c r="AC39" s="338">
        <f>SUM(AA39:AB39)</f>
        <v>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5" x14ac:dyDescent="0.25">
      <c r="A40" s="139"/>
      <c r="B40" s="188"/>
      <c r="C40" s="365" t="str">
        <f>Elect_name</f>
        <v>Elected Officials &amp; Full Time Commissioners</v>
      </c>
      <c r="D40" s="366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4"/>
      <c r="AB40" s="364"/>
      <c r="AC40" s="364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5" x14ac:dyDescent="0.25">
      <c r="A41" s="139"/>
      <c r="B41" s="188"/>
      <c r="C41" s="444" t="s">
        <v>38</v>
      </c>
      <c r="D41" s="445"/>
      <c r="E41" s="189"/>
      <c r="F41" s="161">
        <f>SUM(F38:F40)</f>
        <v>66.489999999999995</v>
      </c>
      <c r="G41" s="195">
        <f>SUM($G$38:$G$40)</f>
        <v>4414009.5999999996</v>
      </c>
      <c r="H41" s="162">
        <f>SUM($H$38:$H$40)</f>
        <v>778686</v>
      </c>
      <c r="I41" s="162">
        <f>SUM($I$38:$I$40)</f>
        <v>952679.18080760026</v>
      </c>
      <c r="J41" s="162">
        <f>SUM($J$38:$J$40)</f>
        <v>6145374.7808075994</v>
      </c>
      <c r="K41" s="259"/>
      <c r="L41" s="195">
        <f>SUM($L$38:$L$40)</f>
        <v>0</v>
      </c>
      <c r="M41" s="162">
        <f>SUM($M$38:$M$40)</f>
        <v>-17132.462319999995</v>
      </c>
      <c r="N41" s="162">
        <f>SUM(L41:M41)</f>
        <v>-17132.462319999995</v>
      </c>
      <c r="O41"/>
      <c r="P41"/>
      <c r="Q41"/>
      <c r="R41"/>
      <c r="S41"/>
      <c r="T41"/>
      <c r="U41"/>
      <c r="V41"/>
      <c r="W41"/>
      <c r="X41"/>
      <c r="Y41"/>
      <c r="Z41" s="344"/>
      <c r="AA41" s="364" t="s">
        <v>94</v>
      </c>
      <c r="AB41" s="333" t="s">
        <v>95</v>
      </c>
      <c r="AC41" s="333" t="s">
        <v>106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25">
      <c r="A42" s="139"/>
      <c r="B42" s="188"/>
      <c r="C42" s="446"/>
      <c r="D42" s="447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4"/>
      <c r="AB42" s="364"/>
      <c r="AC42" s="364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25">
      <c r="A43" s="139"/>
      <c r="B43" s="202"/>
      <c r="C43" s="448" t="s">
        <v>39</v>
      </c>
      <c r="D43" s="449"/>
      <c r="E43" s="203" t="s">
        <v>40</v>
      </c>
      <c r="F43" s="205">
        <f>ROUND(F51-F41,2)</f>
        <v>23.01</v>
      </c>
      <c r="G43" s="206">
        <f>ROUND(G51-G41,-2)</f>
        <v>1594000</v>
      </c>
      <c r="H43" s="159">
        <f>ROUND(H51-H41,-2)</f>
        <v>281200</v>
      </c>
      <c r="I43" s="159">
        <f>ROUND(I51-I41,-2)</f>
        <v>344000</v>
      </c>
      <c r="J43" s="159">
        <f>SUM(G43:I43)</f>
        <v>2219200</v>
      </c>
      <c r="K43" s="425" t="str">
        <f>IF(E51=0,"ERROR! Enter Original Appropriation amount in DU 3.00!","Calculated "&amp;IF(J43&gt;0,"overfunding ","underfunding ")&amp;"is "&amp;TEXT(J43/J51,"#.0%;(#.0% );0% ;")&amp;" of Original Appropriation")</f>
        <v>Calculated overfunding is 26.5% of Original Appropriation</v>
      </c>
      <c r="L43" s="426"/>
      <c r="M43" s="426"/>
      <c r="N43" s="427"/>
      <c r="O43"/>
      <c r="P43"/>
      <c r="Q43"/>
      <c r="R43"/>
      <c r="S43"/>
      <c r="T43"/>
      <c r="U43"/>
      <c r="V43"/>
      <c r="W43"/>
      <c r="X43"/>
      <c r="Y43"/>
      <c r="Z43" s="344"/>
      <c r="AA43" s="452" t="s">
        <v>108</v>
      </c>
      <c r="AB43" s="453"/>
      <c r="AC43" s="453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25">
      <c r="A44" s="139"/>
      <c r="B44" s="202"/>
      <c r="C44" s="450"/>
      <c r="D44" s="451"/>
      <c r="E44" s="204" t="s">
        <v>41</v>
      </c>
      <c r="F44" s="205">
        <f>ROUND(F60-F41,2)</f>
        <v>23.01</v>
      </c>
      <c r="G44" s="206">
        <f>ROUND(G60-G41,-2)</f>
        <v>1594000</v>
      </c>
      <c r="H44" s="159">
        <f>ROUND(H60-H41,-2)</f>
        <v>281200</v>
      </c>
      <c r="I44" s="159">
        <f>ROUND(I60-I41,-2)</f>
        <v>344000</v>
      </c>
      <c r="J44" s="159">
        <f>SUM(G44:I44)</f>
        <v>2219200</v>
      </c>
      <c r="K44" s="425" t="str">
        <f>IF(E51=0,"ERROR! Enter Original Appropriation amount in DU 3.00!","Calculated "&amp;IF(J44&gt;0,"overfunding ","underfunding ")&amp;"is "&amp;TEXT(J44/J60,"#.0%;(#.0% );0% ;")&amp;" of Estimated Expenditures")</f>
        <v>Calculated overfunding is 26.5% of Estimated Expenditures</v>
      </c>
      <c r="L44" s="426"/>
      <c r="M44" s="426"/>
      <c r="N44" s="427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25">
      <c r="A45" s="139"/>
      <c r="B45" s="202"/>
      <c r="C45" s="215"/>
      <c r="D45" s="215"/>
      <c r="E45" s="204" t="s">
        <v>99</v>
      </c>
      <c r="F45" s="205">
        <f>ROUND(F67-F41-F63,2)</f>
        <v>23.01</v>
      </c>
      <c r="G45" s="206">
        <f>ROUND(G67-G41-G63,-2)</f>
        <v>1594000</v>
      </c>
      <c r="H45" s="206">
        <f>ROUND(H67-H41-H63,-2)</f>
        <v>281200</v>
      </c>
      <c r="I45" s="206">
        <f>ROUND(I67-I41-I63,-2)</f>
        <v>344000</v>
      </c>
      <c r="J45" s="159">
        <f>SUM(G45:I45)</f>
        <v>2219200</v>
      </c>
      <c r="K45" s="425" t="str">
        <f>IF(J67=0,"Program has a zero base",IF(E51=0,"ERROR! Enter Original Appropriation amount in DU 3.00!","Calculated "&amp;IF(J45&gt;0,"overfunding ","underfunding ")&amp;"is "&amp;TEXT(J45/J67,"#.0%;(#.0% );0% ;")&amp;" of the Base"))</f>
        <v>Calculated overfunding is 26.5% of the Base</v>
      </c>
      <c r="L45" s="426"/>
      <c r="M45" s="426"/>
      <c r="N45" s="427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0</v>
      </c>
      <c r="AC45" s="338">
        <f>SUM(AA45:AB45)</f>
        <v>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25">
      <c r="A46" s="139"/>
      <c r="B46" s="202"/>
      <c r="C46" s="215"/>
      <c r="D46" s="215"/>
      <c r="E46" s="428" t="s">
        <v>100</v>
      </c>
      <c r="F46" s="429"/>
      <c r="G46" s="429"/>
      <c r="H46" s="429"/>
      <c r="I46" s="429"/>
      <c r="J46" s="430"/>
      <c r="K46" s="434" t="str">
        <f>IF(OR(J45&lt;0,F45&lt;0),"You may not have sufficient funding or authorized FTP, and may need to make additional adjustments to finalize this form.  Please contact both your DFM and LSO analysts.","")</f>
        <v/>
      </c>
      <c r="L46" s="435"/>
      <c r="M46" s="435"/>
      <c r="N46" s="436"/>
      <c r="O46"/>
      <c r="P46"/>
      <c r="Q46"/>
      <c r="R46"/>
      <c r="S46"/>
      <c r="T46"/>
      <c r="U46"/>
      <c r="V46"/>
      <c r="W46"/>
      <c r="X46"/>
      <c r="Y46"/>
      <c r="Z46" s="344"/>
      <c r="AA46" s="364"/>
      <c r="AB46" s="364"/>
      <c r="AC46" s="364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25">
      <c r="A47" s="139"/>
      <c r="B47" s="202"/>
      <c r="C47" s="215"/>
      <c r="D47" s="215"/>
      <c r="E47" s="431"/>
      <c r="F47" s="432"/>
      <c r="G47" s="432"/>
      <c r="H47" s="432"/>
      <c r="I47" s="432"/>
      <c r="J47" s="433"/>
      <c r="K47" s="437"/>
      <c r="L47" s="438"/>
      <c r="M47" s="438"/>
      <c r="N47" s="439"/>
      <c r="O47"/>
      <c r="P47"/>
      <c r="Q47"/>
      <c r="R47"/>
      <c r="S47"/>
      <c r="T47"/>
      <c r="U47"/>
      <c r="V47"/>
      <c r="W47"/>
      <c r="X47"/>
      <c r="Y47"/>
      <c r="Z47" s="344"/>
      <c r="AA47" s="364"/>
      <c r="AB47" s="364"/>
      <c r="AC47" s="364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25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25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4"/>
      <c r="AB49" s="364"/>
      <c r="AC49" s="364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25">
      <c r="A50" s="257" t="s">
        <v>42</v>
      </c>
      <c r="B50" s="71"/>
      <c r="C50" s="440"/>
      <c r="D50" s="441"/>
      <c r="E50" s="72" t="s">
        <v>43</v>
      </c>
      <c r="F50" s="73" t="s">
        <v>24</v>
      </c>
      <c r="G50" s="72" t="str">
        <f>"FY "&amp;M4-2001&amp;" Salary"</f>
        <v>FY 22 Salary</v>
      </c>
      <c r="H50" s="72" t="str">
        <f>"FY "&amp;M4-2001&amp;" Health Ben"</f>
        <v>FY 22 Health Ben</v>
      </c>
      <c r="I50" s="72" t="str">
        <f>"FY "&amp;M4-2001&amp;" Var Ben"</f>
        <v>FY 22 Var Ben</v>
      </c>
      <c r="J50" s="72" t="str">
        <f>"FY "&amp;M4-1&amp;" Total"</f>
        <v>FY 2022 Total</v>
      </c>
      <c r="K50" s="307" t="str">
        <f>"FY "&amp;FiscalYear&amp;" SALARY CHG"</f>
        <v>FY 2023 SALARY CHG</v>
      </c>
      <c r="L50" s="74" t="str">
        <f>"FY "&amp;M4-2000&amp;" Chg Health Bens"</f>
        <v>FY 23 Chg Health Bens</v>
      </c>
      <c r="M50" s="74" t="str">
        <f>"FY "&amp;M4-2000&amp;" Chg Var Bens"</f>
        <v>FY 23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4"/>
      <c r="AB50" s="364"/>
      <c r="AC50" s="364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25">
      <c r="A51" s="75">
        <v>3</v>
      </c>
      <c r="B51" s="76" t="s">
        <v>45</v>
      </c>
      <c r="C51" s="54" t="str">
        <f>"FY "&amp;M4-1</f>
        <v>FY 2022</v>
      </c>
      <c r="D51" s="77" t="s">
        <v>31</v>
      </c>
      <c r="E51" s="78">
        <f>OrigApprop</f>
        <v>8364600</v>
      </c>
      <c r="F51" s="272">
        <f>AppropFTP</f>
        <v>89.5</v>
      </c>
      <c r="G51" s="274">
        <f>IF(E51=0,0,(G41/$J$41)*$E$51)</f>
        <v>6008002.1181894355</v>
      </c>
      <c r="H51" s="274">
        <f>IF(E51=0,0,(H41/$J$41)*$E$51)</f>
        <v>1059886.0359081365</v>
      </c>
      <c r="I51" s="275">
        <f>IF(E51=0,0,(I41/$J$41)*$E$51)</f>
        <v>1296711.8459024285</v>
      </c>
      <c r="J51" s="90">
        <f>SUM(G51:I51)</f>
        <v>8364600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4"/>
      <c r="AC51" s="364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25">
      <c r="A52" s="82"/>
      <c r="B52" s="83"/>
      <c r="C52" s="84"/>
      <c r="D52" s="132" t="s">
        <v>46</v>
      </c>
      <c r="E52" s="133"/>
      <c r="F52" s="55">
        <f>F51</f>
        <v>89.5</v>
      </c>
      <c r="G52" s="79">
        <f>ROUND(G51,-2)</f>
        <v>6008000</v>
      </c>
      <c r="H52" s="79">
        <f>ROUND(H51,-2)</f>
        <v>1059900</v>
      </c>
      <c r="I52" s="266">
        <f>ROUND(I51,-2)</f>
        <v>1296700</v>
      </c>
      <c r="J52" s="80">
        <f>ROUND(J51,-2)</f>
        <v>8364600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4"/>
      <c r="AC52" s="364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5" x14ac:dyDescent="0.25">
      <c r="A53" s="85"/>
      <c r="B53" s="83"/>
      <c r="C53" s="442" t="s">
        <v>47</v>
      </c>
      <c r="D53" s="443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4"/>
      <c r="AB53" s="364"/>
      <c r="AC53" s="364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25">
      <c r="A54" s="85">
        <v>4.1100000000000003</v>
      </c>
      <c r="B54" s="83"/>
      <c r="C54" s="409" t="s">
        <v>48</v>
      </c>
      <c r="D54" s="410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4"/>
      <c r="AB54" s="364"/>
      <c r="AC54" s="364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25">
      <c r="A55" s="85">
        <v>4.3099999999999996</v>
      </c>
      <c r="B55" s="83"/>
      <c r="C55" s="422" t="s">
        <v>49</v>
      </c>
      <c r="D55" s="423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4"/>
      <c r="AB55" s="364"/>
      <c r="AC55" s="364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25">
      <c r="A56" s="75">
        <v>5</v>
      </c>
      <c r="B56" s="76"/>
      <c r="C56" s="54" t="str">
        <f>"FY "&amp;M4-1</f>
        <v>FY 2022</v>
      </c>
      <c r="D56" s="131" t="s">
        <v>50</v>
      </c>
      <c r="E56" s="135"/>
      <c r="F56" s="55">
        <f>SUM(F52:F55)</f>
        <v>89.5</v>
      </c>
      <c r="G56" s="80">
        <f>SUM(G52:G55)</f>
        <v>6008000</v>
      </c>
      <c r="H56" s="80">
        <f>SUM(H52:H55)</f>
        <v>1059900</v>
      </c>
      <c r="I56" s="260">
        <f>SUM(I52:I55)</f>
        <v>1296700</v>
      </c>
      <c r="J56" s="80">
        <f>SUM(J52:J55)</f>
        <v>8364600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4"/>
      <c r="AB56" s="364"/>
      <c r="AC56" s="364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25">
      <c r="A57" s="85"/>
      <c r="B57" s="83"/>
      <c r="C57" s="420" t="s">
        <v>51</v>
      </c>
      <c r="D57" s="424"/>
      <c r="E57" s="368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4"/>
      <c r="AB57" s="364"/>
      <c r="AC57" s="364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25">
      <c r="A58" s="85">
        <v>6.31</v>
      </c>
      <c r="B58" s="83"/>
      <c r="C58" s="409" t="s">
        <v>52</v>
      </c>
      <c r="D58" s="410"/>
      <c r="E58" s="102"/>
      <c r="F58" s="58">
        <v>0</v>
      </c>
      <c r="G58" s="88">
        <v>0</v>
      </c>
      <c r="H58" s="88">
        <v>0</v>
      </c>
      <c r="I58" s="265">
        <v>0</v>
      </c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4"/>
      <c r="AB58" s="364"/>
      <c r="AC58" s="364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25">
      <c r="A59" s="85">
        <v>6.51</v>
      </c>
      <c r="B59" s="83"/>
      <c r="C59" s="422" t="s">
        <v>66</v>
      </c>
      <c r="D59" s="423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4"/>
      <c r="AB59" s="364"/>
      <c r="AC59" s="364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25">
      <c r="A60" s="75">
        <v>7</v>
      </c>
      <c r="B60" s="76"/>
      <c r="C60" s="54" t="str">
        <f>"FY "&amp;M4-1</f>
        <v>FY 2022</v>
      </c>
      <c r="D60" s="131" t="s">
        <v>53</v>
      </c>
      <c r="E60" s="135"/>
      <c r="F60" s="55">
        <f>SUM(F56:F59)</f>
        <v>89.5</v>
      </c>
      <c r="G60" s="80">
        <f>SUM(G56:G59)</f>
        <v>6008000</v>
      </c>
      <c r="H60" s="80">
        <f>SUM(H56:H59)</f>
        <v>1059900</v>
      </c>
      <c r="I60" s="260">
        <f>SUM(I56:I59)</f>
        <v>1296700</v>
      </c>
      <c r="J60" s="80">
        <f>SUM(J56:J59)</f>
        <v>8364600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4"/>
      <c r="AB60" s="364"/>
      <c r="AC60" s="364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25">
      <c r="A61" s="85"/>
      <c r="B61" s="83"/>
      <c r="C61" s="420" t="s">
        <v>54</v>
      </c>
      <c r="D61" s="424"/>
      <c r="E61" s="368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4"/>
      <c r="AB61" s="364"/>
      <c r="AC61" s="364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25">
      <c r="A62" s="85">
        <v>8.31</v>
      </c>
      <c r="B62" s="83"/>
      <c r="C62" s="409" t="s">
        <v>67</v>
      </c>
      <c r="D62" s="410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4"/>
      <c r="AB62" s="364"/>
      <c r="AC62" s="364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25">
      <c r="A63" s="85">
        <v>8.41</v>
      </c>
      <c r="B63" s="83"/>
      <c r="C63" s="409" t="s">
        <v>55</v>
      </c>
      <c r="D63" s="410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4"/>
      <c r="AB63" s="364"/>
      <c r="AC63" s="364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">
      <c r="A64" s="93">
        <v>8.51</v>
      </c>
      <c r="B64" s="93"/>
      <c r="C64" s="414" t="s">
        <v>56</v>
      </c>
      <c r="D64" s="415"/>
      <c r="E64" s="134"/>
      <c r="F64" s="58">
        <v>0</v>
      </c>
      <c r="G64" s="88"/>
      <c r="H64" s="88">
        <v>0</v>
      </c>
      <c r="I64" s="265"/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4"/>
      <c r="AB64" s="364"/>
      <c r="AC64" s="364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25">
      <c r="A65" s="94"/>
      <c r="B65" s="95"/>
      <c r="C65" s="416"/>
      <c r="D65" s="417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4"/>
      <c r="AB65" s="364"/>
      <c r="AC65" s="364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5" x14ac:dyDescent="0.25">
      <c r="A66" s="100"/>
      <c r="B66" s="101"/>
      <c r="C66" s="418"/>
      <c r="D66" s="419"/>
      <c r="E66" s="102"/>
      <c r="F66" s="103" t="s">
        <v>24</v>
      </c>
      <c r="G66" s="104" t="str">
        <f>"FY "&amp;M4-2000&amp;" Salary"</f>
        <v>FY 23 Salary</v>
      </c>
      <c r="H66" s="104" t="str">
        <f>"FY"&amp;M4-2000&amp;" Health Ben"</f>
        <v>FY23 Health Ben</v>
      </c>
      <c r="I66" s="104" t="str">
        <f>"FY "&amp;M4-2000&amp;" Var Ben"</f>
        <v>FY 23 Var Ben</v>
      </c>
      <c r="J66" s="104" t="str">
        <f>"FY "&amp;M4&amp;" Total"</f>
        <v>FY 2023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5" x14ac:dyDescent="0.25">
      <c r="A67" s="82">
        <v>9</v>
      </c>
      <c r="B67" s="83"/>
      <c r="C67" s="84" t="str">
        <f>"FY "&amp;M4</f>
        <v>FY 2023</v>
      </c>
      <c r="D67" s="108" t="s">
        <v>57</v>
      </c>
      <c r="E67" s="109"/>
      <c r="F67" s="55">
        <f>SUM(F60:F64)</f>
        <v>89.5</v>
      </c>
      <c r="G67" s="80">
        <f>SUM(G60:G64)</f>
        <v>6008000</v>
      </c>
      <c r="H67" s="80">
        <f>SUM(H60:H64)</f>
        <v>1059900</v>
      </c>
      <c r="I67" s="80">
        <f>SUM(I60:I64)</f>
        <v>1296700</v>
      </c>
      <c r="J67" s="80">
        <f>SUM(J60:J64)</f>
        <v>8364600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4"/>
      <c r="AB67" s="364"/>
      <c r="AC67" s="364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25">
      <c r="A68" s="85">
        <v>10.11</v>
      </c>
      <c r="B68" s="83"/>
      <c r="C68" s="420" t="s">
        <v>58</v>
      </c>
      <c r="D68" s="421"/>
      <c r="E68" s="112"/>
      <c r="F68" s="288"/>
      <c r="G68" s="287"/>
      <c r="H68" s="113">
        <f>IF(DUNine=0,0,ROUND(SUM(L41:L65),-2))</f>
        <v>0</v>
      </c>
      <c r="I68" s="113"/>
      <c r="J68" s="287">
        <f>SUM(G68:I68)</f>
        <v>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4"/>
      <c r="AB68" s="364"/>
      <c r="AC68" s="364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5" x14ac:dyDescent="0.25">
      <c r="A69" s="85">
        <v>10.119999999999999</v>
      </c>
      <c r="B69" s="83"/>
      <c r="C69" s="420" t="s">
        <v>59</v>
      </c>
      <c r="D69" s="421"/>
      <c r="E69" s="112"/>
      <c r="F69" s="288"/>
      <c r="G69" s="113"/>
      <c r="H69" s="113"/>
      <c r="I69" s="113">
        <f>IF(DUNine=0,0,ROUND(SUM(M41:M64),-2))</f>
        <v>-17100</v>
      </c>
      <c r="J69" s="287">
        <f>SUM(G69:I69)</f>
        <v>-17100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4"/>
      <c r="AB69" s="364"/>
      <c r="AC69" s="364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5" x14ac:dyDescent="0.25">
      <c r="A70" s="85"/>
      <c r="B70" s="83"/>
      <c r="C70" s="407"/>
      <c r="D70" s="408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4"/>
      <c r="AB70" s="364"/>
      <c r="AC70" s="364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25">
      <c r="A71" s="85">
        <v>10.51</v>
      </c>
      <c r="B71" s="83"/>
      <c r="C71" s="409" t="s">
        <v>60</v>
      </c>
      <c r="D71" s="410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112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64"/>
      <c r="AB71" s="364"/>
      <c r="AC71" s="364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25">
      <c r="A72" s="85">
        <v>10.61</v>
      </c>
      <c r="B72" s="83"/>
      <c r="C72" s="409" t="s">
        <v>101</v>
      </c>
      <c r="D72" s="411"/>
      <c r="E72" s="290">
        <f>CECPerm</f>
        <v>0.01</v>
      </c>
      <c r="F72" s="288"/>
      <c r="G72" s="356">
        <f>IF(DUNine=0,0,IF(DUNine&lt;0,0,ROUND(AdjPermSalary*CECPerm,-2)))</f>
        <v>44100</v>
      </c>
      <c r="H72" s="287"/>
      <c r="I72" s="287">
        <f>ROUND(($G72*PermVBBY+$G72*Retire1BY),-2)</f>
        <v>9400</v>
      </c>
      <c r="J72" s="113">
        <f>SUM(G72:I72)</f>
        <v>53500</v>
      </c>
      <c r="K72" s="296"/>
      <c r="L72" s="298"/>
      <c r="M72" s="350" t="e">
        <f>IF(DUNine=0,0,IF(((#REF!-G39-G40)*E72)&lt;0,0,ROUND(((#REF!-G39-G40)*E72),-2)))</f>
        <v>#REF!</v>
      </c>
      <c r="N72" s="359"/>
      <c r="O72" s="358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#REF!</v>
      </c>
      <c r="P72" s="358"/>
      <c r="Q72"/>
      <c r="R72"/>
      <c r="S72"/>
      <c r="T72"/>
      <c r="U72"/>
      <c r="V72"/>
      <c r="W72"/>
      <c r="X72"/>
      <c r="Y72"/>
      <c r="Z72" s="344"/>
      <c r="AA72" s="364"/>
      <c r="AB72" s="364"/>
      <c r="AC72" s="364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25">
      <c r="A73" s="85">
        <v>10.62</v>
      </c>
      <c r="B73" s="83"/>
      <c r="C73" s="409" t="s">
        <v>61</v>
      </c>
      <c r="D73" s="411"/>
      <c r="E73" s="289">
        <f>CECGroup</f>
        <v>0.01</v>
      </c>
      <c r="F73" s="288"/>
      <c r="G73" s="356">
        <f>IF(DUNine=0,0,IF(DUNine&lt;0,0,ROUND(AdjGroupSalary*CECGroup,-2)))</f>
        <v>0</v>
      </c>
      <c r="H73" s="287"/>
      <c r="I73" s="287">
        <f>ROUND(($G73*GroupVBBY),-2)</f>
        <v>0</v>
      </c>
      <c r="J73" s="113">
        <f t="shared" si="11"/>
        <v>0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64"/>
      <c r="AB73" s="364"/>
      <c r="AC73" s="364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25">
      <c r="A74" s="85">
        <v>10.63</v>
      </c>
      <c r="B74" s="83"/>
      <c r="C74" s="367" t="s">
        <v>62</v>
      </c>
      <c r="D74" s="369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4"/>
      <c r="AB74" s="364"/>
      <c r="AC74" s="364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25">
      <c r="A75" s="75">
        <v>11</v>
      </c>
      <c r="B75" s="76"/>
      <c r="C75" s="54" t="str">
        <f>"FY "&amp;M4</f>
        <v>FY 2023</v>
      </c>
      <c r="D75" s="77" t="s">
        <v>63</v>
      </c>
      <c r="E75" s="112"/>
      <c r="F75" s="55">
        <f>SUM(F67:F74)</f>
        <v>89.5</v>
      </c>
      <c r="G75" s="80">
        <f>SUM(G67:G74)</f>
        <v>6052100</v>
      </c>
      <c r="H75" s="80">
        <f>SUM(H67:H74)</f>
        <v>1059900</v>
      </c>
      <c r="I75" s="80">
        <f>SUM(I67:I74)</f>
        <v>1289000</v>
      </c>
      <c r="J75" s="80">
        <f>SUM(J67:K74)</f>
        <v>8401000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4"/>
      <c r="AB75" s="364"/>
      <c r="AC75" s="364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25">
      <c r="A76" s="85"/>
      <c r="B76" s="83"/>
      <c r="C76" s="412" t="s">
        <v>64</v>
      </c>
      <c r="D76" s="413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4"/>
      <c r="AB76" s="364"/>
      <c r="AC76" s="364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5" x14ac:dyDescent="0.25">
      <c r="A77" s="116">
        <v>12.01</v>
      </c>
      <c r="B77" s="57"/>
      <c r="C77" s="405"/>
      <c r="D77" s="406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4"/>
      <c r="AB77" s="364"/>
      <c r="AC77" s="364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5" x14ac:dyDescent="0.25">
      <c r="A78" s="116">
        <v>12.02</v>
      </c>
      <c r="B78" s="57"/>
      <c r="C78" s="405"/>
      <c r="D78" s="406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4"/>
      <c r="AB78" s="364"/>
      <c r="AC78" s="364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5" x14ac:dyDescent="0.25">
      <c r="A79" s="116">
        <v>12.03</v>
      </c>
      <c r="B79" s="57" t="s">
        <v>45</v>
      </c>
      <c r="C79" s="405"/>
      <c r="D79" s="406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4"/>
      <c r="AB79" s="364"/>
      <c r="AC79" s="364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25">
      <c r="A80" s="117">
        <v>13</v>
      </c>
      <c r="B80" s="118"/>
      <c r="C80" s="119" t="str">
        <f>"FY "&amp;M4</f>
        <v>FY 2023</v>
      </c>
      <c r="D80" s="120" t="s">
        <v>65</v>
      </c>
      <c r="E80" s="121"/>
      <c r="F80" s="55">
        <f>SUM(F75:F79)</f>
        <v>89.5</v>
      </c>
      <c r="G80" s="80">
        <f>SUM(G75:G79)</f>
        <v>6052100</v>
      </c>
      <c r="H80" s="80">
        <f>SUM(H75:H79)</f>
        <v>1059900</v>
      </c>
      <c r="I80" s="80">
        <f>SUM(I75:I79)</f>
        <v>1289000</v>
      </c>
      <c r="J80" s="80">
        <f>SUM(J75:J79)</f>
        <v>8401000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4"/>
      <c r="AB80" s="364"/>
      <c r="AC80" s="364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13:D13"/>
    <mergeCell ref="M1:N1"/>
    <mergeCell ref="M2:N2"/>
    <mergeCell ref="M3:N3"/>
    <mergeCell ref="M4:N4"/>
    <mergeCell ref="I5:L5"/>
    <mergeCell ref="C8:D8"/>
    <mergeCell ref="AA8:AC8"/>
    <mergeCell ref="C9:D9"/>
    <mergeCell ref="C10:D10"/>
    <mergeCell ref="C11:D11"/>
    <mergeCell ref="C12:D12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C54:D54"/>
    <mergeCell ref="C39:D39"/>
    <mergeCell ref="C41:D41"/>
    <mergeCell ref="C42:D42"/>
    <mergeCell ref="C43:D44"/>
    <mergeCell ref="K45:N45"/>
    <mergeCell ref="E46:J47"/>
    <mergeCell ref="K46:N47"/>
    <mergeCell ref="C50:D50"/>
    <mergeCell ref="C53:D53"/>
    <mergeCell ref="C69:D69"/>
    <mergeCell ref="C55:D55"/>
    <mergeCell ref="C57:D57"/>
    <mergeCell ref="C58:D58"/>
    <mergeCell ref="C59:D59"/>
    <mergeCell ref="C61:D61"/>
    <mergeCell ref="C62:D62"/>
    <mergeCell ref="C63:D63"/>
    <mergeCell ref="C64:D64"/>
    <mergeCell ref="C65:D65"/>
    <mergeCell ref="C66:D66"/>
    <mergeCell ref="C68:D68"/>
    <mergeCell ref="C78:D78"/>
    <mergeCell ref="C79:D79"/>
    <mergeCell ref="C70:D70"/>
    <mergeCell ref="C71:D71"/>
    <mergeCell ref="C72:D72"/>
    <mergeCell ref="C73:D73"/>
    <mergeCell ref="C76:D76"/>
    <mergeCell ref="C77:D77"/>
  </mergeCells>
  <conditionalFormatting sqref="K44">
    <cfRule type="expression" dxfId="73" priority="5">
      <formula>$J$44&lt;0</formula>
    </cfRule>
  </conditionalFormatting>
  <conditionalFormatting sqref="K43">
    <cfRule type="expression" dxfId="72" priority="4">
      <formula>$J$43&lt;0</formula>
    </cfRule>
  </conditionalFormatting>
  <conditionalFormatting sqref="L16">
    <cfRule type="expression" dxfId="71" priority="3">
      <formula>$J$16&lt;0</formula>
    </cfRule>
  </conditionalFormatting>
  <conditionalFormatting sqref="K45">
    <cfRule type="expression" dxfId="70" priority="2">
      <formula>$J$44&lt;0</formula>
    </cfRule>
  </conditionalFormatting>
  <conditionalFormatting sqref="K43:N45">
    <cfRule type="containsText" dxfId="69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F5F0042-B5B7-4820-B923-6D83418A4A13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D61FAB-14C0-4208-AF07-C2667358D18D}">
  <sheetPr>
    <tabColor rgb="FFFF0000"/>
    <pageSetUpPr fitToPage="1"/>
  </sheetPr>
  <dimension ref="A1:CP80"/>
  <sheetViews>
    <sheetView showGridLines="0" zoomScaleNormal="100" workbookViewId="0">
      <selection activeCell="C8" sqref="C8:N16"/>
    </sheetView>
  </sheetViews>
  <sheetFormatPr defaultColWidth="9.140625" defaultRowHeight="15.75" x14ac:dyDescent="0.25"/>
  <cols>
    <col min="1" max="1" width="7.85546875" style="124" customWidth="1"/>
    <col min="2" max="2" width="7.7109375" style="125" customWidth="1"/>
    <col min="3" max="3" width="9" style="125" customWidth="1"/>
    <col min="4" max="4" width="39.28515625" style="53" customWidth="1"/>
    <col min="5" max="5" width="13" style="126" customWidth="1"/>
    <col min="6" max="6" width="12.28515625" style="127" customWidth="1"/>
    <col min="7" max="7" width="12.140625" style="127" bestFit="1" customWidth="1"/>
    <col min="8" max="8" width="14.5703125" style="127" customWidth="1"/>
    <col min="9" max="9" width="19.5703125" style="128" bestFit="1" customWidth="1"/>
    <col min="10" max="10" width="13.7109375" style="129" customWidth="1"/>
    <col min="11" max="11" width="13.7109375" style="129" hidden="1" customWidth="1"/>
    <col min="12" max="12" width="18.42578125" style="129" customWidth="1"/>
    <col min="13" max="13" width="16.42578125" style="129" customWidth="1"/>
    <col min="14" max="14" width="16.140625" style="128" customWidth="1"/>
    <col min="15" max="25" width="16.140625" customWidth="1"/>
    <col min="26" max="26" width="16.140625" style="344" customWidth="1"/>
    <col min="27" max="27" width="22.140625" style="334" bestFit="1" customWidth="1"/>
    <col min="28" max="28" width="31.140625" style="334" bestFit="1" customWidth="1"/>
    <col min="29" max="29" width="7.85546875" style="334" bestFit="1" customWidth="1"/>
    <col min="30" max="30" width="9.140625" style="110" customWidth="1"/>
    <col min="31" max="94" width="9.140625" style="17"/>
    <col min="95" max="16384" width="9.140625" style="18"/>
  </cols>
  <sheetData>
    <row r="1" spans="1:94" x14ac:dyDescent="0.25">
      <c r="A1" s="12" t="s">
        <v>13</v>
      </c>
      <c r="B1" s="13"/>
      <c r="C1" s="13"/>
      <c r="D1" s="14" t="s">
        <v>2643</v>
      </c>
      <c r="E1" s="15"/>
      <c r="F1" s="15"/>
      <c r="G1" s="15"/>
      <c r="H1" s="15"/>
      <c r="I1" s="15"/>
      <c r="J1" s="15"/>
      <c r="K1" s="15"/>
      <c r="L1" s="16" t="s">
        <v>14</v>
      </c>
      <c r="M1" s="468">
        <v>240</v>
      </c>
      <c r="N1" s="469"/>
      <c r="AA1" s="364"/>
      <c r="AB1" s="333"/>
      <c r="AC1" s="333"/>
      <c r="AD1" s="325"/>
    </row>
    <row r="2" spans="1:94" ht="20.25" x14ac:dyDescent="0.25">
      <c r="A2" s="19" t="s">
        <v>116</v>
      </c>
      <c r="B2" s="20"/>
      <c r="C2" s="20"/>
      <c r="D2" s="14" t="s">
        <v>2643</v>
      </c>
      <c r="E2" s="21"/>
      <c r="F2" s="21"/>
      <c r="G2" s="21"/>
      <c r="H2" s="21"/>
      <c r="I2" s="21"/>
      <c r="J2" s="20"/>
      <c r="K2" s="20"/>
      <c r="L2" s="22" t="s">
        <v>113</v>
      </c>
      <c r="M2" s="470" t="s">
        <v>2647</v>
      </c>
      <c r="N2" s="471"/>
      <c r="AA2" s="333"/>
      <c r="AB2" s="333"/>
      <c r="AC2" s="333"/>
      <c r="AD2" s="325"/>
    </row>
    <row r="3" spans="1:94" x14ac:dyDescent="0.25">
      <c r="A3" s="19" t="s">
        <v>117</v>
      </c>
      <c r="B3" s="20"/>
      <c r="C3" s="20"/>
      <c r="D3" s="23" t="s">
        <v>2687</v>
      </c>
      <c r="E3" s="24"/>
      <c r="F3" s="25"/>
      <c r="G3" s="25"/>
      <c r="H3" s="25"/>
      <c r="I3" s="26"/>
      <c r="J3" s="20"/>
      <c r="K3" s="20"/>
      <c r="L3" s="22" t="s">
        <v>114</v>
      </c>
      <c r="M3" s="468" t="s">
        <v>781</v>
      </c>
      <c r="N3" s="469"/>
      <c r="AA3" s="364"/>
      <c r="AB3" s="333"/>
      <c r="AC3" s="333"/>
      <c r="AD3" s="325"/>
    </row>
    <row r="4" spans="1:94" x14ac:dyDescent="0.25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68">
        <v>2023</v>
      </c>
      <c r="N4" s="469"/>
      <c r="AA4" s="364"/>
      <c r="AB4" s="333"/>
      <c r="AC4" s="333"/>
      <c r="AD4" s="325"/>
    </row>
    <row r="5" spans="1:94" s="34" customFormat="1" ht="18" customHeight="1" x14ac:dyDescent="0.25">
      <c r="A5" s="19" t="s">
        <v>16</v>
      </c>
      <c r="B5" s="20"/>
      <c r="C5" s="20"/>
      <c r="D5" s="351">
        <v>44440</v>
      </c>
      <c r="E5" s="27"/>
      <c r="F5" s="30"/>
      <c r="G5" s="31"/>
      <c r="H5" s="31" t="s">
        <v>17</v>
      </c>
      <c r="I5" s="470" t="s">
        <v>2645</v>
      </c>
      <c r="J5" s="472"/>
      <c r="K5" s="472"/>
      <c r="L5" s="471"/>
      <c r="M5" s="352" t="s">
        <v>115</v>
      </c>
      <c r="N5" s="32" t="s">
        <v>2646</v>
      </c>
      <c r="O5"/>
      <c r="P5"/>
      <c r="Q5"/>
      <c r="R5"/>
      <c r="S5"/>
      <c r="T5"/>
      <c r="U5"/>
      <c r="V5"/>
      <c r="W5"/>
      <c r="X5"/>
      <c r="Y5"/>
      <c r="Z5" s="344"/>
      <c r="AA5" s="364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25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84</v>
      </c>
      <c r="K6" s="31"/>
      <c r="L6" s="353"/>
      <c r="M6" s="354" t="s">
        <v>85</v>
      </c>
      <c r="N6" s="306"/>
      <c r="AA6" s="364"/>
      <c r="AB6" s="333"/>
      <c r="AC6" s="333"/>
      <c r="AD6" s="325"/>
    </row>
    <row r="7" spans="1:94" x14ac:dyDescent="0.25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25">
      <c r="A8" s="48" t="s">
        <v>20</v>
      </c>
      <c r="B8" s="370" t="s">
        <v>21</v>
      </c>
      <c r="C8" s="473" t="s">
        <v>22</v>
      </c>
      <c r="D8" s="474"/>
      <c r="E8" s="370" t="s">
        <v>23</v>
      </c>
      <c r="F8" s="49" t="s">
        <v>24</v>
      </c>
      <c r="G8" s="50" t="str">
        <f>"FY "&amp;'EMLO|0001-00'!FiscalYear-1&amp;" SALARY"</f>
        <v>FY 2022 SALARY</v>
      </c>
      <c r="H8" s="50" t="str">
        <f>"FY "&amp;'EMLO|0001-00'!FiscalYear-1&amp;" HEALTH BENEFITS"</f>
        <v>FY 2022 HEALTH BENEFITS</v>
      </c>
      <c r="I8" s="50" t="str">
        <f>"FY "&amp;'EMLO|0001-00'!FiscalYear-1&amp;" VAR BENEFITS"</f>
        <v>FY 2022 VAR BENEFITS</v>
      </c>
      <c r="J8" s="50" t="str">
        <f>"FY "&amp;'EMLO|0001-00'!FiscalYear-1&amp;" TOTAL"</f>
        <v>FY 2022 TOTAL</v>
      </c>
      <c r="K8" s="50" t="str">
        <f>"FY "&amp;'EMLO|0001-00'!FiscalYear&amp;" SALARY CHANGE"</f>
        <v>FY 2023 SALARY CHANGE</v>
      </c>
      <c r="L8" s="50" t="str">
        <f>"FY "&amp;'EMLO|0001-00'!FiscalYear&amp;" CHG HEALTH BENEFITS"</f>
        <v>FY 2023 CHG HEALTH BENEFITS</v>
      </c>
      <c r="M8" s="50" t="str">
        <f>"FY "&amp;'EMLO|0001-00'!FiscalYear&amp;" CHG VAR BENEFITS"</f>
        <v>FY 2023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64" t="s">
        <v>105</v>
      </c>
      <c r="AB8" s="464"/>
      <c r="AC8" s="464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25">
      <c r="A9" s="139"/>
      <c r="B9" s="140"/>
      <c r="C9" s="465" t="s">
        <v>26</v>
      </c>
      <c r="D9" s="466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4" t="s">
        <v>94</v>
      </c>
      <c r="AB9" s="333" t="s">
        <v>95</v>
      </c>
      <c r="AC9" s="333" t="s">
        <v>106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25">
      <c r="A10" s="139"/>
      <c r="B10" s="139"/>
      <c r="C10" s="444" t="s">
        <v>27</v>
      </c>
      <c r="D10" s="467"/>
      <c r="E10" s="217">
        <v>1</v>
      </c>
      <c r="F10" s="288">
        <f>[0]!EMLO000100col_INC_FTI</f>
        <v>0</v>
      </c>
      <c r="G10" s="218">
        <f>[0]!EMLO000100col_FTI_SALARY_PERM</f>
        <v>0</v>
      </c>
      <c r="H10" s="218">
        <f>[0]!EMLO000100col_HEALTH_PERM</f>
        <v>0</v>
      </c>
      <c r="I10" s="218">
        <f>[0]!EMLO000100col_TOT_VB_PERM</f>
        <v>0</v>
      </c>
      <c r="J10" s="219">
        <f>SUM(G10:I10)</f>
        <v>0</v>
      </c>
      <c r="K10" s="219">
        <f>[0]!EMLO000100col_1_27TH_PP</f>
        <v>0</v>
      </c>
      <c r="L10" s="218">
        <f>[0]!EMLO000100col_HEALTH_PERM_CHG</f>
        <v>0</v>
      </c>
      <c r="M10" s="218">
        <f>[0]!EMLO000100col_TOT_VB_PERM_CHG</f>
        <v>0</v>
      </c>
      <c r="N10" s="218">
        <f>SUM(L10:M10)</f>
        <v>0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0</v>
      </c>
      <c r="AB10" s="335">
        <f>ROUND(PermVarBen*CECPerm+(CECPerm*PermVarBenChg),-2)</f>
        <v>0</v>
      </c>
      <c r="AC10" s="335">
        <f>SUM(AA10:AB10)</f>
        <v>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25">
      <c r="A11" s="139"/>
      <c r="B11" s="139"/>
      <c r="C11" s="444" t="s">
        <v>28</v>
      </c>
      <c r="D11" s="467"/>
      <c r="E11" s="217">
        <v>2</v>
      </c>
      <c r="F11" s="288"/>
      <c r="G11" s="218">
        <f>[0]!EMLO000100col_Group_Salary</f>
        <v>0</v>
      </c>
      <c r="H11" s="218">
        <v>0</v>
      </c>
      <c r="I11" s="218">
        <f>[0]!EMLO000100col_Group_Ben</f>
        <v>0</v>
      </c>
      <c r="J11" s="219">
        <f>SUM(G11:I11)</f>
        <v>0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0</v>
      </c>
      <c r="AB11" s="335">
        <f>ROUND((GroupSalary*GroupVBBY)*CECGroup,-2)</f>
        <v>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25">
      <c r="A12" s="139"/>
      <c r="B12" s="139"/>
      <c r="C12" s="444" t="s">
        <v>29</v>
      </c>
      <c r="D12" s="445"/>
      <c r="E12" s="217">
        <v>3</v>
      </c>
      <c r="F12" s="288">
        <f>[0]!EMLO000100col_TOTAL_ELECT_PCN_FTI</f>
        <v>0</v>
      </c>
      <c r="G12" s="218">
        <f>[0]!EMLO000100col_FTI_SALARY_ELECT</f>
        <v>0</v>
      </c>
      <c r="H12" s="218">
        <f>[0]!EMLO000100col_HEALTH_ELECT</f>
        <v>0</v>
      </c>
      <c r="I12" s="218">
        <f>[0]!EMLO000100col_TOT_VB_ELECT</f>
        <v>0</v>
      </c>
      <c r="J12" s="219">
        <f>SUM(G12:I12)</f>
        <v>0</v>
      </c>
      <c r="K12" s="268"/>
      <c r="L12" s="218">
        <f>[0]!EMLO000100col_HEALTH_ELECT_CHG</f>
        <v>0</v>
      </c>
      <c r="M12" s="218">
        <f>[0]!EMLO000100col_TOT_VB_ELECT_CHG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25">
      <c r="A13" s="139"/>
      <c r="B13" s="139"/>
      <c r="C13" s="444" t="s">
        <v>30</v>
      </c>
      <c r="D13" s="467"/>
      <c r="E13" s="217"/>
      <c r="F13" s="220">
        <f>SUM(F10:F12)</f>
        <v>0</v>
      </c>
      <c r="G13" s="221">
        <f>SUM(G10:G12)</f>
        <v>0</v>
      </c>
      <c r="H13" s="221">
        <f>SUM(H10:H12)</f>
        <v>0</v>
      </c>
      <c r="I13" s="221">
        <f>SUM(I10:I12)</f>
        <v>0</v>
      </c>
      <c r="J13" s="219">
        <f>SUM(G13:I13)</f>
        <v>0</v>
      </c>
      <c r="K13" s="268"/>
      <c r="L13" s="219">
        <f>SUM(L10:L12)</f>
        <v>0</v>
      </c>
      <c r="M13" s="219">
        <f>SUM(M10:M12)</f>
        <v>0</v>
      </c>
      <c r="N13" s="219">
        <f>SUM(N10:N12)</f>
        <v>0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5" customHeight="1" x14ac:dyDescent="0.25">
      <c r="A14" s="139"/>
      <c r="B14" s="139"/>
      <c r="C14" s="365"/>
      <c r="D14" s="371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25">
      <c r="A15" s="139"/>
      <c r="B15" s="156"/>
      <c r="C15" s="157" t="str">
        <f>"FY "&amp;'EMLO|0001-00'!FiscalYear-1</f>
        <v>FY 2022</v>
      </c>
      <c r="D15" s="158" t="s">
        <v>31</v>
      </c>
      <c r="E15" s="355">
        <v>5400</v>
      </c>
      <c r="F15" s="55">
        <v>0</v>
      </c>
      <c r="G15" s="223" t="e">
        <f>IF(OrigApprop=0,0,(G13/$J$13)*OrigApprop)</f>
        <v>#DIV/0!</v>
      </c>
      <c r="H15" s="223" t="e">
        <f>IF(OrigApprop=0,0,(H13/$J$13)*OrigApprop)</f>
        <v>#DIV/0!</v>
      </c>
      <c r="I15" s="223" t="e">
        <f>IF(G15=0,0,(I13/$J$13)*OrigApprop)</f>
        <v>#DIV/0!</v>
      </c>
      <c r="J15" s="223" t="e">
        <f>SUM(G15:I15)</f>
        <v>#DIV/0!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25">
      <c r="A16" s="139"/>
      <c r="B16" s="139"/>
      <c r="C16" s="454" t="s">
        <v>32</v>
      </c>
      <c r="D16" s="455"/>
      <c r="E16" s="160" t="s">
        <v>33</v>
      </c>
      <c r="F16" s="161">
        <f>F15-F13</f>
        <v>0</v>
      </c>
      <c r="G16" s="162" t="e">
        <f>G15-G13</f>
        <v>#DIV/0!</v>
      </c>
      <c r="H16" s="162" t="e">
        <f>H15-H13</f>
        <v>#DIV/0!</v>
      </c>
      <c r="I16" s="162" t="e">
        <f>I15-I13</f>
        <v>#DIV/0!</v>
      </c>
      <c r="J16" s="162" t="e">
        <f>J15-J13</f>
        <v>#DIV/0!</v>
      </c>
      <c r="K16" s="269"/>
      <c r="L16" s="56" t="e">
        <f>IF('EMLO|0001-00'!OrigApprop=0,"ERROR! Enter Original Appropriation amount in DU 3.00!","Calculated "&amp;IF('EMLO|0001-00'!AdjustedTotal&gt;0,"overfunding ","underfunding ")&amp;"is "&amp;TEXT('EMLO|0001-00'!AdjustedTotal/'EMLO|0001-00'!AppropTotal,"#.0%;(#.0% );0% ;")&amp;" of Original Appropriation")</f>
        <v>#DIV/0!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25">
      <c r="A17" s="139"/>
      <c r="B17" s="139"/>
      <c r="C17" s="456" t="s">
        <v>34</v>
      </c>
      <c r="D17" s="457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25">
      <c r="A18" s="139"/>
      <c r="B18" s="168"/>
      <c r="C18" s="458" t="s">
        <v>35</v>
      </c>
      <c r="D18" s="459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5.5" x14ac:dyDescent="0.25">
      <c r="A19" s="238"/>
      <c r="B19" s="202"/>
      <c r="C19" s="239" t="s">
        <v>86</v>
      </c>
      <c r="D19" s="240" t="s">
        <v>87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4"/>
      <c r="AB19" s="364"/>
      <c r="AC19" s="364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5" x14ac:dyDescent="0.25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4"/>
      <c r="AB20" s="364"/>
      <c r="AC20" s="364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5" x14ac:dyDescent="0.25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4"/>
      <c r="AB21" s="364"/>
      <c r="AC21" s="364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5" x14ac:dyDescent="0.25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4"/>
      <c r="AB22" s="364"/>
      <c r="AC22" s="364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5" x14ac:dyDescent="0.25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4"/>
      <c r="AB23" s="364"/>
      <c r="AC23" s="364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5" x14ac:dyDescent="0.25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4"/>
      <c r="AC24" s="364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5" x14ac:dyDescent="0.25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4"/>
      <c r="AC25" s="364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5" x14ac:dyDescent="0.25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4"/>
      <c r="AC26" s="364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5" x14ac:dyDescent="0.25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4"/>
      <c r="AB27" s="364"/>
      <c r="AC27" s="364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5" x14ac:dyDescent="0.25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4"/>
      <c r="AB28" s="364"/>
      <c r="AC28" s="364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5" x14ac:dyDescent="0.25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4"/>
      <c r="AB29" s="364"/>
      <c r="AC29" s="364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5" x14ac:dyDescent="0.25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4"/>
      <c r="AB30" s="364"/>
      <c r="AC30" s="364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5" x14ac:dyDescent="0.25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4"/>
      <c r="AB31" s="364"/>
      <c r="AC31" s="364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5" x14ac:dyDescent="0.25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4"/>
      <c r="AB32" s="364"/>
      <c r="AC32" s="364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5" x14ac:dyDescent="0.25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4"/>
      <c r="AB33" s="364"/>
      <c r="AC33" s="364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5" x14ac:dyDescent="0.25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4"/>
      <c r="AB34" s="364"/>
      <c r="AC34" s="364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5" x14ac:dyDescent="0.25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4"/>
      <c r="AB35" s="364"/>
      <c r="AC35" s="364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5" x14ac:dyDescent="0.25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4" t="s">
        <v>94</v>
      </c>
      <c r="AB36" s="333" t="s">
        <v>95</v>
      </c>
      <c r="AC36" s="333" t="s">
        <v>106</v>
      </c>
      <c r="AD36" s="330"/>
    </row>
    <row r="37" spans="1:94" s="153" customFormat="1" ht="17.25" customHeight="1" x14ac:dyDescent="0.25">
      <c r="A37" s="139"/>
      <c r="B37" s="188"/>
      <c r="C37" s="460" t="s">
        <v>37</v>
      </c>
      <c r="D37" s="461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62" t="s">
        <v>107</v>
      </c>
      <c r="AB37" s="463"/>
      <c r="AC37" s="463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5" x14ac:dyDescent="0.25">
      <c r="A38" s="139"/>
      <c r="B38" s="188"/>
      <c r="C38" s="444" t="str">
        <f>perm_name</f>
        <v>Permanent Positions</v>
      </c>
      <c r="D38" s="445"/>
      <c r="E38" s="189">
        <v>1</v>
      </c>
      <c r="F38" s="190">
        <f>SUMIF($E9:$E35,$E38,$F9:$F35)</f>
        <v>0</v>
      </c>
      <c r="G38" s="191">
        <f>SUMIF($E10:$E35,$E38,$G10:$G35)</f>
        <v>0</v>
      </c>
      <c r="H38" s="192">
        <f>SUMIF($E10:$E35,$E38,$H10:$H35)</f>
        <v>0</v>
      </c>
      <c r="I38" s="192">
        <f>SUMIF($E10:$E35,$E38,$I10:$I35)</f>
        <v>0</v>
      </c>
      <c r="J38" s="192">
        <f>SUM(G38:I38)</f>
        <v>0</v>
      </c>
      <c r="K38" s="166"/>
      <c r="L38" s="191">
        <f>SUMIF($E10:$E35,$E38,$L10:$L35)</f>
        <v>0</v>
      </c>
      <c r="M38" s="192">
        <f>SUMIF($E10:$E35,$E38,$M10:$M35)</f>
        <v>0</v>
      </c>
      <c r="N38" s="192">
        <f>SUM(L38:M38)</f>
        <v>0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0</v>
      </c>
      <c r="AB38" s="338">
        <f>ROUND((AdjPermVB*CECPerm+AdjPermVBBY*CECPerm),-2)</f>
        <v>0</v>
      </c>
      <c r="AC38" s="338">
        <f>SUM(AA38:AB38)</f>
        <v>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5" x14ac:dyDescent="0.25">
      <c r="A39" s="139"/>
      <c r="B39" s="188"/>
      <c r="C39" s="444" t="str">
        <f>Group_name</f>
        <v>Board &amp; Group Positions</v>
      </c>
      <c r="D39" s="445"/>
      <c r="E39" s="189">
        <v>2</v>
      </c>
      <c r="F39" s="151">
        <f>SUMIF($E9:$E35,$E39,$F9:$F35)</f>
        <v>0</v>
      </c>
      <c r="G39" s="193">
        <f>SUMIF($E10:$E35,$E39,$G10:$G35)</f>
        <v>0</v>
      </c>
      <c r="H39" s="152">
        <f>SUMIF($E10:$E35,$E39,$H10:$H35)</f>
        <v>0</v>
      </c>
      <c r="I39" s="152">
        <f>SUMIF($E10:$E35,$E39,$I10:$I35)</f>
        <v>0</v>
      </c>
      <c r="J39" s="152">
        <f>SUM(G39:I39)</f>
        <v>0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0</v>
      </c>
      <c r="AB39" s="338">
        <f>ROUND(AdjGroupVB*CECGroup,-2)</f>
        <v>0</v>
      </c>
      <c r="AC39" s="338">
        <f>SUM(AA39:AB39)</f>
        <v>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5" x14ac:dyDescent="0.25">
      <c r="A40" s="139"/>
      <c r="B40" s="188"/>
      <c r="C40" s="365" t="str">
        <f>Elect_name</f>
        <v>Elected Officials &amp; Full Time Commissioners</v>
      </c>
      <c r="D40" s="366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4"/>
      <c r="AB40" s="364"/>
      <c r="AC40" s="364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5" x14ac:dyDescent="0.25">
      <c r="A41" s="139"/>
      <c r="B41" s="188"/>
      <c r="C41" s="444" t="s">
        <v>38</v>
      </c>
      <c r="D41" s="445"/>
      <c r="E41" s="189"/>
      <c r="F41" s="161">
        <f>SUM(F38:F40)</f>
        <v>0</v>
      </c>
      <c r="G41" s="195">
        <f>SUM($G$38:$G$40)</f>
        <v>0</v>
      </c>
      <c r="H41" s="162">
        <f>SUM($H$38:$H$40)</f>
        <v>0</v>
      </c>
      <c r="I41" s="162">
        <f>SUM($I$38:$I$40)</f>
        <v>0</v>
      </c>
      <c r="J41" s="162">
        <f>SUM($J$38:$J$40)</f>
        <v>0</v>
      </c>
      <c r="K41" s="259"/>
      <c r="L41" s="195">
        <f>SUM($L$38:$L$40)</f>
        <v>0</v>
      </c>
      <c r="M41" s="162">
        <f>SUM($M$38:$M$40)</f>
        <v>0</v>
      </c>
      <c r="N41" s="162">
        <f>SUM(L41:M41)</f>
        <v>0</v>
      </c>
      <c r="O41"/>
      <c r="P41"/>
      <c r="Q41"/>
      <c r="R41"/>
      <c r="S41"/>
      <c r="T41"/>
      <c r="U41"/>
      <c r="V41"/>
      <c r="W41"/>
      <c r="X41"/>
      <c r="Y41"/>
      <c r="Z41" s="344"/>
      <c r="AA41" s="364" t="s">
        <v>94</v>
      </c>
      <c r="AB41" s="333" t="s">
        <v>95</v>
      </c>
      <c r="AC41" s="333" t="s">
        <v>106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25">
      <c r="A42" s="139"/>
      <c r="B42" s="188"/>
      <c r="C42" s="446"/>
      <c r="D42" s="447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4"/>
      <c r="AB42" s="364"/>
      <c r="AC42" s="364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25">
      <c r="A43" s="139"/>
      <c r="B43" s="202"/>
      <c r="C43" s="448" t="s">
        <v>39</v>
      </c>
      <c r="D43" s="449"/>
      <c r="E43" s="203" t="s">
        <v>40</v>
      </c>
      <c r="F43" s="205">
        <f>ROUND(F51-F41,2)</f>
        <v>0</v>
      </c>
      <c r="G43" s="206" t="e">
        <f>ROUND(G51-G41,-2)</f>
        <v>#DIV/0!</v>
      </c>
      <c r="H43" s="159" t="e">
        <f>ROUND(H51-H41,-2)</f>
        <v>#DIV/0!</v>
      </c>
      <c r="I43" s="159" t="e">
        <f>ROUND(I51-I41,-2)</f>
        <v>#DIV/0!</v>
      </c>
      <c r="J43" s="159" t="e">
        <f>SUM(G43:I43)</f>
        <v>#DIV/0!</v>
      </c>
      <c r="K43" s="425" t="e">
        <f>IF(E51=0,"ERROR! Enter Original Appropriation amount in DU 3.00!","Calculated "&amp;IF(J43&gt;0,"overfunding ","underfunding ")&amp;"is "&amp;TEXT(J43/J51,"#.0%;(#.0% );0% ;")&amp;" of Original Appropriation")</f>
        <v>#DIV/0!</v>
      </c>
      <c r="L43" s="426"/>
      <c r="M43" s="426"/>
      <c r="N43" s="427"/>
      <c r="O43"/>
      <c r="P43"/>
      <c r="Q43"/>
      <c r="R43"/>
      <c r="S43"/>
      <c r="T43"/>
      <c r="U43"/>
      <c r="V43"/>
      <c r="W43"/>
      <c r="X43"/>
      <c r="Y43"/>
      <c r="Z43" s="344"/>
      <c r="AA43" s="452" t="s">
        <v>108</v>
      </c>
      <c r="AB43" s="453"/>
      <c r="AC43" s="453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25">
      <c r="A44" s="139"/>
      <c r="B44" s="202"/>
      <c r="C44" s="450"/>
      <c r="D44" s="451"/>
      <c r="E44" s="204" t="s">
        <v>41</v>
      </c>
      <c r="F44" s="205">
        <f>ROUND(F60-F41,2)</f>
        <v>0</v>
      </c>
      <c r="G44" s="206" t="e">
        <f>ROUND(G60-G41,-2)</f>
        <v>#DIV/0!</v>
      </c>
      <c r="H44" s="159" t="e">
        <f>ROUND(H60-H41,-2)</f>
        <v>#DIV/0!</v>
      </c>
      <c r="I44" s="159" t="e">
        <f>ROUND(I60-I41,-2)</f>
        <v>#DIV/0!</v>
      </c>
      <c r="J44" s="159" t="e">
        <f>SUM(G44:I44)</f>
        <v>#DIV/0!</v>
      </c>
      <c r="K44" s="425" t="e">
        <f>IF(E51=0,"ERROR! Enter Original Appropriation amount in DU 3.00!","Calculated "&amp;IF(J44&gt;0,"overfunding ","underfunding ")&amp;"is "&amp;TEXT(J44/J60,"#.0%;(#.0% );0% ;")&amp;" of Estimated Expenditures")</f>
        <v>#DIV/0!</v>
      </c>
      <c r="L44" s="426"/>
      <c r="M44" s="426"/>
      <c r="N44" s="427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25">
      <c r="A45" s="139"/>
      <c r="B45" s="202"/>
      <c r="C45" s="215"/>
      <c r="D45" s="215"/>
      <c r="E45" s="204" t="s">
        <v>99</v>
      </c>
      <c r="F45" s="205">
        <f>ROUND(F67-F41-F63,2)</f>
        <v>0</v>
      </c>
      <c r="G45" s="206" t="e">
        <f>ROUND(G67-G41-G63,-2)</f>
        <v>#DIV/0!</v>
      </c>
      <c r="H45" s="206" t="e">
        <f>ROUND(H67-H41-H63,-2)</f>
        <v>#DIV/0!</v>
      </c>
      <c r="I45" s="206" t="e">
        <f>ROUND(I67-I41-I63,-2)</f>
        <v>#DIV/0!</v>
      </c>
      <c r="J45" s="159" t="e">
        <f>SUM(G45:I45)</f>
        <v>#DIV/0!</v>
      </c>
      <c r="K45" s="425" t="e">
        <f>IF(J67=0,"Program has a zero base",IF(E51=0,"ERROR! Enter Original Appropriation amount in DU 3.00!","Calculated "&amp;IF(J45&gt;0,"overfunding ","underfunding ")&amp;"is "&amp;TEXT(J45/J67,"#.0%;(#.0% );0% ;")&amp;" of the Base"))</f>
        <v>#DIV/0!</v>
      </c>
      <c r="L45" s="426"/>
      <c r="M45" s="426"/>
      <c r="N45" s="427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0</v>
      </c>
      <c r="AC45" s="338">
        <f>SUM(AA45:AB45)</f>
        <v>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25">
      <c r="A46" s="139"/>
      <c r="B46" s="202"/>
      <c r="C46" s="215"/>
      <c r="D46" s="215"/>
      <c r="E46" s="428" t="s">
        <v>100</v>
      </c>
      <c r="F46" s="429"/>
      <c r="G46" s="429"/>
      <c r="H46" s="429"/>
      <c r="I46" s="429"/>
      <c r="J46" s="430"/>
      <c r="K46" s="434" t="e">
        <f>IF(OR(J45&lt;0,F45&lt;0),"You may not have sufficient funding or authorized FTP, and may need to make additional adjustments to finalize this form.  Please contact both your DFM and LSO analysts.","")</f>
        <v>#DIV/0!</v>
      </c>
      <c r="L46" s="435"/>
      <c r="M46" s="435"/>
      <c r="N46" s="436"/>
      <c r="O46"/>
      <c r="P46"/>
      <c r="Q46"/>
      <c r="R46"/>
      <c r="S46"/>
      <c r="T46"/>
      <c r="U46"/>
      <c r="V46"/>
      <c r="W46"/>
      <c r="X46"/>
      <c r="Y46"/>
      <c r="Z46" s="344"/>
      <c r="AA46" s="364"/>
      <c r="AB46" s="364"/>
      <c r="AC46" s="364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25">
      <c r="A47" s="139"/>
      <c r="B47" s="202"/>
      <c r="C47" s="215"/>
      <c r="D47" s="215"/>
      <c r="E47" s="431"/>
      <c r="F47" s="432"/>
      <c r="G47" s="432"/>
      <c r="H47" s="432"/>
      <c r="I47" s="432"/>
      <c r="J47" s="433"/>
      <c r="K47" s="437"/>
      <c r="L47" s="438"/>
      <c r="M47" s="438"/>
      <c r="N47" s="439"/>
      <c r="O47"/>
      <c r="P47"/>
      <c r="Q47"/>
      <c r="R47"/>
      <c r="S47"/>
      <c r="T47"/>
      <c r="U47"/>
      <c r="V47"/>
      <c r="W47"/>
      <c r="X47"/>
      <c r="Y47"/>
      <c r="Z47" s="344"/>
      <c r="AA47" s="364"/>
      <c r="AB47" s="364"/>
      <c r="AC47" s="364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25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25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4"/>
      <c r="AB49" s="364"/>
      <c r="AC49" s="364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25">
      <c r="A50" s="257" t="s">
        <v>42</v>
      </c>
      <c r="B50" s="71"/>
      <c r="C50" s="440"/>
      <c r="D50" s="441"/>
      <c r="E50" s="72" t="s">
        <v>43</v>
      </c>
      <c r="F50" s="73" t="s">
        <v>24</v>
      </c>
      <c r="G50" s="72" t="str">
        <f>"FY "&amp;M4-2001&amp;" Salary"</f>
        <v>FY 22 Salary</v>
      </c>
      <c r="H50" s="72" t="str">
        <f>"FY "&amp;M4-2001&amp;" Health Ben"</f>
        <v>FY 22 Health Ben</v>
      </c>
      <c r="I50" s="72" t="str">
        <f>"FY "&amp;M4-2001&amp;" Var Ben"</f>
        <v>FY 22 Var Ben</v>
      </c>
      <c r="J50" s="72" t="str">
        <f>"FY "&amp;M4-1&amp;" Total"</f>
        <v>FY 2022 Total</v>
      </c>
      <c r="K50" s="307" t="str">
        <f>"FY "&amp;FiscalYear&amp;" SALARY CHG"</f>
        <v>FY 2023 SALARY CHG</v>
      </c>
      <c r="L50" s="74" t="str">
        <f>"FY "&amp;M4-2000&amp;" Chg Health Bens"</f>
        <v>FY 23 Chg Health Bens</v>
      </c>
      <c r="M50" s="74" t="str">
        <f>"FY "&amp;M4-2000&amp;" Chg Var Bens"</f>
        <v>FY 23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4"/>
      <c r="AB50" s="364"/>
      <c r="AC50" s="364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25">
      <c r="A51" s="75">
        <v>3</v>
      </c>
      <c r="B51" s="76" t="s">
        <v>45</v>
      </c>
      <c r="C51" s="54" t="str">
        <f>"FY "&amp;M4-1</f>
        <v>FY 2022</v>
      </c>
      <c r="D51" s="77" t="s">
        <v>31</v>
      </c>
      <c r="E51" s="78">
        <f>OrigApprop</f>
        <v>5400</v>
      </c>
      <c r="F51" s="272">
        <f>AppropFTP</f>
        <v>0</v>
      </c>
      <c r="G51" s="274" t="e">
        <f>IF(E51=0,0,(G41/$J$41)*$E$51)</f>
        <v>#DIV/0!</v>
      </c>
      <c r="H51" s="274" t="e">
        <f>IF(E51=0,0,(H41/$J$41)*$E$51)</f>
        <v>#DIV/0!</v>
      </c>
      <c r="I51" s="275" t="e">
        <f>IF(E51=0,0,(I41/$J$41)*$E$51)</f>
        <v>#DIV/0!</v>
      </c>
      <c r="J51" s="90" t="e">
        <f>SUM(G51:I51)</f>
        <v>#DIV/0!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4"/>
      <c r="AC51" s="364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25">
      <c r="A52" s="82"/>
      <c r="B52" s="83"/>
      <c r="C52" s="84"/>
      <c r="D52" s="132" t="s">
        <v>46</v>
      </c>
      <c r="E52" s="133"/>
      <c r="F52" s="55">
        <f>F51</f>
        <v>0</v>
      </c>
      <c r="G52" s="79" t="e">
        <f>ROUND(G51,-2)</f>
        <v>#DIV/0!</v>
      </c>
      <c r="H52" s="79" t="e">
        <f>ROUND(H51,-2)</f>
        <v>#DIV/0!</v>
      </c>
      <c r="I52" s="266" t="e">
        <f>ROUND(I51,-2)</f>
        <v>#DIV/0!</v>
      </c>
      <c r="J52" s="80" t="e">
        <f>ROUND(J51,-2)</f>
        <v>#DIV/0!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4"/>
      <c r="AC52" s="364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5" x14ac:dyDescent="0.25">
      <c r="A53" s="85"/>
      <c r="B53" s="83"/>
      <c r="C53" s="442" t="s">
        <v>47</v>
      </c>
      <c r="D53" s="443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4"/>
      <c r="AB53" s="364"/>
      <c r="AC53" s="364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25">
      <c r="A54" s="85">
        <v>4.1100000000000003</v>
      </c>
      <c r="B54" s="83"/>
      <c r="C54" s="409" t="s">
        <v>48</v>
      </c>
      <c r="D54" s="410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4"/>
      <c r="AB54" s="364"/>
      <c r="AC54" s="364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25">
      <c r="A55" s="85">
        <v>4.3099999999999996</v>
      </c>
      <c r="B55" s="83"/>
      <c r="C55" s="422" t="s">
        <v>49</v>
      </c>
      <c r="D55" s="423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4"/>
      <c r="AB55" s="364"/>
      <c r="AC55" s="364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25">
      <c r="A56" s="75">
        <v>5</v>
      </c>
      <c r="B56" s="76"/>
      <c r="C56" s="54" t="str">
        <f>"FY "&amp;M4-1</f>
        <v>FY 2022</v>
      </c>
      <c r="D56" s="131" t="s">
        <v>50</v>
      </c>
      <c r="E56" s="135"/>
      <c r="F56" s="55">
        <f>SUM(F52:F55)</f>
        <v>0</v>
      </c>
      <c r="G56" s="80" t="e">
        <f>SUM(G52:G55)</f>
        <v>#DIV/0!</v>
      </c>
      <c r="H56" s="80" t="e">
        <f>SUM(H52:H55)</f>
        <v>#DIV/0!</v>
      </c>
      <c r="I56" s="260" t="e">
        <f>SUM(I52:I55)</f>
        <v>#DIV/0!</v>
      </c>
      <c r="J56" s="80" t="e">
        <f>SUM(J52:J55)</f>
        <v>#DIV/0!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4"/>
      <c r="AB56" s="364"/>
      <c r="AC56" s="364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25">
      <c r="A57" s="85"/>
      <c r="B57" s="83"/>
      <c r="C57" s="420" t="s">
        <v>51</v>
      </c>
      <c r="D57" s="424"/>
      <c r="E57" s="368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4"/>
      <c r="AB57" s="364"/>
      <c r="AC57" s="364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25">
      <c r="A58" s="85">
        <v>6.31</v>
      </c>
      <c r="B58" s="83"/>
      <c r="C58" s="409" t="s">
        <v>52</v>
      </c>
      <c r="D58" s="410"/>
      <c r="E58" s="102"/>
      <c r="F58" s="58">
        <v>0</v>
      </c>
      <c r="G58" s="88">
        <v>0</v>
      </c>
      <c r="H58" s="88">
        <v>0</v>
      </c>
      <c r="I58" s="265">
        <v>0</v>
      </c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4"/>
      <c r="AB58" s="364"/>
      <c r="AC58" s="364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25">
      <c r="A59" s="85">
        <v>6.51</v>
      </c>
      <c r="B59" s="83"/>
      <c r="C59" s="422" t="s">
        <v>66</v>
      </c>
      <c r="D59" s="423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4"/>
      <c r="AB59" s="364"/>
      <c r="AC59" s="364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25">
      <c r="A60" s="75">
        <v>7</v>
      </c>
      <c r="B60" s="76"/>
      <c r="C60" s="54" t="str">
        <f>"FY "&amp;M4-1</f>
        <v>FY 2022</v>
      </c>
      <c r="D60" s="131" t="s">
        <v>53</v>
      </c>
      <c r="E60" s="135"/>
      <c r="F60" s="55">
        <f>SUM(F56:F59)</f>
        <v>0</v>
      </c>
      <c r="G60" s="80" t="e">
        <f>SUM(G56:G59)</f>
        <v>#DIV/0!</v>
      </c>
      <c r="H60" s="80" t="e">
        <f>SUM(H56:H59)</f>
        <v>#DIV/0!</v>
      </c>
      <c r="I60" s="260" t="e">
        <f>SUM(I56:I59)</f>
        <v>#DIV/0!</v>
      </c>
      <c r="J60" s="80" t="e">
        <f>SUM(J56:J59)</f>
        <v>#DIV/0!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4"/>
      <c r="AB60" s="364"/>
      <c r="AC60" s="364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25">
      <c r="A61" s="85"/>
      <c r="B61" s="83"/>
      <c r="C61" s="420" t="s">
        <v>54</v>
      </c>
      <c r="D61" s="424"/>
      <c r="E61" s="368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4"/>
      <c r="AB61" s="364"/>
      <c r="AC61" s="364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25">
      <c r="A62" s="85">
        <v>8.31</v>
      </c>
      <c r="B62" s="83"/>
      <c r="C62" s="409" t="s">
        <v>67</v>
      </c>
      <c r="D62" s="410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4"/>
      <c r="AB62" s="364"/>
      <c r="AC62" s="364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25">
      <c r="A63" s="85">
        <v>8.41</v>
      </c>
      <c r="B63" s="83"/>
      <c r="C63" s="409" t="s">
        <v>55</v>
      </c>
      <c r="D63" s="410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4"/>
      <c r="AB63" s="364"/>
      <c r="AC63" s="364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">
      <c r="A64" s="93">
        <v>8.51</v>
      </c>
      <c r="B64" s="93"/>
      <c r="C64" s="414" t="s">
        <v>56</v>
      </c>
      <c r="D64" s="415"/>
      <c r="E64" s="134"/>
      <c r="F64" s="58">
        <v>0</v>
      </c>
      <c r="G64" s="88"/>
      <c r="H64" s="88">
        <v>0</v>
      </c>
      <c r="I64" s="265"/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4"/>
      <c r="AB64" s="364"/>
      <c r="AC64" s="364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25">
      <c r="A65" s="94"/>
      <c r="B65" s="95"/>
      <c r="C65" s="416"/>
      <c r="D65" s="417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4"/>
      <c r="AB65" s="364"/>
      <c r="AC65" s="364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5" x14ac:dyDescent="0.25">
      <c r="A66" s="100"/>
      <c r="B66" s="101"/>
      <c r="C66" s="418"/>
      <c r="D66" s="419"/>
      <c r="E66" s="102"/>
      <c r="F66" s="103" t="s">
        <v>24</v>
      </c>
      <c r="G66" s="104" t="str">
        <f>"FY "&amp;M4-2000&amp;" Salary"</f>
        <v>FY 23 Salary</v>
      </c>
      <c r="H66" s="104" t="str">
        <f>"FY"&amp;M4-2000&amp;" Health Ben"</f>
        <v>FY23 Health Ben</v>
      </c>
      <c r="I66" s="104" t="str">
        <f>"FY "&amp;M4-2000&amp;" Var Ben"</f>
        <v>FY 23 Var Ben</v>
      </c>
      <c r="J66" s="104" t="str">
        <f>"FY "&amp;M4&amp;" Total"</f>
        <v>FY 2023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5" x14ac:dyDescent="0.25">
      <c r="A67" s="82">
        <v>9</v>
      </c>
      <c r="B67" s="83"/>
      <c r="C67" s="84" t="str">
        <f>"FY "&amp;M4</f>
        <v>FY 2023</v>
      </c>
      <c r="D67" s="108" t="s">
        <v>57</v>
      </c>
      <c r="E67" s="109"/>
      <c r="F67" s="55">
        <f>SUM(F60:F64)</f>
        <v>0</v>
      </c>
      <c r="G67" s="80" t="e">
        <f>SUM(G60:G64)</f>
        <v>#DIV/0!</v>
      </c>
      <c r="H67" s="80" t="e">
        <f>SUM(H60:H64)</f>
        <v>#DIV/0!</v>
      </c>
      <c r="I67" s="80" t="e">
        <f>SUM(I60:I64)</f>
        <v>#DIV/0!</v>
      </c>
      <c r="J67" s="80" t="e">
        <f>SUM(J60:J64)</f>
        <v>#DIV/0!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4"/>
      <c r="AB67" s="364"/>
      <c r="AC67" s="364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25">
      <c r="A68" s="85">
        <v>10.11</v>
      </c>
      <c r="B68" s="83"/>
      <c r="C68" s="420" t="s">
        <v>58</v>
      </c>
      <c r="D68" s="421"/>
      <c r="E68" s="112"/>
      <c r="F68" s="288"/>
      <c r="G68" s="287"/>
      <c r="H68" s="113" t="e">
        <f>IF(DUNine=0,0,ROUND(SUM(L41:L65),-2))</f>
        <v>#DIV/0!</v>
      </c>
      <c r="I68" s="113"/>
      <c r="J68" s="287" t="e">
        <f>SUM(G68:I68)</f>
        <v>#DIV/0!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4"/>
      <c r="AB68" s="364"/>
      <c r="AC68" s="364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5" x14ac:dyDescent="0.25">
      <c r="A69" s="85">
        <v>10.119999999999999</v>
      </c>
      <c r="B69" s="83"/>
      <c r="C69" s="420" t="s">
        <v>59</v>
      </c>
      <c r="D69" s="421"/>
      <c r="E69" s="112"/>
      <c r="F69" s="288"/>
      <c r="G69" s="113"/>
      <c r="H69" s="113"/>
      <c r="I69" s="113" t="e">
        <f>IF(DUNine=0,0,ROUND(SUM(M41:M64),-2))</f>
        <v>#DIV/0!</v>
      </c>
      <c r="J69" s="287" t="e">
        <f>SUM(G69:I69)</f>
        <v>#DIV/0!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4"/>
      <c r="AB69" s="364"/>
      <c r="AC69" s="364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5" x14ac:dyDescent="0.25">
      <c r="A70" s="85"/>
      <c r="B70" s="83"/>
      <c r="C70" s="407"/>
      <c r="D70" s="408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4"/>
      <c r="AB70" s="364"/>
      <c r="AC70" s="364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25">
      <c r="A71" s="85">
        <v>10.51</v>
      </c>
      <c r="B71" s="83"/>
      <c r="C71" s="409" t="s">
        <v>60</v>
      </c>
      <c r="D71" s="410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112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64"/>
      <c r="AB71" s="364"/>
      <c r="AC71" s="364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25">
      <c r="A72" s="85">
        <v>10.61</v>
      </c>
      <c r="B72" s="83"/>
      <c r="C72" s="409" t="s">
        <v>101</v>
      </c>
      <c r="D72" s="411"/>
      <c r="E72" s="290">
        <f>CECPerm</f>
        <v>0.01</v>
      </c>
      <c r="F72" s="288"/>
      <c r="G72" s="356" t="e">
        <f>IF(DUNine=0,0,IF(DUNine&lt;0,0,ROUND(AdjPermSalary*CECPerm,-2)))</f>
        <v>#DIV/0!</v>
      </c>
      <c r="H72" s="287"/>
      <c r="I72" s="287" t="e">
        <f>ROUND(($G72*PermVBBY+$G72*Retire1BY),-2)</f>
        <v>#DIV/0!</v>
      </c>
      <c r="J72" s="113" t="e">
        <f>SUM(G72:I72)</f>
        <v>#DIV/0!</v>
      </c>
      <c r="K72" s="296"/>
      <c r="L72" s="298"/>
      <c r="M72" s="350" t="e">
        <f>IF(DUNine=0,0,IF(((#REF!-G39-G40)*E72)&lt;0,0,ROUND(((#REF!-G39-G40)*E72),-2)))</f>
        <v>#DIV/0!</v>
      </c>
      <c r="N72" s="359"/>
      <c r="O72" s="358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#DIV/0!</v>
      </c>
      <c r="P72" s="358"/>
      <c r="Q72"/>
      <c r="R72"/>
      <c r="S72"/>
      <c r="T72"/>
      <c r="U72"/>
      <c r="V72"/>
      <c r="W72"/>
      <c r="X72"/>
      <c r="Y72"/>
      <c r="Z72" s="344"/>
      <c r="AA72" s="364"/>
      <c r="AB72" s="364"/>
      <c r="AC72" s="364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25">
      <c r="A73" s="85">
        <v>10.62</v>
      </c>
      <c r="B73" s="83"/>
      <c r="C73" s="409" t="s">
        <v>61</v>
      </c>
      <c r="D73" s="411"/>
      <c r="E73" s="289">
        <f>CECGroup</f>
        <v>0.01</v>
      </c>
      <c r="F73" s="288"/>
      <c r="G73" s="356" t="e">
        <f>IF(DUNine=0,0,IF(DUNine&lt;0,0,ROUND(AdjGroupSalary*CECGroup,-2)))</f>
        <v>#DIV/0!</v>
      </c>
      <c r="H73" s="287"/>
      <c r="I73" s="287" t="e">
        <f>ROUND(($G73*GroupVBBY),-2)</f>
        <v>#DIV/0!</v>
      </c>
      <c r="J73" s="113" t="e">
        <f t="shared" si="11"/>
        <v>#DIV/0!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64"/>
      <c r="AB73" s="364"/>
      <c r="AC73" s="364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25">
      <c r="A74" s="85">
        <v>10.63</v>
      </c>
      <c r="B74" s="83"/>
      <c r="C74" s="367" t="s">
        <v>62</v>
      </c>
      <c r="D74" s="369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4"/>
      <c r="AB74" s="364"/>
      <c r="AC74" s="364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25">
      <c r="A75" s="75">
        <v>11</v>
      </c>
      <c r="B75" s="76"/>
      <c r="C75" s="54" t="str">
        <f>"FY "&amp;M4</f>
        <v>FY 2023</v>
      </c>
      <c r="D75" s="77" t="s">
        <v>63</v>
      </c>
      <c r="E75" s="112"/>
      <c r="F75" s="55">
        <f>SUM(F67:F74)</f>
        <v>0</v>
      </c>
      <c r="G75" s="80" t="e">
        <f>SUM(G67:G74)</f>
        <v>#DIV/0!</v>
      </c>
      <c r="H75" s="80" t="e">
        <f>SUM(H67:H74)</f>
        <v>#DIV/0!</v>
      </c>
      <c r="I75" s="80" t="e">
        <f>SUM(I67:I74)</f>
        <v>#DIV/0!</v>
      </c>
      <c r="J75" s="80" t="e">
        <f>SUM(J67:K74)</f>
        <v>#DIV/0!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4"/>
      <c r="AB75" s="364"/>
      <c r="AC75" s="364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25">
      <c r="A76" s="85"/>
      <c r="B76" s="83"/>
      <c r="C76" s="412" t="s">
        <v>64</v>
      </c>
      <c r="D76" s="413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4"/>
      <c r="AB76" s="364"/>
      <c r="AC76" s="364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5" x14ac:dyDescent="0.25">
      <c r="A77" s="116">
        <v>12.01</v>
      </c>
      <c r="B77" s="57"/>
      <c r="C77" s="405"/>
      <c r="D77" s="406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4"/>
      <c r="AB77" s="364"/>
      <c r="AC77" s="364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5" x14ac:dyDescent="0.25">
      <c r="A78" s="116">
        <v>12.02</v>
      </c>
      <c r="B78" s="57"/>
      <c r="C78" s="405"/>
      <c r="D78" s="406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4"/>
      <c r="AB78" s="364"/>
      <c r="AC78" s="364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5" x14ac:dyDescent="0.25">
      <c r="A79" s="116">
        <v>12.03</v>
      </c>
      <c r="B79" s="57" t="s">
        <v>45</v>
      </c>
      <c r="C79" s="405"/>
      <c r="D79" s="406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4"/>
      <c r="AB79" s="364"/>
      <c r="AC79" s="364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25">
      <c r="A80" s="117">
        <v>13</v>
      </c>
      <c r="B80" s="118"/>
      <c r="C80" s="119" t="str">
        <f>"FY "&amp;M4</f>
        <v>FY 2023</v>
      </c>
      <c r="D80" s="120" t="s">
        <v>65</v>
      </c>
      <c r="E80" s="121"/>
      <c r="F80" s="55">
        <f>SUM(F75:F79)</f>
        <v>0</v>
      </c>
      <c r="G80" s="80" t="e">
        <f>SUM(G75:G79)</f>
        <v>#DIV/0!</v>
      </c>
      <c r="H80" s="80" t="e">
        <f>SUM(H75:H79)</f>
        <v>#DIV/0!</v>
      </c>
      <c r="I80" s="80" t="e">
        <f>SUM(I75:I79)</f>
        <v>#DIV/0!</v>
      </c>
      <c r="J80" s="80" t="e">
        <f>SUM(J75:J79)</f>
        <v>#DIV/0!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4"/>
      <c r="AB80" s="364"/>
      <c r="AC80" s="364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13:D13"/>
    <mergeCell ref="M1:N1"/>
    <mergeCell ref="M2:N2"/>
    <mergeCell ref="M3:N3"/>
    <mergeCell ref="M4:N4"/>
    <mergeCell ref="I5:L5"/>
    <mergeCell ref="C8:D8"/>
    <mergeCell ref="AA8:AC8"/>
    <mergeCell ref="C9:D9"/>
    <mergeCell ref="C10:D10"/>
    <mergeCell ref="C11:D11"/>
    <mergeCell ref="C12:D12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C54:D54"/>
    <mergeCell ref="C39:D39"/>
    <mergeCell ref="C41:D41"/>
    <mergeCell ref="C42:D42"/>
    <mergeCell ref="C43:D44"/>
    <mergeCell ref="K45:N45"/>
    <mergeCell ref="E46:J47"/>
    <mergeCell ref="K46:N47"/>
    <mergeCell ref="C50:D50"/>
    <mergeCell ref="C53:D53"/>
    <mergeCell ref="C69:D69"/>
    <mergeCell ref="C55:D55"/>
    <mergeCell ref="C57:D57"/>
    <mergeCell ref="C58:D58"/>
    <mergeCell ref="C59:D59"/>
    <mergeCell ref="C61:D61"/>
    <mergeCell ref="C62:D62"/>
    <mergeCell ref="C63:D63"/>
    <mergeCell ref="C64:D64"/>
    <mergeCell ref="C65:D65"/>
    <mergeCell ref="C66:D66"/>
    <mergeCell ref="C68:D68"/>
    <mergeCell ref="C78:D78"/>
    <mergeCell ref="C79:D79"/>
    <mergeCell ref="C70:D70"/>
    <mergeCell ref="C71:D71"/>
    <mergeCell ref="C72:D72"/>
    <mergeCell ref="C73:D73"/>
    <mergeCell ref="C76:D76"/>
    <mergeCell ref="C77:D77"/>
  </mergeCells>
  <conditionalFormatting sqref="K44">
    <cfRule type="expression" dxfId="63" priority="5">
      <formula>$J$44&lt;0</formula>
    </cfRule>
  </conditionalFormatting>
  <conditionalFormatting sqref="K43">
    <cfRule type="expression" dxfId="62" priority="4">
      <formula>$J$43&lt;0</formula>
    </cfRule>
  </conditionalFormatting>
  <conditionalFormatting sqref="L16">
    <cfRule type="expression" dxfId="61" priority="3">
      <formula>$J$16&lt;0</formula>
    </cfRule>
  </conditionalFormatting>
  <conditionalFormatting sqref="K45">
    <cfRule type="expression" dxfId="60" priority="2">
      <formula>$J$44&lt;0</formula>
    </cfRule>
  </conditionalFormatting>
  <conditionalFormatting sqref="K43:N45">
    <cfRule type="containsText" dxfId="59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04F611D-EE13-46EA-B277-A0ACA6D8689F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558ABC-45C5-4AAF-B550-B86C3455AA16}">
  <sheetPr>
    <tabColor rgb="FFFF0000"/>
    <pageSetUpPr fitToPage="1"/>
  </sheetPr>
  <dimension ref="A1:CP80"/>
  <sheetViews>
    <sheetView showGridLines="0" zoomScaleNormal="100" workbookViewId="0">
      <selection activeCell="C8" sqref="C8:N16"/>
    </sheetView>
  </sheetViews>
  <sheetFormatPr defaultColWidth="9.140625" defaultRowHeight="15.75" x14ac:dyDescent="0.25"/>
  <cols>
    <col min="1" max="1" width="7.85546875" style="124" customWidth="1"/>
    <col min="2" max="2" width="7.7109375" style="125" customWidth="1"/>
    <col min="3" max="3" width="9" style="125" customWidth="1"/>
    <col min="4" max="4" width="39.28515625" style="53" customWidth="1"/>
    <col min="5" max="5" width="13" style="126" customWidth="1"/>
    <col min="6" max="6" width="12.28515625" style="127" customWidth="1"/>
    <col min="7" max="7" width="12.140625" style="127" bestFit="1" customWidth="1"/>
    <col min="8" max="8" width="14.5703125" style="127" customWidth="1"/>
    <col min="9" max="9" width="19.5703125" style="128" bestFit="1" customWidth="1"/>
    <col min="10" max="10" width="13.7109375" style="129" customWidth="1"/>
    <col min="11" max="11" width="13.7109375" style="129" hidden="1" customWidth="1"/>
    <col min="12" max="12" width="18.42578125" style="129" customWidth="1"/>
    <col min="13" max="13" width="16.42578125" style="129" customWidth="1"/>
    <col min="14" max="14" width="16.140625" style="128" customWidth="1"/>
    <col min="15" max="25" width="16.140625" customWidth="1"/>
    <col min="26" max="26" width="16.140625" style="344" customWidth="1"/>
    <col min="27" max="27" width="22.140625" style="334" bestFit="1" customWidth="1"/>
    <col min="28" max="28" width="31.140625" style="334" bestFit="1" customWidth="1"/>
    <col min="29" max="29" width="7.85546875" style="334" bestFit="1" customWidth="1"/>
    <col min="30" max="30" width="9.140625" style="110" customWidth="1"/>
    <col min="31" max="94" width="9.140625" style="17"/>
    <col min="95" max="16384" width="9.140625" style="18"/>
  </cols>
  <sheetData>
    <row r="1" spans="1:94" x14ac:dyDescent="0.25">
      <c r="A1" s="12" t="s">
        <v>13</v>
      </c>
      <c r="B1" s="13"/>
      <c r="C1" s="13"/>
      <c r="D1" s="14" t="s">
        <v>2643</v>
      </c>
      <c r="E1" s="15"/>
      <c r="F1" s="15"/>
      <c r="G1" s="15"/>
      <c r="H1" s="15"/>
      <c r="I1" s="15"/>
      <c r="J1" s="15"/>
      <c r="K1" s="15"/>
      <c r="L1" s="16" t="s">
        <v>14</v>
      </c>
      <c r="M1" s="468">
        <v>240</v>
      </c>
      <c r="N1" s="469"/>
      <c r="AA1" s="364"/>
      <c r="AB1" s="333"/>
      <c r="AC1" s="333"/>
      <c r="AD1" s="325"/>
    </row>
    <row r="2" spans="1:94" ht="20.25" x14ac:dyDescent="0.25">
      <c r="A2" s="19" t="s">
        <v>116</v>
      </c>
      <c r="B2" s="20"/>
      <c r="C2" s="20"/>
      <c r="D2" s="14" t="s">
        <v>2643</v>
      </c>
      <c r="E2" s="21"/>
      <c r="F2" s="21"/>
      <c r="G2" s="21"/>
      <c r="H2" s="21"/>
      <c r="I2" s="21"/>
      <c r="J2" s="20"/>
      <c r="K2" s="20"/>
      <c r="L2" s="22" t="s">
        <v>113</v>
      </c>
      <c r="M2" s="470" t="s">
        <v>2653</v>
      </c>
      <c r="N2" s="471"/>
      <c r="AA2" s="333"/>
      <c r="AB2" s="333"/>
      <c r="AC2" s="333"/>
      <c r="AD2" s="325"/>
    </row>
    <row r="3" spans="1:94" x14ac:dyDescent="0.25">
      <c r="A3" s="19" t="s">
        <v>117</v>
      </c>
      <c r="B3" s="20"/>
      <c r="C3" s="20"/>
      <c r="D3" s="23" t="s">
        <v>2687</v>
      </c>
      <c r="E3" s="24"/>
      <c r="F3" s="25"/>
      <c r="G3" s="25"/>
      <c r="H3" s="25"/>
      <c r="I3" s="26"/>
      <c r="J3" s="20"/>
      <c r="K3" s="20"/>
      <c r="L3" s="22" t="s">
        <v>114</v>
      </c>
      <c r="M3" s="468" t="s">
        <v>781</v>
      </c>
      <c r="N3" s="469"/>
      <c r="AA3" s="364"/>
      <c r="AB3" s="333"/>
      <c r="AC3" s="333"/>
      <c r="AD3" s="325"/>
    </row>
    <row r="4" spans="1:94" x14ac:dyDescent="0.25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68">
        <v>2023</v>
      </c>
      <c r="N4" s="469"/>
      <c r="AA4" s="364"/>
      <c r="AB4" s="333"/>
      <c r="AC4" s="333"/>
      <c r="AD4" s="325"/>
    </row>
    <row r="5" spans="1:94" s="34" customFormat="1" ht="18" customHeight="1" x14ac:dyDescent="0.25">
      <c r="A5" s="19" t="s">
        <v>16</v>
      </c>
      <c r="B5" s="20"/>
      <c r="C5" s="20"/>
      <c r="D5" s="351">
        <v>44440</v>
      </c>
      <c r="E5" s="27"/>
      <c r="F5" s="30"/>
      <c r="G5" s="31"/>
      <c r="H5" s="31" t="s">
        <v>17</v>
      </c>
      <c r="I5" s="470" t="s">
        <v>2651</v>
      </c>
      <c r="J5" s="472"/>
      <c r="K5" s="472"/>
      <c r="L5" s="471"/>
      <c r="M5" s="352" t="s">
        <v>115</v>
      </c>
      <c r="N5" s="32" t="s">
        <v>2652</v>
      </c>
      <c r="O5"/>
      <c r="P5"/>
      <c r="Q5"/>
      <c r="R5"/>
      <c r="S5"/>
      <c r="T5"/>
      <c r="U5"/>
      <c r="V5"/>
      <c r="W5"/>
      <c r="X5"/>
      <c r="Y5"/>
      <c r="Z5" s="344"/>
      <c r="AA5" s="364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25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84</v>
      </c>
      <c r="K6" s="31"/>
      <c r="L6" s="353"/>
      <c r="M6" s="354" t="s">
        <v>85</v>
      </c>
      <c r="N6" s="306"/>
      <c r="AA6" s="364"/>
      <c r="AB6" s="333"/>
      <c r="AC6" s="333"/>
      <c r="AD6" s="325"/>
    </row>
    <row r="7" spans="1:94" x14ac:dyDescent="0.25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25">
      <c r="A8" s="48" t="s">
        <v>20</v>
      </c>
      <c r="B8" s="370" t="s">
        <v>21</v>
      </c>
      <c r="C8" s="473" t="s">
        <v>22</v>
      </c>
      <c r="D8" s="474"/>
      <c r="E8" s="370" t="s">
        <v>23</v>
      </c>
      <c r="F8" s="49" t="s">
        <v>24</v>
      </c>
      <c r="G8" s="50" t="str">
        <f>"FY "&amp;'EMLO|0302-00'!FiscalYear-1&amp;" SALARY"</f>
        <v>FY 2022 SALARY</v>
      </c>
      <c r="H8" s="50" t="str">
        <f>"FY "&amp;'EMLO|0302-00'!FiscalYear-1&amp;" HEALTH BENEFITS"</f>
        <v>FY 2022 HEALTH BENEFITS</v>
      </c>
      <c r="I8" s="50" t="str">
        <f>"FY "&amp;'EMLO|0302-00'!FiscalYear-1&amp;" VAR BENEFITS"</f>
        <v>FY 2022 VAR BENEFITS</v>
      </c>
      <c r="J8" s="50" t="str">
        <f>"FY "&amp;'EMLO|0302-00'!FiscalYear-1&amp;" TOTAL"</f>
        <v>FY 2022 TOTAL</v>
      </c>
      <c r="K8" s="50" t="str">
        <f>"FY "&amp;'EMLO|0302-00'!FiscalYear&amp;" SALARY CHANGE"</f>
        <v>FY 2023 SALARY CHANGE</v>
      </c>
      <c r="L8" s="50" t="str">
        <f>"FY "&amp;'EMLO|0302-00'!FiscalYear&amp;" CHG HEALTH BENEFITS"</f>
        <v>FY 2023 CHG HEALTH BENEFITS</v>
      </c>
      <c r="M8" s="50" t="str">
        <f>"FY "&amp;'EMLO|0302-00'!FiscalYear&amp;" CHG VAR BENEFITS"</f>
        <v>FY 2023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64" t="s">
        <v>105</v>
      </c>
      <c r="AB8" s="464"/>
      <c r="AC8" s="464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25">
      <c r="A9" s="139"/>
      <c r="B9" s="140"/>
      <c r="C9" s="465" t="s">
        <v>26</v>
      </c>
      <c r="D9" s="466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4" t="s">
        <v>94</v>
      </c>
      <c r="AB9" s="333" t="s">
        <v>95</v>
      </c>
      <c r="AC9" s="333" t="s">
        <v>106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25">
      <c r="A10" s="139"/>
      <c r="B10" s="139"/>
      <c r="C10" s="444" t="s">
        <v>27</v>
      </c>
      <c r="D10" s="467"/>
      <c r="E10" s="217">
        <v>1</v>
      </c>
      <c r="F10" s="288">
        <f>[0]!EMLO030200col_INC_FTI</f>
        <v>0</v>
      </c>
      <c r="G10" s="218">
        <f>[0]!EMLO030200col_FTI_SALARY_PERM</f>
        <v>0</v>
      </c>
      <c r="H10" s="218">
        <f>[0]!EMLO030200col_HEALTH_PERM</f>
        <v>0</v>
      </c>
      <c r="I10" s="218">
        <f>[0]!EMLO030200col_TOT_VB_PERM</f>
        <v>0</v>
      </c>
      <c r="J10" s="219">
        <f>SUM(G10:I10)</f>
        <v>0</v>
      </c>
      <c r="K10" s="219">
        <f>[0]!EMLO030200col_1_27TH_PP</f>
        <v>0</v>
      </c>
      <c r="L10" s="218">
        <f>[0]!EMLO030200col_HEALTH_PERM_CHG</f>
        <v>0</v>
      </c>
      <c r="M10" s="218">
        <f>[0]!EMLO030200col_TOT_VB_PERM_CHG</f>
        <v>0</v>
      </c>
      <c r="N10" s="218">
        <f>SUM(L10:M10)</f>
        <v>0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0</v>
      </c>
      <c r="AB10" s="335">
        <f>ROUND(PermVarBen*CECPerm+(CECPerm*PermVarBenChg),-2)</f>
        <v>0</v>
      </c>
      <c r="AC10" s="335">
        <f>SUM(AA10:AB10)</f>
        <v>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25">
      <c r="A11" s="139"/>
      <c r="B11" s="139"/>
      <c r="C11" s="444" t="s">
        <v>28</v>
      </c>
      <c r="D11" s="467"/>
      <c r="E11" s="217">
        <v>2</v>
      </c>
      <c r="F11" s="288"/>
      <c r="G11" s="218">
        <f>[0]!EMLO030200col_Group_Salary</f>
        <v>0</v>
      </c>
      <c r="H11" s="218">
        <v>0</v>
      </c>
      <c r="I11" s="218">
        <f>[0]!EMLO030200col_Group_Ben</f>
        <v>0</v>
      </c>
      <c r="J11" s="219">
        <f>SUM(G11:I11)</f>
        <v>0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0</v>
      </c>
      <c r="AB11" s="335">
        <f>ROUND((GroupSalary*GroupVBBY)*CECGroup,-2)</f>
        <v>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25">
      <c r="A12" s="139"/>
      <c r="B12" s="139"/>
      <c r="C12" s="444" t="s">
        <v>29</v>
      </c>
      <c r="D12" s="445"/>
      <c r="E12" s="217">
        <v>3</v>
      </c>
      <c r="F12" s="288">
        <f>[0]!EMLO030200col_TOTAL_ELECT_PCN_FTI</f>
        <v>0</v>
      </c>
      <c r="G12" s="218">
        <f>[0]!EMLO030200col_FTI_SALARY_ELECT</f>
        <v>0</v>
      </c>
      <c r="H12" s="218">
        <f>[0]!EMLO030200col_HEALTH_ELECT</f>
        <v>0</v>
      </c>
      <c r="I12" s="218">
        <f>[0]!EMLO030200col_TOT_VB_ELECT</f>
        <v>0</v>
      </c>
      <c r="J12" s="219">
        <f>SUM(G12:I12)</f>
        <v>0</v>
      </c>
      <c r="K12" s="268"/>
      <c r="L12" s="218">
        <f>[0]!EMLO030200col_HEALTH_ELECT_CHG</f>
        <v>0</v>
      </c>
      <c r="M12" s="218">
        <f>[0]!EMLO030200col_TOT_VB_ELECT_CHG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25">
      <c r="A13" s="139"/>
      <c r="B13" s="139"/>
      <c r="C13" s="444" t="s">
        <v>30</v>
      </c>
      <c r="D13" s="467"/>
      <c r="E13" s="217"/>
      <c r="F13" s="220">
        <f>SUM(F10:F12)</f>
        <v>0</v>
      </c>
      <c r="G13" s="221">
        <f>SUM(G10:G12)</f>
        <v>0</v>
      </c>
      <c r="H13" s="221">
        <f>SUM(H10:H12)</f>
        <v>0</v>
      </c>
      <c r="I13" s="221">
        <f>SUM(I10:I12)</f>
        <v>0</v>
      </c>
      <c r="J13" s="219">
        <f>SUM(G13:I13)</f>
        <v>0</v>
      </c>
      <c r="K13" s="268"/>
      <c r="L13" s="219">
        <f>SUM(L10:L12)</f>
        <v>0</v>
      </c>
      <c r="M13" s="219">
        <f>SUM(M10:M12)</f>
        <v>0</v>
      </c>
      <c r="N13" s="219">
        <f>SUM(N10:N12)</f>
        <v>0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5" customHeight="1" x14ac:dyDescent="0.25">
      <c r="A14" s="139"/>
      <c r="B14" s="139"/>
      <c r="C14" s="365"/>
      <c r="D14" s="371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25">
      <c r="A15" s="139"/>
      <c r="B15" s="156"/>
      <c r="C15" s="157" t="str">
        <f>"FY "&amp;'EMLO|0302-00'!FiscalYear-1</f>
        <v>FY 2022</v>
      </c>
      <c r="D15" s="158" t="s">
        <v>31</v>
      </c>
      <c r="E15" s="355">
        <v>1046900</v>
      </c>
      <c r="F15" s="55">
        <v>13.02</v>
      </c>
      <c r="G15" s="223" t="e">
        <f>IF(OrigApprop=0,0,(G13/$J$13)*OrigApprop)</f>
        <v>#DIV/0!</v>
      </c>
      <c r="H15" s="223" t="e">
        <f>IF(OrigApprop=0,0,(H13/$J$13)*OrigApprop)</f>
        <v>#DIV/0!</v>
      </c>
      <c r="I15" s="223" t="e">
        <f>IF(G15=0,0,(I13/$J$13)*OrigApprop)</f>
        <v>#DIV/0!</v>
      </c>
      <c r="J15" s="223" t="e">
        <f>SUM(G15:I15)</f>
        <v>#DIV/0!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25">
      <c r="A16" s="139"/>
      <c r="B16" s="139"/>
      <c r="C16" s="454" t="s">
        <v>32</v>
      </c>
      <c r="D16" s="455"/>
      <c r="E16" s="160" t="s">
        <v>33</v>
      </c>
      <c r="F16" s="161">
        <f>F15-F13</f>
        <v>13.02</v>
      </c>
      <c r="G16" s="162" t="e">
        <f>G15-G13</f>
        <v>#DIV/0!</v>
      </c>
      <c r="H16" s="162" t="e">
        <f>H15-H13</f>
        <v>#DIV/0!</v>
      </c>
      <c r="I16" s="162" t="e">
        <f>I15-I13</f>
        <v>#DIV/0!</v>
      </c>
      <c r="J16" s="162" t="e">
        <f>J15-J13</f>
        <v>#DIV/0!</v>
      </c>
      <c r="K16" s="269"/>
      <c r="L16" s="56" t="e">
        <f>IF('EMLO|0302-00'!OrigApprop=0,"ERROR! Enter Original Appropriation amount in DU 3.00!","Calculated "&amp;IF('EMLO|0302-00'!AdjustedTotal&gt;0,"overfunding ","underfunding ")&amp;"is "&amp;TEXT('EMLO|0302-00'!AdjustedTotal/'EMLO|0302-00'!AppropTotal,"#.0%;(#.0% );0% ;")&amp;" of Original Appropriation")</f>
        <v>#DIV/0!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25">
      <c r="A17" s="139"/>
      <c r="B17" s="139"/>
      <c r="C17" s="456" t="s">
        <v>34</v>
      </c>
      <c r="D17" s="457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25">
      <c r="A18" s="139"/>
      <c r="B18" s="168"/>
      <c r="C18" s="458" t="s">
        <v>35</v>
      </c>
      <c r="D18" s="459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5.5" x14ac:dyDescent="0.25">
      <c r="A19" s="238"/>
      <c r="B19" s="202"/>
      <c r="C19" s="239" t="s">
        <v>86</v>
      </c>
      <c r="D19" s="240" t="s">
        <v>87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4"/>
      <c r="AB19" s="364"/>
      <c r="AC19" s="364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5" x14ac:dyDescent="0.25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4"/>
      <c r="AB20" s="364"/>
      <c r="AC20" s="364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5" x14ac:dyDescent="0.25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4"/>
      <c r="AB21" s="364"/>
      <c r="AC21" s="364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5" x14ac:dyDescent="0.25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4"/>
      <c r="AB22" s="364"/>
      <c r="AC22" s="364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5" x14ac:dyDescent="0.25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4"/>
      <c r="AB23" s="364"/>
      <c r="AC23" s="364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5" x14ac:dyDescent="0.25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4"/>
      <c r="AC24" s="364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5" x14ac:dyDescent="0.25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4"/>
      <c r="AC25" s="364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5" x14ac:dyDescent="0.25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4"/>
      <c r="AC26" s="364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5" x14ac:dyDescent="0.25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4"/>
      <c r="AB27" s="364"/>
      <c r="AC27" s="364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5" x14ac:dyDescent="0.25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4"/>
      <c r="AB28" s="364"/>
      <c r="AC28" s="364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5" x14ac:dyDescent="0.25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4"/>
      <c r="AB29" s="364"/>
      <c r="AC29" s="364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5" x14ac:dyDescent="0.25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4"/>
      <c r="AB30" s="364"/>
      <c r="AC30" s="364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5" x14ac:dyDescent="0.25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4"/>
      <c r="AB31" s="364"/>
      <c r="AC31" s="364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5" x14ac:dyDescent="0.25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4"/>
      <c r="AB32" s="364"/>
      <c r="AC32" s="364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5" x14ac:dyDescent="0.25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4"/>
      <c r="AB33" s="364"/>
      <c r="AC33" s="364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5" x14ac:dyDescent="0.25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4"/>
      <c r="AB34" s="364"/>
      <c r="AC34" s="364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5" x14ac:dyDescent="0.25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4"/>
      <c r="AB35" s="364"/>
      <c r="AC35" s="364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5" x14ac:dyDescent="0.25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4" t="s">
        <v>94</v>
      </c>
      <c r="AB36" s="333" t="s">
        <v>95</v>
      </c>
      <c r="AC36" s="333" t="s">
        <v>106</v>
      </c>
      <c r="AD36" s="330"/>
    </row>
    <row r="37" spans="1:94" s="153" customFormat="1" ht="17.25" customHeight="1" x14ac:dyDescent="0.25">
      <c r="A37" s="139"/>
      <c r="B37" s="188"/>
      <c r="C37" s="460" t="s">
        <v>37</v>
      </c>
      <c r="D37" s="461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62" t="s">
        <v>107</v>
      </c>
      <c r="AB37" s="463"/>
      <c r="AC37" s="463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5" x14ac:dyDescent="0.25">
      <c r="A38" s="139"/>
      <c r="B38" s="188"/>
      <c r="C38" s="444" t="str">
        <f>perm_name</f>
        <v>Permanent Positions</v>
      </c>
      <c r="D38" s="445"/>
      <c r="E38" s="189">
        <v>1</v>
      </c>
      <c r="F38" s="190">
        <f>SUMIF($E9:$E35,$E38,$F9:$F35)</f>
        <v>0</v>
      </c>
      <c r="G38" s="191">
        <f>SUMIF($E10:$E35,$E38,$G10:$G35)</f>
        <v>0</v>
      </c>
      <c r="H38" s="192">
        <f>SUMIF($E10:$E35,$E38,$H10:$H35)</f>
        <v>0</v>
      </c>
      <c r="I38" s="192">
        <f>SUMIF($E10:$E35,$E38,$I10:$I35)</f>
        <v>0</v>
      </c>
      <c r="J38" s="192">
        <f>SUM(G38:I38)</f>
        <v>0</v>
      </c>
      <c r="K38" s="166"/>
      <c r="L38" s="191">
        <f>SUMIF($E10:$E35,$E38,$L10:$L35)</f>
        <v>0</v>
      </c>
      <c r="M38" s="192">
        <f>SUMIF($E10:$E35,$E38,$M10:$M35)</f>
        <v>0</v>
      </c>
      <c r="N38" s="192">
        <f>SUM(L38:M38)</f>
        <v>0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0</v>
      </c>
      <c r="AB38" s="338">
        <f>ROUND((AdjPermVB*CECPerm+AdjPermVBBY*CECPerm),-2)</f>
        <v>0</v>
      </c>
      <c r="AC38" s="338">
        <f>SUM(AA38:AB38)</f>
        <v>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5" x14ac:dyDescent="0.25">
      <c r="A39" s="139"/>
      <c r="B39" s="188"/>
      <c r="C39" s="444" t="str">
        <f>Group_name</f>
        <v>Board &amp; Group Positions</v>
      </c>
      <c r="D39" s="445"/>
      <c r="E39" s="189">
        <v>2</v>
      </c>
      <c r="F39" s="151">
        <f>SUMIF($E9:$E35,$E39,$F9:$F35)</f>
        <v>0</v>
      </c>
      <c r="G39" s="193">
        <f>SUMIF($E10:$E35,$E39,$G10:$G35)</f>
        <v>0</v>
      </c>
      <c r="H39" s="152">
        <f>SUMIF($E10:$E35,$E39,$H10:$H35)</f>
        <v>0</v>
      </c>
      <c r="I39" s="152">
        <f>SUMIF($E10:$E35,$E39,$I10:$I35)</f>
        <v>0</v>
      </c>
      <c r="J39" s="152">
        <f>SUM(G39:I39)</f>
        <v>0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0</v>
      </c>
      <c r="AB39" s="338">
        <f>ROUND(AdjGroupVB*CECGroup,-2)</f>
        <v>0</v>
      </c>
      <c r="AC39" s="338">
        <f>SUM(AA39:AB39)</f>
        <v>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5" x14ac:dyDescent="0.25">
      <c r="A40" s="139"/>
      <c r="B40" s="188"/>
      <c r="C40" s="365" t="str">
        <f>Elect_name</f>
        <v>Elected Officials &amp; Full Time Commissioners</v>
      </c>
      <c r="D40" s="366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4"/>
      <c r="AB40" s="364"/>
      <c r="AC40" s="364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5" x14ac:dyDescent="0.25">
      <c r="A41" s="139"/>
      <c r="B41" s="188"/>
      <c r="C41" s="444" t="s">
        <v>38</v>
      </c>
      <c r="D41" s="445"/>
      <c r="E41" s="189"/>
      <c r="F41" s="161">
        <f>SUM(F38:F40)</f>
        <v>0</v>
      </c>
      <c r="G41" s="195">
        <f>SUM($G$38:$G$40)</f>
        <v>0</v>
      </c>
      <c r="H41" s="162">
        <f>SUM($H$38:$H$40)</f>
        <v>0</v>
      </c>
      <c r="I41" s="162">
        <f>SUM($I$38:$I$40)</f>
        <v>0</v>
      </c>
      <c r="J41" s="162">
        <f>SUM($J$38:$J$40)</f>
        <v>0</v>
      </c>
      <c r="K41" s="259"/>
      <c r="L41" s="195">
        <f>SUM($L$38:$L$40)</f>
        <v>0</v>
      </c>
      <c r="M41" s="162">
        <f>SUM($M$38:$M$40)</f>
        <v>0</v>
      </c>
      <c r="N41" s="162">
        <f>SUM(L41:M41)</f>
        <v>0</v>
      </c>
      <c r="O41"/>
      <c r="P41"/>
      <c r="Q41"/>
      <c r="R41"/>
      <c r="S41"/>
      <c r="T41"/>
      <c r="U41"/>
      <c r="V41"/>
      <c r="W41"/>
      <c r="X41"/>
      <c r="Y41"/>
      <c r="Z41" s="344"/>
      <c r="AA41" s="364" t="s">
        <v>94</v>
      </c>
      <c r="AB41" s="333" t="s">
        <v>95</v>
      </c>
      <c r="AC41" s="333" t="s">
        <v>106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25">
      <c r="A42" s="139"/>
      <c r="B42" s="188"/>
      <c r="C42" s="446"/>
      <c r="D42" s="447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4"/>
      <c r="AB42" s="364"/>
      <c r="AC42" s="364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25">
      <c r="A43" s="139"/>
      <c r="B43" s="202"/>
      <c r="C43" s="448" t="s">
        <v>39</v>
      </c>
      <c r="D43" s="449"/>
      <c r="E43" s="203" t="s">
        <v>40</v>
      </c>
      <c r="F43" s="205">
        <f>ROUND(F51-F41,2)</f>
        <v>13.02</v>
      </c>
      <c r="G43" s="206" t="e">
        <f>ROUND(G51-G41,-2)</f>
        <v>#DIV/0!</v>
      </c>
      <c r="H43" s="159" t="e">
        <f>ROUND(H51-H41,-2)</f>
        <v>#DIV/0!</v>
      </c>
      <c r="I43" s="159" t="e">
        <f>ROUND(I51-I41,-2)</f>
        <v>#DIV/0!</v>
      </c>
      <c r="J43" s="159" t="e">
        <f>SUM(G43:I43)</f>
        <v>#DIV/0!</v>
      </c>
      <c r="K43" s="425" t="e">
        <f>IF(E51=0,"ERROR! Enter Original Appropriation amount in DU 3.00!","Calculated "&amp;IF(J43&gt;0,"overfunding ","underfunding ")&amp;"is "&amp;TEXT(J43/J51,"#.0%;(#.0% );0% ;")&amp;" of Original Appropriation")</f>
        <v>#DIV/0!</v>
      </c>
      <c r="L43" s="426"/>
      <c r="M43" s="426"/>
      <c r="N43" s="427"/>
      <c r="O43"/>
      <c r="P43"/>
      <c r="Q43"/>
      <c r="R43"/>
      <c r="S43"/>
      <c r="T43"/>
      <c r="U43"/>
      <c r="V43"/>
      <c r="W43"/>
      <c r="X43"/>
      <c r="Y43"/>
      <c r="Z43" s="344"/>
      <c r="AA43" s="452" t="s">
        <v>108</v>
      </c>
      <c r="AB43" s="453"/>
      <c r="AC43" s="453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25">
      <c r="A44" s="139"/>
      <c r="B44" s="202"/>
      <c r="C44" s="450"/>
      <c r="D44" s="451"/>
      <c r="E44" s="204" t="s">
        <v>41</v>
      </c>
      <c r="F44" s="205">
        <f>ROUND(F60-F41,2)</f>
        <v>13.02</v>
      </c>
      <c r="G44" s="206" t="e">
        <f>ROUND(G60-G41,-2)</f>
        <v>#DIV/0!</v>
      </c>
      <c r="H44" s="159" t="e">
        <f>ROUND(H60-H41,-2)</f>
        <v>#DIV/0!</v>
      </c>
      <c r="I44" s="159" t="e">
        <f>ROUND(I60-I41,-2)</f>
        <v>#DIV/0!</v>
      </c>
      <c r="J44" s="159" t="e">
        <f>SUM(G44:I44)</f>
        <v>#DIV/0!</v>
      </c>
      <c r="K44" s="425" t="e">
        <f>IF(E51=0,"ERROR! Enter Original Appropriation amount in DU 3.00!","Calculated "&amp;IF(J44&gt;0,"overfunding ","underfunding ")&amp;"is "&amp;TEXT(J44/J60,"#.0%;(#.0% );0% ;")&amp;" of Estimated Expenditures")</f>
        <v>#DIV/0!</v>
      </c>
      <c r="L44" s="426"/>
      <c r="M44" s="426"/>
      <c r="N44" s="427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25">
      <c r="A45" s="139"/>
      <c r="B45" s="202"/>
      <c r="C45" s="215"/>
      <c r="D45" s="215"/>
      <c r="E45" s="204" t="s">
        <v>99</v>
      </c>
      <c r="F45" s="205">
        <f>ROUND(F67-F41-F63,2)</f>
        <v>13.02</v>
      </c>
      <c r="G45" s="206" t="e">
        <f>ROUND(G67-G41-G63,-2)</f>
        <v>#DIV/0!</v>
      </c>
      <c r="H45" s="206" t="e">
        <f>ROUND(H67-H41-H63,-2)</f>
        <v>#DIV/0!</v>
      </c>
      <c r="I45" s="206" t="e">
        <f>ROUND(I67-I41-I63,-2)</f>
        <v>#DIV/0!</v>
      </c>
      <c r="J45" s="159" t="e">
        <f>SUM(G45:I45)</f>
        <v>#DIV/0!</v>
      </c>
      <c r="K45" s="425" t="e">
        <f>IF(J67=0,"Program has a zero base",IF(E51=0,"ERROR! Enter Original Appropriation amount in DU 3.00!","Calculated "&amp;IF(J45&gt;0,"overfunding ","underfunding ")&amp;"is "&amp;TEXT(J45/J67,"#.0%;(#.0% );0% ;")&amp;" of the Base"))</f>
        <v>#DIV/0!</v>
      </c>
      <c r="L45" s="426"/>
      <c r="M45" s="426"/>
      <c r="N45" s="427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0</v>
      </c>
      <c r="AC45" s="338">
        <f>SUM(AA45:AB45)</f>
        <v>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25">
      <c r="A46" s="139"/>
      <c r="B46" s="202"/>
      <c r="C46" s="215"/>
      <c r="D46" s="215"/>
      <c r="E46" s="428" t="s">
        <v>100</v>
      </c>
      <c r="F46" s="429"/>
      <c r="G46" s="429"/>
      <c r="H46" s="429"/>
      <c r="I46" s="429"/>
      <c r="J46" s="430"/>
      <c r="K46" s="434" t="e">
        <f>IF(OR(J45&lt;0,F45&lt;0),"You may not have sufficient funding or authorized FTP, and may need to make additional adjustments to finalize this form.  Please contact both your DFM and LSO analysts.","")</f>
        <v>#DIV/0!</v>
      </c>
      <c r="L46" s="435"/>
      <c r="M46" s="435"/>
      <c r="N46" s="436"/>
      <c r="O46"/>
      <c r="P46"/>
      <c r="Q46"/>
      <c r="R46"/>
      <c r="S46"/>
      <c r="T46"/>
      <c r="U46"/>
      <c r="V46"/>
      <c r="W46"/>
      <c r="X46"/>
      <c r="Y46"/>
      <c r="Z46" s="344"/>
      <c r="AA46" s="364"/>
      <c r="AB46" s="364"/>
      <c r="AC46" s="364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25">
      <c r="A47" s="139"/>
      <c r="B47" s="202"/>
      <c r="C47" s="215"/>
      <c r="D47" s="215"/>
      <c r="E47" s="431"/>
      <c r="F47" s="432"/>
      <c r="G47" s="432"/>
      <c r="H47" s="432"/>
      <c r="I47" s="432"/>
      <c r="J47" s="433"/>
      <c r="K47" s="437"/>
      <c r="L47" s="438"/>
      <c r="M47" s="438"/>
      <c r="N47" s="439"/>
      <c r="O47"/>
      <c r="P47"/>
      <c r="Q47"/>
      <c r="R47"/>
      <c r="S47"/>
      <c r="T47"/>
      <c r="U47"/>
      <c r="V47"/>
      <c r="W47"/>
      <c r="X47"/>
      <c r="Y47"/>
      <c r="Z47" s="344"/>
      <c r="AA47" s="364"/>
      <c r="AB47" s="364"/>
      <c r="AC47" s="364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25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25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4"/>
      <c r="AB49" s="364"/>
      <c r="AC49" s="364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25">
      <c r="A50" s="257" t="s">
        <v>42</v>
      </c>
      <c r="B50" s="71"/>
      <c r="C50" s="440"/>
      <c r="D50" s="441"/>
      <c r="E50" s="72" t="s">
        <v>43</v>
      </c>
      <c r="F50" s="73" t="s">
        <v>24</v>
      </c>
      <c r="G50" s="72" t="str">
        <f>"FY "&amp;M4-2001&amp;" Salary"</f>
        <v>FY 22 Salary</v>
      </c>
      <c r="H50" s="72" t="str">
        <f>"FY "&amp;M4-2001&amp;" Health Ben"</f>
        <v>FY 22 Health Ben</v>
      </c>
      <c r="I50" s="72" t="str">
        <f>"FY "&amp;M4-2001&amp;" Var Ben"</f>
        <v>FY 22 Var Ben</v>
      </c>
      <c r="J50" s="72" t="str">
        <f>"FY "&amp;M4-1&amp;" Total"</f>
        <v>FY 2022 Total</v>
      </c>
      <c r="K50" s="307" t="str">
        <f>"FY "&amp;FiscalYear&amp;" SALARY CHG"</f>
        <v>FY 2023 SALARY CHG</v>
      </c>
      <c r="L50" s="74" t="str">
        <f>"FY "&amp;M4-2000&amp;" Chg Health Bens"</f>
        <v>FY 23 Chg Health Bens</v>
      </c>
      <c r="M50" s="74" t="str">
        <f>"FY "&amp;M4-2000&amp;" Chg Var Bens"</f>
        <v>FY 23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4"/>
      <c r="AB50" s="364"/>
      <c r="AC50" s="364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25">
      <c r="A51" s="75">
        <v>3</v>
      </c>
      <c r="B51" s="76" t="s">
        <v>45</v>
      </c>
      <c r="C51" s="54" t="str">
        <f>"FY "&amp;M4-1</f>
        <v>FY 2022</v>
      </c>
      <c r="D51" s="77" t="s">
        <v>31</v>
      </c>
      <c r="E51" s="78">
        <f>OrigApprop</f>
        <v>1046900</v>
      </c>
      <c r="F51" s="272">
        <f>AppropFTP</f>
        <v>13.02</v>
      </c>
      <c r="G51" s="274" t="e">
        <f>IF(E51=0,0,(G41/$J$41)*$E$51)</f>
        <v>#DIV/0!</v>
      </c>
      <c r="H51" s="274" t="e">
        <f>IF(E51=0,0,(H41/$J$41)*$E$51)</f>
        <v>#DIV/0!</v>
      </c>
      <c r="I51" s="275" t="e">
        <f>IF(E51=0,0,(I41/$J$41)*$E$51)</f>
        <v>#DIV/0!</v>
      </c>
      <c r="J51" s="90" t="e">
        <f>SUM(G51:I51)</f>
        <v>#DIV/0!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4"/>
      <c r="AC51" s="364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25">
      <c r="A52" s="82"/>
      <c r="B52" s="83"/>
      <c r="C52" s="84"/>
      <c r="D52" s="132" t="s">
        <v>46</v>
      </c>
      <c r="E52" s="133"/>
      <c r="F52" s="55">
        <f>F51</f>
        <v>13.02</v>
      </c>
      <c r="G52" s="79" t="e">
        <f>ROUND(G51,-2)</f>
        <v>#DIV/0!</v>
      </c>
      <c r="H52" s="79" t="e">
        <f>ROUND(H51,-2)</f>
        <v>#DIV/0!</v>
      </c>
      <c r="I52" s="266" t="e">
        <f>ROUND(I51,-2)</f>
        <v>#DIV/0!</v>
      </c>
      <c r="J52" s="80" t="e">
        <f>ROUND(J51,-2)</f>
        <v>#DIV/0!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4"/>
      <c r="AC52" s="364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5" x14ac:dyDescent="0.25">
      <c r="A53" s="85"/>
      <c r="B53" s="83"/>
      <c r="C53" s="442" t="s">
        <v>47</v>
      </c>
      <c r="D53" s="443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4"/>
      <c r="AB53" s="364"/>
      <c r="AC53" s="364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25">
      <c r="A54" s="85">
        <v>4.1100000000000003</v>
      </c>
      <c r="B54" s="83"/>
      <c r="C54" s="409" t="s">
        <v>48</v>
      </c>
      <c r="D54" s="410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4"/>
      <c r="AB54" s="364"/>
      <c r="AC54" s="364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25">
      <c r="A55" s="85">
        <v>4.3099999999999996</v>
      </c>
      <c r="B55" s="83"/>
      <c r="C55" s="422" t="s">
        <v>49</v>
      </c>
      <c r="D55" s="423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4"/>
      <c r="AB55" s="364"/>
      <c r="AC55" s="364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25">
      <c r="A56" s="75">
        <v>5</v>
      </c>
      <c r="B56" s="76"/>
      <c r="C56" s="54" t="str">
        <f>"FY "&amp;M4-1</f>
        <v>FY 2022</v>
      </c>
      <c r="D56" s="131" t="s">
        <v>50</v>
      </c>
      <c r="E56" s="135"/>
      <c r="F56" s="55">
        <f>SUM(F52:F55)</f>
        <v>13.02</v>
      </c>
      <c r="G56" s="80" t="e">
        <f>SUM(G52:G55)</f>
        <v>#DIV/0!</v>
      </c>
      <c r="H56" s="80" t="e">
        <f>SUM(H52:H55)</f>
        <v>#DIV/0!</v>
      </c>
      <c r="I56" s="260" t="e">
        <f>SUM(I52:I55)</f>
        <v>#DIV/0!</v>
      </c>
      <c r="J56" s="80" t="e">
        <f>SUM(J52:J55)</f>
        <v>#DIV/0!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4"/>
      <c r="AB56" s="364"/>
      <c r="AC56" s="364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25">
      <c r="A57" s="85"/>
      <c r="B57" s="83"/>
      <c r="C57" s="420" t="s">
        <v>51</v>
      </c>
      <c r="D57" s="424"/>
      <c r="E57" s="368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4"/>
      <c r="AB57" s="364"/>
      <c r="AC57" s="364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25">
      <c r="A58" s="85">
        <v>6.31</v>
      </c>
      <c r="B58" s="83"/>
      <c r="C58" s="409" t="s">
        <v>52</v>
      </c>
      <c r="D58" s="410"/>
      <c r="E58" s="102"/>
      <c r="F58" s="58">
        <v>0</v>
      </c>
      <c r="G58" s="88">
        <v>0</v>
      </c>
      <c r="H58" s="88">
        <v>0</v>
      </c>
      <c r="I58" s="265">
        <v>0</v>
      </c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4"/>
      <c r="AB58" s="364"/>
      <c r="AC58" s="364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25">
      <c r="A59" s="85">
        <v>6.51</v>
      </c>
      <c r="B59" s="83"/>
      <c r="C59" s="422" t="s">
        <v>66</v>
      </c>
      <c r="D59" s="423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4"/>
      <c r="AB59" s="364"/>
      <c r="AC59" s="364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25">
      <c r="A60" s="75">
        <v>7</v>
      </c>
      <c r="B60" s="76"/>
      <c r="C60" s="54" t="str">
        <f>"FY "&amp;M4-1</f>
        <v>FY 2022</v>
      </c>
      <c r="D60" s="131" t="s">
        <v>53</v>
      </c>
      <c r="E60" s="135"/>
      <c r="F60" s="55">
        <f>SUM(F56:F59)</f>
        <v>13.02</v>
      </c>
      <c r="G60" s="80" t="e">
        <f>SUM(G56:G59)</f>
        <v>#DIV/0!</v>
      </c>
      <c r="H60" s="80" t="e">
        <f>SUM(H56:H59)</f>
        <v>#DIV/0!</v>
      </c>
      <c r="I60" s="260" t="e">
        <f>SUM(I56:I59)</f>
        <v>#DIV/0!</v>
      </c>
      <c r="J60" s="80" t="e">
        <f>SUM(J56:J59)</f>
        <v>#DIV/0!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4"/>
      <c r="AB60" s="364"/>
      <c r="AC60" s="364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25">
      <c r="A61" s="85"/>
      <c r="B61" s="83"/>
      <c r="C61" s="420" t="s">
        <v>54</v>
      </c>
      <c r="D61" s="424"/>
      <c r="E61" s="368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4"/>
      <c r="AB61" s="364"/>
      <c r="AC61" s="364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25">
      <c r="A62" s="85">
        <v>8.31</v>
      </c>
      <c r="B62" s="83"/>
      <c r="C62" s="409" t="s">
        <v>67</v>
      </c>
      <c r="D62" s="410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4"/>
      <c r="AB62" s="364"/>
      <c r="AC62" s="364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25">
      <c r="A63" s="85">
        <v>8.41</v>
      </c>
      <c r="B63" s="83"/>
      <c r="C63" s="409" t="s">
        <v>55</v>
      </c>
      <c r="D63" s="410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4"/>
      <c r="AB63" s="364"/>
      <c r="AC63" s="364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">
      <c r="A64" s="93">
        <v>8.51</v>
      </c>
      <c r="B64" s="93"/>
      <c r="C64" s="414" t="s">
        <v>56</v>
      </c>
      <c r="D64" s="415"/>
      <c r="E64" s="134"/>
      <c r="F64" s="58">
        <v>0</v>
      </c>
      <c r="G64" s="88"/>
      <c r="H64" s="88">
        <v>0</v>
      </c>
      <c r="I64" s="265"/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4"/>
      <c r="AB64" s="364"/>
      <c r="AC64" s="364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25">
      <c r="A65" s="94"/>
      <c r="B65" s="95"/>
      <c r="C65" s="416"/>
      <c r="D65" s="417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4"/>
      <c r="AB65" s="364"/>
      <c r="AC65" s="364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5" x14ac:dyDescent="0.25">
      <c r="A66" s="100"/>
      <c r="B66" s="101"/>
      <c r="C66" s="418"/>
      <c r="D66" s="419"/>
      <c r="E66" s="102"/>
      <c r="F66" s="103" t="s">
        <v>24</v>
      </c>
      <c r="G66" s="104" t="str">
        <f>"FY "&amp;M4-2000&amp;" Salary"</f>
        <v>FY 23 Salary</v>
      </c>
      <c r="H66" s="104" t="str">
        <f>"FY"&amp;M4-2000&amp;" Health Ben"</f>
        <v>FY23 Health Ben</v>
      </c>
      <c r="I66" s="104" t="str">
        <f>"FY "&amp;M4-2000&amp;" Var Ben"</f>
        <v>FY 23 Var Ben</v>
      </c>
      <c r="J66" s="104" t="str">
        <f>"FY "&amp;M4&amp;" Total"</f>
        <v>FY 2023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5" x14ac:dyDescent="0.25">
      <c r="A67" s="82">
        <v>9</v>
      </c>
      <c r="B67" s="83"/>
      <c r="C67" s="84" t="str">
        <f>"FY "&amp;M4</f>
        <v>FY 2023</v>
      </c>
      <c r="D67" s="108" t="s">
        <v>57</v>
      </c>
      <c r="E67" s="109"/>
      <c r="F67" s="55">
        <f>SUM(F60:F64)</f>
        <v>13.02</v>
      </c>
      <c r="G67" s="80" t="e">
        <f>SUM(G60:G64)</f>
        <v>#DIV/0!</v>
      </c>
      <c r="H67" s="80" t="e">
        <f>SUM(H60:H64)</f>
        <v>#DIV/0!</v>
      </c>
      <c r="I67" s="80" t="e">
        <f>SUM(I60:I64)</f>
        <v>#DIV/0!</v>
      </c>
      <c r="J67" s="80" t="e">
        <f>SUM(J60:J64)</f>
        <v>#DIV/0!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4"/>
      <c r="AB67" s="364"/>
      <c r="AC67" s="364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25">
      <c r="A68" s="85">
        <v>10.11</v>
      </c>
      <c r="B68" s="83"/>
      <c r="C68" s="420" t="s">
        <v>58</v>
      </c>
      <c r="D68" s="421"/>
      <c r="E68" s="112"/>
      <c r="F68" s="288"/>
      <c r="G68" s="287"/>
      <c r="H68" s="113" t="e">
        <f>IF(DUNine=0,0,ROUND(SUM(L41:L65),-2))</f>
        <v>#DIV/0!</v>
      </c>
      <c r="I68" s="113"/>
      <c r="J68" s="287" t="e">
        <f>SUM(G68:I68)</f>
        <v>#DIV/0!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4"/>
      <c r="AB68" s="364"/>
      <c r="AC68" s="364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5" x14ac:dyDescent="0.25">
      <c r="A69" s="85">
        <v>10.119999999999999</v>
      </c>
      <c r="B69" s="83"/>
      <c r="C69" s="420" t="s">
        <v>59</v>
      </c>
      <c r="D69" s="421"/>
      <c r="E69" s="112"/>
      <c r="F69" s="288"/>
      <c r="G69" s="113"/>
      <c r="H69" s="113"/>
      <c r="I69" s="113" t="e">
        <f>IF(DUNine=0,0,ROUND(SUM(M41:M64),-2))</f>
        <v>#DIV/0!</v>
      </c>
      <c r="J69" s="287" t="e">
        <f>SUM(G69:I69)</f>
        <v>#DIV/0!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4"/>
      <c r="AB69" s="364"/>
      <c r="AC69" s="364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5" x14ac:dyDescent="0.25">
      <c r="A70" s="85"/>
      <c r="B70" s="83"/>
      <c r="C70" s="407"/>
      <c r="D70" s="408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4"/>
      <c r="AB70" s="364"/>
      <c r="AC70" s="364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25">
      <c r="A71" s="85">
        <v>10.51</v>
      </c>
      <c r="B71" s="83"/>
      <c r="C71" s="409" t="s">
        <v>60</v>
      </c>
      <c r="D71" s="410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112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64"/>
      <c r="AB71" s="364"/>
      <c r="AC71" s="364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25">
      <c r="A72" s="85">
        <v>10.61</v>
      </c>
      <c r="B72" s="83"/>
      <c r="C72" s="409" t="s">
        <v>101</v>
      </c>
      <c r="D72" s="411"/>
      <c r="E72" s="290">
        <f>CECPerm</f>
        <v>0.01</v>
      </c>
      <c r="F72" s="288"/>
      <c r="G72" s="356" t="e">
        <f>IF(DUNine=0,0,IF(DUNine&lt;0,0,ROUND(AdjPermSalary*CECPerm,-2)))</f>
        <v>#DIV/0!</v>
      </c>
      <c r="H72" s="287"/>
      <c r="I72" s="287" t="e">
        <f>ROUND(($G72*PermVBBY+$G72*Retire1BY),-2)</f>
        <v>#DIV/0!</v>
      </c>
      <c r="J72" s="113" t="e">
        <f>SUM(G72:I72)</f>
        <v>#DIV/0!</v>
      </c>
      <c r="K72" s="296"/>
      <c r="L72" s="298"/>
      <c r="M72" s="350" t="e">
        <f>IF(DUNine=0,0,IF(((#REF!-G39-G40)*E72)&lt;0,0,ROUND(((#REF!-G39-G40)*E72),-2)))</f>
        <v>#DIV/0!</v>
      </c>
      <c r="N72" s="359"/>
      <c r="O72" s="358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#DIV/0!</v>
      </c>
      <c r="P72" s="358"/>
      <c r="Q72"/>
      <c r="R72"/>
      <c r="S72"/>
      <c r="T72"/>
      <c r="U72"/>
      <c r="V72"/>
      <c r="W72"/>
      <c r="X72"/>
      <c r="Y72"/>
      <c r="Z72" s="344"/>
      <c r="AA72" s="364"/>
      <c r="AB72" s="364"/>
      <c r="AC72" s="364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25">
      <c r="A73" s="85">
        <v>10.62</v>
      </c>
      <c r="B73" s="83"/>
      <c r="C73" s="409" t="s">
        <v>61</v>
      </c>
      <c r="D73" s="411"/>
      <c r="E73" s="289">
        <f>CECGroup</f>
        <v>0.01</v>
      </c>
      <c r="F73" s="288"/>
      <c r="G73" s="356" t="e">
        <f>IF(DUNine=0,0,IF(DUNine&lt;0,0,ROUND(AdjGroupSalary*CECGroup,-2)))</f>
        <v>#DIV/0!</v>
      </c>
      <c r="H73" s="287"/>
      <c r="I73" s="287" t="e">
        <f>ROUND(($G73*GroupVBBY),-2)</f>
        <v>#DIV/0!</v>
      </c>
      <c r="J73" s="113" t="e">
        <f t="shared" si="11"/>
        <v>#DIV/0!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64"/>
      <c r="AB73" s="364"/>
      <c r="AC73" s="364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25">
      <c r="A74" s="85">
        <v>10.63</v>
      </c>
      <c r="B74" s="83"/>
      <c r="C74" s="367" t="s">
        <v>62</v>
      </c>
      <c r="D74" s="369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4"/>
      <c r="AB74" s="364"/>
      <c r="AC74" s="364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25">
      <c r="A75" s="75">
        <v>11</v>
      </c>
      <c r="B75" s="76"/>
      <c r="C75" s="54" t="str">
        <f>"FY "&amp;M4</f>
        <v>FY 2023</v>
      </c>
      <c r="D75" s="77" t="s">
        <v>63</v>
      </c>
      <c r="E75" s="112"/>
      <c r="F75" s="55">
        <f>SUM(F67:F74)</f>
        <v>13.02</v>
      </c>
      <c r="G75" s="80" t="e">
        <f>SUM(G67:G74)</f>
        <v>#DIV/0!</v>
      </c>
      <c r="H75" s="80" t="e">
        <f>SUM(H67:H74)</f>
        <v>#DIV/0!</v>
      </c>
      <c r="I75" s="80" t="e">
        <f>SUM(I67:I74)</f>
        <v>#DIV/0!</v>
      </c>
      <c r="J75" s="80" t="e">
        <f>SUM(J67:K74)</f>
        <v>#DIV/0!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4"/>
      <c r="AB75" s="364"/>
      <c r="AC75" s="364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25">
      <c r="A76" s="85"/>
      <c r="B76" s="83"/>
      <c r="C76" s="412" t="s">
        <v>64</v>
      </c>
      <c r="D76" s="413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4"/>
      <c r="AB76" s="364"/>
      <c r="AC76" s="364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5" x14ac:dyDescent="0.25">
      <c r="A77" s="116">
        <v>12.01</v>
      </c>
      <c r="B77" s="57"/>
      <c r="C77" s="405"/>
      <c r="D77" s="406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4"/>
      <c r="AB77" s="364"/>
      <c r="AC77" s="364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5" x14ac:dyDescent="0.25">
      <c r="A78" s="116">
        <v>12.02</v>
      </c>
      <c r="B78" s="57"/>
      <c r="C78" s="405"/>
      <c r="D78" s="406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4"/>
      <c r="AB78" s="364"/>
      <c r="AC78" s="364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5" x14ac:dyDescent="0.25">
      <c r="A79" s="116">
        <v>12.03</v>
      </c>
      <c r="B79" s="57" t="s">
        <v>45</v>
      </c>
      <c r="C79" s="405"/>
      <c r="D79" s="406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4"/>
      <c r="AB79" s="364"/>
      <c r="AC79" s="364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25">
      <c r="A80" s="117">
        <v>13</v>
      </c>
      <c r="B80" s="118"/>
      <c r="C80" s="119" t="str">
        <f>"FY "&amp;M4</f>
        <v>FY 2023</v>
      </c>
      <c r="D80" s="120" t="s">
        <v>65</v>
      </c>
      <c r="E80" s="121"/>
      <c r="F80" s="55">
        <f>SUM(F75:F79)</f>
        <v>13.02</v>
      </c>
      <c r="G80" s="80" t="e">
        <f>SUM(G75:G79)</f>
        <v>#DIV/0!</v>
      </c>
      <c r="H80" s="80" t="e">
        <f>SUM(H75:H79)</f>
        <v>#DIV/0!</v>
      </c>
      <c r="I80" s="80" t="e">
        <f>SUM(I75:I79)</f>
        <v>#DIV/0!</v>
      </c>
      <c r="J80" s="80" t="e">
        <f>SUM(J75:J79)</f>
        <v>#DIV/0!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4"/>
      <c r="AB80" s="364"/>
      <c r="AC80" s="364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13:D13"/>
    <mergeCell ref="M1:N1"/>
    <mergeCell ref="M2:N2"/>
    <mergeCell ref="M3:N3"/>
    <mergeCell ref="M4:N4"/>
    <mergeCell ref="I5:L5"/>
    <mergeCell ref="C8:D8"/>
    <mergeCell ref="AA8:AC8"/>
    <mergeCell ref="C9:D9"/>
    <mergeCell ref="C10:D10"/>
    <mergeCell ref="C11:D11"/>
    <mergeCell ref="C12:D12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C54:D54"/>
    <mergeCell ref="C39:D39"/>
    <mergeCell ref="C41:D41"/>
    <mergeCell ref="C42:D42"/>
    <mergeCell ref="C43:D44"/>
    <mergeCell ref="K45:N45"/>
    <mergeCell ref="E46:J47"/>
    <mergeCell ref="K46:N47"/>
    <mergeCell ref="C50:D50"/>
    <mergeCell ref="C53:D53"/>
    <mergeCell ref="C69:D69"/>
    <mergeCell ref="C55:D55"/>
    <mergeCell ref="C57:D57"/>
    <mergeCell ref="C58:D58"/>
    <mergeCell ref="C59:D59"/>
    <mergeCell ref="C61:D61"/>
    <mergeCell ref="C62:D62"/>
    <mergeCell ref="C63:D63"/>
    <mergeCell ref="C64:D64"/>
    <mergeCell ref="C65:D65"/>
    <mergeCell ref="C66:D66"/>
    <mergeCell ref="C68:D68"/>
    <mergeCell ref="C78:D78"/>
    <mergeCell ref="C79:D79"/>
    <mergeCell ref="C70:D70"/>
    <mergeCell ref="C71:D71"/>
    <mergeCell ref="C72:D72"/>
    <mergeCell ref="C73:D73"/>
    <mergeCell ref="C76:D76"/>
    <mergeCell ref="C77:D77"/>
  </mergeCells>
  <conditionalFormatting sqref="K44">
    <cfRule type="expression" dxfId="58" priority="5">
      <formula>$J$44&lt;0</formula>
    </cfRule>
  </conditionalFormatting>
  <conditionalFormatting sqref="K43">
    <cfRule type="expression" dxfId="57" priority="4">
      <formula>$J$43&lt;0</formula>
    </cfRule>
  </conditionalFormatting>
  <conditionalFormatting sqref="L16">
    <cfRule type="expression" dxfId="56" priority="3">
      <formula>$J$16&lt;0</formula>
    </cfRule>
  </conditionalFormatting>
  <conditionalFormatting sqref="K45">
    <cfRule type="expression" dxfId="55" priority="2">
      <formula>$J$44&lt;0</formula>
    </cfRule>
  </conditionalFormatting>
  <conditionalFormatting sqref="K43:N45">
    <cfRule type="containsText" dxfId="54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E505DC0-5379-47D5-A135-D8BDD2F843D9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807BB6-D34A-402E-AC36-472100E7E020}">
  <sheetPr>
    <tabColor rgb="FFFF0000"/>
    <pageSetUpPr fitToPage="1"/>
  </sheetPr>
  <dimension ref="A1:CP80"/>
  <sheetViews>
    <sheetView showGridLines="0" zoomScaleNormal="100" workbookViewId="0">
      <selection activeCell="C8" sqref="C8:N16"/>
    </sheetView>
  </sheetViews>
  <sheetFormatPr defaultColWidth="9.140625" defaultRowHeight="15.75" x14ac:dyDescent="0.25"/>
  <cols>
    <col min="1" max="1" width="7.85546875" style="124" customWidth="1"/>
    <col min="2" max="2" width="7.7109375" style="125" customWidth="1"/>
    <col min="3" max="3" width="9" style="125" customWidth="1"/>
    <col min="4" max="4" width="39.28515625" style="53" customWidth="1"/>
    <col min="5" max="5" width="13" style="126" customWidth="1"/>
    <col min="6" max="6" width="12.28515625" style="127" customWidth="1"/>
    <col min="7" max="7" width="12.140625" style="127" bestFit="1" customWidth="1"/>
    <col min="8" max="8" width="14.5703125" style="127" customWidth="1"/>
    <col min="9" max="9" width="19.5703125" style="128" bestFit="1" customWidth="1"/>
    <col min="10" max="10" width="13.7109375" style="129" customWidth="1"/>
    <col min="11" max="11" width="13.7109375" style="129" hidden="1" customWidth="1"/>
    <col min="12" max="12" width="18.42578125" style="129" customWidth="1"/>
    <col min="13" max="13" width="16.42578125" style="129" customWidth="1"/>
    <col min="14" max="14" width="16.140625" style="128" customWidth="1"/>
    <col min="15" max="25" width="16.140625" customWidth="1"/>
    <col min="26" max="26" width="16.140625" style="344" customWidth="1"/>
    <col min="27" max="27" width="22.140625" style="334" bestFit="1" customWidth="1"/>
    <col min="28" max="28" width="31.140625" style="334" bestFit="1" customWidth="1"/>
    <col min="29" max="29" width="7.85546875" style="334" bestFit="1" customWidth="1"/>
    <col min="30" max="30" width="9.140625" style="110" customWidth="1"/>
    <col min="31" max="94" width="9.140625" style="17"/>
    <col min="95" max="16384" width="9.140625" style="18"/>
  </cols>
  <sheetData>
    <row r="1" spans="1:94" x14ac:dyDescent="0.25">
      <c r="A1" s="12" t="s">
        <v>13</v>
      </c>
      <c r="B1" s="13"/>
      <c r="C1" s="13"/>
      <c r="D1" s="14" t="s">
        <v>2643</v>
      </c>
      <c r="E1" s="15"/>
      <c r="F1" s="15"/>
      <c r="G1" s="15"/>
      <c r="H1" s="15"/>
      <c r="I1" s="15"/>
      <c r="J1" s="15"/>
      <c r="K1" s="15"/>
      <c r="L1" s="16" t="s">
        <v>14</v>
      </c>
      <c r="M1" s="468">
        <v>240</v>
      </c>
      <c r="N1" s="469"/>
      <c r="AA1" s="364"/>
      <c r="AB1" s="333"/>
      <c r="AC1" s="333"/>
      <c r="AD1" s="325"/>
    </row>
    <row r="2" spans="1:94" ht="20.25" x14ac:dyDescent="0.25">
      <c r="A2" s="19" t="s">
        <v>116</v>
      </c>
      <c r="B2" s="20"/>
      <c r="C2" s="20"/>
      <c r="D2" s="14" t="s">
        <v>2643</v>
      </c>
      <c r="E2" s="21"/>
      <c r="F2" s="21"/>
      <c r="G2" s="21"/>
      <c r="H2" s="21"/>
      <c r="I2" s="21"/>
      <c r="J2" s="20"/>
      <c r="K2" s="20"/>
      <c r="L2" s="22" t="s">
        <v>113</v>
      </c>
      <c r="M2" s="470" t="s">
        <v>2659</v>
      </c>
      <c r="N2" s="471"/>
      <c r="AA2" s="333"/>
      <c r="AB2" s="333"/>
      <c r="AC2" s="333"/>
      <c r="AD2" s="325"/>
    </row>
    <row r="3" spans="1:94" x14ac:dyDescent="0.25">
      <c r="A3" s="19" t="s">
        <v>117</v>
      </c>
      <c r="B3" s="20"/>
      <c r="C3" s="20"/>
      <c r="D3" s="23" t="s">
        <v>2687</v>
      </c>
      <c r="E3" s="24"/>
      <c r="F3" s="25"/>
      <c r="G3" s="25"/>
      <c r="H3" s="25"/>
      <c r="I3" s="26"/>
      <c r="J3" s="20"/>
      <c r="K3" s="20"/>
      <c r="L3" s="22" t="s">
        <v>114</v>
      </c>
      <c r="M3" s="468" t="s">
        <v>781</v>
      </c>
      <c r="N3" s="469"/>
      <c r="AA3" s="364"/>
      <c r="AB3" s="333"/>
      <c r="AC3" s="333"/>
      <c r="AD3" s="325"/>
    </row>
    <row r="4" spans="1:94" x14ac:dyDescent="0.25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68">
        <v>2023</v>
      </c>
      <c r="N4" s="469"/>
      <c r="AA4" s="364"/>
      <c r="AB4" s="333"/>
      <c r="AC4" s="333"/>
      <c r="AD4" s="325"/>
    </row>
    <row r="5" spans="1:94" s="34" customFormat="1" ht="18" customHeight="1" x14ac:dyDescent="0.25">
      <c r="A5" s="19" t="s">
        <v>16</v>
      </c>
      <c r="B5" s="20"/>
      <c r="C5" s="20"/>
      <c r="D5" s="351">
        <v>44440</v>
      </c>
      <c r="E5" s="27"/>
      <c r="F5" s="30"/>
      <c r="G5" s="31"/>
      <c r="H5" s="31" t="s">
        <v>17</v>
      </c>
      <c r="I5" s="470" t="s">
        <v>2657</v>
      </c>
      <c r="J5" s="472"/>
      <c r="K5" s="472"/>
      <c r="L5" s="471"/>
      <c r="M5" s="352" t="s">
        <v>115</v>
      </c>
      <c r="N5" s="32" t="s">
        <v>2658</v>
      </c>
      <c r="O5"/>
      <c r="P5"/>
      <c r="Q5"/>
      <c r="R5"/>
      <c r="S5"/>
      <c r="T5"/>
      <c r="U5"/>
      <c r="V5"/>
      <c r="W5"/>
      <c r="X5"/>
      <c r="Y5"/>
      <c r="Z5" s="344"/>
      <c r="AA5" s="364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25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84</v>
      </c>
      <c r="K6" s="31"/>
      <c r="L6" s="353"/>
      <c r="M6" s="354" t="s">
        <v>85</v>
      </c>
      <c r="N6" s="306"/>
      <c r="AA6" s="364"/>
      <c r="AB6" s="333"/>
      <c r="AC6" s="333"/>
      <c r="AD6" s="325"/>
    </row>
    <row r="7" spans="1:94" x14ac:dyDescent="0.25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25">
      <c r="A8" s="48" t="s">
        <v>20</v>
      </c>
      <c r="B8" s="370" t="s">
        <v>21</v>
      </c>
      <c r="C8" s="473" t="s">
        <v>22</v>
      </c>
      <c r="D8" s="474"/>
      <c r="E8" s="370" t="s">
        <v>23</v>
      </c>
      <c r="F8" s="49" t="s">
        <v>24</v>
      </c>
      <c r="G8" s="50" t="str">
        <f>"FY "&amp;'EMLO|0303-00'!FiscalYear-1&amp;" SALARY"</f>
        <v>FY 2022 SALARY</v>
      </c>
      <c r="H8" s="50" t="str">
        <f>"FY "&amp;'EMLO|0303-00'!FiscalYear-1&amp;" HEALTH BENEFITS"</f>
        <v>FY 2022 HEALTH BENEFITS</v>
      </c>
      <c r="I8" s="50" t="str">
        <f>"FY "&amp;'EMLO|0303-00'!FiscalYear-1&amp;" VAR BENEFITS"</f>
        <v>FY 2022 VAR BENEFITS</v>
      </c>
      <c r="J8" s="50" t="str">
        <f>"FY "&amp;'EMLO|0303-00'!FiscalYear-1&amp;" TOTAL"</f>
        <v>FY 2022 TOTAL</v>
      </c>
      <c r="K8" s="50" t="str">
        <f>"FY "&amp;'EMLO|0303-00'!FiscalYear&amp;" SALARY CHANGE"</f>
        <v>FY 2023 SALARY CHANGE</v>
      </c>
      <c r="L8" s="50" t="str">
        <f>"FY "&amp;'EMLO|0303-00'!FiscalYear&amp;" CHG HEALTH BENEFITS"</f>
        <v>FY 2023 CHG HEALTH BENEFITS</v>
      </c>
      <c r="M8" s="50" t="str">
        <f>"FY "&amp;'EMLO|0303-00'!FiscalYear&amp;" CHG VAR BENEFITS"</f>
        <v>FY 2023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64" t="s">
        <v>105</v>
      </c>
      <c r="AB8" s="464"/>
      <c r="AC8" s="464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25">
      <c r="A9" s="139"/>
      <c r="B9" s="140"/>
      <c r="C9" s="465" t="s">
        <v>26</v>
      </c>
      <c r="D9" s="466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4" t="s">
        <v>94</v>
      </c>
      <c r="AB9" s="333" t="s">
        <v>95</v>
      </c>
      <c r="AC9" s="333" t="s">
        <v>106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25">
      <c r="A10" s="139"/>
      <c r="B10" s="139"/>
      <c r="C10" s="444" t="s">
        <v>27</v>
      </c>
      <c r="D10" s="467"/>
      <c r="E10" s="217">
        <v>1</v>
      </c>
      <c r="F10" s="288">
        <f>[0]!EMLO030300col_INC_FTI</f>
        <v>8.25</v>
      </c>
      <c r="G10" s="218">
        <f>[0]!EMLO030300col_FTI_SALARY_PERM</f>
        <v>516422.40000000002</v>
      </c>
      <c r="H10" s="218">
        <f>[0]!EMLO030300col_HEALTH_PERM</f>
        <v>96112.5</v>
      </c>
      <c r="I10" s="218">
        <f>[0]!EMLO030300col_TOT_VB_PERM</f>
        <v>111292.457952</v>
      </c>
      <c r="J10" s="219">
        <f>SUM(G10:I10)</f>
        <v>723827.35795199999</v>
      </c>
      <c r="K10" s="219">
        <f>[0]!EMLO030300col_1_27TH_PP</f>
        <v>0</v>
      </c>
      <c r="L10" s="218">
        <f>[0]!EMLO030300col_HEALTH_PERM_CHG</f>
        <v>0</v>
      </c>
      <c r="M10" s="218">
        <f>[0]!EMLO030300col_TOT_VB_PERM_CHG</f>
        <v>-2168.97408</v>
      </c>
      <c r="N10" s="218">
        <f>SUM(L10:M10)</f>
        <v>-2168.97408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5200</v>
      </c>
      <c r="AB10" s="335">
        <f>ROUND(PermVarBen*CECPerm+(CECPerm*PermVarBenChg),-2)</f>
        <v>1100</v>
      </c>
      <c r="AC10" s="335">
        <f>SUM(AA10:AB10)</f>
        <v>6300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25">
      <c r="A11" s="139"/>
      <c r="B11" s="139"/>
      <c r="C11" s="444" t="s">
        <v>28</v>
      </c>
      <c r="D11" s="467"/>
      <c r="E11" s="217">
        <v>2</v>
      </c>
      <c r="F11" s="288"/>
      <c r="G11" s="218">
        <f>[0]!EMLO030300col_Group_Salary</f>
        <v>0</v>
      </c>
      <c r="H11" s="218">
        <v>0</v>
      </c>
      <c r="I11" s="218">
        <f>[0]!EMLO030300col_Group_Ben</f>
        <v>0</v>
      </c>
      <c r="J11" s="219">
        <f>SUM(G11:I11)</f>
        <v>0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0</v>
      </c>
      <c r="AB11" s="335">
        <f>ROUND((GroupSalary*GroupVBBY)*CECGroup,-2)</f>
        <v>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25">
      <c r="A12" s="139"/>
      <c r="B12" s="139"/>
      <c r="C12" s="444" t="s">
        <v>29</v>
      </c>
      <c r="D12" s="445"/>
      <c r="E12" s="217">
        <v>3</v>
      </c>
      <c r="F12" s="288">
        <f>[0]!EMLO030300col_TOTAL_ELECT_PCN_FTI</f>
        <v>0</v>
      </c>
      <c r="G12" s="218">
        <f>[0]!EMLO030300col_FTI_SALARY_ELECT</f>
        <v>0</v>
      </c>
      <c r="H12" s="218">
        <f>[0]!EMLO030300col_HEALTH_ELECT</f>
        <v>0</v>
      </c>
      <c r="I12" s="218">
        <f>[0]!EMLO030300col_TOT_VB_ELECT</f>
        <v>0</v>
      </c>
      <c r="J12" s="219">
        <f>SUM(G12:I12)</f>
        <v>0</v>
      </c>
      <c r="K12" s="268"/>
      <c r="L12" s="218">
        <f>[0]!EMLO030300col_HEALTH_ELECT_CHG</f>
        <v>0</v>
      </c>
      <c r="M12" s="218">
        <f>[0]!EMLO030300col_TOT_VB_ELECT_CHG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25">
      <c r="A13" s="139"/>
      <c r="B13" s="139"/>
      <c r="C13" s="444" t="s">
        <v>30</v>
      </c>
      <c r="D13" s="467"/>
      <c r="E13" s="217"/>
      <c r="F13" s="220">
        <f>SUM(F10:F12)</f>
        <v>8.25</v>
      </c>
      <c r="G13" s="221">
        <f>SUM(G10:G12)</f>
        <v>516422.40000000002</v>
      </c>
      <c r="H13" s="221">
        <f>SUM(H10:H12)</f>
        <v>96112.5</v>
      </c>
      <c r="I13" s="221">
        <f>SUM(I10:I12)</f>
        <v>111292.457952</v>
      </c>
      <c r="J13" s="219">
        <f>SUM(G13:I13)</f>
        <v>723827.35795199999</v>
      </c>
      <c r="K13" s="268"/>
      <c r="L13" s="219">
        <f>SUM(L10:L12)</f>
        <v>0</v>
      </c>
      <c r="M13" s="219">
        <f>SUM(M10:M12)</f>
        <v>-2168.97408</v>
      </c>
      <c r="N13" s="219">
        <f>SUM(N10:N12)</f>
        <v>-2168.97408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5" customHeight="1" x14ac:dyDescent="0.25">
      <c r="A14" s="139"/>
      <c r="B14" s="139"/>
      <c r="C14" s="365"/>
      <c r="D14" s="371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25">
      <c r="A15" s="139"/>
      <c r="B15" s="156"/>
      <c r="C15" s="157" t="str">
        <f>"FY "&amp;'EMLO|0303-00'!FiscalYear-1</f>
        <v>FY 2022</v>
      </c>
      <c r="D15" s="158" t="s">
        <v>31</v>
      </c>
      <c r="E15" s="355">
        <v>961800</v>
      </c>
      <c r="F15" s="55">
        <v>10.28</v>
      </c>
      <c r="G15" s="223">
        <f>IF(OrigApprop=0,0,(G13/$J$13)*OrigApprop)</f>
        <v>686206.53649421467</v>
      </c>
      <c r="H15" s="223">
        <f>IF(OrigApprop=0,0,(H13/$J$13)*OrigApprop)</f>
        <v>127711.39621131886</v>
      </c>
      <c r="I15" s="223">
        <f>IF(G15=0,0,(I13/$J$13)*OrigApprop)</f>
        <v>147882.06729446657</v>
      </c>
      <c r="J15" s="223">
        <f>SUM(G15:I15)</f>
        <v>961800.00000000012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25">
      <c r="A16" s="139"/>
      <c r="B16" s="139"/>
      <c r="C16" s="454" t="s">
        <v>32</v>
      </c>
      <c r="D16" s="455"/>
      <c r="E16" s="160" t="s">
        <v>33</v>
      </c>
      <c r="F16" s="161">
        <f>F15-F13</f>
        <v>2.0299999999999994</v>
      </c>
      <c r="G16" s="162">
        <f>G15-G13</f>
        <v>169784.13649421465</v>
      </c>
      <c r="H16" s="162">
        <f>H15-H13</f>
        <v>31598.896211318861</v>
      </c>
      <c r="I16" s="162">
        <f>I15-I13</f>
        <v>36589.609342466574</v>
      </c>
      <c r="J16" s="162">
        <f>J15-J13</f>
        <v>237972.64204800013</v>
      </c>
      <c r="K16" s="269"/>
      <c r="L16" s="56" t="str">
        <f>IF('EMLO|0303-00'!OrigApprop=0,"ERROR! Enter Original Appropriation amount in DU 3.00!","Calculated "&amp;IF('EMLO|0303-00'!AdjustedTotal&gt;0,"overfunding ","underfunding ")&amp;"is "&amp;TEXT('EMLO|0303-00'!AdjustedTotal/'EMLO|0303-00'!AppropTotal,"#.0%;(#.0% );0% ;")&amp;" of Original Appropriation")</f>
        <v>Calculated overfunding is 24.7% of Original Appropriation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25">
      <c r="A17" s="139"/>
      <c r="B17" s="139"/>
      <c r="C17" s="456" t="s">
        <v>34</v>
      </c>
      <c r="D17" s="457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25">
      <c r="A18" s="139"/>
      <c r="B18" s="168"/>
      <c r="C18" s="458" t="s">
        <v>35</v>
      </c>
      <c r="D18" s="459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5.5" x14ac:dyDescent="0.25">
      <c r="A19" s="238"/>
      <c r="B19" s="202"/>
      <c r="C19" s="239" t="s">
        <v>86</v>
      </c>
      <c r="D19" s="240" t="s">
        <v>87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4"/>
      <c r="AB19" s="364"/>
      <c r="AC19" s="364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5" x14ac:dyDescent="0.25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4"/>
      <c r="AB20" s="364"/>
      <c r="AC20" s="364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5" x14ac:dyDescent="0.25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4"/>
      <c r="AB21" s="364"/>
      <c r="AC21" s="364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5" x14ac:dyDescent="0.25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4"/>
      <c r="AB22" s="364"/>
      <c r="AC22" s="364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5" x14ac:dyDescent="0.25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4"/>
      <c r="AB23" s="364"/>
      <c r="AC23" s="364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5" x14ac:dyDescent="0.25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4"/>
      <c r="AC24" s="364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5" x14ac:dyDescent="0.25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4"/>
      <c r="AC25" s="364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5" x14ac:dyDescent="0.25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4"/>
      <c r="AC26" s="364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5" x14ac:dyDescent="0.25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4"/>
      <c r="AB27" s="364"/>
      <c r="AC27" s="364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5" x14ac:dyDescent="0.25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4"/>
      <c r="AB28" s="364"/>
      <c r="AC28" s="364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5" x14ac:dyDescent="0.25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4"/>
      <c r="AB29" s="364"/>
      <c r="AC29" s="364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5" x14ac:dyDescent="0.25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4"/>
      <c r="AB30" s="364"/>
      <c r="AC30" s="364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5" x14ac:dyDescent="0.25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4"/>
      <c r="AB31" s="364"/>
      <c r="AC31" s="364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5" x14ac:dyDescent="0.25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4"/>
      <c r="AB32" s="364"/>
      <c r="AC32" s="364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5" x14ac:dyDescent="0.25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4"/>
      <c r="AB33" s="364"/>
      <c r="AC33" s="364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5" x14ac:dyDescent="0.25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4"/>
      <c r="AB34" s="364"/>
      <c r="AC34" s="364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5" x14ac:dyDescent="0.25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4"/>
      <c r="AB35" s="364"/>
      <c r="AC35" s="364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5" x14ac:dyDescent="0.25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4" t="s">
        <v>94</v>
      </c>
      <c r="AB36" s="333" t="s">
        <v>95</v>
      </c>
      <c r="AC36" s="333" t="s">
        <v>106</v>
      </c>
      <c r="AD36" s="330"/>
    </row>
    <row r="37" spans="1:94" s="153" customFormat="1" ht="17.25" customHeight="1" x14ac:dyDescent="0.25">
      <c r="A37" s="139"/>
      <c r="B37" s="188"/>
      <c r="C37" s="460" t="s">
        <v>37</v>
      </c>
      <c r="D37" s="461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62" t="s">
        <v>107</v>
      </c>
      <c r="AB37" s="463"/>
      <c r="AC37" s="463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5" x14ac:dyDescent="0.25">
      <c r="A38" s="139"/>
      <c r="B38" s="188"/>
      <c r="C38" s="444" t="str">
        <f>perm_name</f>
        <v>Permanent Positions</v>
      </c>
      <c r="D38" s="445"/>
      <c r="E38" s="189">
        <v>1</v>
      </c>
      <c r="F38" s="190">
        <f>SUMIF($E9:$E35,$E38,$F9:$F35)</f>
        <v>8.25</v>
      </c>
      <c r="G38" s="191">
        <f>SUMIF($E10:$E35,$E38,$G10:$G35)</f>
        <v>516422.40000000002</v>
      </c>
      <c r="H38" s="192">
        <f>SUMIF($E10:$E35,$E38,$H10:$H35)</f>
        <v>96112.5</v>
      </c>
      <c r="I38" s="192">
        <f>SUMIF($E10:$E35,$E38,$I10:$I35)</f>
        <v>111292.457952</v>
      </c>
      <c r="J38" s="192">
        <f>SUM(G38:I38)</f>
        <v>723827.35795199999</v>
      </c>
      <c r="K38" s="166"/>
      <c r="L38" s="191">
        <f>SUMIF($E10:$E35,$E38,$L10:$L35)</f>
        <v>0</v>
      </c>
      <c r="M38" s="192">
        <f>SUMIF($E10:$E35,$E38,$M10:$M35)</f>
        <v>-2168.97408</v>
      </c>
      <c r="N38" s="192">
        <f>SUM(L38:M38)</f>
        <v>-2168.97408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5200</v>
      </c>
      <c r="AB38" s="338">
        <f>ROUND((AdjPermVB*CECPerm+AdjPermVBBY*CECPerm),-2)</f>
        <v>1100</v>
      </c>
      <c r="AC38" s="338">
        <f>SUM(AA38:AB38)</f>
        <v>6300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5" x14ac:dyDescent="0.25">
      <c r="A39" s="139"/>
      <c r="B39" s="188"/>
      <c r="C39" s="444" t="str">
        <f>Group_name</f>
        <v>Board &amp; Group Positions</v>
      </c>
      <c r="D39" s="445"/>
      <c r="E39" s="189">
        <v>2</v>
      </c>
      <c r="F39" s="151">
        <f>SUMIF($E9:$E35,$E39,$F9:$F35)</f>
        <v>0</v>
      </c>
      <c r="G39" s="193">
        <f>SUMIF($E10:$E35,$E39,$G10:$G35)</f>
        <v>0</v>
      </c>
      <c r="H39" s="152">
        <f>SUMIF($E10:$E35,$E39,$H10:$H35)</f>
        <v>0</v>
      </c>
      <c r="I39" s="152">
        <f>SUMIF($E10:$E35,$E39,$I10:$I35)</f>
        <v>0</v>
      </c>
      <c r="J39" s="152">
        <f>SUM(G39:I39)</f>
        <v>0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0</v>
      </c>
      <c r="AB39" s="338">
        <f>ROUND(AdjGroupVB*CECGroup,-2)</f>
        <v>0</v>
      </c>
      <c r="AC39" s="338">
        <f>SUM(AA39:AB39)</f>
        <v>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5" x14ac:dyDescent="0.25">
      <c r="A40" s="139"/>
      <c r="B40" s="188"/>
      <c r="C40" s="365" t="str">
        <f>Elect_name</f>
        <v>Elected Officials &amp; Full Time Commissioners</v>
      </c>
      <c r="D40" s="366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4"/>
      <c r="AB40" s="364"/>
      <c r="AC40" s="364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5" x14ac:dyDescent="0.25">
      <c r="A41" s="139"/>
      <c r="B41" s="188"/>
      <c r="C41" s="444" t="s">
        <v>38</v>
      </c>
      <c r="D41" s="445"/>
      <c r="E41" s="189"/>
      <c r="F41" s="161">
        <f>SUM(F38:F40)</f>
        <v>8.25</v>
      </c>
      <c r="G41" s="195">
        <f>SUM($G$38:$G$40)</f>
        <v>516422.40000000002</v>
      </c>
      <c r="H41" s="162">
        <f>SUM($H$38:$H$40)</f>
        <v>96112.5</v>
      </c>
      <c r="I41" s="162">
        <f>SUM($I$38:$I$40)</f>
        <v>111292.457952</v>
      </c>
      <c r="J41" s="162">
        <f>SUM($J$38:$J$40)</f>
        <v>723827.35795199999</v>
      </c>
      <c r="K41" s="259"/>
      <c r="L41" s="195">
        <f>SUM($L$38:$L$40)</f>
        <v>0</v>
      </c>
      <c r="M41" s="162">
        <f>SUM($M$38:$M$40)</f>
        <v>-2168.97408</v>
      </c>
      <c r="N41" s="162">
        <f>SUM(L41:M41)</f>
        <v>-2168.97408</v>
      </c>
      <c r="O41"/>
      <c r="P41"/>
      <c r="Q41"/>
      <c r="R41"/>
      <c r="S41"/>
      <c r="T41"/>
      <c r="U41"/>
      <c r="V41"/>
      <c r="W41"/>
      <c r="X41"/>
      <c r="Y41"/>
      <c r="Z41" s="344"/>
      <c r="AA41" s="364" t="s">
        <v>94</v>
      </c>
      <c r="AB41" s="333" t="s">
        <v>95</v>
      </c>
      <c r="AC41" s="333" t="s">
        <v>106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25">
      <c r="A42" s="139"/>
      <c r="B42" s="188"/>
      <c r="C42" s="446"/>
      <c r="D42" s="447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4"/>
      <c r="AB42" s="364"/>
      <c r="AC42" s="364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25">
      <c r="A43" s="139"/>
      <c r="B43" s="202"/>
      <c r="C43" s="448" t="s">
        <v>39</v>
      </c>
      <c r="D43" s="449"/>
      <c r="E43" s="203" t="s">
        <v>40</v>
      </c>
      <c r="F43" s="205">
        <f>ROUND(F51-F41,2)</f>
        <v>2.0299999999999998</v>
      </c>
      <c r="G43" s="206">
        <f>ROUND(G51-G41,-2)</f>
        <v>169800</v>
      </c>
      <c r="H43" s="159">
        <f>ROUND(H51-H41,-2)</f>
        <v>31600</v>
      </c>
      <c r="I43" s="159">
        <f>ROUND(I51-I41,-2)</f>
        <v>36600</v>
      </c>
      <c r="J43" s="159">
        <f>SUM(G43:I43)</f>
        <v>238000</v>
      </c>
      <c r="K43" s="425" t="str">
        <f>IF(E51=0,"ERROR! Enter Original Appropriation amount in DU 3.00!","Calculated "&amp;IF(J43&gt;0,"overfunding ","underfunding ")&amp;"is "&amp;TEXT(J43/J51,"#.0%;(#.0% );0% ;")&amp;" of Original Appropriation")</f>
        <v>Calculated overfunding is 24.7% of Original Appropriation</v>
      </c>
      <c r="L43" s="426"/>
      <c r="M43" s="426"/>
      <c r="N43" s="427"/>
      <c r="O43"/>
      <c r="P43"/>
      <c r="Q43"/>
      <c r="R43"/>
      <c r="S43"/>
      <c r="T43"/>
      <c r="U43"/>
      <c r="V43"/>
      <c r="W43"/>
      <c r="X43"/>
      <c r="Y43"/>
      <c r="Z43" s="344"/>
      <c r="AA43" s="452" t="s">
        <v>108</v>
      </c>
      <c r="AB43" s="453"/>
      <c r="AC43" s="453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25">
      <c r="A44" s="139"/>
      <c r="B44" s="202"/>
      <c r="C44" s="450"/>
      <c r="D44" s="451"/>
      <c r="E44" s="204" t="s">
        <v>41</v>
      </c>
      <c r="F44" s="205">
        <f>ROUND(F60-F41,2)</f>
        <v>2.0299999999999998</v>
      </c>
      <c r="G44" s="206">
        <f>ROUND(G60-G41,-2)</f>
        <v>169800</v>
      </c>
      <c r="H44" s="159">
        <f>ROUND(H60-H41,-2)</f>
        <v>31600</v>
      </c>
      <c r="I44" s="159">
        <f>ROUND(I60-I41,-2)</f>
        <v>36600</v>
      </c>
      <c r="J44" s="159">
        <f>SUM(G44:I44)</f>
        <v>238000</v>
      </c>
      <c r="K44" s="425" t="str">
        <f>IF(E51=0,"ERROR! Enter Original Appropriation amount in DU 3.00!","Calculated "&amp;IF(J44&gt;0,"overfunding ","underfunding ")&amp;"is "&amp;TEXT(J44/J60,"#.0%;(#.0% );0% ;")&amp;" of Estimated Expenditures")</f>
        <v>Calculated overfunding is 24.7% of Estimated Expenditures</v>
      </c>
      <c r="L44" s="426"/>
      <c r="M44" s="426"/>
      <c r="N44" s="427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25">
      <c r="A45" s="139"/>
      <c r="B45" s="202"/>
      <c r="C45" s="215"/>
      <c r="D45" s="215"/>
      <c r="E45" s="204" t="s">
        <v>99</v>
      </c>
      <c r="F45" s="205">
        <f>ROUND(F67-F41-F63,2)</f>
        <v>2.0299999999999998</v>
      </c>
      <c r="G45" s="206">
        <f>ROUND(G67-G41-G63,-2)</f>
        <v>169800</v>
      </c>
      <c r="H45" s="206">
        <f>ROUND(H67-H41-H63,-2)</f>
        <v>31600</v>
      </c>
      <c r="I45" s="206">
        <f>ROUND(I67-I41-I63,-2)</f>
        <v>36600</v>
      </c>
      <c r="J45" s="159">
        <f>SUM(G45:I45)</f>
        <v>238000</v>
      </c>
      <c r="K45" s="425" t="str">
        <f>IF(J67=0,"Program has a zero base",IF(E51=0,"ERROR! Enter Original Appropriation amount in DU 3.00!","Calculated "&amp;IF(J45&gt;0,"overfunding ","underfunding ")&amp;"is "&amp;TEXT(J45/J67,"#.0%;(#.0% );0% ;")&amp;" of the Base"))</f>
        <v>Calculated overfunding is 24.7% of the Base</v>
      </c>
      <c r="L45" s="426"/>
      <c r="M45" s="426"/>
      <c r="N45" s="427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0</v>
      </c>
      <c r="AC45" s="338">
        <f>SUM(AA45:AB45)</f>
        <v>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25">
      <c r="A46" s="139"/>
      <c r="B46" s="202"/>
      <c r="C46" s="215"/>
      <c r="D46" s="215"/>
      <c r="E46" s="428" t="s">
        <v>100</v>
      </c>
      <c r="F46" s="429"/>
      <c r="G46" s="429"/>
      <c r="H46" s="429"/>
      <c r="I46" s="429"/>
      <c r="J46" s="430"/>
      <c r="K46" s="434" t="str">
        <f>IF(OR(J45&lt;0,F45&lt;0),"You may not have sufficient funding or authorized FTP, and may need to make additional adjustments to finalize this form.  Please contact both your DFM and LSO analysts.","")</f>
        <v/>
      </c>
      <c r="L46" s="435"/>
      <c r="M46" s="435"/>
      <c r="N46" s="436"/>
      <c r="O46"/>
      <c r="P46"/>
      <c r="Q46"/>
      <c r="R46"/>
      <c r="S46"/>
      <c r="T46"/>
      <c r="U46"/>
      <c r="V46"/>
      <c r="W46"/>
      <c r="X46"/>
      <c r="Y46"/>
      <c r="Z46" s="344"/>
      <c r="AA46" s="364"/>
      <c r="AB46" s="364"/>
      <c r="AC46" s="364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25">
      <c r="A47" s="139"/>
      <c r="B47" s="202"/>
      <c r="C47" s="215"/>
      <c r="D47" s="215"/>
      <c r="E47" s="431"/>
      <c r="F47" s="432"/>
      <c r="G47" s="432"/>
      <c r="H47" s="432"/>
      <c r="I47" s="432"/>
      <c r="J47" s="433"/>
      <c r="K47" s="437"/>
      <c r="L47" s="438"/>
      <c r="M47" s="438"/>
      <c r="N47" s="439"/>
      <c r="O47"/>
      <c r="P47"/>
      <c r="Q47"/>
      <c r="R47"/>
      <c r="S47"/>
      <c r="T47"/>
      <c r="U47"/>
      <c r="V47"/>
      <c r="W47"/>
      <c r="X47"/>
      <c r="Y47"/>
      <c r="Z47" s="344"/>
      <c r="AA47" s="364"/>
      <c r="AB47" s="364"/>
      <c r="AC47" s="364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25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25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4"/>
      <c r="AB49" s="364"/>
      <c r="AC49" s="364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25">
      <c r="A50" s="257" t="s">
        <v>42</v>
      </c>
      <c r="B50" s="71"/>
      <c r="C50" s="440"/>
      <c r="D50" s="441"/>
      <c r="E50" s="72" t="s">
        <v>43</v>
      </c>
      <c r="F50" s="73" t="s">
        <v>24</v>
      </c>
      <c r="G50" s="72" t="str">
        <f>"FY "&amp;M4-2001&amp;" Salary"</f>
        <v>FY 22 Salary</v>
      </c>
      <c r="H50" s="72" t="str">
        <f>"FY "&amp;M4-2001&amp;" Health Ben"</f>
        <v>FY 22 Health Ben</v>
      </c>
      <c r="I50" s="72" t="str">
        <f>"FY "&amp;M4-2001&amp;" Var Ben"</f>
        <v>FY 22 Var Ben</v>
      </c>
      <c r="J50" s="72" t="str">
        <f>"FY "&amp;M4-1&amp;" Total"</f>
        <v>FY 2022 Total</v>
      </c>
      <c r="K50" s="307" t="str">
        <f>"FY "&amp;FiscalYear&amp;" SALARY CHG"</f>
        <v>FY 2023 SALARY CHG</v>
      </c>
      <c r="L50" s="74" t="str">
        <f>"FY "&amp;M4-2000&amp;" Chg Health Bens"</f>
        <v>FY 23 Chg Health Bens</v>
      </c>
      <c r="M50" s="74" t="str">
        <f>"FY "&amp;M4-2000&amp;" Chg Var Bens"</f>
        <v>FY 23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4"/>
      <c r="AB50" s="364"/>
      <c r="AC50" s="364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25">
      <c r="A51" s="75">
        <v>3</v>
      </c>
      <c r="B51" s="76" t="s">
        <v>45</v>
      </c>
      <c r="C51" s="54" t="str">
        <f>"FY "&amp;M4-1</f>
        <v>FY 2022</v>
      </c>
      <c r="D51" s="77" t="s">
        <v>31</v>
      </c>
      <c r="E51" s="78">
        <f>OrigApprop</f>
        <v>961800</v>
      </c>
      <c r="F51" s="272">
        <f>AppropFTP</f>
        <v>10.28</v>
      </c>
      <c r="G51" s="274">
        <f>IF(E51=0,0,(G41/$J$41)*$E$51)</f>
        <v>686206.53649421467</v>
      </c>
      <c r="H51" s="274">
        <f>IF(E51=0,0,(H41/$J$41)*$E$51)</f>
        <v>127711.39621131886</v>
      </c>
      <c r="I51" s="275">
        <f>IF(E51=0,0,(I41/$J$41)*$E$51)</f>
        <v>147882.06729446657</v>
      </c>
      <c r="J51" s="90">
        <f>SUM(G51:I51)</f>
        <v>961800.00000000012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4"/>
      <c r="AC51" s="364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25">
      <c r="A52" s="82"/>
      <c r="B52" s="83"/>
      <c r="C52" s="84"/>
      <c r="D52" s="132" t="s">
        <v>46</v>
      </c>
      <c r="E52" s="133"/>
      <c r="F52" s="55">
        <f>F51</f>
        <v>10.28</v>
      </c>
      <c r="G52" s="79">
        <f>ROUND(G51,-2)</f>
        <v>686200</v>
      </c>
      <c r="H52" s="79">
        <f>ROUND(H51,-2)</f>
        <v>127700</v>
      </c>
      <c r="I52" s="266">
        <f>ROUND(I51,-2)</f>
        <v>147900</v>
      </c>
      <c r="J52" s="80">
        <f>ROUND(J51,-2)</f>
        <v>961800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4"/>
      <c r="AC52" s="364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5" x14ac:dyDescent="0.25">
      <c r="A53" s="85"/>
      <c r="B53" s="83"/>
      <c r="C53" s="442" t="s">
        <v>47</v>
      </c>
      <c r="D53" s="443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4"/>
      <c r="AB53" s="364"/>
      <c r="AC53" s="364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25">
      <c r="A54" s="85">
        <v>4.1100000000000003</v>
      </c>
      <c r="B54" s="83"/>
      <c r="C54" s="409" t="s">
        <v>48</v>
      </c>
      <c r="D54" s="410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4"/>
      <c r="AB54" s="364"/>
      <c r="AC54" s="364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25">
      <c r="A55" s="85">
        <v>4.3099999999999996</v>
      </c>
      <c r="B55" s="83"/>
      <c r="C55" s="422" t="s">
        <v>49</v>
      </c>
      <c r="D55" s="423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4"/>
      <c r="AB55" s="364"/>
      <c r="AC55" s="364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25">
      <c r="A56" s="75">
        <v>5</v>
      </c>
      <c r="B56" s="76"/>
      <c r="C56" s="54" t="str">
        <f>"FY "&amp;M4-1</f>
        <v>FY 2022</v>
      </c>
      <c r="D56" s="131" t="s">
        <v>50</v>
      </c>
      <c r="E56" s="135"/>
      <c r="F56" s="55">
        <f>SUM(F52:F55)</f>
        <v>10.28</v>
      </c>
      <c r="G56" s="80">
        <f>SUM(G52:G55)</f>
        <v>686200</v>
      </c>
      <c r="H56" s="80">
        <f>SUM(H52:H55)</f>
        <v>127700</v>
      </c>
      <c r="I56" s="260">
        <f>SUM(I52:I55)</f>
        <v>147900</v>
      </c>
      <c r="J56" s="80">
        <f>SUM(J52:J55)</f>
        <v>961800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4"/>
      <c r="AB56" s="364"/>
      <c r="AC56" s="364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25">
      <c r="A57" s="85"/>
      <c r="B57" s="83"/>
      <c r="C57" s="420" t="s">
        <v>51</v>
      </c>
      <c r="D57" s="424"/>
      <c r="E57" s="368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4"/>
      <c r="AB57" s="364"/>
      <c r="AC57" s="364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25">
      <c r="A58" s="85">
        <v>6.31</v>
      </c>
      <c r="B58" s="83"/>
      <c r="C58" s="409" t="s">
        <v>52</v>
      </c>
      <c r="D58" s="410"/>
      <c r="E58" s="102"/>
      <c r="F58" s="58">
        <v>0</v>
      </c>
      <c r="G58" s="88">
        <v>0</v>
      </c>
      <c r="H58" s="88">
        <v>0</v>
      </c>
      <c r="I58" s="265">
        <v>0</v>
      </c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4"/>
      <c r="AB58" s="364"/>
      <c r="AC58" s="364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25">
      <c r="A59" s="85">
        <v>6.51</v>
      </c>
      <c r="B59" s="83"/>
      <c r="C59" s="422" t="s">
        <v>66</v>
      </c>
      <c r="D59" s="423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4"/>
      <c r="AB59" s="364"/>
      <c r="AC59" s="364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25">
      <c r="A60" s="75">
        <v>7</v>
      </c>
      <c r="B60" s="76"/>
      <c r="C60" s="54" t="str">
        <f>"FY "&amp;M4-1</f>
        <v>FY 2022</v>
      </c>
      <c r="D60" s="131" t="s">
        <v>53</v>
      </c>
      <c r="E60" s="135"/>
      <c r="F60" s="55">
        <f>SUM(F56:F59)</f>
        <v>10.28</v>
      </c>
      <c r="G60" s="80">
        <f>SUM(G56:G59)</f>
        <v>686200</v>
      </c>
      <c r="H60" s="80">
        <f>SUM(H56:H59)</f>
        <v>127700</v>
      </c>
      <c r="I60" s="260">
        <f>SUM(I56:I59)</f>
        <v>147900</v>
      </c>
      <c r="J60" s="80">
        <f>SUM(J56:J59)</f>
        <v>961800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4"/>
      <c r="AB60" s="364"/>
      <c r="AC60" s="364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25">
      <c r="A61" s="85"/>
      <c r="B61" s="83"/>
      <c r="C61" s="420" t="s">
        <v>54</v>
      </c>
      <c r="D61" s="424"/>
      <c r="E61" s="368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4"/>
      <c r="AB61" s="364"/>
      <c r="AC61" s="364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25">
      <c r="A62" s="85">
        <v>8.31</v>
      </c>
      <c r="B62" s="83"/>
      <c r="C62" s="409" t="s">
        <v>67</v>
      </c>
      <c r="D62" s="410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4"/>
      <c r="AB62" s="364"/>
      <c r="AC62" s="364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25">
      <c r="A63" s="85">
        <v>8.41</v>
      </c>
      <c r="B63" s="83"/>
      <c r="C63" s="409" t="s">
        <v>55</v>
      </c>
      <c r="D63" s="410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4"/>
      <c r="AB63" s="364"/>
      <c r="AC63" s="364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">
      <c r="A64" s="93">
        <v>8.51</v>
      </c>
      <c r="B64" s="93"/>
      <c r="C64" s="414" t="s">
        <v>56</v>
      </c>
      <c r="D64" s="415"/>
      <c r="E64" s="134"/>
      <c r="F64" s="58">
        <v>0</v>
      </c>
      <c r="G64" s="88"/>
      <c r="H64" s="88">
        <v>0</v>
      </c>
      <c r="I64" s="265"/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4"/>
      <c r="AB64" s="364"/>
      <c r="AC64" s="364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25">
      <c r="A65" s="94"/>
      <c r="B65" s="95"/>
      <c r="C65" s="416"/>
      <c r="D65" s="417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4"/>
      <c r="AB65" s="364"/>
      <c r="AC65" s="364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5" x14ac:dyDescent="0.25">
      <c r="A66" s="100"/>
      <c r="B66" s="101"/>
      <c r="C66" s="418"/>
      <c r="D66" s="419"/>
      <c r="E66" s="102"/>
      <c r="F66" s="103" t="s">
        <v>24</v>
      </c>
      <c r="G66" s="104" t="str">
        <f>"FY "&amp;M4-2000&amp;" Salary"</f>
        <v>FY 23 Salary</v>
      </c>
      <c r="H66" s="104" t="str">
        <f>"FY"&amp;M4-2000&amp;" Health Ben"</f>
        <v>FY23 Health Ben</v>
      </c>
      <c r="I66" s="104" t="str">
        <f>"FY "&amp;M4-2000&amp;" Var Ben"</f>
        <v>FY 23 Var Ben</v>
      </c>
      <c r="J66" s="104" t="str">
        <f>"FY "&amp;M4&amp;" Total"</f>
        <v>FY 2023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5" x14ac:dyDescent="0.25">
      <c r="A67" s="82">
        <v>9</v>
      </c>
      <c r="B67" s="83"/>
      <c r="C67" s="84" t="str">
        <f>"FY "&amp;M4</f>
        <v>FY 2023</v>
      </c>
      <c r="D67" s="108" t="s">
        <v>57</v>
      </c>
      <c r="E67" s="109"/>
      <c r="F67" s="55">
        <f>SUM(F60:F64)</f>
        <v>10.28</v>
      </c>
      <c r="G67" s="80">
        <f>SUM(G60:G64)</f>
        <v>686200</v>
      </c>
      <c r="H67" s="80">
        <f>SUM(H60:H64)</f>
        <v>127700</v>
      </c>
      <c r="I67" s="80">
        <f>SUM(I60:I64)</f>
        <v>147900</v>
      </c>
      <c r="J67" s="80">
        <f>SUM(J60:J64)</f>
        <v>961800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4"/>
      <c r="AB67" s="364"/>
      <c r="AC67" s="364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25">
      <c r="A68" s="85">
        <v>10.11</v>
      </c>
      <c r="B68" s="83"/>
      <c r="C68" s="420" t="s">
        <v>58</v>
      </c>
      <c r="D68" s="421"/>
      <c r="E68" s="112"/>
      <c r="F68" s="288"/>
      <c r="G68" s="287"/>
      <c r="H68" s="113">
        <f>IF(DUNine=0,0,ROUND(SUM(L41:L65),-2))</f>
        <v>0</v>
      </c>
      <c r="I68" s="113"/>
      <c r="J68" s="287">
        <f>SUM(G68:I68)</f>
        <v>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4"/>
      <c r="AB68" s="364"/>
      <c r="AC68" s="364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5" x14ac:dyDescent="0.25">
      <c r="A69" s="85">
        <v>10.119999999999999</v>
      </c>
      <c r="B69" s="83"/>
      <c r="C69" s="420" t="s">
        <v>59</v>
      </c>
      <c r="D69" s="421"/>
      <c r="E69" s="112"/>
      <c r="F69" s="288"/>
      <c r="G69" s="113"/>
      <c r="H69" s="113"/>
      <c r="I69" s="113">
        <f>IF(DUNine=0,0,ROUND(SUM(M41:M64),-2))</f>
        <v>-2200</v>
      </c>
      <c r="J69" s="287">
        <f>SUM(G69:I69)</f>
        <v>-2200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4"/>
      <c r="AB69" s="364"/>
      <c r="AC69" s="364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5" x14ac:dyDescent="0.25">
      <c r="A70" s="85"/>
      <c r="B70" s="83"/>
      <c r="C70" s="407"/>
      <c r="D70" s="408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4"/>
      <c r="AB70" s="364"/>
      <c r="AC70" s="364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25">
      <c r="A71" s="85">
        <v>10.51</v>
      </c>
      <c r="B71" s="83"/>
      <c r="C71" s="409" t="s">
        <v>60</v>
      </c>
      <c r="D71" s="410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112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64"/>
      <c r="AB71" s="364"/>
      <c r="AC71" s="364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25">
      <c r="A72" s="85">
        <v>10.61</v>
      </c>
      <c r="B72" s="83"/>
      <c r="C72" s="409" t="s">
        <v>101</v>
      </c>
      <c r="D72" s="411"/>
      <c r="E72" s="290">
        <f>CECPerm</f>
        <v>0.01</v>
      </c>
      <c r="F72" s="288"/>
      <c r="G72" s="356">
        <f>IF(DUNine=0,0,IF(DUNine&lt;0,0,ROUND(AdjPermSalary*CECPerm,-2)))</f>
        <v>5200</v>
      </c>
      <c r="H72" s="287"/>
      <c r="I72" s="287">
        <f>ROUND(($G72*PermVBBY+$G72*Retire1BY),-2)</f>
        <v>1100</v>
      </c>
      <c r="J72" s="113">
        <f>SUM(G72:I72)</f>
        <v>6300</v>
      </c>
      <c r="K72" s="296"/>
      <c r="L72" s="298"/>
      <c r="M72" s="350" t="e">
        <f>IF(DUNine=0,0,IF(((#REF!-G39-G40)*E72)&lt;0,0,ROUND(((#REF!-G39-G40)*E72),-2)))</f>
        <v>#REF!</v>
      </c>
      <c r="N72" s="359"/>
      <c r="O72" s="358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#REF!</v>
      </c>
      <c r="P72" s="358"/>
      <c r="Q72"/>
      <c r="R72"/>
      <c r="S72"/>
      <c r="T72"/>
      <c r="U72"/>
      <c r="V72"/>
      <c r="W72"/>
      <c r="X72"/>
      <c r="Y72"/>
      <c r="Z72" s="344"/>
      <c r="AA72" s="364"/>
      <c r="AB72" s="364"/>
      <c r="AC72" s="364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25">
      <c r="A73" s="85">
        <v>10.62</v>
      </c>
      <c r="B73" s="83"/>
      <c r="C73" s="409" t="s">
        <v>61</v>
      </c>
      <c r="D73" s="411"/>
      <c r="E73" s="289">
        <f>CECGroup</f>
        <v>0.01</v>
      </c>
      <c r="F73" s="288"/>
      <c r="G73" s="356">
        <f>IF(DUNine=0,0,IF(DUNine&lt;0,0,ROUND(AdjGroupSalary*CECGroup,-2)))</f>
        <v>0</v>
      </c>
      <c r="H73" s="287"/>
      <c r="I73" s="287">
        <f>ROUND(($G73*GroupVBBY),-2)</f>
        <v>0</v>
      </c>
      <c r="J73" s="113">
        <f t="shared" si="11"/>
        <v>0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64"/>
      <c r="AB73" s="364"/>
      <c r="AC73" s="364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25">
      <c r="A74" s="85">
        <v>10.63</v>
      </c>
      <c r="B74" s="83"/>
      <c r="C74" s="367" t="s">
        <v>62</v>
      </c>
      <c r="D74" s="369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4"/>
      <c r="AB74" s="364"/>
      <c r="AC74" s="364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25">
      <c r="A75" s="75">
        <v>11</v>
      </c>
      <c r="B75" s="76"/>
      <c r="C75" s="54" t="str">
        <f>"FY "&amp;M4</f>
        <v>FY 2023</v>
      </c>
      <c r="D75" s="77" t="s">
        <v>63</v>
      </c>
      <c r="E75" s="112"/>
      <c r="F75" s="55">
        <f>SUM(F67:F74)</f>
        <v>10.28</v>
      </c>
      <c r="G75" s="80">
        <f>SUM(G67:G74)</f>
        <v>691400</v>
      </c>
      <c r="H75" s="80">
        <f>SUM(H67:H74)</f>
        <v>127700</v>
      </c>
      <c r="I75" s="80">
        <f>SUM(I67:I74)</f>
        <v>146800</v>
      </c>
      <c r="J75" s="80">
        <f>SUM(J67:K74)</f>
        <v>965900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4"/>
      <c r="AB75" s="364"/>
      <c r="AC75" s="364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25">
      <c r="A76" s="85"/>
      <c r="B76" s="83"/>
      <c r="C76" s="412" t="s">
        <v>64</v>
      </c>
      <c r="D76" s="413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4"/>
      <c r="AB76" s="364"/>
      <c r="AC76" s="364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5" x14ac:dyDescent="0.25">
      <c r="A77" s="116">
        <v>12.01</v>
      </c>
      <c r="B77" s="57"/>
      <c r="C77" s="405"/>
      <c r="D77" s="406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4"/>
      <c r="AB77" s="364"/>
      <c r="AC77" s="364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5" x14ac:dyDescent="0.25">
      <c r="A78" s="116">
        <v>12.02</v>
      </c>
      <c r="B78" s="57"/>
      <c r="C78" s="405"/>
      <c r="D78" s="406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4"/>
      <c r="AB78" s="364"/>
      <c r="AC78" s="364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5" x14ac:dyDescent="0.25">
      <c r="A79" s="116">
        <v>12.03</v>
      </c>
      <c r="B79" s="57" t="s">
        <v>45</v>
      </c>
      <c r="C79" s="405"/>
      <c r="D79" s="406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4"/>
      <c r="AB79" s="364"/>
      <c r="AC79" s="364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25">
      <c r="A80" s="117">
        <v>13</v>
      </c>
      <c r="B80" s="118"/>
      <c r="C80" s="119" t="str">
        <f>"FY "&amp;M4</f>
        <v>FY 2023</v>
      </c>
      <c r="D80" s="120" t="s">
        <v>65</v>
      </c>
      <c r="E80" s="121"/>
      <c r="F80" s="55">
        <f>SUM(F75:F79)</f>
        <v>10.28</v>
      </c>
      <c r="G80" s="80">
        <f>SUM(G75:G79)</f>
        <v>691400</v>
      </c>
      <c r="H80" s="80">
        <f>SUM(H75:H79)</f>
        <v>127700</v>
      </c>
      <c r="I80" s="80">
        <f>SUM(I75:I79)</f>
        <v>146800</v>
      </c>
      <c r="J80" s="80">
        <f>SUM(J75:J79)</f>
        <v>965900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4"/>
      <c r="AB80" s="364"/>
      <c r="AC80" s="364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13:D13"/>
    <mergeCell ref="M1:N1"/>
    <mergeCell ref="M2:N2"/>
    <mergeCell ref="M3:N3"/>
    <mergeCell ref="M4:N4"/>
    <mergeCell ref="I5:L5"/>
    <mergeCell ref="C8:D8"/>
    <mergeCell ref="AA8:AC8"/>
    <mergeCell ref="C9:D9"/>
    <mergeCell ref="C10:D10"/>
    <mergeCell ref="C11:D11"/>
    <mergeCell ref="C12:D12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C54:D54"/>
    <mergeCell ref="C39:D39"/>
    <mergeCell ref="C41:D41"/>
    <mergeCell ref="C42:D42"/>
    <mergeCell ref="C43:D44"/>
    <mergeCell ref="K45:N45"/>
    <mergeCell ref="E46:J47"/>
    <mergeCell ref="K46:N47"/>
    <mergeCell ref="C50:D50"/>
    <mergeCell ref="C53:D53"/>
    <mergeCell ref="C69:D69"/>
    <mergeCell ref="C55:D55"/>
    <mergeCell ref="C57:D57"/>
    <mergeCell ref="C58:D58"/>
    <mergeCell ref="C59:D59"/>
    <mergeCell ref="C61:D61"/>
    <mergeCell ref="C62:D62"/>
    <mergeCell ref="C63:D63"/>
    <mergeCell ref="C64:D64"/>
    <mergeCell ref="C65:D65"/>
    <mergeCell ref="C66:D66"/>
    <mergeCell ref="C68:D68"/>
    <mergeCell ref="C78:D78"/>
    <mergeCell ref="C79:D79"/>
    <mergeCell ref="C70:D70"/>
    <mergeCell ref="C71:D71"/>
    <mergeCell ref="C72:D72"/>
    <mergeCell ref="C73:D73"/>
    <mergeCell ref="C76:D76"/>
    <mergeCell ref="C77:D77"/>
  </mergeCells>
  <conditionalFormatting sqref="K44">
    <cfRule type="expression" dxfId="53" priority="5">
      <formula>$J$44&lt;0</formula>
    </cfRule>
  </conditionalFormatting>
  <conditionalFormatting sqref="K43">
    <cfRule type="expression" dxfId="52" priority="4">
      <formula>$J$43&lt;0</formula>
    </cfRule>
  </conditionalFormatting>
  <conditionalFormatting sqref="L16">
    <cfRule type="expression" dxfId="51" priority="3">
      <formula>$J$16&lt;0</formula>
    </cfRule>
  </conditionalFormatting>
  <conditionalFormatting sqref="K45">
    <cfRule type="expression" dxfId="50" priority="2">
      <formula>$J$44&lt;0</formula>
    </cfRule>
  </conditionalFormatting>
  <conditionalFormatting sqref="K43:N45">
    <cfRule type="containsText" dxfId="49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C7EBA3A-C3C5-4B5D-84FC-8EEF0A66C30A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06D0F1-A3A0-44BB-9D72-0095BADE1C04}">
  <sheetPr>
    <tabColor rgb="FFFF0000"/>
    <pageSetUpPr fitToPage="1"/>
  </sheetPr>
  <dimension ref="A1:CP80"/>
  <sheetViews>
    <sheetView showGridLines="0" zoomScaleNormal="100" workbookViewId="0">
      <selection activeCell="C8" sqref="C8:N16"/>
    </sheetView>
  </sheetViews>
  <sheetFormatPr defaultColWidth="9.140625" defaultRowHeight="15.75" x14ac:dyDescent="0.25"/>
  <cols>
    <col min="1" max="1" width="7.85546875" style="124" customWidth="1"/>
    <col min="2" max="2" width="7.7109375" style="125" customWidth="1"/>
    <col min="3" max="3" width="9" style="125" customWidth="1"/>
    <col min="4" max="4" width="39.28515625" style="53" customWidth="1"/>
    <col min="5" max="5" width="13" style="126" customWidth="1"/>
    <col min="6" max="6" width="12.28515625" style="127" customWidth="1"/>
    <col min="7" max="7" width="12.140625" style="127" bestFit="1" customWidth="1"/>
    <col min="8" max="8" width="14.5703125" style="127" customWidth="1"/>
    <col min="9" max="9" width="19.5703125" style="128" bestFit="1" customWidth="1"/>
    <col min="10" max="10" width="13.7109375" style="129" customWidth="1"/>
    <col min="11" max="11" width="13.7109375" style="129" hidden="1" customWidth="1"/>
    <col min="12" max="12" width="18.42578125" style="129" customWidth="1"/>
    <col min="13" max="13" width="16.42578125" style="129" customWidth="1"/>
    <col min="14" max="14" width="16.140625" style="128" customWidth="1"/>
    <col min="15" max="25" width="16.140625" customWidth="1"/>
    <col min="26" max="26" width="16.140625" style="344" customWidth="1"/>
    <col min="27" max="27" width="22.140625" style="334" bestFit="1" customWidth="1"/>
    <col min="28" max="28" width="31.140625" style="334" bestFit="1" customWidth="1"/>
    <col min="29" max="29" width="7.85546875" style="334" bestFit="1" customWidth="1"/>
    <col min="30" max="30" width="9.140625" style="110" customWidth="1"/>
    <col min="31" max="94" width="9.140625" style="17"/>
    <col min="95" max="16384" width="9.140625" style="18"/>
  </cols>
  <sheetData>
    <row r="1" spans="1:94" x14ac:dyDescent="0.25">
      <c r="A1" s="12" t="s">
        <v>13</v>
      </c>
      <c r="B1" s="13"/>
      <c r="C1" s="13"/>
      <c r="D1" s="14" t="s">
        <v>2643</v>
      </c>
      <c r="E1" s="15"/>
      <c r="F1" s="15"/>
      <c r="G1" s="15"/>
      <c r="H1" s="15"/>
      <c r="I1" s="15"/>
      <c r="J1" s="15"/>
      <c r="K1" s="15"/>
      <c r="L1" s="16" t="s">
        <v>14</v>
      </c>
      <c r="M1" s="468">
        <v>240</v>
      </c>
      <c r="N1" s="469"/>
      <c r="AA1" s="364"/>
      <c r="AB1" s="333"/>
      <c r="AC1" s="333"/>
      <c r="AD1" s="325"/>
    </row>
    <row r="2" spans="1:94" ht="20.25" x14ac:dyDescent="0.25">
      <c r="A2" s="19" t="s">
        <v>116</v>
      </c>
      <c r="B2" s="20"/>
      <c r="C2" s="20"/>
      <c r="D2" s="14" t="s">
        <v>2643</v>
      </c>
      <c r="E2" s="21"/>
      <c r="F2" s="21"/>
      <c r="G2" s="21"/>
      <c r="H2" s="21"/>
      <c r="I2" s="21"/>
      <c r="J2" s="20"/>
      <c r="K2" s="20"/>
      <c r="L2" s="22" t="s">
        <v>113</v>
      </c>
      <c r="M2" s="470" t="s">
        <v>2666</v>
      </c>
      <c r="N2" s="471"/>
      <c r="AA2" s="333"/>
      <c r="AB2" s="333"/>
      <c r="AC2" s="333"/>
      <c r="AD2" s="325"/>
    </row>
    <row r="3" spans="1:94" x14ac:dyDescent="0.25">
      <c r="A3" s="19" t="s">
        <v>117</v>
      </c>
      <c r="B3" s="20"/>
      <c r="C3" s="20"/>
      <c r="D3" s="23" t="s">
        <v>2687</v>
      </c>
      <c r="E3" s="24"/>
      <c r="F3" s="25"/>
      <c r="G3" s="25"/>
      <c r="H3" s="25"/>
      <c r="I3" s="26"/>
      <c r="J3" s="20"/>
      <c r="K3" s="20"/>
      <c r="L3" s="22" t="s">
        <v>114</v>
      </c>
      <c r="M3" s="468" t="s">
        <v>781</v>
      </c>
      <c r="N3" s="469"/>
      <c r="AA3" s="364"/>
      <c r="AB3" s="333"/>
      <c r="AC3" s="333"/>
      <c r="AD3" s="325"/>
    </row>
    <row r="4" spans="1:94" x14ac:dyDescent="0.25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68">
        <v>2023</v>
      </c>
      <c r="N4" s="469"/>
      <c r="AA4" s="364"/>
      <c r="AB4" s="333"/>
      <c r="AC4" s="333"/>
      <c r="AD4" s="325"/>
    </row>
    <row r="5" spans="1:94" s="34" customFormat="1" ht="18" customHeight="1" x14ac:dyDescent="0.25">
      <c r="A5" s="19" t="s">
        <v>16</v>
      </c>
      <c r="B5" s="20"/>
      <c r="C5" s="20"/>
      <c r="D5" s="351">
        <v>44440</v>
      </c>
      <c r="E5" s="27"/>
      <c r="F5" s="30"/>
      <c r="G5" s="31"/>
      <c r="H5" s="31" t="s">
        <v>17</v>
      </c>
      <c r="I5" s="470" t="s">
        <v>2664</v>
      </c>
      <c r="J5" s="472"/>
      <c r="K5" s="472"/>
      <c r="L5" s="471"/>
      <c r="M5" s="352" t="s">
        <v>115</v>
      </c>
      <c r="N5" s="32" t="s">
        <v>2665</v>
      </c>
      <c r="O5"/>
      <c r="P5"/>
      <c r="Q5"/>
      <c r="R5"/>
      <c r="S5"/>
      <c r="T5"/>
      <c r="U5"/>
      <c r="V5"/>
      <c r="W5"/>
      <c r="X5"/>
      <c r="Y5"/>
      <c r="Z5" s="344"/>
      <c r="AA5" s="364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25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84</v>
      </c>
      <c r="K6" s="31"/>
      <c r="L6" s="353"/>
      <c r="M6" s="354" t="s">
        <v>85</v>
      </c>
      <c r="N6" s="306"/>
      <c r="AA6" s="364"/>
      <c r="AB6" s="333"/>
      <c r="AC6" s="333"/>
      <c r="AD6" s="325"/>
    </row>
    <row r="7" spans="1:94" x14ac:dyDescent="0.25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25">
      <c r="A8" s="48" t="s">
        <v>20</v>
      </c>
      <c r="B8" s="370" t="s">
        <v>21</v>
      </c>
      <c r="C8" s="473" t="s">
        <v>22</v>
      </c>
      <c r="D8" s="474"/>
      <c r="E8" s="370" t="s">
        <v>23</v>
      </c>
      <c r="F8" s="49" t="s">
        <v>24</v>
      </c>
      <c r="G8" s="50" t="str">
        <f>"FY "&amp;'EMLO|0348-00'!FiscalYear-1&amp;" SALARY"</f>
        <v>FY 2022 SALARY</v>
      </c>
      <c r="H8" s="50" t="str">
        <f>"FY "&amp;'EMLO|0348-00'!FiscalYear-1&amp;" HEALTH BENEFITS"</f>
        <v>FY 2022 HEALTH BENEFITS</v>
      </c>
      <c r="I8" s="50" t="str">
        <f>"FY "&amp;'EMLO|0348-00'!FiscalYear-1&amp;" VAR BENEFITS"</f>
        <v>FY 2022 VAR BENEFITS</v>
      </c>
      <c r="J8" s="50" t="str">
        <f>"FY "&amp;'EMLO|0348-00'!FiscalYear-1&amp;" TOTAL"</f>
        <v>FY 2022 TOTAL</v>
      </c>
      <c r="K8" s="50" t="str">
        <f>"FY "&amp;'EMLO|0348-00'!FiscalYear&amp;" SALARY CHANGE"</f>
        <v>FY 2023 SALARY CHANGE</v>
      </c>
      <c r="L8" s="50" t="str">
        <f>"FY "&amp;'EMLO|0348-00'!FiscalYear&amp;" CHG HEALTH BENEFITS"</f>
        <v>FY 2023 CHG HEALTH BENEFITS</v>
      </c>
      <c r="M8" s="50" t="str">
        <f>"FY "&amp;'EMLO|0348-00'!FiscalYear&amp;" CHG VAR BENEFITS"</f>
        <v>FY 2023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64" t="s">
        <v>105</v>
      </c>
      <c r="AB8" s="464"/>
      <c r="AC8" s="464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25">
      <c r="A9" s="139"/>
      <c r="B9" s="140"/>
      <c r="C9" s="465" t="s">
        <v>26</v>
      </c>
      <c r="D9" s="466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4" t="s">
        <v>94</v>
      </c>
      <c r="AB9" s="333" t="s">
        <v>95</v>
      </c>
      <c r="AC9" s="333" t="s">
        <v>106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25">
      <c r="A10" s="139"/>
      <c r="B10" s="139"/>
      <c r="C10" s="444" t="s">
        <v>27</v>
      </c>
      <c r="D10" s="467"/>
      <c r="E10" s="217">
        <v>1</v>
      </c>
      <c r="F10" s="288">
        <f>[0]!EMLO034800col_INC_FTI</f>
        <v>130.55000000000001</v>
      </c>
      <c r="G10" s="218">
        <f>[0]!EMLO034800col_FTI_SALARY_PERM</f>
        <v>6743566.9599999981</v>
      </c>
      <c r="H10" s="218">
        <f>[0]!EMLO034800col_HEALTH_PERM</f>
        <v>1520907.5</v>
      </c>
      <c r="I10" s="218">
        <f>[0]!EMLO034800col_TOT_VB_PERM</f>
        <v>1456293.1771075993</v>
      </c>
      <c r="J10" s="219">
        <f>SUM(G10:I10)</f>
        <v>9720767.6371075977</v>
      </c>
      <c r="K10" s="219">
        <f>[0]!EMLO034800col_1_27TH_PP</f>
        <v>0</v>
      </c>
      <c r="L10" s="218">
        <f>[0]!EMLO034800col_HEALTH_PERM_CHG</f>
        <v>0</v>
      </c>
      <c r="M10" s="218">
        <f>[0]!EMLO034800col_TOT_VB_PERM_CHG</f>
        <v>-28322.981232000002</v>
      </c>
      <c r="N10" s="218">
        <f>SUM(L10:M10)</f>
        <v>-28322.981232000002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67400</v>
      </c>
      <c r="AB10" s="335">
        <f>ROUND(PermVarBen*CECPerm+(CECPerm*PermVarBenChg),-2)</f>
        <v>14300</v>
      </c>
      <c r="AC10" s="335">
        <f>SUM(AA10:AB10)</f>
        <v>81700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25">
      <c r="A11" s="139"/>
      <c r="B11" s="139"/>
      <c r="C11" s="444" t="s">
        <v>28</v>
      </c>
      <c r="D11" s="467"/>
      <c r="E11" s="217">
        <v>2</v>
      </c>
      <c r="F11" s="288"/>
      <c r="G11" s="218">
        <f>[0]!EMLO034800col_Group_Salary</f>
        <v>22764.28</v>
      </c>
      <c r="H11" s="218">
        <v>0</v>
      </c>
      <c r="I11" s="218">
        <f>[0]!EMLO034800col_Group_Ben</f>
        <v>4727.95</v>
      </c>
      <c r="J11" s="219">
        <f>SUM(G11:I11)</f>
        <v>27492.23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200</v>
      </c>
      <c r="AB11" s="335">
        <f>ROUND((GroupSalary*GroupVBBY)*CECGroup,-2)</f>
        <v>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25">
      <c r="A12" s="139"/>
      <c r="B12" s="139"/>
      <c r="C12" s="444" t="s">
        <v>29</v>
      </c>
      <c r="D12" s="445"/>
      <c r="E12" s="217">
        <v>3</v>
      </c>
      <c r="F12" s="288">
        <f>[0]!EMLO034800col_TOTAL_ELECT_PCN_FTI</f>
        <v>0</v>
      </c>
      <c r="G12" s="218">
        <f>[0]!EMLO034800col_FTI_SALARY_ELECT</f>
        <v>0</v>
      </c>
      <c r="H12" s="218">
        <f>[0]!EMLO034800col_HEALTH_ELECT</f>
        <v>0</v>
      </c>
      <c r="I12" s="218">
        <f>[0]!EMLO034800col_TOT_VB_ELECT</f>
        <v>0</v>
      </c>
      <c r="J12" s="219">
        <f>SUM(G12:I12)</f>
        <v>0</v>
      </c>
      <c r="K12" s="268"/>
      <c r="L12" s="218">
        <f>[0]!EMLO034800col_HEALTH_ELECT_CHG</f>
        <v>0</v>
      </c>
      <c r="M12" s="218">
        <f>[0]!EMLO034800col_TOT_VB_ELECT_CHG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25">
      <c r="A13" s="139"/>
      <c r="B13" s="139"/>
      <c r="C13" s="444" t="s">
        <v>30</v>
      </c>
      <c r="D13" s="467"/>
      <c r="E13" s="217"/>
      <c r="F13" s="220">
        <f>SUM(F10:F12)</f>
        <v>130.55000000000001</v>
      </c>
      <c r="G13" s="221">
        <f>SUM(G10:G12)</f>
        <v>6766331.2399999984</v>
      </c>
      <c r="H13" s="221">
        <f>SUM(H10:H12)</f>
        <v>1520907.5</v>
      </c>
      <c r="I13" s="221">
        <f>SUM(I10:I12)</f>
        <v>1461021.1271075993</v>
      </c>
      <c r="J13" s="219">
        <f>SUM(G13:I13)</f>
        <v>9748259.8671075981</v>
      </c>
      <c r="K13" s="268"/>
      <c r="L13" s="219">
        <f>SUM(L10:L12)</f>
        <v>0</v>
      </c>
      <c r="M13" s="219">
        <f>SUM(M10:M12)</f>
        <v>-28322.981232000002</v>
      </c>
      <c r="N13" s="219">
        <f>SUM(N10:N12)</f>
        <v>-28322.981232000002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5" customHeight="1" x14ac:dyDescent="0.25">
      <c r="A14" s="139"/>
      <c r="B14" s="139"/>
      <c r="C14" s="365"/>
      <c r="D14" s="371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25">
      <c r="A15" s="139"/>
      <c r="B15" s="156"/>
      <c r="C15" s="157" t="str">
        <f>"FY "&amp;'EMLO|0348-00'!FiscalYear-1</f>
        <v>FY 2022</v>
      </c>
      <c r="D15" s="158" t="s">
        <v>31</v>
      </c>
      <c r="E15" s="355">
        <v>14316200</v>
      </c>
      <c r="F15" s="55">
        <v>201.88</v>
      </c>
      <c r="G15" s="223">
        <f>IF(OrigApprop=0,0,(G13/$J$13)*OrigApprop)</f>
        <v>9936968.507060295</v>
      </c>
      <c r="H15" s="223">
        <f>IF(OrigApprop=0,0,(H13/$J$13)*OrigApprop)</f>
        <v>2233590.0199960959</v>
      </c>
      <c r="I15" s="223">
        <f>IF(G15=0,0,(I13/$J$13)*OrigApprop)</f>
        <v>2145641.4729436086</v>
      </c>
      <c r="J15" s="223">
        <f>SUM(G15:I15)</f>
        <v>14316200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25">
      <c r="A16" s="139"/>
      <c r="B16" s="139"/>
      <c r="C16" s="454" t="s">
        <v>32</v>
      </c>
      <c r="D16" s="455"/>
      <c r="E16" s="160" t="s">
        <v>33</v>
      </c>
      <c r="F16" s="161">
        <f>F15-F13</f>
        <v>71.329999999999984</v>
      </c>
      <c r="G16" s="162">
        <f>G15-G13</f>
        <v>3170637.2670602966</v>
      </c>
      <c r="H16" s="162">
        <f>H15-H13</f>
        <v>712682.51999609591</v>
      </c>
      <c r="I16" s="162">
        <f>I15-I13</f>
        <v>684620.34583600936</v>
      </c>
      <c r="J16" s="162">
        <f>J15-J13</f>
        <v>4567940.1328924019</v>
      </c>
      <c r="K16" s="269"/>
      <c r="L16" s="56" t="str">
        <f>IF('EMLO|0348-00'!OrigApprop=0,"ERROR! Enter Original Appropriation amount in DU 3.00!","Calculated "&amp;IF('EMLO|0348-00'!AdjustedTotal&gt;0,"overfunding ","underfunding ")&amp;"is "&amp;TEXT('EMLO|0348-00'!AdjustedTotal/'EMLO|0348-00'!AppropTotal,"#.0%;(#.0% );0% ;")&amp;" of Original Appropriation")</f>
        <v>Calculated overfunding is 31.9% of Original Appropriation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25">
      <c r="A17" s="139"/>
      <c r="B17" s="139"/>
      <c r="C17" s="456" t="s">
        <v>34</v>
      </c>
      <c r="D17" s="457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25">
      <c r="A18" s="139"/>
      <c r="B18" s="168"/>
      <c r="C18" s="458" t="s">
        <v>35</v>
      </c>
      <c r="D18" s="459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5.5" x14ac:dyDescent="0.25">
      <c r="A19" s="238"/>
      <c r="B19" s="202"/>
      <c r="C19" s="239" t="s">
        <v>86</v>
      </c>
      <c r="D19" s="240" t="s">
        <v>87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4"/>
      <c r="AB19" s="364"/>
      <c r="AC19" s="364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5" x14ac:dyDescent="0.25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4"/>
      <c r="AB20" s="364"/>
      <c r="AC20" s="364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5" x14ac:dyDescent="0.25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4"/>
      <c r="AB21" s="364"/>
      <c r="AC21" s="364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5" x14ac:dyDescent="0.25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4"/>
      <c r="AB22" s="364"/>
      <c r="AC22" s="364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5" x14ac:dyDescent="0.25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4"/>
      <c r="AB23" s="364"/>
      <c r="AC23" s="364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5" x14ac:dyDescent="0.25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4"/>
      <c r="AC24" s="364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5" x14ac:dyDescent="0.25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4"/>
      <c r="AC25" s="364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5" x14ac:dyDescent="0.25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4"/>
      <c r="AC26" s="364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5" x14ac:dyDescent="0.25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4"/>
      <c r="AB27" s="364"/>
      <c r="AC27" s="364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5" x14ac:dyDescent="0.25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4"/>
      <c r="AB28" s="364"/>
      <c r="AC28" s="364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5" x14ac:dyDescent="0.25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4"/>
      <c r="AB29" s="364"/>
      <c r="AC29" s="364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5" x14ac:dyDescent="0.25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4"/>
      <c r="AB30" s="364"/>
      <c r="AC30" s="364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5" x14ac:dyDescent="0.25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4"/>
      <c r="AB31" s="364"/>
      <c r="AC31" s="364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5" x14ac:dyDescent="0.25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4"/>
      <c r="AB32" s="364"/>
      <c r="AC32" s="364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5" x14ac:dyDescent="0.25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4"/>
      <c r="AB33" s="364"/>
      <c r="AC33" s="364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5" x14ac:dyDescent="0.25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4"/>
      <c r="AB34" s="364"/>
      <c r="AC34" s="364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5" x14ac:dyDescent="0.25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4"/>
      <c r="AB35" s="364"/>
      <c r="AC35" s="364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5" x14ac:dyDescent="0.25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4" t="s">
        <v>94</v>
      </c>
      <c r="AB36" s="333" t="s">
        <v>95</v>
      </c>
      <c r="AC36" s="333" t="s">
        <v>106</v>
      </c>
      <c r="AD36" s="330"/>
    </row>
    <row r="37" spans="1:94" s="153" customFormat="1" ht="17.25" customHeight="1" x14ac:dyDescent="0.25">
      <c r="A37" s="139"/>
      <c r="B37" s="188"/>
      <c r="C37" s="460" t="s">
        <v>37</v>
      </c>
      <c r="D37" s="461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62" t="s">
        <v>107</v>
      </c>
      <c r="AB37" s="463"/>
      <c r="AC37" s="463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5" x14ac:dyDescent="0.25">
      <c r="A38" s="139"/>
      <c r="B38" s="188"/>
      <c r="C38" s="444" t="str">
        <f>perm_name</f>
        <v>Permanent Positions</v>
      </c>
      <c r="D38" s="445"/>
      <c r="E38" s="189">
        <v>1</v>
      </c>
      <c r="F38" s="190">
        <f>SUMIF($E9:$E35,$E38,$F9:$F35)</f>
        <v>130.55000000000001</v>
      </c>
      <c r="G38" s="191">
        <f>SUMIF($E10:$E35,$E38,$G10:$G35)</f>
        <v>6743566.9599999981</v>
      </c>
      <c r="H38" s="192">
        <f>SUMIF($E10:$E35,$E38,$H10:$H35)</f>
        <v>1520907.5</v>
      </c>
      <c r="I38" s="192">
        <f>SUMIF($E10:$E35,$E38,$I10:$I35)</f>
        <v>1456293.1771075993</v>
      </c>
      <c r="J38" s="192">
        <f>SUM(G38:I38)</f>
        <v>9720767.6371075977</v>
      </c>
      <c r="K38" s="166"/>
      <c r="L38" s="191">
        <f>SUMIF($E10:$E35,$E38,$L10:$L35)</f>
        <v>0</v>
      </c>
      <c r="M38" s="192">
        <f>SUMIF($E10:$E35,$E38,$M10:$M35)</f>
        <v>-28322.981232000002</v>
      </c>
      <c r="N38" s="192">
        <f>SUM(L38:M38)</f>
        <v>-28322.981232000002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67400</v>
      </c>
      <c r="AB38" s="338">
        <f>ROUND((AdjPermVB*CECPerm+AdjPermVBBY*CECPerm),-2)</f>
        <v>14300</v>
      </c>
      <c r="AC38" s="338">
        <f>SUM(AA38:AB38)</f>
        <v>81700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5" x14ac:dyDescent="0.25">
      <c r="A39" s="139"/>
      <c r="B39" s="188"/>
      <c r="C39" s="444" t="str">
        <f>Group_name</f>
        <v>Board &amp; Group Positions</v>
      </c>
      <c r="D39" s="445"/>
      <c r="E39" s="189">
        <v>2</v>
      </c>
      <c r="F39" s="151">
        <f>SUMIF($E9:$E35,$E39,$F9:$F35)</f>
        <v>0</v>
      </c>
      <c r="G39" s="193">
        <f>SUMIF($E10:$E35,$E39,$G10:$G35)</f>
        <v>22764.28</v>
      </c>
      <c r="H39" s="152">
        <f>SUMIF($E10:$E35,$E39,$H10:$H35)</f>
        <v>0</v>
      </c>
      <c r="I39" s="152">
        <f>SUMIF($E10:$E35,$E39,$I10:$I35)</f>
        <v>4727.95</v>
      </c>
      <c r="J39" s="152">
        <f>SUM(G39:I39)</f>
        <v>27492.23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200</v>
      </c>
      <c r="AB39" s="338">
        <f>ROUND(AdjGroupVB*CECGroup,-2)</f>
        <v>0</v>
      </c>
      <c r="AC39" s="338">
        <f>SUM(AA39:AB39)</f>
        <v>200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5" x14ac:dyDescent="0.25">
      <c r="A40" s="139"/>
      <c r="B40" s="188"/>
      <c r="C40" s="365" t="str">
        <f>Elect_name</f>
        <v>Elected Officials &amp; Full Time Commissioners</v>
      </c>
      <c r="D40" s="366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4"/>
      <c r="AB40" s="364"/>
      <c r="AC40" s="364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5" x14ac:dyDescent="0.25">
      <c r="A41" s="139"/>
      <c r="B41" s="188"/>
      <c r="C41" s="444" t="s">
        <v>38</v>
      </c>
      <c r="D41" s="445"/>
      <c r="E41" s="189"/>
      <c r="F41" s="161">
        <f>SUM(F38:F40)</f>
        <v>130.55000000000001</v>
      </c>
      <c r="G41" s="195">
        <f>SUM($G$38:$G$40)</f>
        <v>6766331.2399999984</v>
      </c>
      <c r="H41" s="162">
        <f>SUM($H$38:$H$40)</f>
        <v>1520907.5</v>
      </c>
      <c r="I41" s="162">
        <f>SUM($I$38:$I$40)</f>
        <v>1461021.1271075993</v>
      </c>
      <c r="J41" s="162">
        <f>SUM($J$38:$J$40)</f>
        <v>9748259.8671075981</v>
      </c>
      <c r="K41" s="259"/>
      <c r="L41" s="195">
        <f>SUM($L$38:$L$40)</f>
        <v>0</v>
      </c>
      <c r="M41" s="162">
        <f>SUM($M$38:$M$40)</f>
        <v>-28322.981232000002</v>
      </c>
      <c r="N41" s="162">
        <f>SUM(L41:M41)</f>
        <v>-28322.981232000002</v>
      </c>
      <c r="O41"/>
      <c r="P41"/>
      <c r="Q41"/>
      <c r="R41"/>
      <c r="S41"/>
      <c r="T41"/>
      <c r="U41"/>
      <c r="V41"/>
      <c r="W41"/>
      <c r="X41"/>
      <c r="Y41"/>
      <c r="Z41" s="344"/>
      <c r="AA41" s="364" t="s">
        <v>94</v>
      </c>
      <c r="AB41" s="333" t="s">
        <v>95</v>
      </c>
      <c r="AC41" s="333" t="s">
        <v>106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25">
      <c r="A42" s="139"/>
      <c r="B42" s="188"/>
      <c r="C42" s="446"/>
      <c r="D42" s="447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4"/>
      <c r="AB42" s="364"/>
      <c r="AC42" s="364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25">
      <c r="A43" s="139"/>
      <c r="B43" s="202"/>
      <c r="C43" s="448" t="s">
        <v>39</v>
      </c>
      <c r="D43" s="449"/>
      <c r="E43" s="203" t="s">
        <v>40</v>
      </c>
      <c r="F43" s="205">
        <f>ROUND(F51-F41,2)</f>
        <v>71.33</v>
      </c>
      <c r="G43" s="206">
        <f>ROUND(G51-G41,-2)</f>
        <v>3170600</v>
      </c>
      <c r="H43" s="159">
        <f>ROUND(H51-H41,-2)</f>
        <v>712700</v>
      </c>
      <c r="I43" s="159">
        <f>ROUND(I51-I41,-2)</f>
        <v>684600</v>
      </c>
      <c r="J43" s="159">
        <f>SUM(G43:I43)</f>
        <v>4567900</v>
      </c>
      <c r="K43" s="425" t="str">
        <f>IF(E51=0,"ERROR! Enter Original Appropriation amount in DU 3.00!","Calculated "&amp;IF(J43&gt;0,"overfunding ","underfunding ")&amp;"is "&amp;TEXT(J43/J51,"#.0%;(#.0% );0% ;")&amp;" of Original Appropriation")</f>
        <v>Calculated overfunding is 31.9% of Original Appropriation</v>
      </c>
      <c r="L43" s="426"/>
      <c r="M43" s="426"/>
      <c r="N43" s="427"/>
      <c r="O43"/>
      <c r="P43"/>
      <c r="Q43"/>
      <c r="R43"/>
      <c r="S43"/>
      <c r="T43"/>
      <c r="U43"/>
      <c r="V43"/>
      <c r="W43"/>
      <c r="X43"/>
      <c r="Y43"/>
      <c r="Z43" s="344"/>
      <c r="AA43" s="452" t="s">
        <v>108</v>
      </c>
      <c r="AB43" s="453"/>
      <c r="AC43" s="453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25">
      <c r="A44" s="139"/>
      <c r="B44" s="202"/>
      <c r="C44" s="450"/>
      <c r="D44" s="451"/>
      <c r="E44" s="204" t="s">
        <v>41</v>
      </c>
      <c r="F44" s="205">
        <f>ROUND(F60-F41,2)</f>
        <v>71.33</v>
      </c>
      <c r="G44" s="206">
        <f>ROUND(G60-G41,-2)</f>
        <v>3170700</v>
      </c>
      <c r="H44" s="159">
        <f>ROUND(H60-H41,-2)</f>
        <v>712700</v>
      </c>
      <c r="I44" s="159">
        <f>ROUND(I60-I41,-2)</f>
        <v>684600</v>
      </c>
      <c r="J44" s="159">
        <f>SUM(G44:I44)</f>
        <v>4568000</v>
      </c>
      <c r="K44" s="425" t="str">
        <f>IF(E51=0,"ERROR! Enter Original Appropriation amount in DU 3.00!","Calculated "&amp;IF(J44&gt;0,"overfunding ","underfunding ")&amp;"is "&amp;TEXT(J44/J60,"#.0%;(#.0% );0% ;")&amp;" of Estimated Expenditures")</f>
        <v>Calculated overfunding is 31.9% of Estimated Expenditures</v>
      </c>
      <c r="L44" s="426"/>
      <c r="M44" s="426"/>
      <c r="N44" s="427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25">
      <c r="A45" s="139"/>
      <c r="B45" s="202"/>
      <c r="C45" s="215"/>
      <c r="D45" s="215"/>
      <c r="E45" s="204" t="s">
        <v>99</v>
      </c>
      <c r="F45" s="205">
        <f>ROUND(F67-F41-F63,2)</f>
        <v>71.33</v>
      </c>
      <c r="G45" s="206">
        <f>ROUND(G67-G41-G63,-2)</f>
        <v>3170700</v>
      </c>
      <c r="H45" s="206">
        <f>ROUND(H67-H41-H63,-2)</f>
        <v>712700</v>
      </c>
      <c r="I45" s="206">
        <f>ROUND(I67-I41-I63,-2)</f>
        <v>684600</v>
      </c>
      <c r="J45" s="159">
        <f>SUM(G45:I45)</f>
        <v>4568000</v>
      </c>
      <c r="K45" s="425" t="str">
        <f>IF(J67=0,"Program has a zero base",IF(E51=0,"ERROR! Enter Original Appropriation amount in DU 3.00!","Calculated "&amp;IF(J45&gt;0,"overfunding ","underfunding ")&amp;"is "&amp;TEXT(J45/J67,"#.0%;(#.0% );0% ;")&amp;" of the Base"))</f>
        <v>Calculated overfunding is 31.9% of the Base</v>
      </c>
      <c r="L45" s="426"/>
      <c r="M45" s="426"/>
      <c r="N45" s="427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0</v>
      </c>
      <c r="AC45" s="338">
        <f>SUM(AA45:AB45)</f>
        <v>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25">
      <c r="A46" s="139"/>
      <c r="B46" s="202"/>
      <c r="C46" s="215"/>
      <c r="D46" s="215"/>
      <c r="E46" s="428" t="s">
        <v>100</v>
      </c>
      <c r="F46" s="429"/>
      <c r="G46" s="429"/>
      <c r="H46" s="429"/>
      <c r="I46" s="429"/>
      <c r="J46" s="430"/>
      <c r="K46" s="434" t="str">
        <f>IF(OR(J45&lt;0,F45&lt;0),"You may not have sufficient funding or authorized FTP, and may need to make additional adjustments to finalize this form.  Please contact both your DFM and LSO analysts.","")</f>
        <v/>
      </c>
      <c r="L46" s="435"/>
      <c r="M46" s="435"/>
      <c r="N46" s="436"/>
      <c r="O46"/>
      <c r="P46"/>
      <c r="Q46"/>
      <c r="R46"/>
      <c r="S46"/>
      <c r="T46"/>
      <c r="U46"/>
      <c r="V46"/>
      <c r="W46"/>
      <c r="X46"/>
      <c r="Y46"/>
      <c r="Z46" s="344"/>
      <c r="AA46" s="364"/>
      <c r="AB46" s="364"/>
      <c r="AC46" s="364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25">
      <c r="A47" s="139"/>
      <c r="B47" s="202"/>
      <c r="C47" s="215"/>
      <c r="D47" s="215"/>
      <c r="E47" s="431"/>
      <c r="F47" s="432"/>
      <c r="G47" s="432"/>
      <c r="H47" s="432"/>
      <c r="I47" s="432"/>
      <c r="J47" s="433"/>
      <c r="K47" s="437"/>
      <c r="L47" s="438"/>
      <c r="M47" s="438"/>
      <c r="N47" s="439"/>
      <c r="O47"/>
      <c r="P47"/>
      <c r="Q47"/>
      <c r="R47"/>
      <c r="S47"/>
      <c r="T47"/>
      <c r="U47"/>
      <c r="V47"/>
      <c r="W47"/>
      <c r="X47"/>
      <c r="Y47"/>
      <c r="Z47" s="344"/>
      <c r="AA47" s="364"/>
      <c r="AB47" s="364"/>
      <c r="AC47" s="364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25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25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4"/>
      <c r="AB49" s="364"/>
      <c r="AC49" s="364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25">
      <c r="A50" s="257" t="s">
        <v>42</v>
      </c>
      <c r="B50" s="71"/>
      <c r="C50" s="440"/>
      <c r="D50" s="441"/>
      <c r="E50" s="72" t="s">
        <v>43</v>
      </c>
      <c r="F50" s="73" t="s">
        <v>24</v>
      </c>
      <c r="G50" s="72" t="str">
        <f>"FY "&amp;M4-2001&amp;" Salary"</f>
        <v>FY 22 Salary</v>
      </c>
      <c r="H50" s="72" t="str">
        <f>"FY "&amp;M4-2001&amp;" Health Ben"</f>
        <v>FY 22 Health Ben</v>
      </c>
      <c r="I50" s="72" t="str">
        <f>"FY "&amp;M4-2001&amp;" Var Ben"</f>
        <v>FY 22 Var Ben</v>
      </c>
      <c r="J50" s="72" t="str">
        <f>"FY "&amp;M4-1&amp;" Total"</f>
        <v>FY 2022 Total</v>
      </c>
      <c r="K50" s="307" t="str">
        <f>"FY "&amp;FiscalYear&amp;" SALARY CHG"</f>
        <v>FY 2023 SALARY CHG</v>
      </c>
      <c r="L50" s="74" t="str">
        <f>"FY "&amp;M4-2000&amp;" Chg Health Bens"</f>
        <v>FY 23 Chg Health Bens</v>
      </c>
      <c r="M50" s="74" t="str">
        <f>"FY "&amp;M4-2000&amp;" Chg Var Bens"</f>
        <v>FY 23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4"/>
      <c r="AB50" s="364"/>
      <c r="AC50" s="364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25">
      <c r="A51" s="75">
        <v>3</v>
      </c>
      <c r="B51" s="76" t="s">
        <v>45</v>
      </c>
      <c r="C51" s="54" t="str">
        <f>"FY "&amp;M4-1</f>
        <v>FY 2022</v>
      </c>
      <c r="D51" s="77" t="s">
        <v>31</v>
      </c>
      <c r="E51" s="78">
        <f>OrigApprop</f>
        <v>14316200</v>
      </c>
      <c r="F51" s="272">
        <f>AppropFTP</f>
        <v>201.88</v>
      </c>
      <c r="G51" s="274">
        <f>IF(E51=0,0,(G41/$J$41)*$E$51)</f>
        <v>9936968.507060295</v>
      </c>
      <c r="H51" s="274">
        <f>IF(E51=0,0,(H41/$J$41)*$E$51)</f>
        <v>2233590.0199960959</v>
      </c>
      <c r="I51" s="275">
        <f>IF(E51=0,0,(I41/$J$41)*$E$51)</f>
        <v>2145641.4729436086</v>
      </c>
      <c r="J51" s="90">
        <f>SUM(G51:I51)</f>
        <v>14316200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4"/>
      <c r="AC51" s="364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25">
      <c r="A52" s="82"/>
      <c r="B52" s="83"/>
      <c r="C52" s="84"/>
      <c r="D52" s="132" t="s">
        <v>46</v>
      </c>
      <c r="E52" s="133"/>
      <c r="F52" s="55">
        <f>F51</f>
        <v>201.88</v>
      </c>
      <c r="G52" s="79">
        <f>ROUND(G51,-2)</f>
        <v>9937000</v>
      </c>
      <c r="H52" s="79">
        <f>ROUND(H51,-2)</f>
        <v>2233600</v>
      </c>
      <c r="I52" s="266">
        <f>ROUND(I51,-2)</f>
        <v>2145600</v>
      </c>
      <c r="J52" s="80">
        <f>ROUND(J51,-2)</f>
        <v>14316200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4"/>
      <c r="AC52" s="364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5" x14ac:dyDescent="0.25">
      <c r="A53" s="85"/>
      <c r="B53" s="83"/>
      <c r="C53" s="442" t="s">
        <v>47</v>
      </c>
      <c r="D53" s="443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4"/>
      <c r="AB53" s="364"/>
      <c r="AC53" s="364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25">
      <c r="A54" s="85">
        <v>4.1100000000000003</v>
      </c>
      <c r="B54" s="83"/>
      <c r="C54" s="409" t="s">
        <v>48</v>
      </c>
      <c r="D54" s="410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4"/>
      <c r="AB54" s="364"/>
      <c r="AC54" s="364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25">
      <c r="A55" s="85">
        <v>4.3099999999999996</v>
      </c>
      <c r="B55" s="83"/>
      <c r="C55" s="422" t="s">
        <v>49</v>
      </c>
      <c r="D55" s="423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4"/>
      <c r="AB55" s="364"/>
      <c r="AC55" s="364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25">
      <c r="A56" s="75">
        <v>5</v>
      </c>
      <c r="B56" s="76"/>
      <c r="C56" s="54" t="str">
        <f>"FY "&amp;M4-1</f>
        <v>FY 2022</v>
      </c>
      <c r="D56" s="131" t="s">
        <v>50</v>
      </c>
      <c r="E56" s="135"/>
      <c r="F56" s="55">
        <f>SUM(F52:F55)</f>
        <v>201.88</v>
      </c>
      <c r="G56" s="80">
        <f>SUM(G52:G55)</f>
        <v>9937000</v>
      </c>
      <c r="H56" s="80">
        <f>SUM(H52:H55)</f>
        <v>2233600</v>
      </c>
      <c r="I56" s="260">
        <f>SUM(I52:I55)</f>
        <v>2145600</v>
      </c>
      <c r="J56" s="80">
        <f>SUM(J52:J55)</f>
        <v>14316200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4"/>
      <c r="AB56" s="364"/>
      <c r="AC56" s="364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25">
      <c r="A57" s="85"/>
      <c r="B57" s="83"/>
      <c r="C57" s="420" t="s">
        <v>51</v>
      </c>
      <c r="D57" s="424"/>
      <c r="E57" s="368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4"/>
      <c r="AB57" s="364"/>
      <c r="AC57" s="364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25">
      <c r="A58" s="85">
        <v>6.31</v>
      </c>
      <c r="B58" s="83"/>
      <c r="C58" s="409" t="s">
        <v>52</v>
      </c>
      <c r="D58" s="410"/>
      <c r="E58" s="102"/>
      <c r="F58" s="58">
        <v>0</v>
      </c>
      <c r="G58" s="88">
        <v>0</v>
      </c>
      <c r="H58" s="88">
        <v>0</v>
      </c>
      <c r="I58" s="265">
        <v>0</v>
      </c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4"/>
      <c r="AB58" s="364"/>
      <c r="AC58" s="364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25">
      <c r="A59" s="85">
        <v>6.51</v>
      </c>
      <c r="B59" s="83"/>
      <c r="C59" s="422" t="s">
        <v>66</v>
      </c>
      <c r="D59" s="423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4"/>
      <c r="AB59" s="364"/>
      <c r="AC59" s="364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25">
      <c r="A60" s="75">
        <v>7</v>
      </c>
      <c r="B60" s="76"/>
      <c r="C60" s="54" t="str">
        <f>"FY "&amp;M4-1</f>
        <v>FY 2022</v>
      </c>
      <c r="D60" s="131" t="s">
        <v>53</v>
      </c>
      <c r="E60" s="135"/>
      <c r="F60" s="55">
        <f>SUM(F56:F59)</f>
        <v>201.88</v>
      </c>
      <c r="G60" s="80">
        <f>SUM(G56:G59)</f>
        <v>9937000</v>
      </c>
      <c r="H60" s="80">
        <f>SUM(H56:H59)</f>
        <v>2233600</v>
      </c>
      <c r="I60" s="260">
        <f>SUM(I56:I59)</f>
        <v>2145600</v>
      </c>
      <c r="J60" s="80">
        <f>SUM(J56:J59)</f>
        <v>14316200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4"/>
      <c r="AB60" s="364"/>
      <c r="AC60" s="364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25">
      <c r="A61" s="85"/>
      <c r="B61" s="83"/>
      <c r="C61" s="420" t="s">
        <v>54</v>
      </c>
      <c r="D61" s="424"/>
      <c r="E61" s="368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4"/>
      <c r="AB61" s="364"/>
      <c r="AC61" s="364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25">
      <c r="A62" s="85">
        <v>8.31</v>
      </c>
      <c r="B62" s="83"/>
      <c r="C62" s="409" t="s">
        <v>67</v>
      </c>
      <c r="D62" s="410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4"/>
      <c r="AB62" s="364"/>
      <c r="AC62" s="364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25">
      <c r="A63" s="85">
        <v>8.41</v>
      </c>
      <c r="B63" s="83"/>
      <c r="C63" s="409" t="s">
        <v>55</v>
      </c>
      <c r="D63" s="410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4"/>
      <c r="AB63" s="364"/>
      <c r="AC63" s="364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">
      <c r="A64" s="93">
        <v>8.51</v>
      </c>
      <c r="B64" s="93"/>
      <c r="C64" s="414" t="s">
        <v>56</v>
      </c>
      <c r="D64" s="415"/>
      <c r="E64" s="134"/>
      <c r="F64" s="58">
        <v>0</v>
      </c>
      <c r="G64" s="88"/>
      <c r="H64" s="88">
        <v>0</v>
      </c>
      <c r="I64" s="265"/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4"/>
      <c r="AB64" s="364"/>
      <c r="AC64" s="364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25">
      <c r="A65" s="94"/>
      <c r="B65" s="95"/>
      <c r="C65" s="416"/>
      <c r="D65" s="417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4"/>
      <c r="AB65" s="364"/>
      <c r="AC65" s="364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5" x14ac:dyDescent="0.25">
      <c r="A66" s="100"/>
      <c r="B66" s="101"/>
      <c r="C66" s="418"/>
      <c r="D66" s="419"/>
      <c r="E66" s="102"/>
      <c r="F66" s="103" t="s">
        <v>24</v>
      </c>
      <c r="G66" s="104" t="str">
        <f>"FY "&amp;M4-2000&amp;" Salary"</f>
        <v>FY 23 Salary</v>
      </c>
      <c r="H66" s="104" t="str">
        <f>"FY"&amp;M4-2000&amp;" Health Ben"</f>
        <v>FY23 Health Ben</v>
      </c>
      <c r="I66" s="104" t="str">
        <f>"FY "&amp;M4-2000&amp;" Var Ben"</f>
        <v>FY 23 Var Ben</v>
      </c>
      <c r="J66" s="104" t="str">
        <f>"FY "&amp;M4&amp;" Total"</f>
        <v>FY 2023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5" x14ac:dyDescent="0.25">
      <c r="A67" s="82">
        <v>9</v>
      </c>
      <c r="B67" s="83"/>
      <c r="C67" s="84" t="str">
        <f>"FY "&amp;M4</f>
        <v>FY 2023</v>
      </c>
      <c r="D67" s="108" t="s">
        <v>57</v>
      </c>
      <c r="E67" s="109"/>
      <c r="F67" s="55">
        <f>SUM(F60:F64)</f>
        <v>201.88</v>
      </c>
      <c r="G67" s="80">
        <f>SUM(G60:G64)</f>
        <v>9937000</v>
      </c>
      <c r="H67" s="80">
        <f>SUM(H60:H64)</f>
        <v>2233600</v>
      </c>
      <c r="I67" s="80">
        <f>SUM(I60:I64)</f>
        <v>2145600</v>
      </c>
      <c r="J67" s="80">
        <f>SUM(J60:J64)</f>
        <v>14316200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4"/>
      <c r="AB67" s="364"/>
      <c r="AC67" s="364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25">
      <c r="A68" s="85">
        <v>10.11</v>
      </c>
      <c r="B68" s="83"/>
      <c r="C68" s="420" t="s">
        <v>58</v>
      </c>
      <c r="D68" s="421"/>
      <c r="E68" s="112"/>
      <c r="F68" s="288"/>
      <c r="G68" s="287"/>
      <c r="H68" s="113">
        <f>IF(DUNine=0,0,ROUND(SUM(L41:L65),-2))</f>
        <v>0</v>
      </c>
      <c r="I68" s="113"/>
      <c r="J68" s="287">
        <f>SUM(G68:I68)</f>
        <v>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4"/>
      <c r="AB68" s="364"/>
      <c r="AC68" s="364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5" x14ac:dyDescent="0.25">
      <c r="A69" s="85">
        <v>10.119999999999999</v>
      </c>
      <c r="B69" s="83"/>
      <c r="C69" s="420" t="s">
        <v>59</v>
      </c>
      <c r="D69" s="421"/>
      <c r="E69" s="112"/>
      <c r="F69" s="288"/>
      <c r="G69" s="113"/>
      <c r="H69" s="113"/>
      <c r="I69" s="113">
        <f>IF(DUNine=0,0,ROUND(SUM(M41:M64),-2))</f>
        <v>-28300</v>
      </c>
      <c r="J69" s="287">
        <f>SUM(G69:I69)</f>
        <v>-28300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4"/>
      <c r="AB69" s="364"/>
      <c r="AC69" s="364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5" x14ac:dyDescent="0.25">
      <c r="A70" s="85"/>
      <c r="B70" s="83"/>
      <c r="C70" s="407"/>
      <c r="D70" s="408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4"/>
      <c r="AB70" s="364"/>
      <c r="AC70" s="364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25">
      <c r="A71" s="85">
        <v>10.51</v>
      </c>
      <c r="B71" s="83"/>
      <c r="C71" s="409" t="s">
        <v>60</v>
      </c>
      <c r="D71" s="410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112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64"/>
      <c r="AB71" s="364"/>
      <c r="AC71" s="364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25">
      <c r="A72" s="85">
        <v>10.61</v>
      </c>
      <c r="B72" s="83"/>
      <c r="C72" s="409" t="s">
        <v>101</v>
      </c>
      <c r="D72" s="411"/>
      <c r="E72" s="290">
        <f>CECPerm</f>
        <v>0.01</v>
      </c>
      <c r="F72" s="288"/>
      <c r="G72" s="356">
        <f>IF(DUNine=0,0,IF(DUNine&lt;0,0,ROUND(AdjPermSalary*CECPerm,-2)))</f>
        <v>67400</v>
      </c>
      <c r="H72" s="287"/>
      <c r="I72" s="287">
        <f>ROUND(($G72*PermVBBY+$G72*Retire1BY),-2)</f>
        <v>14300</v>
      </c>
      <c r="J72" s="113">
        <f>SUM(G72:I72)</f>
        <v>81700</v>
      </c>
      <c r="K72" s="296"/>
      <c r="L72" s="298"/>
      <c r="M72" s="350" t="e">
        <f>IF(DUNine=0,0,IF(((#REF!-G39-G40)*E72)&lt;0,0,ROUND(((#REF!-G39-G40)*E72),-2)))</f>
        <v>#REF!</v>
      </c>
      <c r="N72" s="359"/>
      <c r="O72" s="358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#REF!</v>
      </c>
      <c r="P72" s="358"/>
      <c r="Q72"/>
      <c r="R72"/>
      <c r="S72"/>
      <c r="T72"/>
      <c r="U72"/>
      <c r="V72"/>
      <c r="W72"/>
      <c r="X72"/>
      <c r="Y72"/>
      <c r="Z72" s="344"/>
      <c r="AA72" s="364"/>
      <c r="AB72" s="364"/>
      <c r="AC72" s="364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25">
      <c r="A73" s="85">
        <v>10.62</v>
      </c>
      <c r="B73" s="83"/>
      <c r="C73" s="409" t="s">
        <v>61</v>
      </c>
      <c r="D73" s="411"/>
      <c r="E73" s="289">
        <f>CECGroup</f>
        <v>0.01</v>
      </c>
      <c r="F73" s="288"/>
      <c r="G73" s="356">
        <f>IF(DUNine=0,0,IF(DUNine&lt;0,0,ROUND(AdjGroupSalary*CECGroup,-2)))</f>
        <v>200</v>
      </c>
      <c r="H73" s="287"/>
      <c r="I73" s="287">
        <f>ROUND(($G73*GroupVBBY),-2)</f>
        <v>0</v>
      </c>
      <c r="J73" s="113">
        <f t="shared" si="11"/>
        <v>200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64"/>
      <c r="AB73" s="364"/>
      <c r="AC73" s="364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25">
      <c r="A74" s="85">
        <v>10.63</v>
      </c>
      <c r="B74" s="83"/>
      <c r="C74" s="367" t="s">
        <v>62</v>
      </c>
      <c r="D74" s="369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4"/>
      <c r="AB74" s="364"/>
      <c r="AC74" s="364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25">
      <c r="A75" s="75">
        <v>11</v>
      </c>
      <c r="B75" s="76"/>
      <c r="C75" s="54" t="str">
        <f>"FY "&amp;M4</f>
        <v>FY 2023</v>
      </c>
      <c r="D75" s="77" t="s">
        <v>63</v>
      </c>
      <c r="E75" s="112"/>
      <c r="F75" s="55">
        <f>SUM(F67:F74)</f>
        <v>201.88</v>
      </c>
      <c r="G75" s="80">
        <f>SUM(G67:G74)</f>
        <v>10004600</v>
      </c>
      <c r="H75" s="80">
        <f>SUM(H67:H74)</f>
        <v>2233600</v>
      </c>
      <c r="I75" s="80">
        <f>SUM(I67:I74)</f>
        <v>2131600</v>
      </c>
      <c r="J75" s="80">
        <f>SUM(J67:K74)</f>
        <v>14369800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4"/>
      <c r="AB75" s="364"/>
      <c r="AC75" s="364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25">
      <c r="A76" s="85"/>
      <c r="B76" s="83"/>
      <c r="C76" s="412" t="s">
        <v>64</v>
      </c>
      <c r="D76" s="413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4"/>
      <c r="AB76" s="364"/>
      <c r="AC76" s="364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5" x14ac:dyDescent="0.25">
      <c r="A77" s="116">
        <v>12.01</v>
      </c>
      <c r="B77" s="57"/>
      <c r="C77" s="405"/>
      <c r="D77" s="406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4"/>
      <c r="AB77" s="364"/>
      <c r="AC77" s="364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5" x14ac:dyDescent="0.25">
      <c r="A78" s="116">
        <v>12.02</v>
      </c>
      <c r="B78" s="57"/>
      <c r="C78" s="405"/>
      <c r="D78" s="406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4"/>
      <c r="AB78" s="364"/>
      <c r="AC78" s="364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5" x14ac:dyDescent="0.25">
      <c r="A79" s="116">
        <v>12.03</v>
      </c>
      <c r="B79" s="57" t="s">
        <v>45</v>
      </c>
      <c r="C79" s="405"/>
      <c r="D79" s="406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4"/>
      <c r="AB79" s="364"/>
      <c r="AC79" s="364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25">
      <c r="A80" s="117">
        <v>13</v>
      </c>
      <c r="B80" s="118"/>
      <c r="C80" s="119" t="str">
        <f>"FY "&amp;M4</f>
        <v>FY 2023</v>
      </c>
      <c r="D80" s="120" t="s">
        <v>65</v>
      </c>
      <c r="E80" s="121"/>
      <c r="F80" s="55">
        <f>SUM(F75:F79)</f>
        <v>201.88</v>
      </c>
      <c r="G80" s="80">
        <f>SUM(G75:G79)</f>
        <v>10004600</v>
      </c>
      <c r="H80" s="80">
        <f>SUM(H75:H79)</f>
        <v>2233600</v>
      </c>
      <c r="I80" s="80">
        <f>SUM(I75:I79)</f>
        <v>2131600</v>
      </c>
      <c r="J80" s="80">
        <f>SUM(J75:J79)</f>
        <v>14369800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4"/>
      <c r="AB80" s="364"/>
      <c r="AC80" s="364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13:D13"/>
    <mergeCell ref="M1:N1"/>
    <mergeCell ref="M2:N2"/>
    <mergeCell ref="M3:N3"/>
    <mergeCell ref="M4:N4"/>
    <mergeCell ref="I5:L5"/>
    <mergeCell ref="C8:D8"/>
    <mergeCell ref="AA8:AC8"/>
    <mergeCell ref="C9:D9"/>
    <mergeCell ref="C10:D10"/>
    <mergeCell ref="C11:D11"/>
    <mergeCell ref="C12:D12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C54:D54"/>
    <mergeCell ref="C39:D39"/>
    <mergeCell ref="C41:D41"/>
    <mergeCell ref="C42:D42"/>
    <mergeCell ref="C43:D44"/>
    <mergeCell ref="K45:N45"/>
    <mergeCell ref="E46:J47"/>
    <mergeCell ref="K46:N47"/>
    <mergeCell ref="C50:D50"/>
    <mergeCell ref="C53:D53"/>
    <mergeCell ref="C69:D69"/>
    <mergeCell ref="C55:D55"/>
    <mergeCell ref="C57:D57"/>
    <mergeCell ref="C58:D58"/>
    <mergeCell ref="C59:D59"/>
    <mergeCell ref="C61:D61"/>
    <mergeCell ref="C62:D62"/>
    <mergeCell ref="C63:D63"/>
    <mergeCell ref="C64:D64"/>
    <mergeCell ref="C65:D65"/>
    <mergeCell ref="C66:D66"/>
    <mergeCell ref="C68:D68"/>
    <mergeCell ref="C78:D78"/>
    <mergeCell ref="C79:D79"/>
    <mergeCell ref="C70:D70"/>
    <mergeCell ref="C71:D71"/>
    <mergeCell ref="C72:D72"/>
    <mergeCell ref="C73:D73"/>
    <mergeCell ref="C76:D76"/>
    <mergeCell ref="C77:D77"/>
  </mergeCells>
  <conditionalFormatting sqref="K44">
    <cfRule type="expression" dxfId="48" priority="5">
      <formula>$J$44&lt;0</formula>
    </cfRule>
  </conditionalFormatting>
  <conditionalFormatting sqref="K43">
    <cfRule type="expression" dxfId="47" priority="4">
      <formula>$J$43&lt;0</formula>
    </cfRule>
  </conditionalFormatting>
  <conditionalFormatting sqref="L16">
    <cfRule type="expression" dxfId="46" priority="3">
      <formula>$J$16&lt;0</formula>
    </cfRule>
  </conditionalFormatting>
  <conditionalFormatting sqref="K45">
    <cfRule type="expression" dxfId="45" priority="2">
      <formula>$J$44&lt;0</formula>
    </cfRule>
  </conditionalFormatting>
  <conditionalFormatting sqref="K43:N45">
    <cfRule type="containsText" dxfId="44" priority="1" operator="containsText" text="underfunding">
      <formula>NOT(ISERROR(SEARCH("underfunding",K43)))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75877FC-340E-4534-B4F3-D9752724A83F}">
          <x14:formula1>
            <xm:f>Benefits!$A$20:$A$26</xm:f>
          </x14:formula1>
          <xm:sqref>C20:C30 C32:C36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2240</vt:i4>
      </vt:variant>
    </vt:vector>
  </HeadingPairs>
  <TitlesOfParts>
    <vt:vector size="2259" baseType="lpstr">
      <vt:lpstr>EMAA|0001-00</vt:lpstr>
      <vt:lpstr>EMAA|0302-00</vt:lpstr>
      <vt:lpstr>EMAA|0303-00</vt:lpstr>
      <vt:lpstr>EMAA|0349-00</vt:lpstr>
      <vt:lpstr>EMAA|0348-00</vt:lpstr>
      <vt:lpstr>EMLO|0001-00</vt:lpstr>
      <vt:lpstr>EMLO|0302-00</vt:lpstr>
      <vt:lpstr>EMLO|0303-00</vt:lpstr>
      <vt:lpstr>EMLO|0348-00</vt:lpstr>
      <vt:lpstr>EMLO|0349-00</vt:lpstr>
      <vt:lpstr>EMUI|0001-00</vt:lpstr>
      <vt:lpstr>EMUI|0302-00</vt:lpstr>
      <vt:lpstr>EMUI|0348-00</vt:lpstr>
      <vt:lpstr>EMUI|0349-00</vt:lpstr>
      <vt:lpstr>Data</vt:lpstr>
      <vt:lpstr>Benefits</vt:lpstr>
      <vt:lpstr>B6</vt:lpstr>
      <vt:lpstr>Summary</vt:lpstr>
      <vt:lpstr>FundSummary</vt:lpstr>
      <vt:lpstr>'EMAA|0001-00'!AdjGroupHlth</vt:lpstr>
      <vt:lpstr>'EMAA|0302-00'!AdjGroupHlth</vt:lpstr>
      <vt:lpstr>'EMAA|0303-00'!AdjGroupHlth</vt:lpstr>
      <vt:lpstr>'EMAA|0348-00'!AdjGroupHlth</vt:lpstr>
      <vt:lpstr>'EMAA|0349-00'!AdjGroupHlth</vt:lpstr>
      <vt:lpstr>'EMLO|0001-00'!AdjGroupHlth</vt:lpstr>
      <vt:lpstr>'EMLO|0302-00'!AdjGroupHlth</vt:lpstr>
      <vt:lpstr>'EMLO|0303-00'!AdjGroupHlth</vt:lpstr>
      <vt:lpstr>'EMLO|0348-00'!AdjGroupHlth</vt:lpstr>
      <vt:lpstr>'EMLO|0349-00'!AdjGroupHlth</vt:lpstr>
      <vt:lpstr>'EMUI|0001-00'!AdjGroupHlth</vt:lpstr>
      <vt:lpstr>'EMUI|0302-00'!AdjGroupHlth</vt:lpstr>
      <vt:lpstr>'EMUI|0348-00'!AdjGroupHlth</vt:lpstr>
      <vt:lpstr>'EMUI|0349-00'!AdjGroupHlth</vt:lpstr>
      <vt:lpstr>AdjGroupHlth</vt:lpstr>
      <vt:lpstr>'EMAA|0001-00'!AdjGroupSalary</vt:lpstr>
      <vt:lpstr>'EMAA|0302-00'!AdjGroupSalary</vt:lpstr>
      <vt:lpstr>'EMAA|0303-00'!AdjGroupSalary</vt:lpstr>
      <vt:lpstr>'EMAA|0348-00'!AdjGroupSalary</vt:lpstr>
      <vt:lpstr>'EMAA|0349-00'!AdjGroupSalary</vt:lpstr>
      <vt:lpstr>'EMLO|0001-00'!AdjGroupSalary</vt:lpstr>
      <vt:lpstr>'EMLO|0302-00'!AdjGroupSalary</vt:lpstr>
      <vt:lpstr>'EMLO|0303-00'!AdjGroupSalary</vt:lpstr>
      <vt:lpstr>'EMLO|0348-00'!AdjGroupSalary</vt:lpstr>
      <vt:lpstr>'EMLO|0349-00'!AdjGroupSalary</vt:lpstr>
      <vt:lpstr>'EMUI|0001-00'!AdjGroupSalary</vt:lpstr>
      <vt:lpstr>'EMUI|0302-00'!AdjGroupSalary</vt:lpstr>
      <vt:lpstr>'EMUI|0348-00'!AdjGroupSalary</vt:lpstr>
      <vt:lpstr>'EMUI|0349-00'!AdjGroupSalary</vt:lpstr>
      <vt:lpstr>AdjGroupSalary</vt:lpstr>
      <vt:lpstr>'EMAA|0001-00'!AdjGroupVB</vt:lpstr>
      <vt:lpstr>'EMAA|0302-00'!AdjGroupVB</vt:lpstr>
      <vt:lpstr>'EMAA|0303-00'!AdjGroupVB</vt:lpstr>
      <vt:lpstr>'EMAA|0348-00'!AdjGroupVB</vt:lpstr>
      <vt:lpstr>'EMAA|0349-00'!AdjGroupVB</vt:lpstr>
      <vt:lpstr>'EMLO|0001-00'!AdjGroupVB</vt:lpstr>
      <vt:lpstr>'EMLO|0302-00'!AdjGroupVB</vt:lpstr>
      <vt:lpstr>'EMLO|0303-00'!AdjGroupVB</vt:lpstr>
      <vt:lpstr>'EMLO|0348-00'!AdjGroupVB</vt:lpstr>
      <vt:lpstr>'EMLO|0349-00'!AdjGroupVB</vt:lpstr>
      <vt:lpstr>'EMUI|0001-00'!AdjGroupVB</vt:lpstr>
      <vt:lpstr>'EMUI|0302-00'!AdjGroupVB</vt:lpstr>
      <vt:lpstr>'EMUI|0348-00'!AdjGroupVB</vt:lpstr>
      <vt:lpstr>'EMUI|0349-00'!AdjGroupVB</vt:lpstr>
      <vt:lpstr>AdjGroupVB</vt:lpstr>
      <vt:lpstr>'EMAA|0001-00'!AdjGroupVBBY</vt:lpstr>
      <vt:lpstr>'EMAA|0302-00'!AdjGroupVBBY</vt:lpstr>
      <vt:lpstr>'EMAA|0303-00'!AdjGroupVBBY</vt:lpstr>
      <vt:lpstr>'EMAA|0348-00'!AdjGroupVBBY</vt:lpstr>
      <vt:lpstr>'EMAA|0349-00'!AdjGroupVBBY</vt:lpstr>
      <vt:lpstr>'EMLO|0001-00'!AdjGroupVBBY</vt:lpstr>
      <vt:lpstr>'EMLO|0302-00'!AdjGroupVBBY</vt:lpstr>
      <vt:lpstr>'EMLO|0303-00'!AdjGroupVBBY</vt:lpstr>
      <vt:lpstr>'EMLO|0348-00'!AdjGroupVBBY</vt:lpstr>
      <vt:lpstr>'EMLO|0349-00'!AdjGroupVBBY</vt:lpstr>
      <vt:lpstr>'EMUI|0001-00'!AdjGroupVBBY</vt:lpstr>
      <vt:lpstr>'EMUI|0302-00'!AdjGroupVBBY</vt:lpstr>
      <vt:lpstr>'EMUI|0348-00'!AdjGroupVBBY</vt:lpstr>
      <vt:lpstr>'EMUI|0349-00'!AdjGroupVBBY</vt:lpstr>
      <vt:lpstr>AdjGroupVBBY</vt:lpstr>
      <vt:lpstr>'EMAA|0001-00'!AdjPermHlth</vt:lpstr>
      <vt:lpstr>'EMAA|0302-00'!AdjPermHlth</vt:lpstr>
      <vt:lpstr>'EMAA|0303-00'!AdjPermHlth</vt:lpstr>
      <vt:lpstr>'EMAA|0348-00'!AdjPermHlth</vt:lpstr>
      <vt:lpstr>'EMAA|0349-00'!AdjPermHlth</vt:lpstr>
      <vt:lpstr>'EMLO|0001-00'!AdjPermHlth</vt:lpstr>
      <vt:lpstr>'EMLO|0302-00'!AdjPermHlth</vt:lpstr>
      <vt:lpstr>'EMLO|0303-00'!AdjPermHlth</vt:lpstr>
      <vt:lpstr>'EMLO|0348-00'!AdjPermHlth</vt:lpstr>
      <vt:lpstr>'EMLO|0349-00'!AdjPermHlth</vt:lpstr>
      <vt:lpstr>'EMUI|0001-00'!AdjPermHlth</vt:lpstr>
      <vt:lpstr>'EMUI|0302-00'!AdjPermHlth</vt:lpstr>
      <vt:lpstr>'EMUI|0348-00'!AdjPermHlth</vt:lpstr>
      <vt:lpstr>'EMUI|0349-00'!AdjPermHlth</vt:lpstr>
      <vt:lpstr>AdjPermHlth</vt:lpstr>
      <vt:lpstr>'EMAA|0001-00'!AdjPermHlthBY</vt:lpstr>
      <vt:lpstr>'EMAA|0302-00'!AdjPermHlthBY</vt:lpstr>
      <vt:lpstr>'EMAA|0303-00'!AdjPermHlthBY</vt:lpstr>
      <vt:lpstr>'EMAA|0348-00'!AdjPermHlthBY</vt:lpstr>
      <vt:lpstr>'EMAA|0349-00'!AdjPermHlthBY</vt:lpstr>
      <vt:lpstr>'EMLO|0001-00'!AdjPermHlthBY</vt:lpstr>
      <vt:lpstr>'EMLO|0302-00'!AdjPermHlthBY</vt:lpstr>
      <vt:lpstr>'EMLO|0303-00'!AdjPermHlthBY</vt:lpstr>
      <vt:lpstr>'EMLO|0348-00'!AdjPermHlthBY</vt:lpstr>
      <vt:lpstr>'EMLO|0349-00'!AdjPermHlthBY</vt:lpstr>
      <vt:lpstr>'EMUI|0001-00'!AdjPermHlthBY</vt:lpstr>
      <vt:lpstr>'EMUI|0302-00'!AdjPermHlthBY</vt:lpstr>
      <vt:lpstr>'EMUI|0348-00'!AdjPermHlthBY</vt:lpstr>
      <vt:lpstr>'EMUI|0349-00'!AdjPermHlthBY</vt:lpstr>
      <vt:lpstr>AdjPermHlthBY</vt:lpstr>
      <vt:lpstr>'EMAA|0001-00'!AdjPermSalary</vt:lpstr>
      <vt:lpstr>'EMAA|0302-00'!AdjPermSalary</vt:lpstr>
      <vt:lpstr>'EMAA|0303-00'!AdjPermSalary</vt:lpstr>
      <vt:lpstr>'EMAA|0348-00'!AdjPermSalary</vt:lpstr>
      <vt:lpstr>'EMAA|0349-00'!AdjPermSalary</vt:lpstr>
      <vt:lpstr>'EMLO|0001-00'!AdjPermSalary</vt:lpstr>
      <vt:lpstr>'EMLO|0302-00'!AdjPermSalary</vt:lpstr>
      <vt:lpstr>'EMLO|0303-00'!AdjPermSalary</vt:lpstr>
      <vt:lpstr>'EMLO|0348-00'!AdjPermSalary</vt:lpstr>
      <vt:lpstr>'EMLO|0349-00'!AdjPermSalary</vt:lpstr>
      <vt:lpstr>'EMUI|0001-00'!AdjPermSalary</vt:lpstr>
      <vt:lpstr>'EMUI|0302-00'!AdjPermSalary</vt:lpstr>
      <vt:lpstr>'EMUI|0348-00'!AdjPermSalary</vt:lpstr>
      <vt:lpstr>'EMUI|0349-00'!AdjPermSalary</vt:lpstr>
      <vt:lpstr>AdjPermSalary</vt:lpstr>
      <vt:lpstr>'EMAA|0001-00'!AdjPermVB</vt:lpstr>
      <vt:lpstr>'EMAA|0302-00'!AdjPermVB</vt:lpstr>
      <vt:lpstr>'EMAA|0303-00'!AdjPermVB</vt:lpstr>
      <vt:lpstr>'EMAA|0348-00'!AdjPermVB</vt:lpstr>
      <vt:lpstr>'EMAA|0349-00'!AdjPermVB</vt:lpstr>
      <vt:lpstr>'EMLO|0001-00'!AdjPermVB</vt:lpstr>
      <vt:lpstr>'EMLO|0302-00'!AdjPermVB</vt:lpstr>
      <vt:lpstr>'EMLO|0303-00'!AdjPermVB</vt:lpstr>
      <vt:lpstr>'EMLO|0348-00'!AdjPermVB</vt:lpstr>
      <vt:lpstr>'EMLO|0349-00'!AdjPermVB</vt:lpstr>
      <vt:lpstr>'EMUI|0001-00'!AdjPermVB</vt:lpstr>
      <vt:lpstr>'EMUI|0302-00'!AdjPermVB</vt:lpstr>
      <vt:lpstr>'EMUI|0348-00'!AdjPermVB</vt:lpstr>
      <vt:lpstr>'EMUI|0349-00'!AdjPermVB</vt:lpstr>
      <vt:lpstr>AdjPermVB</vt:lpstr>
      <vt:lpstr>'EMAA|0001-00'!AdjPermVBBY</vt:lpstr>
      <vt:lpstr>'EMAA|0302-00'!AdjPermVBBY</vt:lpstr>
      <vt:lpstr>'EMAA|0303-00'!AdjPermVBBY</vt:lpstr>
      <vt:lpstr>'EMAA|0348-00'!AdjPermVBBY</vt:lpstr>
      <vt:lpstr>'EMAA|0349-00'!AdjPermVBBY</vt:lpstr>
      <vt:lpstr>'EMLO|0001-00'!AdjPermVBBY</vt:lpstr>
      <vt:lpstr>'EMLO|0302-00'!AdjPermVBBY</vt:lpstr>
      <vt:lpstr>'EMLO|0303-00'!AdjPermVBBY</vt:lpstr>
      <vt:lpstr>'EMLO|0348-00'!AdjPermVBBY</vt:lpstr>
      <vt:lpstr>'EMLO|0349-00'!AdjPermVBBY</vt:lpstr>
      <vt:lpstr>'EMUI|0001-00'!AdjPermVBBY</vt:lpstr>
      <vt:lpstr>'EMUI|0302-00'!AdjPermVBBY</vt:lpstr>
      <vt:lpstr>'EMUI|0348-00'!AdjPermVBBY</vt:lpstr>
      <vt:lpstr>'EMUI|0349-00'!AdjPermVBBY</vt:lpstr>
      <vt:lpstr>AdjPermVBBY</vt:lpstr>
      <vt:lpstr>'EMAA|0001-00'!AdjustedTotal</vt:lpstr>
      <vt:lpstr>'EMAA|0302-00'!AdjustedTotal</vt:lpstr>
      <vt:lpstr>'EMAA|0303-00'!AdjustedTotal</vt:lpstr>
      <vt:lpstr>'EMAA|0348-00'!AdjustedTotal</vt:lpstr>
      <vt:lpstr>'EMAA|0349-00'!AdjustedTotal</vt:lpstr>
      <vt:lpstr>'EMLO|0001-00'!AdjustedTotal</vt:lpstr>
      <vt:lpstr>'EMLO|0302-00'!AdjustedTotal</vt:lpstr>
      <vt:lpstr>'EMLO|0303-00'!AdjustedTotal</vt:lpstr>
      <vt:lpstr>'EMLO|0348-00'!AdjustedTotal</vt:lpstr>
      <vt:lpstr>'EMLO|0349-00'!AdjustedTotal</vt:lpstr>
      <vt:lpstr>'EMUI|0001-00'!AdjustedTotal</vt:lpstr>
      <vt:lpstr>'EMUI|0302-00'!AdjustedTotal</vt:lpstr>
      <vt:lpstr>'EMUI|0348-00'!AdjustedTotal</vt:lpstr>
      <vt:lpstr>'EMUI|0349-00'!AdjustedTotal</vt:lpstr>
      <vt:lpstr>AdjustedTotal</vt:lpstr>
      <vt:lpstr>'EMAA|0001-00'!AgencyNum</vt:lpstr>
      <vt:lpstr>'EMAA|0302-00'!AgencyNum</vt:lpstr>
      <vt:lpstr>'EMAA|0303-00'!AgencyNum</vt:lpstr>
      <vt:lpstr>'EMAA|0348-00'!AgencyNum</vt:lpstr>
      <vt:lpstr>'EMAA|0349-00'!AgencyNum</vt:lpstr>
      <vt:lpstr>'EMLO|0001-00'!AgencyNum</vt:lpstr>
      <vt:lpstr>'EMLO|0302-00'!AgencyNum</vt:lpstr>
      <vt:lpstr>'EMLO|0303-00'!AgencyNum</vt:lpstr>
      <vt:lpstr>'EMLO|0348-00'!AgencyNum</vt:lpstr>
      <vt:lpstr>'EMLO|0349-00'!AgencyNum</vt:lpstr>
      <vt:lpstr>'EMUI|0001-00'!AgencyNum</vt:lpstr>
      <vt:lpstr>'EMUI|0302-00'!AgencyNum</vt:lpstr>
      <vt:lpstr>'EMUI|0348-00'!AgencyNum</vt:lpstr>
      <vt:lpstr>'EMUI|0349-00'!AgencyNum</vt:lpstr>
      <vt:lpstr>AgencyNum</vt:lpstr>
      <vt:lpstr>'EMAA|0001-00'!AppropFTP</vt:lpstr>
      <vt:lpstr>'EMAA|0302-00'!AppropFTP</vt:lpstr>
      <vt:lpstr>'EMAA|0303-00'!AppropFTP</vt:lpstr>
      <vt:lpstr>'EMAA|0348-00'!AppropFTP</vt:lpstr>
      <vt:lpstr>'EMAA|0349-00'!AppropFTP</vt:lpstr>
      <vt:lpstr>'EMLO|0001-00'!AppropFTP</vt:lpstr>
      <vt:lpstr>'EMLO|0302-00'!AppropFTP</vt:lpstr>
      <vt:lpstr>'EMLO|0303-00'!AppropFTP</vt:lpstr>
      <vt:lpstr>'EMLO|0348-00'!AppropFTP</vt:lpstr>
      <vt:lpstr>'EMLO|0349-00'!AppropFTP</vt:lpstr>
      <vt:lpstr>'EMUI|0001-00'!AppropFTP</vt:lpstr>
      <vt:lpstr>'EMUI|0302-00'!AppropFTP</vt:lpstr>
      <vt:lpstr>'EMUI|0348-00'!AppropFTP</vt:lpstr>
      <vt:lpstr>'EMUI|0349-00'!AppropFTP</vt:lpstr>
      <vt:lpstr>AppropFTP</vt:lpstr>
      <vt:lpstr>'EMAA|0001-00'!AppropTotal</vt:lpstr>
      <vt:lpstr>'EMAA|0302-00'!AppropTotal</vt:lpstr>
      <vt:lpstr>'EMAA|0303-00'!AppropTotal</vt:lpstr>
      <vt:lpstr>'EMAA|0348-00'!AppropTotal</vt:lpstr>
      <vt:lpstr>'EMAA|0349-00'!AppropTotal</vt:lpstr>
      <vt:lpstr>'EMLO|0001-00'!AppropTotal</vt:lpstr>
      <vt:lpstr>'EMLO|0302-00'!AppropTotal</vt:lpstr>
      <vt:lpstr>'EMLO|0303-00'!AppropTotal</vt:lpstr>
      <vt:lpstr>'EMLO|0348-00'!AppropTotal</vt:lpstr>
      <vt:lpstr>'EMLO|0349-00'!AppropTotal</vt:lpstr>
      <vt:lpstr>'EMUI|0001-00'!AppropTotal</vt:lpstr>
      <vt:lpstr>'EMUI|0302-00'!AppropTotal</vt:lpstr>
      <vt:lpstr>'EMUI|0348-00'!AppropTotal</vt:lpstr>
      <vt:lpstr>'EMUI|0349-00'!AppropTotal</vt:lpstr>
      <vt:lpstr>AppropTotal</vt:lpstr>
      <vt:lpstr>'EMAA|0001-00'!AtZHealth</vt:lpstr>
      <vt:lpstr>'EMAA|0302-00'!AtZHealth</vt:lpstr>
      <vt:lpstr>'EMAA|0303-00'!AtZHealth</vt:lpstr>
      <vt:lpstr>'EMAA|0348-00'!AtZHealth</vt:lpstr>
      <vt:lpstr>'EMAA|0349-00'!AtZHealth</vt:lpstr>
      <vt:lpstr>'EMLO|0001-00'!AtZHealth</vt:lpstr>
      <vt:lpstr>'EMLO|0302-00'!AtZHealth</vt:lpstr>
      <vt:lpstr>'EMLO|0303-00'!AtZHealth</vt:lpstr>
      <vt:lpstr>'EMLO|0348-00'!AtZHealth</vt:lpstr>
      <vt:lpstr>'EMLO|0349-00'!AtZHealth</vt:lpstr>
      <vt:lpstr>'EMUI|0001-00'!AtZHealth</vt:lpstr>
      <vt:lpstr>'EMUI|0302-00'!AtZHealth</vt:lpstr>
      <vt:lpstr>'EMUI|0348-00'!AtZHealth</vt:lpstr>
      <vt:lpstr>'EMUI|0349-00'!AtZHealth</vt:lpstr>
      <vt:lpstr>AtZHealth</vt:lpstr>
      <vt:lpstr>'EMAA|0001-00'!AtZSalary</vt:lpstr>
      <vt:lpstr>'EMAA|0302-00'!AtZSalary</vt:lpstr>
      <vt:lpstr>'EMAA|0303-00'!AtZSalary</vt:lpstr>
      <vt:lpstr>'EMAA|0348-00'!AtZSalary</vt:lpstr>
      <vt:lpstr>'EMAA|0349-00'!AtZSalary</vt:lpstr>
      <vt:lpstr>'EMLO|0001-00'!AtZSalary</vt:lpstr>
      <vt:lpstr>'EMLO|0302-00'!AtZSalary</vt:lpstr>
      <vt:lpstr>'EMLO|0303-00'!AtZSalary</vt:lpstr>
      <vt:lpstr>'EMLO|0348-00'!AtZSalary</vt:lpstr>
      <vt:lpstr>'EMLO|0349-00'!AtZSalary</vt:lpstr>
      <vt:lpstr>'EMUI|0001-00'!AtZSalary</vt:lpstr>
      <vt:lpstr>'EMUI|0302-00'!AtZSalary</vt:lpstr>
      <vt:lpstr>'EMUI|0348-00'!AtZSalary</vt:lpstr>
      <vt:lpstr>'EMUI|0349-00'!AtZSalary</vt:lpstr>
      <vt:lpstr>AtZSalary</vt:lpstr>
      <vt:lpstr>'EMAA|0001-00'!AtZTotal</vt:lpstr>
      <vt:lpstr>'EMAA|0302-00'!AtZTotal</vt:lpstr>
      <vt:lpstr>'EMAA|0303-00'!AtZTotal</vt:lpstr>
      <vt:lpstr>'EMAA|0348-00'!AtZTotal</vt:lpstr>
      <vt:lpstr>'EMAA|0349-00'!AtZTotal</vt:lpstr>
      <vt:lpstr>'EMLO|0001-00'!AtZTotal</vt:lpstr>
      <vt:lpstr>'EMLO|0302-00'!AtZTotal</vt:lpstr>
      <vt:lpstr>'EMLO|0303-00'!AtZTotal</vt:lpstr>
      <vt:lpstr>'EMLO|0348-00'!AtZTotal</vt:lpstr>
      <vt:lpstr>'EMLO|0349-00'!AtZTotal</vt:lpstr>
      <vt:lpstr>'EMUI|0001-00'!AtZTotal</vt:lpstr>
      <vt:lpstr>'EMUI|0302-00'!AtZTotal</vt:lpstr>
      <vt:lpstr>'EMUI|0348-00'!AtZTotal</vt:lpstr>
      <vt:lpstr>'EMUI|0349-00'!AtZTotal</vt:lpstr>
      <vt:lpstr>AtZTotal</vt:lpstr>
      <vt:lpstr>'EMAA|0001-00'!AtZVarBen</vt:lpstr>
      <vt:lpstr>'EMAA|0302-00'!AtZVarBen</vt:lpstr>
      <vt:lpstr>'EMAA|0303-00'!AtZVarBen</vt:lpstr>
      <vt:lpstr>'EMAA|0348-00'!AtZVarBen</vt:lpstr>
      <vt:lpstr>'EMAA|0349-00'!AtZVarBen</vt:lpstr>
      <vt:lpstr>'EMLO|0001-00'!AtZVarBen</vt:lpstr>
      <vt:lpstr>'EMLO|0302-00'!AtZVarBen</vt:lpstr>
      <vt:lpstr>'EMLO|0303-00'!AtZVarBen</vt:lpstr>
      <vt:lpstr>'EMLO|0348-00'!AtZVarBen</vt:lpstr>
      <vt:lpstr>'EMLO|0349-00'!AtZVarBen</vt:lpstr>
      <vt:lpstr>'EMUI|0001-00'!AtZVarBen</vt:lpstr>
      <vt:lpstr>'EMUI|0302-00'!AtZVarBen</vt:lpstr>
      <vt:lpstr>'EMUI|0348-00'!AtZVarBen</vt:lpstr>
      <vt:lpstr>'EMUI|0349-00'!AtZVarBen</vt:lpstr>
      <vt:lpstr>AtZVarBen</vt:lpstr>
      <vt:lpstr>'EMAA|0001-00'!BudgetUnit</vt:lpstr>
      <vt:lpstr>'EMAA|0302-00'!BudgetUnit</vt:lpstr>
      <vt:lpstr>'EMAA|0303-00'!BudgetUnit</vt:lpstr>
      <vt:lpstr>'EMAA|0348-00'!BudgetUnit</vt:lpstr>
      <vt:lpstr>'EMAA|0349-00'!BudgetUnit</vt:lpstr>
      <vt:lpstr>'EMLO|0001-00'!BudgetUnit</vt:lpstr>
      <vt:lpstr>'EMLO|0302-00'!BudgetUnit</vt:lpstr>
      <vt:lpstr>'EMLO|0303-00'!BudgetUnit</vt:lpstr>
      <vt:lpstr>'EMLO|0348-00'!BudgetUnit</vt:lpstr>
      <vt:lpstr>'EMLO|0349-00'!BudgetUnit</vt:lpstr>
      <vt:lpstr>'EMUI|0001-00'!BudgetUnit</vt:lpstr>
      <vt:lpstr>'EMUI|0302-00'!BudgetUnit</vt:lpstr>
      <vt:lpstr>'EMUI|0348-00'!BudgetUnit</vt:lpstr>
      <vt:lpstr>'EMUI|0349-00'!BudgetUnit</vt:lpstr>
      <vt:lpstr>BudgetUnit</vt:lpstr>
      <vt:lpstr>BudgetYear</vt:lpstr>
      <vt:lpstr>CECGroup</vt:lpstr>
      <vt:lpstr>'EMAA|0001-00'!CECOrigElectSalary</vt:lpstr>
      <vt:lpstr>'EMAA|0302-00'!CECOrigElectSalary</vt:lpstr>
      <vt:lpstr>'EMAA|0303-00'!CECOrigElectSalary</vt:lpstr>
      <vt:lpstr>'EMAA|0348-00'!CECOrigElectSalary</vt:lpstr>
      <vt:lpstr>'EMAA|0349-00'!CECOrigElectSalary</vt:lpstr>
      <vt:lpstr>'EMLO|0001-00'!CECOrigElectSalary</vt:lpstr>
      <vt:lpstr>'EMLO|0302-00'!CECOrigElectSalary</vt:lpstr>
      <vt:lpstr>'EMLO|0303-00'!CECOrigElectSalary</vt:lpstr>
      <vt:lpstr>'EMLO|0348-00'!CECOrigElectSalary</vt:lpstr>
      <vt:lpstr>'EMLO|0349-00'!CECOrigElectSalary</vt:lpstr>
      <vt:lpstr>'EMUI|0001-00'!CECOrigElectSalary</vt:lpstr>
      <vt:lpstr>'EMUI|0302-00'!CECOrigElectSalary</vt:lpstr>
      <vt:lpstr>'EMUI|0348-00'!CECOrigElectSalary</vt:lpstr>
      <vt:lpstr>'EMUI|0349-00'!CECOrigElectSalary</vt:lpstr>
      <vt:lpstr>CECOrigElectSalary</vt:lpstr>
      <vt:lpstr>'EMAA|0001-00'!CECOrigElectVB</vt:lpstr>
      <vt:lpstr>'EMAA|0302-00'!CECOrigElectVB</vt:lpstr>
      <vt:lpstr>'EMAA|0303-00'!CECOrigElectVB</vt:lpstr>
      <vt:lpstr>'EMAA|0348-00'!CECOrigElectVB</vt:lpstr>
      <vt:lpstr>'EMAA|0349-00'!CECOrigElectVB</vt:lpstr>
      <vt:lpstr>'EMLO|0001-00'!CECOrigElectVB</vt:lpstr>
      <vt:lpstr>'EMLO|0302-00'!CECOrigElectVB</vt:lpstr>
      <vt:lpstr>'EMLO|0303-00'!CECOrigElectVB</vt:lpstr>
      <vt:lpstr>'EMLO|0348-00'!CECOrigElectVB</vt:lpstr>
      <vt:lpstr>'EMLO|0349-00'!CECOrigElectVB</vt:lpstr>
      <vt:lpstr>'EMUI|0001-00'!CECOrigElectVB</vt:lpstr>
      <vt:lpstr>'EMUI|0302-00'!CECOrigElectVB</vt:lpstr>
      <vt:lpstr>'EMUI|0348-00'!CECOrigElectVB</vt:lpstr>
      <vt:lpstr>'EMUI|0349-00'!CECOrigElectVB</vt:lpstr>
      <vt:lpstr>CECOrigElectVB</vt:lpstr>
      <vt:lpstr>'EMAA|0001-00'!CECOrigGroupSalary</vt:lpstr>
      <vt:lpstr>'EMAA|0302-00'!CECOrigGroupSalary</vt:lpstr>
      <vt:lpstr>'EMAA|0303-00'!CECOrigGroupSalary</vt:lpstr>
      <vt:lpstr>'EMAA|0348-00'!CECOrigGroupSalary</vt:lpstr>
      <vt:lpstr>'EMAA|0349-00'!CECOrigGroupSalary</vt:lpstr>
      <vt:lpstr>'EMLO|0001-00'!CECOrigGroupSalary</vt:lpstr>
      <vt:lpstr>'EMLO|0302-00'!CECOrigGroupSalary</vt:lpstr>
      <vt:lpstr>'EMLO|0303-00'!CECOrigGroupSalary</vt:lpstr>
      <vt:lpstr>'EMLO|0348-00'!CECOrigGroupSalary</vt:lpstr>
      <vt:lpstr>'EMLO|0349-00'!CECOrigGroupSalary</vt:lpstr>
      <vt:lpstr>'EMUI|0001-00'!CECOrigGroupSalary</vt:lpstr>
      <vt:lpstr>'EMUI|0302-00'!CECOrigGroupSalary</vt:lpstr>
      <vt:lpstr>'EMUI|0348-00'!CECOrigGroupSalary</vt:lpstr>
      <vt:lpstr>'EMUI|0349-00'!CECOrigGroupSalary</vt:lpstr>
      <vt:lpstr>CECOrigGroupSalary</vt:lpstr>
      <vt:lpstr>'EMAA|0001-00'!CECOrigGroupVB</vt:lpstr>
      <vt:lpstr>'EMAA|0302-00'!CECOrigGroupVB</vt:lpstr>
      <vt:lpstr>'EMAA|0303-00'!CECOrigGroupVB</vt:lpstr>
      <vt:lpstr>'EMAA|0348-00'!CECOrigGroupVB</vt:lpstr>
      <vt:lpstr>'EMAA|0349-00'!CECOrigGroupVB</vt:lpstr>
      <vt:lpstr>'EMLO|0001-00'!CECOrigGroupVB</vt:lpstr>
      <vt:lpstr>'EMLO|0302-00'!CECOrigGroupVB</vt:lpstr>
      <vt:lpstr>'EMLO|0303-00'!CECOrigGroupVB</vt:lpstr>
      <vt:lpstr>'EMLO|0348-00'!CECOrigGroupVB</vt:lpstr>
      <vt:lpstr>'EMLO|0349-00'!CECOrigGroupVB</vt:lpstr>
      <vt:lpstr>'EMUI|0001-00'!CECOrigGroupVB</vt:lpstr>
      <vt:lpstr>'EMUI|0302-00'!CECOrigGroupVB</vt:lpstr>
      <vt:lpstr>'EMUI|0348-00'!CECOrigGroupVB</vt:lpstr>
      <vt:lpstr>'EMUI|0349-00'!CECOrigGroupVB</vt:lpstr>
      <vt:lpstr>CECOrigGroupVB</vt:lpstr>
      <vt:lpstr>'EMAA|0001-00'!CECOrigPermSalary</vt:lpstr>
      <vt:lpstr>'EMAA|0302-00'!CECOrigPermSalary</vt:lpstr>
      <vt:lpstr>'EMAA|0303-00'!CECOrigPermSalary</vt:lpstr>
      <vt:lpstr>'EMAA|0348-00'!CECOrigPermSalary</vt:lpstr>
      <vt:lpstr>'EMAA|0349-00'!CECOrigPermSalary</vt:lpstr>
      <vt:lpstr>'EMLO|0001-00'!CECOrigPermSalary</vt:lpstr>
      <vt:lpstr>'EMLO|0302-00'!CECOrigPermSalary</vt:lpstr>
      <vt:lpstr>'EMLO|0303-00'!CECOrigPermSalary</vt:lpstr>
      <vt:lpstr>'EMLO|0348-00'!CECOrigPermSalary</vt:lpstr>
      <vt:lpstr>'EMLO|0349-00'!CECOrigPermSalary</vt:lpstr>
      <vt:lpstr>'EMUI|0001-00'!CECOrigPermSalary</vt:lpstr>
      <vt:lpstr>'EMUI|0302-00'!CECOrigPermSalary</vt:lpstr>
      <vt:lpstr>'EMUI|0348-00'!CECOrigPermSalary</vt:lpstr>
      <vt:lpstr>'EMUI|0349-00'!CECOrigPermSalary</vt:lpstr>
      <vt:lpstr>CECOrigPermSalary</vt:lpstr>
      <vt:lpstr>'EMAA|0001-00'!CECOrigPermVB</vt:lpstr>
      <vt:lpstr>'EMAA|0302-00'!CECOrigPermVB</vt:lpstr>
      <vt:lpstr>'EMAA|0303-00'!CECOrigPermVB</vt:lpstr>
      <vt:lpstr>'EMAA|0348-00'!CECOrigPermVB</vt:lpstr>
      <vt:lpstr>'EMAA|0349-00'!CECOrigPermVB</vt:lpstr>
      <vt:lpstr>'EMLO|0001-00'!CECOrigPermVB</vt:lpstr>
      <vt:lpstr>'EMLO|0302-00'!CECOrigPermVB</vt:lpstr>
      <vt:lpstr>'EMLO|0303-00'!CECOrigPermVB</vt:lpstr>
      <vt:lpstr>'EMLO|0348-00'!CECOrigPermVB</vt:lpstr>
      <vt:lpstr>'EMLO|0349-00'!CECOrigPermVB</vt:lpstr>
      <vt:lpstr>'EMUI|0001-00'!CECOrigPermVB</vt:lpstr>
      <vt:lpstr>'EMUI|0302-00'!CECOrigPermVB</vt:lpstr>
      <vt:lpstr>'EMUI|0348-00'!CECOrigPermVB</vt:lpstr>
      <vt:lpstr>'EMUI|0349-00'!CECOrigPermVB</vt:lpstr>
      <vt:lpstr>CECOrigPermVB</vt:lpstr>
      <vt:lpstr>CECPerm</vt:lpstr>
      <vt:lpstr>'EMAA|0001-00'!CECpermCalc</vt:lpstr>
      <vt:lpstr>'EMAA|0302-00'!CECpermCalc</vt:lpstr>
      <vt:lpstr>'EMAA|0303-00'!CECpermCalc</vt:lpstr>
      <vt:lpstr>'EMAA|0348-00'!CECpermCalc</vt:lpstr>
      <vt:lpstr>'EMAA|0349-00'!CECpermCalc</vt:lpstr>
      <vt:lpstr>'EMLO|0001-00'!CECpermCalc</vt:lpstr>
      <vt:lpstr>'EMLO|0302-00'!CECpermCalc</vt:lpstr>
      <vt:lpstr>'EMLO|0303-00'!CECpermCalc</vt:lpstr>
      <vt:lpstr>'EMLO|0348-00'!CECpermCalc</vt:lpstr>
      <vt:lpstr>'EMLO|0349-00'!CECpermCalc</vt:lpstr>
      <vt:lpstr>'EMUI|0001-00'!CECpermCalc</vt:lpstr>
      <vt:lpstr>'EMUI|0302-00'!CECpermCalc</vt:lpstr>
      <vt:lpstr>'EMUI|0348-00'!CECpermCalc</vt:lpstr>
      <vt:lpstr>'EMUI|0349-00'!CECpermCalc</vt:lpstr>
      <vt:lpstr>CECpermCalc</vt:lpstr>
      <vt:lpstr>'EMAA|0001-00'!Department</vt:lpstr>
      <vt:lpstr>'EMAA|0302-00'!Department</vt:lpstr>
      <vt:lpstr>'EMAA|0303-00'!Department</vt:lpstr>
      <vt:lpstr>'EMAA|0348-00'!Department</vt:lpstr>
      <vt:lpstr>'EMAA|0349-00'!Department</vt:lpstr>
      <vt:lpstr>'EMLO|0001-00'!Department</vt:lpstr>
      <vt:lpstr>'EMLO|0302-00'!Department</vt:lpstr>
      <vt:lpstr>'EMLO|0303-00'!Department</vt:lpstr>
      <vt:lpstr>'EMLO|0348-00'!Department</vt:lpstr>
      <vt:lpstr>'EMLO|0349-00'!Department</vt:lpstr>
      <vt:lpstr>'EMUI|0001-00'!Department</vt:lpstr>
      <vt:lpstr>'EMUI|0302-00'!Department</vt:lpstr>
      <vt:lpstr>'EMUI|0348-00'!Department</vt:lpstr>
      <vt:lpstr>'EMUI|0349-00'!Department</vt:lpstr>
      <vt:lpstr>Department</vt:lpstr>
      <vt:lpstr>DHR</vt:lpstr>
      <vt:lpstr>DHRBY</vt:lpstr>
      <vt:lpstr>DHRCHG</vt:lpstr>
      <vt:lpstr>'EMAA|0001-00'!Division</vt:lpstr>
      <vt:lpstr>'EMAA|0302-00'!Division</vt:lpstr>
      <vt:lpstr>'EMAA|0303-00'!Division</vt:lpstr>
      <vt:lpstr>'EMAA|0348-00'!Division</vt:lpstr>
      <vt:lpstr>'EMAA|0349-00'!Division</vt:lpstr>
      <vt:lpstr>'EMLO|0001-00'!Division</vt:lpstr>
      <vt:lpstr>'EMLO|0302-00'!Division</vt:lpstr>
      <vt:lpstr>'EMLO|0303-00'!Division</vt:lpstr>
      <vt:lpstr>'EMLO|0348-00'!Division</vt:lpstr>
      <vt:lpstr>'EMLO|0349-00'!Division</vt:lpstr>
      <vt:lpstr>'EMUI|0001-00'!Division</vt:lpstr>
      <vt:lpstr>'EMUI|0302-00'!Division</vt:lpstr>
      <vt:lpstr>'EMUI|0348-00'!Division</vt:lpstr>
      <vt:lpstr>'EMUI|0349-00'!Division</vt:lpstr>
      <vt:lpstr>Division</vt:lpstr>
      <vt:lpstr>'EMAA|0001-00'!DUCECElect</vt:lpstr>
      <vt:lpstr>'EMAA|0302-00'!DUCECElect</vt:lpstr>
      <vt:lpstr>'EMAA|0303-00'!DUCECElect</vt:lpstr>
      <vt:lpstr>'EMAA|0348-00'!DUCECElect</vt:lpstr>
      <vt:lpstr>'EMAA|0349-00'!DUCECElect</vt:lpstr>
      <vt:lpstr>'EMLO|0001-00'!DUCECElect</vt:lpstr>
      <vt:lpstr>'EMLO|0302-00'!DUCECElect</vt:lpstr>
      <vt:lpstr>'EMLO|0303-00'!DUCECElect</vt:lpstr>
      <vt:lpstr>'EMLO|0348-00'!DUCECElect</vt:lpstr>
      <vt:lpstr>'EMLO|0349-00'!DUCECElect</vt:lpstr>
      <vt:lpstr>'EMUI|0001-00'!DUCECElect</vt:lpstr>
      <vt:lpstr>'EMUI|0302-00'!DUCECElect</vt:lpstr>
      <vt:lpstr>'EMUI|0348-00'!DUCECElect</vt:lpstr>
      <vt:lpstr>'EMUI|0349-00'!DUCECElect</vt:lpstr>
      <vt:lpstr>DUCECElect</vt:lpstr>
      <vt:lpstr>'EMAA|0001-00'!DUCECGroup</vt:lpstr>
      <vt:lpstr>'EMAA|0302-00'!DUCECGroup</vt:lpstr>
      <vt:lpstr>'EMAA|0303-00'!DUCECGroup</vt:lpstr>
      <vt:lpstr>'EMAA|0348-00'!DUCECGroup</vt:lpstr>
      <vt:lpstr>'EMAA|0349-00'!DUCECGroup</vt:lpstr>
      <vt:lpstr>'EMLO|0001-00'!DUCECGroup</vt:lpstr>
      <vt:lpstr>'EMLO|0302-00'!DUCECGroup</vt:lpstr>
      <vt:lpstr>'EMLO|0303-00'!DUCECGroup</vt:lpstr>
      <vt:lpstr>'EMLO|0348-00'!DUCECGroup</vt:lpstr>
      <vt:lpstr>'EMLO|0349-00'!DUCECGroup</vt:lpstr>
      <vt:lpstr>'EMUI|0001-00'!DUCECGroup</vt:lpstr>
      <vt:lpstr>'EMUI|0302-00'!DUCECGroup</vt:lpstr>
      <vt:lpstr>'EMUI|0348-00'!DUCECGroup</vt:lpstr>
      <vt:lpstr>'EMUI|0349-00'!DUCECGroup</vt:lpstr>
      <vt:lpstr>DUCECGroup</vt:lpstr>
      <vt:lpstr>'EMAA|0001-00'!DUCECPerm</vt:lpstr>
      <vt:lpstr>'EMAA|0302-00'!DUCECPerm</vt:lpstr>
      <vt:lpstr>'EMAA|0303-00'!DUCECPerm</vt:lpstr>
      <vt:lpstr>'EMAA|0348-00'!DUCECPerm</vt:lpstr>
      <vt:lpstr>'EMAA|0349-00'!DUCECPerm</vt:lpstr>
      <vt:lpstr>'EMLO|0001-00'!DUCECPerm</vt:lpstr>
      <vt:lpstr>'EMLO|0302-00'!DUCECPerm</vt:lpstr>
      <vt:lpstr>'EMLO|0303-00'!DUCECPerm</vt:lpstr>
      <vt:lpstr>'EMLO|0348-00'!DUCECPerm</vt:lpstr>
      <vt:lpstr>'EMLO|0349-00'!DUCECPerm</vt:lpstr>
      <vt:lpstr>'EMUI|0001-00'!DUCECPerm</vt:lpstr>
      <vt:lpstr>'EMUI|0302-00'!DUCECPerm</vt:lpstr>
      <vt:lpstr>'EMUI|0348-00'!DUCECPerm</vt:lpstr>
      <vt:lpstr>'EMUI|0349-00'!DUCECPerm</vt:lpstr>
      <vt:lpstr>DUCECPerm</vt:lpstr>
      <vt:lpstr>'EMAA|0001-00'!DUEleven</vt:lpstr>
      <vt:lpstr>'EMAA|0302-00'!DUEleven</vt:lpstr>
      <vt:lpstr>'EMAA|0303-00'!DUEleven</vt:lpstr>
      <vt:lpstr>'EMAA|0348-00'!DUEleven</vt:lpstr>
      <vt:lpstr>'EMAA|0349-00'!DUEleven</vt:lpstr>
      <vt:lpstr>'EMLO|0001-00'!DUEleven</vt:lpstr>
      <vt:lpstr>'EMLO|0302-00'!DUEleven</vt:lpstr>
      <vt:lpstr>'EMLO|0303-00'!DUEleven</vt:lpstr>
      <vt:lpstr>'EMLO|0348-00'!DUEleven</vt:lpstr>
      <vt:lpstr>'EMLO|0349-00'!DUEleven</vt:lpstr>
      <vt:lpstr>'EMUI|0001-00'!DUEleven</vt:lpstr>
      <vt:lpstr>'EMUI|0302-00'!DUEleven</vt:lpstr>
      <vt:lpstr>'EMUI|0348-00'!DUEleven</vt:lpstr>
      <vt:lpstr>'EMUI|0349-00'!DUEleven</vt:lpstr>
      <vt:lpstr>DUEleven</vt:lpstr>
      <vt:lpstr>'EMAA|0001-00'!DUHealthBen</vt:lpstr>
      <vt:lpstr>'EMAA|0302-00'!DUHealthBen</vt:lpstr>
      <vt:lpstr>'EMAA|0303-00'!DUHealthBen</vt:lpstr>
      <vt:lpstr>'EMAA|0348-00'!DUHealthBen</vt:lpstr>
      <vt:lpstr>'EMAA|0349-00'!DUHealthBen</vt:lpstr>
      <vt:lpstr>'EMLO|0001-00'!DUHealthBen</vt:lpstr>
      <vt:lpstr>'EMLO|0302-00'!DUHealthBen</vt:lpstr>
      <vt:lpstr>'EMLO|0303-00'!DUHealthBen</vt:lpstr>
      <vt:lpstr>'EMLO|0348-00'!DUHealthBen</vt:lpstr>
      <vt:lpstr>'EMLO|0349-00'!DUHealthBen</vt:lpstr>
      <vt:lpstr>'EMUI|0001-00'!DUHealthBen</vt:lpstr>
      <vt:lpstr>'EMUI|0302-00'!DUHealthBen</vt:lpstr>
      <vt:lpstr>'EMUI|0348-00'!DUHealthBen</vt:lpstr>
      <vt:lpstr>'EMUI|0349-00'!DUHealthBen</vt:lpstr>
      <vt:lpstr>DUHealthBen</vt:lpstr>
      <vt:lpstr>'EMAA|0001-00'!DUNine</vt:lpstr>
      <vt:lpstr>'EMAA|0302-00'!DUNine</vt:lpstr>
      <vt:lpstr>'EMAA|0303-00'!DUNine</vt:lpstr>
      <vt:lpstr>'EMAA|0348-00'!DUNine</vt:lpstr>
      <vt:lpstr>'EMAA|0349-00'!DUNine</vt:lpstr>
      <vt:lpstr>'EMLO|0001-00'!DUNine</vt:lpstr>
      <vt:lpstr>'EMLO|0302-00'!DUNine</vt:lpstr>
      <vt:lpstr>'EMLO|0303-00'!DUNine</vt:lpstr>
      <vt:lpstr>'EMLO|0348-00'!DUNine</vt:lpstr>
      <vt:lpstr>'EMLO|0349-00'!DUNine</vt:lpstr>
      <vt:lpstr>'EMUI|0001-00'!DUNine</vt:lpstr>
      <vt:lpstr>'EMUI|0302-00'!DUNine</vt:lpstr>
      <vt:lpstr>'EMUI|0348-00'!DUNine</vt:lpstr>
      <vt:lpstr>'EMUI|0349-00'!DUNine</vt:lpstr>
      <vt:lpstr>DUNine</vt:lpstr>
      <vt:lpstr>'EMAA|0001-00'!DUThirteen</vt:lpstr>
      <vt:lpstr>'EMAA|0302-00'!DUThirteen</vt:lpstr>
      <vt:lpstr>'EMAA|0303-00'!DUThirteen</vt:lpstr>
      <vt:lpstr>'EMAA|0348-00'!DUThirteen</vt:lpstr>
      <vt:lpstr>'EMAA|0349-00'!DUThirteen</vt:lpstr>
      <vt:lpstr>'EMLO|0001-00'!DUThirteen</vt:lpstr>
      <vt:lpstr>'EMLO|0302-00'!DUThirteen</vt:lpstr>
      <vt:lpstr>'EMLO|0303-00'!DUThirteen</vt:lpstr>
      <vt:lpstr>'EMLO|0348-00'!DUThirteen</vt:lpstr>
      <vt:lpstr>'EMLO|0349-00'!DUThirteen</vt:lpstr>
      <vt:lpstr>'EMUI|0001-00'!DUThirteen</vt:lpstr>
      <vt:lpstr>'EMUI|0302-00'!DUThirteen</vt:lpstr>
      <vt:lpstr>'EMUI|0348-00'!DUThirteen</vt:lpstr>
      <vt:lpstr>'EMUI|0349-00'!DUThirteen</vt:lpstr>
      <vt:lpstr>DUThirteen</vt:lpstr>
      <vt:lpstr>'EMAA|0001-00'!DUVariableBen</vt:lpstr>
      <vt:lpstr>'EMAA|0302-00'!DUVariableBen</vt:lpstr>
      <vt:lpstr>'EMAA|0303-00'!DUVariableBen</vt:lpstr>
      <vt:lpstr>'EMAA|0348-00'!DUVariableBen</vt:lpstr>
      <vt:lpstr>'EMAA|0349-00'!DUVariableBen</vt:lpstr>
      <vt:lpstr>'EMLO|0001-00'!DUVariableBen</vt:lpstr>
      <vt:lpstr>'EMLO|0302-00'!DUVariableBen</vt:lpstr>
      <vt:lpstr>'EMLO|0303-00'!DUVariableBen</vt:lpstr>
      <vt:lpstr>'EMLO|0348-00'!DUVariableBen</vt:lpstr>
      <vt:lpstr>'EMLO|0349-00'!DUVariableBen</vt:lpstr>
      <vt:lpstr>'EMUI|0001-00'!DUVariableBen</vt:lpstr>
      <vt:lpstr>'EMUI|0302-00'!DUVariableBen</vt:lpstr>
      <vt:lpstr>'EMUI|0348-00'!DUVariableBen</vt:lpstr>
      <vt:lpstr>'EMUI|0349-00'!DUVariableBen</vt:lpstr>
      <vt:lpstr>DUVariableBen</vt:lpstr>
      <vt:lpstr>'EMAA|0001-00'!Elect_chg_health</vt:lpstr>
      <vt:lpstr>'EMAA|0302-00'!Elect_chg_health</vt:lpstr>
      <vt:lpstr>'EMAA|0303-00'!Elect_chg_health</vt:lpstr>
      <vt:lpstr>'EMAA|0348-00'!Elect_chg_health</vt:lpstr>
      <vt:lpstr>'EMAA|0349-00'!Elect_chg_health</vt:lpstr>
      <vt:lpstr>'EMLO|0001-00'!Elect_chg_health</vt:lpstr>
      <vt:lpstr>'EMLO|0302-00'!Elect_chg_health</vt:lpstr>
      <vt:lpstr>'EMLO|0303-00'!Elect_chg_health</vt:lpstr>
      <vt:lpstr>'EMLO|0348-00'!Elect_chg_health</vt:lpstr>
      <vt:lpstr>'EMLO|0349-00'!Elect_chg_health</vt:lpstr>
      <vt:lpstr>'EMUI|0001-00'!Elect_chg_health</vt:lpstr>
      <vt:lpstr>'EMUI|0302-00'!Elect_chg_health</vt:lpstr>
      <vt:lpstr>'EMUI|0348-00'!Elect_chg_health</vt:lpstr>
      <vt:lpstr>'EMUI|0349-00'!Elect_chg_health</vt:lpstr>
      <vt:lpstr>Elect_chg_health</vt:lpstr>
      <vt:lpstr>'EMAA|0001-00'!Elect_chg_Var</vt:lpstr>
      <vt:lpstr>'EMAA|0302-00'!Elect_chg_Var</vt:lpstr>
      <vt:lpstr>'EMAA|0303-00'!Elect_chg_Var</vt:lpstr>
      <vt:lpstr>'EMAA|0348-00'!Elect_chg_Var</vt:lpstr>
      <vt:lpstr>'EMAA|0349-00'!Elect_chg_Var</vt:lpstr>
      <vt:lpstr>'EMLO|0001-00'!Elect_chg_Var</vt:lpstr>
      <vt:lpstr>'EMLO|0302-00'!Elect_chg_Var</vt:lpstr>
      <vt:lpstr>'EMLO|0303-00'!Elect_chg_Var</vt:lpstr>
      <vt:lpstr>'EMLO|0348-00'!Elect_chg_Var</vt:lpstr>
      <vt:lpstr>'EMLO|0349-00'!Elect_chg_Var</vt:lpstr>
      <vt:lpstr>'EMUI|0001-00'!Elect_chg_Var</vt:lpstr>
      <vt:lpstr>'EMUI|0302-00'!Elect_chg_Var</vt:lpstr>
      <vt:lpstr>'EMUI|0348-00'!Elect_chg_Var</vt:lpstr>
      <vt:lpstr>'EMUI|0349-00'!Elect_chg_Var</vt:lpstr>
      <vt:lpstr>Elect_chg_Var</vt:lpstr>
      <vt:lpstr>'EMAA|0001-00'!elect_FTP</vt:lpstr>
      <vt:lpstr>'EMAA|0302-00'!elect_FTP</vt:lpstr>
      <vt:lpstr>'EMAA|0303-00'!elect_FTP</vt:lpstr>
      <vt:lpstr>'EMAA|0348-00'!elect_FTP</vt:lpstr>
      <vt:lpstr>'EMAA|0349-00'!elect_FTP</vt:lpstr>
      <vt:lpstr>'EMLO|0001-00'!elect_FTP</vt:lpstr>
      <vt:lpstr>'EMLO|0302-00'!elect_FTP</vt:lpstr>
      <vt:lpstr>'EMLO|0303-00'!elect_FTP</vt:lpstr>
      <vt:lpstr>'EMLO|0348-00'!elect_FTP</vt:lpstr>
      <vt:lpstr>'EMLO|0349-00'!elect_FTP</vt:lpstr>
      <vt:lpstr>'EMUI|0001-00'!elect_FTP</vt:lpstr>
      <vt:lpstr>'EMUI|0302-00'!elect_FTP</vt:lpstr>
      <vt:lpstr>'EMUI|0348-00'!elect_FTP</vt:lpstr>
      <vt:lpstr>'EMUI|0349-00'!elect_FTP</vt:lpstr>
      <vt:lpstr>elect_FTP</vt:lpstr>
      <vt:lpstr>'EMAA|0001-00'!Elect_health</vt:lpstr>
      <vt:lpstr>'EMAA|0302-00'!Elect_health</vt:lpstr>
      <vt:lpstr>'EMAA|0303-00'!Elect_health</vt:lpstr>
      <vt:lpstr>'EMAA|0348-00'!Elect_health</vt:lpstr>
      <vt:lpstr>'EMAA|0349-00'!Elect_health</vt:lpstr>
      <vt:lpstr>'EMLO|0001-00'!Elect_health</vt:lpstr>
      <vt:lpstr>'EMLO|0302-00'!Elect_health</vt:lpstr>
      <vt:lpstr>'EMLO|0303-00'!Elect_health</vt:lpstr>
      <vt:lpstr>'EMLO|0348-00'!Elect_health</vt:lpstr>
      <vt:lpstr>'EMLO|0349-00'!Elect_health</vt:lpstr>
      <vt:lpstr>'EMUI|0001-00'!Elect_health</vt:lpstr>
      <vt:lpstr>'EMUI|0302-00'!Elect_health</vt:lpstr>
      <vt:lpstr>'EMUI|0348-00'!Elect_health</vt:lpstr>
      <vt:lpstr>'EMUI|0349-00'!Elect_health</vt:lpstr>
      <vt:lpstr>Elect_health</vt:lpstr>
      <vt:lpstr>'EMAA|0001-00'!Elect_name</vt:lpstr>
      <vt:lpstr>'EMAA|0302-00'!Elect_name</vt:lpstr>
      <vt:lpstr>'EMAA|0303-00'!Elect_name</vt:lpstr>
      <vt:lpstr>'EMAA|0348-00'!Elect_name</vt:lpstr>
      <vt:lpstr>'EMAA|0349-00'!Elect_name</vt:lpstr>
      <vt:lpstr>'EMLO|0001-00'!Elect_name</vt:lpstr>
      <vt:lpstr>'EMLO|0302-00'!Elect_name</vt:lpstr>
      <vt:lpstr>'EMLO|0303-00'!Elect_name</vt:lpstr>
      <vt:lpstr>'EMLO|0348-00'!Elect_name</vt:lpstr>
      <vt:lpstr>'EMLO|0349-00'!Elect_name</vt:lpstr>
      <vt:lpstr>'EMUI|0001-00'!Elect_name</vt:lpstr>
      <vt:lpstr>'EMUI|0302-00'!Elect_name</vt:lpstr>
      <vt:lpstr>'EMUI|0348-00'!Elect_name</vt:lpstr>
      <vt:lpstr>'EMUI|0349-00'!Elect_name</vt:lpstr>
      <vt:lpstr>Elect_name</vt:lpstr>
      <vt:lpstr>'EMAA|0001-00'!Elect_salary</vt:lpstr>
      <vt:lpstr>'EMAA|0302-00'!Elect_salary</vt:lpstr>
      <vt:lpstr>'EMAA|0303-00'!Elect_salary</vt:lpstr>
      <vt:lpstr>'EMAA|0348-00'!Elect_salary</vt:lpstr>
      <vt:lpstr>'EMAA|0349-00'!Elect_salary</vt:lpstr>
      <vt:lpstr>'EMLO|0001-00'!Elect_salary</vt:lpstr>
      <vt:lpstr>'EMLO|0302-00'!Elect_salary</vt:lpstr>
      <vt:lpstr>'EMLO|0303-00'!Elect_salary</vt:lpstr>
      <vt:lpstr>'EMLO|0348-00'!Elect_salary</vt:lpstr>
      <vt:lpstr>'EMLO|0349-00'!Elect_salary</vt:lpstr>
      <vt:lpstr>'EMUI|0001-00'!Elect_salary</vt:lpstr>
      <vt:lpstr>'EMUI|0302-00'!Elect_salary</vt:lpstr>
      <vt:lpstr>'EMUI|0348-00'!Elect_salary</vt:lpstr>
      <vt:lpstr>'EMUI|0349-00'!Elect_salary</vt:lpstr>
      <vt:lpstr>Elect_salary</vt:lpstr>
      <vt:lpstr>'EMAA|0001-00'!Elect_Var</vt:lpstr>
      <vt:lpstr>'EMAA|0302-00'!Elect_Var</vt:lpstr>
      <vt:lpstr>'EMAA|0303-00'!Elect_Var</vt:lpstr>
      <vt:lpstr>'EMAA|0348-00'!Elect_Var</vt:lpstr>
      <vt:lpstr>'EMAA|0349-00'!Elect_Var</vt:lpstr>
      <vt:lpstr>'EMLO|0001-00'!Elect_Var</vt:lpstr>
      <vt:lpstr>'EMLO|0302-00'!Elect_Var</vt:lpstr>
      <vt:lpstr>'EMLO|0303-00'!Elect_Var</vt:lpstr>
      <vt:lpstr>'EMLO|0348-00'!Elect_Var</vt:lpstr>
      <vt:lpstr>'EMLO|0349-00'!Elect_Var</vt:lpstr>
      <vt:lpstr>'EMUI|0001-00'!Elect_Var</vt:lpstr>
      <vt:lpstr>'EMUI|0302-00'!Elect_Var</vt:lpstr>
      <vt:lpstr>'EMUI|0348-00'!Elect_Var</vt:lpstr>
      <vt:lpstr>'EMUI|0349-00'!Elect_Var</vt:lpstr>
      <vt:lpstr>Elect_Var</vt:lpstr>
      <vt:lpstr>'EMAA|0001-00'!Elect_VarBen</vt:lpstr>
      <vt:lpstr>'EMAA|0302-00'!Elect_VarBen</vt:lpstr>
      <vt:lpstr>'EMAA|0303-00'!Elect_VarBen</vt:lpstr>
      <vt:lpstr>'EMAA|0348-00'!Elect_VarBen</vt:lpstr>
      <vt:lpstr>'EMAA|0349-00'!Elect_VarBen</vt:lpstr>
      <vt:lpstr>'EMLO|0001-00'!Elect_VarBen</vt:lpstr>
      <vt:lpstr>'EMLO|0302-00'!Elect_VarBen</vt:lpstr>
      <vt:lpstr>'EMLO|0303-00'!Elect_VarBen</vt:lpstr>
      <vt:lpstr>'EMLO|0348-00'!Elect_VarBen</vt:lpstr>
      <vt:lpstr>'EMLO|0349-00'!Elect_VarBen</vt:lpstr>
      <vt:lpstr>'EMUI|0001-00'!Elect_VarBen</vt:lpstr>
      <vt:lpstr>'EMUI|0302-00'!Elect_VarBen</vt:lpstr>
      <vt:lpstr>'EMUI|0348-00'!Elect_VarBen</vt:lpstr>
      <vt:lpstr>'EMUI|0349-00'!Elect_VarBen</vt:lpstr>
      <vt:lpstr>Elect_VarBen</vt:lpstr>
      <vt:lpstr>ElectVB</vt:lpstr>
      <vt:lpstr>ElectVBBY</vt:lpstr>
      <vt:lpstr>ElectVBCHG</vt:lpstr>
      <vt:lpstr>EMAA000100col_1_27TH_PP</vt:lpstr>
      <vt:lpstr>EMAA000100col_DHR</vt:lpstr>
      <vt:lpstr>EMAA000100col_DHR_BY</vt:lpstr>
      <vt:lpstr>EMAA000100col_DHR_CHG</vt:lpstr>
      <vt:lpstr>EMAA000100col_FTI_SALARY_ELECT</vt:lpstr>
      <vt:lpstr>EMAA000100col_FTI_SALARY_PERM</vt:lpstr>
      <vt:lpstr>EMAA000100col_FTI_SALARY_SSDI</vt:lpstr>
      <vt:lpstr>EMAA000100col_Group_Ben</vt:lpstr>
      <vt:lpstr>EMAA000100col_Group_Salary</vt:lpstr>
      <vt:lpstr>EMAA000100col_HEALTH_ELECT</vt:lpstr>
      <vt:lpstr>EMAA000100col_HEALTH_ELECT_BY</vt:lpstr>
      <vt:lpstr>EMAA000100col_HEALTH_ELECT_CHG</vt:lpstr>
      <vt:lpstr>EMAA000100col_HEALTH_PERM</vt:lpstr>
      <vt:lpstr>EMAA000100col_HEALTH_PERM_BY</vt:lpstr>
      <vt:lpstr>EMAA000100col_HEALTH_PERM_CHG</vt:lpstr>
      <vt:lpstr>EMAA000100col_INC_FTI</vt:lpstr>
      <vt:lpstr>EMAA000100col_LIFE_INS</vt:lpstr>
      <vt:lpstr>EMAA000100col_LIFE_INS_BY</vt:lpstr>
      <vt:lpstr>EMAA000100col_LIFE_INS_CHG</vt:lpstr>
      <vt:lpstr>EMAA000100col_RETIREMENT</vt:lpstr>
      <vt:lpstr>EMAA000100col_RETIREMENT_BY</vt:lpstr>
      <vt:lpstr>EMAA000100col_RETIREMENT_CHG</vt:lpstr>
      <vt:lpstr>EMAA000100col_ROWS_PER_PCN</vt:lpstr>
      <vt:lpstr>EMAA000100col_SICK</vt:lpstr>
      <vt:lpstr>EMAA000100col_SICK_BY</vt:lpstr>
      <vt:lpstr>EMAA000100col_SICK_CHG</vt:lpstr>
      <vt:lpstr>EMAA000100col_SSDI</vt:lpstr>
      <vt:lpstr>EMAA000100col_SSDI_BY</vt:lpstr>
      <vt:lpstr>EMAA000100col_SSDI_CHG</vt:lpstr>
      <vt:lpstr>EMAA000100col_SSHI</vt:lpstr>
      <vt:lpstr>EMAA000100col_SSHI_BY</vt:lpstr>
      <vt:lpstr>EMAA000100col_SSHI_CHGv</vt:lpstr>
      <vt:lpstr>EMAA000100col_TOT_VB_ELECT</vt:lpstr>
      <vt:lpstr>EMAA000100col_TOT_VB_ELECT_BY</vt:lpstr>
      <vt:lpstr>EMAA000100col_TOT_VB_ELECT_CHG</vt:lpstr>
      <vt:lpstr>EMAA000100col_TOT_VB_PERM</vt:lpstr>
      <vt:lpstr>EMAA000100col_TOT_VB_PERM_BY</vt:lpstr>
      <vt:lpstr>EMAA000100col_TOT_VB_PERM_CHG</vt:lpstr>
      <vt:lpstr>EMAA000100col_TOTAL_ELECT_PCN_FTI</vt:lpstr>
      <vt:lpstr>EMAA000100col_TOTAL_ELECT_PCN_FTI_ALT</vt:lpstr>
      <vt:lpstr>EMAA000100col_TOTAL_PERM_PCN_FTI</vt:lpstr>
      <vt:lpstr>EMAA000100col_UNEMP_INS</vt:lpstr>
      <vt:lpstr>EMAA000100col_UNEMP_INS_BY</vt:lpstr>
      <vt:lpstr>EMAA000100col_UNEMP_INS_CHG</vt:lpstr>
      <vt:lpstr>EMAA000100col_WORKERS_COMP</vt:lpstr>
      <vt:lpstr>EMAA000100col_WORKERS_COMP_BY</vt:lpstr>
      <vt:lpstr>EMAA000100col_WORKERS_COMP_CHG</vt:lpstr>
      <vt:lpstr>EMAA030200col_1_27TH_PP</vt:lpstr>
      <vt:lpstr>EMAA030200col_DHR</vt:lpstr>
      <vt:lpstr>EMAA030200col_DHR_BY</vt:lpstr>
      <vt:lpstr>EMAA030200col_DHR_CHG</vt:lpstr>
      <vt:lpstr>EMAA030200col_FTI_SALARY_ELECT</vt:lpstr>
      <vt:lpstr>EMAA030200col_FTI_SALARY_PERM</vt:lpstr>
      <vt:lpstr>EMAA030200col_FTI_SALARY_SSDI</vt:lpstr>
      <vt:lpstr>EMAA030200col_Group_Ben</vt:lpstr>
      <vt:lpstr>EMAA030200col_Group_Salary</vt:lpstr>
      <vt:lpstr>EMAA030200col_HEALTH_ELECT</vt:lpstr>
      <vt:lpstr>EMAA030200col_HEALTH_ELECT_BY</vt:lpstr>
      <vt:lpstr>EMAA030200col_HEALTH_ELECT_CHG</vt:lpstr>
      <vt:lpstr>EMAA030200col_HEALTH_PERM</vt:lpstr>
      <vt:lpstr>EMAA030200col_HEALTH_PERM_BY</vt:lpstr>
      <vt:lpstr>EMAA030200col_HEALTH_PERM_CHG</vt:lpstr>
      <vt:lpstr>EMAA030200col_INC_FTI</vt:lpstr>
      <vt:lpstr>EMAA030200col_LIFE_INS</vt:lpstr>
      <vt:lpstr>EMAA030200col_LIFE_INS_BY</vt:lpstr>
      <vt:lpstr>EMAA030200col_LIFE_INS_CHG</vt:lpstr>
      <vt:lpstr>EMAA030200col_RETIREMENT</vt:lpstr>
      <vt:lpstr>EMAA030200col_RETIREMENT_BY</vt:lpstr>
      <vt:lpstr>EMAA030200col_RETIREMENT_CHG</vt:lpstr>
      <vt:lpstr>EMAA030200col_ROWS_PER_PCN</vt:lpstr>
      <vt:lpstr>EMAA030200col_SICK</vt:lpstr>
      <vt:lpstr>EMAA030200col_SICK_BY</vt:lpstr>
      <vt:lpstr>EMAA030200col_SICK_CHG</vt:lpstr>
      <vt:lpstr>EMAA030200col_SSDI</vt:lpstr>
      <vt:lpstr>EMAA030200col_SSDI_BY</vt:lpstr>
      <vt:lpstr>EMAA030200col_SSDI_CHG</vt:lpstr>
      <vt:lpstr>EMAA030200col_SSHI</vt:lpstr>
      <vt:lpstr>EMAA030200col_SSHI_BY</vt:lpstr>
      <vt:lpstr>EMAA030200col_SSHI_CHGv</vt:lpstr>
      <vt:lpstr>EMAA030200col_TOT_VB_ELECT</vt:lpstr>
      <vt:lpstr>EMAA030200col_TOT_VB_ELECT_BY</vt:lpstr>
      <vt:lpstr>EMAA030200col_TOT_VB_ELECT_CHG</vt:lpstr>
      <vt:lpstr>EMAA030200col_TOT_VB_PERM</vt:lpstr>
      <vt:lpstr>EMAA030200col_TOT_VB_PERM_BY</vt:lpstr>
      <vt:lpstr>EMAA030200col_TOT_VB_PERM_CHG</vt:lpstr>
      <vt:lpstr>EMAA030200col_TOTAL_ELECT_PCN_FTI</vt:lpstr>
      <vt:lpstr>EMAA030200col_TOTAL_ELECT_PCN_FTI_ALT</vt:lpstr>
      <vt:lpstr>EMAA030200col_TOTAL_PERM_PCN_FTI</vt:lpstr>
      <vt:lpstr>EMAA030200col_UNEMP_INS</vt:lpstr>
      <vt:lpstr>EMAA030200col_UNEMP_INS_BY</vt:lpstr>
      <vt:lpstr>EMAA030200col_UNEMP_INS_CHG</vt:lpstr>
      <vt:lpstr>EMAA030200col_WORKERS_COMP</vt:lpstr>
      <vt:lpstr>EMAA030200col_WORKERS_COMP_BY</vt:lpstr>
      <vt:lpstr>EMAA030200col_WORKERS_COMP_CHG</vt:lpstr>
      <vt:lpstr>EMAA030300col_1_27TH_PP</vt:lpstr>
      <vt:lpstr>EMAA030300col_DHR</vt:lpstr>
      <vt:lpstr>EMAA030300col_DHR_BY</vt:lpstr>
      <vt:lpstr>EMAA030300col_DHR_CHG</vt:lpstr>
      <vt:lpstr>EMAA030300col_FTI_SALARY_ELECT</vt:lpstr>
      <vt:lpstr>EMAA030300col_FTI_SALARY_PERM</vt:lpstr>
      <vt:lpstr>EMAA030300col_FTI_SALARY_SSDI</vt:lpstr>
      <vt:lpstr>EMAA030300col_Group_Ben</vt:lpstr>
      <vt:lpstr>EMAA030300col_Group_Salary</vt:lpstr>
      <vt:lpstr>EMAA030300col_HEALTH_ELECT</vt:lpstr>
      <vt:lpstr>EMAA030300col_HEALTH_ELECT_BY</vt:lpstr>
      <vt:lpstr>EMAA030300col_HEALTH_ELECT_CHG</vt:lpstr>
      <vt:lpstr>EMAA030300col_HEALTH_PERM</vt:lpstr>
      <vt:lpstr>EMAA030300col_HEALTH_PERM_BY</vt:lpstr>
      <vt:lpstr>EMAA030300col_HEALTH_PERM_CHG</vt:lpstr>
      <vt:lpstr>EMAA030300col_INC_FTI</vt:lpstr>
      <vt:lpstr>EMAA030300col_LIFE_INS</vt:lpstr>
      <vt:lpstr>EMAA030300col_LIFE_INS_BY</vt:lpstr>
      <vt:lpstr>EMAA030300col_LIFE_INS_CHG</vt:lpstr>
      <vt:lpstr>EMAA030300col_RETIREMENT</vt:lpstr>
      <vt:lpstr>EMAA030300col_RETIREMENT_BY</vt:lpstr>
      <vt:lpstr>EMAA030300col_RETIREMENT_CHG</vt:lpstr>
      <vt:lpstr>EMAA030300col_ROWS_PER_PCN</vt:lpstr>
      <vt:lpstr>EMAA030300col_SICK</vt:lpstr>
      <vt:lpstr>EMAA030300col_SICK_BY</vt:lpstr>
      <vt:lpstr>EMAA030300col_SICK_CHG</vt:lpstr>
      <vt:lpstr>EMAA030300col_SSDI</vt:lpstr>
      <vt:lpstr>EMAA030300col_SSDI_BY</vt:lpstr>
      <vt:lpstr>EMAA030300col_SSDI_CHG</vt:lpstr>
      <vt:lpstr>EMAA030300col_SSHI</vt:lpstr>
      <vt:lpstr>EMAA030300col_SSHI_BY</vt:lpstr>
      <vt:lpstr>EMAA030300col_SSHI_CHGv</vt:lpstr>
      <vt:lpstr>EMAA030300col_TOT_VB_ELECT</vt:lpstr>
      <vt:lpstr>EMAA030300col_TOT_VB_ELECT_BY</vt:lpstr>
      <vt:lpstr>EMAA030300col_TOT_VB_ELECT_CHG</vt:lpstr>
      <vt:lpstr>EMAA030300col_TOT_VB_PERM</vt:lpstr>
      <vt:lpstr>EMAA030300col_TOT_VB_PERM_BY</vt:lpstr>
      <vt:lpstr>EMAA030300col_TOT_VB_PERM_CHG</vt:lpstr>
      <vt:lpstr>EMAA030300col_TOTAL_ELECT_PCN_FTI</vt:lpstr>
      <vt:lpstr>EMAA030300col_TOTAL_ELECT_PCN_FTI_ALT</vt:lpstr>
      <vt:lpstr>EMAA030300col_TOTAL_PERM_PCN_FTI</vt:lpstr>
      <vt:lpstr>EMAA030300col_UNEMP_INS</vt:lpstr>
      <vt:lpstr>EMAA030300col_UNEMP_INS_BY</vt:lpstr>
      <vt:lpstr>EMAA030300col_UNEMP_INS_CHG</vt:lpstr>
      <vt:lpstr>EMAA030300col_WORKERS_COMP</vt:lpstr>
      <vt:lpstr>EMAA030300col_WORKERS_COMP_BY</vt:lpstr>
      <vt:lpstr>EMAA030300col_WORKERS_COMP_CHG</vt:lpstr>
      <vt:lpstr>EMAA034800col_1_27TH_PP</vt:lpstr>
      <vt:lpstr>EMAA034800col_DHR</vt:lpstr>
      <vt:lpstr>EMAA034800col_DHR_BY</vt:lpstr>
      <vt:lpstr>EMAA034800col_DHR_CHG</vt:lpstr>
      <vt:lpstr>EMAA034800col_FTI_SALARY_ELECT</vt:lpstr>
      <vt:lpstr>EMAA034800col_FTI_SALARY_PERM</vt:lpstr>
      <vt:lpstr>EMAA034800col_FTI_SALARY_SSDI</vt:lpstr>
      <vt:lpstr>EMAA034800col_Group_Ben</vt:lpstr>
      <vt:lpstr>EMAA034800col_Group_Salary</vt:lpstr>
      <vt:lpstr>EMAA034800col_HEALTH_ELECT</vt:lpstr>
      <vt:lpstr>EMAA034800col_HEALTH_ELECT_BY</vt:lpstr>
      <vt:lpstr>EMAA034800col_HEALTH_ELECT_CHG</vt:lpstr>
      <vt:lpstr>EMAA034800col_HEALTH_PERM</vt:lpstr>
      <vt:lpstr>EMAA034800col_HEALTH_PERM_BY</vt:lpstr>
      <vt:lpstr>EMAA034800col_HEALTH_PERM_CHG</vt:lpstr>
      <vt:lpstr>EMAA034800col_INC_FTI</vt:lpstr>
      <vt:lpstr>EMAA034800col_LIFE_INS</vt:lpstr>
      <vt:lpstr>EMAA034800col_LIFE_INS_BY</vt:lpstr>
      <vt:lpstr>EMAA034800col_LIFE_INS_CHG</vt:lpstr>
      <vt:lpstr>EMAA034800col_RETIREMENT</vt:lpstr>
      <vt:lpstr>EMAA034800col_RETIREMENT_BY</vt:lpstr>
      <vt:lpstr>EMAA034800col_RETIREMENT_CHG</vt:lpstr>
      <vt:lpstr>EMAA034800col_ROWS_PER_PCN</vt:lpstr>
      <vt:lpstr>EMAA034800col_SICK</vt:lpstr>
      <vt:lpstr>EMAA034800col_SICK_BY</vt:lpstr>
      <vt:lpstr>EMAA034800col_SICK_CHG</vt:lpstr>
      <vt:lpstr>EMAA034800col_SSDI</vt:lpstr>
      <vt:lpstr>EMAA034800col_SSDI_BY</vt:lpstr>
      <vt:lpstr>EMAA034800col_SSDI_CHG</vt:lpstr>
      <vt:lpstr>EMAA034800col_SSHI</vt:lpstr>
      <vt:lpstr>EMAA034800col_SSHI_BY</vt:lpstr>
      <vt:lpstr>EMAA034800col_SSHI_CHGv</vt:lpstr>
      <vt:lpstr>EMAA034800col_TOT_VB_ELECT</vt:lpstr>
      <vt:lpstr>EMAA034800col_TOT_VB_ELECT_BY</vt:lpstr>
      <vt:lpstr>EMAA034800col_TOT_VB_ELECT_CHG</vt:lpstr>
      <vt:lpstr>EMAA034800col_TOT_VB_PERM</vt:lpstr>
      <vt:lpstr>EMAA034800col_TOT_VB_PERM_BY</vt:lpstr>
      <vt:lpstr>EMAA034800col_TOT_VB_PERM_CHG</vt:lpstr>
      <vt:lpstr>EMAA034800col_TOTAL_ELECT_PCN_FTI</vt:lpstr>
      <vt:lpstr>EMAA034800col_TOTAL_ELECT_PCN_FTI_ALT</vt:lpstr>
      <vt:lpstr>EMAA034800col_TOTAL_PERM_PCN_FTI</vt:lpstr>
      <vt:lpstr>EMAA034800col_UNEMP_INS</vt:lpstr>
      <vt:lpstr>EMAA034800col_UNEMP_INS_BY</vt:lpstr>
      <vt:lpstr>EMAA034800col_UNEMP_INS_CHG</vt:lpstr>
      <vt:lpstr>EMAA034800col_WORKERS_COMP</vt:lpstr>
      <vt:lpstr>EMAA034800col_WORKERS_COMP_BY</vt:lpstr>
      <vt:lpstr>EMAA034800col_WORKERS_COMP_CHG</vt:lpstr>
      <vt:lpstr>EMAA034900col_1_27TH_PP</vt:lpstr>
      <vt:lpstr>EMAA034900col_DHR</vt:lpstr>
      <vt:lpstr>EMAA034900col_DHR_BY</vt:lpstr>
      <vt:lpstr>EMAA034900col_DHR_CHG</vt:lpstr>
      <vt:lpstr>EMAA034900col_FTI_SALARY_ELECT</vt:lpstr>
      <vt:lpstr>EMAA034900col_FTI_SALARY_PERM</vt:lpstr>
      <vt:lpstr>EMAA034900col_FTI_SALARY_SSDI</vt:lpstr>
      <vt:lpstr>EMAA034900col_Group_Ben</vt:lpstr>
      <vt:lpstr>EMAA034900col_Group_Salary</vt:lpstr>
      <vt:lpstr>EMAA034900col_HEALTH_ELECT</vt:lpstr>
      <vt:lpstr>EMAA034900col_HEALTH_ELECT_BY</vt:lpstr>
      <vt:lpstr>EMAA034900col_HEALTH_ELECT_CHG</vt:lpstr>
      <vt:lpstr>EMAA034900col_HEALTH_PERM</vt:lpstr>
      <vt:lpstr>EMAA034900col_HEALTH_PERM_BY</vt:lpstr>
      <vt:lpstr>EMAA034900col_HEALTH_PERM_CHG</vt:lpstr>
      <vt:lpstr>EMAA034900col_INC_FTI</vt:lpstr>
      <vt:lpstr>EMAA034900col_LIFE_INS</vt:lpstr>
      <vt:lpstr>EMAA034900col_LIFE_INS_BY</vt:lpstr>
      <vt:lpstr>EMAA034900col_LIFE_INS_CHG</vt:lpstr>
      <vt:lpstr>EMAA034900col_RETIREMENT</vt:lpstr>
      <vt:lpstr>EMAA034900col_RETIREMENT_BY</vt:lpstr>
      <vt:lpstr>EMAA034900col_RETIREMENT_CHG</vt:lpstr>
      <vt:lpstr>EMAA034900col_ROWS_PER_PCN</vt:lpstr>
      <vt:lpstr>EMAA034900col_SICK</vt:lpstr>
      <vt:lpstr>EMAA034900col_SICK_BY</vt:lpstr>
      <vt:lpstr>EMAA034900col_SICK_CHG</vt:lpstr>
      <vt:lpstr>EMAA034900col_SSDI</vt:lpstr>
      <vt:lpstr>EMAA034900col_SSDI_BY</vt:lpstr>
      <vt:lpstr>EMAA034900col_SSDI_CHG</vt:lpstr>
      <vt:lpstr>EMAA034900col_SSHI</vt:lpstr>
      <vt:lpstr>EMAA034900col_SSHI_BY</vt:lpstr>
      <vt:lpstr>EMAA034900col_SSHI_CHGv</vt:lpstr>
      <vt:lpstr>EMAA034900col_TOT_VB_ELECT</vt:lpstr>
      <vt:lpstr>EMAA034900col_TOT_VB_ELECT_BY</vt:lpstr>
      <vt:lpstr>EMAA034900col_TOT_VB_ELECT_CHG</vt:lpstr>
      <vt:lpstr>EMAA034900col_TOT_VB_PERM</vt:lpstr>
      <vt:lpstr>EMAA034900col_TOT_VB_PERM_BY</vt:lpstr>
      <vt:lpstr>EMAA034900col_TOT_VB_PERM_CHG</vt:lpstr>
      <vt:lpstr>EMAA034900col_TOTAL_ELECT_PCN_FTI</vt:lpstr>
      <vt:lpstr>EMAA034900col_TOTAL_ELECT_PCN_FTI_ALT</vt:lpstr>
      <vt:lpstr>EMAA034900col_TOTAL_PERM_PCN_FTI</vt:lpstr>
      <vt:lpstr>EMAA034900col_UNEMP_INS</vt:lpstr>
      <vt:lpstr>EMAA034900col_UNEMP_INS_BY</vt:lpstr>
      <vt:lpstr>EMAA034900col_UNEMP_INS_CHG</vt:lpstr>
      <vt:lpstr>EMAA034900col_WORKERS_COMP</vt:lpstr>
      <vt:lpstr>EMAA034900col_WORKERS_COMP_BY</vt:lpstr>
      <vt:lpstr>EMAA034900col_WORKERS_COMP_CHG</vt:lpstr>
      <vt:lpstr>EMAD000100col_1_27TH_PP</vt:lpstr>
      <vt:lpstr>EMAD000100col_DHR</vt:lpstr>
      <vt:lpstr>EMAD000100col_DHR_BY</vt:lpstr>
      <vt:lpstr>EMAD000100col_DHR_CHG</vt:lpstr>
      <vt:lpstr>EMAD000100col_FTI_SALARY_ELECT</vt:lpstr>
      <vt:lpstr>EMAD000100col_FTI_SALARY_PERM</vt:lpstr>
      <vt:lpstr>EMAD000100col_FTI_SALARY_SSDI</vt:lpstr>
      <vt:lpstr>EMAD000100col_Group_Ben</vt:lpstr>
      <vt:lpstr>EMAD000100col_Group_Salary</vt:lpstr>
      <vt:lpstr>EMAD000100col_HEALTH_ELECT</vt:lpstr>
      <vt:lpstr>EMAD000100col_HEALTH_ELECT_BY</vt:lpstr>
      <vt:lpstr>EMAD000100col_HEALTH_ELECT_CHG</vt:lpstr>
      <vt:lpstr>EMAD000100col_HEALTH_PERM</vt:lpstr>
      <vt:lpstr>EMAD000100col_HEALTH_PERM_BY</vt:lpstr>
      <vt:lpstr>EMAD000100col_HEALTH_PERM_CHG</vt:lpstr>
      <vt:lpstr>EMAD000100col_INC_FTI</vt:lpstr>
      <vt:lpstr>EMAD000100col_LIFE_INS</vt:lpstr>
      <vt:lpstr>EMAD000100col_LIFE_INS_BY</vt:lpstr>
      <vt:lpstr>EMAD000100col_LIFE_INS_CHG</vt:lpstr>
      <vt:lpstr>EMAD000100col_RETIREMENT</vt:lpstr>
      <vt:lpstr>EMAD000100col_RETIREMENT_BY</vt:lpstr>
      <vt:lpstr>EMAD000100col_RETIREMENT_CHG</vt:lpstr>
      <vt:lpstr>EMAD000100col_ROWS_PER_PCN</vt:lpstr>
      <vt:lpstr>EMAD000100col_SICK</vt:lpstr>
      <vt:lpstr>EMAD000100col_SICK_BY</vt:lpstr>
      <vt:lpstr>EMAD000100col_SICK_CHG</vt:lpstr>
      <vt:lpstr>EMAD000100col_SSDI</vt:lpstr>
      <vt:lpstr>EMAD000100col_SSDI_BY</vt:lpstr>
      <vt:lpstr>EMAD000100col_SSDI_CHG</vt:lpstr>
      <vt:lpstr>EMAD000100col_SSHI</vt:lpstr>
      <vt:lpstr>EMAD000100col_SSHI_BY</vt:lpstr>
      <vt:lpstr>EMAD000100col_SSHI_CHGv</vt:lpstr>
      <vt:lpstr>EMAD000100col_TOT_VB_ELECT</vt:lpstr>
      <vt:lpstr>EMAD000100col_TOT_VB_ELECT_BY</vt:lpstr>
      <vt:lpstr>EMAD000100col_TOT_VB_ELECT_CHG</vt:lpstr>
      <vt:lpstr>EMAD000100col_TOT_VB_PERM</vt:lpstr>
      <vt:lpstr>EMAD000100col_TOT_VB_PERM_BY</vt:lpstr>
      <vt:lpstr>EMAD000100col_TOT_VB_PERM_CHG</vt:lpstr>
      <vt:lpstr>EMAD000100col_TOTAL_ELECT_PCN_FTI</vt:lpstr>
      <vt:lpstr>EMAD000100col_TOTAL_ELECT_PCN_FTI_ALT</vt:lpstr>
      <vt:lpstr>EMAD000100col_TOTAL_PERM_PCN_FTI</vt:lpstr>
      <vt:lpstr>EMAD000100col_UNEMP_INS</vt:lpstr>
      <vt:lpstr>EMAD000100col_UNEMP_INS_BY</vt:lpstr>
      <vt:lpstr>EMAD000100col_UNEMP_INS_CHG</vt:lpstr>
      <vt:lpstr>EMAD000100col_WORKERS_COMP</vt:lpstr>
      <vt:lpstr>EMAD000100col_WORKERS_COMP_BY</vt:lpstr>
      <vt:lpstr>EMAD000100col_WORKERS_COMP_CHG</vt:lpstr>
      <vt:lpstr>EMAJ030200col_1_27TH_PP</vt:lpstr>
      <vt:lpstr>EMAJ030200col_DHR</vt:lpstr>
      <vt:lpstr>EMAJ030200col_DHR_BY</vt:lpstr>
      <vt:lpstr>EMAJ030200col_DHR_CHG</vt:lpstr>
      <vt:lpstr>EMAJ030200col_FTI_SALARY_ELECT</vt:lpstr>
      <vt:lpstr>EMAJ030200col_FTI_SALARY_PERM</vt:lpstr>
      <vt:lpstr>EMAJ030200col_FTI_SALARY_SSDI</vt:lpstr>
      <vt:lpstr>EMAJ030200col_Group_Ben</vt:lpstr>
      <vt:lpstr>EMAJ030200col_Group_Salary</vt:lpstr>
      <vt:lpstr>EMAJ030200col_HEALTH_ELECT</vt:lpstr>
      <vt:lpstr>EMAJ030200col_HEALTH_ELECT_BY</vt:lpstr>
      <vt:lpstr>EMAJ030200col_HEALTH_ELECT_CHG</vt:lpstr>
      <vt:lpstr>EMAJ030200col_HEALTH_PERM</vt:lpstr>
      <vt:lpstr>EMAJ030200col_HEALTH_PERM_BY</vt:lpstr>
      <vt:lpstr>EMAJ030200col_HEALTH_PERM_CHG</vt:lpstr>
      <vt:lpstr>EMAJ030200col_INC_FTI</vt:lpstr>
      <vt:lpstr>EMAJ030200col_LIFE_INS</vt:lpstr>
      <vt:lpstr>EMAJ030200col_LIFE_INS_BY</vt:lpstr>
      <vt:lpstr>EMAJ030200col_LIFE_INS_CHG</vt:lpstr>
      <vt:lpstr>EMAJ030200col_RETIREMENT</vt:lpstr>
      <vt:lpstr>EMAJ030200col_RETIREMENT_BY</vt:lpstr>
      <vt:lpstr>EMAJ030200col_RETIREMENT_CHG</vt:lpstr>
      <vt:lpstr>EMAJ030200col_ROWS_PER_PCN</vt:lpstr>
      <vt:lpstr>EMAJ030200col_SICK</vt:lpstr>
      <vt:lpstr>EMAJ030200col_SICK_BY</vt:lpstr>
      <vt:lpstr>EMAJ030200col_SICK_CHG</vt:lpstr>
      <vt:lpstr>EMAJ030200col_SSDI</vt:lpstr>
      <vt:lpstr>EMAJ030200col_SSDI_BY</vt:lpstr>
      <vt:lpstr>EMAJ030200col_SSDI_CHG</vt:lpstr>
      <vt:lpstr>EMAJ030200col_SSHI</vt:lpstr>
      <vt:lpstr>EMAJ030200col_SSHI_BY</vt:lpstr>
      <vt:lpstr>EMAJ030200col_SSHI_CHGv</vt:lpstr>
      <vt:lpstr>EMAJ030200col_TOT_VB_ELECT</vt:lpstr>
      <vt:lpstr>EMAJ030200col_TOT_VB_ELECT_BY</vt:lpstr>
      <vt:lpstr>EMAJ030200col_TOT_VB_ELECT_CHG</vt:lpstr>
      <vt:lpstr>EMAJ030200col_TOT_VB_PERM</vt:lpstr>
      <vt:lpstr>EMAJ030200col_TOT_VB_PERM_BY</vt:lpstr>
      <vt:lpstr>EMAJ030200col_TOT_VB_PERM_CHG</vt:lpstr>
      <vt:lpstr>EMAJ030200col_TOTAL_ELECT_PCN_FTI</vt:lpstr>
      <vt:lpstr>EMAJ030200col_TOTAL_ELECT_PCN_FTI_ALT</vt:lpstr>
      <vt:lpstr>EMAJ030200col_TOTAL_PERM_PCN_FTI</vt:lpstr>
      <vt:lpstr>EMAJ030200col_UNEMP_INS</vt:lpstr>
      <vt:lpstr>EMAJ030200col_UNEMP_INS_BY</vt:lpstr>
      <vt:lpstr>EMAJ030200col_UNEMP_INS_CHG</vt:lpstr>
      <vt:lpstr>EMAJ030200col_WORKERS_COMP</vt:lpstr>
      <vt:lpstr>EMAJ030200col_WORKERS_COMP_BY</vt:lpstr>
      <vt:lpstr>EMAJ030200col_WORKERS_COMP_CHG</vt:lpstr>
      <vt:lpstr>EMAJ034800col_1_27TH_PP</vt:lpstr>
      <vt:lpstr>EMAJ034800col_DHR</vt:lpstr>
      <vt:lpstr>EMAJ034800col_DHR_BY</vt:lpstr>
      <vt:lpstr>EMAJ034800col_DHR_CHG</vt:lpstr>
      <vt:lpstr>EMAJ034800col_FTI_SALARY_ELECT</vt:lpstr>
      <vt:lpstr>EMAJ034800col_FTI_SALARY_PERM</vt:lpstr>
      <vt:lpstr>EMAJ034800col_FTI_SALARY_SSDI</vt:lpstr>
      <vt:lpstr>EMAJ034800col_Group_Ben</vt:lpstr>
      <vt:lpstr>EMAJ034800col_Group_Salary</vt:lpstr>
      <vt:lpstr>EMAJ034800col_HEALTH_ELECT</vt:lpstr>
      <vt:lpstr>EMAJ034800col_HEALTH_ELECT_BY</vt:lpstr>
      <vt:lpstr>EMAJ034800col_HEALTH_ELECT_CHG</vt:lpstr>
      <vt:lpstr>EMAJ034800col_HEALTH_PERM</vt:lpstr>
      <vt:lpstr>EMAJ034800col_HEALTH_PERM_BY</vt:lpstr>
      <vt:lpstr>EMAJ034800col_HEALTH_PERM_CHG</vt:lpstr>
      <vt:lpstr>EMAJ034800col_INC_FTI</vt:lpstr>
      <vt:lpstr>EMAJ034800col_LIFE_INS</vt:lpstr>
      <vt:lpstr>EMAJ034800col_LIFE_INS_BY</vt:lpstr>
      <vt:lpstr>EMAJ034800col_LIFE_INS_CHG</vt:lpstr>
      <vt:lpstr>EMAJ034800col_RETIREMENT</vt:lpstr>
      <vt:lpstr>EMAJ034800col_RETIREMENT_BY</vt:lpstr>
      <vt:lpstr>EMAJ034800col_RETIREMENT_CHG</vt:lpstr>
      <vt:lpstr>EMAJ034800col_ROWS_PER_PCN</vt:lpstr>
      <vt:lpstr>EMAJ034800col_SICK</vt:lpstr>
      <vt:lpstr>EMAJ034800col_SICK_BY</vt:lpstr>
      <vt:lpstr>EMAJ034800col_SICK_CHG</vt:lpstr>
      <vt:lpstr>EMAJ034800col_SSDI</vt:lpstr>
      <vt:lpstr>EMAJ034800col_SSDI_BY</vt:lpstr>
      <vt:lpstr>EMAJ034800col_SSDI_CHG</vt:lpstr>
      <vt:lpstr>EMAJ034800col_SSHI</vt:lpstr>
      <vt:lpstr>EMAJ034800col_SSHI_BY</vt:lpstr>
      <vt:lpstr>EMAJ034800col_SSHI_CHGv</vt:lpstr>
      <vt:lpstr>EMAJ034800col_TOT_VB_ELECT</vt:lpstr>
      <vt:lpstr>EMAJ034800col_TOT_VB_ELECT_BY</vt:lpstr>
      <vt:lpstr>EMAJ034800col_TOT_VB_ELECT_CHG</vt:lpstr>
      <vt:lpstr>EMAJ034800col_TOT_VB_PERM</vt:lpstr>
      <vt:lpstr>EMAJ034800col_TOT_VB_PERM_BY</vt:lpstr>
      <vt:lpstr>EMAJ034800col_TOT_VB_PERM_CHG</vt:lpstr>
      <vt:lpstr>EMAJ034800col_TOTAL_ELECT_PCN_FTI</vt:lpstr>
      <vt:lpstr>EMAJ034800col_TOTAL_ELECT_PCN_FTI_ALT</vt:lpstr>
      <vt:lpstr>EMAJ034800col_TOTAL_PERM_PCN_FTI</vt:lpstr>
      <vt:lpstr>EMAJ034800col_UNEMP_INS</vt:lpstr>
      <vt:lpstr>EMAJ034800col_UNEMP_INS_BY</vt:lpstr>
      <vt:lpstr>EMAJ034800col_UNEMP_INS_CHG</vt:lpstr>
      <vt:lpstr>EMAJ034800col_WORKERS_COMP</vt:lpstr>
      <vt:lpstr>EMAJ034800col_WORKERS_COMP_BY</vt:lpstr>
      <vt:lpstr>EMAJ034800col_WORKERS_COMP_CHG</vt:lpstr>
      <vt:lpstr>EMAR030300col_1_27TH_PP</vt:lpstr>
      <vt:lpstr>EMAR030300col_DHR</vt:lpstr>
      <vt:lpstr>EMAR030300col_DHR_BY</vt:lpstr>
      <vt:lpstr>EMAR030300col_DHR_CHG</vt:lpstr>
      <vt:lpstr>EMAR030300col_FTI_SALARY_ELECT</vt:lpstr>
      <vt:lpstr>EMAR030300col_FTI_SALARY_PERM</vt:lpstr>
      <vt:lpstr>EMAR030300col_FTI_SALARY_SSDI</vt:lpstr>
      <vt:lpstr>EMAR030300col_Group_Ben</vt:lpstr>
      <vt:lpstr>EMAR030300col_Group_Salary</vt:lpstr>
      <vt:lpstr>EMAR030300col_HEALTH_ELECT</vt:lpstr>
      <vt:lpstr>EMAR030300col_HEALTH_ELECT_BY</vt:lpstr>
      <vt:lpstr>EMAR030300col_HEALTH_ELECT_CHG</vt:lpstr>
      <vt:lpstr>EMAR030300col_HEALTH_PERM</vt:lpstr>
      <vt:lpstr>EMAR030300col_HEALTH_PERM_BY</vt:lpstr>
      <vt:lpstr>EMAR030300col_HEALTH_PERM_CHG</vt:lpstr>
      <vt:lpstr>EMAR030300col_INC_FTI</vt:lpstr>
      <vt:lpstr>EMAR030300col_LIFE_INS</vt:lpstr>
      <vt:lpstr>EMAR030300col_LIFE_INS_BY</vt:lpstr>
      <vt:lpstr>EMAR030300col_LIFE_INS_CHG</vt:lpstr>
      <vt:lpstr>EMAR030300col_RETIREMENT</vt:lpstr>
      <vt:lpstr>EMAR030300col_RETIREMENT_BY</vt:lpstr>
      <vt:lpstr>EMAR030300col_RETIREMENT_CHG</vt:lpstr>
      <vt:lpstr>EMAR030300col_ROWS_PER_PCN</vt:lpstr>
      <vt:lpstr>EMAR030300col_SICK</vt:lpstr>
      <vt:lpstr>EMAR030300col_SICK_BY</vt:lpstr>
      <vt:lpstr>EMAR030300col_SICK_CHG</vt:lpstr>
      <vt:lpstr>EMAR030300col_SSDI</vt:lpstr>
      <vt:lpstr>EMAR030300col_SSDI_BY</vt:lpstr>
      <vt:lpstr>EMAR030300col_SSDI_CHG</vt:lpstr>
      <vt:lpstr>EMAR030300col_SSHI</vt:lpstr>
      <vt:lpstr>EMAR030300col_SSHI_BY</vt:lpstr>
      <vt:lpstr>EMAR030300col_SSHI_CHGv</vt:lpstr>
      <vt:lpstr>EMAR030300col_TOT_VB_ELECT</vt:lpstr>
      <vt:lpstr>EMAR030300col_TOT_VB_ELECT_BY</vt:lpstr>
      <vt:lpstr>EMAR030300col_TOT_VB_ELECT_CHG</vt:lpstr>
      <vt:lpstr>EMAR030300col_TOT_VB_PERM</vt:lpstr>
      <vt:lpstr>EMAR030300col_TOT_VB_PERM_BY</vt:lpstr>
      <vt:lpstr>EMAR030300col_TOT_VB_PERM_CHG</vt:lpstr>
      <vt:lpstr>EMAR030300col_TOTAL_ELECT_PCN_FTI</vt:lpstr>
      <vt:lpstr>EMAR030300col_TOTAL_ELECT_PCN_FTI_ALT</vt:lpstr>
      <vt:lpstr>EMAR030300col_TOTAL_PERM_PCN_FTI</vt:lpstr>
      <vt:lpstr>EMAR030300col_UNEMP_INS</vt:lpstr>
      <vt:lpstr>EMAR030300col_UNEMP_INS_BY</vt:lpstr>
      <vt:lpstr>EMAR030300col_UNEMP_INS_CHG</vt:lpstr>
      <vt:lpstr>EMAR030300col_WORKERS_COMP</vt:lpstr>
      <vt:lpstr>EMAR030300col_WORKERS_COMP_BY</vt:lpstr>
      <vt:lpstr>EMAR030300col_WORKERS_COMP_CHG</vt:lpstr>
      <vt:lpstr>EMAR034800col_1_27TH_PP</vt:lpstr>
      <vt:lpstr>EMAR034800col_DHR</vt:lpstr>
      <vt:lpstr>EMAR034800col_DHR_BY</vt:lpstr>
      <vt:lpstr>EMAR034800col_DHR_CHG</vt:lpstr>
      <vt:lpstr>EMAR034800col_FTI_SALARY_ELECT</vt:lpstr>
      <vt:lpstr>EMAR034800col_FTI_SALARY_PERM</vt:lpstr>
      <vt:lpstr>EMAR034800col_FTI_SALARY_SSDI</vt:lpstr>
      <vt:lpstr>EMAR034800col_Group_Ben</vt:lpstr>
      <vt:lpstr>EMAR034800col_Group_Salary</vt:lpstr>
      <vt:lpstr>EMAR034800col_HEALTH_ELECT</vt:lpstr>
      <vt:lpstr>EMAR034800col_HEALTH_ELECT_BY</vt:lpstr>
      <vt:lpstr>EMAR034800col_HEALTH_ELECT_CHG</vt:lpstr>
      <vt:lpstr>EMAR034800col_HEALTH_PERM</vt:lpstr>
      <vt:lpstr>EMAR034800col_HEALTH_PERM_BY</vt:lpstr>
      <vt:lpstr>EMAR034800col_HEALTH_PERM_CHG</vt:lpstr>
      <vt:lpstr>EMAR034800col_INC_FTI</vt:lpstr>
      <vt:lpstr>EMAR034800col_LIFE_INS</vt:lpstr>
      <vt:lpstr>EMAR034800col_LIFE_INS_BY</vt:lpstr>
      <vt:lpstr>EMAR034800col_LIFE_INS_CHG</vt:lpstr>
      <vt:lpstr>EMAR034800col_RETIREMENT</vt:lpstr>
      <vt:lpstr>EMAR034800col_RETIREMENT_BY</vt:lpstr>
      <vt:lpstr>EMAR034800col_RETIREMENT_CHG</vt:lpstr>
      <vt:lpstr>EMAR034800col_ROWS_PER_PCN</vt:lpstr>
      <vt:lpstr>EMAR034800col_SICK</vt:lpstr>
      <vt:lpstr>EMAR034800col_SICK_BY</vt:lpstr>
      <vt:lpstr>EMAR034800col_SICK_CHG</vt:lpstr>
      <vt:lpstr>EMAR034800col_SSDI</vt:lpstr>
      <vt:lpstr>EMAR034800col_SSDI_BY</vt:lpstr>
      <vt:lpstr>EMAR034800col_SSDI_CHG</vt:lpstr>
      <vt:lpstr>EMAR034800col_SSHI</vt:lpstr>
      <vt:lpstr>EMAR034800col_SSHI_BY</vt:lpstr>
      <vt:lpstr>EMAR034800col_SSHI_CHGv</vt:lpstr>
      <vt:lpstr>EMAR034800col_TOT_VB_ELECT</vt:lpstr>
      <vt:lpstr>EMAR034800col_TOT_VB_ELECT_BY</vt:lpstr>
      <vt:lpstr>EMAR034800col_TOT_VB_ELECT_CHG</vt:lpstr>
      <vt:lpstr>EMAR034800col_TOT_VB_PERM</vt:lpstr>
      <vt:lpstr>EMAR034800col_TOT_VB_PERM_BY</vt:lpstr>
      <vt:lpstr>EMAR034800col_TOT_VB_PERM_CHG</vt:lpstr>
      <vt:lpstr>EMAR034800col_TOTAL_ELECT_PCN_FTI</vt:lpstr>
      <vt:lpstr>EMAR034800col_TOTAL_ELECT_PCN_FTI_ALT</vt:lpstr>
      <vt:lpstr>EMAR034800col_TOTAL_PERM_PCN_FTI</vt:lpstr>
      <vt:lpstr>EMAR034800col_UNEMP_INS</vt:lpstr>
      <vt:lpstr>EMAR034800col_UNEMP_INS_BY</vt:lpstr>
      <vt:lpstr>EMAR034800col_UNEMP_INS_CHG</vt:lpstr>
      <vt:lpstr>EMAR034800col_WORKERS_COMP</vt:lpstr>
      <vt:lpstr>EMAR034800col_WORKERS_COMP_BY</vt:lpstr>
      <vt:lpstr>EMAR034800col_WORKERS_COMP_CHG</vt:lpstr>
      <vt:lpstr>EMLO000100col_1_27TH_PP</vt:lpstr>
      <vt:lpstr>EMLO000100col_DHR</vt:lpstr>
      <vt:lpstr>EMLO000100col_DHR_BY</vt:lpstr>
      <vt:lpstr>EMLO000100col_DHR_CHG</vt:lpstr>
      <vt:lpstr>EMLO000100col_FTI_SALARY_ELECT</vt:lpstr>
      <vt:lpstr>EMLO000100col_FTI_SALARY_PERM</vt:lpstr>
      <vt:lpstr>EMLO000100col_FTI_SALARY_SSDI</vt:lpstr>
      <vt:lpstr>EMLO000100col_Group_Ben</vt:lpstr>
      <vt:lpstr>EMLO000100col_Group_Salary</vt:lpstr>
      <vt:lpstr>EMLO000100col_HEALTH_ELECT</vt:lpstr>
      <vt:lpstr>EMLO000100col_HEALTH_ELECT_BY</vt:lpstr>
      <vt:lpstr>EMLO000100col_HEALTH_ELECT_CHG</vt:lpstr>
      <vt:lpstr>EMLO000100col_HEALTH_PERM</vt:lpstr>
      <vt:lpstr>EMLO000100col_HEALTH_PERM_BY</vt:lpstr>
      <vt:lpstr>EMLO000100col_HEALTH_PERM_CHG</vt:lpstr>
      <vt:lpstr>EMLO000100col_INC_FTI</vt:lpstr>
      <vt:lpstr>EMLO000100col_LIFE_INS</vt:lpstr>
      <vt:lpstr>EMLO000100col_LIFE_INS_BY</vt:lpstr>
      <vt:lpstr>EMLO000100col_LIFE_INS_CHG</vt:lpstr>
      <vt:lpstr>EMLO000100col_RETIREMENT</vt:lpstr>
      <vt:lpstr>EMLO000100col_RETIREMENT_BY</vt:lpstr>
      <vt:lpstr>EMLO000100col_RETIREMENT_CHG</vt:lpstr>
      <vt:lpstr>EMLO000100col_ROWS_PER_PCN</vt:lpstr>
      <vt:lpstr>EMLO000100col_SICK</vt:lpstr>
      <vt:lpstr>EMLO000100col_SICK_BY</vt:lpstr>
      <vt:lpstr>EMLO000100col_SICK_CHG</vt:lpstr>
      <vt:lpstr>EMLO000100col_SSDI</vt:lpstr>
      <vt:lpstr>EMLO000100col_SSDI_BY</vt:lpstr>
      <vt:lpstr>EMLO000100col_SSDI_CHG</vt:lpstr>
      <vt:lpstr>EMLO000100col_SSHI</vt:lpstr>
      <vt:lpstr>EMLO000100col_SSHI_BY</vt:lpstr>
      <vt:lpstr>EMLO000100col_SSHI_CHGv</vt:lpstr>
      <vt:lpstr>EMLO000100col_TOT_VB_ELECT</vt:lpstr>
      <vt:lpstr>EMLO000100col_TOT_VB_ELECT_BY</vt:lpstr>
      <vt:lpstr>EMLO000100col_TOT_VB_ELECT_CHG</vt:lpstr>
      <vt:lpstr>EMLO000100col_TOT_VB_PERM</vt:lpstr>
      <vt:lpstr>EMLO000100col_TOT_VB_PERM_BY</vt:lpstr>
      <vt:lpstr>EMLO000100col_TOT_VB_PERM_CHG</vt:lpstr>
      <vt:lpstr>EMLO000100col_TOTAL_ELECT_PCN_FTI</vt:lpstr>
      <vt:lpstr>EMLO000100col_TOTAL_ELECT_PCN_FTI_ALT</vt:lpstr>
      <vt:lpstr>EMLO000100col_TOTAL_PERM_PCN_FTI</vt:lpstr>
      <vt:lpstr>EMLO000100col_UNEMP_INS</vt:lpstr>
      <vt:lpstr>EMLO000100col_UNEMP_INS_BY</vt:lpstr>
      <vt:lpstr>EMLO000100col_UNEMP_INS_CHG</vt:lpstr>
      <vt:lpstr>EMLO000100col_WORKERS_COMP</vt:lpstr>
      <vt:lpstr>EMLO000100col_WORKERS_COMP_BY</vt:lpstr>
      <vt:lpstr>EMLO000100col_WORKERS_COMP_CHG</vt:lpstr>
      <vt:lpstr>EMLO030200col_1_27TH_PP</vt:lpstr>
      <vt:lpstr>EMLO030200col_DHR</vt:lpstr>
      <vt:lpstr>EMLO030200col_DHR_BY</vt:lpstr>
      <vt:lpstr>EMLO030200col_DHR_CHG</vt:lpstr>
      <vt:lpstr>EMLO030200col_FTI_SALARY_ELECT</vt:lpstr>
      <vt:lpstr>EMLO030200col_FTI_SALARY_PERM</vt:lpstr>
      <vt:lpstr>EMLO030200col_FTI_SALARY_SSDI</vt:lpstr>
      <vt:lpstr>EMLO030200col_Group_Ben</vt:lpstr>
      <vt:lpstr>EMLO030200col_Group_Salary</vt:lpstr>
      <vt:lpstr>EMLO030200col_HEALTH_ELECT</vt:lpstr>
      <vt:lpstr>EMLO030200col_HEALTH_ELECT_BY</vt:lpstr>
      <vt:lpstr>EMLO030200col_HEALTH_ELECT_CHG</vt:lpstr>
      <vt:lpstr>EMLO030200col_HEALTH_PERM</vt:lpstr>
      <vt:lpstr>EMLO030200col_HEALTH_PERM_BY</vt:lpstr>
      <vt:lpstr>EMLO030200col_HEALTH_PERM_CHG</vt:lpstr>
      <vt:lpstr>EMLO030200col_INC_FTI</vt:lpstr>
      <vt:lpstr>EMLO030200col_LIFE_INS</vt:lpstr>
      <vt:lpstr>EMLO030200col_LIFE_INS_BY</vt:lpstr>
      <vt:lpstr>EMLO030200col_LIFE_INS_CHG</vt:lpstr>
      <vt:lpstr>EMLO030200col_RETIREMENT</vt:lpstr>
      <vt:lpstr>EMLO030200col_RETIREMENT_BY</vt:lpstr>
      <vt:lpstr>EMLO030200col_RETIREMENT_CHG</vt:lpstr>
      <vt:lpstr>EMLO030200col_ROWS_PER_PCN</vt:lpstr>
      <vt:lpstr>EMLO030200col_SICK</vt:lpstr>
      <vt:lpstr>EMLO030200col_SICK_BY</vt:lpstr>
      <vt:lpstr>EMLO030200col_SICK_CHG</vt:lpstr>
      <vt:lpstr>EMLO030200col_SSDI</vt:lpstr>
      <vt:lpstr>EMLO030200col_SSDI_BY</vt:lpstr>
      <vt:lpstr>EMLO030200col_SSDI_CHG</vt:lpstr>
      <vt:lpstr>EMLO030200col_SSHI</vt:lpstr>
      <vt:lpstr>EMLO030200col_SSHI_BY</vt:lpstr>
      <vt:lpstr>EMLO030200col_SSHI_CHGv</vt:lpstr>
      <vt:lpstr>EMLO030200col_TOT_VB_ELECT</vt:lpstr>
      <vt:lpstr>EMLO030200col_TOT_VB_ELECT_BY</vt:lpstr>
      <vt:lpstr>EMLO030200col_TOT_VB_ELECT_CHG</vt:lpstr>
      <vt:lpstr>EMLO030200col_TOT_VB_PERM</vt:lpstr>
      <vt:lpstr>EMLO030200col_TOT_VB_PERM_BY</vt:lpstr>
      <vt:lpstr>EMLO030200col_TOT_VB_PERM_CHG</vt:lpstr>
      <vt:lpstr>EMLO030200col_TOTAL_ELECT_PCN_FTI</vt:lpstr>
      <vt:lpstr>EMLO030200col_TOTAL_ELECT_PCN_FTI_ALT</vt:lpstr>
      <vt:lpstr>EMLO030200col_TOTAL_PERM_PCN_FTI</vt:lpstr>
      <vt:lpstr>EMLO030200col_UNEMP_INS</vt:lpstr>
      <vt:lpstr>EMLO030200col_UNEMP_INS_BY</vt:lpstr>
      <vt:lpstr>EMLO030200col_UNEMP_INS_CHG</vt:lpstr>
      <vt:lpstr>EMLO030200col_WORKERS_COMP</vt:lpstr>
      <vt:lpstr>EMLO030200col_WORKERS_COMP_BY</vt:lpstr>
      <vt:lpstr>EMLO030200col_WORKERS_COMP_CHG</vt:lpstr>
      <vt:lpstr>EMLO030300col_1_27TH_PP</vt:lpstr>
      <vt:lpstr>EMLO030300col_DHR</vt:lpstr>
      <vt:lpstr>EMLO030300col_DHR_BY</vt:lpstr>
      <vt:lpstr>EMLO030300col_DHR_CHG</vt:lpstr>
      <vt:lpstr>EMLO030300col_FTI_SALARY_ELECT</vt:lpstr>
      <vt:lpstr>EMLO030300col_FTI_SALARY_PERM</vt:lpstr>
      <vt:lpstr>EMLO030300col_FTI_SALARY_SSDI</vt:lpstr>
      <vt:lpstr>EMLO030300col_Group_Ben</vt:lpstr>
      <vt:lpstr>EMLO030300col_Group_Salary</vt:lpstr>
      <vt:lpstr>EMLO030300col_HEALTH_ELECT</vt:lpstr>
      <vt:lpstr>EMLO030300col_HEALTH_ELECT_BY</vt:lpstr>
      <vt:lpstr>EMLO030300col_HEALTH_ELECT_CHG</vt:lpstr>
      <vt:lpstr>EMLO030300col_HEALTH_PERM</vt:lpstr>
      <vt:lpstr>EMLO030300col_HEALTH_PERM_BY</vt:lpstr>
      <vt:lpstr>EMLO030300col_HEALTH_PERM_CHG</vt:lpstr>
      <vt:lpstr>EMLO030300col_INC_FTI</vt:lpstr>
      <vt:lpstr>EMLO030300col_LIFE_INS</vt:lpstr>
      <vt:lpstr>EMLO030300col_LIFE_INS_BY</vt:lpstr>
      <vt:lpstr>EMLO030300col_LIFE_INS_CHG</vt:lpstr>
      <vt:lpstr>EMLO030300col_RETIREMENT</vt:lpstr>
      <vt:lpstr>EMLO030300col_RETIREMENT_BY</vt:lpstr>
      <vt:lpstr>EMLO030300col_RETIREMENT_CHG</vt:lpstr>
      <vt:lpstr>EMLO030300col_ROWS_PER_PCN</vt:lpstr>
      <vt:lpstr>EMLO030300col_SICK</vt:lpstr>
      <vt:lpstr>EMLO030300col_SICK_BY</vt:lpstr>
      <vt:lpstr>EMLO030300col_SICK_CHG</vt:lpstr>
      <vt:lpstr>EMLO030300col_SSDI</vt:lpstr>
      <vt:lpstr>EMLO030300col_SSDI_BY</vt:lpstr>
      <vt:lpstr>EMLO030300col_SSDI_CHG</vt:lpstr>
      <vt:lpstr>EMLO030300col_SSHI</vt:lpstr>
      <vt:lpstr>EMLO030300col_SSHI_BY</vt:lpstr>
      <vt:lpstr>EMLO030300col_SSHI_CHGv</vt:lpstr>
      <vt:lpstr>EMLO030300col_TOT_VB_ELECT</vt:lpstr>
      <vt:lpstr>EMLO030300col_TOT_VB_ELECT_BY</vt:lpstr>
      <vt:lpstr>EMLO030300col_TOT_VB_ELECT_CHG</vt:lpstr>
      <vt:lpstr>EMLO030300col_TOT_VB_PERM</vt:lpstr>
      <vt:lpstr>EMLO030300col_TOT_VB_PERM_BY</vt:lpstr>
      <vt:lpstr>EMLO030300col_TOT_VB_PERM_CHG</vt:lpstr>
      <vt:lpstr>EMLO030300col_TOTAL_ELECT_PCN_FTI</vt:lpstr>
      <vt:lpstr>EMLO030300col_TOTAL_ELECT_PCN_FTI_ALT</vt:lpstr>
      <vt:lpstr>EMLO030300col_TOTAL_PERM_PCN_FTI</vt:lpstr>
      <vt:lpstr>EMLO030300col_UNEMP_INS</vt:lpstr>
      <vt:lpstr>EMLO030300col_UNEMP_INS_BY</vt:lpstr>
      <vt:lpstr>EMLO030300col_UNEMP_INS_CHG</vt:lpstr>
      <vt:lpstr>EMLO030300col_WORKERS_COMP</vt:lpstr>
      <vt:lpstr>EMLO030300col_WORKERS_COMP_BY</vt:lpstr>
      <vt:lpstr>EMLO030300col_WORKERS_COMP_CHG</vt:lpstr>
      <vt:lpstr>EMLO034800col_1_27TH_PP</vt:lpstr>
      <vt:lpstr>EMLO034800col_DHR</vt:lpstr>
      <vt:lpstr>EMLO034800col_DHR_BY</vt:lpstr>
      <vt:lpstr>EMLO034800col_DHR_CHG</vt:lpstr>
      <vt:lpstr>EMLO034800col_FTI_SALARY_ELECT</vt:lpstr>
      <vt:lpstr>EMLO034800col_FTI_SALARY_PERM</vt:lpstr>
      <vt:lpstr>EMLO034800col_FTI_SALARY_SSDI</vt:lpstr>
      <vt:lpstr>EMLO034800col_Group_Ben</vt:lpstr>
      <vt:lpstr>EMLO034800col_Group_Salary</vt:lpstr>
      <vt:lpstr>EMLO034800col_HEALTH_ELECT</vt:lpstr>
      <vt:lpstr>EMLO034800col_HEALTH_ELECT_BY</vt:lpstr>
      <vt:lpstr>EMLO034800col_HEALTH_ELECT_CHG</vt:lpstr>
      <vt:lpstr>EMLO034800col_HEALTH_PERM</vt:lpstr>
      <vt:lpstr>EMLO034800col_HEALTH_PERM_BY</vt:lpstr>
      <vt:lpstr>EMLO034800col_HEALTH_PERM_CHG</vt:lpstr>
      <vt:lpstr>EMLO034800col_INC_FTI</vt:lpstr>
      <vt:lpstr>EMLO034800col_LIFE_INS</vt:lpstr>
      <vt:lpstr>EMLO034800col_LIFE_INS_BY</vt:lpstr>
      <vt:lpstr>EMLO034800col_LIFE_INS_CHG</vt:lpstr>
      <vt:lpstr>EMLO034800col_RETIREMENT</vt:lpstr>
      <vt:lpstr>EMLO034800col_RETIREMENT_BY</vt:lpstr>
      <vt:lpstr>EMLO034800col_RETIREMENT_CHG</vt:lpstr>
      <vt:lpstr>EMLO034800col_ROWS_PER_PCN</vt:lpstr>
      <vt:lpstr>EMLO034800col_SICK</vt:lpstr>
      <vt:lpstr>EMLO034800col_SICK_BY</vt:lpstr>
      <vt:lpstr>EMLO034800col_SICK_CHG</vt:lpstr>
      <vt:lpstr>EMLO034800col_SSDI</vt:lpstr>
      <vt:lpstr>EMLO034800col_SSDI_BY</vt:lpstr>
      <vt:lpstr>EMLO034800col_SSDI_CHG</vt:lpstr>
      <vt:lpstr>EMLO034800col_SSHI</vt:lpstr>
      <vt:lpstr>EMLO034800col_SSHI_BY</vt:lpstr>
      <vt:lpstr>EMLO034800col_SSHI_CHGv</vt:lpstr>
      <vt:lpstr>EMLO034800col_TOT_VB_ELECT</vt:lpstr>
      <vt:lpstr>EMLO034800col_TOT_VB_ELECT_BY</vt:lpstr>
      <vt:lpstr>EMLO034800col_TOT_VB_ELECT_CHG</vt:lpstr>
      <vt:lpstr>EMLO034800col_TOT_VB_PERM</vt:lpstr>
      <vt:lpstr>EMLO034800col_TOT_VB_PERM_BY</vt:lpstr>
      <vt:lpstr>EMLO034800col_TOT_VB_PERM_CHG</vt:lpstr>
      <vt:lpstr>EMLO034800col_TOTAL_ELECT_PCN_FTI</vt:lpstr>
      <vt:lpstr>EMLO034800col_TOTAL_ELECT_PCN_FTI_ALT</vt:lpstr>
      <vt:lpstr>EMLO034800col_TOTAL_PERM_PCN_FTI</vt:lpstr>
      <vt:lpstr>EMLO034800col_UNEMP_INS</vt:lpstr>
      <vt:lpstr>EMLO034800col_UNEMP_INS_BY</vt:lpstr>
      <vt:lpstr>EMLO034800col_UNEMP_INS_CHG</vt:lpstr>
      <vt:lpstr>EMLO034800col_WORKERS_COMP</vt:lpstr>
      <vt:lpstr>EMLO034800col_WORKERS_COMP_BY</vt:lpstr>
      <vt:lpstr>EMLO034800col_WORKERS_COMP_CHG</vt:lpstr>
      <vt:lpstr>EMLO034900col_1_27TH_PP</vt:lpstr>
      <vt:lpstr>EMLO034900col_DHR</vt:lpstr>
      <vt:lpstr>EMLO034900col_DHR_BY</vt:lpstr>
      <vt:lpstr>EMLO034900col_DHR_CHG</vt:lpstr>
      <vt:lpstr>EMLO034900col_FTI_SALARY_ELECT</vt:lpstr>
      <vt:lpstr>EMLO034900col_FTI_SALARY_PERM</vt:lpstr>
      <vt:lpstr>EMLO034900col_FTI_SALARY_SSDI</vt:lpstr>
      <vt:lpstr>EMLO034900col_Group_Ben</vt:lpstr>
      <vt:lpstr>EMLO034900col_Group_Salary</vt:lpstr>
      <vt:lpstr>EMLO034900col_HEALTH_ELECT</vt:lpstr>
      <vt:lpstr>EMLO034900col_HEALTH_ELECT_BY</vt:lpstr>
      <vt:lpstr>EMLO034900col_HEALTH_ELECT_CHG</vt:lpstr>
      <vt:lpstr>EMLO034900col_HEALTH_PERM</vt:lpstr>
      <vt:lpstr>EMLO034900col_HEALTH_PERM_BY</vt:lpstr>
      <vt:lpstr>EMLO034900col_HEALTH_PERM_CHG</vt:lpstr>
      <vt:lpstr>EMLO034900col_INC_FTI</vt:lpstr>
      <vt:lpstr>EMLO034900col_LIFE_INS</vt:lpstr>
      <vt:lpstr>EMLO034900col_LIFE_INS_BY</vt:lpstr>
      <vt:lpstr>EMLO034900col_LIFE_INS_CHG</vt:lpstr>
      <vt:lpstr>EMLO034900col_RETIREMENT</vt:lpstr>
      <vt:lpstr>EMLO034900col_RETIREMENT_BY</vt:lpstr>
      <vt:lpstr>EMLO034900col_RETIREMENT_CHG</vt:lpstr>
      <vt:lpstr>EMLO034900col_ROWS_PER_PCN</vt:lpstr>
      <vt:lpstr>EMLO034900col_SICK</vt:lpstr>
      <vt:lpstr>EMLO034900col_SICK_BY</vt:lpstr>
      <vt:lpstr>EMLO034900col_SICK_CHG</vt:lpstr>
      <vt:lpstr>EMLO034900col_SSDI</vt:lpstr>
      <vt:lpstr>EMLO034900col_SSDI_BY</vt:lpstr>
      <vt:lpstr>EMLO034900col_SSDI_CHG</vt:lpstr>
      <vt:lpstr>EMLO034900col_SSHI</vt:lpstr>
      <vt:lpstr>EMLO034900col_SSHI_BY</vt:lpstr>
      <vt:lpstr>EMLO034900col_SSHI_CHGv</vt:lpstr>
      <vt:lpstr>EMLO034900col_TOT_VB_ELECT</vt:lpstr>
      <vt:lpstr>EMLO034900col_TOT_VB_ELECT_BY</vt:lpstr>
      <vt:lpstr>EMLO034900col_TOT_VB_ELECT_CHG</vt:lpstr>
      <vt:lpstr>EMLO034900col_TOT_VB_PERM</vt:lpstr>
      <vt:lpstr>EMLO034900col_TOT_VB_PERM_BY</vt:lpstr>
      <vt:lpstr>EMLO034900col_TOT_VB_PERM_CHG</vt:lpstr>
      <vt:lpstr>EMLO034900col_TOTAL_ELECT_PCN_FTI</vt:lpstr>
      <vt:lpstr>EMLO034900col_TOTAL_ELECT_PCN_FTI_ALT</vt:lpstr>
      <vt:lpstr>EMLO034900col_TOTAL_PERM_PCN_FTI</vt:lpstr>
      <vt:lpstr>EMLO034900col_UNEMP_INS</vt:lpstr>
      <vt:lpstr>EMLO034900col_UNEMP_INS_BY</vt:lpstr>
      <vt:lpstr>EMLO034900col_UNEMP_INS_CHG</vt:lpstr>
      <vt:lpstr>EMLO034900col_WORKERS_COMP</vt:lpstr>
      <vt:lpstr>EMLO034900col_WORKERS_COMP_BY</vt:lpstr>
      <vt:lpstr>EMLO034900col_WORKERS_COMP_CHG</vt:lpstr>
      <vt:lpstr>EMUI000100col_1_27TH_PP</vt:lpstr>
      <vt:lpstr>EMUI000100col_DHR</vt:lpstr>
      <vt:lpstr>EMUI000100col_DHR_BY</vt:lpstr>
      <vt:lpstr>EMUI000100col_DHR_CHG</vt:lpstr>
      <vt:lpstr>EMUI000100col_FTI_SALARY_ELECT</vt:lpstr>
      <vt:lpstr>EMUI000100col_FTI_SALARY_PERM</vt:lpstr>
      <vt:lpstr>EMUI000100col_FTI_SALARY_SSDI</vt:lpstr>
      <vt:lpstr>EMUI000100col_Group_Ben</vt:lpstr>
      <vt:lpstr>EMUI000100col_Group_Salary</vt:lpstr>
      <vt:lpstr>EMUI000100col_HEALTH_ELECT</vt:lpstr>
      <vt:lpstr>EMUI000100col_HEALTH_ELECT_BY</vt:lpstr>
      <vt:lpstr>EMUI000100col_HEALTH_ELECT_CHG</vt:lpstr>
      <vt:lpstr>EMUI000100col_HEALTH_PERM</vt:lpstr>
      <vt:lpstr>EMUI000100col_HEALTH_PERM_BY</vt:lpstr>
      <vt:lpstr>EMUI000100col_HEALTH_PERM_CHG</vt:lpstr>
      <vt:lpstr>EMUI000100col_INC_FTI</vt:lpstr>
      <vt:lpstr>EMUI000100col_LIFE_INS</vt:lpstr>
      <vt:lpstr>EMUI000100col_LIFE_INS_BY</vt:lpstr>
      <vt:lpstr>EMUI000100col_LIFE_INS_CHG</vt:lpstr>
      <vt:lpstr>EMUI000100col_RETIREMENT</vt:lpstr>
      <vt:lpstr>EMUI000100col_RETIREMENT_BY</vt:lpstr>
      <vt:lpstr>EMUI000100col_RETIREMENT_CHG</vt:lpstr>
      <vt:lpstr>EMUI000100col_ROWS_PER_PCN</vt:lpstr>
      <vt:lpstr>EMUI000100col_SICK</vt:lpstr>
      <vt:lpstr>EMUI000100col_SICK_BY</vt:lpstr>
      <vt:lpstr>EMUI000100col_SICK_CHG</vt:lpstr>
      <vt:lpstr>EMUI000100col_SSDI</vt:lpstr>
      <vt:lpstr>EMUI000100col_SSDI_BY</vt:lpstr>
      <vt:lpstr>EMUI000100col_SSDI_CHG</vt:lpstr>
      <vt:lpstr>EMUI000100col_SSHI</vt:lpstr>
      <vt:lpstr>EMUI000100col_SSHI_BY</vt:lpstr>
      <vt:lpstr>EMUI000100col_SSHI_CHGv</vt:lpstr>
      <vt:lpstr>EMUI000100col_TOT_VB_ELECT</vt:lpstr>
      <vt:lpstr>EMUI000100col_TOT_VB_ELECT_BY</vt:lpstr>
      <vt:lpstr>EMUI000100col_TOT_VB_ELECT_CHG</vt:lpstr>
      <vt:lpstr>EMUI000100col_TOT_VB_PERM</vt:lpstr>
      <vt:lpstr>EMUI000100col_TOT_VB_PERM_BY</vt:lpstr>
      <vt:lpstr>EMUI000100col_TOT_VB_PERM_CHG</vt:lpstr>
      <vt:lpstr>EMUI000100col_TOTAL_ELECT_PCN_FTI</vt:lpstr>
      <vt:lpstr>EMUI000100col_TOTAL_ELECT_PCN_FTI_ALT</vt:lpstr>
      <vt:lpstr>EMUI000100col_TOTAL_PERM_PCN_FTI</vt:lpstr>
      <vt:lpstr>EMUI000100col_UNEMP_INS</vt:lpstr>
      <vt:lpstr>EMUI000100col_UNEMP_INS_BY</vt:lpstr>
      <vt:lpstr>EMUI000100col_UNEMP_INS_CHG</vt:lpstr>
      <vt:lpstr>EMUI000100col_WORKERS_COMP</vt:lpstr>
      <vt:lpstr>EMUI000100col_WORKERS_COMP_BY</vt:lpstr>
      <vt:lpstr>EMUI000100col_WORKERS_COMP_CHG</vt:lpstr>
      <vt:lpstr>EMUI030200col_1_27TH_PP</vt:lpstr>
      <vt:lpstr>EMUI030200col_DHR</vt:lpstr>
      <vt:lpstr>EMUI030200col_DHR_BY</vt:lpstr>
      <vt:lpstr>EMUI030200col_DHR_CHG</vt:lpstr>
      <vt:lpstr>EMUI030200col_FTI_SALARY_ELECT</vt:lpstr>
      <vt:lpstr>EMUI030200col_FTI_SALARY_PERM</vt:lpstr>
      <vt:lpstr>EMUI030200col_FTI_SALARY_SSDI</vt:lpstr>
      <vt:lpstr>EMUI030200col_Group_Ben</vt:lpstr>
      <vt:lpstr>EMUI030200col_Group_Salary</vt:lpstr>
      <vt:lpstr>EMUI030200col_HEALTH_ELECT</vt:lpstr>
      <vt:lpstr>EMUI030200col_HEALTH_ELECT_BY</vt:lpstr>
      <vt:lpstr>EMUI030200col_HEALTH_ELECT_CHG</vt:lpstr>
      <vt:lpstr>EMUI030200col_HEALTH_PERM</vt:lpstr>
      <vt:lpstr>EMUI030200col_HEALTH_PERM_BY</vt:lpstr>
      <vt:lpstr>EMUI030200col_HEALTH_PERM_CHG</vt:lpstr>
      <vt:lpstr>EMUI030200col_INC_FTI</vt:lpstr>
      <vt:lpstr>EMUI030200col_LIFE_INS</vt:lpstr>
      <vt:lpstr>EMUI030200col_LIFE_INS_BY</vt:lpstr>
      <vt:lpstr>EMUI030200col_LIFE_INS_CHG</vt:lpstr>
      <vt:lpstr>EMUI030200col_RETIREMENT</vt:lpstr>
      <vt:lpstr>EMUI030200col_RETIREMENT_BY</vt:lpstr>
      <vt:lpstr>EMUI030200col_RETIREMENT_CHG</vt:lpstr>
      <vt:lpstr>EMUI030200col_ROWS_PER_PCN</vt:lpstr>
      <vt:lpstr>EMUI030200col_SICK</vt:lpstr>
      <vt:lpstr>EMUI030200col_SICK_BY</vt:lpstr>
      <vt:lpstr>EMUI030200col_SICK_CHG</vt:lpstr>
      <vt:lpstr>EMUI030200col_SSDI</vt:lpstr>
      <vt:lpstr>EMUI030200col_SSDI_BY</vt:lpstr>
      <vt:lpstr>EMUI030200col_SSDI_CHG</vt:lpstr>
      <vt:lpstr>EMUI030200col_SSHI</vt:lpstr>
      <vt:lpstr>EMUI030200col_SSHI_BY</vt:lpstr>
      <vt:lpstr>EMUI030200col_SSHI_CHGv</vt:lpstr>
      <vt:lpstr>EMUI030200col_TOT_VB_ELECT</vt:lpstr>
      <vt:lpstr>EMUI030200col_TOT_VB_ELECT_BY</vt:lpstr>
      <vt:lpstr>EMUI030200col_TOT_VB_ELECT_CHG</vt:lpstr>
      <vt:lpstr>EMUI030200col_TOT_VB_PERM</vt:lpstr>
      <vt:lpstr>EMUI030200col_TOT_VB_PERM_BY</vt:lpstr>
      <vt:lpstr>EMUI030200col_TOT_VB_PERM_CHG</vt:lpstr>
      <vt:lpstr>EMUI030200col_TOTAL_ELECT_PCN_FTI</vt:lpstr>
      <vt:lpstr>EMUI030200col_TOTAL_ELECT_PCN_FTI_ALT</vt:lpstr>
      <vt:lpstr>EMUI030200col_TOTAL_PERM_PCN_FTI</vt:lpstr>
      <vt:lpstr>EMUI030200col_UNEMP_INS</vt:lpstr>
      <vt:lpstr>EMUI030200col_UNEMP_INS_BY</vt:lpstr>
      <vt:lpstr>EMUI030200col_UNEMP_INS_CHG</vt:lpstr>
      <vt:lpstr>EMUI030200col_WORKERS_COMP</vt:lpstr>
      <vt:lpstr>EMUI030200col_WORKERS_COMP_BY</vt:lpstr>
      <vt:lpstr>EMUI030200col_WORKERS_COMP_CHG</vt:lpstr>
      <vt:lpstr>EMUI034800col_1_27TH_PP</vt:lpstr>
      <vt:lpstr>EMUI034800col_DHR</vt:lpstr>
      <vt:lpstr>EMUI034800col_DHR_BY</vt:lpstr>
      <vt:lpstr>EMUI034800col_DHR_CHG</vt:lpstr>
      <vt:lpstr>EMUI034800col_FTI_SALARY_ELECT</vt:lpstr>
      <vt:lpstr>EMUI034800col_FTI_SALARY_PERM</vt:lpstr>
      <vt:lpstr>EMUI034800col_FTI_SALARY_SSDI</vt:lpstr>
      <vt:lpstr>EMUI034800col_Group_Ben</vt:lpstr>
      <vt:lpstr>EMUI034800col_Group_Salary</vt:lpstr>
      <vt:lpstr>EMUI034800col_HEALTH_ELECT</vt:lpstr>
      <vt:lpstr>EMUI034800col_HEALTH_ELECT_BY</vt:lpstr>
      <vt:lpstr>EMUI034800col_HEALTH_ELECT_CHG</vt:lpstr>
      <vt:lpstr>EMUI034800col_HEALTH_PERM</vt:lpstr>
      <vt:lpstr>EMUI034800col_HEALTH_PERM_BY</vt:lpstr>
      <vt:lpstr>EMUI034800col_HEALTH_PERM_CHG</vt:lpstr>
      <vt:lpstr>EMUI034800col_INC_FTI</vt:lpstr>
      <vt:lpstr>EMUI034800col_LIFE_INS</vt:lpstr>
      <vt:lpstr>EMUI034800col_LIFE_INS_BY</vt:lpstr>
      <vt:lpstr>EMUI034800col_LIFE_INS_CHG</vt:lpstr>
      <vt:lpstr>EMUI034800col_RETIREMENT</vt:lpstr>
      <vt:lpstr>EMUI034800col_RETIREMENT_BY</vt:lpstr>
      <vt:lpstr>EMUI034800col_RETIREMENT_CHG</vt:lpstr>
      <vt:lpstr>EMUI034800col_ROWS_PER_PCN</vt:lpstr>
      <vt:lpstr>EMUI034800col_SICK</vt:lpstr>
      <vt:lpstr>EMUI034800col_SICK_BY</vt:lpstr>
      <vt:lpstr>EMUI034800col_SICK_CHG</vt:lpstr>
      <vt:lpstr>EMUI034800col_SSDI</vt:lpstr>
      <vt:lpstr>EMUI034800col_SSDI_BY</vt:lpstr>
      <vt:lpstr>EMUI034800col_SSDI_CHG</vt:lpstr>
      <vt:lpstr>EMUI034800col_SSHI</vt:lpstr>
      <vt:lpstr>EMUI034800col_SSHI_BY</vt:lpstr>
      <vt:lpstr>EMUI034800col_SSHI_CHGv</vt:lpstr>
      <vt:lpstr>EMUI034800col_TOT_VB_ELECT</vt:lpstr>
      <vt:lpstr>EMUI034800col_TOT_VB_ELECT_BY</vt:lpstr>
      <vt:lpstr>EMUI034800col_TOT_VB_ELECT_CHG</vt:lpstr>
      <vt:lpstr>EMUI034800col_TOT_VB_PERM</vt:lpstr>
      <vt:lpstr>EMUI034800col_TOT_VB_PERM_BY</vt:lpstr>
      <vt:lpstr>EMUI034800col_TOT_VB_PERM_CHG</vt:lpstr>
      <vt:lpstr>EMUI034800col_TOTAL_ELECT_PCN_FTI</vt:lpstr>
      <vt:lpstr>EMUI034800col_TOTAL_ELECT_PCN_FTI_ALT</vt:lpstr>
      <vt:lpstr>EMUI034800col_TOTAL_PERM_PCN_FTI</vt:lpstr>
      <vt:lpstr>EMUI034800col_UNEMP_INS</vt:lpstr>
      <vt:lpstr>EMUI034800col_UNEMP_INS_BY</vt:lpstr>
      <vt:lpstr>EMUI034800col_UNEMP_INS_CHG</vt:lpstr>
      <vt:lpstr>EMUI034800col_WORKERS_COMP</vt:lpstr>
      <vt:lpstr>EMUI034800col_WORKERS_COMP_BY</vt:lpstr>
      <vt:lpstr>EMUI034800col_WORKERS_COMP_CHG</vt:lpstr>
      <vt:lpstr>EMUI034900col_1_27TH_PP</vt:lpstr>
      <vt:lpstr>EMUI034900col_DHR</vt:lpstr>
      <vt:lpstr>EMUI034900col_DHR_BY</vt:lpstr>
      <vt:lpstr>EMUI034900col_DHR_CHG</vt:lpstr>
      <vt:lpstr>EMUI034900col_FTI_SALARY_ELECT</vt:lpstr>
      <vt:lpstr>EMUI034900col_FTI_SALARY_PERM</vt:lpstr>
      <vt:lpstr>EMUI034900col_FTI_SALARY_SSDI</vt:lpstr>
      <vt:lpstr>EMUI034900col_Group_Ben</vt:lpstr>
      <vt:lpstr>EMUI034900col_Group_Salary</vt:lpstr>
      <vt:lpstr>EMUI034900col_HEALTH_ELECT</vt:lpstr>
      <vt:lpstr>EMUI034900col_HEALTH_ELECT_BY</vt:lpstr>
      <vt:lpstr>EMUI034900col_HEALTH_ELECT_CHG</vt:lpstr>
      <vt:lpstr>EMUI034900col_HEALTH_PERM</vt:lpstr>
      <vt:lpstr>EMUI034900col_HEALTH_PERM_BY</vt:lpstr>
      <vt:lpstr>EMUI034900col_HEALTH_PERM_CHG</vt:lpstr>
      <vt:lpstr>EMUI034900col_INC_FTI</vt:lpstr>
      <vt:lpstr>EMUI034900col_LIFE_INS</vt:lpstr>
      <vt:lpstr>EMUI034900col_LIFE_INS_BY</vt:lpstr>
      <vt:lpstr>EMUI034900col_LIFE_INS_CHG</vt:lpstr>
      <vt:lpstr>EMUI034900col_RETIREMENT</vt:lpstr>
      <vt:lpstr>EMUI034900col_RETIREMENT_BY</vt:lpstr>
      <vt:lpstr>EMUI034900col_RETIREMENT_CHG</vt:lpstr>
      <vt:lpstr>EMUI034900col_ROWS_PER_PCN</vt:lpstr>
      <vt:lpstr>EMUI034900col_SICK</vt:lpstr>
      <vt:lpstr>EMUI034900col_SICK_BY</vt:lpstr>
      <vt:lpstr>EMUI034900col_SICK_CHG</vt:lpstr>
      <vt:lpstr>EMUI034900col_SSDI</vt:lpstr>
      <vt:lpstr>EMUI034900col_SSDI_BY</vt:lpstr>
      <vt:lpstr>EMUI034900col_SSDI_CHG</vt:lpstr>
      <vt:lpstr>EMUI034900col_SSHI</vt:lpstr>
      <vt:lpstr>EMUI034900col_SSHI_BY</vt:lpstr>
      <vt:lpstr>EMUI034900col_SSHI_CHGv</vt:lpstr>
      <vt:lpstr>EMUI034900col_TOT_VB_ELECT</vt:lpstr>
      <vt:lpstr>EMUI034900col_TOT_VB_ELECT_BY</vt:lpstr>
      <vt:lpstr>EMUI034900col_TOT_VB_ELECT_CHG</vt:lpstr>
      <vt:lpstr>EMUI034900col_TOT_VB_PERM</vt:lpstr>
      <vt:lpstr>EMUI034900col_TOT_VB_PERM_BY</vt:lpstr>
      <vt:lpstr>EMUI034900col_TOT_VB_PERM_CHG</vt:lpstr>
      <vt:lpstr>EMUI034900col_TOTAL_ELECT_PCN_FTI</vt:lpstr>
      <vt:lpstr>EMUI034900col_TOTAL_ELECT_PCN_FTI_ALT</vt:lpstr>
      <vt:lpstr>EMUI034900col_TOTAL_PERM_PCN_FTI</vt:lpstr>
      <vt:lpstr>EMUI034900col_UNEMP_INS</vt:lpstr>
      <vt:lpstr>EMUI034900col_UNEMP_INS_BY</vt:lpstr>
      <vt:lpstr>EMUI034900col_UNEMP_INS_CHG</vt:lpstr>
      <vt:lpstr>EMUI034900col_WORKERS_COMP</vt:lpstr>
      <vt:lpstr>EMUI034900col_WORKERS_COMP_BY</vt:lpstr>
      <vt:lpstr>EMUI034900col_WORKERS_COMP_CHG</vt:lpstr>
      <vt:lpstr>FillRate_Avg</vt:lpstr>
      <vt:lpstr>'EMAA|0001-00'!FiscalYear</vt:lpstr>
      <vt:lpstr>'EMAA|0302-00'!FiscalYear</vt:lpstr>
      <vt:lpstr>'EMAA|0303-00'!FiscalYear</vt:lpstr>
      <vt:lpstr>'EMAA|0348-00'!FiscalYear</vt:lpstr>
      <vt:lpstr>'EMAA|0349-00'!FiscalYear</vt:lpstr>
      <vt:lpstr>'EMLO|0001-00'!FiscalYear</vt:lpstr>
      <vt:lpstr>'EMLO|0302-00'!FiscalYear</vt:lpstr>
      <vt:lpstr>'EMLO|0303-00'!FiscalYear</vt:lpstr>
      <vt:lpstr>'EMLO|0348-00'!FiscalYear</vt:lpstr>
      <vt:lpstr>'EMLO|0349-00'!FiscalYear</vt:lpstr>
      <vt:lpstr>'EMUI|0001-00'!FiscalYear</vt:lpstr>
      <vt:lpstr>'EMUI|0302-00'!FiscalYear</vt:lpstr>
      <vt:lpstr>'EMUI|0348-00'!FiscalYear</vt:lpstr>
      <vt:lpstr>'EMUI|0349-00'!FiscalYear</vt:lpstr>
      <vt:lpstr>FiscalYear</vt:lpstr>
      <vt:lpstr>'EMAA|0001-00'!FundName</vt:lpstr>
      <vt:lpstr>'EMAA|0302-00'!FundName</vt:lpstr>
      <vt:lpstr>'EMAA|0303-00'!FundName</vt:lpstr>
      <vt:lpstr>'EMAA|0348-00'!FundName</vt:lpstr>
      <vt:lpstr>'EMAA|0349-00'!FundName</vt:lpstr>
      <vt:lpstr>'EMLO|0001-00'!FundName</vt:lpstr>
      <vt:lpstr>'EMLO|0302-00'!FundName</vt:lpstr>
      <vt:lpstr>'EMLO|0303-00'!FundName</vt:lpstr>
      <vt:lpstr>'EMLO|0348-00'!FundName</vt:lpstr>
      <vt:lpstr>'EMLO|0349-00'!FundName</vt:lpstr>
      <vt:lpstr>'EMUI|0001-00'!FundName</vt:lpstr>
      <vt:lpstr>'EMUI|0302-00'!FundName</vt:lpstr>
      <vt:lpstr>'EMUI|0348-00'!FundName</vt:lpstr>
      <vt:lpstr>'EMUI|0349-00'!FundName</vt:lpstr>
      <vt:lpstr>FundName</vt:lpstr>
      <vt:lpstr>'EMAA|0001-00'!FundNum</vt:lpstr>
      <vt:lpstr>'EMAA|0302-00'!FundNum</vt:lpstr>
      <vt:lpstr>'EMAA|0303-00'!FundNum</vt:lpstr>
      <vt:lpstr>'EMAA|0348-00'!FundNum</vt:lpstr>
      <vt:lpstr>'EMAA|0349-00'!FundNum</vt:lpstr>
      <vt:lpstr>'EMLO|0001-00'!FundNum</vt:lpstr>
      <vt:lpstr>'EMLO|0302-00'!FundNum</vt:lpstr>
      <vt:lpstr>'EMLO|0303-00'!FundNum</vt:lpstr>
      <vt:lpstr>'EMLO|0348-00'!FundNum</vt:lpstr>
      <vt:lpstr>'EMLO|0349-00'!FundNum</vt:lpstr>
      <vt:lpstr>'EMUI|0001-00'!FundNum</vt:lpstr>
      <vt:lpstr>'EMUI|0302-00'!FundNum</vt:lpstr>
      <vt:lpstr>'EMUI|0348-00'!FundNum</vt:lpstr>
      <vt:lpstr>'EMUI|0349-00'!FundNum</vt:lpstr>
      <vt:lpstr>FundNum</vt:lpstr>
      <vt:lpstr>'EMAA|0001-00'!FundNumber</vt:lpstr>
      <vt:lpstr>'EMAA|0302-00'!FundNumber</vt:lpstr>
      <vt:lpstr>'EMAA|0303-00'!FundNumber</vt:lpstr>
      <vt:lpstr>'EMAA|0348-00'!FundNumber</vt:lpstr>
      <vt:lpstr>'EMAA|0349-00'!FundNumber</vt:lpstr>
      <vt:lpstr>'EMLO|0001-00'!FundNumber</vt:lpstr>
      <vt:lpstr>'EMLO|0302-00'!FundNumber</vt:lpstr>
      <vt:lpstr>'EMLO|0303-00'!FundNumber</vt:lpstr>
      <vt:lpstr>'EMLO|0348-00'!FundNumber</vt:lpstr>
      <vt:lpstr>'EMLO|0349-00'!FundNumber</vt:lpstr>
      <vt:lpstr>'EMUI|0001-00'!FundNumber</vt:lpstr>
      <vt:lpstr>'EMUI|0302-00'!FundNumber</vt:lpstr>
      <vt:lpstr>'EMUI|0348-00'!FundNumber</vt:lpstr>
      <vt:lpstr>'EMUI|0349-00'!FundNumber</vt:lpstr>
      <vt:lpstr>FundNumber</vt:lpstr>
      <vt:lpstr>FundSummaryEst</vt:lpstr>
      <vt:lpstr>FundSummaryLastColumn</vt:lpstr>
      <vt:lpstr>FundSummaryPermActual</vt:lpstr>
      <vt:lpstr>FundSummaryPermBY</vt:lpstr>
      <vt:lpstr>FundSummaryPermCY</vt:lpstr>
      <vt:lpstr>FundSummaryProj</vt:lpstr>
      <vt:lpstr>FundSummaryStartData</vt:lpstr>
      <vt:lpstr>'EMAA|0001-00'!Group_name</vt:lpstr>
      <vt:lpstr>'EMAA|0302-00'!Group_name</vt:lpstr>
      <vt:lpstr>'EMAA|0303-00'!Group_name</vt:lpstr>
      <vt:lpstr>'EMAA|0348-00'!Group_name</vt:lpstr>
      <vt:lpstr>'EMAA|0349-00'!Group_name</vt:lpstr>
      <vt:lpstr>'EMLO|0001-00'!Group_name</vt:lpstr>
      <vt:lpstr>'EMLO|0302-00'!Group_name</vt:lpstr>
      <vt:lpstr>'EMLO|0303-00'!Group_name</vt:lpstr>
      <vt:lpstr>'EMLO|0348-00'!Group_name</vt:lpstr>
      <vt:lpstr>'EMLO|0349-00'!Group_name</vt:lpstr>
      <vt:lpstr>'EMUI|0001-00'!Group_name</vt:lpstr>
      <vt:lpstr>'EMUI|0302-00'!Group_name</vt:lpstr>
      <vt:lpstr>'EMUI|0348-00'!Group_name</vt:lpstr>
      <vt:lpstr>'EMUI|0349-00'!Group_name</vt:lpstr>
      <vt:lpstr>Group_name</vt:lpstr>
      <vt:lpstr>'EMAA|0001-00'!GroupFxdBen</vt:lpstr>
      <vt:lpstr>'EMAA|0302-00'!GroupFxdBen</vt:lpstr>
      <vt:lpstr>'EMAA|0303-00'!GroupFxdBen</vt:lpstr>
      <vt:lpstr>'EMAA|0348-00'!GroupFxdBen</vt:lpstr>
      <vt:lpstr>'EMAA|0349-00'!GroupFxdBen</vt:lpstr>
      <vt:lpstr>'EMLO|0001-00'!GroupFxdBen</vt:lpstr>
      <vt:lpstr>'EMLO|0302-00'!GroupFxdBen</vt:lpstr>
      <vt:lpstr>'EMLO|0303-00'!GroupFxdBen</vt:lpstr>
      <vt:lpstr>'EMLO|0348-00'!GroupFxdBen</vt:lpstr>
      <vt:lpstr>'EMLO|0349-00'!GroupFxdBen</vt:lpstr>
      <vt:lpstr>'EMUI|0001-00'!GroupFxdBen</vt:lpstr>
      <vt:lpstr>'EMUI|0302-00'!GroupFxdBen</vt:lpstr>
      <vt:lpstr>'EMUI|0348-00'!GroupFxdBen</vt:lpstr>
      <vt:lpstr>'EMUI|0349-00'!GroupFxdBen</vt:lpstr>
      <vt:lpstr>GroupFxdBen</vt:lpstr>
      <vt:lpstr>'EMAA|0001-00'!GroupSalary</vt:lpstr>
      <vt:lpstr>'EMAA|0302-00'!GroupSalary</vt:lpstr>
      <vt:lpstr>'EMAA|0303-00'!GroupSalary</vt:lpstr>
      <vt:lpstr>'EMAA|0348-00'!GroupSalary</vt:lpstr>
      <vt:lpstr>'EMAA|0349-00'!GroupSalary</vt:lpstr>
      <vt:lpstr>'EMLO|0001-00'!GroupSalary</vt:lpstr>
      <vt:lpstr>'EMLO|0302-00'!GroupSalary</vt:lpstr>
      <vt:lpstr>'EMLO|0303-00'!GroupSalary</vt:lpstr>
      <vt:lpstr>'EMLO|0348-00'!GroupSalary</vt:lpstr>
      <vt:lpstr>'EMLO|0349-00'!GroupSalary</vt:lpstr>
      <vt:lpstr>'EMUI|0001-00'!GroupSalary</vt:lpstr>
      <vt:lpstr>'EMUI|0302-00'!GroupSalary</vt:lpstr>
      <vt:lpstr>'EMUI|0348-00'!GroupSalary</vt:lpstr>
      <vt:lpstr>'EMUI|0349-00'!GroupSalary</vt:lpstr>
      <vt:lpstr>GroupSalary</vt:lpstr>
      <vt:lpstr>'EMAA|0001-00'!GroupVarBen</vt:lpstr>
      <vt:lpstr>'EMAA|0302-00'!GroupVarBen</vt:lpstr>
      <vt:lpstr>'EMAA|0303-00'!GroupVarBen</vt:lpstr>
      <vt:lpstr>'EMAA|0348-00'!GroupVarBen</vt:lpstr>
      <vt:lpstr>'EMAA|0349-00'!GroupVarBen</vt:lpstr>
      <vt:lpstr>'EMLO|0001-00'!GroupVarBen</vt:lpstr>
      <vt:lpstr>'EMLO|0302-00'!GroupVarBen</vt:lpstr>
      <vt:lpstr>'EMLO|0303-00'!GroupVarBen</vt:lpstr>
      <vt:lpstr>'EMLO|0348-00'!GroupVarBen</vt:lpstr>
      <vt:lpstr>'EMLO|0349-00'!GroupVarBen</vt:lpstr>
      <vt:lpstr>'EMUI|0001-00'!GroupVarBen</vt:lpstr>
      <vt:lpstr>'EMUI|0302-00'!GroupVarBen</vt:lpstr>
      <vt:lpstr>'EMUI|0348-00'!GroupVarBen</vt:lpstr>
      <vt:lpstr>'EMUI|0349-00'!GroupVarBen</vt:lpstr>
      <vt:lpstr>GroupVarBen</vt:lpstr>
      <vt:lpstr>GroupVB</vt:lpstr>
      <vt:lpstr>GroupVBBY</vt:lpstr>
      <vt:lpstr>GroupVBCHG</vt:lpstr>
      <vt:lpstr>Health</vt:lpstr>
      <vt:lpstr>HealthBY</vt:lpstr>
      <vt:lpstr>HealthCHG</vt:lpstr>
      <vt:lpstr>Life</vt:lpstr>
      <vt:lpstr>LifeBY</vt:lpstr>
      <vt:lpstr>LifeCHG</vt:lpstr>
      <vt:lpstr>'EMAA|0001-00'!LUMAFund</vt:lpstr>
      <vt:lpstr>'EMAA|0302-00'!LUMAFund</vt:lpstr>
      <vt:lpstr>'EMAA|0303-00'!LUMAFund</vt:lpstr>
      <vt:lpstr>'EMAA|0348-00'!LUMAFund</vt:lpstr>
      <vt:lpstr>'EMAA|0349-00'!LUMAFund</vt:lpstr>
      <vt:lpstr>'EMLO|0001-00'!LUMAFund</vt:lpstr>
      <vt:lpstr>'EMLO|0302-00'!LUMAFund</vt:lpstr>
      <vt:lpstr>'EMLO|0303-00'!LUMAFund</vt:lpstr>
      <vt:lpstr>'EMLO|0348-00'!LUMAFund</vt:lpstr>
      <vt:lpstr>'EMLO|0349-00'!LUMAFund</vt:lpstr>
      <vt:lpstr>'EMUI|0001-00'!LUMAFund</vt:lpstr>
      <vt:lpstr>'EMUI|0302-00'!LUMAFund</vt:lpstr>
      <vt:lpstr>'EMUI|0348-00'!LUMAFund</vt:lpstr>
      <vt:lpstr>'EMUI|0349-00'!LUMAFund</vt:lpstr>
      <vt:lpstr>LUMAFund</vt:lpstr>
      <vt:lpstr>MAXSSDI</vt:lpstr>
      <vt:lpstr>MAXSSDIBY</vt:lpstr>
      <vt:lpstr>'EMAA|0001-00'!NEW_AdjGroup</vt:lpstr>
      <vt:lpstr>'EMAA|0302-00'!NEW_AdjGroup</vt:lpstr>
      <vt:lpstr>'EMAA|0303-00'!NEW_AdjGroup</vt:lpstr>
      <vt:lpstr>'EMAA|0348-00'!NEW_AdjGroup</vt:lpstr>
      <vt:lpstr>'EMAA|0349-00'!NEW_AdjGroup</vt:lpstr>
      <vt:lpstr>'EMLO|0001-00'!NEW_AdjGroup</vt:lpstr>
      <vt:lpstr>'EMLO|0302-00'!NEW_AdjGroup</vt:lpstr>
      <vt:lpstr>'EMLO|0303-00'!NEW_AdjGroup</vt:lpstr>
      <vt:lpstr>'EMLO|0348-00'!NEW_AdjGroup</vt:lpstr>
      <vt:lpstr>'EMLO|0349-00'!NEW_AdjGroup</vt:lpstr>
      <vt:lpstr>'EMUI|0001-00'!NEW_AdjGroup</vt:lpstr>
      <vt:lpstr>'EMUI|0302-00'!NEW_AdjGroup</vt:lpstr>
      <vt:lpstr>'EMUI|0348-00'!NEW_AdjGroup</vt:lpstr>
      <vt:lpstr>'EMUI|0349-00'!NEW_AdjGroup</vt:lpstr>
      <vt:lpstr>NEW_AdjGroup</vt:lpstr>
      <vt:lpstr>'EMAA|0001-00'!NEW_AdjGroupSalary</vt:lpstr>
      <vt:lpstr>'EMAA|0302-00'!NEW_AdjGroupSalary</vt:lpstr>
      <vt:lpstr>'EMAA|0303-00'!NEW_AdjGroupSalary</vt:lpstr>
      <vt:lpstr>'EMAA|0348-00'!NEW_AdjGroupSalary</vt:lpstr>
      <vt:lpstr>'EMAA|0349-00'!NEW_AdjGroupSalary</vt:lpstr>
      <vt:lpstr>'EMLO|0001-00'!NEW_AdjGroupSalary</vt:lpstr>
      <vt:lpstr>'EMLO|0302-00'!NEW_AdjGroupSalary</vt:lpstr>
      <vt:lpstr>'EMLO|0303-00'!NEW_AdjGroupSalary</vt:lpstr>
      <vt:lpstr>'EMLO|0348-00'!NEW_AdjGroupSalary</vt:lpstr>
      <vt:lpstr>'EMLO|0349-00'!NEW_AdjGroupSalary</vt:lpstr>
      <vt:lpstr>'EMUI|0001-00'!NEW_AdjGroupSalary</vt:lpstr>
      <vt:lpstr>'EMUI|0302-00'!NEW_AdjGroupSalary</vt:lpstr>
      <vt:lpstr>'EMUI|0348-00'!NEW_AdjGroupSalary</vt:lpstr>
      <vt:lpstr>'EMUI|0349-00'!NEW_AdjGroupSalary</vt:lpstr>
      <vt:lpstr>NEW_AdjGroupSalary</vt:lpstr>
      <vt:lpstr>'EMAA|0001-00'!NEW_AdjGroupVB</vt:lpstr>
      <vt:lpstr>'EMAA|0302-00'!NEW_AdjGroupVB</vt:lpstr>
      <vt:lpstr>'EMAA|0303-00'!NEW_AdjGroupVB</vt:lpstr>
      <vt:lpstr>'EMAA|0348-00'!NEW_AdjGroupVB</vt:lpstr>
      <vt:lpstr>'EMAA|0349-00'!NEW_AdjGroupVB</vt:lpstr>
      <vt:lpstr>'EMLO|0001-00'!NEW_AdjGroupVB</vt:lpstr>
      <vt:lpstr>'EMLO|0302-00'!NEW_AdjGroupVB</vt:lpstr>
      <vt:lpstr>'EMLO|0303-00'!NEW_AdjGroupVB</vt:lpstr>
      <vt:lpstr>'EMLO|0348-00'!NEW_AdjGroupVB</vt:lpstr>
      <vt:lpstr>'EMLO|0349-00'!NEW_AdjGroupVB</vt:lpstr>
      <vt:lpstr>'EMUI|0001-00'!NEW_AdjGroupVB</vt:lpstr>
      <vt:lpstr>'EMUI|0302-00'!NEW_AdjGroupVB</vt:lpstr>
      <vt:lpstr>'EMUI|0348-00'!NEW_AdjGroupVB</vt:lpstr>
      <vt:lpstr>'EMUI|0349-00'!NEW_AdjGroupVB</vt:lpstr>
      <vt:lpstr>NEW_AdjGroupVB</vt:lpstr>
      <vt:lpstr>'EMAA|0001-00'!NEW_AdjONLYGroup</vt:lpstr>
      <vt:lpstr>'EMAA|0302-00'!NEW_AdjONLYGroup</vt:lpstr>
      <vt:lpstr>'EMAA|0303-00'!NEW_AdjONLYGroup</vt:lpstr>
      <vt:lpstr>'EMAA|0348-00'!NEW_AdjONLYGroup</vt:lpstr>
      <vt:lpstr>'EMAA|0349-00'!NEW_AdjONLYGroup</vt:lpstr>
      <vt:lpstr>'EMLO|0001-00'!NEW_AdjONLYGroup</vt:lpstr>
      <vt:lpstr>'EMLO|0302-00'!NEW_AdjONLYGroup</vt:lpstr>
      <vt:lpstr>'EMLO|0303-00'!NEW_AdjONLYGroup</vt:lpstr>
      <vt:lpstr>'EMLO|0348-00'!NEW_AdjONLYGroup</vt:lpstr>
      <vt:lpstr>'EMLO|0349-00'!NEW_AdjONLYGroup</vt:lpstr>
      <vt:lpstr>'EMUI|0001-00'!NEW_AdjONLYGroup</vt:lpstr>
      <vt:lpstr>'EMUI|0302-00'!NEW_AdjONLYGroup</vt:lpstr>
      <vt:lpstr>'EMUI|0348-00'!NEW_AdjONLYGroup</vt:lpstr>
      <vt:lpstr>'EMUI|0349-00'!NEW_AdjONLYGroup</vt:lpstr>
      <vt:lpstr>NEW_AdjONLYGroup</vt:lpstr>
      <vt:lpstr>'EMAA|0001-00'!NEW_AdjONLYGroupSalary</vt:lpstr>
      <vt:lpstr>'EMAA|0302-00'!NEW_AdjONLYGroupSalary</vt:lpstr>
      <vt:lpstr>'EMAA|0303-00'!NEW_AdjONLYGroupSalary</vt:lpstr>
      <vt:lpstr>'EMAA|0348-00'!NEW_AdjONLYGroupSalary</vt:lpstr>
      <vt:lpstr>'EMAA|0349-00'!NEW_AdjONLYGroupSalary</vt:lpstr>
      <vt:lpstr>'EMLO|0001-00'!NEW_AdjONLYGroupSalary</vt:lpstr>
      <vt:lpstr>'EMLO|0302-00'!NEW_AdjONLYGroupSalary</vt:lpstr>
      <vt:lpstr>'EMLO|0303-00'!NEW_AdjONLYGroupSalary</vt:lpstr>
      <vt:lpstr>'EMLO|0348-00'!NEW_AdjONLYGroupSalary</vt:lpstr>
      <vt:lpstr>'EMLO|0349-00'!NEW_AdjONLYGroupSalary</vt:lpstr>
      <vt:lpstr>'EMUI|0001-00'!NEW_AdjONLYGroupSalary</vt:lpstr>
      <vt:lpstr>'EMUI|0302-00'!NEW_AdjONLYGroupSalary</vt:lpstr>
      <vt:lpstr>'EMUI|0348-00'!NEW_AdjONLYGroupSalary</vt:lpstr>
      <vt:lpstr>'EMUI|0349-00'!NEW_AdjONLYGroupSalary</vt:lpstr>
      <vt:lpstr>NEW_AdjONLYGroupSalary</vt:lpstr>
      <vt:lpstr>'EMAA|0001-00'!NEW_AdjONLYGroupVB</vt:lpstr>
      <vt:lpstr>'EMAA|0302-00'!NEW_AdjONLYGroupVB</vt:lpstr>
      <vt:lpstr>'EMAA|0303-00'!NEW_AdjONLYGroupVB</vt:lpstr>
      <vt:lpstr>'EMAA|0348-00'!NEW_AdjONLYGroupVB</vt:lpstr>
      <vt:lpstr>'EMAA|0349-00'!NEW_AdjONLYGroupVB</vt:lpstr>
      <vt:lpstr>'EMLO|0001-00'!NEW_AdjONLYGroupVB</vt:lpstr>
      <vt:lpstr>'EMLO|0302-00'!NEW_AdjONLYGroupVB</vt:lpstr>
      <vt:lpstr>'EMLO|0303-00'!NEW_AdjONLYGroupVB</vt:lpstr>
      <vt:lpstr>'EMLO|0348-00'!NEW_AdjONLYGroupVB</vt:lpstr>
      <vt:lpstr>'EMLO|0349-00'!NEW_AdjONLYGroupVB</vt:lpstr>
      <vt:lpstr>'EMUI|0001-00'!NEW_AdjONLYGroupVB</vt:lpstr>
      <vt:lpstr>'EMUI|0302-00'!NEW_AdjONLYGroupVB</vt:lpstr>
      <vt:lpstr>'EMUI|0348-00'!NEW_AdjONLYGroupVB</vt:lpstr>
      <vt:lpstr>'EMUI|0349-00'!NEW_AdjONLYGroupVB</vt:lpstr>
      <vt:lpstr>NEW_AdjONLYGroupVB</vt:lpstr>
      <vt:lpstr>'EMAA|0001-00'!NEW_AdjONLYPerm</vt:lpstr>
      <vt:lpstr>'EMAA|0302-00'!NEW_AdjONLYPerm</vt:lpstr>
      <vt:lpstr>'EMAA|0303-00'!NEW_AdjONLYPerm</vt:lpstr>
      <vt:lpstr>'EMAA|0348-00'!NEW_AdjONLYPerm</vt:lpstr>
      <vt:lpstr>'EMAA|0349-00'!NEW_AdjONLYPerm</vt:lpstr>
      <vt:lpstr>'EMLO|0001-00'!NEW_AdjONLYPerm</vt:lpstr>
      <vt:lpstr>'EMLO|0302-00'!NEW_AdjONLYPerm</vt:lpstr>
      <vt:lpstr>'EMLO|0303-00'!NEW_AdjONLYPerm</vt:lpstr>
      <vt:lpstr>'EMLO|0348-00'!NEW_AdjONLYPerm</vt:lpstr>
      <vt:lpstr>'EMLO|0349-00'!NEW_AdjONLYPerm</vt:lpstr>
      <vt:lpstr>'EMUI|0001-00'!NEW_AdjONLYPerm</vt:lpstr>
      <vt:lpstr>'EMUI|0302-00'!NEW_AdjONLYPerm</vt:lpstr>
      <vt:lpstr>'EMUI|0348-00'!NEW_AdjONLYPerm</vt:lpstr>
      <vt:lpstr>'EMUI|0349-00'!NEW_AdjONLYPerm</vt:lpstr>
      <vt:lpstr>NEW_AdjONLYPerm</vt:lpstr>
      <vt:lpstr>'EMAA|0001-00'!NEW_AdjONLYPermSalary</vt:lpstr>
      <vt:lpstr>'EMAA|0302-00'!NEW_AdjONLYPermSalary</vt:lpstr>
      <vt:lpstr>'EMAA|0303-00'!NEW_AdjONLYPermSalary</vt:lpstr>
      <vt:lpstr>'EMAA|0348-00'!NEW_AdjONLYPermSalary</vt:lpstr>
      <vt:lpstr>'EMAA|0349-00'!NEW_AdjONLYPermSalary</vt:lpstr>
      <vt:lpstr>'EMLO|0001-00'!NEW_AdjONLYPermSalary</vt:lpstr>
      <vt:lpstr>'EMLO|0302-00'!NEW_AdjONLYPermSalary</vt:lpstr>
      <vt:lpstr>'EMLO|0303-00'!NEW_AdjONLYPermSalary</vt:lpstr>
      <vt:lpstr>'EMLO|0348-00'!NEW_AdjONLYPermSalary</vt:lpstr>
      <vt:lpstr>'EMLO|0349-00'!NEW_AdjONLYPermSalary</vt:lpstr>
      <vt:lpstr>'EMUI|0001-00'!NEW_AdjONLYPermSalary</vt:lpstr>
      <vt:lpstr>'EMUI|0302-00'!NEW_AdjONLYPermSalary</vt:lpstr>
      <vt:lpstr>'EMUI|0348-00'!NEW_AdjONLYPermSalary</vt:lpstr>
      <vt:lpstr>'EMUI|0349-00'!NEW_AdjONLYPermSalary</vt:lpstr>
      <vt:lpstr>NEW_AdjONLYPermSalary</vt:lpstr>
      <vt:lpstr>'EMAA|0001-00'!NEW_AdjONLYPermVB</vt:lpstr>
      <vt:lpstr>'EMAA|0302-00'!NEW_AdjONLYPermVB</vt:lpstr>
      <vt:lpstr>'EMAA|0303-00'!NEW_AdjONLYPermVB</vt:lpstr>
      <vt:lpstr>'EMAA|0348-00'!NEW_AdjONLYPermVB</vt:lpstr>
      <vt:lpstr>'EMAA|0349-00'!NEW_AdjONLYPermVB</vt:lpstr>
      <vt:lpstr>'EMLO|0001-00'!NEW_AdjONLYPermVB</vt:lpstr>
      <vt:lpstr>'EMLO|0302-00'!NEW_AdjONLYPermVB</vt:lpstr>
      <vt:lpstr>'EMLO|0303-00'!NEW_AdjONLYPermVB</vt:lpstr>
      <vt:lpstr>'EMLO|0348-00'!NEW_AdjONLYPermVB</vt:lpstr>
      <vt:lpstr>'EMLO|0349-00'!NEW_AdjONLYPermVB</vt:lpstr>
      <vt:lpstr>'EMUI|0001-00'!NEW_AdjONLYPermVB</vt:lpstr>
      <vt:lpstr>'EMUI|0302-00'!NEW_AdjONLYPermVB</vt:lpstr>
      <vt:lpstr>'EMUI|0348-00'!NEW_AdjONLYPermVB</vt:lpstr>
      <vt:lpstr>'EMUI|0349-00'!NEW_AdjONLYPermVB</vt:lpstr>
      <vt:lpstr>NEW_AdjONLYPermVB</vt:lpstr>
      <vt:lpstr>'EMAA|0001-00'!NEW_AdjPerm</vt:lpstr>
      <vt:lpstr>'EMAA|0302-00'!NEW_AdjPerm</vt:lpstr>
      <vt:lpstr>'EMAA|0303-00'!NEW_AdjPerm</vt:lpstr>
      <vt:lpstr>'EMAA|0348-00'!NEW_AdjPerm</vt:lpstr>
      <vt:lpstr>'EMAA|0349-00'!NEW_AdjPerm</vt:lpstr>
      <vt:lpstr>'EMLO|0001-00'!NEW_AdjPerm</vt:lpstr>
      <vt:lpstr>'EMLO|0302-00'!NEW_AdjPerm</vt:lpstr>
      <vt:lpstr>'EMLO|0303-00'!NEW_AdjPerm</vt:lpstr>
      <vt:lpstr>'EMLO|0348-00'!NEW_AdjPerm</vt:lpstr>
      <vt:lpstr>'EMLO|0349-00'!NEW_AdjPerm</vt:lpstr>
      <vt:lpstr>'EMUI|0001-00'!NEW_AdjPerm</vt:lpstr>
      <vt:lpstr>'EMUI|0302-00'!NEW_AdjPerm</vt:lpstr>
      <vt:lpstr>'EMUI|0348-00'!NEW_AdjPerm</vt:lpstr>
      <vt:lpstr>'EMUI|0349-00'!NEW_AdjPerm</vt:lpstr>
      <vt:lpstr>NEW_AdjPerm</vt:lpstr>
      <vt:lpstr>'EMAA|0001-00'!NEW_AdjPermSalary</vt:lpstr>
      <vt:lpstr>'EMAA|0302-00'!NEW_AdjPermSalary</vt:lpstr>
      <vt:lpstr>'EMAA|0303-00'!NEW_AdjPermSalary</vt:lpstr>
      <vt:lpstr>'EMAA|0348-00'!NEW_AdjPermSalary</vt:lpstr>
      <vt:lpstr>'EMAA|0349-00'!NEW_AdjPermSalary</vt:lpstr>
      <vt:lpstr>'EMLO|0001-00'!NEW_AdjPermSalary</vt:lpstr>
      <vt:lpstr>'EMLO|0302-00'!NEW_AdjPermSalary</vt:lpstr>
      <vt:lpstr>'EMLO|0303-00'!NEW_AdjPermSalary</vt:lpstr>
      <vt:lpstr>'EMLO|0348-00'!NEW_AdjPermSalary</vt:lpstr>
      <vt:lpstr>'EMLO|0349-00'!NEW_AdjPermSalary</vt:lpstr>
      <vt:lpstr>'EMUI|0001-00'!NEW_AdjPermSalary</vt:lpstr>
      <vt:lpstr>'EMUI|0302-00'!NEW_AdjPermSalary</vt:lpstr>
      <vt:lpstr>'EMUI|0348-00'!NEW_AdjPermSalary</vt:lpstr>
      <vt:lpstr>'EMUI|0349-00'!NEW_AdjPermSalary</vt:lpstr>
      <vt:lpstr>NEW_AdjPermSalary</vt:lpstr>
      <vt:lpstr>'EMAA|0001-00'!NEW_AdjPermVB</vt:lpstr>
      <vt:lpstr>'EMAA|0302-00'!NEW_AdjPermVB</vt:lpstr>
      <vt:lpstr>'EMAA|0303-00'!NEW_AdjPermVB</vt:lpstr>
      <vt:lpstr>'EMAA|0348-00'!NEW_AdjPermVB</vt:lpstr>
      <vt:lpstr>'EMAA|0349-00'!NEW_AdjPermVB</vt:lpstr>
      <vt:lpstr>'EMLO|0001-00'!NEW_AdjPermVB</vt:lpstr>
      <vt:lpstr>'EMLO|0302-00'!NEW_AdjPermVB</vt:lpstr>
      <vt:lpstr>'EMLO|0303-00'!NEW_AdjPermVB</vt:lpstr>
      <vt:lpstr>'EMLO|0348-00'!NEW_AdjPermVB</vt:lpstr>
      <vt:lpstr>'EMLO|0349-00'!NEW_AdjPermVB</vt:lpstr>
      <vt:lpstr>'EMUI|0001-00'!NEW_AdjPermVB</vt:lpstr>
      <vt:lpstr>'EMUI|0302-00'!NEW_AdjPermVB</vt:lpstr>
      <vt:lpstr>'EMUI|0348-00'!NEW_AdjPermVB</vt:lpstr>
      <vt:lpstr>'EMUI|0349-00'!NEW_AdjPermVB</vt:lpstr>
      <vt:lpstr>NEW_AdjPermVB</vt:lpstr>
      <vt:lpstr>'EMAA|0001-00'!NEW_GroupFilled</vt:lpstr>
      <vt:lpstr>'EMAA|0302-00'!NEW_GroupFilled</vt:lpstr>
      <vt:lpstr>'EMAA|0303-00'!NEW_GroupFilled</vt:lpstr>
      <vt:lpstr>'EMAA|0348-00'!NEW_GroupFilled</vt:lpstr>
      <vt:lpstr>'EMAA|0349-00'!NEW_GroupFilled</vt:lpstr>
      <vt:lpstr>'EMLO|0001-00'!NEW_GroupFilled</vt:lpstr>
      <vt:lpstr>'EMLO|0302-00'!NEW_GroupFilled</vt:lpstr>
      <vt:lpstr>'EMLO|0303-00'!NEW_GroupFilled</vt:lpstr>
      <vt:lpstr>'EMLO|0348-00'!NEW_GroupFilled</vt:lpstr>
      <vt:lpstr>'EMLO|0349-00'!NEW_GroupFilled</vt:lpstr>
      <vt:lpstr>'EMUI|0001-00'!NEW_GroupFilled</vt:lpstr>
      <vt:lpstr>'EMUI|0302-00'!NEW_GroupFilled</vt:lpstr>
      <vt:lpstr>'EMUI|0348-00'!NEW_GroupFilled</vt:lpstr>
      <vt:lpstr>'EMUI|0349-00'!NEW_GroupFilled</vt:lpstr>
      <vt:lpstr>NEW_GroupFilled</vt:lpstr>
      <vt:lpstr>'EMAA|0001-00'!NEW_GroupSalaryFilled</vt:lpstr>
      <vt:lpstr>'EMAA|0302-00'!NEW_GroupSalaryFilled</vt:lpstr>
      <vt:lpstr>'EMAA|0303-00'!NEW_GroupSalaryFilled</vt:lpstr>
      <vt:lpstr>'EMAA|0348-00'!NEW_GroupSalaryFilled</vt:lpstr>
      <vt:lpstr>'EMAA|0349-00'!NEW_GroupSalaryFilled</vt:lpstr>
      <vt:lpstr>'EMLO|0001-00'!NEW_GroupSalaryFilled</vt:lpstr>
      <vt:lpstr>'EMLO|0302-00'!NEW_GroupSalaryFilled</vt:lpstr>
      <vt:lpstr>'EMLO|0303-00'!NEW_GroupSalaryFilled</vt:lpstr>
      <vt:lpstr>'EMLO|0348-00'!NEW_GroupSalaryFilled</vt:lpstr>
      <vt:lpstr>'EMLO|0349-00'!NEW_GroupSalaryFilled</vt:lpstr>
      <vt:lpstr>'EMUI|0001-00'!NEW_GroupSalaryFilled</vt:lpstr>
      <vt:lpstr>'EMUI|0302-00'!NEW_GroupSalaryFilled</vt:lpstr>
      <vt:lpstr>'EMUI|0348-00'!NEW_GroupSalaryFilled</vt:lpstr>
      <vt:lpstr>'EMUI|0349-00'!NEW_GroupSalaryFilled</vt:lpstr>
      <vt:lpstr>NEW_GroupSalaryFilled</vt:lpstr>
      <vt:lpstr>'EMAA|0001-00'!NEW_GroupVBFilled</vt:lpstr>
      <vt:lpstr>'EMAA|0302-00'!NEW_GroupVBFilled</vt:lpstr>
      <vt:lpstr>'EMAA|0303-00'!NEW_GroupVBFilled</vt:lpstr>
      <vt:lpstr>'EMAA|0348-00'!NEW_GroupVBFilled</vt:lpstr>
      <vt:lpstr>'EMAA|0349-00'!NEW_GroupVBFilled</vt:lpstr>
      <vt:lpstr>'EMLO|0001-00'!NEW_GroupVBFilled</vt:lpstr>
      <vt:lpstr>'EMLO|0302-00'!NEW_GroupVBFilled</vt:lpstr>
      <vt:lpstr>'EMLO|0303-00'!NEW_GroupVBFilled</vt:lpstr>
      <vt:lpstr>'EMLO|0348-00'!NEW_GroupVBFilled</vt:lpstr>
      <vt:lpstr>'EMLO|0349-00'!NEW_GroupVBFilled</vt:lpstr>
      <vt:lpstr>'EMUI|0001-00'!NEW_GroupVBFilled</vt:lpstr>
      <vt:lpstr>'EMUI|0302-00'!NEW_GroupVBFilled</vt:lpstr>
      <vt:lpstr>'EMUI|0348-00'!NEW_GroupVBFilled</vt:lpstr>
      <vt:lpstr>'EMUI|0349-00'!NEW_GroupVBFilled</vt:lpstr>
      <vt:lpstr>NEW_GroupVBFilled</vt:lpstr>
      <vt:lpstr>'EMAA|0001-00'!NEW_PermFilled</vt:lpstr>
      <vt:lpstr>'EMAA|0302-00'!NEW_PermFilled</vt:lpstr>
      <vt:lpstr>'EMAA|0303-00'!NEW_PermFilled</vt:lpstr>
      <vt:lpstr>'EMAA|0348-00'!NEW_PermFilled</vt:lpstr>
      <vt:lpstr>'EMAA|0349-00'!NEW_PermFilled</vt:lpstr>
      <vt:lpstr>'EMLO|0001-00'!NEW_PermFilled</vt:lpstr>
      <vt:lpstr>'EMLO|0302-00'!NEW_PermFilled</vt:lpstr>
      <vt:lpstr>'EMLO|0303-00'!NEW_PermFilled</vt:lpstr>
      <vt:lpstr>'EMLO|0348-00'!NEW_PermFilled</vt:lpstr>
      <vt:lpstr>'EMLO|0349-00'!NEW_PermFilled</vt:lpstr>
      <vt:lpstr>'EMUI|0001-00'!NEW_PermFilled</vt:lpstr>
      <vt:lpstr>'EMUI|0302-00'!NEW_PermFilled</vt:lpstr>
      <vt:lpstr>'EMUI|0348-00'!NEW_PermFilled</vt:lpstr>
      <vt:lpstr>'EMUI|0349-00'!NEW_PermFilled</vt:lpstr>
      <vt:lpstr>NEW_PermFilled</vt:lpstr>
      <vt:lpstr>'EMAA|0001-00'!NEW_PermSalaryFilled</vt:lpstr>
      <vt:lpstr>'EMAA|0302-00'!NEW_PermSalaryFilled</vt:lpstr>
      <vt:lpstr>'EMAA|0303-00'!NEW_PermSalaryFilled</vt:lpstr>
      <vt:lpstr>'EMAA|0348-00'!NEW_PermSalaryFilled</vt:lpstr>
      <vt:lpstr>'EMAA|0349-00'!NEW_PermSalaryFilled</vt:lpstr>
      <vt:lpstr>'EMLO|0001-00'!NEW_PermSalaryFilled</vt:lpstr>
      <vt:lpstr>'EMLO|0302-00'!NEW_PermSalaryFilled</vt:lpstr>
      <vt:lpstr>'EMLO|0303-00'!NEW_PermSalaryFilled</vt:lpstr>
      <vt:lpstr>'EMLO|0348-00'!NEW_PermSalaryFilled</vt:lpstr>
      <vt:lpstr>'EMLO|0349-00'!NEW_PermSalaryFilled</vt:lpstr>
      <vt:lpstr>'EMUI|0001-00'!NEW_PermSalaryFilled</vt:lpstr>
      <vt:lpstr>'EMUI|0302-00'!NEW_PermSalaryFilled</vt:lpstr>
      <vt:lpstr>'EMUI|0348-00'!NEW_PermSalaryFilled</vt:lpstr>
      <vt:lpstr>'EMUI|0349-00'!NEW_PermSalaryFilled</vt:lpstr>
      <vt:lpstr>NEW_PermSalaryFilled</vt:lpstr>
      <vt:lpstr>'EMAA|0001-00'!NEW_PermVBFilled</vt:lpstr>
      <vt:lpstr>'EMAA|0302-00'!NEW_PermVBFilled</vt:lpstr>
      <vt:lpstr>'EMAA|0303-00'!NEW_PermVBFilled</vt:lpstr>
      <vt:lpstr>'EMAA|0348-00'!NEW_PermVBFilled</vt:lpstr>
      <vt:lpstr>'EMAA|0349-00'!NEW_PermVBFilled</vt:lpstr>
      <vt:lpstr>'EMLO|0001-00'!NEW_PermVBFilled</vt:lpstr>
      <vt:lpstr>'EMLO|0302-00'!NEW_PermVBFilled</vt:lpstr>
      <vt:lpstr>'EMLO|0303-00'!NEW_PermVBFilled</vt:lpstr>
      <vt:lpstr>'EMLO|0348-00'!NEW_PermVBFilled</vt:lpstr>
      <vt:lpstr>'EMLO|0349-00'!NEW_PermVBFilled</vt:lpstr>
      <vt:lpstr>'EMUI|0001-00'!NEW_PermVBFilled</vt:lpstr>
      <vt:lpstr>'EMUI|0302-00'!NEW_PermVBFilled</vt:lpstr>
      <vt:lpstr>'EMUI|0348-00'!NEW_PermVBFilled</vt:lpstr>
      <vt:lpstr>'EMUI|0349-00'!NEW_PermVBFilled</vt:lpstr>
      <vt:lpstr>NEW_PermVBFilled</vt:lpstr>
      <vt:lpstr>'EMAA|0001-00'!OneTimePC_Total</vt:lpstr>
      <vt:lpstr>'EMAA|0302-00'!OneTimePC_Total</vt:lpstr>
      <vt:lpstr>'EMAA|0303-00'!OneTimePC_Total</vt:lpstr>
      <vt:lpstr>'EMAA|0348-00'!OneTimePC_Total</vt:lpstr>
      <vt:lpstr>'EMAA|0349-00'!OneTimePC_Total</vt:lpstr>
      <vt:lpstr>'EMLO|0001-00'!OneTimePC_Total</vt:lpstr>
      <vt:lpstr>'EMLO|0302-00'!OneTimePC_Total</vt:lpstr>
      <vt:lpstr>'EMLO|0303-00'!OneTimePC_Total</vt:lpstr>
      <vt:lpstr>'EMLO|0348-00'!OneTimePC_Total</vt:lpstr>
      <vt:lpstr>'EMLO|0349-00'!OneTimePC_Total</vt:lpstr>
      <vt:lpstr>'EMUI|0001-00'!OneTimePC_Total</vt:lpstr>
      <vt:lpstr>'EMUI|0302-00'!OneTimePC_Total</vt:lpstr>
      <vt:lpstr>'EMUI|0348-00'!OneTimePC_Total</vt:lpstr>
      <vt:lpstr>'EMUI|0349-00'!OneTimePC_Total</vt:lpstr>
      <vt:lpstr>OneTimePC_Total</vt:lpstr>
      <vt:lpstr>'EMAA|0001-00'!OrigApprop</vt:lpstr>
      <vt:lpstr>'EMAA|0302-00'!OrigApprop</vt:lpstr>
      <vt:lpstr>'EMAA|0303-00'!OrigApprop</vt:lpstr>
      <vt:lpstr>'EMAA|0348-00'!OrigApprop</vt:lpstr>
      <vt:lpstr>'EMAA|0349-00'!OrigApprop</vt:lpstr>
      <vt:lpstr>'EMLO|0001-00'!OrigApprop</vt:lpstr>
      <vt:lpstr>'EMLO|0302-00'!OrigApprop</vt:lpstr>
      <vt:lpstr>'EMLO|0303-00'!OrigApprop</vt:lpstr>
      <vt:lpstr>'EMLO|0348-00'!OrigApprop</vt:lpstr>
      <vt:lpstr>'EMLO|0349-00'!OrigApprop</vt:lpstr>
      <vt:lpstr>'EMUI|0001-00'!OrigApprop</vt:lpstr>
      <vt:lpstr>'EMUI|0302-00'!OrigApprop</vt:lpstr>
      <vt:lpstr>'EMUI|0348-00'!OrigApprop</vt:lpstr>
      <vt:lpstr>'EMUI|0349-00'!OrigApprop</vt:lpstr>
      <vt:lpstr>OrigApprop</vt:lpstr>
      <vt:lpstr>'EMAA|0001-00'!perm_name</vt:lpstr>
      <vt:lpstr>'EMAA|0302-00'!perm_name</vt:lpstr>
      <vt:lpstr>'EMAA|0303-00'!perm_name</vt:lpstr>
      <vt:lpstr>'EMAA|0348-00'!perm_name</vt:lpstr>
      <vt:lpstr>'EMAA|0349-00'!perm_name</vt:lpstr>
      <vt:lpstr>'EMLO|0001-00'!perm_name</vt:lpstr>
      <vt:lpstr>'EMLO|0302-00'!perm_name</vt:lpstr>
      <vt:lpstr>'EMLO|0303-00'!perm_name</vt:lpstr>
      <vt:lpstr>'EMLO|0348-00'!perm_name</vt:lpstr>
      <vt:lpstr>'EMLO|0349-00'!perm_name</vt:lpstr>
      <vt:lpstr>'EMUI|0001-00'!perm_name</vt:lpstr>
      <vt:lpstr>'EMUI|0302-00'!perm_name</vt:lpstr>
      <vt:lpstr>'EMUI|0348-00'!perm_name</vt:lpstr>
      <vt:lpstr>'EMUI|0349-00'!perm_name</vt:lpstr>
      <vt:lpstr>perm_name</vt:lpstr>
      <vt:lpstr>'EMAA|0001-00'!PermFTP</vt:lpstr>
      <vt:lpstr>'EMAA|0302-00'!PermFTP</vt:lpstr>
      <vt:lpstr>'EMAA|0303-00'!PermFTP</vt:lpstr>
      <vt:lpstr>'EMAA|0348-00'!PermFTP</vt:lpstr>
      <vt:lpstr>'EMAA|0349-00'!PermFTP</vt:lpstr>
      <vt:lpstr>'EMLO|0001-00'!PermFTP</vt:lpstr>
      <vt:lpstr>'EMLO|0302-00'!PermFTP</vt:lpstr>
      <vt:lpstr>'EMLO|0303-00'!PermFTP</vt:lpstr>
      <vt:lpstr>'EMLO|0348-00'!PermFTP</vt:lpstr>
      <vt:lpstr>'EMLO|0349-00'!PermFTP</vt:lpstr>
      <vt:lpstr>'EMUI|0001-00'!PermFTP</vt:lpstr>
      <vt:lpstr>'EMUI|0302-00'!PermFTP</vt:lpstr>
      <vt:lpstr>'EMUI|0348-00'!PermFTP</vt:lpstr>
      <vt:lpstr>'EMUI|0349-00'!PermFTP</vt:lpstr>
      <vt:lpstr>PermFTP</vt:lpstr>
      <vt:lpstr>'EMAA|0001-00'!PermFxdBen</vt:lpstr>
      <vt:lpstr>'EMAA|0302-00'!PermFxdBen</vt:lpstr>
      <vt:lpstr>'EMAA|0303-00'!PermFxdBen</vt:lpstr>
      <vt:lpstr>'EMAA|0348-00'!PermFxdBen</vt:lpstr>
      <vt:lpstr>'EMAA|0349-00'!PermFxdBen</vt:lpstr>
      <vt:lpstr>'EMLO|0001-00'!PermFxdBen</vt:lpstr>
      <vt:lpstr>'EMLO|0302-00'!PermFxdBen</vt:lpstr>
      <vt:lpstr>'EMLO|0303-00'!PermFxdBen</vt:lpstr>
      <vt:lpstr>'EMLO|0348-00'!PermFxdBen</vt:lpstr>
      <vt:lpstr>'EMLO|0349-00'!PermFxdBen</vt:lpstr>
      <vt:lpstr>'EMUI|0001-00'!PermFxdBen</vt:lpstr>
      <vt:lpstr>'EMUI|0302-00'!PermFxdBen</vt:lpstr>
      <vt:lpstr>'EMUI|0348-00'!PermFxdBen</vt:lpstr>
      <vt:lpstr>'EMUI|0349-00'!PermFxdBen</vt:lpstr>
      <vt:lpstr>PermFxdBen</vt:lpstr>
      <vt:lpstr>'EMAA|0001-00'!PermFxdBenChg</vt:lpstr>
      <vt:lpstr>'EMAA|0302-00'!PermFxdBenChg</vt:lpstr>
      <vt:lpstr>'EMAA|0303-00'!PermFxdBenChg</vt:lpstr>
      <vt:lpstr>'EMAA|0348-00'!PermFxdBenChg</vt:lpstr>
      <vt:lpstr>'EMAA|0349-00'!PermFxdBenChg</vt:lpstr>
      <vt:lpstr>'EMLO|0001-00'!PermFxdBenChg</vt:lpstr>
      <vt:lpstr>'EMLO|0302-00'!PermFxdBenChg</vt:lpstr>
      <vt:lpstr>'EMLO|0303-00'!PermFxdBenChg</vt:lpstr>
      <vt:lpstr>'EMLO|0348-00'!PermFxdBenChg</vt:lpstr>
      <vt:lpstr>'EMLO|0349-00'!PermFxdBenChg</vt:lpstr>
      <vt:lpstr>'EMUI|0001-00'!PermFxdBenChg</vt:lpstr>
      <vt:lpstr>'EMUI|0302-00'!PermFxdBenChg</vt:lpstr>
      <vt:lpstr>'EMUI|0348-00'!PermFxdBenChg</vt:lpstr>
      <vt:lpstr>'EMUI|0349-00'!PermFxdBenChg</vt:lpstr>
      <vt:lpstr>PermFxdBenChg</vt:lpstr>
      <vt:lpstr>'EMAA|0001-00'!PermFxdChg</vt:lpstr>
      <vt:lpstr>'EMAA|0302-00'!PermFxdChg</vt:lpstr>
      <vt:lpstr>'EMAA|0303-00'!PermFxdChg</vt:lpstr>
      <vt:lpstr>'EMAA|0348-00'!PermFxdChg</vt:lpstr>
      <vt:lpstr>'EMAA|0349-00'!PermFxdChg</vt:lpstr>
      <vt:lpstr>'EMLO|0001-00'!PermFxdChg</vt:lpstr>
      <vt:lpstr>'EMLO|0302-00'!PermFxdChg</vt:lpstr>
      <vt:lpstr>'EMLO|0303-00'!PermFxdChg</vt:lpstr>
      <vt:lpstr>'EMLO|0348-00'!PermFxdChg</vt:lpstr>
      <vt:lpstr>'EMLO|0349-00'!PermFxdChg</vt:lpstr>
      <vt:lpstr>'EMUI|0001-00'!PermFxdChg</vt:lpstr>
      <vt:lpstr>'EMUI|0302-00'!PermFxdChg</vt:lpstr>
      <vt:lpstr>'EMUI|0348-00'!PermFxdChg</vt:lpstr>
      <vt:lpstr>'EMUI|0349-00'!PermFxdChg</vt:lpstr>
      <vt:lpstr>PermFxdChg</vt:lpstr>
      <vt:lpstr>'EMAA|0001-00'!PermSalary</vt:lpstr>
      <vt:lpstr>'EMAA|0302-00'!PermSalary</vt:lpstr>
      <vt:lpstr>'EMAA|0303-00'!PermSalary</vt:lpstr>
      <vt:lpstr>'EMAA|0348-00'!PermSalary</vt:lpstr>
      <vt:lpstr>'EMAA|0349-00'!PermSalary</vt:lpstr>
      <vt:lpstr>'EMLO|0001-00'!PermSalary</vt:lpstr>
      <vt:lpstr>'EMLO|0302-00'!PermSalary</vt:lpstr>
      <vt:lpstr>'EMLO|0303-00'!PermSalary</vt:lpstr>
      <vt:lpstr>'EMLO|0348-00'!PermSalary</vt:lpstr>
      <vt:lpstr>'EMLO|0349-00'!PermSalary</vt:lpstr>
      <vt:lpstr>'EMUI|0001-00'!PermSalary</vt:lpstr>
      <vt:lpstr>'EMUI|0302-00'!PermSalary</vt:lpstr>
      <vt:lpstr>'EMUI|0348-00'!PermSalary</vt:lpstr>
      <vt:lpstr>'EMUI|0349-00'!PermSalary</vt:lpstr>
      <vt:lpstr>PermSalary</vt:lpstr>
      <vt:lpstr>'EMAA|0001-00'!PermVarBen</vt:lpstr>
      <vt:lpstr>'EMAA|0302-00'!PermVarBen</vt:lpstr>
      <vt:lpstr>'EMAA|0303-00'!PermVarBen</vt:lpstr>
      <vt:lpstr>'EMAA|0348-00'!PermVarBen</vt:lpstr>
      <vt:lpstr>'EMAA|0349-00'!PermVarBen</vt:lpstr>
      <vt:lpstr>'EMLO|0001-00'!PermVarBen</vt:lpstr>
      <vt:lpstr>'EMLO|0302-00'!PermVarBen</vt:lpstr>
      <vt:lpstr>'EMLO|0303-00'!PermVarBen</vt:lpstr>
      <vt:lpstr>'EMLO|0348-00'!PermVarBen</vt:lpstr>
      <vt:lpstr>'EMLO|0349-00'!PermVarBen</vt:lpstr>
      <vt:lpstr>'EMUI|0001-00'!PermVarBen</vt:lpstr>
      <vt:lpstr>'EMUI|0302-00'!PermVarBen</vt:lpstr>
      <vt:lpstr>'EMUI|0348-00'!PermVarBen</vt:lpstr>
      <vt:lpstr>'EMUI|0349-00'!PermVarBen</vt:lpstr>
      <vt:lpstr>PermVarBen</vt:lpstr>
      <vt:lpstr>'EMAA|0001-00'!PermVarBenChg</vt:lpstr>
      <vt:lpstr>'EMAA|0302-00'!PermVarBenChg</vt:lpstr>
      <vt:lpstr>'EMAA|0303-00'!PermVarBenChg</vt:lpstr>
      <vt:lpstr>'EMAA|0348-00'!PermVarBenChg</vt:lpstr>
      <vt:lpstr>'EMAA|0349-00'!PermVarBenChg</vt:lpstr>
      <vt:lpstr>'EMLO|0001-00'!PermVarBenChg</vt:lpstr>
      <vt:lpstr>'EMLO|0302-00'!PermVarBenChg</vt:lpstr>
      <vt:lpstr>'EMLO|0303-00'!PermVarBenChg</vt:lpstr>
      <vt:lpstr>'EMLO|0348-00'!PermVarBenChg</vt:lpstr>
      <vt:lpstr>'EMLO|0349-00'!PermVarBenChg</vt:lpstr>
      <vt:lpstr>'EMUI|0001-00'!PermVarBenChg</vt:lpstr>
      <vt:lpstr>'EMUI|0302-00'!PermVarBenChg</vt:lpstr>
      <vt:lpstr>'EMUI|0348-00'!PermVarBenChg</vt:lpstr>
      <vt:lpstr>'EMUI|0349-00'!PermVarBenChg</vt:lpstr>
      <vt:lpstr>PermVarBenChg</vt:lpstr>
      <vt:lpstr>PermVB</vt:lpstr>
      <vt:lpstr>PermVBBY</vt:lpstr>
      <vt:lpstr>PermVBCHG</vt:lpstr>
      <vt:lpstr>'B6'!Print_Area</vt:lpstr>
      <vt:lpstr>Benefits!Print_Area</vt:lpstr>
      <vt:lpstr>'EMAA|0001-00'!Print_Area</vt:lpstr>
      <vt:lpstr>'EMAA|0302-00'!Print_Area</vt:lpstr>
      <vt:lpstr>'EMAA|0303-00'!Print_Area</vt:lpstr>
      <vt:lpstr>'EMAA|0348-00'!Print_Area</vt:lpstr>
      <vt:lpstr>'EMAA|0349-00'!Print_Area</vt:lpstr>
      <vt:lpstr>'EMLO|0001-00'!Print_Area</vt:lpstr>
      <vt:lpstr>'EMLO|0302-00'!Print_Area</vt:lpstr>
      <vt:lpstr>'EMLO|0303-00'!Print_Area</vt:lpstr>
      <vt:lpstr>'EMLO|0348-00'!Print_Area</vt:lpstr>
      <vt:lpstr>'EMLO|0349-00'!Print_Area</vt:lpstr>
      <vt:lpstr>'EMUI|0001-00'!Print_Area</vt:lpstr>
      <vt:lpstr>'EMUI|0302-00'!Print_Area</vt:lpstr>
      <vt:lpstr>'EMUI|0348-00'!Print_Area</vt:lpstr>
      <vt:lpstr>'EMUI|0349-00'!Print_Area</vt:lpstr>
      <vt:lpstr>'EMAA|0001-00'!Prog_Unadjusted_Total</vt:lpstr>
      <vt:lpstr>'EMAA|0302-00'!Prog_Unadjusted_Total</vt:lpstr>
      <vt:lpstr>'EMAA|0303-00'!Prog_Unadjusted_Total</vt:lpstr>
      <vt:lpstr>'EMAA|0348-00'!Prog_Unadjusted_Total</vt:lpstr>
      <vt:lpstr>'EMAA|0349-00'!Prog_Unadjusted_Total</vt:lpstr>
      <vt:lpstr>'EMLO|0001-00'!Prog_Unadjusted_Total</vt:lpstr>
      <vt:lpstr>'EMLO|0302-00'!Prog_Unadjusted_Total</vt:lpstr>
      <vt:lpstr>'EMLO|0303-00'!Prog_Unadjusted_Total</vt:lpstr>
      <vt:lpstr>'EMLO|0348-00'!Prog_Unadjusted_Total</vt:lpstr>
      <vt:lpstr>'EMLO|0349-00'!Prog_Unadjusted_Total</vt:lpstr>
      <vt:lpstr>'EMUI|0001-00'!Prog_Unadjusted_Total</vt:lpstr>
      <vt:lpstr>'EMUI|0302-00'!Prog_Unadjusted_Total</vt:lpstr>
      <vt:lpstr>'EMUI|0348-00'!Prog_Unadjusted_Total</vt:lpstr>
      <vt:lpstr>'EMUI|0349-00'!Prog_Unadjusted_Total</vt:lpstr>
      <vt:lpstr>Prog_Unadjusted_Total</vt:lpstr>
      <vt:lpstr>'EMAA|0001-00'!Program</vt:lpstr>
      <vt:lpstr>'EMAA|0302-00'!Program</vt:lpstr>
      <vt:lpstr>'EMAA|0303-00'!Program</vt:lpstr>
      <vt:lpstr>'EMAA|0348-00'!Program</vt:lpstr>
      <vt:lpstr>'EMAA|0349-00'!Program</vt:lpstr>
      <vt:lpstr>'EMLO|0001-00'!Program</vt:lpstr>
      <vt:lpstr>'EMLO|0302-00'!Program</vt:lpstr>
      <vt:lpstr>'EMLO|0303-00'!Program</vt:lpstr>
      <vt:lpstr>'EMLO|0348-00'!Program</vt:lpstr>
      <vt:lpstr>'EMLO|0349-00'!Program</vt:lpstr>
      <vt:lpstr>'EMUI|0001-00'!Program</vt:lpstr>
      <vt:lpstr>'EMUI|0302-00'!Program</vt:lpstr>
      <vt:lpstr>'EMUI|0348-00'!Program</vt:lpstr>
      <vt:lpstr>'EMUI|0349-00'!Program</vt:lpstr>
      <vt:lpstr>Program</vt:lpstr>
      <vt:lpstr>PTHealth</vt:lpstr>
      <vt:lpstr>PTHealthBY</vt:lpstr>
      <vt:lpstr>PTHealthChg</vt:lpstr>
      <vt:lpstr>Retire1</vt:lpstr>
      <vt:lpstr>Retire1BY</vt:lpstr>
      <vt:lpstr>Retire1CHG</vt:lpstr>
      <vt:lpstr>Retire2</vt:lpstr>
      <vt:lpstr>Retire2BY</vt:lpstr>
      <vt:lpstr>Retire2CHG</vt:lpstr>
      <vt:lpstr>Retire4</vt:lpstr>
      <vt:lpstr>Retire4BY</vt:lpstr>
      <vt:lpstr>Retire4CHG</vt:lpstr>
      <vt:lpstr>Retire5</vt:lpstr>
      <vt:lpstr>Retire5BY</vt:lpstr>
      <vt:lpstr>Retire5CHG</vt:lpstr>
      <vt:lpstr>Retire6</vt:lpstr>
      <vt:lpstr>Retire6BY</vt:lpstr>
      <vt:lpstr>Retire6CHG</vt:lpstr>
      <vt:lpstr>Retire7</vt:lpstr>
      <vt:lpstr>Retire7BY</vt:lpstr>
      <vt:lpstr>Retire7CHG</vt:lpstr>
      <vt:lpstr>Retire8</vt:lpstr>
      <vt:lpstr>Retire8BY</vt:lpstr>
      <vt:lpstr>Retire8CHG</vt:lpstr>
      <vt:lpstr>Retirement_Rates</vt:lpstr>
      <vt:lpstr>'EMAA|0001-00'!RoundedAppropSalary</vt:lpstr>
      <vt:lpstr>'EMAA|0302-00'!RoundedAppropSalary</vt:lpstr>
      <vt:lpstr>'EMAA|0303-00'!RoundedAppropSalary</vt:lpstr>
      <vt:lpstr>'EMAA|0348-00'!RoundedAppropSalary</vt:lpstr>
      <vt:lpstr>'EMAA|0349-00'!RoundedAppropSalary</vt:lpstr>
      <vt:lpstr>'EMLO|0001-00'!RoundedAppropSalary</vt:lpstr>
      <vt:lpstr>'EMLO|0302-00'!RoundedAppropSalary</vt:lpstr>
      <vt:lpstr>'EMLO|0303-00'!RoundedAppropSalary</vt:lpstr>
      <vt:lpstr>'EMLO|0348-00'!RoundedAppropSalary</vt:lpstr>
      <vt:lpstr>'EMLO|0349-00'!RoundedAppropSalary</vt:lpstr>
      <vt:lpstr>'EMUI|0001-00'!RoundedAppropSalary</vt:lpstr>
      <vt:lpstr>'EMUI|0302-00'!RoundedAppropSalary</vt:lpstr>
      <vt:lpstr>'EMUI|0348-00'!RoundedAppropSalary</vt:lpstr>
      <vt:lpstr>'EMUI|0349-00'!RoundedAppropSalary</vt:lpstr>
      <vt:lpstr>RoundedAppropSalary</vt:lpstr>
      <vt:lpstr>'EMAA|0001-00'!SalaryChg</vt:lpstr>
      <vt:lpstr>'EMAA|0302-00'!SalaryChg</vt:lpstr>
      <vt:lpstr>'EMAA|0303-00'!SalaryChg</vt:lpstr>
      <vt:lpstr>'EMAA|0348-00'!SalaryChg</vt:lpstr>
      <vt:lpstr>'EMAA|0349-00'!SalaryChg</vt:lpstr>
      <vt:lpstr>'EMLO|0001-00'!SalaryChg</vt:lpstr>
      <vt:lpstr>'EMLO|0302-00'!SalaryChg</vt:lpstr>
      <vt:lpstr>'EMLO|0303-00'!SalaryChg</vt:lpstr>
      <vt:lpstr>'EMLO|0348-00'!SalaryChg</vt:lpstr>
      <vt:lpstr>'EMLO|0349-00'!SalaryChg</vt:lpstr>
      <vt:lpstr>'EMUI|0001-00'!SalaryChg</vt:lpstr>
      <vt:lpstr>'EMUI|0302-00'!SalaryChg</vt:lpstr>
      <vt:lpstr>'EMUI|0348-00'!SalaryChg</vt:lpstr>
      <vt:lpstr>'EMUI|0349-00'!SalaryChg</vt:lpstr>
      <vt:lpstr>SalaryChg</vt:lpstr>
      <vt:lpstr>Sick</vt:lpstr>
      <vt:lpstr>SickBY</vt:lpstr>
      <vt:lpstr>SickCHG</vt:lpstr>
      <vt:lpstr>SSDI</vt:lpstr>
      <vt:lpstr>SSDIBY</vt:lpstr>
      <vt:lpstr>SSDICHG</vt:lpstr>
      <vt:lpstr>SSHI</vt:lpstr>
      <vt:lpstr>SSHIBY</vt:lpstr>
      <vt:lpstr>SSHICHG</vt:lpstr>
      <vt:lpstr>UI</vt:lpstr>
      <vt:lpstr>UIBY</vt:lpstr>
      <vt:lpstr>UICHG</vt:lpstr>
      <vt:lpstr>WC</vt:lpstr>
      <vt:lpstr>WCBY</vt:lpstr>
      <vt:lpstr>WCCHG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Agency 245 B6</dc:title>
  <dc:subject>B6</dc:subject>
  <dc:creator>Shane Winslow</dc:creator>
  <cp:lastModifiedBy>Jared Tatro</cp:lastModifiedBy>
  <cp:lastPrinted>2019-06-21T15:46:35Z</cp:lastPrinted>
  <dcterms:created xsi:type="dcterms:W3CDTF">2013-05-01T19:55:41Z</dcterms:created>
  <dcterms:modified xsi:type="dcterms:W3CDTF">2021-07-14T23:38:50Z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980daa53-e238-4358-81e3-d1b7452f1532</vt:lpwstr>
  </property>
</Properties>
</file>